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drawings/drawing4.xml" ContentType="application/vnd.openxmlformats-officedocument.drawing+xml"/>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J:\Pricing Proposals\2021-2022\Documentation\Info request 30-04-21\"/>
    </mc:Choice>
  </mc:AlternateContent>
  <xr:revisionPtr revIDLastSave="0" documentId="13_ncr:1_{07C23326-75A9-47DA-812C-5CC5B905FCE7}" xr6:coauthVersionLast="45" xr6:coauthVersionMax="45" xr10:uidLastSave="{00000000-0000-0000-0000-000000000000}"/>
  <bookViews>
    <workbookView xWindow="57480" yWindow="-120" windowWidth="29040" windowHeight="17640" tabRatio="870" xr2:uid="{00000000-000D-0000-FFFF-FFFF00000000}"/>
  </bookViews>
  <sheets>
    <sheet name="Cover page" sheetId="53" r:id="rId1"/>
    <sheet name="&gt;&gt;Notes" sheetId="91" r:id="rId2"/>
    <sheet name="Versions" sheetId="62" r:id="rId3"/>
    <sheet name="Formulae" sheetId="95" r:id="rId4"/>
    <sheet name="Changes from t-1" sheetId="55" r:id="rId5"/>
    <sheet name="&gt;&gt;Primary inputs" sheetId="92" r:id="rId6"/>
    <sheet name="Model update" sheetId="31" r:id="rId7"/>
    <sheet name="&gt;&gt;ACS prices" sheetId="93" r:id="rId8"/>
    <sheet name="2021_ACS service &amp; prices" sheetId="28" r:id="rId9"/>
    <sheet name="2021_ACS Labour rates" sheetId="100" r:id="rId10"/>
    <sheet name="&gt;&gt;SCS prices" sheetId="94" r:id="rId11"/>
    <sheet name="Prop2021DUOSTariffs" sheetId="32" r:id="rId12"/>
    <sheet name="2021_DUOSRevCap" sheetId="37" r:id="rId13"/>
    <sheet name="2021_DUOSTarRebal" sheetId="38" r:id="rId14"/>
    <sheet name="2021_TUOSRevCap" sheetId="48" r:id="rId15"/>
    <sheet name="Prop2021TUOSTariffs" sheetId="49" r:id="rId16"/>
    <sheet name="2021_JSRevCap" sheetId="44" r:id="rId17"/>
    <sheet name="Prop2021JSTar" sheetId="40" r:id="rId18"/>
    <sheet name="Prop2021IndicativePriceComp" sheetId="52" r:id="rId19"/>
    <sheet name="&gt;&gt;2020-21 PP tables" sheetId="75" r:id="rId20"/>
    <sheet name="TBL Target revenue" sheetId="77" r:id="rId21"/>
    <sheet name="TBL Revenue cap cals" sheetId="78" r:id="rId22"/>
    <sheet name="TBL Unders&amp;Overs" sheetId="79" r:id="rId23"/>
    <sheet name="TBL Wt average" sheetId="80" r:id="rId24"/>
    <sheet name="TBL Side constraint" sheetId="81" r:id="rId25"/>
    <sheet name="TBL Forecasts" sheetId="82" r:id="rId26"/>
    <sheet name="TBL Rev Adj" sheetId="89" r:id="rId27"/>
    <sheet name="TBL Standalone avoidable" sheetId="98" r:id="rId28"/>
    <sheet name="TBL LRMC" sheetId="87" r:id="rId29"/>
    <sheet name="TBL ICC_CAC" sheetId="83" r:id="rId30"/>
    <sheet name="TBL Consistency with TSS" sheetId="99" r:id="rId31"/>
    <sheet name="&gt;&gt;&gt; Other inputs" sheetId="64" r:id="rId32"/>
    <sheet name="PTRM extract - March 2021" sheetId="70" r:id="rId33"/>
    <sheet name="S-factors" sheetId="90" r:id="rId34"/>
    <sheet name="TAM 20-21 DUOS unders_overs" sheetId="71" r:id="rId35"/>
    <sheet name="TAM 20-21 2020_DisTarRebalCont" sheetId="96" r:id="rId36"/>
    <sheet name="TAM 20-21 TUOS unders_overs" sheetId="72" r:id="rId37"/>
    <sheet name="TAM 2020-21 JS unders_overs" sheetId="74" r:id="rId38"/>
    <sheet name="RINs" sheetId="69" r:id="rId39"/>
    <sheet name="2020-21 feebased approved" sheetId="63" r:id="rId40"/>
    <sheet name="2020-21 Public lights approved" sheetId="66" r:id="rId41"/>
    <sheet name="2020-21 MSC approved" sheetId="67" r:id="rId42"/>
    <sheet name="2020-21 Security approved" sheetId="68" r:id="rId43"/>
    <sheet name="2020 ACS Labour rates approved" sheetId="101" r:id="rId44"/>
  </sheets>
  <definedNames>
    <definedName name="_xlnm._FilterDatabase" localSheetId="39" hidden="1">'2020-21 feebased approved'!$A$3:$H$3</definedName>
    <definedName name="_xlnm._FilterDatabase" localSheetId="8" hidden="1">'2021_ACS service &amp; prices'!$C$5:$L$311</definedName>
    <definedName name="_xlnm._FilterDatabase" localSheetId="13" hidden="1">'2021_DUOSTarRebal'!$A$29:$I$120</definedName>
    <definedName name="_xlnm._FilterDatabase" localSheetId="11" hidden="1">Prop2021DUOSTariffs!$A$5:$GK$98</definedName>
    <definedName name="_xlnm._FilterDatabase" localSheetId="17" hidden="1">Prop2021JSTar!$B$5:$I$98</definedName>
    <definedName name="_xlnm._FilterDatabase" localSheetId="15" hidden="1">Prop2021TUOSTariffs!$B$5:$FA$220</definedName>
    <definedName name="_MatInverse_In" localSheetId="12" hidden="1">#REF!</definedName>
    <definedName name="_MatInverse_In" localSheetId="13" hidden="1">#REF!</definedName>
    <definedName name="_MatInverse_In" localSheetId="16" hidden="1">#REF!</definedName>
    <definedName name="_MatInverse_In" localSheetId="14" hidden="1">#REF!</definedName>
    <definedName name="_MatInverse_In" localSheetId="17" hidden="1">#REF!</definedName>
    <definedName name="_MatInverse_In" localSheetId="15" hidden="1">#REF!</definedName>
    <definedName name="_MatInverse_In" hidden="1">#REF!</definedName>
    <definedName name="_MatInverse_Out" localSheetId="12" hidden="1">#REF!</definedName>
    <definedName name="_MatInverse_Out" localSheetId="13" hidden="1">#REF!</definedName>
    <definedName name="_MatInverse_Out" localSheetId="16" hidden="1">#REF!</definedName>
    <definedName name="_MatInverse_Out" localSheetId="14" hidden="1">#REF!</definedName>
    <definedName name="_MatInverse_Out" localSheetId="17" hidden="1">#REF!</definedName>
    <definedName name="_MatInverse_Out" localSheetId="15" hidden="1">#REF!</definedName>
    <definedName name="_MatInverse_Out" hidden="1">#REF!</definedName>
    <definedName name="_Order1" hidden="1">0</definedName>
    <definedName name="anscount" hidden="1">1</definedName>
    <definedName name="limcount" hidden="1">1</definedName>
    <definedName name="non_site_specific_rates">#REF!</definedName>
    <definedName name="non_site_specific_tariff_names">#REF!</definedName>
    <definedName name="_xlnm.Print_Area" localSheetId="12">'2021_DUOSRevCap'!$A$1:$E$62</definedName>
    <definedName name="_xlnm.Print_Area" localSheetId="13">'2021_DUOSTarRebal'!$A$1:$I$122</definedName>
    <definedName name="_xlnm.Print_Area" localSheetId="16">'2021_JSRevCap'!$A$1:$E$55</definedName>
    <definedName name="_xlnm.Print_Area" localSheetId="14">'2021_TUOSRevCap'!$A$1:$E$52</definedName>
    <definedName name="_xlnm.Print_Area" localSheetId="0">'Cover page'!$A$1:$O$85</definedName>
    <definedName name="sencount" hidden="1">1</definedName>
    <definedName name="Site_specific_NMIs">#REF!</definedName>
    <definedName name="Site_specific_rates">#REF!</definedName>
    <definedName name="wrn.allprint." hidden="1">{"profit",#N/A,FALSE,"P&amp;L";"cap",#N/A,FALSE,"Capital";"cash",#N/A,FALSE,"Cash Flow";"bs",#N/A,FALSE,"Bal Sheet"}</definedName>
    <definedName name="wrn.balsheet." hidden="1">{#N/A,#N/A,FALSE,"Bal Sheet"}</definedName>
    <definedName name="wrn.capital." hidden="1">{"cap",#N/A,FALSE,"Capital"}</definedName>
    <definedName name="wrn.cash." hidden="1">{"cash",#N/A,FALSE,"Cash Flow"}</definedName>
    <definedName name="wrn.pl." hidden="1">{"profit",#N/A,FALSE,"P&amp;L"}</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0" i="38" l="1"/>
  <c r="F30" i="38"/>
  <c r="I30" i="38" l="1"/>
  <c r="C17" i="44" l="1"/>
  <c r="C39" i="44" l="1"/>
  <c r="C15" i="48" l="1"/>
  <c r="E6" i="99" l="1"/>
  <c r="K57" i="87" l="1"/>
  <c r="K55" i="87"/>
  <c r="L54" i="87"/>
  <c r="L52" i="87"/>
  <c r="L50" i="87"/>
  <c r="L48" i="87"/>
  <c r="L40" i="87"/>
  <c r="L38" i="87"/>
  <c r="L36" i="87"/>
  <c r="L34" i="87"/>
  <c r="I35" i="87"/>
  <c r="K35" i="87" s="1"/>
  <c r="K34" i="87"/>
  <c r="L33" i="87"/>
  <c r="L32" i="87"/>
  <c r="L31" i="87"/>
  <c r="L30" i="87"/>
  <c r="L29" i="87"/>
  <c r="L28" i="87"/>
  <c r="I61" i="87"/>
  <c r="K61" i="87" s="1"/>
  <c r="I60" i="87"/>
  <c r="K60" i="87" s="1"/>
  <c r="I59" i="87"/>
  <c r="K59" i="87" s="1"/>
  <c r="I58" i="87"/>
  <c r="K58" i="87" s="1"/>
  <c r="I57" i="87"/>
  <c r="I56" i="87"/>
  <c r="K56" i="87" s="1"/>
  <c r="I55" i="87"/>
  <c r="I53" i="87"/>
  <c r="K53" i="87" s="1"/>
  <c r="I51" i="87"/>
  <c r="K51" i="87" s="1"/>
  <c r="I49" i="87"/>
  <c r="K49" i="87" s="1"/>
  <c r="I47" i="87"/>
  <c r="K47" i="87" s="1"/>
  <c r="I46" i="87"/>
  <c r="K46" i="87" s="1"/>
  <c r="I45" i="87"/>
  <c r="K45" i="87" s="1"/>
  <c r="I44" i="87"/>
  <c r="K44" i="87" s="1"/>
  <c r="I43" i="87"/>
  <c r="K43" i="87" s="1"/>
  <c r="I42" i="87"/>
  <c r="K42" i="87" s="1"/>
  <c r="I41" i="87"/>
  <c r="K41" i="87" s="1"/>
  <c r="I39" i="87"/>
  <c r="K39" i="87" s="1"/>
  <c r="I37" i="87"/>
  <c r="K37" i="87" s="1"/>
  <c r="L27" i="87" l="1"/>
  <c r="K27" i="87"/>
  <c r="K25" i="87"/>
  <c r="I21" i="87"/>
  <c r="K21" i="87" s="1"/>
  <c r="I22" i="87"/>
  <c r="K22" i="87" s="1"/>
  <c r="I23" i="87"/>
  <c r="K23" i="87" s="1"/>
  <c r="I24" i="87"/>
  <c r="K24" i="87" s="1"/>
  <c r="I25" i="87"/>
  <c r="I26" i="87"/>
  <c r="K26" i="87" s="1"/>
  <c r="L19" i="87"/>
  <c r="L17" i="87"/>
  <c r="L15" i="87"/>
  <c r="L7" i="87"/>
  <c r="L8" i="87"/>
  <c r="L9" i="87"/>
  <c r="L10" i="87"/>
  <c r="L11" i="87"/>
  <c r="L12" i="87"/>
  <c r="L13" i="87"/>
  <c r="L6" i="87"/>
  <c r="I20" i="87"/>
  <c r="K20" i="87" s="1"/>
  <c r="I18" i="87"/>
  <c r="K18" i="87" s="1"/>
  <c r="I16" i="87"/>
  <c r="K16" i="87" s="1"/>
  <c r="I14" i="87"/>
  <c r="K14" i="87" s="1"/>
  <c r="G129" i="31" l="1"/>
  <c r="G128" i="31"/>
  <c r="G127" i="31"/>
  <c r="C48" i="48"/>
  <c r="C58" i="37"/>
  <c r="A1" i="100" l="1"/>
  <c r="B14" i="87" l="1"/>
  <c r="B16" i="87"/>
  <c r="B18" i="87"/>
  <c r="B20" i="87"/>
  <c r="B21" i="87"/>
  <c r="B22" i="87"/>
  <c r="B23" i="87"/>
  <c r="B24" i="87"/>
  <c r="B25" i="87"/>
  <c r="B26" i="87"/>
  <c r="B35" i="87"/>
  <c r="B37" i="87"/>
  <c r="B39" i="87"/>
  <c r="B41" i="87"/>
  <c r="B42" i="87"/>
  <c r="B43" i="87"/>
  <c r="B44" i="87"/>
  <c r="B45" i="87"/>
  <c r="B46" i="87"/>
  <c r="B47" i="87"/>
  <c r="B49" i="87"/>
  <c r="B51" i="87"/>
  <c r="B53" i="87"/>
  <c r="B55" i="87"/>
  <c r="B56" i="87"/>
  <c r="B57" i="87"/>
  <c r="B58" i="87"/>
  <c r="B59" i="87"/>
  <c r="B60" i="87"/>
  <c r="B61" i="87"/>
  <c r="D16" i="100" l="1"/>
  <c r="C16" i="100"/>
  <c r="D15" i="100"/>
  <c r="C15" i="100"/>
  <c r="D14" i="100"/>
  <c r="C14" i="100"/>
  <c r="D13" i="100"/>
  <c r="C13" i="100"/>
  <c r="D12" i="100"/>
  <c r="C12" i="100"/>
  <c r="D11" i="100"/>
  <c r="C11" i="100"/>
  <c r="D10" i="100"/>
  <c r="C10" i="100"/>
  <c r="D9" i="100"/>
  <c r="C9" i="100"/>
  <c r="D8" i="100"/>
  <c r="C8" i="100"/>
  <c r="D7" i="100"/>
  <c r="C7" i="100"/>
  <c r="C6" i="100"/>
  <c r="D6" i="100"/>
  <c r="A3" i="100" l="1"/>
  <c r="D31" i="44" l="1"/>
  <c r="J70" i="31" l="1"/>
  <c r="O15" i="87" l="1"/>
  <c r="Q15" i="87" s="1"/>
  <c r="D52" i="32" l="1"/>
  <c r="D51" i="32"/>
  <c r="D50" i="32"/>
  <c r="D49" i="32" l="1"/>
  <c r="D48" i="32"/>
  <c r="D47" i="32"/>
  <c r="K4" i="40" l="1"/>
  <c r="K5" i="40"/>
  <c r="L5" i="40"/>
  <c r="M5" i="40"/>
  <c r="N5" i="40"/>
  <c r="O5" i="40"/>
  <c r="P5" i="40"/>
  <c r="Q5" i="40"/>
  <c r="R5" i="40"/>
  <c r="S5" i="40"/>
  <c r="T5" i="40"/>
  <c r="U5" i="40"/>
  <c r="V5" i="40"/>
  <c r="W5" i="40"/>
  <c r="X5" i="40"/>
  <c r="Y5" i="40"/>
  <c r="Z5" i="40"/>
  <c r="AA5" i="40"/>
  <c r="AB5" i="40"/>
  <c r="AC5" i="40"/>
  <c r="AD5" i="40"/>
  <c r="AE5" i="40"/>
  <c r="AF5" i="40"/>
  <c r="AG5" i="40"/>
  <c r="AH5" i="40"/>
  <c r="AI5" i="40"/>
  <c r="AJ5" i="40"/>
  <c r="AK5" i="40"/>
  <c r="AL5" i="40"/>
  <c r="AM5" i="40"/>
  <c r="AN5" i="40"/>
  <c r="AO5" i="40"/>
  <c r="AP5" i="40"/>
  <c r="AQ5" i="40"/>
  <c r="AR5" i="40"/>
  <c r="AS5" i="40"/>
  <c r="K6" i="40"/>
  <c r="L6" i="40"/>
  <c r="M6" i="40"/>
  <c r="N6" i="40"/>
  <c r="O6" i="40"/>
  <c r="P6" i="40"/>
  <c r="Q6" i="40"/>
  <c r="R6" i="40"/>
  <c r="S6" i="40"/>
  <c r="T6" i="40"/>
  <c r="U6" i="40"/>
  <c r="V6" i="40"/>
  <c r="W6" i="40"/>
  <c r="X6" i="40"/>
  <c r="Y6" i="40"/>
  <c r="Z6" i="40"/>
  <c r="AA6" i="40"/>
  <c r="AB6" i="40"/>
  <c r="AC6" i="40"/>
  <c r="AD6" i="40"/>
  <c r="AE6" i="40"/>
  <c r="AF6" i="40"/>
  <c r="AG6" i="40"/>
  <c r="AH6" i="40"/>
  <c r="AI6" i="40"/>
  <c r="AJ6" i="40"/>
  <c r="AK6" i="40"/>
  <c r="AL6" i="40"/>
  <c r="AM6" i="40"/>
  <c r="AN6" i="40"/>
  <c r="AO6" i="40"/>
  <c r="AP6" i="40"/>
  <c r="AQ6" i="40"/>
  <c r="AR6" i="40"/>
  <c r="AS6" i="40"/>
  <c r="K7" i="40"/>
  <c r="L7" i="40"/>
  <c r="M7" i="40"/>
  <c r="N7" i="40"/>
  <c r="O7" i="40"/>
  <c r="P7" i="40"/>
  <c r="Q7" i="40"/>
  <c r="R7" i="40"/>
  <c r="S7" i="40"/>
  <c r="T7" i="40"/>
  <c r="U7" i="40"/>
  <c r="V7" i="40"/>
  <c r="W7" i="40"/>
  <c r="X7" i="40"/>
  <c r="Y7" i="40"/>
  <c r="Z7" i="40"/>
  <c r="AA7" i="40"/>
  <c r="AB7" i="40"/>
  <c r="AC7" i="40"/>
  <c r="AD7" i="40"/>
  <c r="AE7" i="40"/>
  <c r="AF7" i="40"/>
  <c r="AG7" i="40"/>
  <c r="AH7" i="40"/>
  <c r="AI7" i="40"/>
  <c r="AJ7" i="40"/>
  <c r="AK7" i="40"/>
  <c r="AL7" i="40"/>
  <c r="AM7" i="40"/>
  <c r="AN7" i="40"/>
  <c r="AO7" i="40"/>
  <c r="AP7" i="40"/>
  <c r="AQ7" i="40"/>
  <c r="AR7" i="40"/>
  <c r="AS7" i="40"/>
  <c r="L103" i="40"/>
  <c r="M103" i="40"/>
  <c r="N103" i="40"/>
  <c r="O103" i="40"/>
  <c r="P103" i="40"/>
  <c r="Q103" i="40"/>
  <c r="R103" i="40"/>
  <c r="S103" i="40"/>
  <c r="T103" i="40"/>
  <c r="U103" i="40"/>
  <c r="V103" i="40"/>
  <c r="W103" i="40"/>
  <c r="X103" i="40"/>
  <c r="Y103" i="40"/>
  <c r="Z103" i="40"/>
  <c r="AA103" i="40"/>
  <c r="AB103" i="40"/>
  <c r="AC103" i="40"/>
  <c r="AD103" i="40"/>
  <c r="AE103" i="40"/>
  <c r="AF103" i="40"/>
  <c r="AG103" i="40"/>
  <c r="AI103" i="40"/>
  <c r="AJ103" i="40"/>
  <c r="AK103" i="40"/>
  <c r="AL103" i="40"/>
  <c r="AM103" i="40"/>
  <c r="AN103" i="40"/>
  <c r="AO103" i="40"/>
  <c r="AP103" i="40"/>
  <c r="AQ103" i="40"/>
  <c r="AR103" i="40"/>
  <c r="AS103" i="40"/>
  <c r="I98" i="52" l="1"/>
  <c r="I97" i="52"/>
  <c r="I96" i="52"/>
  <c r="I95" i="52"/>
  <c r="I94" i="52"/>
  <c r="I93" i="52"/>
  <c r="I92" i="52"/>
  <c r="I91" i="52"/>
  <c r="I90" i="52"/>
  <c r="I88" i="52"/>
  <c r="I87" i="52"/>
  <c r="I86" i="52"/>
  <c r="I85" i="52"/>
  <c r="I84" i="52"/>
  <c r="I83" i="52"/>
  <c r="I82" i="52"/>
  <c r="I81" i="52"/>
  <c r="I80" i="52"/>
  <c r="I79" i="52"/>
  <c r="I78" i="52"/>
  <c r="I77" i="52"/>
  <c r="I75" i="52"/>
  <c r="I74" i="52"/>
  <c r="I73" i="52"/>
  <c r="I71" i="52"/>
  <c r="I70" i="52"/>
  <c r="I69" i="52"/>
  <c r="I68" i="52"/>
  <c r="I67" i="52"/>
  <c r="I66" i="52"/>
  <c r="I65" i="52"/>
  <c r="I64" i="52"/>
  <c r="I63" i="52"/>
  <c r="I62" i="52"/>
  <c r="I61" i="52"/>
  <c r="I60" i="52"/>
  <c r="I59" i="52"/>
  <c r="I58" i="52"/>
  <c r="I57" i="52"/>
  <c r="I56" i="52"/>
  <c r="I55" i="52"/>
  <c r="I54" i="52"/>
  <c r="I53" i="52"/>
  <c r="I52" i="52"/>
  <c r="I51" i="52"/>
  <c r="I50" i="52"/>
  <c r="I49" i="52"/>
  <c r="I48" i="52"/>
  <c r="I47" i="52"/>
  <c r="I46" i="52"/>
  <c r="I45" i="52"/>
  <c r="I44" i="52"/>
  <c r="I43" i="52"/>
  <c r="I42" i="52"/>
  <c r="I41" i="52"/>
  <c r="I40" i="52"/>
  <c r="I39" i="52"/>
  <c r="I38" i="52"/>
  <c r="I37" i="52"/>
  <c r="I36" i="52"/>
  <c r="I35" i="52"/>
  <c r="I34" i="52"/>
  <c r="I33" i="52"/>
  <c r="I32" i="52"/>
  <c r="I31" i="52"/>
  <c r="I30" i="52"/>
  <c r="I29" i="52"/>
  <c r="I28" i="52"/>
  <c r="I27" i="52"/>
  <c r="I26" i="52"/>
  <c r="I25" i="52"/>
  <c r="I24" i="52"/>
  <c r="I23" i="52"/>
  <c r="I22" i="52"/>
  <c r="I21" i="52"/>
  <c r="I20" i="52"/>
  <c r="I19" i="52"/>
  <c r="I18" i="52"/>
  <c r="I17" i="52"/>
  <c r="I16" i="52"/>
  <c r="I15" i="52"/>
  <c r="I14" i="52"/>
  <c r="I13" i="52"/>
  <c r="I12" i="52"/>
  <c r="I11" i="52"/>
  <c r="I10" i="52"/>
  <c r="I9" i="52"/>
  <c r="I5" i="52"/>
  <c r="AT111" i="52"/>
  <c r="BY111" i="52" l="1"/>
  <c r="CA111" i="52"/>
  <c r="BZ111" i="52"/>
  <c r="BN111" i="52"/>
  <c r="BO111" i="52"/>
  <c r="BC111" i="52"/>
  <c r="BB111" i="52"/>
  <c r="BD111" i="52"/>
  <c r="BP111" i="52"/>
  <c r="CB111" i="52"/>
  <c r="BE111" i="52"/>
  <c r="BQ111" i="52"/>
  <c r="BF111" i="52"/>
  <c r="BR111" i="52"/>
  <c r="AU111" i="52"/>
  <c r="BG111" i="52"/>
  <c r="BS111" i="52"/>
  <c r="AV111" i="52"/>
  <c r="BH111" i="52"/>
  <c r="BT111" i="52"/>
  <c r="AW111" i="52"/>
  <c r="BI111" i="52"/>
  <c r="BU111" i="52"/>
  <c r="AX111" i="52"/>
  <c r="BJ111" i="52"/>
  <c r="BV111" i="52"/>
  <c r="AY111" i="52"/>
  <c r="BK111" i="52"/>
  <c r="BW111" i="52"/>
  <c r="AZ111" i="52"/>
  <c r="BL111" i="52"/>
  <c r="BX111" i="52"/>
  <c r="BA111" i="52"/>
  <c r="BM111" i="52"/>
  <c r="DA8" i="52"/>
  <c r="CO8" i="52"/>
  <c r="CK8" i="52"/>
  <c r="CD8" i="52"/>
  <c r="DL98" i="52"/>
  <c r="DK98" i="52"/>
  <c r="DJ98" i="52"/>
  <c r="DI98" i="52"/>
  <c r="DH98" i="52"/>
  <c r="DG98" i="52"/>
  <c r="DF98" i="52"/>
  <c r="DE98" i="52"/>
  <c r="DD98" i="52"/>
  <c r="DC98" i="52"/>
  <c r="DB98" i="52"/>
  <c r="DL97" i="52"/>
  <c r="DK97" i="52"/>
  <c r="DJ97" i="52"/>
  <c r="DI97" i="52"/>
  <c r="DH97" i="52"/>
  <c r="DG97" i="52"/>
  <c r="DF97" i="52"/>
  <c r="DE97" i="52"/>
  <c r="DD97" i="52"/>
  <c r="DC97" i="52"/>
  <c r="DB97" i="52"/>
  <c r="DL96" i="52"/>
  <c r="DK96" i="52"/>
  <c r="DJ96" i="52"/>
  <c r="DI96" i="52"/>
  <c r="DH96" i="52"/>
  <c r="DG96" i="52"/>
  <c r="DF96" i="52"/>
  <c r="DE96" i="52"/>
  <c r="DD96" i="52"/>
  <c r="DC96" i="52"/>
  <c r="DB96" i="52"/>
  <c r="DL95" i="52"/>
  <c r="DK95" i="52"/>
  <c r="DJ95" i="52"/>
  <c r="DI95" i="52"/>
  <c r="DH95" i="52"/>
  <c r="DG95" i="52"/>
  <c r="DF95" i="52"/>
  <c r="DE95" i="52"/>
  <c r="DD95" i="52"/>
  <c r="DC95" i="52"/>
  <c r="DB95" i="52"/>
  <c r="DL94" i="52"/>
  <c r="DK94" i="52"/>
  <c r="DJ94" i="52"/>
  <c r="DI94" i="52"/>
  <c r="DH94" i="52"/>
  <c r="DG94" i="52"/>
  <c r="DF94" i="52"/>
  <c r="DE94" i="52"/>
  <c r="DD94" i="52"/>
  <c r="DC94" i="52"/>
  <c r="DB94" i="52"/>
  <c r="DL93" i="52"/>
  <c r="DK93" i="52"/>
  <c r="DJ93" i="52"/>
  <c r="DI93" i="52"/>
  <c r="DH93" i="52"/>
  <c r="DG93" i="52"/>
  <c r="DF93" i="52"/>
  <c r="DE93" i="52"/>
  <c r="DD93" i="52"/>
  <c r="DC93" i="52"/>
  <c r="DB93" i="52"/>
  <c r="DL92" i="52"/>
  <c r="DK92" i="52"/>
  <c r="DJ92" i="52"/>
  <c r="DI92" i="52"/>
  <c r="DH92" i="52"/>
  <c r="DG92" i="52"/>
  <c r="DF92" i="52"/>
  <c r="DE92" i="52"/>
  <c r="DD92" i="52"/>
  <c r="DC92" i="52"/>
  <c r="DB92" i="52"/>
  <c r="DL91" i="52"/>
  <c r="DK91" i="52"/>
  <c r="DJ91" i="52"/>
  <c r="DI91" i="52"/>
  <c r="DH91" i="52"/>
  <c r="DG91" i="52"/>
  <c r="DF91" i="52"/>
  <c r="DE91" i="52"/>
  <c r="DD91" i="52"/>
  <c r="DC91" i="52"/>
  <c r="DB91" i="52"/>
  <c r="DL90" i="52"/>
  <c r="DK90" i="52"/>
  <c r="DJ90" i="52"/>
  <c r="DI90" i="52"/>
  <c r="DH90" i="52"/>
  <c r="DG90" i="52"/>
  <c r="DF90" i="52"/>
  <c r="DE90" i="52"/>
  <c r="DD90" i="52"/>
  <c r="DC90" i="52"/>
  <c r="DB90" i="52"/>
  <c r="DL88" i="52"/>
  <c r="DK88" i="52"/>
  <c r="DJ88" i="52"/>
  <c r="DI88" i="52"/>
  <c r="DH88" i="52"/>
  <c r="DG88" i="52"/>
  <c r="DF88" i="52"/>
  <c r="DE88" i="52"/>
  <c r="DD88" i="52"/>
  <c r="DC88" i="52"/>
  <c r="DB88" i="52"/>
  <c r="DL87" i="52"/>
  <c r="DK87" i="52"/>
  <c r="DJ87" i="52"/>
  <c r="DI87" i="52"/>
  <c r="DH87" i="52"/>
  <c r="DG87" i="52"/>
  <c r="DF87" i="52"/>
  <c r="DE87" i="52"/>
  <c r="DD87" i="52"/>
  <c r="DC87" i="52"/>
  <c r="DB87" i="52"/>
  <c r="DL86" i="52"/>
  <c r="DK86" i="52"/>
  <c r="DJ86" i="52"/>
  <c r="DI86" i="52"/>
  <c r="DH86" i="52"/>
  <c r="DG86" i="52"/>
  <c r="DF86" i="52"/>
  <c r="DE86" i="52"/>
  <c r="DD86" i="52"/>
  <c r="DC86" i="52"/>
  <c r="DB86" i="52"/>
  <c r="DL85" i="52"/>
  <c r="DK85" i="52"/>
  <c r="DJ85" i="52"/>
  <c r="DI85" i="52"/>
  <c r="DH85" i="52"/>
  <c r="DG85" i="52"/>
  <c r="DF85" i="52"/>
  <c r="DE85" i="52"/>
  <c r="DD85" i="52"/>
  <c r="DC85" i="52"/>
  <c r="DB85" i="52"/>
  <c r="DL84" i="52"/>
  <c r="DK84" i="52"/>
  <c r="DJ84" i="52"/>
  <c r="DI84" i="52"/>
  <c r="DH84" i="52"/>
  <c r="DG84" i="52"/>
  <c r="DF84" i="52"/>
  <c r="DE84" i="52"/>
  <c r="DD84" i="52"/>
  <c r="DC84" i="52"/>
  <c r="DB84" i="52"/>
  <c r="DL83" i="52"/>
  <c r="DK83" i="52"/>
  <c r="DJ83" i="52"/>
  <c r="DI83" i="52"/>
  <c r="DH83" i="52"/>
  <c r="DG83" i="52"/>
  <c r="DF83" i="52"/>
  <c r="DE83" i="52"/>
  <c r="DD83" i="52"/>
  <c r="DC83" i="52"/>
  <c r="DB83" i="52"/>
  <c r="DL82" i="52"/>
  <c r="DK82" i="52"/>
  <c r="DJ82" i="52"/>
  <c r="DI82" i="52"/>
  <c r="DH82" i="52"/>
  <c r="DD82" i="52"/>
  <c r="DC82" i="52"/>
  <c r="DB82" i="52"/>
  <c r="DL81" i="52"/>
  <c r="DK81" i="52"/>
  <c r="DJ81" i="52"/>
  <c r="DI81" i="52"/>
  <c r="DH81" i="52"/>
  <c r="DD81" i="52"/>
  <c r="DC81" i="52"/>
  <c r="DB81" i="52"/>
  <c r="DL80" i="52"/>
  <c r="DK80" i="52"/>
  <c r="DJ80" i="52"/>
  <c r="DI80" i="52"/>
  <c r="DH80" i="52"/>
  <c r="DD80" i="52"/>
  <c r="DC80" i="52"/>
  <c r="DB80" i="52"/>
  <c r="DL79" i="52"/>
  <c r="DK79" i="52"/>
  <c r="DJ79" i="52"/>
  <c r="DI79" i="52"/>
  <c r="DH79" i="52"/>
  <c r="DG79" i="52"/>
  <c r="DF79" i="52"/>
  <c r="DE79" i="52"/>
  <c r="DL78" i="52"/>
  <c r="DK78" i="52"/>
  <c r="DJ78" i="52"/>
  <c r="DI78" i="52"/>
  <c r="DH78" i="52"/>
  <c r="DG78" i="52"/>
  <c r="DF78" i="52"/>
  <c r="DE78" i="52"/>
  <c r="DL77" i="52"/>
  <c r="DK77" i="52"/>
  <c r="DJ77" i="52"/>
  <c r="DI77" i="52"/>
  <c r="DH77" i="52"/>
  <c r="DG77" i="52"/>
  <c r="DF77" i="52"/>
  <c r="DE77" i="52"/>
  <c r="DL75" i="52"/>
  <c r="DK75" i="52"/>
  <c r="DG75" i="52"/>
  <c r="DF75" i="52"/>
  <c r="DE75" i="52"/>
  <c r="DD75" i="52"/>
  <c r="DC75" i="52"/>
  <c r="DB75" i="52"/>
  <c r="DL74" i="52"/>
  <c r="DK74" i="52"/>
  <c r="DG74" i="52"/>
  <c r="DF74" i="52"/>
  <c r="DE74" i="52"/>
  <c r="DD74" i="52"/>
  <c r="DC74" i="52"/>
  <c r="DB74" i="52"/>
  <c r="DL73" i="52"/>
  <c r="DK73" i="52"/>
  <c r="DG73" i="52"/>
  <c r="DF73" i="52"/>
  <c r="DE73" i="52"/>
  <c r="DD73" i="52"/>
  <c r="DC73" i="52"/>
  <c r="DB73" i="52"/>
  <c r="DL71" i="52"/>
  <c r="DK71" i="52"/>
  <c r="DJ71" i="52"/>
  <c r="DI71" i="52"/>
  <c r="DH71" i="52"/>
  <c r="DG71" i="52"/>
  <c r="DF71" i="52"/>
  <c r="DE71" i="52"/>
  <c r="DD71" i="52"/>
  <c r="DC71" i="52"/>
  <c r="DB71" i="52"/>
  <c r="DL70" i="52"/>
  <c r="DK70" i="52"/>
  <c r="DJ70" i="52"/>
  <c r="DI70" i="52"/>
  <c r="DH70" i="52"/>
  <c r="DG70" i="52"/>
  <c r="DF70" i="52"/>
  <c r="DE70" i="52"/>
  <c r="DD70" i="52"/>
  <c r="DC70" i="52"/>
  <c r="DB70" i="52"/>
  <c r="DL69" i="52"/>
  <c r="DK69" i="52"/>
  <c r="DJ69" i="52"/>
  <c r="DI69" i="52"/>
  <c r="DH69" i="52"/>
  <c r="DG69" i="52"/>
  <c r="DF69" i="52"/>
  <c r="DE69" i="52"/>
  <c r="DD69" i="52"/>
  <c r="DC69" i="52"/>
  <c r="DB69" i="52"/>
  <c r="DL68" i="52"/>
  <c r="DK68" i="52"/>
  <c r="DJ68" i="52"/>
  <c r="DI68" i="52"/>
  <c r="DH68" i="52"/>
  <c r="DG68" i="52"/>
  <c r="DF68" i="52"/>
  <c r="DE68" i="52"/>
  <c r="DD68" i="52"/>
  <c r="DC68" i="52"/>
  <c r="DB68" i="52"/>
  <c r="DL67" i="52"/>
  <c r="DK67" i="52"/>
  <c r="DJ67" i="52"/>
  <c r="DI67" i="52"/>
  <c r="DH67" i="52"/>
  <c r="DG67" i="52"/>
  <c r="DF67" i="52"/>
  <c r="DE67" i="52"/>
  <c r="DD67" i="52"/>
  <c r="DC67" i="52"/>
  <c r="DB67" i="52"/>
  <c r="DL66" i="52"/>
  <c r="DK66" i="52"/>
  <c r="DJ66" i="52"/>
  <c r="DI66" i="52"/>
  <c r="DH66" i="52"/>
  <c r="DG66" i="52"/>
  <c r="DF66" i="52"/>
  <c r="DE66" i="52"/>
  <c r="DD66" i="52"/>
  <c r="DC66" i="52"/>
  <c r="DB66" i="52"/>
  <c r="DL65" i="52"/>
  <c r="DK65" i="52"/>
  <c r="DJ65" i="52"/>
  <c r="DI65" i="52"/>
  <c r="DH65" i="52"/>
  <c r="DG65" i="52"/>
  <c r="DF65" i="52"/>
  <c r="DE65" i="52"/>
  <c r="DD65" i="52"/>
  <c r="DC65" i="52"/>
  <c r="DB65" i="52"/>
  <c r="DL64" i="52"/>
  <c r="DK64" i="52"/>
  <c r="DJ64" i="52"/>
  <c r="DI64" i="52"/>
  <c r="DH64" i="52"/>
  <c r="DG64" i="52"/>
  <c r="DF64" i="52"/>
  <c r="DE64" i="52"/>
  <c r="DD64" i="52"/>
  <c r="DC64" i="52"/>
  <c r="DB64" i="52"/>
  <c r="DL63" i="52"/>
  <c r="DK63" i="52"/>
  <c r="DJ63" i="52"/>
  <c r="DI63" i="52"/>
  <c r="DH63" i="52"/>
  <c r="DG63" i="52"/>
  <c r="DF63" i="52"/>
  <c r="DE63" i="52"/>
  <c r="DD63" i="52"/>
  <c r="DC63" i="52"/>
  <c r="DB63" i="52"/>
  <c r="DL62" i="52"/>
  <c r="DK62" i="52"/>
  <c r="DJ62" i="52"/>
  <c r="DI62" i="52"/>
  <c r="DH62" i="52"/>
  <c r="DD62" i="52"/>
  <c r="DC62" i="52"/>
  <c r="DB62" i="52"/>
  <c r="DL61" i="52"/>
  <c r="DK61" i="52"/>
  <c r="DJ61" i="52"/>
  <c r="DI61" i="52"/>
  <c r="DH61" i="52"/>
  <c r="DD61" i="52"/>
  <c r="DC61" i="52"/>
  <c r="DB61" i="52"/>
  <c r="DL60" i="52"/>
  <c r="DK60" i="52"/>
  <c r="DJ60" i="52"/>
  <c r="DI60" i="52"/>
  <c r="DH60" i="52"/>
  <c r="DD60" i="52"/>
  <c r="DC60" i="52"/>
  <c r="DB60" i="52"/>
  <c r="DL59" i="52"/>
  <c r="DK59" i="52"/>
  <c r="DJ59" i="52"/>
  <c r="DI59" i="52"/>
  <c r="DH59" i="52"/>
  <c r="DG59" i="52"/>
  <c r="DF59" i="52"/>
  <c r="DE59" i="52"/>
  <c r="DD59" i="52"/>
  <c r="DC59" i="52"/>
  <c r="DB59" i="52"/>
  <c r="DL58" i="52"/>
  <c r="DK58" i="52"/>
  <c r="DJ58" i="52"/>
  <c r="DI58" i="52"/>
  <c r="DH58" i="52"/>
  <c r="DG58" i="52"/>
  <c r="DF58" i="52"/>
  <c r="DE58" i="52"/>
  <c r="DD58" i="52"/>
  <c r="DC58" i="52"/>
  <c r="DB58" i="52"/>
  <c r="DL57" i="52"/>
  <c r="DK57" i="52"/>
  <c r="DJ57" i="52"/>
  <c r="DI57" i="52"/>
  <c r="DH57" i="52"/>
  <c r="DG57" i="52"/>
  <c r="DF57" i="52"/>
  <c r="DE57" i="52"/>
  <c r="DD57" i="52"/>
  <c r="DC57" i="52"/>
  <c r="DB57" i="52"/>
  <c r="DL56" i="52"/>
  <c r="DK56" i="52"/>
  <c r="DJ56" i="52"/>
  <c r="DI56" i="52"/>
  <c r="DH56" i="52"/>
  <c r="DG56" i="52"/>
  <c r="DF56" i="52"/>
  <c r="DE56" i="52"/>
  <c r="DL55" i="52"/>
  <c r="DK55" i="52"/>
  <c r="DJ55" i="52"/>
  <c r="DI55" i="52"/>
  <c r="DH55" i="52"/>
  <c r="DG55" i="52"/>
  <c r="DF55" i="52"/>
  <c r="DE55" i="52"/>
  <c r="DL54" i="52"/>
  <c r="DK54" i="52"/>
  <c r="DJ54" i="52"/>
  <c r="DI54" i="52"/>
  <c r="DH54" i="52"/>
  <c r="DG54" i="52"/>
  <c r="DF54" i="52"/>
  <c r="DE54" i="52"/>
  <c r="DL52" i="52"/>
  <c r="DK52" i="52"/>
  <c r="DJ52" i="52"/>
  <c r="DI52" i="52"/>
  <c r="DH52" i="52"/>
  <c r="DG52" i="52"/>
  <c r="DF52" i="52"/>
  <c r="DE52" i="52"/>
  <c r="DD52" i="52"/>
  <c r="DL51" i="52"/>
  <c r="DK51" i="52"/>
  <c r="DJ51" i="52"/>
  <c r="DI51" i="52"/>
  <c r="DH51" i="52"/>
  <c r="DG51" i="52"/>
  <c r="DF51" i="52"/>
  <c r="DE51" i="52"/>
  <c r="DD51" i="52"/>
  <c r="DL50" i="52"/>
  <c r="DK50" i="52"/>
  <c r="DJ50" i="52"/>
  <c r="DI50" i="52"/>
  <c r="DH50" i="52"/>
  <c r="DG50" i="52"/>
  <c r="DF50" i="52"/>
  <c r="DE50" i="52"/>
  <c r="DD50" i="52"/>
  <c r="DL49" i="52"/>
  <c r="DK49" i="52"/>
  <c r="DJ49" i="52"/>
  <c r="DI49" i="52"/>
  <c r="DH49" i="52"/>
  <c r="DG49" i="52"/>
  <c r="DF49" i="52"/>
  <c r="DE49" i="52"/>
  <c r="DD49" i="52"/>
  <c r="DL48" i="52"/>
  <c r="DK48" i="52"/>
  <c r="DJ48" i="52"/>
  <c r="DI48" i="52"/>
  <c r="DH48" i="52"/>
  <c r="DG48" i="52"/>
  <c r="DF48" i="52"/>
  <c r="DE48" i="52"/>
  <c r="DD48" i="52"/>
  <c r="DL47" i="52"/>
  <c r="DK47" i="52"/>
  <c r="DJ47" i="52"/>
  <c r="DI47" i="52"/>
  <c r="DH47" i="52"/>
  <c r="DG47" i="52"/>
  <c r="DF47" i="52"/>
  <c r="DE47" i="52"/>
  <c r="DD47" i="52"/>
  <c r="DL45" i="52"/>
  <c r="DK45" i="52"/>
  <c r="DJ45" i="52"/>
  <c r="DI45" i="52"/>
  <c r="DH45" i="52"/>
  <c r="DG45" i="52"/>
  <c r="DF45" i="52"/>
  <c r="DE45" i="52"/>
  <c r="DD45" i="52"/>
  <c r="DC45" i="52"/>
  <c r="DB45" i="52"/>
  <c r="DL44" i="52"/>
  <c r="DK44" i="52"/>
  <c r="DJ44" i="52"/>
  <c r="DI44" i="52"/>
  <c r="DH44" i="52"/>
  <c r="DG44" i="52"/>
  <c r="DF44" i="52"/>
  <c r="DE44" i="52"/>
  <c r="DD44" i="52"/>
  <c r="DC44" i="52"/>
  <c r="DB44" i="52"/>
  <c r="DL43" i="52"/>
  <c r="DK43" i="52"/>
  <c r="DJ43" i="52"/>
  <c r="DI43" i="52"/>
  <c r="DH43" i="52"/>
  <c r="DG43" i="52"/>
  <c r="DF43" i="52"/>
  <c r="DE43" i="52"/>
  <c r="DD43" i="52"/>
  <c r="DC43" i="52"/>
  <c r="DB43" i="52"/>
  <c r="DL42" i="52"/>
  <c r="DK42" i="52"/>
  <c r="DJ42" i="52"/>
  <c r="DI42" i="52"/>
  <c r="DH42" i="52"/>
  <c r="DG42" i="52"/>
  <c r="DF42" i="52"/>
  <c r="DE42" i="52"/>
  <c r="DD42" i="52"/>
  <c r="DC42" i="52"/>
  <c r="DB42" i="52"/>
  <c r="DL41" i="52"/>
  <c r="DK41" i="52"/>
  <c r="DJ41" i="52"/>
  <c r="DI41" i="52"/>
  <c r="DH41" i="52"/>
  <c r="DG41" i="52"/>
  <c r="DF41" i="52"/>
  <c r="DE41" i="52"/>
  <c r="DD41" i="52"/>
  <c r="DC41" i="52"/>
  <c r="DB41" i="52"/>
  <c r="DL40" i="52"/>
  <c r="DK40" i="52"/>
  <c r="DJ40" i="52"/>
  <c r="DI40" i="52"/>
  <c r="DH40" i="52"/>
  <c r="DG40" i="52"/>
  <c r="DF40" i="52"/>
  <c r="DE40" i="52"/>
  <c r="DD40" i="52"/>
  <c r="DC40" i="52"/>
  <c r="DB40" i="52"/>
  <c r="DL39" i="52"/>
  <c r="DK39" i="52"/>
  <c r="DJ39" i="52"/>
  <c r="DI39" i="52"/>
  <c r="DH39" i="52"/>
  <c r="DG39" i="52"/>
  <c r="DF39" i="52"/>
  <c r="DE39" i="52"/>
  <c r="DD39" i="52"/>
  <c r="DC39" i="52"/>
  <c r="DB39" i="52"/>
  <c r="DL38" i="52"/>
  <c r="DK38" i="52"/>
  <c r="DJ38" i="52"/>
  <c r="DI38" i="52"/>
  <c r="DH38" i="52"/>
  <c r="DG38" i="52"/>
  <c r="DF38" i="52"/>
  <c r="DE38" i="52"/>
  <c r="DD38" i="52"/>
  <c r="DC38" i="52"/>
  <c r="DB38" i="52"/>
  <c r="DL37" i="52"/>
  <c r="DK37" i="52"/>
  <c r="DJ37" i="52"/>
  <c r="DI37" i="52"/>
  <c r="DH37" i="52"/>
  <c r="DG37" i="52"/>
  <c r="DF37" i="52"/>
  <c r="DE37" i="52"/>
  <c r="DD37" i="52"/>
  <c r="DC37" i="52"/>
  <c r="DB37" i="52"/>
  <c r="DJ36" i="52"/>
  <c r="DI36" i="52"/>
  <c r="DH36" i="52"/>
  <c r="DG36" i="52"/>
  <c r="DF36" i="52"/>
  <c r="DE36" i="52"/>
  <c r="DD36" i="52"/>
  <c r="DC36" i="52"/>
  <c r="DB36" i="52"/>
  <c r="DJ35" i="52"/>
  <c r="DI35" i="52"/>
  <c r="DH35" i="52"/>
  <c r="DG35" i="52"/>
  <c r="DF35" i="52"/>
  <c r="DE35" i="52"/>
  <c r="DD35" i="52"/>
  <c r="DC35" i="52"/>
  <c r="DB35" i="52"/>
  <c r="DJ34" i="52"/>
  <c r="DI34" i="52"/>
  <c r="DH34" i="52"/>
  <c r="DG34" i="52"/>
  <c r="DF34" i="52"/>
  <c r="DE34" i="52"/>
  <c r="DD34" i="52"/>
  <c r="DC34" i="52"/>
  <c r="DB34" i="52"/>
  <c r="DL33" i="52"/>
  <c r="DK33" i="52"/>
  <c r="DJ33" i="52"/>
  <c r="DI33" i="52"/>
  <c r="DH33" i="52"/>
  <c r="DG33" i="52"/>
  <c r="DF33" i="52"/>
  <c r="DE33" i="52"/>
  <c r="DD33" i="52"/>
  <c r="DC33" i="52"/>
  <c r="DB33" i="52"/>
  <c r="DL32" i="52"/>
  <c r="DK32" i="52"/>
  <c r="DJ32" i="52"/>
  <c r="DI32" i="52"/>
  <c r="DH32" i="52"/>
  <c r="DG32" i="52"/>
  <c r="DF32" i="52"/>
  <c r="DE32" i="52"/>
  <c r="DD32" i="52"/>
  <c r="DC32" i="52"/>
  <c r="DB32" i="52"/>
  <c r="DL31" i="52"/>
  <c r="DK31" i="52"/>
  <c r="DJ31" i="52"/>
  <c r="DI31" i="52"/>
  <c r="DH31" i="52"/>
  <c r="DG31" i="52"/>
  <c r="DF31" i="52"/>
  <c r="DE31" i="52"/>
  <c r="DD31" i="52"/>
  <c r="DC31" i="52"/>
  <c r="DB31" i="52"/>
  <c r="DL30" i="52"/>
  <c r="DK30" i="52"/>
  <c r="DJ30" i="52"/>
  <c r="DI30" i="52"/>
  <c r="DH30" i="52"/>
  <c r="DG30" i="52"/>
  <c r="DF30" i="52"/>
  <c r="DE30" i="52"/>
  <c r="DD30" i="52"/>
  <c r="DC30" i="52"/>
  <c r="DB30" i="52"/>
  <c r="DL29" i="52"/>
  <c r="DK29" i="52"/>
  <c r="DJ29" i="52"/>
  <c r="DI29" i="52"/>
  <c r="DH29" i="52"/>
  <c r="DG29" i="52"/>
  <c r="DF29" i="52"/>
  <c r="DE29" i="52"/>
  <c r="DD29" i="52"/>
  <c r="DC29" i="52"/>
  <c r="DB29" i="52"/>
  <c r="DL28" i="52"/>
  <c r="DK28" i="52"/>
  <c r="DJ28" i="52"/>
  <c r="DI28" i="52"/>
  <c r="DH28" i="52"/>
  <c r="DG28" i="52"/>
  <c r="DF28" i="52"/>
  <c r="DE28" i="52"/>
  <c r="DD28" i="52"/>
  <c r="DC28" i="52"/>
  <c r="DB28" i="52"/>
  <c r="DL27" i="52"/>
  <c r="DK27" i="52"/>
  <c r="DJ27" i="52"/>
  <c r="DI27" i="52"/>
  <c r="DH27" i="52"/>
  <c r="DG27" i="52"/>
  <c r="DF27" i="52"/>
  <c r="DE27" i="52"/>
  <c r="DD27" i="52"/>
  <c r="DC27" i="52"/>
  <c r="DB27" i="52"/>
  <c r="DL26" i="52"/>
  <c r="DK26" i="52"/>
  <c r="DJ26" i="52"/>
  <c r="DI26" i="52"/>
  <c r="DH26" i="52"/>
  <c r="DG26" i="52"/>
  <c r="DF26" i="52"/>
  <c r="DE26" i="52"/>
  <c r="DD26" i="52"/>
  <c r="DC26" i="52"/>
  <c r="DB26" i="52"/>
  <c r="DL25" i="52"/>
  <c r="DK25" i="52"/>
  <c r="DJ25" i="52"/>
  <c r="DI25" i="52"/>
  <c r="DH25" i="52"/>
  <c r="DG25" i="52"/>
  <c r="DF25" i="52"/>
  <c r="DE25" i="52"/>
  <c r="DD25" i="52"/>
  <c r="DC25" i="52"/>
  <c r="DB25" i="52"/>
  <c r="DJ23" i="52"/>
  <c r="DI23" i="52"/>
  <c r="DH23" i="52"/>
  <c r="DG23" i="52"/>
  <c r="DF23" i="52"/>
  <c r="DE23" i="52"/>
  <c r="DD23" i="52"/>
  <c r="DC23" i="52"/>
  <c r="DB23" i="52"/>
  <c r="DJ22" i="52"/>
  <c r="DI22" i="52"/>
  <c r="DH22" i="52"/>
  <c r="DG22" i="52"/>
  <c r="DF22" i="52"/>
  <c r="DE22" i="52"/>
  <c r="DD22" i="52"/>
  <c r="DC22" i="52"/>
  <c r="DB22" i="52"/>
  <c r="DJ21" i="52"/>
  <c r="DI21" i="52"/>
  <c r="DH21" i="52"/>
  <c r="DG21" i="52"/>
  <c r="DF21" i="52"/>
  <c r="DE21" i="52"/>
  <c r="DD21" i="52"/>
  <c r="DC21" i="52"/>
  <c r="DB21" i="52"/>
  <c r="DL20" i="52"/>
  <c r="DK20" i="52"/>
  <c r="DJ20" i="52"/>
  <c r="DI20" i="52"/>
  <c r="DH20" i="52"/>
  <c r="DG20" i="52"/>
  <c r="DF20" i="52"/>
  <c r="DE20" i="52"/>
  <c r="DD20" i="52"/>
  <c r="DC20" i="52"/>
  <c r="DB20" i="52"/>
  <c r="DL19" i="52"/>
  <c r="DK19" i="52"/>
  <c r="DJ19" i="52"/>
  <c r="DI19" i="52"/>
  <c r="DH19" i="52"/>
  <c r="DG19" i="52"/>
  <c r="DF19" i="52"/>
  <c r="DE19" i="52"/>
  <c r="DD19" i="52"/>
  <c r="DC19" i="52"/>
  <c r="DB19" i="52"/>
  <c r="DL18" i="52"/>
  <c r="DK18" i="52"/>
  <c r="DJ18" i="52"/>
  <c r="DI18" i="52"/>
  <c r="DH18" i="52"/>
  <c r="DG18" i="52"/>
  <c r="DF18" i="52"/>
  <c r="DE18" i="52"/>
  <c r="DD18" i="52"/>
  <c r="DC18" i="52"/>
  <c r="DB18" i="52"/>
  <c r="DL17" i="52"/>
  <c r="DK17" i="52"/>
  <c r="DJ17" i="52"/>
  <c r="DI17" i="52"/>
  <c r="DH17" i="52"/>
  <c r="DG17" i="52"/>
  <c r="DF17" i="52"/>
  <c r="DE17" i="52"/>
  <c r="DD17" i="52"/>
  <c r="DC17" i="52"/>
  <c r="DB17" i="52"/>
  <c r="DJ16" i="52"/>
  <c r="DI16" i="52"/>
  <c r="DH16" i="52"/>
  <c r="DG16" i="52"/>
  <c r="DF16" i="52"/>
  <c r="DE16" i="52"/>
  <c r="DD16" i="52"/>
  <c r="DC16" i="52"/>
  <c r="DB16" i="52"/>
  <c r="DJ15" i="52"/>
  <c r="DI15" i="52"/>
  <c r="DH15" i="52"/>
  <c r="DG15" i="52"/>
  <c r="DF15" i="52"/>
  <c r="DE15" i="52"/>
  <c r="DD15" i="52"/>
  <c r="DC15" i="52"/>
  <c r="DB15" i="52"/>
  <c r="DJ14" i="52"/>
  <c r="DI14" i="52"/>
  <c r="DH14" i="52"/>
  <c r="DG14" i="52"/>
  <c r="DF14" i="52"/>
  <c r="DE14" i="52"/>
  <c r="DD14" i="52"/>
  <c r="DC14" i="52"/>
  <c r="DB14" i="52"/>
  <c r="DL13" i="52"/>
  <c r="DK13" i="52"/>
  <c r="DJ13" i="52"/>
  <c r="DI13" i="52"/>
  <c r="DH13" i="52"/>
  <c r="DG13" i="52"/>
  <c r="DF13" i="52"/>
  <c r="DE13" i="52"/>
  <c r="DD13" i="52"/>
  <c r="DC13" i="52"/>
  <c r="DB13" i="52"/>
  <c r="DL12" i="52"/>
  <c r="DK12" i="52"/>
  <c r="DJ12" i="52"/>
  <c r="DI12" i="52"/>
  <c r="DH12" i="52"/>
  <c r="DG12" i="52"/>
  <c r="DF12" i="52"/>
  <c r="DE12" i="52"/>
  <c r="DD12" i="52"/>
  <c r="DC12" i="52"/>
  <c r="DB12" i="52"/>
  <c r="DL11" i="52"/>
  <c r="DK11" i="52"/>
  <c r="DJ11" i="52"/>
  <c r="DI11" i="52"/>
  <c r="DH11" i="52"/>
  <c r="DG11" i="52"/>
  <c r="DF11" i="52"/>
  <c r="DE11" i="52"/>
  <c r="DD11" i="52"/>
  <c r="DC11" i="52"/>
  <c r="DB11" i="52"/>
  <c r="DL10" i="52"/>
  <c r="DK10" i="52"/>
  <c r="DJ10" i="52"/>
  <c r="DI10" i="52"/>
  <c r="DH10" i="52"/>
  <c r="DG10" i="52"/>
  <c r="DF10" i="52"/>
  <c r="DE10" i="52"/>
  <c r="DD10" i="52"/>
  <c r="DC10" i="52"/>
  <c r="DB10" i="52"/>
  <c r="DL8" i="52"/>
  <c r="DK8" i="52"/>
  <c r="DJ8" i="52"/>
  <c r="DI8" i="52"/>
  <c r="DH8" i="52"/>
  <c r="DG8" i="52"/>
  <c r="DF8" i="52"/>
  <c r="DE8" i="52"/>
  <c r="DD8" i="52"/>
  <c r="DC8" i="52"/>
  <c r="DB8" i="52"/>
  <c r="AR7" i="52"/>
  <c r="CB7" i="52" s="1"/>
  <c r="AQ7" i="52"/>
  <c r="CA7" i="52" s="1"/>
  <c r="AP7" i="52"/>
  <c r="BZ7" i="52" s="1"/>
  <c r="AR5" i="52"/>
  <c r="CB5" i="52" s="1"/>
  <c r="DL5" i="52" s="1"/>
  <c r="AQ5" i="52"/>
  <c r="CA5" i="52" s="1"/>
  <c r="DK5" i="52" s="1"/>
  <c r="AP5" i="52"/>
  <c r="BZ5" i="52" s="1"/>
  <c r="DJ5" i="52" s="1"/>
  <c r="AO7" i="52"/>
  <c r="BY7" i="52" s="1"/>
  <c r="AN7" i="52"/>
  <c r="BX7" i="52" s="1"/>
  <c r="AM7" i="52"/>
  <c r="BW7" i="52" s="1"/>
  <c r="AL7" i="52"/>
  <c r="BV7" i="52" s="1"/>
  <c r="AO5" i="52"/>
  <c r="BY5" i="52" s="1"/>
  <c r="DI5" i="52" s="1"/>
  <c r="AN5" i="52"/>
  <c r="BX5" i="52" s="1"/>
  <c r="DH5" i="52" s="1"/>
  <c r="AM5" i="52"/>
  <c r="BW5" i="52" s="1"/>
  <c r="DG5" i="52" s="1"/>
  <c r="AL5" i="52"/>
  <c r="BV5" i="52" s="1"/>
  <c r="DF5" i="52" s="1"/>
  <c r="AK7" i="52"/>
  <c r="BU7" i="52" s="1"/>
  <c r="AJ7" i="52"/>
  <c r="BT7" i="52" s="1"/>
  <c r="AI7" i="52"/>
  <c r="BS7" i="52" s="1"/>
  <c r="AH7" i="52"/>
  <c r="BR7" i="52" s="1"/>
  <c r="AG7" i="52"/>
  <c r="BQ7" i="52" s="1"/>
  <c r="AF7" i="52"/>
  <c r="BP7" i="52" s="1"/>
  <c r="AE7" i="52"/>
  <c r="BO7" i="52" s="1"/>
  <c r="AD7" i="52"/>
  <c r="BN7" i="52" s="1"/>
  <c r="AC7" i="52"/>
  <c r="BM7" i="52" s="1"/>
  <c r="AB7" i="52"/>
  <c r="BL7" i="52" s="1"/>
  <c r="AA7" i="52"/>
  <c r="BK7" i="52" s="1"/>
  <c r="Z7" i="52"/>
  <c r="BJ7" i="52" s="1"/>
  <c r="Y7" i="52"/>
  <c r="BI7" i="52" s="1"/>
  <c r="X7" i="52"/>
  <c r="BH7" i="52" s="1"/>
  <c r="W7" i="52"/>
  <c r="BG7" i="52" s="1"/>
  <c r="V7" i="52"/>
  <c r="BF7" i="52" s="1"/>
  <c r="U7" i="52"/>
  <c r="BE7" i="52" s="1"/>
  <c r="T7" i="52"/>
  <c r="BD7" i="52" s="1"/>
  <c r="S7" i="52"/>
  <c r="BC7" i="52" s="1"/>
  <c r="R7" i="52"/>
  <c r="BB7" i="52" s="1"/>
  <c r="Q7" i="52"/>
  <c r="BA7" i="52" s="1"/>
  <c r="P7" i="52"/>
  <c r="AZ7" i="52" s="1"/>
  <c r="O7" i="52"/>
  <c r="AY7" i="52" s="1"/>
  <c r="N7" i="52"/>
  <c r="AX7" i="52" s="1"/>
  <c r="M7" i="52"/>
  <c r="AW7" i="52" s="1"/>
  <c r="L7" i="52"/>
  <c r="AV7" i="52" s="1"/>
  <c r="K7" i="52"/>
  <c r="AU7" i="52" s="1"/>
  <c r="AK5" i="52"/>
  <c r="BU5" i="52" s="1"/>
  <c r="DE5" i="52" s="1"/>
  <c r="AJ5" i="52"/>
  <c r="BT5" i="52" s="1"/>
  <c r="DD5" i="52" s="1"/>
  <c r="AI5" i="52"/>
  <c r="BS5" i="52" s="1"/>
  <c r="DC5" i="52" s="1"/>
  <c r="AH5" i="52"/>
  <c r="BR5" i="52" s="1"/>
  <c r="DB5" i="52" s="1"/>
  <c r="AG5" i="52"/>
  <c r="BQ5" i="52" s="1"/>
  <c r="DA5" i="52" s="1"/>
  <c r="AF5" i="52"/>
  <c r="BP5" i="52" s="1"/>
  <c r="CZ5" i="52" s="1"/>
  <c r="AE5" i="52"/>
  <c r="BO5" i="52" s="1"/>
  <c r="CY5" i="52" s="1"/>
  <c r="AD5" i="52"/>
  <c r="BN5" i="52" s="1"/>
  <c r="CX5" i="52" s="1"/>
  <c r="AC5" i="52"/>
  <c r="BM5" i="52" s="1"/>
  <c r="CW5" i="52" s="1"/>
  <c r="AB5" i="52"/>
  <c r="BL5" i="52" s="1"/>
  <c r="CV5" i="52" s="1"/>
  <c r="AA5" i="52"/>
  <c r="BK5" i="52" s="1"/>
  <c r="CU5" i="52" s="1"/>
  <c r="Z5" i="52"/>
  <c r="BJ5" i="52" s="1"/>
  <c r="CT5" i="52" s="1"/>
  <c r="Y5" i="52"/>
  <c r="BI5" i="52" s="1"/>
  <c r="CS5" i="52" s="1"/>
  <c r="X5" i="52"/>
  <c r="BH5" i="52" s="1"/>
  <c r="CR5" i="52" s="1"/>
  <c r="W5" i="52"/>
  <c r="BG5" i="52" s="1"/>
  <c r="CQ5" i="52" s="1"/>
  <c r="V5" i="52"/>
  <c r="BF5" i="52" s="1"/>
  <c r="CP5" i="52" s="1"/>
  <c r="U5" i="52"/>
  <c r="BE5" i="52" s="1"/>
  <c r="CO5" i="52" s="1"/>
  <c r="T5" i="52"/>
  <c r="BD5" i="52" s="1"/>
  <c r="CN5" i="52" s="1"/>
  <c r="S5" i="52"/>
  <c r="BC5" i="52" s="1"/>
  <c r="CM5" i="52" s="1"/>
  <c r="R5" i="52"/>
  <c r="BB5" i="52" s="1"/>
  <c r="CL5" i="52" s="1"/>
  <c r="Q5" i="52"/>
  <c r="BA5" i="52" s="1"/>
  <c r="CK5" i="52" s="1"/>
  <c r="P5" i="52"/>
  <c r="AZ5" i="52" s="1"/>
  <c r="CJ5" i="52" s="1"/>
  <c r="O5" i="52"/>
  <c r="AY5" i="52" s="1"/>
  <c r="CI5" i="52" s="1"/>
  <c r="N5" i="52"/>
  <c r="AX5" i="52" s="1"/>
  <c r="CH5" i="52" s="1"/>
  <c r="M5" i="52"/>
  <c r="AW5" i="52" s="1"/>
  <c r="CG5" i="52" s="1"/>
  <c r="L5" i="52"/>
  <c r="AV5" i="52" s="1"/>
  <c r="CF5" i="52" s="1"/>
  <c r="K5" i="52"/>
  <c r="AU5" i="52" s="1"/>
  <c r="CE5" i="52" s="1"/>
  <c r="CZ98" i="52"/>
  <c r="CY98" i="52"/>
  <c r="CX98" i="52"/>
  <c r="CW98" i="52"/>
  <c r="CV98" i="52"/>
  <c r="CU98" i="52"/>
  <c r="CT98" i="52"/>
  <c r="CS98" i="52"/>
  <c r="CR98" i="52"/>
  <c r="CQ98" i="52"/>
  <c r="CP98" i="52"/>
  <c r="CO98" i="52"/>
  <c r="CN98" i="52"/>
  <c r="CM98" i="52"/>
  <c r="CL98" i="52"/>
  <c r="CK98" i="52"/>
  <c r="CJ98" i="52"/>
  <c r="CI98" i="52"/>
  <c r="CH98" i="52"/>
  <c r="CG98" i="52"/>
  <c r="CF98" i="52"/>
  <c r="CE98" i="52"/>
  <c r="CZ97" i="52"/>
  <c r="CY97" i="52"/>
  <c r="CX97" i="52"/>
  <c r="CW97" i="52"/>
  <c r="CV97" i="52"/>
  <c r="CU97" i="52"/>
  <c r="CT97" i="52"/>
  <c r="CS97" i="52"/>
  <c r="CR97" i="52"/>
  <c r="CQ97" i="52"/>
  <c r="CP97" i="52"/>
  <c r="CO97" i="52"/>
  <c r="CN97" i="52"/>
  <c r="CM97" i="52"/>
  <c r="CL97" i="52"/>
  <c r="CK97" i="52"/>
  <c r="CJ97" i="52"/>
  <c r="CI97" i="52"/>
  <c r="CH97" i="52"/>
  <c r="CG97" i="52"/>
  <c r="CF97" i="52"/>
  <c r="CE97" i="52"/>
  <c r="CZ96" i="52"/>
  <c r="CY96" i="52"/>
  <c r="CX96" i="52"/>
  <c r="CW96" i="52"/>
  <c r="CV96" i="52"/>
  <c r="CU96" i="52"/>
  <c r="CT96" i="52"/>
  <c r="CS96" i="52"/>
  <c r="CR96" i="52"/>
  <c r="CQ96" i="52"/>
  <c r="CP96" i="52"/>
  <c r="CO96" i="52"/>
  <c r="CN96" i="52"/>
  <c r="CM96" i="52"/>
  <c r="CL96" i="52"/>
  <c r="CK96" i="52"/>
  <c r="CJ96" i="52"/>
  <c r="CI96" i="52"/>
  <c r="CH96" i="52"/>
  <c r="CG96" i="52"/>
  <c r="CF96" i="52"/>
  <c r="CE96" i="52"/>
  <c r="CZ95" i="52"/>
  <c r="CY95" i="52"/>
  <c r="CX95" i="52"/>
  <c r="CW95" i="52"/>
  <c r="CV95" i="52"/>
  <c r="CU95" i="52"/>
  <c r="CT95" i="52"/>
  <c r="CS95" i="52"/>
  <c r="CR95" i="52"/>
  <c r="CQ95" i="52"/>
  <c r="CP95" i="52"/>
  <c r="CO95" i="52"/>
  <c r="CN95" i="52"/>
  <c r="CM95" i="52"/>
  <c r="CL95" i="52"/>
  <c r="CK95" i="52"/>
  <c r="CJ95" i="52"/>
  <c r="CI95" i="52"/>
  <c r="CH95" i="52"/>
  <c r="CG95" i="52"/>
  <c r="CF95" i="52"/>
  <c r="CE95" i="52"/>
  <c r="CZ94" i="52"/>
  <c r="CY94" i="52"/>
  <c r="CX94" i="52"/>
  <c r="CW94" i="52"/>
  <c r="CV94" i="52"/>
  <c r="CU94" i="52"/>
  <c r="CT94" i="52"/>
  <c r="CS94" i="52"/>
  <c r="CR94" i="52"/>
  <c r="CQ94" i="52"/>
  <c r="CP94" i="52"/>
  <c r="CO94" i="52"/>
  <c r="CN94" i="52"/>
  <c r="CM94" i="52"/>
  <c r="CL94" i="52"/>
  <c r="CK94" i="52"/>
  <c r="CJ94" i="52"/>
  <c r="CI94" i="52"/>
  <c r="CH94" i="52"/>
  <c r="CG94" i="52"/>
  <c r="CF94" i="52"/>
  <c r="CE94" i="52"/>
  <c r="CZ93" i="52"/>
  <c r="CY93" i="52"/>
  <c r="CX93" i="52"/>
  <c r="CW93" i="52"/>
  <c r="CV93" i="52"/>
  <c r="CU93" i="52"/>
  <c r="CT93" i="52"/>
  <c r="CS93" i="52"/>
  <c r="CR93" i="52"/>
  <c r="CQ93" i="52"/>
  <c r="CP93" i="52"/>
  <c r="CO93" i="52"/>
  <c r="CN93" i="52"/>
  <c r="CM93" i="52"/>
  <c r="CL93" i="52"/>
  <c r="CK93" i="52"/>
  <c r="CJ93" i="52"/>
  <c r="CI93" i="52"/>
  <c r="CH93" i="52"/>
  <c r="CG93" i="52"/>
  <c r="CF93" i="52"/>
  <c r="CE93" i="52"/>
  <c r="CZ92" i="52"/>
  <c r="CY92" i="52"/>
  <c r="CX92" i="52"/>
  <c r="CW92" i="52"/>
  <c r="CV92" i="52"/>
  <c r="CU92" i="52"/>
  <c r="CT92" i="52"/>
  <c r="CS92" i="52"/>
  <c r="CR92" i="52"/>
  <c r="CQ92" i="52"/>
  <c r="CP92" i="52"/>
  <c r="CO92" i="52"/>
  <c r="CN92" i="52"/>
  <c r="CM92" i="52"/>
  <c r="CL92" i="52"/>
  <c r="CK92" i="52"/>
  <c r="CJ92" i="52"/>
  <c r="CI92" i="52"/>
  <c r="CH92" i="52"/>
  <c r="CG92" i="52"/>
  <c r="CF92" i="52"/>
  <c r="CE92" i="52"/>
  <c r="CZ91" i="52"/>
  <c r="CY91" i="52"/>
  <c r="CX91" i="52"/>
  <c r="CW91" i="52"/>
  <c r="CV91" i="52"/>
  <c r="CU91" i="52"/>
  <c r="CT91" i="52"/>
  <c r="CS91" i="52"/>
  <c r="CR91" i="52"/>
  <c r="CQ91" i="52"/>
  <c r="CP91" i="52"/>
  <c r="CO91" i="52"/>
  <c r="CN91" i="52"/>
  <c r="CM91" i="52"/>
  <c r="CL91" i="52"/>
  <c r="CK91" i="52"/>
  <c r="CJ91" i="52"/>
  <c r="CI91" i="52"/>
  <c r="CH91" i="52"/>
  <c r="CG91" i="52"/>
  <c r="CF91" i="52"/>
  <c r="CE91" i="52"/>
  <c r="CZ90" i="52"/>
  <c r="CY90" i="52"/>
  <c r="CX90" i="52"/>
  <c r="CW90" i="52"/>
  <c r="CV90" i="52"/>
  <c r="CU90" i="52"/>
  <c r="CT90" i="52"/>
  <c r="CS90" i="52"/>
  <c r="CR90" i="52"/>
  <c r="CQ90" i="52"/>
  <c r="CP90" i="52"/>
  <c r="CO90" i="52"/>
  <c r="CN90" i="52"/>
  <c r="CM90" i="52"/>
  <c r="CL90" i="52"/>
  <c r="CK90" i="52"/>
  <c r="CJ90" i="52"/>
  <c r="CI90" i="52"/>
  <c r="CH90" i="52"/>
  <c r="CG90" i="52"/>
  <c r="CF90" i="52"/>
  <c r="CE90" i="52"/>
  <c r="CZ88" i="52"/>
  <c r="CY88" i="52"/>
  <c r="CX88" i="52"/>
  <c r="CW88" i="52"/>
  <c r="CV88" i="52"/>
  <c r="CU88" i="52"/>
  <c r="CS88" i="52"/>
  <c r="CR88" i="52"/>
  <c r="CQ88" i="52"/>
  <c r="CP88" i="52"/>
  <c r="CO88" i="52"/>
  <c r="CN88" i="52"/>
  <c r="CM88" i="52"/>
  <c r="CL88" i="52"/>
  <c r="CK88" i="52"/>
  <c r="CJ88" i="52"/>
  <c r="CI88" i="52"/>
  <c r="CH88" i="52"/>
  <c r="CG88" i="52"/>
  <c r="CF88" i="52"/>
  <c r="CE88" i="52"/>
  <c r="CZ87" i="52"/>
  <c r="CY87" i="52"/>
  <c r="CX87" i="52"/>
  <c r="CW87" i="52"/>
  <c r="CV87" i="52"/>
  <c r="CU87" i="52"/>
  <c r="CS87" i="52"/>
  <c r="CR87" i="52"/>
  <c r="CQ87" i="52"/>
  <c r="CP87" i="52"/>
  <c r="CO87" i="52"/>
  <c r="CN87" i="52"/>
  <c r="CM87" i="52"/>
  <c r="CL87" i="52"/>
  <c r="CK87" i="52"/>
  <c r="CJ87" i="52"/>
  <c r="CI87" i="52"/>
  <c r="CH87" i="52"/>
  <c r="CG87" i="52"/>
  <c r="CF87" i="52"/>
  <c r="CE87" i="52"/>
  <c r="CZ86" i="52"/>
  <c r="CY86" i="52"/>
  <c r="CX86" i="52"/>
  <c r="CW86" i="52"/>
  <c r="CV86" i="52"/>
  <c r="CU86" i="52"/>
  <c r="CS86" i="52"/>
  <c r="CR86" i="52"/>
  <c r="CQ86" i="52"/>
  <c r="CP86" i="52"/>
  <c r="CO86" i="52"/>
  <c r="CN86" i="52"/>
  <c r="CM86" i="52"/>
  <c r="CL86" i="52"/>
  <c r="CK86" i="52"/>
  <c r="CJ86" i="52"/>
  <c r="CI86" i="52"/>
  <c r="CH86" i="52"/>
  <c r="CG86" i="52"/>
  <c r="CF86" i="52"/>
  <c r="CE86" i="52"/>
  <c r="CZ85" i="52"/>
  <c r="CY85" i="52"/>
  <c r="CX85" i="52"/>
  <c r="CW85" i="52"/>
  <c r="CV85" i="52"/>
  <c r="CU85" i="52"/>
  <c r="CS85" i="52"/>
  <c r="CR85" i="52"/>
  <c r="CQ85" i="52"/>
  <c r="CP85" i="52"/>
  <c r="CO85" i="52"/>
  <c r="CN85" i="52"/>
  <c r="CM85" i="52"/>
  <c r="CL85" i="52"/>
  <c r="CK85" i="52"/>
  <c r="CJ85" i="52"/>
  <c r="CI85" i="52"/>
  <c r="CH85" i="52"/>
  <c r="CG85" i="52"/>
  <c r="CF85" i="52"/>
  <c r="CE85" i="52"/>
  <c r="CZ84" i="52"/>
  <c r="CY84" i="52"/>
  <c r="CX84" i="52"/>
  <c r="CW84" i="52"/>
  <c r="CV84" i="52"/>
  <c r="CU84" i="52"/>
  <c r="CS84" i="52"/>
  <c r="CR84" i="52"/>
  <c r="CQ84" i="52"/>
  <c r="CP84" i="52"/>
  <c r="CO84" i="52"/>
  <c r="CN84" i="52"/>
  <c r="CM84" i="52"/>
  <c r="CL84" i="52"/>
  <c r="CK84" i="52"/>
  <c r="CJ84" i="52"/>
  <c r="CI84" i="52"/>
  <c r="CH84" i="52"/>
  <c r="CG84" i="52"/>
  <c r="CF84" i="52"/>
  <c r="CE84" i="52"/>
  <c r="CZ83" i="52"/>
  <c r="CY83" i="52"/>
  <c r="CX83" i="52"/>
  <c r="CW83" i="52"/>
  <c r="CV83" i="52"/>
  <c r="CU83" i="52"/>
  <c r="CS83" i="52"/>
  <c r="CR83" i="52"/>
  <c r="CQ83" i="52"/>
  <c r="CP83" i="52"/>
  <c r="CO83" i="52"/>
  <c r="CN83" i="52"/>
  <c r="CM83" i="52"/>
  <c r="CL83" i="52"/>
  <c r="CK83" i="52"/>
  <c r="CJ83" i="52"/>
  <c r="CI83" i="52"/>
  <c r="CH83" i="52"/>
  <c r="CG83" i="52"/>
  <c r="CF83" i="52"/>
  <c r="CE83" i="52"/>
  <c r="DA82" i="52"/>
  <c r="CZ82" i="52"/>
  <c r="CY82" i="52"/>
  <c r="CX82" i="52"/>
  <c r="CW82" i="52"/>
  <c r="CV82" i="52"/>
  <c r="CU82" i="52"/>
  <c r="CT82" i="52"/>
  <c r="CS82" i="52"/>
  <c r="CR82" i="52"/>
  <c r="CQ82" i="52"/>
  <c r="CP82" i="52"/>
  <c r="CO82" i="52"/>
  <c r="CN82" i="52"/>
  <c r="CM82" i="52"/>
  <c r="CL82" i="52"/>
  <c r="CK82" i="52"/>
  <c r="CJ82" i="52"/>
  <c r="CI82" i="52"/>
  <c r="CH82" i="52"/>
  <c r="CG82" i="52"/>
  <c r="CF82" i="52"/>
  <c r="CE82" i="52"/>
  <c r="DA81" i="52"/>
  <c r="CZ81" i="52"/>
  <c r="CY81" i="52"/>
  <c r="CX81" i="52"/>
  <c r="CW81" i="52"/>
  <c r="CV81" i="52"/>
  <c r="CU81" i="52"/>
  <c r="CT81" i="52"/>
  <c r="CS81" i="52"/>
  <c r="CR81" i="52"/>
  <c r="CQ81" i="52"/>
  <c r="CP81" i="52"/>
  <c r="CO81" i="52"/>
  <c r="CN81" i="52"/>
  <c r="CM81" i="52"/>
  <c r="CL81" i="52"/>
  <c r="CK81" i="52"/>
  <c r="CJ81" i="52"/>
  <c r="CI81" i="52"/>
  <c r="CH81" i="52"/>
  <c r="CG81" i="52"/>
  <c r="CF81" i="52"/>
  <c r="CE81" i="52"/>
  <c r="DA80" i="52"/>
  <c r="CZ80" i="52"/>
  <c r="CY80" i="52"/>
  <c r="CX80" i="52"/>
  <c r="CW80" i="52"/>
  <c r="CV80" i="52"/>
  <c r="CU80" i="52"/>
  <c r="CT80" i="52"/>
  <c r="CS80" i="52"/>
  <c r="CR80" i="52"/>
  <c r="CQ80" i="52"/>
  <c r="CP80" i="52"/>
  <c r="CO80" i="52"/>
  <c r="CN80" i="52"/>
  <c r="CM80" i="52"/>
  <c r="CL80" i="52"/>
  <c r="CK80" i="52"/>
  <c r="CJ80" i="52"/>
  <c r="CI80" i="52"/>
  <c r="CH80" i="52"/>
  <c r="CG80" i="52"/>
  <c r="CF80" i="52"/>
  <c r="CE80" i="52"/>
  <c r="DA79" i="52"/>
  <c r="CZ79" i="52"/>
  <c r="CY79" i="52"/>
  <c r="CX79" i="52"/>
  <c r="CW79" i="52"/>
  <c r="CV79" i="52"/>
  <c r="CU79" i="52"/>
  <c r="CT79" i="52"/>
  <c r="CS79" i="52"/>
  <c r="CR79" i="52"/>
  <c r="CQ79" i="52"/>
  <c r="CP79" i="52"/>
  <c r="CO79" i="52"/>
  <c r="CN79" i="52"/>
  <c r="CM79" i="52"/>
  <c r="CL79" i="52"/>
  <c r="CK79" i="52"/>
  <c r="CJ79" i="52"/>
  <c r="CI79" i="52"/>
  <c r="CH79" i="52"/>
  <c r="CG79" i="52"/>
  <c r="CF79" i="52"/>
  <c r="CE79" i="52"/>
  <c r="DA78" i="52"/>
  <c r="CZ78" i="52"/>
  <c r="CY78" i="52"/>
  <c r="CX78" i="52"/>
  <c r="CW78" i="52"/>
  <c r="CV78" i="52"/>
  <c r="CU78" i="52"/>
  <c r="CT78" i="52"/>
  <c r="CS78" i="52"/>
  <c r="CR78" i="52"/>
  <c r="CQ78" i="52"/>
  <c r="CP78" i="52"/>
  <c r="CO78" i="52"/>
  <c r="CN78" i="52"/>
  <c r="CM78" i="52"/>
  <c r="CL78" i="52"/>
  <c r="CK78" i="52"/>
  <c r="CJ78" i="52"/>
  <c r="CI78" i="52"/>
  <c r="CH78" i="52"/>
  <c r="CG78" i="52"/>
  <c r="CF78" i="52"/>
  <c r="CE78" i="52"/>
  <c r="DA77" i="52"/>
  <c r="CZ77" i="52"/>
  <c r="CY77" i="52"/>
  <c r="CX77" i="52"/>
  <c r="CW77" i="52"/>
  <c r="CV77" i="52"/>
  <c r="CU77" i="52"/>
  <c r="CT77" i="52"/>
  <c r="CS77" i="52"/>
  <c r="CR77" i="52"/>
  <c r="CQ77" i="52"/>
  <c r="CP77" i="52"/>
  <c r="CO77" i="52"/>
  <c r="CN77" i="52"/>
  <c r="CM77" i="52"/>
  <c r="CL77" i="52"/>
  <c r="CK77" i="52"/>
  <c r="CJ77" i="52"/>
  <c r="CI77" i="52"/>
  <c r="CH77" i="52"/>
  <c r="CG77" i="52"/>
  <c r="CF77" i="52"/>
  <c r="CE77" i="52"/>
  <c r="CZ75" i="52"/>
  <c r="CY75" i="52"/>
  <c r="CX75" i="52"/>
  <c r="CW75" i="52"/>
  <c r="CV75" i="52"/>
  <c r="CU75" i="52"/>
  <c r="CT75" i="52"/>
  <c r="CS75" i="52"/>
  <c r="CR75" i="52"/>
  <c r="CQ75" i="52"/>
  <c r="CP75" i="52"/>
  <c r="CO75" i="52"/>
  <c r="CL75" i="52"/>
  <c r="CK75" i="52"/>
  <c r="CJ75" i="52"/>
  <c r="CI75" i="52"/>
  <c r="CH75" i="52"/>
  <c r="CG75" i="52"/>
  <c r="CF75" i="52"/>
  <c r="CE75" i="52"/>
  <c r="DA74" i="52"/>
  <c r="CZ74" i="52"/>
  <c r="CY74" i="52"/>
  <c r="CX74" i="52"/>
  <c r="CW74" i="52"/>
  <c r="CV74" i="52"/>
  <c r="CU74" i="52"/>
  <c r="CT74" i="52"/>
  <c r="CS74" i="52"/>
  <c r="CR74" i="52"/>
  <c r="CQ74" i="52"/>
  <c r="CP74" i="52"/>
  <c r="CO74" i="52"/>
  <c r="CL74" i="52"/>
  <c r="CK74" i="52"/>
  <c r="CJ74" i="52"/>
  <c r="CI74" i="52"/>
  <c r="CH74" i="52"/>
  <c r="CG74" i="52"/>
  <c r="CF74" i="52"/>
  <c r="CE74" i="52"/>
  <c r="DA73" i="52"/>
  <c r="CZ73" i="52"/>
  <c r="CY73" i="52"/>
  <c r="CX73" i="52"/>
  <c r="CW73" i="52"/>
  <c r="CV73" i="52"/>
  <c r="CU73" i="52"/>
  <c r="CT73" i="52"/>
  <c r="CS73" i="52"/>
  <c r="CR73" i="52"/>
  <c r="CQ73" i="52"/>
  <c r="CP73" i="52"/>
  <c r="CO73" i="52"/>
  <c r="CL73" i="52"/>
  <c r="CK73" i="52"/>
  <c r="CJ73" i="52"/>
  <c r="CI73" i="52"/>
  <c r="CH73" i="52"/>
  <c r="CG73" i="52"/>
  <c r="CF73" i="52"/>
  <c r="CE73" i="52"/>
  <c r="CZ71" i="52"/>
  <c r="CY71" i="52"/>
  <c r="CX71" i="52"/>
  <c r="CW71" i="52"/>
  <c r="CV71" i="52"/>
  <c r="CU71" i="52"/>
  <c r="CT71" i="52"/>
  <c r="CS71" i="52"/>
  <c r="CR71" i="52"/>
  <c r="CQ71" i="52"/>
  <c r="CP71" i="52"/>
  <c r="CO71" i="52"/>
  <c r="CN71" i="52"/>
  <c r="CM71" i="52"/>
  <c r="CL71" i="52"/>
  <c r="CK71" i="52"/>
  <c r="CJ71" i="52"/>
  <c r="CI71" i="52"/>
  <c r="CH71" i="52"/>
  <c r="CG71" i="52"/>
  <c r="CF71" i="52"/>
  <c r="CE71" i="52"/>
  <c r="CZ70" i="52"/>
  <c r="CY70" i="52"/>
  <c r="CX70" i="52"/>
  <c r="CW70" i="52"/>
  <c r="CV70" i="52"/>
  <c r="CU70" i="52"/>
  <c r="CT70" i="52"/>
  <c r="CS70" i="52"/>
  <c r="CR70" i="52"/>
  <c r="CQ70" i="52"/>
  <c r="CP70" i="52"/>
  <c r="CO70" i="52"/>
  <c r="CN70" i="52"/>
  <c r="CM70" i="52"/>
  <c r="CL70" i="52"/>
  <c r="CK70" i="52"/>
  <c r="CJ70" i="52"/>
  <c r="CI70" i="52"/>
  <c r="CH70" i="52"/>
  <c r="CG70" i="52"/>
  <c r="CF70" i="52"/>
  <c r="CE70" i="52"/>
  <c r="CZ69" i="52"/>
  <c r="CY69" i="52"/>
  <c r="CX69" i="52"/>
  <c r="CW69" i="52"/>
  <c r="CV69" i="52"/>
  <c r="CU69" i="52"/>
  <c r="CT69" i="52"/>
  <c r="CS69" i="52"/>
  <c r="CR69" i="52"/>
  <c r="CQ69" i="52"/>
  <c r="CP69" i="52"/>
  <c r="CO69" i="52"/>
  <c r="CN69" i="52"/>
  <c r="CM69" i="52"/>
  <c r="CL69" i="52"/>
  <c r="CK69" i="52"/>
  <c r="CJ69" i="52"/>
  <c r="CI69" i="52"/>
  <c r="CH69" i="52"/>
  <c r="CG69" i="52"/>
  <c r="CF69" i="52"/>
  <c r="CE69" i="52"/>
  <c r="CZ68" i="52"/>
  <c r="CY68" i="52"/>
  <c r="CX68" i="52"/>
  <c r="CW68" i="52"/>
  <c r="CV68" i="52"/>
  <c r="CU68" i="52"/>
  <c r="CS68" i="52"/>
  <c r="CR68" i="52"/>
  <c r="CQ68" i="52"/>
  <c r="CP68" i="52"/>
  <c r="CO68" i="52"/>
  <c r="CN68" i="52"/>
  <c r="CM68" i="52"/>
  <c r="CL68" i="52"/>
  <c r="CK68" i="52"/>
  <c r="CJ68" i="52"/>
  <c r="CI68" i="52"/>
  <c r="CH68" i="52"/>
  <c r="CG68" i="52"/>
  <c r="CF68" i="52"/>
  <c r="CE68" i="52"/>
  <c r="CZ67" i="52"/>
  <c r="CY67" i="52"/>
  <c r="CX67" i="52"/>
  <c r="CW67" i="52"/>
  <c r="CV67" i="52"/>
  <c r="CU67" i="52"/>
  <c r="CS67" i="52"/>
  <c r="CR67" i="52"/>
  <c r="CQ67" i="52"/>
  <c r="CP67" i="52"/>
  <c r="CO67" i="52"/>
  <c r="CN67" i="52"/>
  <c r="CM67" i="52"/>
  <c r="CL67" i="52"/>
  <c r="CK67" i="52"/>
  <c r="CJ67" i="52"/>
  <c r="CI67" i="52"/>
  <c r="CH67" i="52"/>
  <c r="CG67" i="52"/>
  <c r="CF67" i="52"/>
  <c r="CE67" i="52"/>
  <c r="CZ66" i="52"/>
  <c r="CY66" i="52"/>
  <c r="CX66" i="52"/>
  <c r="CW66" i="52"/>
  <c r="CV66" i="52"/>
  <c r="CU66" i="52"/>
  <c r="CS66" i="52"/>
  <c r="CR66" i="52"/>
  <c r="CQ66" i="52"/>
  <c r="CP66" i="52"/>
  <c r="CO66" i="52"/>
  <c r="CN66" i="52"/>
  <c r="CM66" i="52"/>
  <c r="CL66" i="52"/>
  <c r="CK66" i="52"/>
  <c r="CJ66" i="52"/>
  <c r="CI66" i="52"/>
  <c r="CH66" i="52"/>
  <c r="CG66" i="52"/>
  <c r="CF66" i="52"/>
  <c r="CE66" i="52"/>
  <c r="CZ65" i="52"/>
  <c r="CY65" i="52"/>
  <c r="CX65" i="52"/>
  <c r="CW65" i="52"/>
  <c r="CV65" i="52"/>
  <c r="CU65" i="52"/>
  <c r="CS65" i="52"/>
  <c r="CR65" i="52"/>
  <c r="CQ65" i="52"/>
  <c r="CP65" i="52"/>
  <c r="CO65" i="52"/>
  <c r="CN65" i="52"/>
  <c r="CM65" i="52"/>
  <c r="CL65" i="52"/>
  <c r="CK65" i="52"/>
  <c r="CJ65" i="52"/>
  <c r="CI65" i="52"/>
  <c r="CH65" i="52"/>
  <c r="CG65" i="52"/>
  <c r="CF65" i="52"/>
  <c r="CE65" i="52"/>
  <c r="CZ64" i="52"/>
  <c r="CY64" i="52"/>
  <c r="CX64" i="52"/>
  <c r="CW64" i="52"/>
  <c r="CV64" i="52"/>
  <c r="CU64" i="52"/>
  <c r="CS64" i="52"/>
  <c r="CR64" i="52"/>
  <c r="CQ64" i="52"/>
  <c r="CP64" i="52"/>
  <c r="CO64" i="52"/>
  <c r="CN64" i="52"/>
  <c r="CM64" i="52"/>
  <c r="CL64" i="52"/>
  <c r="CK64" i="52"/>
  <c r="CJ64" i="52"/>
  <c r="CI64" i="52"/>
  <c r="CH64" i="52"/>
  <c r="CG64" i="52"/>
  <c r="CF64" i="52"/>
  <c r="CE64" i="52"/>
  <c r="CZ63" i="52"/>
  <c r="CY63" i="52"/>
  <c r="CX63" i="52"/>
  <c r="CW63" i="52"/>
  <c r="CV63" i="52"/>
  <c r="CU63" i="52"/>
  <c r="CS63" i="52"/>
  <c r="CR63" i="52"/>
  <c r="CQ63" i="52"/>
  <c r="CP63" i="52"/>
  <c r="CO63" i="52"/>
  <c r="CN63" i="52"/>
  <c r="CM63" i="52"/>
  <c r="CL63" i="52"/>
  <c r="CK63" i="52"/>
  <c r="CJ63" i="52"/>
  <c r="CI63" i="52"/>
  <c r="CH63" i="52"/>
  <c r="CG63" i="52"/>
  <c r="CF63" i="52"/>
  <c r="CE63" i="52"/>
  <c r="DA62" i="52"/>
  <c r="CZ62" i="52"/>
  <c r="CY62" i="52"/>
  <c r="CX62" i="52"/>
  <c r="CW62" i="52"/>
  <c r="CV62" i="52"/>
  <c r="CU62" i="52"/>
  <c r="CT62" i="52"/>
  <c r="CS62" i="52"/>
  <c r="CR62" i="52"/>
  <c r="CQ62" i="52"/>
  <c r="CP62" i="52"/>
  <c r="CO62" i="52"/>
  <c r="CN62" i="52"/>
  <c r="CM62" i="52"/>
  <c r="CL62" i="52"/>
  <c r="CK62" i="52"/>
  <c r="CJ62" i="52"/>
  <c r="DA61" i="52"/>
  <c r="CZ61" i="52"/>
  <c r="CY61" i="52"/>
  <c r="CX61" i="52"/>
  <c r="CW61" i="52"/>
  <c r="CV61" i="52"/>
  <c r="CU61" i="52"/>
  <c r="CT61" i="52"/>
  <c r="CS61" i="52"/>
  <c r="CR61" i="52"/>
  <c r="CQ61" i="52"/>
  <c r="CP61" i="52"/>
  <c r="CO61" i="52"/>
  <c r="CN61" i="52"/>
  <c r="CM61" i="52"/>
  <c r="CL61" i="52"/>
  <c r="CK61" i="52"/>
  <c r="CJ61" i="52"/>
  <c r="DA60" i="52"/>
  <c r="CZ60" i="52"/>
  <c r="CY60" i="52"/>
  <c r="CX60" i="52"/>
  <c r="CW60" i="52"/>
  <c r="CV60" i="52"/>
  <c r="CU60" i="52"/>
  <c r="CT60" i="52"/>
  <c r="CS60" i="52"/>
  <c r="CR60" i="52"/>
  <c r="CQ60" i="52"/>
  <c r="CP60" i="52"/>
  <c r="CO60" i="52"/>
  <c r="CN60" i="52"/>
  <c r="CM60" i="52"/>
  <c r="CL60" i="52"/>
  <c r="CK60" i="52"/>
  <c r="CJ60" i="52"/>
  <c r="CZ59" i="52"/>
  <c r="CY59" i="52"/>
  <c r="CX59" i="52"/>
  <c r="CW59" i="52"/>
  <c r="CV59" i="52"/>
  <c r="CU59" i="52"/>
  <c r="CT59" i="52"/>
  <c r="CS59" i="52"/>
  <c r="CR59" i="52"/>
  <c r="CQ59" i="52"/>
  <c r="CP59" i="52"/>
  <c r="CO59" i="52"/>
  <c r="CN59" i="52"/>
  <c r="CM59" i="52"/>
  <c r="CL59" i="52"/>
  <c r="CK59" i="52"/>
  <c r="CJ59" i="52"/>
  <c r="CZ58" i="52"/>
  <c r="CY58" i="52"/>
  <c r="CX58" i="52"/>
  <c r="CW58" i="52"/>
  <c r="CV58" i="52"/>
  <c r="CU58" i="52"/>
  <c r="CT58" i="52"/>
  <c r="CS58" i="52"/>
  <c r="CR58" i="52"/>
  <c r="CQ58" i="52"/>
  <c r="CP58" i="52"/>
  <c r="CO58" i="52"/>
  <c r="CN58" i="52"/>
  <c r="CM58" i="52"/>
  <c r="CL58" i="52"/>
  <c r="CK58" i="52"/>
  <c r="CJ58" i="52"/>
  <c r="CZ57" i="52"/>
  <c r="CY57" i="52"/>
  <c r="CX57" i="52"/>
  <c r="CW57" i="52"/>
  <c r="CV57" i="52"/>
  <c r="CU57" i="52"/>
  <c r="CT57" i="52"/>
  <c r="CS57" i="52"/>
  <c r="CR57" i="52"/>
  <c r="CQ57" i="52"/>
  <c r="CP57" i="52"/>
  <c r="CO57" i="52"/>
  <c r="CN57" i="52"/>
  <c r="CM57" i="52"/>
  <c r="CL57" i="52"/>
  <c r="CK57" i="52"/>
  <c r="CJ57" i="52"/>
  <c r="DA56" i="52"/>
  <c r="CZ56" i="52"/>
  <c r="CY56" i="52"/>
  <c r="CX56" i="52"/>
  <c r="CW56" i="52"/>
  <c r="CV56" i="52"/>
  <c r="CU56" i="52"/>
  <c r="CT56" i="52"/>
  <c r="CS56" i="52"/>
  <c r="CR56" i="52"/>
  <c r="CQ56" i="52"/>
  <c r="CP56" i="52"/>
  <c r="CO56" i="52"/>
  <c r="CN56" i="52"/>
  <c r="CM56" i="52"/>
  <c r="CL56" i="52"/>
  <c r="CK56" i="52"/>
  <c r="CJ56" i="52"/>
  <c r="CI56" i="52"/>
  <c r="CH56" i="52"/>
  <c r="CG56" i="52"/>
  <c r="CF56" i="52"/>
  <c r="CE56" i="52"/>
  <c r="DA55" i="52"/>
  <c r="CZ55" i="52"/>
  <c r="CY55" i="52"/>
  <c r="CX55" i="52"/>
  <c r="CW55" i="52"/>
  <c r="CV55" i="52"/>
  <c r="CU55" i="52"/>
  <c r="CT55" i="52"/>
  <c r="CS55" i="52"/>
  <c r="CR55" i="52"/>
  <c r="CQ55" i="52"/>
  <c r="CP55" i="52"/>
  <c r="CO55" i="52"/>
  <c r="CN55" i="52"/>
  <c r="CM55" i="52"/>
  <c r="CL55" i="52"/>
  <c r="CK55" i="52"/>
  <c r="CJ55" i="52"/>
  <c r="CI55" i="52"/>
  <c r="CH55" i="52"/>
  <c r="CG55" i="52"/>
  <c r="CF55" i="52"/>
  <c r="CE55" i="52"/>
  <c r="DA54" i="52"/>
  <c r="CZ54" i="52"/>
  <c r="CY54" i="52"/>
  <c r="CX54" i="52"/>
  <c r="CW54" i="52"/>
  <c r="CV54" i="52"/>
  <c r="CU54" i="52"/>
  <c r="CT54" i="52"/>
  <c r="CS54" i="52"/>
  <c r="CR54" i="52"/>
  <c r="CQ54" i="52"/>
  <c r="CP54" i="52"/>
  <c r="CO54" i="52"/>
  <c r="CN54" i="52"/>
  <c r="CM54" i="52"/>
  <c r="CL54" i="52"/>
  <c r="CK54" i="52"/>
  <c r="CJ54" i="52"/>
  <c r="CI54" i="52"/>
  <c r="CH54" i="52"/>
  <c r="CG54" i="52"/>
  <c r="CF54" i="52"/>
  <c r="CE54" i="52"/>
  <c r="DA52" i="52"/>
  <c r="CZ52" i="52"/>
  <c r="CY52" i="52"/>
  <c r="CX52" i="52"/>
  <c r="CW52" i="52"/>
  <c r="CV52" i="52"/>
  <c r="CU52" i="52"/>
  <c r="CT52" i="52"/>
  <c r="CS52" i="52"/>
  <c r="CR52" i="52"/>
  <c r="CQ52" i="52"/>
  <c r="CP52" i="52"/>
  <c r="CO52" i="52"/>
  <c r="CN52" i="52"/>
  <c r="CM52" i="52"/>
  <c r="CL52" i="52"/>
  <c r="CK52" i="52"/>
  <c r="CJ52" i="52"/>
  <c r="CI52" i="52"/>
  <c r="CH52" i="52"/>
  <c r="CG52" i="52"/>
  <c r="CF52" i="52"/>
  <c r="CE52" i="52"/>
  <c r="DA51" i="52"/>
  <c r="CZ51" i="52"/>
  <c r="CY51" i="52"/>
  <c r="CX51" i="52"/>
  <c r="CW51" i="52"/>
  <c r="CV51" i="52"/>
  <c r="CU51" i="52"/>
  <c r="CT51" i="52"/>
  <c r="CS51" i="52"/>
  <c r="CR51" i="52"/>
  <c r="CQ51" i="52"/>
  <c r="CP51" i="52"/>
  <c r="CO51" i="52"/>
  <c r="CN51" i="52"/>
  <c r="CM51" i="52"/>
  <c r="CL51" i="52"/>
  <c r="CK51" i="52"/>
  <c r="CJ51" i="52"/>
  <c r="CI51" i="52"/>
  <c r="CH51" i="52"/>
  <c r="CG51" i="52"/>
  <c r="CF51" i="52"/>
  <c r="CE51" i="52"/>
  <c r="DA50" i="52"/>
  <c r="CZ50" i="52"/>
  <c r="CY50" i="52"/>
  <c r="CX50" i="52"/>
  <c r="CW50" i="52"/>
  <c r="CV50" i="52"/>
  <c r="CU50" i="52"/>
  <c r="CT50" i="52"/>
  <c r="CS50" i="52"/>
  <c r="CR50" i="52"/>
  <c r="CQ50" i="52"/>
  <c r="CP50" i="52"/>
  <c r="CO50" i="52"/>
  <c r="CN50" i="52"/>
  <c r="CM50" i="52"/>
  <c r="CL50" i="52"/>
  <c r="CK50" i="52"/>
  <c r="CJ50" i="52"/>
  <c r="CI50" i="52"/>
  <c r="CH50" i="52"/>
  <c r="CG50" i="52"/>
  <c r="CF50" i="52"/>
  <c r="CE50" i="52"/>
  <c r="DA49" i="52"/>
  <c r="CZ49" i="52"/>
  <c r="CY49" i="52"/>
  <c r="CX49" i="52"/>
  <c r="CW49" i="52"/>
  <c r="CV49" i="52"/>
  <c r="CU49" i="52"/>
  <c r="CT49" i="52"/>
  <c r="CS49" i="52"/>
  <c r="CR49" i="52"/>
  <c r="CQ49" i="52"/>
  <c r="CP49" i="52"/>
  <c r="CO49" i="52"/>
  <c r="CN49" i="52"/>
  <c r="CM49" i="52"/>
  <c r="CL49" i="52"/>
  <c r="CK49" i="52"/>
  <c r="CJ49" i="52"/>
  <c r="CI49" i="52"/>
  <c r="CH49" i="52"/>
  <c r="CG49" i="52"/>
  <c r="CF49" i="52"/>
  <c r="CE49" i="52"/>
  <c r="DA48" i="52"/>
  <c r="CZ48" i="52"/>
  <c r="CY48" i="52"/>
  <c r="CX48" i="52"/>
  <c r="CW48" i="52"/>
  <c r="CV48" i="52"/>
  <c r="CU48" i="52"/>
  <c r="CT48" i="52"/>
  <c r="CS48" i="52"/>
  <c r="CR48" i="52"/>
  <c r="CQ48" i="52"/>
  <c r="CP48" i="52"/>
  <c r="CO48" i="52"/>
  <c r="CN48" i="52"/>
  <c r="CM48" i="52"/>
  <c r="CL48" i="52"/>
  <c r="CK48" i="52"/>
  <c r="CJ48" i="52"/>
  <c r="CI48" i="52"/>
  <c r="CH48" i="52"/>
  <c r="CG48" i="52"/>
  <c r="CF48" i="52"/>
  <c r="CE48" i="52"/>
  <c r="DA47" i="52"/>
  <c r="CZ47" i="52"/>
  <c r="CY47" i="52"/>
  <c r="CX47" i="52"/>
  <c r="CW47" i="52"/>
  <c r="CV47" i="52"/>
  <c r="CU47" i="52"/>
  <c r="CT47" i="52"/>
  <c r="CS47" i="52"/>
  <c r="CR47" i="52"/>
  <c r="CQ47" i="52"/>
  <c r="CP47" i="52"/>
  <c r="CO47" i="52"/>
  <c r="CN47" i="52"/>
  <c r="CM47" i="52"/>
  <c r="CL47" i="52"/>
  <c r="CK47" i="52"/>
  <c r="CJ47" i="52"/>
  <c r="CI47" i="52"/>
  <c r="CH47" i="52"/>
  <c r="CG47" i="52"/>
  <c r="CF47" i="52"/>
  <c r="CE47" i="52"/>
  <c r="CZ45" i="52"/>
  <c r="CY45" i="52"/>
  <c r="CX45" i="52"/>
  <c r="CW45" i="52"/>
  <c r="CV45" i="52"/>
  <c r="CU45" i="52"/>
  <c r="CT45" i="52"/>
  <c r="CS45" i="52"/>
  <c r="CR45" i="52"/>
  <c r="CQ45" i="52"/>
  <c r="CP45" i="52"/>
  <c r="CO45" i="52"/>
  <c r="CN45" i="52"/>
  <c r="CM45" i="52"/>
  <c r="CL45" i="52"/>
  <c r="CK45" i="52"/>
  <c r="CJ45" i="52"/>
  <c r="CI45" i="52"/>
  <c r="CH45" i="52"/>
  <c r="CG45" i="52"/>
  <c r="CF45" i="52"/>
  <c r="CE45" i="52"/>
  <c r="CZ44" i="52"/>
  <c r="CY44" i="52"/>
  <c r="CX44" i="52"/>
  <c r="CW44" i="52"/>
  <c r="CV44" i="52"/>
  <c r="CU44" i="52"/>
  <c r="CT44" i="52"/>
  <c r="CS44" i="52"/>
  <c r="CR44" i="52"/>
  <c r="CQ44" i="52"/>
  <c r="CP44" i="52"/>
  <c r="CO44" i="52"/>
  <c r="CN44" i="52"/>
  <c r="CM44" i="52"/>
  <c r="CL44" i="52"/>
  <c r="CK44" i="52"/>
  <c r="CJ44" i="52"/>
  <c r="CI44" i="52"/>
  <c r="CH44" i="52"/>
  <c r="CG44" i="52"/>
  <c r="CF44" i="52"/>
  <c r="CE44" i="52"/>
  <c r="CZ43" i="52"/>
  <c r="CY43" i="52"/>
  <c r="CX43" i="52"/>
  <c r="CW43" i="52"/>
  <c r="CV43" i="52"/>
  <c r="CU43" i="52"/>
  <c r="CT43" i="52"/>
  <c r="CS43" i="52"/>
  <c r="CR43" i="52"/>
  <c r="CQ43" i="52"/>
  <c r="CP43" i="52"/>
  <c r="CO43" i="52"/>
  <c r="CN43" i="52"/>
  <c r="CM43" i="52"/>
  <c r="CL43" i="52"/>
  <c r="CK43" i="52"/>
  <c r="CJ43" i="52"/>
  <c r="CI43" i="52"/>
  <c r="CH43" i="52"/>
  <c r="CG43" i="52"/>
  <c r="CF43" i="52"/>
  <c r="CE43" i="52"/>
  <c r="CZ42" i="52"/>
  <c r="CY42" i="52"/>
  <c r="CX42" i="52"/>
  <c r="CW42" i="52"/>
  <c r="CV42" i="52"/>
  <c r="CU42" i="52"/>
  <c r="CT42" i="52"/>
  <c r="CS42" i="52"/>
  <c r="CR42" i="52"/>
  <c r="CQ42" i="52"/>
  <c r="CP42" i="52"/>
  <c r="CO42" i="52"/>
  <c r="CN42" i="52"/>
  <c r="CM42" i="52"/>
  <c r="CL42" i="52"/>
  <c r="CK42" i="52"/>
  <c r="CJ42" i="52"/>
  <c r="CI42" i="52"/>
  <c r="CH42" i="52"/>
  <c r="CG42" i="52"/>
  <c r="CF42" i="52"/>
  <c r="CE42" i="52"/>
  <c r="CZ41" i="52"/>
  <c r="CY41" i="52"/>
  <c r="CX41" i="52"/>
  <c r="CW41" i="52"/>
  <c r="CV41" i="52"/>
  <c r="CU41" i="52"/>
  <c r="CT41" i="52"/>
  <c r="CS41" i="52"/>
  <c r="CR41" i="52"/>
  <c r="CQ41" i="52"/>
  <c r="CP41" i="52"/>
  <c r="CO41" i="52"/>
  <c r="CN41" i="52"/>
  <c r="CM41" i="52"/>
  <c r="CL41" i="52"/>
  <c r="CK41" i="52"/>
  <c r="CJ41" i="52"/>
  <c r="CI41" i="52"/>
  <c r="CH41" i="52"/>
  <c r="CG41" i="52"/>
  <c r="CF41" i="52"/>
  <c r="CE41" i="52"/>
  <c r="CZ40" i="52"/>
  <c r="CY40" i="52"/>
  <c r="CX40" i="52"/>
  <c r="CW40" i="52"/>
  <c r="CV40" i="52"/>
  <c r="CU40" i="52"/>
  <c r="CT40" i="52"/>
  <c r="CS40" i="52"/>
  <c r="CR40" i="52"/>
  <c r="CQ40" i="52"/>
  <c r="CP40" i="52"/>
  <c r="CO40" i="52"/>
  <c r="CN40" i="52"/>
  <c r="CM40" i="52"/>
  <c r="CL40" i="52"/>
  <c r="CK40" i="52"/>
  <c r="CJ40" i="52"/>
  <c r="CI40" i="52"/>
  <c r="CH40" i="52"/>
  <c r="CG40" i="52"/>
  <c r="CF40" i="52"/>
  <c r="CE40" i="52"/>
  <c r="CZ39" i="52"/>
  <c r="CY39" i="52"/>
  <c r="CX39" i="52"/>
  <c r="CW39" i="52"/>
  <c r="CV39" i="52"/>
  <c r="CU39" i="52"/>
  <c r="CT39" i="52"/>
  <c r="CS39" i="52"/>
  <c r="CR39" i="52"/>
  <c r="CO39" i="52"/>
  <c r="CN39" i="52"/>
  <c r="CM39" i="52"/>
  <c r="CL39" i="52"/>
  <c r="CK39" i="52"/>
  <c r="CJ39" i="52"/>
  <c r="CI39" i="52"/>
  <c r="CH39" i="52"/>
  <c r="CG39" i="52"/>
  <c r="CF39" i="52"/>
  <c r="CE39" i="52"/>
  <c r="CZ38" i="52"/>
  <c r="CY38" i="52"/>
  <c r="CX38" i="52"/>
  <c r="CW38" i="52"/>
  <c r="CV38" i="52"/>
  <c r="CU38" i="52"/>
  <c r="CT38" i="52"/>
  <c r="CS38" i="52"/>
  <c r="CR38" i="52"/>
  <c r="CO38" i="52"/>
  <c r="CN38" i="52"/>
  <c r="CM38" i="52"/>
  <c r="CL38" i="52"/>
  <c r="CK38" i="52"/>
  <c r="CJ38" i="52"/>
  <c r="CI38" i="52"/>
  <c r="CH38" i="52"/>
  <c r="CG38" i="52"/>
  <c r="CF38" i="52"/>
  <c r="CE38" i="52"/>
  <c r="CZ37" i="52"/>
  <c r="CY37" i="52"/>
  <c r="CX37" i="52"/>
  <c r="CW37" i="52"/>
  <c r="CV37" i="52"/>
  <c r="CU37" i="52"/>
  <c r="CT37" i="52"/>
  <c r="CS37" i="52"/>
  <c r="CR37" i="52"/>
  <c r="CO37" i="52"/>
  <c r="CN37" i="52"/>
  <c r="CM37" i="52"/>
  <c r="CL37" i="52"/>
  <c r="CK37" i="52"/>
  <c r="CJ37" i="52"/>
  <c r="CI37" i="52"/>
  <c r="CH37" i="52"/>
  <c r="CG37" i="52"/>
  <c r="CF37" i="52"/>
  <c r="CE37" i="52"/>
  <c r="DA36" i="52"/>
  <c r="CZ36" i="52"/>
  <c r="CY36" i="52"/>
  <c r="CX36" i="52"/>
  <c r="CU36" i="52"/>
  <c r="CT36" i="52"/>
  <c r="CS36" i="52"/>
  <c r="CR36" i="52"/>
  <c r="CQ36" i="52"/>
  <c r="CP36" i="52"/>
  <c r="CO36" i="52"/>
  <c r="CN36" i="52"/>
  <c r="CM36" i="52"/>
  <c r="CL36" i="52"/>
  <c r="CK36" i="52"/>
  <c r="CJ36" i="52"/>
  <c r="CI36" i="52"/>
  <c r="CH36" i="52"/>
  <c r="CG36" i="52"/>
  <c r="CF36" i="52"/>
  <c r="CE36" i="52"/>
  <c r="DA35" i="52"/>
  <c r="CZ35" i="52"/>
  <c r="CY35" i="52"/>
  <c r="CX35" i="52"/>
  <c r="CU35" i="52"/>
  <c r="CT35" i="52"/>
  <c r="CS35" i="52"/>
  <c r="CR35" i="52"/>
  <c r="CQ35" i="52"/>
  <c r="CP35" i="52"/>
  <c r="CO35" i="52"/>
  <c r="CN35" i="52"/>
  <c r="CM35" i="52"/>
  <c r="CL35" i="52"/>
  <c r="CK35" i="52"/>
  <c r="CJ35" i="52"/>
  <c r="CI35" i="52"/>
  <c r="CH35" i="52"/>
  <c r="CG35" i="52"/>
  <c r="CF35" i="52"/>
  <c r="CE35" i="52"/>
  <c r="DA34" i="52"/>
  <c r="CZ34" i="52"/>
  <c r="CY34" i="52"/>
  <c r="CX34" i="52"/>
  <c r="CU34" i="52"/>
  <c r="CT34" i="52"/>
  <c r="CS34" i="52"/>
  <c r="CR34" i="52"/>
  <c r="CQ34" i="52"/>
  <c r="CP34" i="52"/>
  <c r="CO34" i="52"/>
  <c r="CN34" i="52"/>
  <c r="CM34" i="52"/>
  <c r="CL34" i="52"/>
  <c r="CK34" i="52"/>
  <c r="CJ34" i="52"/>
  <c r="CI34" i="52"/>
  <c r="CH34" i="52"/>
  <c r="CG34" i="52"/>
  <c r="CF34" i="52"/>
  <c r="CE34" i="52"/>
  <c r="CZ33" i="52"/>
  <c r="CY33" i="52"/>
  <c r="CX33" i="52"/>
  <c r="CW33" i="52"/>
  <c r="CV33" i="52"/>
  <c r="CU33" i="52"/>
  <c r="CT33" i="52"/>
  <c r="CR33" i="52"/>
  <c r="CQ33" i="52"/>
  <c r="CP33" i="52"/>
  <c r="CN33" i="52"/>
  <c r="CM33" i="52"/>
  <c r="CL33" i="52"/>
  <c r="CK33" i="52"/>
  <c r="CJ33" i="52"/>
  <c r="CI33" i="52"/>
  <c r="CH33" i="52"/>
  <c r="CG33" i="52"/>
  <c r="CF33" i="52"/>
  <c r="CE33" i="52"/>
  <c r="CZ32" i="52"/>
  <c r="CY32" i="52"/>
  <c r="CX32" i="52"/>
  <c r="CW32" i="52"/>
  <c r="CV32" i="52"/>
  <c r="CU32" i="52"/>
  <c r="CT32" i="52"/>
  <c r="CR32" i="52"/>
  <c r="CQ32" i="52"/>
  <c r="CP32" i="52"/>
  <c r="CN32" i="52"/>
  <c r="CM32" i="52"/>
  <c r="CL32" i="52"/>
  <c r="CK32" i="52"/>
  <c r="CJ32" i="52"/>
  <c r="CI32" i="52"/>
  <c r="CH32" i="52"/>
  <c r="CG32" i="52"/>
  <c r="CF32" i="52"/>
  <c r="CE32" i="52"/>
  <c r="CZ31" i="52"/>
  <c r="CY31" i="52"/>
  <c r="CX31" i="52"/>
  <c r="CW31" i="52"/>
  <c r="CV31" i="52"/>
  <c r="CU31" i="52"/>
  <c r="CT31" i="52"/>
  <c r="CR31" i="52"/>
  <c r="CQ31" i="52"/>
  <c r="CP31" i="52"/>
  <c r="CN31" i="52"/>
  <c r="CM31" i="52"/>
  <c r="CL31" i="52"/>
  <c r="CK31" i="52"/>
  <c r="CJ31" i="52"/>
  <c r="CI31" i="52"/>
  <c r="CH31" i="52"/>
  <c r="CG31" i="52"/>
  <c r="CF31" i="52"/>
  <c r="CE31" i="52"/>
  <c r="CZ30" i="52"/>
  <c r="CY30" i="52"/>
  <c r="CX30" i="52"/>
  <c r="CW30" i="52"/>
  <c r="CV30" i="52"/>
  <c r="CU30" i="52"/>
  <c r="CT30" i="52"/>
  <c r="CR30" i="52"/>
  <c r="CQ30" i="52"/>
  <c r="CP30" i="52"/>
  <c r="CN30" i="52"/>
  <c r="CM30" i="52"/>
  <c r="CL30" i="52"/>
  <c r="CK30" i="52"/>
  <c r="CJ30" i="52"/>
  <c r="CI30" i="52"/>
  <c r="CH30" i="52"/>
  <c r="CG30" i="52"/>
  <c r="CF30" i="52"/>
  <c r="CE30" i="52"/>
  <c r="CZ29" i="52"/>
  <c r="CY29" i="52"/>
  <c r="CX29" i="52"/>
  <c r="CW29" i="52"/>
  <c r="CV29" i="52"/>
  <c r="CU29" i="52"/>
  <c r="CT29" i="52"/>
  <c r="CR29" i="52"/>
  <c r="CQ29" i="52"/>
  <c r="CP29" i="52"/>
  <c r="CN29" i="52"/>
  <c r="CM29" i="52"/>
  <c r="CL29" i="52"/>
  <c r="CK29" i="52"/>
  <c r="CJ29" i="52"/>
  <c r="CI29" i="52"/>
  <c r="CH29" i="52"/>
  <c r="CG29" i="52"/>
  <c r="CF29" i="52"/>
  <c r="CE29" i="52"/>
  <c r="CZ28" i="52"/>
  <c r="CY28" i="52"/>
  <c r="CX28" i="52"/>
  <c r="CW28" i="52"/>
  <c r="CV28" i="52"/>
  <c r="CU28" i="52"/>
  <c r="CT28" i="52"/>
  <c r="CR28" i="52"/>
  <c r="CQ28" i="52"/>
  <c r="CP28" i="52"/>
  <c r="CN28" i="52"/>
  <c r="CM28" i="52"/>
  <c r="CL28" i="52"/>
  <c r="CK28" i="52"/>
  <c r="CJ28" i="52"/>
  <c r="CI28" i="52"/>
  <c r="CH28" i="52"/>
  <c r="CG28" i="52"/>
  <c r="CF28" i="52"/>
  <c r="CE28" i="52"/>
  <c r="CZ27" i="52"/>
  <c r="CY27" i="52"/>
  <c r="CX27" i="52"/>
  <c r="CW27" i="52"/>
  <c r="CV27" i="52"/>
  <c r="CU27" i="52"/>
  <c r="CT27" i="52"/>
  <c r="CR27" i="52"/>
  <c r="CQ27" i="52"/>
  <c r="CP27" i="52"/>
  <c r="CN27" i="52"/>
  <c r="CM27" i="52"/>
  <c r="CL27" i="52"/>
  <c r="CK27" i="52"/>
  <c r="CJ27" i="52"/>
  <c r="CI27" i="52"/>
  <c r="CH27" i="52"/>
  <c r="CG27" i="52"/>
  <c r="CF27" i="52"/>
  <c r="CE27" i="52"/>
  <c r="CZ26" i="52"/>
  <c r="CY26" i="52"/>
  <c r="CX26" i="52"/>
  <c r="CW26" i="52"/>
  <c r="CV26" i="52"/>
  <c r="CU26" i="52"/>
  <c r="CT26" i="52"/>
  <c r="CR26" i="52"/>
  <c r="CQ26" i="52"/>
  <c r="CP26" i="52"/>
  <c r="CN26" i="52"/>
  <c r="CM26" i="52"/>
  <c r="CL26" i="52"/>
  <c r="CK26" i="52"/>
  <c r="CJ26" i="52"/>
  <c r="CI26" i="52"/>
  <c r="CH26" i="52"/>
  <c r="CG26" i="52"/>
  <c r="CF26" i="52"/>
  <c r="CE26" i="52"/>
  <c r="CZ25" i="52"/>
  <c r="CY25" i="52"/>
  <c r="CX25" i="52"/>
  <c r="CW25" i="52"/>
  <c r="CV25" i="52"/>
  <c r="CU25" i="52"/>
  <c r="CT25" i="52"/>
  <c r="CR25" i="52"/>
  <c r="CQ25" i="52"/>
  <c r="CP25" i="52"/>
  <c r="CN25" i="52"/>
  <c r="CM25" i="52"/>
  <c r="CL25" i="52"/>
  <c r="CK25" i="52"/>
  <c r="CJ25" i="52"/>
  <c r="CI25" i="52"/>
  <c r="CH25" i="52"/>
  <c r="CG25" i="52"/>
  <c r="CF25" i="52"/>
  <c r="CE25" i="52"/>
  <c r="DA23" i="52"/>
  <c r="CZ23" i="52"/>
  <c r="CY23" i="52"/>
  <c r="CX23" i="52"/>
  <c r="CW23" i="52"/>
  <c r="CV23" i="52"/>
  <c r="CU23" i="52"/>
  <c r="CT23" i="52"/>
  <c r="CS23" i="52"/>
  <c r="CQ23" i="52"/>
  <c r="CP23" i="52"/>
  <c r="CO23" i="52"/>
  <c r="CN23" i="52"/>
  <c r="CM23" i="52"/>
  <c r="CK23" i="52"/>
  <c r="CI23" i="52"/>
  <c r="CH23" i="52"/>
  <c r="CG23" i="52"/>
  <c r="CF23" i="52"/>
  <c r="CE23" i="52"/>
  <c r="DA22" i="52"/>
  <c r="CZ22" i="52"/>
  <c r="CY22" i="52"/>
  <c r="CX22" i="52"/>
  <c r="CW22" i="52"/>
  <c r="CV22" i="52"/>
  <c r="CU22" i="52"/>
  <c r="CT22" i="52"/>
  <c r="CS22" i="52"/>
  <c r="CQ22" i="52"/>
  <c r="CP22" i="52"/>
  <c r="CO22" i="52"/>
  <c r="CN22" i="52"/>
  <c r="CM22" i="52"/>
  <c r="CK22" i="52"/>
  <c r="CI22" i="52"/>
  <c r="CH22" i="52"/>
  <c r="CG22" i="52"/>
  <c r="CF22" i="52"/>
  <c r="CE22" i="52"/>
  <c r="DA21" i="52"/>
  <c r="CZ21" i="52"/>
  <c r="CY21" i="52"/>
  <c r="CX21" i="52"/>
  <c r="CW21" i="52"/>
  <c r="CV21" i="52"/>
  <c r="CU21" i="52"/>
  <c r="CT21" i="52"/>
  <c r="CS21" i="52"/>
  <c r="CQ21" i="52"/>
  <c r="CP21" i="52"/>
  <c r="CO21" i="52"/>
  <c r="CN21" i="52"/>
  <c r="CM21" i="52"/>
  <c r="CK21" i="52"/>
  <c r="CI21" i="52"/>
  <c r="CH21" i="52"/>
  <c r="CG21" i="52"/>
  <c r="CF21" i="52"/>
  <c r="CE21" i="52"/>
  <c r="CZ20" i="52"/>
  <c r="CY20" i="52"/>
  <c r="CX20" i="52"/>
  <c r="CW20" i="52"/>
  <c r="CV20" i="52"/>
  <c r="CU20" i="52"/>
  <c r="CT20" i="52"/>
  <c r="CS20" i="52"/>
  <c r="CR20" i="52"/>
  <c r="CQ20" i="52"/>
  <c r="CP20" i="52"/>
  <c r="CN20" i="52"/>
  <c r="CM20" i="52"/>
  <c r="CL20" i="52"/>
  <c r="CI20" i="52"/>
  <c r="CH20" i="52"/>
  <c r="CG20" i="52"/>
  <c r="CF20" i="52"/>
  <c r="CE20" i="52"/>
  <c r="CZ19" i="52"/>
  <c r="CY19" i="52"/>
  <c r="CX19" i="52"/>
  <c r="CW19" i="52"/>
  <c r="CV19" i="52"/>
  <c r="CU19" i="52"/>
  <c r="CT19" i="52"/>
  <c r="CS19" i="52"/>
  <c r="CR19" i="52"/>
  <c r="CQ19" i="52"/>
  <c r="CP19" i="52"/>
  <c r="CN19" i="52"/>
  <c r="CM19" i="52"/>
  <c r="CL19" i="52"/>
  <c r="CI19" i="52"/>
  <c r="CH19" i="52"/>
  <c r="CG19" i="52"/>
  <c r="CF19" i="52"/>
  <c r="CE19" i="52"/>
  <c r="CZ18" i="52"/>
  <c r="CY18" i="52"/>
  <c r="CX18" i="52"/>
  <c r="CW18" i="52"/>
  <c r="CV18" i="52"/>
  <c r="CU18" i="52"/>
  <c r="CT18" i="52"/>
  <c r="CS18" i="52"/>
  <c r="CR18" i="52"/>
  <c r="CQ18" i="52"/>
  <c r="CP18" i="52"/>
  <c r="CN18" i="52"/>
  <c r="CM18" i="52"/>
  <c r="CL18" i="52"/>
  <c r="CI18" i="52"/>
  <c r="CH18" i="52"/>
  <c r="CG18" i="52"/>
  <c r="CF18" i="52"/>
  <c r="CE18" i="52"/>
  <c r="CZ17" i="52"/>
  <c r="CY17" i="52"/>
  <c r="CX17" i="52"/>
  <c r="CW17" i="52"/>
  <c r="CV17" i="52"/>
  <c r="CU17" i="52"/>
  <c r="CT17" i="52"/>
  <c r="CS17" i="52"/>
  <c r="CR17" i="52"/>
  <c r="CQ17" i="52"/>
  <c r="CP17" i="52"/>
  <c r="CN17" i="52"/>
  <c r="CM17" i="52"/>
  <c r="CL17" i="52"/>
  <c r="CI17" i="52"/>
  <c r="CH17" i="52"/>
  <c r="CG17" i="52"/>
  <c r="CF17" i="52"/>
  <c r="CE17" i="52"/>
  <c r="DA16" i="52"/>
  <c r="CZ16" i="52"/>
  <c r="CY16" i="52"/>
  <c r="CX16" i="52"/>
  <c r="CW16" i="52"/>
  <c r="CV16" i="52"/>
  <c r="CU16" i="52"/>
  <c r="CT16" i="52"/>
  <c r="CS16" i="52"/>
  <c r="CQ16" i="52"/>
  <c r="CP16" i="52"/>
  <c r="CO16" i="52"/>
  <c r="CN16" i="52"/>
  <c r="CM16" i="52"/>
  <c r="CK16" i="52"/>
  <c r="CI16" i="52"/>
  <c r="CH16" i="52"/>
  <c r="CG16" i="52"/>
  <c r="CF16" i="52"/>
  <c r="CE16" i="52"/>
  <c r="DA15" i="52"/>
  <c r="CZ15" i="52"/>
  <c r="CY15" i="52"/>
  <c r="CX15" i="52"/>
  <c r="CW15" i="52"/>
  <c r="CV15" i="52"/>
  <c r="CU15" i="52"/>
  <c r="CT15" i="52"/>
  <c r="CS15" i="52"/>
  <c r="CQ15" i="52"/>
  <c r="CP15" i="52"/>
  <c r="CO15" i="52"/>
  <c r="CN15" i="52"/>
  <c r="CM15" i="52"/>
  <c r="CK15" i="52"/>
  <c r="CI15" i="52"/>
  <c r="CH15" i="52"/>
  <c r="CG15" i="52"/>
  <c r="CF15" i="52"/>
  <c r="CE15" i="52"/>
  <c r="DA14" i="52"/>
  <c r="CZ14" i="52"/>
  <c r="CY14" i="52"/>
  <c r="CX14" i="52"/>
  <c r="CW14" i="52"/>
  <c r="CV14" i="52"/>
  <c r="CU14" i="52"/>
  <c r="CT14" i="52"/>
  <c r="CS14" i="52"/>
  <c r="CQ14" i="52"/>
  <c r="CP14" i="52"/>
  <c r="CO14" i="52"/>
  <c r="CN14" i="52"/>
  <c r="CM14" i="52"/>
  <c r="CK14" i="52"/>
  <c r="CI14" i="52"/>
  <c r="CH14" i="52"/>
  <c r="CG14" i="52"/>
  <c r="CF14" i="52"/>
  <c r="CE14" i="52"/>
  <c r="CZ13" i="52"/>
  <c r="CY13" i="52"/>
  <c r="CX13" i="52"/>
  <c r="CW13" i="52"/>
  <c r="CV13" i="52"/>
  <c r="CU13" i="52"/>
  <c r="CT13" i="52"/>
  <c r="CS13" i="52"/>
  <c r="CR13" i="52"/>
  <c r="CQ13" i="52"/>
  <c r="CP13" i="52"/>
  <c r="CN13" i="52"/>
  <c r="CM13" i="52"/>
  <c r="CL13" i="52"/>
  <c r="CI13" i="52"/>
  <c r="CH13" i="52"/>
  <c r="CG13" i="52"/>
  <c r="CF13" i="52"/>
  <c r="CE13" i="52"/>
  <c r="CZ12" i="52"/>
  <c r="CY12" i="52"/>
  <c r="CX12" i="52"/>
  <c r="CW12" i="52"/>
  <c r="CV12" i="52"/>
  <c r="CU12" i="52"/>
  <c r="CT12" i="52"/>
  <c r="CS12" i="52"/>
  <c r="CR12" i="52"/>
  <c r="CQ12" i="52"/>
  <c r="CP12" i="52"/>
  <c r="CN12" i="52"/>
  <c r="CM12" i="52"/>
  <c r="CL12" i="52"/>
  <c r="CI12" i="52"/>
  <c r="CH12" i="52"/>
  <c r="CG12" i="52"/>
  <c r="CF12" i="52"/>
  <c r="CE12" i="52"/>
  <c r="CZ11" i="52"/>
  <c r="CY11" i="52"/>
  <c r="CX11" i="52"/>
  <c r="CW11" i="52"/>
  <c r="CV11" i="52"/>
  <c r="CU11" i="52"/>
  <c r="CT11" i="52"/>
  <c r="CS11" i="52"/>
  <c r="CR11" i="52"/>
  <c r="CQ11" i="52"/>
  <c r="CP11" i="52"/>
  <c r="CN11" i="52"/>
  <c r="CM11" i="52"/>
  <c r="CL11" i="52"/>
  <c r="CI11" i="52"/>
  <c r="CH11" i="52"/>
  <c r="CG11" i="52"/>
  <c r="CF11" i="52"/>
  <c r="CE11" i="52"/>
  <c r="CZ10" i="52"/>
  <c r="CY10" i="52"/>
  <c r="CX10" i="52"/>
  <c r="CW10" i="52"/>
  <c r="CV10" i="52"/>
  <c r="CU10" i="52"/>
  <c r="CT10" i="52"/>
  <c r="CS10" i="52"/>
  <c r="CR10" i="52"/>
  <c r="CQ10" i="52"/>
  <c r="CP10" i="52"/>
  <c r="CN10" i="52"/>
  <c r="CM10" i="52"/>
  <c r="CL10" i="52"/>
  <c r="CI10" i="52"/>
  <c r="CH10" i="52"/>
  <c r="CG10" i="52"/>
  <c r="CF10" i="52"/>
  <c r="CE10" i="52"/>
  <c r="CZ8" i="52"/>
  <c r="CY8" i="52"/>
  <c r="CX8" i="52"/>
  <c r="CW8" i="52"/>
  <c r="CV8" i="52"/>
  <c r="CU8" i="52"/>
  <c r="CT8" i="52"/>
  <c r="CS8" i="52"/>
  <c r="CR8" i="52"/>
  <c r="CQ8" i="52"/>
  <c r="CP8" i="52"/>
  <c r="CN8" i="52"/>
  <c r="CM8" i="52"/>
  <c r="CL8" i="52"/>
  <c r="CJ8" i="52"/>
  <c r="CI8" i="52"/>
  <c r="CH8" i="52"/>
  <c r="CG8" i="52"/>
  <c r="CF8" i="52"/>
  <c r="CE8" i="52"/>
  <c r="CD98" i="52"/>
  <c r="CD97" i="52"/>
  <c r="CD96" i="52"/>
  <c r="CD95" i="52"/>
  <c r="CD94" i="52"/>
  <c r="CD93" i="52"/>
  <c r="CD92" i="52"/>
  <c r="CD91" i="52"/>
  <c r="CD90" i="52"/>
  <c r="CD62" i="52"/>
  <c r="CD61" i="52"/>
  <c r="CD60" i="52"/>
  <c r="CD59" i="52"/>
  <c r="CD58" i="52"/>
  <c r="CD57" i="52"/>
  <c r="CD45" i="52"/>
  <c r="CD44" i="52"/>
  <c r="CD43" i="52"/>
  <c r="H98" i="52"/>
  <c r="G98" i="52"/>
  <c r="F98" i="52"/>
  <c r="E98" i="52"/>
  <c r="D98" i="52"/>
  <c r="C98" i="52"/>
  <c r="B98" i="52"/>
  <c r="H97" i="52"/>
  <c r="G97" i="52"/>
  <c r="F97" i="52"/>
  <c r="E97" i="52"/>
  <c r="D97" i="52"/>
  <c r="C97" i="52"/>
  <c r="B97" i="52"/>
  <c r="H96" i="52"/>
  <c r="G96" i="52"/>
  <c r="F96" i="52"/>
  <c r="E96" i="52"/>
  <c r="D96" i="52"/>
  <c r="C96" i="52"/>
  <c r="B96" i="52"/>
  <c r="H95" i="52"/>
  <c r="G95" i="52"/>
  <c r="F95" i="52"/>
  <c r="E95" i="52"/>
  <c r="D95" i="52"/>
  <c r="C95" i="52"/>
  <c r="B95" i="52"/>
  <c r="H94" i="52"/>
  <c r="G94" i="52"/>
  <c r="F94" i="52"/>
  <c r="E94" i="52"/>
  <c r="D94" i="52"/>
  <c r="C94" i="52"/>
  <c r="B94" i="52"/>
  <c r="H93" i="52"/>
  <c r="G93" i="52"/>
  <c r="F93" i="52"/>
  <c r="E93" i="52"/>
  <c r="D93" i="52"/>
  <c r="C93" i="52"/>
  <c r="B93" i="52"/>
  <c r="H92" i="52"/>
  <c r="G92" i="52"/>
  <c r="F92" i="52"/>
  <c r="E92" i="52"/>
  <c r="D92" i="52"/>
  <c r="C92" i="52"/>
  <c r="B92" i="52"/>
  <c r="H91" i="52"/>
  <c r="G91" i="52"/>
  <c r="F91" i="52"/>
  <c r="E91" i="52"/>
  <c r="D91" i="52"/>
  <c r="C91" i="52"/>
  <c r="B91" i="52"/>
  <c r="H90" i="52"/>
  <c r="G90" i="52"/>
  <c r="F90" i="52"/>
  <c r="E90" i="52"/>
  <c r="D90" i="52"/>
  <c r="C90" i="52"/>
  <c r="B90" i="52"/>
  <c r="H89" i="52"/>
  <c r="G89" i="52"/>
  <c r="F89" i="52"/>
  <c r="E89" i="52"/>
  <c r="D89" i="52"/>
  <c r="C89" i="52"/>
  <c r="B89" i="52"/>
  <c r="H88" i="52"/>
  <c r="G88" i="52"/>
  <c r="F88" i="52"/>
  <c r="E88" i="52"/>
  <c r="D88" i="52"/>
  <c r="C88" i="52"/>
  <c r="B88" i="52"/>
  <c r="H87" i="52"/>
  <c r="G87" i="52"/>
  <c r="F87" i="52"/>
  <c r="E87" i="52"/>
  <c r="D87" i="52"/>
  <c r="C87" i="52"/>
  <c r="B87" i="52"/>
  <c r="H86" i="52"/>
  <c r="G86" i="52"/>
  <c r="F86" i="52"/>
  <c r="E86" i="52"/>
  <c r="D86" i="52"/>
  <c r="C86" i="52"/>
  <c r="B86" i="52"/>
  <c r="H85" i="52"/>
  <c r="G85" i="52"/>
  <c r="F85" i="52"/>
  <c r="E85" i="52"/>
  <c r="D85" i="52"/>
  <c r="C85" i="52"/>
  <c r="B85" i="52"/>
  <c r="H84" i="52"/>
  <c r="G84" i="52"/>
  <c r="F84" i="52"/>
  <c r="E84" i="52"/>
  <c r="D84" i="52"/>
  <c r="C84" i="52"/>
  <c r="B84" i="52"/>
  <c r="H83" i="52"/>
  <c r="G83" i="52"/>
  <c r="F83" i="52"/>
  <c r="E83" i="52"/>
  <c r="D83" i="52"/>
  <c r="C83" i="52"/>
  <c r="B83" i="52"/>
  <c r="H82" i="52"/>
  <c r="G82" i="52"/>
  <c r="F82" i="52"/>
  <c r="E82" i="52"/>
  <c r="D82" i="52"/>
  <c r="C82" i="52"/>
  <c r="B82" i="52"/>
  <c r="H81" i="52"/>
  <c r="G81" i="52"/>
  <c r="F81" i="52"/>
  <c r="E81" i="52"/>
  <c r="D81" i="52"/>
  <c r="C81" i="52"/>
  <c r="B81" i="52"/>
  <c r="H80" i="52"/>
  <c r="G80" i="52"/>
  <c r="F80" i="52"/>
  <c r="E80" i="52"/>
  <c r="D80" i="52"/>
  <c r="C80" i="52"/>
  <c r="B80" i="52"/>
  <c r="H79" i="52"/>
  <c r="G79" i="52"/>
  <c r="F79" i="52"/>
  <c r="E79" i="52"/>
  <c r="D79" i="52"/>
  <c r="C79" i="52"/>
  <c r="B79" i="52"/>
  <c r="H78" i="52"/>
  <c r="G78" i="52"/>
  <c r="F78" i="52"/>
  <c r="E78" i="52"/>
  <c r="D78" i="52"/>
  <c r="C78" i="52"/>
  <c r="B78" i="52"/>
  <c r="H77" i="52"/>
  <c r="G77" i="52"/>
  <c r="F77" i="52"/>
  <c r="E77" i="52"/>
  <c r="D77" i="52"/>
  <c r="C77" i="52"/>
  <c r="B77" i="52"/>
  <c r="F76" i="52"/>
  <c r="E76" i="52"/>
  <c r="D76" i="52"/>
  <c r="C76" i="52"/>
  <c r="B76" i="52"/>
  <c r="H75" i="52"/>
  <c r="G75" i="52"/>
  <c r="F75" i="52"/>
  <c r="E75" i="52"/>
  <c r="D75" i="52"/>
  <c r="C75" i="52"/>
  <c r="B75" i="52"/>
  <c r="H74" i="52"/>
  <c r="G74" i="52"/>
  <c r="F74" i="52"/>
  <c r="E74" i="52"/>
  <c r="D74" i="52"/>
  <c r="C74" i="52"/>
  <c r="B74" i="52"/>
  <c r="H73" i="52"/>
  <c r="G73" i="52"/>
  <c r="F73" i="52"/>
  <c r="E73" i="52"/>
  <c r="D73" i="52"/>
  <c r="C73" i="52"/>
  <c r="B73" i="52"/>
  <c r="D72" i="52"/>
  <c r="C72" i="52"/>
  <c r="B72" i="52"/>
  <c r="H71" i="52"/>
  <c r="G71" i="52"/>
  <c r="F71" i="52"/>
  <c r="E71" i="52"/>
  <c r="D71" i="52"/>
  <c r="C71" i="52"/>
  <c r="B71" i="52"/>
  <c r="H70" i="52"/>
  <c r="G70" i="52"/>
  <c r="F70" i="52"/>
  <c r="E70" i="52"/>
  <c r="D70" i="52"/>
  <c r="C70" i="52"/>
  <c r="B70" i="52"/>
  <c r="H69" i="52"/>
  <c r="G69" i="52"/>
  <c r="F69" i="52"/>
  <c r="E69" i="52"/>
  <c r="D69" i="52"/>
  <c r="C69" i="52"/>
  <c r="B69" i="52"/>
  <c r="H68" i="52"/>
  <c r="G68" i="52"/>
  <c r="F68" i="52"/>
  <c r="E68" i="52"/>
  <c r="D68" i="52"/>
  <c r="C68" i="52"/>
  <c r="B68" i="52"/>
  <c r="H67" i="52"/>
  <c r="G67" i="52"/>
  <c r="F67" i="52"/>
  <c r="E67" i="52"/>
  <c r="D67" i="52"/>
  <c r="C67" i="52"/>
  <c r="B67" i="52"/>
  <c r="H66" i="52"/>
  <c r="G66" i="52"/>
  <c r="F66" i="52"/>
  <c r="E66" i="52"/>
  <c r="D66" i="52"/>
  <c r="C66" i="52"/>
  <c r="B66" i="52"/>
  <c r="H65" i="52"/>
  <c r="G65" i="52"/>
  <c r="F65" i="52"/>
  <c r="E65" i="52"/>
  <c r="D65" i="52"/>
  <c r="C65" i="52"/>
  <c r="B65" i="52"/>
  <c r="H64" i="52"/>
  <c r="G64" i="52"/>
  <c r="F64" i="52"/>
  <c r="E64" i="52"/>
  <c r="D64" i="52"/>
  <c r="C64" i="52"/>
  <c r="B64" i="52"/>
  <c r="H63" i="52"/>
  <c r="G63" i="52"/>
  <c r="F63" i="52"/>
  <c r="E63" i="52"/>
  <c r="D63" i="52"/>
  <c r="C63" i="52"/>
  <c r="B63" i="52"/>
  <c r="H62" i="52"/>
  <c r="G62" i="52"/>
  <c r="F62" i="52"/>
  <c r="E62" i="52"/>
  <c r="D62" i="52"/>
  <c r="C62" i="52"/>
  <c r="B62" i="52"/>
  <c r="H61" i="52"/>
  <c r="G61" i="52"/>
  <c r="F61" i="52"/>
  <c r="E61" i="52"/>
  <c r="D61" i="52"/>
  <c r="C61" i="52"/>
  <c r="B61" i="52"/>
  <c r="H60" i="52"/>
  <c r="G60" i="52"/>
  <c r="F60" i="52"/>
  <c r="E60" i="52"/>
  <c r="D60" i="52"/>
  <c r="C60" i="52"/>
  <c r="B60" i="52"/>
  <c r="H59" i="52"/>
  <c r="G59" i="52"/>
  <c r="F59" i="52"/>
  <c r="E59" i="52"/>
  <c r="D59" i="52"/>
  <c r="C59" i="52"/>
  <c r="B59" i="52"/>
  <c r="H58" i="52"/>
  <c r="G58" i="52"/>
  <c r="F58" i="52"/>
  <c r="E58" i="52"/>
  <c r="D58" i="52"/>
  <c r="C58" i="52"/>
  <c r="B58" i="52"/>
  <c r="H57" i="52"/>
  <c r="G57" i="52"/>
  <c r="F57" i="52"/>
  <c r="E57" i="52"/>
  <c r="D57" i="52"/>
  <c r="C57" i="52"/>
  <c r="B57" i="52"/>
  <c r="H56" i="52"/>
  <c r="G56" i="52"/>
  <c r="F56" i="52"/>
  <c r="E56" i="52"/>
  <c r="D56" i="52"/>
  <c r="C56" i="52"/>
  <c r="B56" i="52"/>
  <c r="H55" i="52"/>
  <c r="G55" i="52"/>
  <c r="F55" i="52"/>
  <c r="E55" i="52"/>
  <c r="D55" i="52"/>
  <c r="C55" i="52"/>
  <c r="B55" i="52"/>
  <c r="H54" i="52"/>
  <c r="G54" i="52"/>
  <c r="F54" i="52"/>
  <c r="E54" i="52"/>
  <c r="D54" i="52"/>
  <c r="C54" i="52"/>
  <c r="B54" i="52"/>
  <c r="H53" i="52"/>
  <c r="G53" i="52"/>
  <c r="F53" i="52"/>
  <c r="E53" i="52"/>
  <c r="D53" i="52"/>
  <c r="C53" i="52"/>
  <c r="B53" i="52"/>
  <c r="H52" i="52"/>
  <c r="G52" i="52"/>
  <c r="F52" i="52"/>
  <c r="E52" i="52"/>
  <c r="D52" i="52"/>
  <c r="C52" i="52"/>
  <c r="B52" i="52"/>
  <c r="H51" i="52"/>
  <c r="G51" i="52"/>
  <c r="F51" i="52"/>
  <c r="E51" i="52"/>
  <c r="D51" i="52"/>
  <c r="C51" i="52"/>
  <c r="B51" i="52"/>
  <c r="H50" i="52"/>
  <c r="G50" i="52"/>
  <c r="F50" i="52"/>
  <c r="E50" i="52"/>
  <c r="D50" i="52"/>
  <c r="C50" i="52"/>
  <c r="B50" i="52"/>
  <c r="H49" i="52"/>
  <c r="G49" i="52"/>
  <c r="F49" i="52"/>
  <c r="E49" i="52"/>
  <c r="D49" i="52"/>
  <c r="C49" i="52"/>
  <c r="B49" i="52"/>
  <c r="H48" i="52"/>
  <c r="G48" i="52"/>
  <c r="F48" i="52"/>
  <c r="E48" i="52"/>
  <c r="D48" i="52"/>
  <c r="C48" i="52"/>
  <c r="B48" i="52"/>
  <c r="H47" i="52"/>
  <c r="G47" i="52"/>
  <c r="F47" i="52"/>
  <c r="E47" i="52"/>
  <c r="D47" i="52"/>
  <c r="C47" i="52"/>
  <c r="B47" i="52"/>
  <c r="H46" i="52"/>
  <c r="G46" i="52"/>
  <c r="F46" i="52"/>
  <c r="E46" i="52"/>
  <c r="D46" i="52"/>
  <c r="C46" i="52"/>
  <c r="B46" i="52"/>
  <c r="H45" i="52"/>
  <c r="G45" i="52"/>
  <c r="F45" i="52"/>
  <c r="E45" i="52"/>
  <c r="D45" i="52"/>
  <c r="C45" i="52"/>
  <c r="B45" i="52"/>
  <c r="H44" i="52"/>
  <c r="G44" i="52"/>
  <c r="F44" i="52"/>
  <c r="E44" i="52"/>
  <c r="D44" i="52"/>
  <c r="C44" i="52"/>
  <c r="B44" i="52"/>
  <c r="H43" i="52"/>
  <c r="G43" i="52"/>
  <c r="F43" i="52"/>
  <c r="E43" i="52"/>
  <c r="D43" i="52"/>
  <c r="C43" i="52"/>
  <c r="B43" i="52"/>
  <c r="H42" i="52"/>
  <c r="G42" i="52"/>
  <c r="F42" i="52"/>
  <c r="E42" i="52"/>
  <c r="D42" i="52"/>
  <c r="C42" i="52"/>
  <c r="B42" i="52"/>
  <c r="H41" i="52"/>
  <c r="G41" i="52"/>
  <c r="F41" i="52"/>
  <c r="E41" i="52"/>
  <c r="D41" i="52"/>
  <c r="C41" i="52"/>
  <c r="B41" i="52"/>
  <c r="H40" i="52"/>
  <c r="G40" i="52"/>
  <c r="F40" i="52"/>
  <c r="E40" i="52"/>
  <c r="D40" i="52"/>
  <c r="C40" i="52"/>
  <c r="B40" i="52"/>
  <c r="H39" i="52"/>
  <c r="G39" i="52"/>
  <c r="F39" i="52"/>
  <c r="E39" i="52"/>
  <c r="D39" i="52"/>
  <c r="C39" i="52"/>
  <c r="B39" i="52"/>
  <c r="H38" i="52"/>
  <c r="G38" i="52"/>
  <c r="F38" i="52"/>
  <c r="E38" i="52"/>
  <c r="D38" i="52"/>
  <c r="C38" i="52"/>
  <c r="B38" i="52"/>
  <c r="H37" i="52"/>
  <c r="G37" i="52"/>
  <c r="F37" i="52"/>
  <c r="E37" i="52"/>
  <c r="D37" i="52"/>
  <c r="C37" i="52"/>
  <c r="B37" i="52"/>
  <c r="H36" i="52"/>
  <c r="G36" i="52"/>
  <c r="F36" i="52"/>
  <c r="E36" i="52"/>
  <c r="D36" i="52"/>
  <c r="C36" i="52"/>
  <c r="B36" i="52"/>
  <c r="H35" i="52"/>
  <c r="G35" i="52"/>
  <c r="F35" i="52"/>
  <c r="E35" i="52"/>
  <c r="D35" i="52"/>
  <c r="C35" i="52"/>
  <c r="B35" i="52"/>
  <c r="H34" i="52"/>
  <c r="G34" i="52"/>
  <c r="F34" i="52"/>
  <c r="E34" i="52"/>
  <c r="D34" i="52"/>
  <c r="C34" i="52"/>
  <c r="B34" i="52"/>
  <c r="H33" i="52"/>
  <c r="G33" i="52"/>
  <c r="F33" i="52"/>
  <c r="E33" i="52"/>
  <c r="D33" i="52"/>
  <c r="C33" i="52"/>
  <c r="B33" i="52"/>
  <c r="H32" i="52"/>
  <c r="G32" i="52"/>
  <c r="F32" i="52"/>
  <c r="E32" i="52"/>
  <c r="D32" i="52"/>
  <c r="C32" i="52"/>
  <c r="B32" i="52"/>
  <c r="H31" i="52"/>
  <c r="G31" i="52"/>
  <c r="F31" i="52"/>
  <c r="E31" i="52"/>
  <c r="D31" i="52"/>
  <c r="C31" i="52"/>
  <c r="B31" i="52"/>
  <c r="H30" i="52"/>
  <c r="G30" i="52"/>
  <c r="F30" i="52"/>
  <c r="E30" i="52"/>
  <c r="D30" i="52"/>
  <c r="C30" i="52"/>
  <c r="B30" i="52"/>
  <c r="H29" i="52"/>
  <c r="G29" i="52"/>
  <c r="F29" i="52"/>
  <c r="E29" i="52"/>
  <c r="D29" i="52"/>
  <c r="C29" i="52"/>
  <c r="B29" i="52"/>
  <c r="H28" i="52"/>
  <c r="G28" i="52"/>
  <c r="F28" i="52"/>
  <c r="E28" i="52"/>
  <c r="D28" i="52"/>
  <c r="C28" i="52"/>
  <c r="B28" i="52"/>
  <c r="H27" i="52"/>
  <c r="G27" i="52"/>
  <c r="F27" i="52"/>
  <c r="E27" i="52"/>
  <c r="D27" i="52"/>
  <c r="C27" i="52"/>
  <c r="B27" i="52"/>
  <c r="H26" i="52"/>
  <c r="G26" i="52"/>
  <c r="F26" i="52"/>
  <c r="E26" i="52"/>
  <c r="D26" i="52"/>
  <c r="C26" i="52"/>
  <c r="B26" i="52"/>
  <c r="H25" i="52"/>
  <c r="G25" i="52"/>
  <c r="F25" i="52"/>
  <c r="E25" i="52"/>
  <c r="D25" i="52"/>
  <c r="C25" i="52"/>
  <c r="B25" i="52"/>
  <c r="H24" i="52"/>
  <c r="G24" i="52"/>
  <c r="F24" i="52"/>
  <c r="E24" i="52"/>
  <c r="D24" i="52"/>
  <c r="C24" i="52"/>
  <c r="B24" i="52"/>
  <c r="H23" i="52"/>
  <c r="G23" i="52"/>
  <c r="F23" i="52"/>
  <c r="E23" i="52"/>
  <c r="D23" i="52"/>
  <c r="C23" i="52"/>
  <c r="B23" i="52"/>
  <c r="H22" i="52"/>
  <c r="G22" i="52"/>
  <c r="F22" i="52"/>
  <c r="E22" i="52"/>
  <c r="D22" i="52"/>
  <c r="C22" i="52"/>
  <c r="B22" i="52"/>
  <c r="H21" i="52"/>
  <c r="G21" i="52"/>
  <c r="F21" i="52"/>
  <c r="E21" i="52"/>
  <c r="D21" i="52"/>
  <c r="C21" i="52"/>
  <c r="B21" i="52"/>
  <c r="H20" i="52"/>
  <c r="G20" i="52"/>
  <c r="F20" i="52"/>
  <c r="E20" i="52"/>
  <c r="D20" i="52"/>
  <c r="C20" i="52"/>
  <c r="B20" i="52"/>
  <c r="H19" i="52"/>
  <c r="G19" i="52"/>
  <c r="F19" i="52"/>
  <c r="E19" i="52"/>
  <c r="D19" i="52"/>
  <c r="C19" i="52"/>
  <c r="B19" i="52"/>
  <c r="H18" i="52"/>
  <c r="G18" i="52"/>
  <c r="F18" i="52"/>
  <c r="E18" i="52"/>
  <c r="D18" i="52"/>
  <c r="C18" i="52"/>
  <c r="B18" i="52"/>
  <c r="H17" i="52"/>
  <c r="G17" i="52"/>
  <c r="F17" i="52"/>
  <c r="E17" i="52"/>
  <c r="D17" i="52"/>
  <c r="C17" i="52"/>
  <c r="B17" i="52"/>
  <c r="H16" i="52"/>
  <c r="G16" i="52"/>
  <c r="F16" i="52"/>
  <c r="E16" i="52"/>
  <c r="D16" i="52"/>
  <c r="C16" i="52"/>
  <c r="B16" i="52"/>
  <c r="H15" i="52"/>
  <c r="G15" i="52"/>
  <c r="F15" i="52"/>
  <c r="E15" i="52"/>
  <c r="D15" i="52"/>
  <c r="C15" i="52"/>
  <c r="B15" i="52"/>
  <c r="H14" i="52"/>
  <c r="G14" i="52"/>
  <c r="F14" i="52"/>
  <c r="E14" i="52"/>
  <c r="D14" i="52"/>
  <c r="C14" i="52"/>
  <c r="B14" i="52"/>
  <c r="H13" i="52"/>
  <c r="G13" i="52"/>
  <c r="F13" i="52"/>
  <c r="E13" i="52"/>
  <c r="D13" i="52"/>
  <c r="C13" i="52"/>
  <c r="B13" i="52"/>
  <c r="H12" i="52"/>
  <c r="G12" i="52"/>
  <c r="F12" i="52"/>
  <c r="E12" i="52"/>
  <c r="D12" i="52"/>
  <c r="C12" i="52"/>
  <c r="B12" i="52"/>
  <c r="H11" i="52"/>
  <c r="G11" i="52"/>
  <c r="F11" i="52"/>
  <c r="E11" i="52"/>
  <c r="D11" i="52"/>
  <c r="C11" i="52"/>
  <c r="B11" i="52"/>
  <c r="H10" i="52"/>
  <c r="G10" i="52"/>
  <c r="F10" i="52"/>
  <c r="E10" i="52"/>
  <c r="D10" i="52"/>
  <c r="C10" i="52"/>
  <c r="B10" i="52"/>
  <c r="H9" i="52"/>
  <c r="G9" i="52"/>
  <c r="F9" i="52"/>
  <c r="E9" i="52"/>
  <c r="D9" i="52"/>
  <c r="C9" i="52"/>
  <c r="B9" i="52"/>
  <c r="E42" i="37"/>
  <c r="DM8" i="52" l="1" a="1"/>
  <c r="DM8" i="52" s="1"/>
  <c r="DN8" i="52" s="1"/>
  <c r="A332" i="28" l="1"/>
  <c r="A333" i="28"/>
  <c r="A334" i="28"/>
  <c r="A335" i="28"/>
  <c r="E74" i="38" l="1"/>
  <c r="D74" i="38"/>
  <c r="C74" i="38"/>
  <c r="B74" i="38"/>
  <c r="E73" i="38"/>
  <c r="D73" i="38"/>
  <c r="C73" i="38"/>
  <c r="B73" i="38"/>
  <c r="E72" i="38"/>
  <c r="D72" i="38"/>
  <c r="C72" i="38"/>
  <c r="B72" i="38"/>
  <c r="E71" i="38"/>
  <c r="D71" i="38"/>
  <c r="C71" i="38"/>
  <c r="B71" i="38"/>
  <c r="E70" i="38"/>
  <c r="D70" i="38"/>
  <c r="C70" i="38"/>
  <c r="B70" i="38"/>
  <c r="E69" i="38"/>
  <c r="D69" i="38"/>
  <c r="C69" i="38"/>
  <c r="B69" i="38"/>
  <c r="E110" i="38"/>
  <c r="D110" i="38"/>
  <c r="C110" i="38"/>
  <c r="B110" i="38"/>
  <c r="E109" i="38"/>
  <c r="D109" i="38"/>
  <c r="C109" i="38"/>
  <c r="B109" i="38"/>
  <c r="E108" i="38"/>
  <c r="D108" i="38"/>
  <c r="C108" i="38"/>
  <c r="B108" i="38"/>
  <c r="E107" i="38"/>
  <c r="D107" i="38"/>
  <c r="C107" i="38"/>
  <c r="B107" i="38"/>
  <c r="E106" i="38"/>
  <c r="D106" i="38"/>
  <c r="C106" i="38"/>
  <c r="B106" i="38"/>
  <c r="E105" i="38"/>
  <c r="D105" i="38"/>
  <c r="C105" i="38"/>
  <c r="B105" i="38"/>
  <c r="E104" i="38"/>
  <c r="D104" i="38"/>
  <c r="C104" i="38"/>
  <c r="B104" i="38"/>
  <c r="E103" i="38"/>
  <c r="D103" i="38"/>
  <c r="C103" i="38"/>
  <c r="B103" i="38"/>
  <c r="E102" i="38"/>
  <c r="D102" i="38"/>
  <c r="C102" i="38"/>
  <c r="B102" i="38"/>
  <c r="E101" i="38"/>
  <c r="D101" i="38"/>
  <c r="C101" i="38"/>
  <c r="B101" i="38"/>
  <c r="E100" i="38"/>
  <c r="D100" i="38"/>
  <c r="C100" i="38"/>
  <c r="B100" i="38"/>
  <c r="E99" i="38"/>
  <c r="D99" i="38"/>
  <c r="C99" i="38"/>
  <c r="B99" i="38"/>
  <c r="E97" i="38"/>
  <c r="D97" i="38"/>
  <c r="C97" i="38"/>
  <c r="B97" i="38"/>
  <c r="E96" i="38"/>
  <c r="D96" i="38"/>
  <c r="C96" i="38"/>
  <c r="B96" i="38"/>
  <c r="E95" i="38"/>
  <c r="D95" i="38"/>
  <c r="C95" i="38"/>
  <c r="B95" i="38"/>
  <c r="A97" i="38" l="1"/>
  <c r="A107" i="38"/>
  <c r="A96" i="38"/>
  <c r="A100" i="38"/>
  <c r="A95" i="38"/>
  <c r="A102" i="38"/>
  <c r="A108" i="38"/>
  <c r="A69" i="38"/>
  <c r="A74" i="38"/>
  <c r="A70" i="38"/>
  <c r="A106" i="38"/>
  <c r="A99" i="38"/>
  <c r="A103" i="38"/>
  <c r="A71" i="38"/>
  <c r="A73" i="38"/>
  <c r="A72" i="38"/>
  <c r="A104" i="38"/>
  <c r="A110" i="38"/>
  <c r="A101" i="38"/>
  <c r="A105" i="38"/>
  <c r="A109" i="38"/>
  <c r="F9" i="82" l="1"/>
  <c r="C9" i="82"/>
  <c r="O4" i="82" s="1"/>
  <c r="D9" i="82" l="1"/>
  <c r="N4" i="82" s="1"/>
  <c r="CE6" i="49" l="1"/>
  <c r="CD6" i="49"/>
  <c r="CC6" i="49"/>
  <c r="CB6" i="49"/>
  <c r="CA6" i="49"/>
  <c r="BZ6" i="49"/>
  <c r="BY6" i="49"/>
  <c r="BX6" i="49"/>
  <c r="BW6" i="49"/>
  <c r="BV6" i="49"/>
  <c r="BU6" i="49"/>
  <c r="BT6" i="49"/>
  <c r="BS6" i="49"/>
  <c r="BR6" i="49"/>
  <c r="BQ6" i="49"/>
  <c r="BP6" i="49"/>
  <c r="BO6" i="49"/>
  <c r="BN6" i="49"/>
  <c r="BM6" i="49"/>
  <c r="BL6" i="49"/>
  <c r="BK6" i="49"/>
  <c r="BJ6" i="49"/>
  <c r="BI6" i="49"/>
  <c r="BH6" i="49"/>
  <c r="BG6" i="49"/>
  <c r="BF6" i="49"/>
  <c r="BE6" i="49"/>
  <c r="BD6" i="49"/>
  <c r="BC6" i="49"/>
  <c r="BB6" i="49"/>
  <c r="BA6" i="49"/>
  <c r="AZ6" i="49"/>
  <c r="AY6" i="49"/>
  <c r="AX6" i="49"/>
  <c r="AW6" i="49"/>
  <c r="C13" i="38" l="1"/>
  <c r="D10" i="81" s="1"/>
  <c r="F24" i="31" l="1"/>
  <c r="C10" i="89" l="1"/>
  <c r="C9" i="89"/>
  <c r="C8" i="89"/>
  <c r="C7" i="89"/>
  <c r="K311" i="28" l="1"/>
  <c r="K310" i="28"/>
  <c r="K309" i="28"/>
  <c r="K308" i="28"/>
  <c r="K307" i="28"/>
  <c r="K306" i="28"/>
  <c r="K305" i="28"/>
  <c r="K304" i="28"/>
  <c r="K303" i="28"/>
  <c r="K302" i="28"/>
  <c r="K301" i="28"/>
  <c r="K300" i="28"/>
  <c r="K299" i="28"/>
  <c r="K298" i="28"/>
  <c r="K297" i="28"/>
  <c r="K296" i="28"/>
  <c r="K295" i="28"/>
  <c r="K294" i="28"/>
  <c r="K293" i="28"/>
  <c r="K292" i="28"/>
  <c r="K291" i="28"/>
  <c r="K290" i="28"/>
  <c r="K289" i="28"/>
  <c r="K288" i="28"/>
  <c r="K287" i="28"/>
  <c r="K286" i="28"/>
  <c r="K285" i="28"/>
  <c r="K284" i="28"/>
  <c r="K283" i="28"/>
  <c r="K282" i="28"/>
  <c r="K281" i="28"/>
  <c r="K280" i="28"/>
  <c r="K279" i="28"/>
  <c r="K278" i="28"/>
  <c r="K277" i="28"/>
  <c r="K276" i="28"/>
  <c r="K275" i="28"/>
  <c r="K274" i="28"/>
  <c r="K273" i="28"/>
  <c r="K272" i="28"/>
  <c r="K271" i="28"/>
  <c r="K270" i="28"/>
  <c r="K269" i="28"/>
  <c r="K268" i="28"/>
  <c r="K267" i="28"/>
  <c r="K266" i="28"/>
  <c r="K265" i="28"/>
  <c r="K264" i="28"/>
  <c r="K263" i="28"/>
  <c r="K262" i="28"/>
  <c r="K261" i="28"/>
  <c r="K260" i="28"/>
  <c r="K259" i="28"/>
  <c r="K258" i="28"/>
  <c r="K257" i="28"/>
  <c r="K256" i="28"/>
  <c r="K255" i="28"/>
  <c r="K254" i="28"/>
  <c r="K253" i="28"/>
  <c r="K252" i="28"/>
  <c r="K251" i="28"/>
  <c r="K250" i="28"/>
  <c r="K249" i="28"/>
  <c r="K248" i="28"/>
  <c r="K247" i="28"/>
  <c r="K246" i="28"/>
  <c r="K245" i="28"/>
  <c r="K244" i="28"/>
  <c r="K243" i="28"/>
  <c r="K242" i="28"/>
  <c r="K241" i="28"/>
  <c r="K240" i="28"/>
  <c r="K239" i="28"/>
  <c r="K238" i="28"/>
  <c r="K237" i="28"/>
  <c r="K236" i="28"/>
  <c r="K235" i="28"/>
  <c r="K234" i="28"/>
  <c r="K233" i="28"/>
  <c r="K232" i="28"/>
  <c r="K231" i="28"/>
  <c r="K230" i="28"/>
  <c r="K229" i="28"/>
  <c r="K228" i="28"/>
  <c r="K227" i="28"/>
  <c r="K226" i="28"/>
  <c r="K225" i="28"/>
  <c r="K224" i="28"/>
  <c r="K223" i="28"/>
  <c r="K222" i="28"/>
  <c r="K221" i="28"/>
  <c r="K220" i="28"/>
  <c r="K219" i="28"/>
  <c r="K218" i="28"/>
  <c r="K217" i="28"/>
  <c r="K216" i="28"/>
  <c r="K215" i="28"/>
  <c r="K214" i="28"/>
  <c r="K213" i="28"/>
  <c r="K212" i="28"/>
  <c r="K211" i="28"/>
  <c r="K210" i="28"/>
  <c r="K209" i="28"/>
  <c r="K208" i="28"/>
  <c r="K207" i="28"/>
  <c r="K206" i="28"/>
  <c r="K205" i="28"/>
  <c r="K204" i="28"/>
  <c r="K203" i="28"/>
  <c r="K202" i="28"/>
  <c r="K201" i="28"/>
  <c r="K200" i="28"/>
  <c r="K199" i="28"/>
  <c r="K198" i="28"/>
  <c r="K197" i="28"/>
  <c r="K196" i="28"/>
  <c r="K195" i="28"/>
  <c r="K194" i="28"/>
  <c r="K193" i="28"/>
  <c r="K192" i="28"/>
  <c r="K191" i="28"/>
  <c r="K190" i="28"/>
  <c r="K189" i="28"/>
  <c r="K188" i="28"/>
  <c r="K187" i="28"/>
  <c r="K186" i="28"/>
  <c r="K185" i="28"/>
  <c r="K184" i="28"/>
  <c r="K183" i="28"/>
  <c r="K182" i="28"/>
  <c r="K181" i="28"/>
  <c r="K180" i="28"/>
  <c r="K179" i="28"/>
  <c r="K178" i="28"/>
  <c r="K177" i="28"/>
  <c r="K176" i="28"/>
  <c r="K175" i="28"/>
  <c r="K174" i="28"/>
  <c r="K173" i="28"/>
  <c r="K172" i="28"/>
  <c r="K171" i="28"/>
  <c r="K170" i="28"/>
  <c r="K169" i="28"/>
  <c r="K168" i="28"/>
  <c r="K167" i="28"/>
  <c r="K166" i="28"/>
  <c r="K165" i="28"/>
  <c r="K164" i="28"/>
  <c r="K163" i="28"/>
  <c r="K162" i="28"/>
  <c r="K161" i="28"/>
  <c r="K160" i="28"/>
  <c r="K159" i="28"/>
  <c r="K158" i="28"/>
  <c r="K157" i="28"/>
  <c r="K156" i="28"/>
  <c r="K155" i="28"/>
  <c r="K154" i="28"/>
  <c r="K153" i="28"/>
  <c r="K152" i="28"/>
  <c r="K151" i="28"/>
  <c r="K150" i="28"/>
  <c r="K149" i="28"/>
  <c r="K148" i="28"/>
  <c r="K147" i="28"/>
  <c r="K146" i="28"/>
  <c r="K145" i="28"/>
  <c r="K144" i="28"/>
  <c r="K143" i="28"/>
  <c r="K142" i="28"/>
  <c r="K141" i="28"/>
  <c r="K140" i="28"/>
  <c r="K139" i="28"/>
  <c r="K138" i="28"/>
  <c r="K137" i="28"/>
  <c r="K136" i="28"/>
  <c r="K135" i="28"/>
  <c r="K134" i="28"/>
  <c r="K133" i="28"/>
  <c r="K132" i="28"/>
  <c r="K131" i="28"/>
  <c r="K130" i="28"/>
  <c r="K129" i="28"/>
  <c r="K128" i="28"/>
  <c r="K127" i="28"/>
  <c r="K126" i="28"/>
  <c r="K125" i="28"/>
  <c r="K124" i="28"/>
  <c r="K123" i="28"/>
  <c r="K122" i="28"/>
  <c r="K121" i="28"/>
  <c r="K120" i="28"/>
  <c r="K119" i="28"/>
  <c r="K118" i="28"/>
  <c r="K117" i="28"/>
  <c r="K116" i="28"/>
  <c r="K115" i="28"/>
  <c r="K114" i="28"/>
  <c r="K113" i="28"/>
  <c r="K112" i="28"/>
  <c r="K111" i="28"/>
  <c r="K110" i="28"/>
  <c r="K109" i="28"/>
  <c r="K108" i="28"/>
  <c r="K107" i="28"/>
  <c r="K106" i="28"/>
  <c r="K105" i="28"/>
  <c r="K104" i="28"/>
  <c r="K103" i="28"/>
  <c r="K102" i="28"/>
  <c r="K101" i="28"/>
  <c r="K100" i="28"/>
  <c r="K99" i="28"/>
  <c r="K98" i="28"/>
  <c r="K97" i="28"/>
  <c r="K96" i="28"/>
  <c r="K95" i="28"/>
  <c r="K94" i="28"/>
  <c r="K93" i="28"/>
  <c r="K92" i="28"/>
  <c r="K91" i="28"/>
  <c r="K90" i="28"/>
  <c r="K89" i="28"/>
  <c r="K88" i="28"/>
  <c r="K87" i="28"/>
  <c r="K86" i="28"/>
  <c r="K85" i="28"/>
  <c r="K84" i="28"/>
  <c r="K83" i="28"/>
  <c r="K82" i="28"/>
  <c r="K81" i="28"/>
  <c r="K80" i="28"/>
  <c r="K79" i="28"/>
  <c r="K78" i="28"/>
  <c r="K77" i="28"/>
  <c r="K76" i="28"/>
  <c r="K75" i="28"/>
  <c r="K74" i="28"/>
  <c r="K73" i="28"/>
  <c r="K72" i="28"/>
  <c r="K71" i="28"/>
  <c r="K70" i="28"/>
  <c r="K69" i="28"/>
  <c r="K68" i="28"/>
  <c r="K67" i="28"/>
  <c r="K66" i="28"/>
  <c r="K65" i="28"/>
  <c r="K64" i="28"/>
  <c r="K63" i="28"/>
  <c r="K62" i="28"/>
  <c r="K61" i="28"/>
  <c r="K60" i="28"/>
  <c r="K59" i="28"/>
  <c r="K58" i="28"/>
  <c r="K57" i="28"/>
  <c r="K56" i="28"/>
  <c r="K55" i="28"/>
  <c r="K54" i="28"/>
  <c r="K53" i="28"/>
  <c r="K52" i="28"/>
  <c r="K51" i="28"/>
  <c r="K50" i="28"/>
  <c r="K49" i="28"/>
  <c r="K48" i="28"/>
  <c r="K47" i="28"/>
  <c r="K46" i="28"/>
  <c r="K45" i="28"/>
  <c r="K44" i="28"/>
  <c r="K43" i="28"/>
  <c r="K42" i="28"/>
  <c r="K41" i="28"/>
  <c r="K40" i="28"/>
  <c r="K39" i="28"/>
  <c r="K38" i="28"/>
  <c r="K37" i="28"/>
  <c r="K36" i="28"/>
  <c r="K35" i="28"/>
  <c r="K34" i="28"/>
  <c r="K33" i="28"/>
  <c r="K32" i="28"/>
  <c r="K31" i="28"/>
  <c r="K30" i="28"/>
  <c r="K29" i="28"/>
  <c r="K28" i="28"/>
  <c r="K27" i="28"/>
  <c r="K26" i="28"/>
  <c r="K25" i="28"/>
  <c r="K24" i="28"/>
  <c r="K23" i="28"/>
  <c r="K22" i="28"/>
  <c r="K21" i="28"/>
  <c r="K20" i="28"/>
  <c r="K19" i="28"/>
  <c r="K18" i="28"/>
  <c r="K17" i="28"/>
  <c r="K16" i="28"/>
  <c r="K15" i="28"/>
  <c r="K14" i="28"/>
  <c r="K13" i="28"/>
  <c r="K12" i="28"/>
  <c r="K11" i="28"/>
  <c r="K10" i="28"/>
  <c r="K9" i="28"/>
  <c r="K8" i="28"/>
  <c r="K7" i="28"/>
  <c r="K6" i="28"/>
  <c r="H116" i="49" l="1"/>
  <c r="H109" i="49"/>
  <c r="H113" i="49"/>
  <c r="H114" i="49" s="1"/>
  <c r="H115" i="49" s="1"/>
  <c r="H106" i="49"/>
  <c r="H107" i="49" s="1"/>
  <c r="H108" i="49" s="1"/>
  <c r="H110" i="49"/>
  <c r="H111" i="49" s="1"/>
  <c r="H112" i="49" s="1"/>
  <c r="H103" i="49"/>
  <c r="H104" i="49" s="1"/>
  <c r="H105" i="49" s="1"/>
  <c r="G116" i="49"/>
  <c r="F116" i="49"/>
  <c r="E116" i="49"/>
  <c r="G109" i="49"/>
  <c r="F109" i="49"/>
  <c r="E109" i="49"/>
  <c r="G113" i="49"/>
  <c r="G114" i="49" s="1"/>
  <c r="G115" i="49" s="1"/>
  <c r="F113" i="49"/>
  <c r="F114" i="49" s="1"/>
  <c r="F115" i="49" s="1"/>
  <c r="E113" i="49"/>
  <c r="G106" i="49"/>
  <c r="G107" i="49" s="1"/>
  <c r="G108" i="49" s="1"/>
  <c r="F106" i="49"/>
  <c r="F107" i="49" s="1"/>
  <c r="F108" i="49" s="1"/>
  <c r="E106" i="49"/>
  <c r="E107" i="49" s="1"/>
  <c r="G110" i="49"/>
  <c r="G111" i="49" s="1"/>
  <c r="G112" i="49" s="1"/>
  <c r="F110" i="49"/>
  <c r="F111" i="49" s="1"/>
  <c r="F112" i="49" s="1"/>
  <c r="E110" i="49"/>
  <c r="E111" i="49" s="1"/>
  <c r="E112" i="49" s="1"/>
  <c r="G103" i="49"/>
  <c r="G104" i="49" s="1"/>
  <c r="G105" i="49" s="1"/>
  <c r="F103" i="49"/>
  <c r="F104" i="49" s="1"/>
  <c r="F105" i="49" s="1"/>
  <c r="E103" i="49"/>
  <c r="E104" i="49" s="1"/>
  <c r="E105" i="49" s="1"/>
  <c r="D116" i="49"/>
  <c r="D109" i="49"/>
  <c r="D113" i="49"/>
  <c r="D114" i="49" s="1"/>
  <c r="D115" i="49" s="1"/>
  <c r="D106" i="49"/>
  <c r="D107" i="49" s="1"/>
  <c r="D108" i="49" s="1"/>
  <c r="D110" i="49"/>
  <c r="D111" i="49" s="1"/>
  <c r="D112" i="49" s="1"/>
  <c r="D103" i="49"/>
  <c r="D104" i="49" s="1"/>
  <c r="D105" i="49" s="1"/>
  <c r="C116" i="49"/>
  <c r="C109" i="49"/>
  <c r="C113" i="49"/>
  <c r="C114" i="49" s="1"/>
  <c r="C106" i="49"/>
  <c r="C107" i="49" s="1"/>
  <c r="C108" i="49" s="1"/>
  <c r="C110" i="49"/>
  <c r="C111" i="49" s="1"/>
  <c r="C103" i="49"/>
  <c r="C104" i="49" s="1"/>
  <c r="H52" i="40"/>
  <c r="G52" i="40"/>
  <c r="F52" i="40"/>
  <c r="E52" i="40"/>
  <c r="D52" i="40"/>
  <c r="C52" i="40"/>
  <c r="B52" i="40"/>
  <c r="H49" i="40"/>
  <c r="G49" i="40"/>
  <c r="F49" i="40"/>
  <c r="E49" i="40"/>
  <c r="D49" i="40"/>
  <c r="C49" i="40"/>
  <c r="B49" i="40"/>
  <c r="H51" i="40"/>
  <c r="G51" i="40"/>
  <c r="F51" i="40"/>
  <c r="E51" i="40"/>
  <c r="D51" i="40"/>
  <c r="C51" i="40"/>
  <c r="B51" i="40"/>
  <c r="H48" i="40"/>
  <c r="G48" i="40"/>
  <c r="F48" i="40"/>
  <c r="E48" i="40"/>
  <c r="D48" i="40"/>
  <c r="C48" i="40"/>
  <c r="B48" i="40"/>
  <c r="H50" i="40"/>
  <c r="G50" i="40"/>
  <c r="F50" i="40"/>
  <c r="E50" i="40"/>
  <c r="D50" i="40"/>
  <c r="C50" i="40"/>
  <c r="B50" i="40"/>
  <c r="H47" i="40"/>
  <c r="G47" i="40"/>
  <c r="F47" i="40"/>
  <c r="E47" i="40"/>
  <c r="D47" i="40"/>
  <c r="C47" i="40"/>
  <c r="B47" i="40"/>
  <c r="E108" i="49" l="1"/>
  <c r="B107" i="49"/>
  <c r="B116" i="49"/>
  <c r="C115" i="49"/>
  <c r="C112" i="49"/>
  <c r="C105" i="49"/>
  <c r="B113" i="49"/>
  <c r="B106" i="49"/>
  <c r="B110" i="49"/>
  <c r="E114" i="49"/>
  <c r="E115" i="49" s="1"/>
  <c r="B104" i="49"/>
  <c r="B103" i="49"/>
  <c r="B109" i="49"/>
  <c r="EY52" i="32"/>
  <c r="EX52" i="32"/>
  <c r="EW52" i="32"/>
  <c r="EV52" i="32"/>
  <c r="EU52" i="32"/>
  <c r="ET52" i="32"/>
  <c r="ES52" i="32"/>
  <c r="ER52" i="32"/>
  <c r="EN52" i="32"/>
  <c r="EM52" i="32"/>
  <c r="EL52" i="32"/>
  <c r="EK52" i="32"/>
  <c r="EJ52" i="32"/>
  <c r="EI52" i="32"/>
  <c r="EH52" i="32"/>
  <c r="EG52" i="32"/>
  <c r="EE52" i="32"/>
  <c r="ED52" i="32"/>
  <c r="EC52" i="32"/>
  <c r="EB52" i="32"/>
  <c r="EA52" i="32"/>
  <c r="DZ52" i="32"/>
  <c r="DY52" i="32"/>
  <c r="DX52" i="32"/>
  <c r="EY49" i="32"/>
  <c r="EX49" i="32"/>
  <c r="EW49" i="32"/>
  <c r="EV49" i="32"/>
  <c r="EU49" i="32"/>
  <c r="ET49" i="32"/>
  <c r="ES49" i="32"/>
  <c r="ER49" i="32"/>
  <c r="EN49" i="32"/>
  <c r="EM49" i="32"/>
  <c r="EL49" i="32"/>
  <c r="EK49" i="32"/>
  <c r="EJ49" i="32"/>
  <c r="EI49" i="32"/>
  <c r="EH49" i="32"/>
  <c r="EG49" i="32"/>
  <c r="EE49" i="32"/>
  <c r="ED49" i="32"/>
  <c r="EC49" i="32"/>
  <c r="EB49" i="32"/>
  <c r="EA49" i="32"/>
  <c r="DZ49" i="32"/>
  <c r="DY49" i="32"/>
  <c r="DX49" i="32"/>
  <c r="EY51" i="32"/>
  <c r="EX51" i="32"/>
  <c r="EW51" i="32"/>
  <c r="EV51" i="32"/>
  <c r="EU51" i="32"/>
  <c r="ET51" i="32"/>
  <c r="ES51" i="32"/>
  <c r="ER51" i="32"/>
  <c r="EN51" i="32"/>
  <c r="EM51" i="32"/>
  <c r="EL51" i="32"/>
  <c r="EK51" i="32"/>
  <c r="EJ51" i="32"/>
  <c r="EI51" i="32"/>
  <c r="EH51" i="32"/>
  <c r="EG51" i="32"/>
  <c r="EE51" i="32"/>
  <c r="ED51" i="32"/>
  <c r="EC51" i="32"/>
  <c r="EB51" i="32"/>
  <c r="EA51" i="32"/>
  <c r="DZ51" i="32"/>
  <c r="DY51" i="32"/>
  <c r="DX51" i="32"/>
  <c r="EY48" i="32"/>
  <c r="EX48" i="32"/>
  <c r="EW48" i="32"/>
  <c r="EV48" i="32"/>
  <c r="EU48" i="32"/>
  <c r="ET48" i="32"/>
  <c r="ES48" i="32"/>
  <c r="ER48" i="32"/>
  <c r="EN48" i="32"/>
  <c r="EM48" i="32"/>
  <c r="EL48" i="32"/>
  <c r="EK48" i="32"/>
  <c r="EJ48" i="32"/>
  <c r="EI48" i="32"/>
  <c r="EH48" i="32"/>
  <c r="EG48" i="32"/>
  <c r="EE48" i="32"/>
  <c r="ED48" i="32"/>
  <c r="EC48" i="32"/>
  <c r="EB48" i="32"/>
  <c r="EA48" i="32"/>
  <c r="DZ48" i="32"/>
  <c r="DY48" i="32"/>
  <c r="DX48" i="32"/>
  <c r="EY50" i="32"/>
  <c r="EX50" i="32"/>
  <c r="EW50" i="32"/>
  <c r="EV50" i="32"/>
  <c r="EU50" i="32"/>
  <c r="ET50" i="32"/>
  <c r="ES50" i="32"/>
  <c r="ER50" i="32"/>
  <c r="EN50" i="32"/>
  <c r="EM50" i="32"/>
  <c r="EL50" i="32"/>
  <c r="EK50" i="32"/>
  <c r="EJ50" i="32"/>
  <c r="EI50" i="32"/>
  <c r="EH50" i="32"/>
  <c r="EG50" i="32"/>
  <c r="EE50" i="32"/>
  <c r="ED50" i="32"/>
  <c r="EC50" i="32"/>
  <c r="EB50" i="32"/>
  <c r="EA50" i="32"/>
  <c r="DZ50" i="32"/>
  <c r="DY50" i="32"/>
  <c r="DX50" i="32"/>
  <c r="EY47" i="32"/>
  <c r="EX47" i="32"/>
  <c r="EW47" i="32"/>
  <c r="EV47" i="32"/>
  <c r="EU47" i="32"/>
  <c r="ET47" i="32"/>
  <c r="ES47" i="32"/>
  <c r="ER47" i="32"/>
  <c r="EN47" i="32"/>
  <c r="EM47" i="32"/>
  <c r="EL47" i="32"/>
  <c r="EK47" i="32"/>
  <c r="EJ47" i="32"/>
  <c r="EI47" i="32"/>
  <c r="EH47" i="32"/>
  <c r="EG47" i="32"/>
  <c r="EE47" i="32"/>
  <c r="ED47" i="32"/>
  <c r="EC47" i="32"/>
  <c r="EB47" i="32"/>
  <c r="EA47" i="32"/>
  <c r="DZ47" i="32"/>
  <c r="DY47" i="32"/>
  <c r="DX47" i="32"/>
  <c r="H167" i="49"/>
  <c r="H168" i="49" s="1"/>
  <c r="H169" i="49" s="1"/>
  <c r="H164" i="49"/>
  <c r="H165" i="49" s="1"/>
  <c r="H166" i="49" s="1"/>
  <c r="H161" i="49"/>
  <c r="H162" i="49" s="1"/>
  <c r="H163" i="49" s="1"/>
  <c r="G167" i="49"/>
  <c r="G168" i="49" s="1"/>
  <c r="G169" i="49" s="1"/>
  <c r="F167" i="49"/>
  <c r="F168" i="49" s="1"/>
  <c r="F169" i="49" s="1"/>
  <c r="E167" i="49"/>
  <c r="E168" i="49" s="1"/>
  <c r="E169" i="49" s="1"/>
  <c r="G164" i="49"/>
  <c r="G165" i="49" s="1"/>
  <c r="G166" i="49" s="1"/>
  <c r="F164" i="49"/>
  <c r="F165" i="49" s="1"/>
  <c r="F166" i="49" s="1"/>
  <c r="E164" i="49"/>
  <c r="E165" i="49" s="1"/>
  <c r="E166" i="49" s="1"/>
  <c r="G161" i="49"/>
  <c r="G162" i="49" s="1"/>
  <c r="G163" i="49" s="1"/>
  <c r="F161" i="49"/>
  <c r="F162" i="49" s="1"/>
  <c r="F163" i="49" s="1"/>
  <c r="E161" i="49"/>
  <c r="D167" i="49"/>
  <c r="D168" i="49" s="1"/>
  <c r="D169" i="49" s="1"/>
  <c r="D164" i="49"/>
  <c r="D165" i="49" s="1"/>
  <c r="D166" i="49" s="1"/>
  <c r="D161" i="49"/>
  <c r="D162" i="49" s="1"/>
  <c r="D163" i="49" s="1"/>
  <c r="C167" i="49"/>
  <c r="C168" i="49" s="1"/>
  <c r="C164" i="49"/>
  <c r="C165" i="49" s="1"/>
  <c r="C161" i="49"/>
  <c r="C162" i="49" s="1"/>
  <c r="EV107" i="40"/>
  <c r="EU107" i="40"/>
  <c r="ET107" i="40"/>
  <c r="DZ107" i="40"/>
  <c r="DY107" i="40"/>
  <c r="DL103" i="40"/>
  <c r="DK103" i="40"/>
  <c r="DJ103" i="40"/>
  <c r="CP103" i="40"/>
  <c r="CO103" i="40"/>
  <c r="CA7" i="40"/>
  <c r="BZ7" i="40"/>
  <c r="BY7" i="40"/>
  <c r="CA6" i="40"/>
  <c r="BZ6" i="40"/>
  <c r="BY6" i="40"/>
  <c r="BE7" i="40"/>
  <c r="BD7" i="40"/>
  <c r="BE6" i="40"/>
  <c r="BD6" i="40"/>
  <c r="BF5" i="40"/>
  <c r="FL5" i="40" s="1"/>
  <c r="BG5" i="40"/>
  <c r="FM5" i="40" s="1"/>
  <c r="BF6" i="40"/>
  <c r="BG6" i="40"/>
  <c r="BF7" i="40"/>
  <c r="BG7" i="40"/>
  <c r="EX229" i="49"/>
  <c r="EW229" i="49"/>
  <c r="EV229" i="49"/>
  <c r="EX6" i="49"/>
  <c r="GI6" i="49" s="1"/>
  <c r="EW6" i="49"/>
  <c r="GH6" i="49" s="1"/>
  <c r="EV6" i="49"/>
  <c r="GG6" i="49" s="1"/>
  <c r="EB229" i="49"/>
  <c r="EA229" i="49"/>
  <c r="EB6" i="49"/>
  <c r="FM6" i="49" s="1"/>
  <c r="EA6" i="49"/>
  <c r="FL6" i="49" s="1"/>
  <c r="DN7" i="49"/>
  <c r="DM7" i="49"/>
  <c r="DL7" i="49"/>
  <c r="DN6" i="49"/>
  <c r="DM6" i="49"/>
  <c r="DL6" i="49"/>
  <c r="CR222" i="49"/>
  <c r="CQ222" i="49"/>
  <c r="CR7" i="49"/>
  <c r="CQ7" i="49"/>
  <c r="CR6" i="49"/>
  <c r="CQ6" i="49"/>
  <c r="AR7" i="49"/>
  <c r="AQ7" i="49"/>
  <c r="AP7" i="49"/>
  <c r="AR6" i="49"/>
  <c r="AQ6" i="49"/>
  <c r="AP6" i="49"/>
  <c r="AR5" i="49"/>
  <c r="AQ5" i="49"/>
  <c r="AP5" i="49"/>
  <c r="V7" i="49"/>
  <c r="U7" i="49"/>
  <c r="V6" i="49"/>
  <c r="U6" i="49"/>
  <c r="V5" i="49"/>
  <c r="U5" i="49"/>
  <c r="GH107" i="32"/>
  <c r="GH14" i="32" s="1"/>
  <c r="GG107" i="32"/>
  <c r="GG11" i="32" s="1"/>
  <c r="GF107" i="32"/>
  <c r="GH7" i="32"/>
  <c r="EX7" i="49" s="1"/>
  <c r="GI7" i="49" s="1"/>
  <c r="GG7" i="32"/>
  <c r="EW7" i="49" s="1"/>
  <c r="GH7" i="49" s="1"/>
  <c r="GF7" i="32"/>
  <c r="EV7" i="49" s="1"/>
  <c r="GG7" i="49" s="1"/>
  <c r="GH5" i="32"/>
  <c r="EX5" i="49" s="1"/>
  <c r="GI5" i="49" s="1"/>
  <c r="GG5" i="32"/>
  <c r="EW5" i="49" s="1"/>
  <c r="GH5" i="49" s="1"/>
  <c r="GF5" i="32"/>
  <c r="EV5" i="49" s="1"/>
  <c r="GG5" i="49" s="1"/>
  <c r="FL107" i="32"/>
  <c r="FK107" i="32"/>
  <c r="FL7" i="32"/>
  <c r="EB7" i="49" s="1"/>
  <c r="FM7" i="49" s="1"/>
  <c r="FK7" i="32"/>
  <c r="EA7" i="49" s="1"/>
  <c r="FL7" i="49" s="1"/>
  <c r="FL5" i="32"/>
  <c r="EB5" i="49" s="1"/>
  <c r="FM5" i="49" s="1"/>
  <c r="FK5" i="32"/>
  <c r="EA5" i="49" s="1"/>
  <c r="FL5" i="49" s="1"/>
  <c r="EW98" i="32"/>
  <c r="EV98" i="32"/>
  <c r="EU98" i="32"/>
  <c r="EW97" i="32"/>
  <c r="EV97" i="32"/>
  <c r="EU97" i="32"/>
  <c r="EW96" i="32"/>
  <c r="EV96" i="32"/>
  <c r="EU96" i="32"/>
  <c r="EW95" i="32"/>
  <c r="EV95" i="32"/>
  <c r="EU95" i="32"/>
  <c r="EW94" i="32"/>
  <c r="EV94" i="32"/>
  <c r="EU94" i="32"/>
  <c r="EW93" i="32"/>
  <c r="EV93" i="32"/>
  <c r="EU93" i="32"/>
  <c r="EW92" i="32"/>
  <c r="EV92" i="32"/>
  <c r="EU92" i="32"/>
  <c r="EW91" i="32"/>
  <c r="EV91" i="32"/>
  <c r="EU91" i="32"/>
  <c r="EW90" i="32"/>
  <c r="EV90" i="32"/>
  <c r="EU90" i="32"/>
  <c r="EW71" i="32"/>
  <c r="EV71" i="32"/>
  <c r="EU71" i="32"/>
  <c r="EW70" i="32"/>
  <c r="EV70" i="32"/>
  <c r="EU70" i="32"/>
  <c r="EW69" i="32"/>
  <c r="EV69" i="32"/>
  <c r="EU69" i="32"/>
  <c r="EW68" i="32"/>
  <c r="EV68" i="32"/>
  <c r="EU68" i="32"/>
  <c r="EW67" i="32"/>
  <c r="EV67" i="32"/>
  <c r="EU67" i="32"/>
  <c r="EW66" i="32"/>
  <c r="EV66" i="32"/>
  <c r="EU66" i="32"/>
  <c r="EW65" i="32"/>
  <c r="EV65" i="32"/>
  <c r="EU65" i="32"/>
  <c r="EW64" i="32"/>
  <c r="EV64" i="32"/>
  <c r="EU64" i="32"/>
  <c r="EW63" i="32"/>
  <c r="EV63" i="32"/>
  <c r="EU63" i="32"/>
  <c r="EW88" i="32"/>
  <c r="EV88" i="32"/>
  <c r="EU88" i="32"/>
  <c r="EW87" i="32"/>
  <c r="EV87" i="32"/>
  <c r="EU87" i="32"/>
  <c r="EW86" i="32"/>
  <c r="EV86" i="32"/>
  <c r="EU86" i="32"/>
  <c r="EW85" i="32"/>
  <c r="EV85" i="32"/>
  <c r="EU85" i="32"/>
  <c r="EW84" i="32"/>
  <c r="EV84" i="32"/>
  <c r="EU84" i="32"/>
  <c r="EW83" i="32"/>
  <c r="EV83" i="32"/>
  <c r="EU83" i="32"/>
  <c r="EW62" i="32"/>
  <c r="EV62" i="32"/>
  <c r="EU62" i="32"/>
  <c r="EW61" i="32"/>
  <c r="EV61" i="32"/>
  <c r="EU61" i="32"/>
  <c r="EW60" i="32"/>
  <c r="EV60" i="32"/>
  <c r="EU60" i="32"/>
  <c r="EW82" i="32"/>
  <c r="EV82" i="32"/>
  <c r="EU82" i="32"/>
  <c r="EW81" i="32"/>
  <c r="EV81" i="32"/>
  <c r="EU81" i="32"/>
  <c r="EW80" i="32"/>
  <c r="EV80" i="32"/>
  <c r="EU80" i="32"/>
  <c r="EW59" i="32"/>
  <c r="EV59" i="32"/>
  <c r="EU59" i="32"/>
  <c r="EW58" i="32"/>
  <c r="EV58" i="32"/>
  <c r="EU58" i="32"/>
  <c r="EW57" i="32"/>
  <c r="EV57" i="32"/>
  <c r="EU57" i="32"/>
  <c r="EW56" i="32"/>
  <c r="EV56" i="32"/>
  <c r="EU56" i="32"/>
  <c r="EW55" i="32"/>
  <c r="EV55" i="32"/>
  <c r="EU55" i="32"/>
  <c r="EW54" i="32"/>
  <c r="EV54" i="32"/>
  <c r="EU54" i="32"/>
  <c r="EW79" i="32"/>
  <c r="EV79" i="32"/>
  <c r="EU79" i="32"/>
  <c r="EW78" i="32"/>
  <c r="EV78" i="32"/>
  <c r="EU78" i="32"/>
  <c r="EW77" i="32"/>
  <c r="EV77" i="32"/>
  <c r="EU77" i="32"/>
  <c r="EW45" i="32"/>
  <c r="EV45" i="32"/>
  <c r="EU45" i="32"/>
  <c r="EW44" i="32"/>
  <c r="EV44" i="32"/>
  <c r="EU44" i="32"/>
  <c r="EW43" i="32"/>
  <c r="EV43" i="32"/>
  <c r="EU43" i="32"/>
  <c r="EW42" i="32"/>
  <c r="EV42" i="32"/>
  <c r="EU42" i="32"/>
  <c r="EW41" i="32"/>
  <c r="EV41" i="32"/>
  <c r="EU41" i="32"/>
  <c r="EW40" i="32"/>
  <c r="EV40" i="32"/>
  <c r="EU40" i="32"/>
  <c r="EW39" i="32"/>
  <c r="EV39" i="32"/>
  <c r="EU39" i="32"/>
  <c r="EW38" i="32"/>
  <c r="EV38" i="32"/>
  <c r="EU38" i="32"/>
  <c r="EW37" i="32"/>
  <c r="EV37" i="32"/>
  <c r="EU37" i="32"/>
  <c r="EW36" i="32"/>
  <c r="EV36" i="32"/>
  <c r="EU36" i="32"/>
  <c r="EW35" i="32"/>
  <c r="EV35" i="32"/>
  <c r="EU35" i="32"/>
  <c r="EW34" i="32"/>
  <c r="EV34" i="32"/>
  <c r="EU34" i="32"/>
  <c r="EW33" i="32"/>
  <c r="EV33" i="32"/>
  <c r="EU33" i="32"/>
  <c r="EW32" i="32"/>
  <c r="EV32" i="32"/>
  <c r="EU32" i="32"/>
  <c r="EW31" i="32"/>
  <c r="EV31" i="32"/>
  <c r="EU31" i="32"/>
  <c r="EW30" i="32"/>
  <c r="EV30" i="32"/>
  <c r="EU30" i="32"/>
  <c r="EW29" i="32"/>
  <c r="EV29" i="32"/>
  <c r="EU29" i="32"/>
  <c r="EW28" i="32"/>
  <c r="EV28" i="32"/>
  <c r="EU28" i="32"/>
  <c r="EW27" i="32"/>
  <c r="EV27" i="32"/>
  <c r="EU27" i="32"/>
  <c r="EW26" i="32"/>
  <c r="EV26" i="32"/>
  <c r="EU26" i="32"/>
  <c r="EW25" i="32"/>
  <c r="EV25" i="32"/>
  <c r="EU25" i="32"/>
  <c r="EW23" i="32"/>
  <c r="EV23" i="32"/>
  <c r="EU23" i="32"/>
  <c r="EW22" i="32"/>
  <c r="EV22" i="32"/>
  <c r="EU22" i="32"/>
  <c r="EW21" i="32"/>
  <c r="EV21" i="32"/>
  <c r="EU21" i="32"/>
  <c r="EW20" i="32"/>
  <c r="EV20" i="32"/>
  <c r="EU20" i="32"/>
  <c r="EW19" i="32"/>
  <c r="EV19" i="32"/>
  <c r="EU19" i="32"/>
  <c r="EW18" i="32"/>
  <c r="EV18" i="32"/>
  <c r="EU18" i="32"/>
  <c r="EW17" i="32"/>
  <c r="EV17" i="32"/>
  <c r="EU17" i="32"/>
  <c r="EW16" i="32"/>
  <c r="EV16" i="32"/>
  <c r="EU16" i="32"/>
  <c r="EW15" i="32"/>
  <c r="EV15" i="32"/>
  <c r="EU15" i="32"/>
  <c r="EW14" i="32"/>
  <c r="EV14" i="32"/>
  <c r="EU14" i="32"/>
  <c r="EW13" i="32"/>
  <c r="EV13" i="32"/>
  <c r="EU13" i="32"/>
  <c r="EW12" i="32"/>
  <c r="EV12" i="32"/>
  <c r="EU12" i="32"/>
  <c r="EW11" i="32"/>
  <c r="EV11" i="32"/>
  <c r="EU11" i="32"/>
  <c r="EW10" i="32"/>
  <c r="EV10" i="32"/>
  <c r="EU10" i="32"/>
  <c r="EW5" i="32"/>
  <c r="EV5" i="32"/>
  <c r="EU5" i="32"/>
  <c r="EA98" i="32"/>
  <c r="DZ98" i="32"/>
  <c r="EA97" i="32"/>
  <c r="DZ97" i="32"/>
  <c r="EA96" i="32"/>
  <c r="DZ96" i="32"/>
  <c r="EA95" i="32"/>
  <c r="DZ95" i="32"/>
  <c r="EA94" i="32"/>
  <c r="DZ94" i="32"/>
  <c r="EA93" i="32"/>
  <c r="DZ93" i="32"/>
  <c r="EA92" i="32"/>
  <c r="DZ92" i="32"/>
  <c r="EA91" i="32"/>
  <c r="DZ91" i="32"/>
  <c r="EA90" i="32"/>
  <c r="DZ90" i="32"/>
  <c r="EA71" i="32"/>
  <c r="DZ71" i="32"/>
  <c r="EA70" i="32"/>
  <c r="DZ70" i="32"/>
  <c r="EA69" i="32"/>
  <c r="DZ69" i="32"/>
  <c r="EA68" i="32"/>
  <c r="DZ68" i="32"/>
  <c r="EA67" i="32"/>
  <c r="DZ67" i="32"/>
  <c r="EA66" i="32"/>
  <c r="DZ66" i="32"/>
  <c r="EA65" i="32"/>
  <c r="DZ65" i="32"/>
  <c r="EA64" i="32"/>
  <c r="DZ64" i="32"/>
  <c r="EA63" i="32"/>
  <c r="DZ63" i="32"/>
  <c r="EA88" i="32"/>
  <c r="DZ88" i="32"/>
  <c r="EA87" i="32"/>
  <c r="DZ87" i="32"/>
  <c r="EA86" i="32"/>
  <c r="DZ86" i="32"/>
  <c r="EA85" i="32"/>
  <c r="DZ85" i="32"/>
  <c r="EA84" i="32"/>
  <c r="DZ84" i="32"/>
  <c r="EA83" i="32"/>
  <c r="DZ83" i="32"/>
  <c r="EA62" i="32"/>
  <c r="DZ62" i="32"/>
  <c r="EA61" i="32"/>
  <c r="DZ61" i="32"/>
  <c r="EA60" i="32"/>
  <c r="DZ60" i="32"/>
  <c r="EA82" i="32"/>
  <c r="DZ82" i="32"/>
  <c r="EA81" i="32"/>
  <c r="DZ81" i="32"/>
  <c r="EA80" i="32"/>
  <c r="DZ80" i="32"/>
  <c r="EA59" i="32"/>
  <c r="DZ59" i="32"/>
  <c r="EA58" i="32"/>
  <c r="DZ58" i="32"/>
  <c r="EA57" i="32"/>
  <c r="DZ57" i="32"/>
  <c r="EA56" i="32"/>
  <c r="DZ56" i="32"/>
  <c r="EA55" i="32"/>
  <c r="DZ55" i="32"/>
  <c r="EA54" i="32"/>
  <c r="DZ54" i="32"/>
  <c r="EA79" i="32"/>
  <c r="DZ79" i="32"/>
  <c r="EA78" i="32"/>
  <c r="DZ78" i="32"/>
  <c r="EA77" i="32"/>
  <c r="DZ77" i="32"/>
  <c r="EA45" i="32"/>
  <c r="DZ45" i="32"/>
  <c r="EA44" i="32"/>
  <c r="DZ44" i="32"/>
  <c r="EA43" i="32"/>
  <c r="DZ43" i="32"/>
  <c r="EA42" i="32"/>
  <c r="DZ42" i="32"/>
  <c r="EA41" i="32"/>
  <c r="DZ41" i="32"/>
  <c r="EA40" i="32"/>
  <c r="DZ40" i="32"/>
  <c r="EA39" i="32"/>
  <c r="DZ39" i="32"/>
  <c r="EA38" i="32"/>
  <c r="DZ38" i="32"/>
  <c r="EA37" i="32"/>
  <c r="DZ37" i="32"/>
  <c r="EA36" i="32"/>
  <c r="DZ36" i="32"/>
  <c r="EA35" i="32"/>
  <c r="DZ35" i="32"/>
  <c r="EA34" i="32"/>
  <c r="DZ34" i="32"/>
  <c r="EA33" i="32"/>
  <c r="DZ33" i="32"/>
  <c r="EA32" i="32"/>
  <c r="DZ32" i="32"/>
  <c r="EA31" i="32"/>
  <c r="DZ31" i="32"/>
  <c r="EA30" i="32"/>
  <c r="DZ30" i="32"/>
  <c r="EA29" i="32"/>
  <c r="DZ29" i="32"/>
  <c r="EA28" i="32"/>
  <c r="DZ28" i="32"/>
  <c r="EA27" i="32"/>
  <c r="DZ27" i="32"/>
  <c r="EA26" i="32"/>
  <c r="DZ26" i="32"/>
  <c r="EA25" i="32"/>
  <c r="DZ25" i="32"/>
  <c r="EA23" i="32"/>
  <c r="DZ23" i="32"/>
  <c r="EA22" i="32"/>
  <c r="DZ22" i="32"/>
  <c r="EA21" i="32"/>
  <c r="DZ21" i="32"/>
  <c r="EA20" i="32"/>
  <c r="DZ20" i="32"/>
  <c r="EA19" i="32"/>
  <c r="DZ19" i="32"/>
  <c r="EA18" i="32"/>
  <c r="DZ18" i="32"/>
  <c r="EA17" i="32"/>
  <c r="DZ17" i="32"/>
  <c r="EA16" i="32"/>
  <c r="DZ16" i="32"/>
  <c r="EA15" i="32"/>
  <c r="DZ15" i="32"/>
  <c r="EA14" i="32"/>
  <c r="DZ14" i="32"/>
  <c r="EA13" i="32"/>
  <c r="DZ13" i="32"/>
  <c r="EA12" i="32"/>
  <c r="DZ12" i="32"/>
  <c r="EA11" i="32"/>
  <c r="DZ11" i="32"/>
  <c r="EA10" i="32"/>
  <c r="DZ10" i="32"/>
  <c r="EA5" i="32"/>
  <c r="DZ5" i="32"/>
  <c r="DM5" i="32"/>
  <c r="DN5" i="49" s="1"/>
  <c r="DL5" i="32"/>
  <c r="DM5" i="49" s="1"/>
  <c r="DK5" i="32"/>
  <c r="DL5" i="49" s="1"/>
  <c r="DM3" i="32"/>
  <c r="DL3" i="32"/>
  <c r="DK3" i="32"/>
  <c r="CQ5" i="32"/>
  <c r="CR5" i="49" s="1"/>
  <c r="CP5" i="32"/>
  <c r="CQ5" i="49" s="1"/>
  <c r="CQ3" i="32"/>
  <c r="CP3" i="32"/>
  <c r="CC7" i="32"/>
  <c r="CC7" i="49" s="1"/>
  <c r="CB7" i="32"/>
  <c r="CB7" i="49" s="1"/>
  <c r="CA7" i="32"/>
  <c r="CA7" i="49" s="1"/>
  <c r="CC5" i="32"/>
  <c r="CC5" i="49" s="1"/>
  <c r="CB5" i="32"/>
  <c r="CB5" i="49" s="1"/>
  <c r="CA5" i="32"/>
  <c r="CA5" i="49" s="1"/>
  <c r="BG7" i="32"/>
  <c r="BG7" i="49" s="1"/>
  <c r="BF7" i="32"/>
  <c r="BF7" i="49" s="1"/>
  <c r="BG5" i="32"/>
  <c r="BG5" i="49" s="1"/>
  <c r="BF5" i="32"/>
  <c r="BF5" i="49" s="1"/>
  <c r="BH5" i="32"/>
  <c r="BH5" i="49" s="1"/>
  <c r="BI5" i="32"/>
  <c r="BI5" i="49" s="1"/>
  <c r="BH7" i="32"/>
  <c r="BH7" i="49" s="1"/>
  <c r="BI7" i="32"/>
  <c r="BI7" i="49" s="1"/>
  <c r="EY74" i="32"/>
  <c r="EX74" i="32"/>
  <c r="ET74" i="32"/>
  <c r="ES74" i="32"/>
  <c r="ER74" i="32"/>
  <c r="EN74" i="32"/>
  <c r="EM74" i="32"/>
  <c r="EL74" i="32"/>
  <c r="EK74" i="32"/>
  <c r="EJ74" i="32"/>
  <c r="EI74" i="32"/>
  <c r="EH74" i="32"/>
  <c r="EG74" i="32"/>
  <c r="EF74" i="32"/>
  <c r="EE74" i="32"/>
  <c r="ED74" i="32"/>
  <c r="EC74" i="32"/>
  <c r="EB74" i="32"/>
  <c r="DY74" i="32"/>
  <c r="DX74" i="32"/>
  <c r="EY73" i="32"/>
  <c r="EX73" i="32"/>
  <c r="ET73" i="32"/>
  <c r="ES73" i="32"/>
  <c r="ER73" i="32"/>
  <c r="EN73" i="32"/>
  <c r="EM73" i="32"/>
  <c r="EL73" i="32"/>
  <c r="EK73" i="32"/>
  <c r="EJ73" i="32"/>
  <c r="EI73" i="32"/>
  <c r="EH73" i="32"/>
  <c r="EG73" i="32"/>
  <c r="EF73" i="32"/>
  <c r="EE73" i="32"/>
  <c r="ED73" i="32"/>
  <c r="EC73" i="32"/>
  <c r="EB73" i="32"/>
  <c r="DY73" i="32"/>
  <c r="DX73" i="32"/>
  <c r="EY75" i="32"/>
  <c r="EX75" i="32"/>
  <c r="ET75" i="32"/>
  <c r="ES75" i="32"/>
  <c r="ER75" i="32"/>
  <c r="EM75" i="32"/>
  <c r="EL75" i="32"/>
  <c r="EK75" i="32"/>
  <c r="EJ75" i="32"/>
  <c r="EI75" i="32"/>
  <c r="EH75" i="32"/>
  <c r="EG75" i="32"/>
  <c r="EF75" i="32"/>
  <c r="EE75" i="32"/>
  <c r="ED75" i="32"/>
  <c r="EC75" i="32"/>
  <c r="EB75" i="32"/>
  <c r="DY75" i="32"/>
  <c r="DX75" i="32"/>
  <c r="GG10" i="32" l="1"/>
  <c r="GF51" i="32"/>
  <c r="GG86" i="32"/>
  <c r="GH64" i="32"/>
  <c r="EV202" i="49"/>
  <c r="EW18" i="49"/>
  <c r="GH10" i="32"/>
  <c r="GH30" i="32"/>
  <c r="GH13" i="32"/>
  <c r="GG15" i="32"/>
  <c r="GH17" i="32"/>
  <c r="GG18" i="32"/>
  <c r="GH18" i="32"/>
  <c r="GH20" i="32"/>
  <c r="GH25" i="32"/>
  <c r="GG28" i="32"/>
  <c r="GH28" i="32"/>
  <c r="GH34" i="32"/>
  <c r="GG37" i="32"/>
  <c r="GG43" i="32"/>
  <c r="GH44" i="32"/>
  <c r="GG22" i="32"/>
  <c r="GG23" i="32"/>
  <c r="GH45" i="32"/>
  <c r="GG13" i="32"/>
  <c r="GH38" i="32"/>
  <c r="GG56" i="32"/>
  <c r="GG17" i="32"/>
  <c r="GG25" i="32"/>
  <c r="GG60" i="32"/>
  <c r="GG12" i="32"/>
  <c r="GH19" i="32"/>
  <c r="GG34" i="32"/>
  <c r="GH55" i="32"/>
  <c r="GG21" i="32"/>
  <c r="GH35" i="32"/>
  <c r="GH57" i="32"/>
  <c r="GG82" i="32"/>
  <c r="GG16" i="32"/>
  <c r="GH26" i="32"/>
  <c r="GH39" i="32"/>
  <c r="GH83" i="32"/>
  <c r="GH16" i="32"/>
  <c r="GG27" i="32"/>
  <c r="GG40" i="32"/>
  <c r="GH86" i="32"/>
  <c r="GG33" i="32"/>
  <c r="GG77" i="32"/>
  <c r="GH11" i="32"/>
  <c r="GG19" i="32"/>
  <c r="GH33" i="32"/>
  <c r="GH79" i="32"/>
  <c r="GH29" i="32"/>
  <c r="GH43" i="32"/>
  <c r="GH88" i="32"/>
  <c r="GG83" i="32"/>
  <c r="GH66" i="32"/>
  <c r="GH84" i="32"/>
  <c r="GH70" i="32"/>
  <c r="GH12" i="32"/>
  <c r="GH37" i="32"/>
  <c r="GH54" i="32"/>
  <c r="GH87" i="32"/>
  <c r="GH21" i="32"/>
  <c r="GH31" i="32"/>
  <c r="GH40" i="32"/>
  <c r="GH59" i="32"/>
  <c r="GH71" i="32"/>
  <c r="GH15" i="32"/>
  <c r="GH32" i="32"/>
  <c r="GH41" i="32"/>
  <c r="GH80" i="32"/>
  <c r="GH22" i="32"/>
  <c r="GH42" i="32"/>
  <c r="GH58" i="32"/>
  <c r="GH65" i="32"/>
  <c r="GG14" i="32"/>
  <c r="GG20" i="32"/>
  <c r="GH27" i="32"/>
  <c r="GH36" i="32"/>
  <c r="GG45" i="32"/>
  <c r="GH82" i="32"/>
  <c r="GH93" i="32"/>
  <c r="GH23" i="32"/>
  <c r="GG31" i="32"/>
  <c r="GG39" i="32"/>
  <c r="GH78" i="32"/>
  <c r="GH62" i="32"/>
  <c r="GG66" i="32"/>
  <c r="EW36" i="49"/>
  <c r="EV20" i="49"/>
  <c r="EV173" i="49"/>
  <c r="EV108" i="49"/>
  <c r="EV107" i="49"/>
  <c r="EW34" i="49"/>
  <c r="EW108" i="49"/>
  <c r="EW107" i="49"/>
  <c r="EV40" i="49"/>
  <c r="GI229" i="49"/>
  <c r="EX108" i="49"/>
  <c r="EX107" i="49"/>
  <c r="EW44" i="49"/>
  <c r="EW46" i="49"/>
  <c r="EW68" i="49"/>
  <c r="EA108" i="49"/>
  <c r="EA107" i="49"/>
  <c r="EW119" i="49"/>
  <c r="EB108" i="49"/>
  <c r="EB107" i="49"/>
  <c r="EV10" i="49"/>
  <c r="EV181" i="49"/>
  <c r="EW10" i="49"/>
  <c r="EV146" i="49"/>
  <c r="B108" i="49"/>
  <c r="GG54" i="32"/>
  <c r="EV68" i="49"/>
  <c r="GG57" i="32"/>
  <c r="EW20" i="49"/>
  <c r="EW74" i="49"/>
  <c r="EW22" i="49"/>
  <c r="EW76" i="49"/>
  <c r="EV34" i="49"/>
  <c r="EW88" i="49"/>
  <c r="GG95" i="32"/>
  <c r="GF107" i="40"/>
  <c r="GH98" i="32"/>
  <c r="GG107" i="40"/>
  <c r="EV183" i="49"/>
  <c r="GG229" i="49"/>
  <c r="EW183" i="49"/>
  <c r="GH229" i="49"/>
  <c r="GH77" i="32"/>
  <c r="GG80" i="32"/>
  <c r="GG85" i="32"/>
  <c r="GH67" i="32"/>
  <c r="EW12" i="49"/>
  <c r="EW42" i="49"/>
  <c r="EW86" i="49"/>
  <c r="FJ107" i="40"/>
  <c r="GH85" i="32"/>
  <c r="GH68" i="32"/>
  <c r="EA42" i="49"/>
  <c r="FL229" i="49"/>
  <c r="FL96" i="32"/>
  <c r="FK107" i="40"/>
  <c r="GH81" i="32"/>
  <c r="GH69" i="32"/>
  <c r="FM229" i="49"/>
  <c r="EW26" i="49"/>
  <c r="EW54" i="49"/>
  <c r="EV132" i="49"/>
  <c r="GH60" i="32"/>
  <c r="GH63" i="32"/>
  <c r="GH97" i="32"/>
  <c r="EV28" i="49"/>
  <c r="EW58" i="49"/>
  <c r="EW132" i="49"/>
  <c r="GH56" i="32"/>
  <c r="GH61" i="32"/>
  <c r="GG64" i="32"/>
  <c r="GF95" i="32"/>
  <c r="GE107" i="40"/>
  <c r="EW28" i="49"/>
  <c r="EW60" i="49"/>
  <c r="EV144" i="49"/>
  <c r="ET43" i="40"/>
  <c r="CP5" i="40"/>
  <c r="BE5" i="40"/>
  <c r="FK5" i="40" s="1"/>
  <c r="DJ5" i="40"/>
  <c r="BY5" i="40"/>
  <c r="GE5" i="40" s="1"/>
  <c r="DK5" i="40"/>
  <c r="BZ5" i="40"/>
  <c r="GF5" i="40" s="1"/>
  <c r="DL5" i="40"/>
  <c r="CA5" i="40"/>
  <c r="GG5" i="40" s="1"/>
  <c r="CO5" i="40"/>
  <c r="BD5" i="40"/>
  <c r="FJ5" i="40" s="1"/>
  <c r="C169" i="49"/>
  <c r="C163" i="49"/>
  <c r="C166" i="49"/>
  <c r="EB11" i="49"/>
  <c r="EB35" i="49"/>
  <c r="EB47" i="49"/>
  <c r="EA46" i="49"/>
  <c r="EA69" i="49"/>
  <c r="GG49" i="32"/>
  <c r="EA72" i="49"/>
  <c r="ET10" i="40"/>
  <c r="EB92" i="49"/>
  <c r="ET18" i="40"/>
  <c r="EB118" i="49"/>
  <c r="ET20" i="40"/>
  <c r="GH52" i="32"/>
  <c r="EA191" i="49"/>
  <c r="ET28" i="40"/>
  <c r="EA25" i="49"/>
  <c r="EA27" i="49"/>
  <c r="B114" i="49"/>
  <c r="EA37" i="49"/>
  <c r="EA100" i="49"/>
  <c r="EW24" i="49"/>
  <c r="EW40" i="49"/>
  <c r="EV56" i="49"/>
  <c r="EV78" i="49"/>
  <c r="EW204" i="49"/>
  <c r="B111" i="49"/>
  <c r="EW56" i="49"/>
  <c r="EW78" i="49"/>
  <c r="EV217" i="49"/>
  <c r="EV115" i="49"/>
  <c r="EV114" i="49"/>
  <c r="EV113" i="49"/>
  <c r="EV109" i="49"/>
  <c r="EV116" i="49"/>
  <c r="EV105" i="49"/>
  <c r="EV104" i="49"/>
  <c r="EV103" i="49"/>
  <c r="EV106" i="49"/>
  <c r="EV112" i="49"/>
  <c r="EV111" i="49"/>
  <c r="EV110" i="49"/>
  <c r="B115" i="49"/>
  <c r="EW217" i="49"/>
  <c r="EW115" i="49"/>
  <c r="EW114" i="49"/>
  <c r="EW113" i="49"/>
  <c r="EW109" i="49"/>
  <c r="EW116" i="49"/>
  <c r="EW105" i="49"/>
  <c r="EW104" i="49"/>
  <c r="EW103" i="49"/>
  <c r="EW112" i="49"/>
  <c r="EW111" i="49"/>
  <c r="EW110" i="49"/>
  <c r="EW106" i="49"/>
  <c r="EA200" i="49"/>
  <c r="EA109" i="49"/>
  <c r="EA104" i="49"/>
  <c r="EA116" i="49"/>
  <c r="EA105" i="49"/>
  <c r="EA103" i="49"/>
  <c r="EA112" i="49"/>
  <c r="EA111" i="49"/>
  <c r="EA110" i="49"/>
  <c r="EA106" i="49"/>
  <c r="EA115" i="49"/>
  <c r="EA114" i="49"/>
  <c r="EA113" i="49"/>
  <c r="EX217" i="49"/>
  <c r="EX109" i="49"/>
  <c r="EX115" i="49"/>
  <c r="EX116" i="49"/>
  <c r="EX105" i="49"/>
  <c r="EX104" i="49"/>
  <c r="EX103" i="49"/>
  <c r="EX114" i="49"/>
  <c r="EX112" i="49"/>
  <c r="EX111" i="49"/>
  <c r="EX110" i="49"/>
  <c r="EX113" i="49"/>
  <c r="EX106" i="49"/>
  <c r="EA15" i="49"/>
  <c r="EB216" i="49"/>
  <c r="EB109" i="49"/>
  <c r="EB116" i="49"/>
  <c r="EB105" i="49"/>
  <c r="EB104" i="49"/>
  <c r="EB103" i="49"/>
  <c r="EB112" i="49"/>
  <c r="EB111" i="49"/>
  <c r="EB110" i="49"/>
  <c r="EB106" i="49"/>
  <c r="EB115" i="49"/>
  <c r="EB114" i="49"/>
  <c r="EB113" i="49"/>
  <c r="EW14" i="49"/>
  <c r="EW30" i="49"/>
  <c r="EW48" i="49"/>
  <c r="EW62" i="49"/>
  <c r="EV90" i="49"/>
  <c r="EV188" i="49"/>
  <c r="EA17" i="49"/>
  <c r="EV16" i="49"/>
  <c r="EV32" i="49"/>
  <c r="EV50" i="49"/>
  <c r="EW64" i="49"/>
  <c r="EW90" i="49"/>
  <c r="EW188" i="49"/>
  <c r="EB17" i="49"/>
  <c r="EA54" i="49"/>
  <c r="EW16" i="49"/>
  <c r="EW32" i="49"/>
  <c r="EW50" i="49"/>
  <c r="EW66" i="49"/>
  <c r="EW98" i="49"/>
  <c r="EW190" i="49"/>
  <c r="EA22" i="49"/>
  <c r="EA61" i="49"/>
  <c r="EW100" i="49"/>
  <c r="EW192" i="49"/>
  <c r="B105" i="49"/>
  <c r="EA32" i="49"/>
  <c r="EA89" i="49"/>
  <c r="EV22" i="49"/>
  <c r="EW38" i="49"/>
  <c r="EV76" i="49"/>
  <c r="EW125" i="49"/>
  <c r="EV156" i="49"/>
  <c r="DY98" i="40"/>
  <c r="DY52" i="40"/>
  <c r="DY49" i="40"/>
  <c r="DY51" i="40"/>
  <c r="DY48" i="40"/>
  <c r="DY50" i="40"/>
  <c r="DY47" i="40"/>
  <c r="DZ98" i="40"/>
  <c r="DZ49" i="40"/>
  <c r="DZ51" i="40"/>
  <c r="DZ48" i="40"/>
  <c r="DZ50" i="40"/>
  <c r="DZ47" i="40"/>
  <c r="DZ52" i="40"/>
  <c r="ET95" i="40"/>
  <c r="ET47" i="40"/>
  <c r="ET52" i="40"/>
  <c r="ET49" i="40"/>
  <c r="ET51" i="40"/>
  <c r="ET48" i="40"/>
  <c r="ET50" i="40"/>
  <c r="EU95" i="40"/>
  <c r="EU48" i="40"/>
  <c r="EU50" i="40"/>
  <c r="EU52" i="40"/>
  <c r="EU49" i="40"/>
  <c r="EU51" i="40"/>
  <c r="EU47" i="40"/>
  <c r="EV95" i="40"/>
  <c r="EV52" i="40"/>
  <c r="EV49" i="40"/>
  <c r="EV51" i="40"/>
  <c r="EV48" i="40"/>
  <c r="EV50" i="40"/>
  <c r="EV47" i="40"/>
  <c r="EW166" i="49"/>
  <c r="FK47" i="32"/>
  <c r="FL50" i="32"/>
  <c r="FL47" i="32"/>
  <c r="GH91" i="32"/>
  <c r="GG92" i="32"/>
  <c r="GF52" i="32"/>
  <c r="GH92" i="32"/>
  <c r="GF49" i="32"/>
  <c r="GG52" i="32"/>
  <c r="GH95" i="32"/>
  <c r="EW164" i="49"/>
  <c r="E162" i="49"/>
  <c r="GF48" i="32"/>
  <c r="GG51" i="32"/>
  <c r="GH49" i="32"/>
  <c r="FK52" i="32"/>
  <c r="GH96" i="32"/>
  <c r="GF50" i="32"/>
  <c r="GG48" i="32"/>
  <c r="GH51" i="32"/>
  <c r="FK49" i="32"/>
  <c r="FL52" i="32"/>
  <c r="GF47" i="32"/>
  <c r="GG50" i="32"/>
  <c r="GH48" i="32"/>
  <c r="FK51" i="32"/>
  <c r="FL49" i="32"/>
  <c r="GG47" i="32"/>
  <c r="GH50" i="32"/>
  <c r="FK48" i="32"/>
  <c r="FL51" i="32"/>
  <c r="EA118" i="49"/>
  <c r="EW165" i="49"/>
  <c r="GH47" i="32"/>
  <c r="FK50" i="32"/>
  <c r="FL48" i="32"/>
  <c r="B168" i="49"/>
  <c r="B165" i="49"/>
  <c r="EX164" i="49"/>
  <c r="EX165" i="49"/>
  <c r="EX166" i="49"/>
  <c r="B161" i="49"/>
  <c r="EA164" i="49"/>
  <c r="EA165" i="49"/>
  <c r="EA166" i="49"/>
  <c r="B167" i="49"/>
  <c r="EA153" i="49"/>
  <c r="EB164" i="49"/>
  <c r="EB165" i="49"/>
  <c r="EB166" i="49"/>
  <c r="EV161" i="49"/>
  <c r="EV162" i="49"/>
  <c r="EV163" i="49"/>
  <c r="EV167" i="49"/>
  <c r="EV168" i="49"/>
  <c r="EV169" i="49"/>
  <c r="EW161" i="49"/>
  <c r="EW162" i="49"/>
  <c r="EW163" i="49"/>
  <c r="EW167" i="49"/>
  <c r="EW168" i="49"/>
  <c r="EW169" i="49"/>
  <c r="EX161" i="49"/>
  <c r="EX162" i="49"/>
  <c r="EX163" i="49"/>
  <c r="EX167" i="49"/>
  <c r="EX168" i="49"/>
  <c r="EX169" i="49"/>
  <c r="EA161" i="49"/>
  <c r="EA162" i="49"/>
  <c r="EA163" i="49"/>
  <c r="B164" i="49"/>
  <c r="EA167" i="49"/>
  <c r="EA168" i="49"/>
  <c r="EA169" i="49"/>
  <c r="EB161" i="49"/>
  <c r="EB162" i="49"/>
  <c r="EB163" i="49"/>
  <c r="EB167" i="49"/>
  <c r="EB168" i="49"/>
  <c r="EB169" i="49"/>
  <c r="EV164" i="49"/>
  <c r="EV165" i="49"/>
  <c r="EV166" i="49"/>
  <c r="EV10" i="40"/>
  <c r="EA16" i="49"/>
  <c r="EA26" i="49"/>
  <c r="EA36" i="49"/>
  <c r="EA47" i="49"/>
  <c r="EA53" i="49"/>
  <c r="EA71" i="49"/>
  <c r="EA176" i="49"/>
  <c r="EA220" i="49"/>
  <c r="EV48" i="49"/>
  <c r="EV171" i="49"/>
  <c r="EV134" i="49"/>
  <c r="EV204" i="49"/>
  <c r="EV12" i="40"/>
  <c r="EV28" i="40"/>
  <c r="EV13" i="40"/>
  <c r="EV30" i="40"/>
  <c r="EA28" i="49"/>
  <c r="EA38" i="49"/>
  <c r="EA48" i="49"/>
  <c r="EA55" i="49"/>
  <c r="EA77" i="49"/>
  <c r="EV14" i="40"/>
  <c r="EV38" i="40"/>
  <c r="GG29" i="32"/>
  <c r="GG35" i="32"/>
  <c r="GG41" i="32"/>
  <c r="GG78" i="32"/>
  <c r="GG58" i="32"/>
  <c r="GG61" i="32"/>
  <c r="GG70" i="32"/>
  <c r="EA18" i="49"/>
  <c r="EA29" i="49"/>
  <c r="EA39" i="49"/>
  <c r="EA49" i="49"/>
  <c r="EA56" i="49"/>
  <c r="EB77" i="49"/>
  <c r="EA179" i="49"/>
  <c r="EV12" i="49"/>
  <c r="EV24" i="49"/>
  <c r="EV36" i="49"/>
  <c r="EV80" i="49"/>
  <c r="EV121" i="49"/>
  <c r="EV16" i="40"/>
  <c r="EV40" i="40"/>
  <c r="FL31" i="32"/>
  <c r="GG88" i="32"/>
  <c r="EA19" i="49"/>
  <c r="EB29" i="49"/>
  <c r="EA40" i="49"/>
  <c r="EA50" i="49"/>
  <c r="EA58" i="49"/>
  <c r="EA78" i="49"/>
  <c r="EA180" i="49"/>
  <c r="EV64" i="49"/>
  <c r="EV125" i="49"/>
  <c r="EV192" i="49"/>
  <c r="GG30" i="32"/>
  <c r="GG36" i="32"/>
  <c r="GG42" i="32"/>
  <c r="GG79" i="32"/>
  <c r="GG59" i="32"/>
  <c r="GG62" i="32"/>
  <c r="EA10" i="49"/>
  <c r="EA20" i="49"/>
  <c r="EA30" i="49"/>
  <c r="EA41" i="49"/>
  <c r="EA51" i="49"/>
  <c r="EA59" i="49"/>
  <c r="EA80" i="49"/>
  <c r="EA181" i="49"/>
  <c r="EV14" i="49"/>
  <c r="EV26" i="49"/>
  <c r="EV38" i="49"/>
  <c r="EV88" i="49"/>
  <c r="EV44" i="40"/>
  <c r="EA11" i="49"/>
  <c r="EA21" i="49"/>
  <c r="EA31" i="49"/>
  <c r="EB41" i="49"/>
  <c r="EA60" i="49"/>
  <c r="EA88" i="49"/>
  <c r="EA190" i="49"/>
  <c r="EV66" i="49"/>
  <c r="EV127" i="49"/>
  <c r="EV142" i="49"/>
  <c r="EV21" i="40"/>
  <c r="EV60" i="40"/>
  <c r="EV22" i="40"/>
  <c r="EV68" i="40"/>
  <c r="EA12" i="49"/>
  <c r="EA23" i="49"/>
  <c r="EA33" i="49"/>
  <c r="EA43" i="49"/>
  <c r="EA62" i="49"/>
  <c r="EA192" i="49"/>
  <c r="EV70" i="40"/>
  <c r="GG26" i="32"/>
  <c r="GG32" i="32"/>
  <c r="GG38" i="32"/>
  <c r="GG44" i="32"/>
  <c r="GG55" i="32"/>
  <c r="GG81" i="32"/>
  <c r="GG84" i="32"/>
  <c r="EA13" i="49"/>
  <c r="EB23" i="49"/>
  <c r="EA34" i="49"/>
  <c r="EA44" i="49"/>
  <c r="EA63" i="49"/>
  <c r="EA97" i="49"/>
  <c r="EA149" i="49"/>
  <c r="EV18" i="49"/>
  <c r="EV30" i="49"/>
  <c r="EV54" i="49"/>
  <c r="EV98" i="49"/>
  <c r="EV148" i="49"/>
  <c r="DY41" i="40"/>
  <c r="EA14" i="49"/>
  <c r="EA24" i="49"/>
  <c r="EA35" i="49"/>
  <c r="EA45" i="49"/>
  <c r="EA64" i="49"/>
  <c r="EA99" i="49"/>
  <c r="EA150" i="49"/>
  <c r="DY45" i="40"/>
  <c r="EV26" i="40"/>
  <c r="EB58" i="49"/>
  <c r="EB68" i="49"/>
  <c r="EB97" i="49"/>
  <c r="EB125" i="49"/>
  <c r="EB194" i="49"/>
  <c r="EX70" i="49"/>
  <c r="EX91" i="49"/>
  <c r="EB13" i="49"/>
  <c r="EB19" i="49"/>
  <c r="EB25" i="49"/>
  <c r="EB31" i="49"/>
  <c r="EB37" i="49"/>
  <c r="EB43" i="49"/>
  <c r="EB80" i="49"/>
  <c r="EB98" i="49"/>
  <c r="EB130" i="49"/>
  <c r="EB139" i="49"/>
  <c r="ET17" i="40"/>
  <c r="EV36" i="40"/>
  <c r="EB50" i="49"/>
  <c r="EB59" i="49"/>
  <c r="EB70" i="49"/>
  <c r="EB83" i="49"/>
  <c r="EB140" i="49"/>
  <c r="EX49" i="49"/>
  <c r="EX56" i="49"/>
  <c r="EB14" i="49"/>
  <c r="EB20" i="49"/>
  <c r="EB26" i="49"/>
  <c r="EB32" i="49"/>
  <c r="EB38" i="49"/>
  <c r="EB44" i="49"/>
  <c r="EB85" i="49"/>
  <c r="EB51" i="49"/>
  <c r="EB86" i="49"/>
  <c r="EB100" i="49"/>
  <c r="EB15" i="49"/>
  <c r="EB21" i="49"/>
  <c r="EB27" i="49"/>
  <c r="EB33" i="49"/>
  <c r="EB39" i="49"/>
  <c r="EB45" i="49"/>
  <c r="EB53" i="49"/>
  <c r="EB61" i="49"/>
  <c r="EB73" i="49"/>
  <c r="EB173" i="49"/>
  <c r="EB183" i="49"/>
  <c r="EX14" i="49"/>
  <c r="FL45" i="32"/>
  <c r="EB74" i="49"/>
  <c r="EB88" i="49"/>
  <c r="EB175" i="49"/>
  <c r="EB135" i="49"/>
  <c r="EB210" i="49"/>
  <c r="DY13" i="40"/>
  <c r="EV79" i="40"/>
  <c r="EB10" i="49"/>
  <c r="EB16" i="49"/>
  <c r="EB22" i="49"/>
  <c r="EB28" i="49"/>
  <c r="EB34" i="49"/>
  <c r="EB40" i="49"/>
  <c r="EB46" i="49"/>
  <c r="EB62" i="49"/>
  <c r="EB76" i="49"/>
  <c r="EB136" i="49"/>
  <c r="DY15" i="40"/>
  <c r="EB55" i="49"/>
  <c r="EB91" i="49"/>
  <c r="EB187" i="49"/>
  <c r="EX28" i="49"/>
  <c r="EB56" i="49"/>
  <c r="EB65" i="49"/>
  <c r="EB94" i="49"/>
  <c r="EB119" i="49"/>
  <c r="EX140" i="49"/>
  <c r="EB12" i="49"/>
  <c r="EB18" i="49"/>
  <c r="EB24" i="49"/>
  <c r="EB30" i="49"/>
  <c r="EB36" i="49"/>
  <c r="EB42" i="49"/>
  <c r="EB48" i="49"/>
  <c r="EB67" i="49"/>
  <c r="EB79" i="49"/>
  <c r="EB121" i="49"/>
  <c r="DY17" i="40"/>
  <c r="FK61" i="32"/>
  <c r="DY33" i="40"/>
  <c r="EV42" i="40"/>
  <c r="FL61" i="32"/>
  <c r="GF97" i="32"/>
  <c r="FK68" i="32"/>
  <c r="GF29" i="32"/>
  <c r="DY43" i="40"/>
  <c r="GF88" i="32"/>
  <c r="DZ94" i="40"/>
  <c r="GF25" i="32"/>
  <c r="EV64" i="40"/>
  <c r="FK14" i="32"/>
  <c r="EA216" i="49"/>
  <c r="FK20" i="32"/>
  <c r="EV34" i="40"/>
  <c r="ET71" i="40"/>
  <c r="EA65" i="49"/>
  <c r="EA73" i="49"/>
  <c r="EA91" i="49"/>
  <c r="EA121" i="49"/>
  <c r="EA194" i="49"/>
  <c r="EA155" i="49"/>
  <c r="EV42" i="49"/>
  <c r="EV58" i="49"/>
  <c r="EV70" i="49"/>
  <c r="EW80" i="49"/>
  <c r="EV92" i="49"/>
  <c r="EW173" i="49"/>
  <c r="EW127" i="49"/>
  <c r="EW134" i="49"/>
  <c r="EV194" i="49"/>
  <c r="EV150" i="49"/>
  <c r="EV206" i="49"/>
  <c r="DY20" i="40"/>
  <c r="DY77" i="40"/>
  <c r="ET21" i="40"/>
  <c r="ET30" i="40"/>
  <c r="EA81" i="49"/>
  <c r="EA101" i="49"/>
  <c r="EA184" i="49"/>
  <c r="EA156" i="49"/>
  <c r="EW70" i="49"/>
  <c r="EV82" i="49"/>
  <c r="EW92" i="49"/>
  <c r="EX173" i="49"/>
  <c r="EX127" i="49"/>
  <c r="EV136" i="49"/>
  <c r="EW194" i="49"/>
  <c r="EV152" i="49"/>
  <c r="EV208" i="49"/>
  <c r="DY23" i="40"/>
  <c r="DY55" i="40"/>
  <c r="ET12" i="40"/>
  <c r="ET55" i="40"/>
  <c r="EA66" i="49"/>
  <c r="EA74" i="49"/>
  <c r="EA82" i="49"/>
  <c r="EA92" i="49"/>
  <c r="EA172" i="49"/>
  <c r="EA122" i="49"/>
  <c r="EA132" i="49"/>
  <c r="EA196" i="49"/>
  <c r="EA159" i="49"/>
  <c r="EV44" i="49"/>
  <c r="EV60" i="49"/>
  <c r="EW82" i="49"/>
  <c r="EV94" i="49"/>
  <c r="EV175" i="49"/>
  <c r="EV129" i="49"/>
  <c r="EW136" i="49"/>
  <c r="EV196" i="49"/>
  <c r="EW152" i="49"/>
  <c r="EW208" i="49"/>
  <c r="DY56" i="40"/>
  <c r="ET22" i="40"/>
  <c r="ET56" i="40"/>
  <c r="EA67" i="49"/>
  <c r="EA83" i="49"/>
  <c r="EA173" i="49"/>
  <c r="EA125" i="49"/>
  <c r="EA133" i="49"/>
  <c r="EA201" i="49"/>
  <c r="EV72" i="49"/>
  <c r="EV84" i="49"/>
  <c r="EW94" i="49"/>
  <c r="EW175" i="49"/>
  <c r="EW129" i="49"/>
  <c r="EV138" i="49"/>
  <c r="EV198" i="49"/>
  <c r="EV154" i="49"/>
  <c r="EV210" i="49"/>
  <c r="DY80" i="40"/>
  <c r="ET13" i="40"/>
  <c r="ET36" i="40"/>
  <c r="EU60" i="40"/>
  <c r="EA75" i="49"/>
  <c r="EA93" i="49"/>
  <c r="EA140" i="49"/>
  <c r="EA204" i="49"/>
  <c r="EV46" i="49"/>
  <c r="EV62" i="49"/>
  <c r="EW72" i="49"/>
  <c r="EW84" i="49"/>
  <c r="EV96" i="49"/>
  <c r="EV177" i="49"/>
  <c r="EV131" i="49"/>
  <c r="EV186" i="49"/>
  <c r="EV140" i="49"/>
  <c r="EW154" i="49"/>
  <c r="EV212" i="49"/>
  <c r="DY26" i="40"/>
  <c r="DY83" i="40"/>
  <c r="EA68" i="49"/>
  <c r="EA76" i="49"/>
  <c r="EA84" i="49"/>
  <c r="EA174" i="49"/>
  <c r="EA126" i="49"/>
  <c r="EA205" i="49"/>
  <c r="EV74" i="49"/>
  <c r="EV86" i="49"/>
  <c r="EW96" i="49"/>
  <c r="EV119" i="49"/>
  <c r="EV179" i="49"/>
  <c r="EX187" i="49"/>
  <c r="EW140" i="49"/>
  <c r="EX154" i="49"/>
  <c r="EV218" i="49"/>
  <c r="DY27" i="40"/>
  <c r="DY64" i="40"/>
  <c r="ET14" i="40"/>
  <c r="ET84" i="40"/>
  <c r="EA85" i="49"/>
  <c r="EA96" i="49"/>
  <c r="EA128" i="49"/>
  <c r="EA186" i="49"/>
  <c r="EA144" i="49"/>
  <c r="EA206" i="49"/>
  <c r="DY31" i="40"/>
  <c r="ET40" i="40"/>
  <c r="EA129" i="49"/>
  <c r="EA187" i="49"/>
  <c r="EA145" i="49"/>
  <c r="EV158" i="49"/>
  <c r="ET16" i="40"/>
  <c r="EA70" i="49"/>
  <c r="EA177" i="49"/>
  <c r="EA146" i="49"/>
  <c r="EA215" i="49"/>
  <c r="EV100" i="49"/>
  <c r="EV123" i="49"/>
  <c r="EV190" i="49"/>
  <c r="EW142" i="49"/>
  <c r="EV200" i="49"/>
  <c r="DY35" i="40"/>
  <c r="ET42" i="40"/>
  <c r="FL14" i="32"/>
  <c r="FL32" i="32"/>
  <c r="FL78" i="32"/>
  <c r="FL62" i="32"/>
  <c r="FL69" i="32"/>
  <c r="GF10" i="32"/>
  <c r="GF14" i="32"/>
  <c r="GF18" i="32"/>
  <c r="GF22" i="32"/>
  <c r="GF44" i="32"/>
  <c r="DZ43" i="40"/>
  <c r="EU12" i="40"/>
  <c r="EU18" i="40"/>
  <c r="EU32" i="40"/>
  <c r="EU42" i="40"/>
  <c r="FL16" i="32"/>
  <c r="FL35" i="32"/>
  <c r="FL54" i="32"/>
  <c r="FL84" i="32"/>
  <c r="FL71" i="32"/>
  <c r="GF40" i="32"/>
  <c r="EU20" i="40"/>
  <c r="EU84" i="40"/>
  <c r="FL17" i="32"/>
  <c r="FL36" i="32"/>
  <c r="FL55" i="32"/>
  <c r="FL85" i="32"/>
  <c r="FL91" i="32"/>
  <c r="GF11" i="32"/>
  <c r="GF15" i="32"/>
  <c r="GF19" i="32"/>
  <c r="GF23" i="32"/>
  <c r="GF45" i="32"/>
  <c r="GF81" i="32"/>
  <c r="GF90" i="32"/>
  <c r="DZ77" i="40"/>
  <c r="EU44" i="40"/>
  <c r="EU88" i="40"/>
  <c r="FL18" i="32"/>
  <c r="FL37" i="32"/>
  <c r="FL56" i="32"/>
  <c r="FL87" i="32"/>
  <c r="FL92" i="32"/>
  <c r="GF36" i="32"/>
  <c r="EU26" i="40"/>
  <c r="EU36" i="40"/>
  <c r="FL19" i="32"/>
  <c r="FL38" i="32"/>
  <c r="FL58" i="32"/>
  <c r="FL88" i="32"/>
  <c r="FL93" i="32"/>
  <c r="GF41" i="32"/>
  <c r="GF92" i="32"/>
  <c r="EU14" i="40"/>
  <c r="EU77" i="40"/>
  <c r="EU66" i="40"/>
  <c r="FL15" i="32"/>
  <c r="FL25" i="32"/>
  <c r="FL39" i="32"/>
  <c r="FL59" i="32"/>
  <c r="FL63" i="32"/>
  <c r="FL94" i="32"/>
  <c r="GF12" i="32"/>
  <c r="GF16" i="32"/>
  <c r="GF20" i="32"/>
  <c r="GF32" i="32"/>
  <c r="EU22" i="40"/>
  <c r="EU38" i="40"/>
  <c r="FL33" i="32"/>
  <c r="FL83" i="32"/>
  <c r="EU34" i="40"/>
  <c r="FL10" i="32"/>
  <c r="FL20" i="32"/>
  <c r="FL26" i="32"/>
  <c r="FL41" i="32"/>
  <c r="FL80" i="32"/>
  <c r="FL64" i="32"/>
  <c r="FL95" i="32"/>
  <c r="GF37" i="32"/>
  <c r="EU28" i="40"/>
  <c r="FL68" i="32"/>
  <c r="FL79" i="32"/>
  <c r="FL70" i="32"/>
  <c r="FL11" i="32"/>
  <c r="FL21" i="32"/>
  <c r="FL27" i="32"/>
  <c r="FL42" i="32"/>
  <c r="FL81" i="32"/>
  <c r="FL65" i="32"/>
  <c r="FL97" i="32"/>
  <c r="GF28" i="32"/>
  <c r="GF67" i="32"/>
  <c r="DZ83" i="40"/>
  <c r="EU16" i="40"/>
  <c r="EU55" i="40"/>
  <c r="FL12" i="32"/>
  <c r="FL22" i="32"/>
  <c r="FL29" i="32"/>
  <c r="FL43" i="32"/>
  <c r="FL82" i="32"/>
  <c r="FL67" i="32"/>
  <c r="FL98" i="32"/>
  <c r="GF13" i="32"/>
  <c r="GF17" i="32"/>
  <c r="GF21" i="32"/>
  <c r="GF33" i="32"/>
  <c r="DZ38" i="40"/>
  <c r="DZ86" i="40"/>
  <c r="EU10" i="40"/>
  <c r="EU40" i="40"/>
  <c r="EU92" i="40"/>
  <c r="FL13" i="32"/>
  <c r="FL23" i="32"/>
  <c r="FL30" i="32"/>
  <c r="FL44" i="32"/>
  <c r="GF79" i="32"/>
  <c r="DZ20" i="40"/>
  <c r="EU30" i="40"/>
  <c r="EU59" i="40"/>
  <c r="EX29" i="49"/>
  <c r="EX42" i="49"/>
  <c r="EX71" i="49"/>
  <c r="EX84" i="49"/>
  <c r="EX98" i="49"/>
  <c r="EW121" i="49"/>
  <c r="EX128" i="49"/>
  <c r="EW181" i="49"/>
  <c r="EX134" i="49"/>
  <c r="EX194" i="49"/>
  <c r="EW148" i="49"/>
  <c r="EX155" i="49"/>
  <c r="EW202" i="49"/>
  <c r="EW210" i="49"/>
  <c r="DY16" i="40"/>
  <c r="DY29" i="40"/>
  <c r="DZ70" i="40"/>
  <c r="EV17" i="40"/>
  <c r="EV77" i="40"/>
  <c r="EV62" i="40"/>
  <c r="EX22" i="49"/>
  <c r="EX36" i="49"/>
  <c r="EX64" i="49"/>
  <c r="EX78" i="49"/>
  <c r="EX99" i="49"/>
  <c r="EX121" i="49"/>
  <c r="EX181" i="49"/>
  <c r="EX195" i="49"/>
  <c r="EX148" i="49"/>
  <c r="EX202" i="49"/>
  <c r="EX210" i="49"/>
  <c r="EV90" i="40"/>
  <c r="EX16" i="49"/>
  <c r="EX37" i="49"/>
  <c r="EX50" i="49"/>
  <c r="EX58" i="49"/>
  <c r="EX79" i="49"/>
  <c r="EX92" i="49"/>
  <c r="EX175" i="49"/>
  <c r="EX182" i="49"/>
  <c r="EX188" i="49"/>
  <c r="EX142" i="49"/>
  <c r="EW156" i="49"/>
  <c r="EX203" i="49"/>
  <c r="EX211" i="49"/>
  <c r="EX17" i="49"/>
  <c r="EX30" i="49"/>
  <c r="EX44" i="49"/>
  <c r="EX59" i="49"/>
  <c r="EX72" i="49"/>
  <c r="EX86" i="49"/>
  <c r="EX176" i="49"/>
  <c r="EW123" i="49"/>
  <c r="EX129" i="49"/>
  <c r="EX136" i="49"/>
  <c r="EW196" i="49"/>
  <c r="EX143" i="49"/>
  <c r="EW150" i="49"/>
  <c r="EX156" i="49"/>
  <c r="DY34" i="40"/>
  <c r="DY57" i="40"/>
  <c r="EV18" i="40"/>
  <c r="EV84" i="40"/>
  <c r="EV92" i="40"/>
  <c r="EX10" i="49"/>
  <c r="EX24" i="49"/>
  <c r="EX45" i="49"/>
  <c r="EX66" i="49"/>
  <c r="EX87" i="49"/>
  <c r="EX100" i="49"/>
  <c r="EX123" i="49"/>
  <c r="EX137" i="49"/>
  <c r="EX196" i="49"/>
  <c r="EX150" i="49"/>
  <c r="EX215" i="49"/>
  <c r="EV55" i="40"/>
  <c r="EV86" i="40"/>
  <c r="EV94" i="40"/>
  <c r="EX25" i="49"/>
  <c r="EX38" i="49"/>
  <c r="EX67" i="49"/>
  <c r="EX80" i="49"/>
  <c r="EX94" i="49"/>
  <c r="EW177" i="49"/>
  <c r="EX124" i="49"/>
  <c r="EW131" i="49"/>
  <c r="EX183" i="49"/>
  <c r="EX190" i="49"/>
  <c r="EW144" i="49"/>
  <c r="EX151" i="49"/>
  <c r="EW158" i="49"/>
  <c r="DY38" i="40"/>
  <c r="DY81" i="40"/>
  <c r="DY75" i="40"/>
  <c r="EX18" i="49"/>
  <c r="EX32" i="49"/>
  <c r="EX60" i="49"/>
  <c r="EX74" i="49"/>
  <c r="EX95" i="49"/>
  <c r="EW171" i="49"/>
  <c r="EX177" i="49"/>
  <c r="EX131" i="49"/>
  <c r="EW138" i="49"/>
  <c r="EX191" i="49"/>
  <c r="EW198" i="49"/>
  <c r="EX144" i="49"/>
  <c r="EX158" i="49"/>
  <c r="EW206" i="49"/>
  <c r="EW218" i="49"/>
  <c r="DY61" i="40"/>
  <c r="EV20" i="40"/>
  <c r="EV32" i="40"/>
  <c r="EV57" i="40"/>
  <c r="EV88" i="40"/>
  <c r="EV74" i="40"/>
  <c r="EX12" i="49"/>
  <c r="EX33" i="49"/>
  <c r="EX46" i="49"/>
  <c r="EX54" i="49"/>
  <c r="EX75" i="49"/>
  <c r="EX88" i="49"/>
  <c r="EX171" i="49"/>
  <c r="EX178" i="49"/>
  <c r="EX138" i="49"/>
  <c r="EX198" i="49"/>
  <c r="EX159" i="49"/>
  <c r="EX206" i="49"/>
  <c r="EX218" i="49"/>
  <c r="EB204" i="49"/>
  <c r="EX13" i="49"/>
  <c r="EX26" i="49"/>
  <c r="EX40" i="49"/>
  <c r="EX55" i="49"/>
  <c r="EX68" i="49"/>
  <c r="EX82" i="49"/>
  <c r="EX172" i="49"/>
  <c r="EX125" i="49"/>
  <c r="EX132" i="49"/>
  <c r="EX139" i="49"/>
  <c r="EW146" i="49"/>
  <c r="EX152" i="49"/>
  <c r="EX207" i="49"/>
  <c r="EX219" i="49"/>
  <c r="EV59" i="40"/>
  <c r="EX20" i="49"/>
  <c r="EX41" i="49"/>
  <c r="EX62" i="49"/>
  <c r="EX83" i="49"/>
  <c r="EX96" i="49"/>
  <c r="EX119" i="49"/>
  <c r="EW179" i="49"/>
  <c r="EX133" i="49"/>
  <c r="EW186" i="49"/>
  <c r="EX192" i="49"/>
  <c r="EX146" i="49"/>
  <c r="EW200" i="49"/>
  <c r="DY11" i="40"/>
  <c r="DY85" i="40"/>
  <c r="EV81" i="40"/>
  <c r="EV66" i="40"/>
  <c r="EX21" i="49"/>
  <c r="EX34" i="49"/>
  <c r="EX48" i="49"/>
  <c r="EX63" i="49"/>
  <c r="EX76" i="49"/>
  <c r="EX90" i="49"/>
  <c r="EX120" i="49"/>
  <c r="EX179" i="49"/>
  <c r="EX186" i="49"/>
  <c r="EX147" i="49"/>
  <c r="EX200" i="49"/>
  <c r="FK26" i="32"/>
  <c r="FK39" i="32"/>
  <c r="FK57" i="32"/>
  <c r="FK92" i="32"/>
  <c r="FK87" i="32"/>
  <c r="FK60" i="32"/>
  <c r="FK45" i="32"/>
  <c r="FK32" i="32"/>
  <c r="FK98" i="32"/>
  <c r="FK67" i="32"/>
  <c r="FK86" i="32"/>
  <c r="FK56" i="32"/>
  <c r="FK38" i="32"/>
  <c r="FK25" i="32"/>
  <c r="FK19" i="32"/>
  <c r="FK13" i="32"/>
  <c r="FK91" i="32"/>
  <c r="FK66" i="32"/>
  <c r="FK82" i="32"/>
  <c r="FK44" i="32"/>
  <c r="FK31" i="32"/>
  <c r="FK97" i="32"/>
  <c r="FK90" i="32"/>
  <c r="FK85" i="32"/>
  <c r="FK55" i="32"/>
  <c r="FK37" i="32"/>
  <c r="FK18" i="32"/>
  <c r="FK12" i="32"/>
  <c r="FK96" i="32"/>
  <c r="FK65" i="32"/>
  <c r="FK81" i="32"/>
  <c r="FK43" i="32"/>
  <c r="FK30" i="32"/>
  <c r="FK71" i="32"/>
  <c r="FK84" i="32"/>
  <c r="FK54" i="32"/>
  <c r="FK36" i="32"/>
  <c r="FK23" i="32"/>
  <c r="FK17" i="32"/>
  <c r="FK11" i="32"/>
  <c r="FK95" i="32"/>
  <c r="FK64" i="32"/>
  <c r="FK80" i="32"/>
  <c r="FK42" i="32"/>
  <c r="FK29" i="32"/>
  <c r="FK70" i="32"/>
  <c r="FK83" i="32"/>
  <c r="FK79" i="32"/>
  <c r="FK35" i="32"/>
  <c r="FK28" i="32"/>
  <c r="FK22" i="32"/>
  <c r="FK16" i="32"/>
  <c r="FK10" i="32"/>
  <c r="FK94" i="32"/>
  <c r="FK63" i="32"/>
  <c r="FK59" i="32"/>
  <c r="FK41" i="32"/>
  <c r="FK34" i="32"/>
  <c r="FK69" i="32"/>
  <c r="FK62" i="32"/>
  <c r="FK78" i="32"/>
  <c r="FK40" i="32"/>
  <c r="FK27" i="32"/>
  <c r="FK21" i="32"/>
  <c r="FK15" i="32"/>
  <c r="FK93" i="32"/>
  <c r="FK88" i="32"/>
  <c r="FK58" i="32"/>
  <c r="FK77" i="32"/>
  <c r="FK33" i="32"/>
  <c r="GF57" i="32"/>
  <c r="EU96" i="40"/>
  <c r="DZ75" i="40"/>
  <c r="EV98" i="40"/>
  <c r="DY74" i="40"/>
  <c r="ET73" i="40"/>
  <c r="DZ74" i="40"/>
  <c r="GF84" i="32"/>
  <c r="GF68" i="32"/>
  <c r="EU73" i="40"/>
  <c r="GF60" i="32"/>
  <c r="GF63" i="32"/>
  <c r="GF93" i="32"/>
  <c r="EV73" i="40"/>
  <c r="GF59" i="32"/>
  <c r="GF55" i="32"/>
  <c r="GF85" i="32"/>
  <c r="GF64" i="32"/>
  <c r="GF70" i="32"/>
  <c r="GF94" i="32"/>
  <c r="DY73" i="40"/>
  <c r="GF26" i="32"/>
  <c r="GF30" i="32"/>
  <c r="GF34" i="32"/>
  <c r="GF38" i="32"/>
  <c r="GF42" i="32"/>
  <c r="GF77" i="32"/>
  <c r="GF61" i="32"/>
  <c r="EW212" i="49"/>
  <c r="ET75" i="40"/>
  <c r="DZ73" i="40"/>
  <c r="GF80" i="32"/>
  <c r="GF96" i="32"/>
  <c r="EV214" i="49"/>
  <c r="EU75" i="40"/>
  <c r="GF56" i="32"/>
  <c r="GF86" i="32"/>
  <c r="GF71" i="32"/>
  <c r="GG96" i="32"/>
  <c r="EW214" i="49"/>
  <c r="EV75" i="40"/>
  <c r="ET74" i="40"/>
  <c r="GF27" i="32"/>
  <c r="GF31" i="32"/>
  <c r="GF35" i="32"/>
  <c r="GF39" i="32"/>
  <c r="GF43" i="32"/>
  <c r="GF78" i="32"/>
  <c r="GF62" i="32"/>
  <c r="GF66" i="32"/>
  <c r="EX214" i="49"/>
  <c r="EU74" i="40"/>
  <c r="DY65" i="40"/>
  <c r="ET35" i="40"/>
  <c r="ET61" i="40"/>
  <c r="ET66" i="40"/>
  <c r="DY66" i="40"/>
  <c r="ET93" i="40"/>
  <c r="DY70" i="40"/>
  <c r="ET44" i="40"/>
  <c r="ET67" i="40"/>
  <c r="ET96" i="40"/>
  <c r="DY93" i="40"/>
  <c r="ET38" i="40"/>
  <c r="ET59" i="40"/>
  <c r="DY94" i="40"/>
  <c r="ET31" i="40"/>
  <c r="ET85" i="40"/>
  <c r="ET70" i="40"/>
  <c r="EV96" i="40"/>
  <c r="ET32" i="40"/>
  <c r="ET77" i="40"/>
  <c r="EU70" i="40"/>
  <c r="ET97" i="40"/>
  <c r="DY5" i="40"/>
  <c r="ET26" i="40"/>
  <c r="ET39" i="40"/>
  <c r="ET80" i="40"/>
  <c r="ET88" i="40"/>
  <c r="DY86" i="40"/>
  <c r="ET34" i="40"/>
  <c r="ET78" i="40"/>
  <c r="ET60" i="40"/>
  <c r="ET27" i="40"/>
  <c r="ET63" i="40"/>
  <c r="ET92" i="40"/>
  <c r="DY10" i="40"/>
  <c r="DZ17" i="40"/>
  <c r="DY28" i="40"/>
  <c r="DZ35" i="40"/>
  <c r="DY44" i="40"/>
  <c r="DZ57" i="40"/>
  <c r="DY84" i="40"/>
  <c r="DZ66" i="40"/>
  <c r="DY95" i="40"/>
  <c r="EU13" i="40"/>
  <c r="EU17" i="40"/>
  <c r="EU21" i="40"/>
  <c r="EU27" i="40"/>
  <c r="EU31" i="40"/>
  <c r="EU35" i="40"/>
  <c r="EU39" i="40"/>
  <c r="EU43" i="40"/>
  <c r="EU78" i="40"/>
  <c r="EU56" i="40"/>
  <c r="EU80" i="40"/>
  <c r="EU61" i="40"/>
  <c r="EU85" i="40"/>
  <c r="EU63" i="40"/>
  <c r="EU67" i="40"/>
  <c r="EU71" i="40"/>
  <c r="EU93" i="40"/>
  <c r="EU97" i="40"/>
  <c r="DZ10" i="40"/>
  <c r="DY19" i="40"/>
  <c r="DZ28" i="40"/>
  <c r="DY37" i="40"/>
  <c r="DZ44" i="40"/>
  <c r="DY58" i="40"/>
  <c r="DZ84" i="40"/>
  <c r="DY69" i="40"/>
  <c r="DY96" i="40"/>
  <c r="EV27" i="40"/>
  <c r="EV31" i="40"/>
  <c r="EV35" i="40"/>
  <c r="EV39" i="40"/>
  <c r="EV43" i="40"/>
  <c r="EV78" i="40"/>
  <c r="EV56" i="40"/>
  <c r="EV80" i="40"/>
  <c r="EV61" i="40"/>
  <c r="EV85" i="40"/>
  <c r="EV63" i="40"/>
  <c r="EV67" i="40"/>
  <c r="EV71" i="40"/>
  <c r="EV93" i="40"/>
  <c r="EV97" i="40"/>
  <c r="DZ19" i="40"/>
  <c r="DZ37" i="40"/>
  <c r="DZ69" i="40"/>
  <c r="DZ96" i="40"/>
  <c r="ET79" i="40"/>
  <c r="ET57" i="40"/>
  <c r="ET81" i="40"/>
  <c r="ET62" i="40"/>
  <c r="ET86" i="40"/>
  <c r="ET64" i="40"/>
  <c r="ET68" i="40"/>
  <c r="ET90" i="40"/>
  <c r="ET94" i="40"/>
  <c r="ET98" i="40"/>
  <c r="DZ11" i="40"/>
  <c r="DZ29" i="40"/>
  <c r="DZ80" i="40"/>
  <c r="EU79" i="40"/>
  <c r="EU57" i="40"/>
  <c r="EU81" i="40"/>
  <c r="EU62" i="40"/>
  <c r="EU86" i="40"/>
  <c r="EU64" i="40"/>
  <c r="EU68" i="40"/>
  <c r="EU90" i="40"/>
  <c r="EU94" i="40"/>
  <c r="EU98" i="40"/>
  <c r="DZ13" i="40"/>
  <c r="DY21" i="40"/>
  <c r="DZ31" i="40"/>
  <c r="DY39" i="40"/>
  <c r="DY78" i="40"/>
  <c r="DZ81" i="40"/>
  <c r="DY87" i="40"/>
  <c r="DY71" i="40"/>
  <c r="ET5" i="40"/>
  <c r="ET11" i="40"/>
  <c r="ET15" i="40"/>
  <c r="ET19" i="40"/>
  <c r="ET23" i="40"/>
  <c r="ET25" i="40"/>
  <c r="ET29" i="40"/>
  <c r="ET33" i="40"/>
  <c r="ET37" i="40"/>
  <c r="ET41" i="40"/>
  <c r="ET45" i="40"/>
  <c r="ET54" i="40"/>
  <c r="ET58" i="40"/>
  <c r="ET82" i="40"/>
  <c r="ET83" i="40"/>
  <c r="ET87" i="40"/>
  <c r="ET65" i="40"/>
  <c r="ET69" i="40"/>
  <c r="ET91" i="40"/>
  <c r="DY14" i="40"/>
  <c r="DY22" i="40"/>
  <c r="DY32" i="40"/>
  <c r="DY40" i="40"/>
  <c r="DY54" i="40"/>
  <c r="DY82" i="40"/>
  <c r="DY63" i="40"/>
  <c r="DY90" i="40"/>
  <c r="EU5" i="40"/>
  <c r="EU11" i="40"/>
  <c r="EU15" i="40"/>
  <c r="EU19" i="40"/>
  <c r="EU23" i="40"/>
  <c r="EU25" i="40"/>
  <c r="EU29" i="40"/>
  <c r="EU33" i="40"/>
  <c r="EU37" i="40"/>
  <c r="EU41" i="40"/>
  <c r="EU45" i="40"/>
  <c r="EU54" i="40"/>
  <c r="EU58" i="40"/>
  <c r="EU82" i="40"/>
  <c r="EU83" i="40"/>
  <c r="EU87" i="40"/>
  <c r="EU65" i="40"/>
  <c r="EU69" i="40"/>
  <c r="EU91" i="40"/>
  <c r="DZ14" i="40"/>
  <c r="DZ22" i="40"/>
  <c r="DY25" i="40"/>
  <c r="DZ32" i="40"/>
  <c r="DZ40" i="40"/>
  <c r="DZ54" i="40"/>
  <c r="DY60" i="40"/>
  <c r="DZ63" i="40"/>
  <c r="DZ90" i="40"/>
  <c r="EV5" i="40"/>
  <c r="EV11" i="40"/>
  <c r="EV15" i="40"/>
  <c r="EV19" i="40"/>
  <c r="EV23" i="40"/>
  <c r="EV25" i="40"/>
  <c r="EV29" i="40"/>
  <c r="EV33" i="40"/>
  <c r="EV37" i="40"/>
  <c r="EV41" i="40"/>
  <c r="EV45" i="40"/>
  <c r="EV54" i="40"/>
  <c r="EV58" i="40"/>
  <c r="EV82" i="40"/>
  <c r="EV83" i="40"/>
  <c r="EV87" i="40"/>
  <c r="EV65" i="40"/>
  <c r="EV69" i="40"/>
  <c r="EV91" i="40"/>
  <c r="DZ25" i="40"/>
  <c r="DZ60" i="40"/>
  <c r="DZ23" i="40"/>
  <c r="DZ41" i="40"/>
  <c r="DZ55" i="40"/>
  <c r="DZ64" i="40"/>
  <c r="DZ93" i="40"/>
  <c r="DZ16" i="40"/>
  <c r="DZ26" i="40"/>
  <c r="DZ34" i="40"/>
  <c r="DZ5" i="40"/>
  <c r="DZ15" i="40"/>
  <c r="DZ21" i="40"/>
  <c r="DZ27" i="40"/>
  <c r="DZ33" i="40"/>
  <c r="DZ39" i="40"/>
  <c r="DZ45" i="40"/>
  <c r="DZ56" i="40"/>
  <c r="DZ82" i="40"/>
  <c r="DZ85" i="40"/>
  <c r="DZ65" i="40"/>
  <c r="DZ71" i="40"/>
  <c r="DZ95" i="40"/>
  <c r="DY67" i="40"/>
  <c r="DY91" i="40"/>
  <c r="DY97" i="40"/>
  <c r="DZ78" i="40"/>
  <c r="DZ58" i="40"/>
  <c r="DZ61" i="40"/>
  <c r="DZ87" i="40"/>
  <c r="DZ67" i="40"/>
  <c r="DZ91" i="40"/>
  <c r="DZ97" i="40"/>
  <c r="DY12" i="40"/>
  <c r="DY18" i="40"/>
  <c r="DY30" i="40"/>
  <c r="DY36" i="40"/>
  <c r="DY42" i="40"/>
  <c r="DY79" i="40"/>
  <c r="DY59" i="40"/>
  <c r="DY62" i="40"/>
  <c r="DY88" i="40"/>
  <c r="DY68" i="40"/>
  <c r="DY92" i="40"/>
  <c r="DZ12" i="40"/>
  <c r="DZ18" i="40"/>
  <c r="DZ30" i="40"/>
  <c r="DZ36" i="40"/>
  <c r="DZ42" i="40"/>
  <c r="DZ79" i="40"/>
  <c r="DZ59" i="40"/>
  <c r="DZ62" i="40"/>
  <c r="DZ88" i="40"/>
  <c r="DZ68" i="40"/>
  <c r="DZ92" i="40"/>
  <c r="EA87" i="49"/>
  <c r="EA95" i="49"/>
  <c r="EB172" i="49"/>
  <c r="EA120" i="49"/>
  <c r="EA131" i="49"/>
  <c r="EA185" i="49"/>
  <c r="EA197" i="49"/>
  <c r="EA154" i="49"/>
  <c r="EA211" i="49"/>
  <c r="EA214" i="49"/>
  <c r="EB82" i="49"/>
  <c r="EA90" i="49"/>
  <c r="EA98" i="49"/>
  <c r="EA175" i="49"/>
  <c r="EA123" i="49"/>
  <c r="EA183" i="49"/>
  <c r="EA188" i="49"/>
  <c r="EA143" i="49"/>
  <c r="EA219" i="49"/>
  <c r="EA209" i="49"/>
  <c r="EA148" i="49"/>
  <c r="EA139" i="49"/>
  <c r="EA189" i="49"/>
  <c r="EA135" i="49"/>
  <c r="EA178" i="49"/>
  <c r="EA218" i="49"/>
  <c r="EA208" i="49"/>
  <c r="EA158" i="49"/>
  <c r="EA147" i="49"/>
  <c r="EA198" i="49"/>
  <c r="EA134" i="49"/>
  <c r="EA124" i="49"/>
  <c r="EA217" i="49"/>
  <c r="EA207" i="49"/>
  <c r="EA157" i="49"/>
  <c r="EA213" i="49"/>
  <c r="EA203" i="49"/>
  <c r="EA142" i="49"/>
  <c r="EA138" i="49"/>
  <c r="EA212" i="49"/>
  <c r="EA202" i="49"/>
  <c r="EA152" i="49"/>
  <c r="EA141" i="49"/>
  <c r="EA193" i="49"/>
  <c r="EA137" i="49"/>
  <c r="EA182" i="49"/>
  <c r="EA127" i="49"/>
  <c r="EB215" i="49"/>
  <c r="EB158" i="49"/>
  <c r="EB124" i="49"/>
  <c r="EB188" i="49"/>
  <c r="EB131" i="49"/>
  <c r="EB146" i="49"/>
  <c r="EB152" i="49"/>
  <c r="EB193" i="49"/>
  <c r="EB182" i="49"/>
  <c r="EB127" i="49"/>
  <c r="EB49" i="49"/>
  <c r="EA57" i="49"/>
  <c r="EB64" i="49"/>
  <c r="EB71" i="49"/>
  <c r="EA79" i="49"/>
  <c r="EA86" i="49"/>
  <c r="EA94" i="49"/>
  <c r="EA171" i="49"/>
  <c r="EA119" i="49"/>
  <c r="EA130" i="49"/>
  <c r="EA136" i="49"/>
  <c r="EA195" i="49"/>
  <c r="EA151" i="49"/>
  <c r="EA210" i="49"/>
  <c r="EV13" i="49"/>
  <c r="EV17" i="49"/>
  <c r="EV21" i="49"/>
  <c r="EV25" i="49"/>
  <c r="EV29" i="49"/>
  <c r="EV33" i="49"/>
  <c r="EV37" i="49"/>
  <c r="EV41" i="49"/>
  <c r="EV45" i="49"/>
  <c r="EV49" i="49"/>
  <c r="EV55" i="49"/>
  <c r="EV59" i="49"/>
  <c r="EV63" i="49"/>
  <c r="EV67" i="49"/>
  <c r="EV71" i="49"/>
  <c r="EV75" i="49"/>
  <c r="EV79" i="49"/>
  <c r="EV83" i="49"/>
  <c r="EV87" i="49"/>
  <c r="EV91" i="49"/>
  <c r="EV95" i="49"/>
  <c r="EV99" i="49"/>
  <c r="EV172" i="49"/>
  <c r="EV176" i="49"/>
  <c r="EV120" i="49"/>
  <c r="EV124" i="49"/>
  <c r="EV128" i="49"/>
  <c r="EV178" i="49"/>
  <c r="EV182" i="49"/>
  <c r="EV133" i="49"/>
  <c r="EV137" i="49"/>
  <c r="EV187" i="49"/>
  <c r="EV191" i="49"/>
  <c r="EV195" i="49"/>
  <c r="EV139" i="49"/>
  <c r="EV143" i="49"/>
  <c r="EV147" i="49"/>
  <c r="EV151" i="49"/>
  <c r="EV155" i="49"/>
  <c r="EV159" i="49"/>
  <c r="EV203" i="49"/>
  <c r="EV207" i="49"/>
  <c r="EV211" i="49"/>
  <c r="EV215" i="49"/>
  <c r="EV219" i="49"/>
  <c r="EW13" i="49"/>
  <c r="EW17" i="49"/>
  <c r="EW21" i="49"/>
  <c r="EW25" i="49"/>
  <c r="EW29" i="49"/>
  <c r="EW33" i="49"/>
  <c r="EW37" i="49"/>
  <c r="EW41" i="49"/>
  <c r="EW45" i="49"/>
  <c r="EW49" i="49"/>
  <c r="EW55" i="49"/>
  <c r="EW59" i="49"/>
  <c r="EW63" i="49"/>
  <c r="EW67" i="49"/>
  <c r="EW71" i="49"/>
  <c r="EW75" i="49"/>
  <c r="EW79" i="49"/>
  <c r="EW83" i="49"/>
  <c r="EW87" i="49"/>
  <c r="EW91" i="49"/>
  <c r="EW95" i="49"/>
  <c r="EW99" i="49"/>
  <c r="EW172" i="49"/>
  <c r="EW176" i="49"/>
  <c r="EW120" i="49"/>
  <c r="EW124" i="49"/>
  <c r="EW128" i="49"/>
  <c r="EW178" i="49"/>
  <c r="EW182" i="49"/>
  <c r="EW133" i="49"/>
  <c r="EW137" i="49"/>
  <c r="EW187" i="49"/>
  <c r="EW191" i="49"/>
  <c r="EW195" i="49"/>
  <c r="EW139" i="49"/>
  <c r="EW143" i="49"/>
  <c r="EW147" i="49"/>
  <c r="EW151" i="49"/>
  <c r="EW155" i="49"/>
  <c r="EW159" i="49"/>
  <c r="EW203" i="49"/>
  <c r="EW207" i="49"/>
  <c r="EW211" i="49"/>
  <c r="EW215" i="49"/>
  <c r="EW219" i="49"/>
  <c r="EV216" i="49"/>
  <c r="EV220" i="49"/>
  <c r="EW216" i="49"/>
  <c r="EW220" i="49"/>
  <c r="EX204" i="49"/>
  <c r="EX208" i="49"/>
  <c r="EX212" i="49"/>
  <c r="EX216" i="49"/>
  <c r="EX220" i="49"/>
  <c r="EV11" i="49"/>
  <c r="EV15" i="49"/>
  <c r="EV19" i="49"/>
  <c r="EV23" i="49"/>
  <c r="EV27" i="49"/>
  <c r="EV31" i="49"/>
  <c r="EV35" i="49"/>
  <c r="EV39" i="49"/>
  <c r="EV43" i="49"/>
  <c r="EV47" i="49"/>
  <c r="EV51" i="49"/>
  <c r="EV53" i="49"/>
  <c r="EV57" i="49"/>
  <c r="EV61" i="49"/>
  <c r="EV65" i="49"/>
  <c r="EV69" i="49"/>
  <c r="EV73" i="49"/>
  <c r="EV77" i="49"/>
  <c r="EV81" i="49"/>
  <c r="EV85" i="49"/>
  <c r="EV89" i="49"/>
  <c r="EV93" i="49"/>
  <c r="EV97" i="49"/>
  <c r="EV101" i="49"/>
  <c r="EV174" i="49"/>
  <c r="EV118" i="49"/>
  <c r="EV122" i="49"/>
  <c r="EV126" i="49"/>
  <c r="EV130" i="49"/>
  <c r="EV180" i="49"/>
  <c r="EV184" i="49"/>
  <c r="EV135" i="49"/>
  <c r="EV185" i="49"/>
  <c r="EV189" i="49"/>
  <c r="EV193" i="49"/>
  <c r="EV197" i="49"/>
  <c r="EV141" i="49"/>
  <c r="EV145" i="49"/>
  <c r="EV149" i="49"/>
  <c r="EV153" i="49"/>
  <c r="EV157" i="49"/>
  <c r="EV201" i="49"/>
  <c r="EV205" i="49"/>
  <c r="EV209" i="49"/>
  <c r="EV213" i="49"/>
  <c r="EW11" i="49"/>
  <c r="EW15" i="49"/>
  <c r="EW19" i="49"/>
  <c r="EW23" i="49"/>
  <c r="EW27" i="49"/>
  <c r="EW31" i="49"/>
  <c r="EW35" i="49"/>
  <c r="EW39" i="49"/>
  <c r="EW43" i="49"/>
  <c r="EW47" i="49"/>
  <c r="EW51" i="49"/>
  <c r="EW53" i="49"/>
  <c r="EW57" i="49"/>
  <c r="EW61" i="49"/>
  <c r="EW65" i="49"/>
  <c r="EW69" i="49"/>
  <c r="EW73" i="49"/>
  <c r="EW77" i="49"/>
  <c r="EW81" i="49"/>
  <c r="EW85" i="49"/>
  <c r="EW89" i="49"/>
  <c r="EW93" i="49"/>
  <c r="EW97" i="49"/>
  <c r="EW101" i="49"/>
  <c r="EW174" i="49"/>
  <c r="EW118" i="49"/>
  <c r="EW122" i="49"/>
  <c r="EW126" i="49"/>
  <c r="EW130" i="49"/>
  <c r="EW180" i="49"/>
  <c r="EW184" i="49"/>
  <c r="EW135" i="49"/>
  <c r="EW185" i="49"/>
  <c r="EW189" i="49"/>
  <c r="EW193" i="49"/>
  <c r="EW197" i="49"/>
  <c r="EW141" i="49"/>
  <c r="EW145" i="49"/>
  <c r="EW149" i="49"/>
  <c r="EW153" i="49"/>
  <c r="EW157" i="49"/>
  <c r="EW201" i="49"/>
  <c r="EW205" i="49"/>
  <c r="EW209" i="49"/>
  <c r="EW213" i="49"/>
  <c r="EX11" i="49"/>
  <c r="EX15" i="49"/>
  <c r="EX19" i="49"/>
  <c r="EX23" i="49"/>
  <c r="EX27" i="49"/>
  <c r="EX31" i="49"/>
  <c r="EX35" i="49"/>
  <c r="EX39" i="49"/>
  <c r="EX43" i="49"/>
  <c r="EX47" i="49"/>
  <c r="EX51" i="49"/>
  <c r="EX53" i="49"/>
  <c r="EX57" i="49"/>
  <c r="EX61" i="49"/>
  <c r="EX65" i="49"/>
  <c r="EX69" i="49"/>
  <c r="EX73" i="49"/>
  <c r="EX77" i="49"/>
  <c r="EX81" i="49"/>
  <c r="EX85" i="49"/>
  <c r="EX89" i="49"/>
  <c r="EX93" i="49"/>
  <c r="EX97" i="49"/>
  <c r="EX101" i="49"/>
  <c r="EX174" i="49"/>
  <c r="EX118" i="49"/>
  <c r="EX122" i="49"/>
  <c r="EX126" i="49"/>
  <c r="EX130" i="49"/>
  <c r="EX180" i="49"/>
  <c r="EX184" i="49"/>
  <c r="EX135" i="49"/>
  <c r="EX185" i="49"/>
  <c r="EX189" i="49"/>
  <c r="EX193" i="49"/>
  <c r="EX197" i="49"/>
  <c r="EX141" i="49"/>
  <c r="EX145" i="49"/>
  <c r="EX149" i="49"/>
  <c r="EX153" i="49"/>
  <c r="EX157" i="49"/>
  <c r="EX201" i="49"/>
  <c r="EX205" i="49"/>
  <c r="EX209" i="49"/>
  <c r="EX213" i="49"/>
  <c r="EB57" i="49"/>
  <c r="EB63" i="49"/>
  <c r="EB69" i="49"/>
  <c r="EB75" i="49"/>
  <c r="EB81" i="49"/>
  <c r="EB87" i="49"/>
  <c r="EB93" i="49"/>
  <c r="EB99" i="49"/>
  <c r="EB174" i="49"/>
  <c r="EB120" i="49"/>
  <c r="EB126" i="49"/>
  <c r="EB178" i="49"/>
  <c r="EB184" i="49"/>
  <c r="EB137" i="49"/>
  <c r="EB189" i="49"/>
  <c r="EB195" i="49"/>
  <c r="EB141" i="49"/>
  <c r="EB147" i="49"/>
  <c r="EB153" i="49"/>
  <c r="EB159" i="49"/>
  <c r="EB205" i="49"/>
  <c r="EB211" i="49"/>
  <c r="EB217" i="49"/>
  <c r="EB179" i="49"/>
  <c r="EB132" i="49"/>
  <c r="EB138" i="49"/>
  <c r="EB190" i="49"/>
  <c r="EB196" i="49"/>
  <c r="EB142" i="49"/>
  <c r="EB148" i="49"/>
  <c r="EB154" i="49"/>
  <c r="EB200" i="49"/>
  <c r="EB206" i="49"/>
  <c r="EB212" i="49"/>
  <c r="EB218" i="49"/>
  <c r="EB89" i="49"/>
  <c r="EB95" i="49"/>
  <c r="EB101" i="49"/>
  <c r="EB176" i="49"/>
  <c r="EB122" i="49"/>
  <c r="EB128" i="49"/>
  <c r="EB180" i="49"/>
  <c r="EB133" i="49"/>
  <c r="EB185" i="49"/>
  <c r="EB191" i="49"/>
  <c r="EB197" i="49"/>
  <c r="EB143" i="49"/>
  <c r="EB149" i="49"/>
  <c r="EB155" i="49"/>
  <c r="EB201" i="49"/>
  <c r="EB207" i="49"/>
  <c r="EB213" i="49"/>
  <c r="EB219" i="49"/>
  <c r="EB54" i="49"/>
  <c r="EB60" i="49"/>
  <c r="EB66" i="49"/>
  <c r="EB72" i="49"/>
  <c r="EB78" i="49"/>
  <c r="EB84" i="49"/>
  <c r="EB90" i="49"/>
  <c r="EB96" i="49"/>
  <c r="EB171" i="49"/>
  <c r="EB177" i="49"/>
  <c r="EB123" i="49"/>
  <c r="EB129" i="49"/>
  <c r="EB181" i="49"/>
  <c r="EB134" i="49"/>
  <c r="EB186" i="49"/>
  <c r="EB192" i="49"/>
  <c r="EB198" i="49"/>
  <c r="EB144" i="49"/>
  <c r="EB150" i="49"/>
  <c r="EB156" i="49"/>
  <c r="EB202" i="49"/>
  <c r="EB208" i="49"/>
  <c r="EB214" i="49"/>
  <c r="EB220" i="49"/>
  <c r="EB145" i="49"/>
  <c r="EB151" i="49"/>
  <c r="EB157" i="49"/>
  <c r="EB203" i="49"/>
  <c r="EB209" i="49"/>
  <c r="GG63" i="32"/>
  <c r="GG67" i="32"/>
  <c r="GG71" i="32"/>
  <c r="GG93" i="32"/>
  <c r="GG97" i="32"/>
  <c r="GF98" i="32"/>
  <c r="GG68" i="32"/>
  <c r="GG90" i="32"/>
  <c r="GG94" i="32"/>
  <c r="GG98" i="32"/>
  <c r="GH90" i="32"/>
  <c r="GH94" i="32"/>
  <c r="FL28" i="32"/>
  <c r="FL34" i="32"/>
  <c r="FL40" i="32"/>
  <c r="FL77" i="32"/>
  <c r="FL57" i="32"/>
  <c r="FL60" i="32"/>
  <c r="FL86" i="32"/>
  <c r="FL66" i="32"/>
  <c r="FL90" i="32"/>
  <c r="GF54" i="32"/>
  <c r="GF58" i="32"/>
  <c r="GF82" i="32"/>
  <c r="GF83" i="32"/>
  <c r="GF87" i="32"/>
  <c r="GF65" i="32"/>
  <c r="GF69" i="32"/>
  <c r="GF91" i="32"/>
  <c r="GG87" i="32"/>
  <c r="GG65" i="32"/>
  <c r="GG69" i="32"/>
  <c r="GG91" i="32"/>
  <c r="C16" i="37"/>
  <c r="C15" i="37"/>
  <c r="GI218" i="49" l="1"/>
  <c r="GI76" i="49"/>
  <c r="GI25" i="49"/>
  <c r="GI61" i="49"/>
  <c r="GI24" i="49"/>
  <c r="GI19" i="49"/>
  <c r="GI12" i="49"/>
  <c r="GI26" i="49"/>
  <c r="GI92" i="49"/>
  <c r="GI80" i="49"/>
  <c r="GI21" i="49"/>
  <c r="GI97" i="49"/>
  <c r="GI155" i="49"/>
  <c r="GI159" i="49"/>
  <c r="GI22" i="49"/>
  <c r="GI54" i="49"/>
  <c r="GI13" i="49"/>
  <c r="GI112" i="49"/>
  <c r="GI56" i="49"/>
  <c r="GI16" i="49"/>
  <c r="GI20" i="49"/>
  <c r="GI88" i="49"/>
  <c r="GI15" i="49"/>
  <c r="GI60" i="49"/>
  <c r="GI126" i="49"/>
  <c r="GI18" i="49"/>
  <c r="GI23" i="49"/>
  <c r="GI99" i="49"/>
  <c r="GI53" i="49"/>
  <c r="GI124" i="49"/>
  <c r="GI58" i="49"/>
  <c r="GI47" i="49"/>
  <c r="GI122" i="49"/>
  <c r="GI42" i="49"/>
  <c r="GI43" i="49"/>
  <c r="GI140" i="49"/>
  <c r="GI45" i="49"/>
  <c r="GI49" i="49"/>
  <c r="GI143" i="49"/>
  <c r="GI44" i="49"/>
  <c r="GI118" i="49"/>
  <c r="GI33" i="49"/>
  <c r="GI66" i="49"/>
  <c r="GI34" i="49"/>
  <c r="GI67" i="49"/>
  <c r="GI141" i="49"/>
  <c r="GI116" i="49"/>
  <c r="GI131" i="49"/>
  <c r="GI36" i="49"/>
  <c r="GI69" i="49"/>
  <c r="GI74" i="49"/>
  <c r="GI37" i="49"/>
  <c r="GI70" i="49"/>
  <c r="GI144" i="49"/>
  <c r="GI121" i="49"/>
  <c r="GI137" i="49"/>
  <c r="GI39" i="49"/>
  <c r="GI72" i="49"/>
  <c r="GI40" i="49"/>
  <c r="GI83" i="49"/>
  <c r="GI85" i="49"/>
  <c r="GI82" i="49"/>
  <c r="GI154" i="49"/>
  <c r="GI51" i="49"/>
  <c r="GI29" i="49"/>
  <c r="GI59" i="49"/>
  <c r="GI96" i="49"/>
  <c r="GI133" i="49"/>
  <c r="GI146" i="49"/>
  <c r="GI168" i="49"/>
  <c r="GI32" i="49"/>
  <c r="GI65" i="49"/>
  <c r="GI78" i="49"/>
  <c r="GI100" i="49"/>
  <c r="GI87" i="49"/>
  <c r="GI90" i="49"/>
  <c r="GI14" i="49"/>
  <c r="GI75" i="49"/>
  <c r="GI35" i="49"/>
  <c r="GI68" i="49"/>
  <c r="GI106" i="49"/>
  <c r="GI91" i="49"/>
  <c r="GI94" i="49"/>
  <c r="GI17" i="49"/>
  <c r="GI41" i="49"/>
  <c r="GI71" i="49"/>
  <c r="GI109" i="49"/>
  <c r="GI95" i="49"/>
  <c r="GI120" i="49"/>
  <c r="GI27" i="49"/>
  <c r="GI63" i="49"/>
  <c r="GI50" i="49"/>
  <c r="GI31" i="49"/>
  <c r="GI64" i="49"/>
  <c r="GI132" i="49"/>
  <c r="GI115" i="49"/>
  <c r="GI128" i="49"/>
  <c r="GI127" i="49"/>
  <c r="GI130" i="49"/>
  <c r="GI135" i="49"/>
  <c r="GI30" i="49"/>
  <c r="GI57" i="49"/>
  <c r="GI38" i="49"/>
  <c r="GI62" i="49"/>
  <c r="GI46" i="49"/>
  <c r="GI73" i="49"/>
  <c r="GI138" i="49"/>
  <c r="GI104" i="49"/>
  <c r="GI98" i="49"/>
  <c r="GI180" i="49"/>
  <c r="GI10" i="49"/>
  <c r="GI11" i="49"/>
  <c r="GI48" i="49"/>
  <c r="GI77" i="49"/>
  <c r="GI79" i="49"/>
  <c r="GI28" i="49"/>
  <c r="GI55" i="49"/>
  <c r="GI105" i="49"/>
  <c r="GI129" i="49"/>
  <c r="GI134" i="49"/>
  <c r="GI136" i="49"/>
  <c r="GI148" i="49"/>
  <c r="GI84" i="49"/>
  <c r="GI86" i="49"/>
  <c r="GI158" i="49"/>
  <c r="GI185" i="49"/>
  <c r="GI163" i="49"/>
  <c r="GI191" i="49"/>
  <c r="GI142" i="49"/>
  <c r="GI153" i="49"/>
  <c r="GI194" i="49"/>
  <c r="GI145" i="49"/>
  <c r="GI157" i="49"/>
  <c r="GI209" i="49"/>
  <c r="GI103" i="49"/>
  <c r="GI81" i="49"/>
  <c r="GI162" i="49"/>
  <c r="GI196" i="49"/>
  <c r="GI111" i="49"/>
  <c r="GI89" i="49"/>
  <c r="GI166" i="49"/>
  <c r="GI114" i="49"/>
  <c r="GI93" i="49"/>
  <c r="GI149" i="49"/>
  <c r="GI174" i="49"/>
  <c r="GI179" i="49"/>
  <c r="GI193" i="49"/>
  <c r="GI101" i="49"/>
  <c r="GI167" i="49"/>
  <c r="GI152" i="49"/>
  <c r="GI151" i="49"/>
  <c r="GI200" i="49"/>
  <c r="GI110" i="49"/>
  <c r="GI175" i="49"/>
  <c r="GI156" i="49"/>
  <c r="GI172" i="49"/>
  <c r="GI204" i="49"/>
  <c r="GI113" i="49"/>
  <c r="GI147" i="49"/>
  <c r="GI161" i="49"/>
  <c r="GI176" i="49"/>
  <c r="GI195" i="49"/>
  <c r="GI119" i="49"/>
  <c r="GI150" i="49"/>
  <c r="GI165" i="49"/>
  <c r="GI202" i="49"/>
  <c r="GI198" i="49"/>
  <c r="GI123" i="49"/>
  <c r="GI171" i="49"/>
  <c r="GI169" i="49"/>
  <c r="GI210" i="49"/>
  <c r="GI139" i="49"/>
  <c r="GI125" i="49"/>
  <c r="GI178" i="49"/>
  <c r="GI173" i="49"/>
  <c r="GI214" i="49"/>
  <c r="GI164" i="49"/>
  <c r="GI188" i="49"/>
  <c r="GI177" i="49"/>
  <c r="GI206" i="49"/>
  <c r="GI208" i="49"/>
  <c r="GI197" i="49"/>
  <c r="GI203" i="49"/>
  <c r="GI182" i="49"/>
  <c r="GI207" i="49"/>
  <c r="GI211" i="49"/>
  <c r="GI187" i="49"/>
  <c r="GI183" i="49"/>
  <c r="GI190" i="49"/>
  <c r="GI217" i="49"/>
  <c r="GI201" i="49"/>
  <c r="GI212" i="49"/>
  <c r="GI216" i="49"/>
  <c r="GI205" i="49"/>
  <c r="GI181" i="49"/>
  <c r="GI220" i="49"/>
  <c r="GI186" i="49"/>
  <c r="GI215" i="49"/>
  <c r="GI213" i="49"/>
  <c r="GI189" i="49"/>
  <c r="GI219" i="49"/>
  <c r="GI184" i="49"/>
  <c r="GI192" i="49"/>
  <c r="FM108" i="49"/>
  <c r="FM107" i="49"/>
  <c r="GH108" i="49"/>
  <c r="GH107" i="49"/>
  <c r="GG108" i="49"/>
  <c r="GG107" i="49"/>
  <c r="FL108" i="49"/>
  <c r="FL107" i="49"/>
  <c r="GI108" i="49"/>
  <c r="GI107" i="49"/>
  <c r="FJ98" i="40"/>
  <c r="FJ94" i="40"/>
  <c r="FJ90" i="40"/>
  <c r="FJ85" i="40"/>
  <c r="FJ81" i="40"/>
  <c r="FJ77" i="40"/>
  <c r="FJ71" i="40"/>
  <c r="FJ67" i="40"/>
  <c r="FJ95" i="40"/>
  <c r="FJ91" i="40"/>
  <c r="FJ86" i="40"/>
  <c r="FJ82" i="40"/>
  <c r="FJ78" i="40"/>
  <c r="FJ73" i="40"/>
  <c r="FJ68" i="40"/>
  <c r="FJ96" i="40"/>
  <c r="FJ92" i="40"/>
  <c r="FJ87" i="40"/>
  <c r="FJ83" i="40"/>
  <c r="FJ79" i="40"/>
  <c r="FJ74" i="40"/>
  <c r="FJ69" i="40"/>
  <c r="FJ65" i="40"/>
  <c r="FJ97" i="40"/>
  <c r="FJ93" i="40"/>
  <c r="FJ88" i="40"/>
  <c r="FJ84" i="40"/>
  <c r="FJ80" i="40"/>
  <c r="FJ75" i="40"/>
  <c r="FJ70" i="40"/>
  <c r="FJ66" i="40"/>
  <c r="FJ63" i="40"/>
  <c r="FJ59" i="40"/>
  <c r="FJ55" i="40"/>
  <c r="FJ51" i="40"/>
  <c r="FJ45" i="40"/>
  <c r="FJ41" i="40"/>
  <c r="FJ37" i="40"/>
  <c r="FJ33" i="40"/>
  <c r="FJ64" i="40"/>
  <c r="FJ60" i="40"/>
  <c r="FJ56" i="40"/>
  <c r="FJ49" i="40"/>
  <c r="FJ47" i="40"/>
  <c r="FJ42" i="40"/>
  <c r="FJ38" i="40"/>
  <c r="FJ34" i="40"/>
  <c r="FJ61" i="40"/>
  <c r="FJ57" i="40"/>
  <c r="FJ52" i="40"/>
  <c r="FJ50" i="40"/>
  <c r="FJ43" i="40"/>
  <c r="FJ39" i="40"/>
  <c r="FJ35" i="40"/>
  <c r="FJ62" i="40"/>
  <c r="FJ58" i="40"/>
  <c r="FJ54" i="40"/>
  <c r="FJ48" i="40"/>
  <c r="FJ44" i="40"/>
  <c r="FJ40" i="40"/>
  <c r="FJ36" i="40"/>
  <c r="FJ23" i="40"/>
  <c r="FJ19" i="40"/>
  <c r="FJ15" i="40"/>
  <c r="FJ11" i="40"/>
  <c r="FJ32" i="40"/>
  <c r="FJ28" i="40"/>
  <c r="FJ20" i="40"/>
  <c r="FJ16" i="40"/>
  <c r="FJ12" i="40"/>
  <c r="FJ29" i="40"/>
  <c r="FJ25" i="40"/>
  <c r="FJ21" i="40"/>
  <c r="FJ17" i="40"/>
  <c r="FJ13" i="40"/>
  <c r="FJ30" i="40"/>
  <c r="FJ26" i="40"/>
  <c r="FJ22" i="40"/>
  <c r="FJ18" i="40"/>
  <c r="FJ14" i="40"/>
  <c r="FJ10" i="40"/>
  <c r="FJ31" i="40"/>
  <c r="FJ27" i="40"/>
  <c r="FM219" i="49"/>
  <c r="FM215" i="49"/>
  <c r="FM220" i="49"/>
  <c r="FM216" i="49"/>
  <c r="FM217" i="49"/>
  <c r="FM218" i="49"/>
  <c r="FM184" i="49"/>
  <c r="FM212" i="49"/>
  <c r="FM208" i="49"/>
  <c r="FM204" i="49"/>
  <c r="FM200" i="49"/>
  <c r="FM196" i="49"/>
  <c r="FM193" i="49"/>
  <c r="FM190" i="49"/>
  <c r="FM187" i="49"/>
  <c r="FM182" i="49"/>
  <c r="FM213" i="49"/>
  <c r="FM209" i="49"/>
  <c r="FM205" i="49"/>
  <c r="FM201" i="49"/>
  <c r="FM180" i="49"/>
  <c r="FM197" i="49"/>
  <c r="FM194" i="49"/>
  <c r="FM191" i="49"/>
  <c r="FM188" i="49"/>
  <c r="FM185" i="49"/>
  <c r="FM214" i="49"/>
  <c r="FM210" i="49"/>
  <c r="FM206" i="49"/>
  <c r="FM202" i="49"/>
  <c r="FM183" i="49"/>
  <c r="FM198" i="49"/>
  <c r="FM195" i="49"/>
  <c r="FM192" i="49"/>
  <c r="FM189" i="49"/>
  <c r="FM186" i="49"/>
  <c r="FM211" i="49"/>
  <c r="FM207" i="49"/>
  <c r="FM203" i="49"/>
  <c r="FM177" i="49"/>
  <c r="FM173" i="49"/>
  <c r="FM152" i="49"/>
  <c r="FM149" i="49"/>
  <c r="FM169" i="49"/>
  <c r="FM165" i="49"/>
  <c r="FM161" i="49"/>
  <c r="FM156" i="49"/>
  <c r="FM178" i="49"/>
  <c r="FM174" i="49"/>
  <c r="FM171" i="49"/>
  <c r="FM166" i="49"/>
  <c r="FM162" i="49"/>
  <c r="FM157" i="49"/>
  <c r="FM153" i="49"/>
  <c r="FM150" i="49"/>
  <c r="FM147" i="49"/>
  <c r="FM175" i="49"/>
  <c r="FM167" i="49"/>
  <c r="FM163" i="49"/>
  <c r="FM158" i="49"/>
  <c r="FM154" i="49"/>
  <c r="FM179" i="49"/>
  <c r="FM172" i="49"/>
  <c r="FM151" i="49"/>
  <c r="FM148" i="49"/>
  <c r="FM176" i="49"/>
  <c r="FM181" i="49"/>
  <c r="FM168" i="49"/>
  <c r="FM164" i="49"/>
  <c r="FM159" i="49"/>
  <c r="FM155" i="49"/>
  <c r="FM134" i="49"/>
  <c r="FM130" i="49"/>
  <c r="FM127" i="49"/>
  <c r="FM124" i="49"/>
  <c r="FM120" i="49"/>
  <c r="FM114" i="49"/>
  <c r="FM111" i="49"/>
  <c r="FM103" i="49"/>
  <c r="FM98" i="49"/>
  <c r="FM94" i="49"/>
  <c r="FM90" i="49"/>
  <c r="FM82" i="49"/>
  <c r="FM146" i="49"/>
  <c r="FM143" i="49"/>
  <c r="FM140" i="49"/>
  <c r="FM87" i="49"/>
  <c r="FM133" i="49"/>
  <c r="FM121" i="49"/>
  <c r="FM116" i="49"/>
  <c r="FM115" i="49"/>
  <c r="FM112" i="49"/>
  <c r="FM104" i="49"/>
  <c r="FM99" i="49"/>
  <c r="FM95" i="49"/>
  <c r="FM91" i="49"/>
  <c r="FM85" i="49"/>
  <c r="FM138" i="49"/>
  <c r="FM132" i="49"/>
  <c r="FM129" i="49"/>
  <c r="FM126" i="49"/>
  <c r="FM144" i="49"/>
  <c r="FM141" i="49"/>
  <c r="FM83" i="49"/>
  <c r="FM137" i="49"/>
  <c r="FM122" i="49"/>
  <c r="FM118" i="49"/>
  <c r="FM109" i="49"/>
  <c r="FM106" i="49"/>
  <c r="FM105" i="49"/>
  <c r="FM100" i="49"/>
  <c r="FM96" i="49"/>
  <c r="FM92" i="49"/>
  <c r="FM88" i="49"/>
  <c r="FM81" i="49"/>
  <c r="FM136" i="49"/>
  <c r="FM131" i="49"/>
  <c r="FM128" i="49"/>
  <c r="FM125" i="49"/>
  <c r="FM86" i="49"/>
  <c r="FM145" i="49"/>
  <c r="FM142" i="49"/>
  <c r="FM139" i="49"/>
  <c r="FM123" i="49"/>
  <c r="FM119" i="49"/>
  <c r="FM113" i="49"/>
  <c r="FM110" i="49"/>
  <c r="FM101" i="49"/>
  <c r="FM97" i="49"/>
  <c r="FM93" i="49"/>
  <c r="FM89" i="49"/>
  <c r="FM135" i="49"/>
  <c r="FM84" i="49"/>
  <c r="FM49" i="49"/>
  <c r="FM46" i="49"/>
  <c r="FM43" i="49"/>
  <c r="FM40" i="49"/>
  <c r="FM37" i="49"/>
  <c r="FM34" i="49"/>
  <c r="FM31" i="49"/>
  <c r="FM28" i="49"/>
  <c r="FM25" i="49"/>
  <c r="FM74" i="49"/>
  <c r="FM71" i="49"/>
  <c r="FM68" i="49"/>
  <c r="FM65" i="49"/>
  <c r="FM62" i="49"/>
  <c r="FM59" i="49"/>
  <c r="FM56" i="49"/>
  <c r="FM53" i="49"/>
  <c r="FM79" i="49"/>
  <c r="FM77" i="49"/>
  <c r="FM50" i="49"/>
  <c r="FM47" i="49"/>
  <c r="FM44" i="49"/>
  <c r="FM41" i="49"/>
  <c r="FM38" i="49"/>
  <c r="FM35" i="49"/>
  <c r="FM32" i="49"/>
  <c r="FM29" i="49"/>
  <c r="FM26" i="49"/>
  <c r="FM23" i="49"/>
  <c r="FM72" i="49"/>
  <c r="FM69" i="49"/>
  <c r="FM66" i="49"/>
  <c r="FM63" i="49"/>
  <c r="FM60" i="49"/>
  <c r="FM57" i="49"/>
  <c r="FM54" i="49"/>
  <c r="FM75" i="49"/>
  <c r="FM80" i="49"/>
  <c r="FM51" i="49"/>
  <c r="FM48" i="49"/>
  <c r="FM45" i="49"/>
  <c r="FM42" i="49"/>
  <c r="FM39" i="49"/>
  <c r="FM36" i="49"/>
  <c r="FM33" i="49"/>
  <c r="FM30" i="49"/>
  <c r="FM27" i="49"/>
  <c r="FM24" i="49"/>
  <c r="FM78" i="49"/>
  <c r="FM73" i="49"/>
  <c r="FM70" i="49"/>
  <c r="FM67" i="49"/>
  <c r="FM64" i="49"/>
  <c r="FM61" i="49"/>
  <c r="FM58" i="49"/>
  <c r="FM55" i="49"/>
  <c r="FM76" i="49"/>
  <c r="FM21" i="49"/>
  <c r="FM18" i="49"/>
  <c r="FM15" i="49"/>
  <c r="FM12" i="49"/>
  <c r="FM22" i="49"/>
  <c r="FM19" i="49"/>
  <c r="FM16" i="49"/>
  <c r="FM13" i="49"/>
  <c r="FM10" i="49"/>
  <c r="FM20" i="49"/>
  <c r="FM17" i="49"/>
  <c r="FM14" i="49"/>
  <c r="FM11" i="49"/>
  <c r="GH217" i="49"/>
  <c r="GH218" i="49"/>
  <c r="GH219" i="49"/>
  <c r="GH215" i="49"/>
  <c r="GH220" i="49"/>
  <c r="GH216" i="49"/>
  <c r="GH214" i="49"/>
  <c r="GH210" i="49"/>
  <c r="GH206" i="49"/>
  <c r="GH202" i="49"/>
  <c r="GH183" i="49"/>
  <c r="GH211" i="49"/>
  <c r="GH207" i="49"/>
  <c r="GH203" i="49"/>
  <c r="GH198" i="49"/>
  <c r="GH195" i="49"/>
  <c r="GH192" i="49"/>
  <c r="GH189" i="49"/>
  <c r="GH186" i="49"/>
  <c r="GH181" i="49"/>
  <c r="GH212" i="49"/>
  <c r="GH208" i="49"/>
  <c r="GH204" i="49"/>
  <c r="GH200" i="49"/>
  <c r="GH196" i="49"/>
  <c r="GH193" i="49"/>
  <c r="GH190" i="49"/>
  <c r="GH187" i="49"/>
  <c r="GH184" i="49"/>
  <c r="GH213" i="49"/>
  <c r="GH209" i="49"/>
  <c r="GH205" i="49"/>
  <c r="GH201" i="49"/>
  <c r="GH197" i="49"/>
  <c r="GH194" i="49"/>
  <c r="GH191" i="49"/>
  <c r="GH188" i="49"/>
  <c r="GH185" i="49"/>
  <c r="GH167" i="49"/>
  <c r="GH163" i="49"/>
  <c r="GH158" i="49"/>
  <c r="GH154" i="49"/>
  <c r="GH176" i="49"/>
  <c r="GH172" i="49"/>
  <c r="GH151" i="49"/>
  <c r="GH148" i="49"/>
  <c r="GH179" i="49"/>
  <c r="GH168" i="49"/>
  <c r="GH164" i="49"/>
  <c r="GH159" i="49"/>
  <c r="GH155" i="49"/>
  <c r="GH180" i="49"/>
  <c r="GH177" i="49"/>
  <c r="GH173" i="49"/>
  <c r="GH169" i="49"/>
  <c r="GH165" i="49"/>
  <c r="GH161" i="49"/>
  <c r="GH156" i="49"/>
  <c r="GH152" i="49"/>
  <c r="GH149" i="49"/>
  <c r="GH174" i="49"/>
  <c r="GH182" i="49"/>
  <c r="GH166" i="49"/>
  <c r="GH162" i="49"/>
  <c r="GH157" i="49"/>
  <c r="GH153" i="49"/>
  <c r="GH178" i="49"/>
  <c r="GH171" i="49"/>
  <c r="GH150" i="49"/>
  <c r="GH147" i="49"/>
  <c r="GH175" i="49"/>
  <c r="GH83" i="49"/>
  <c r="GH137" i="49"/>
  <c r="GH131" i="49"/>
  <c r="GH128" i="49"/>
  <c r="GH125" i="49"/>
  <c r="GH123" i="49"/>
  <c r="GH119" i="49"/>
  <c r="GH113" i="49"/>
  <c r="GH110" i="49"/>
  <c r="GH101" i="49"/>
  <c r="GH97" i="49"/>
  <c r="GH93" i="49"/>
  <c r="GH89" i="49"/>
  <c r="GH81" i="49"/>
  <c r="GH145" i="49"/>
  <c r="GH142" i="49"/>
  <c r="GH139" i="49"/>
  <c r="GH136" i="49"/>
  <c r="GH86" i="49"/>
  <c r="GH135" i="49"/>
  <c r="GH130" i="49"/>
  <c r="GH127" i="49"/>
  <c r="GH124" i="49"/>
  <c r="GH120" i="49"/>
  <c r="GH114" i="49"/>
  <c r="GH111" i="49"/>
  <c r="GH103" i="49"/>
  <c r="GH98" i="49"/>
  <c r="GH94" i="49"/>
  <c r="GH90" i="49"/>
  <c r="GH84" i="49"/>
  <c r="GH146" i="49"/>
  <c r="GH143" i="49"/>
  <c r="GH140" i="49"/>
  <c r="GH134" i="49"/>
  <c r="GH82" i="49"/>
  <c r="GH121" i="49"/>
  <c r="GH116" i="49"/>
  <c r="GH115" i="49"/>
  <c r="GH112" i="49"/>
  <c r="GH104" i="49"/>
  <c r="GH99" i="49"/>
  <c r="GH95" i="49"/>
  <c r="GH91" i="49"/>
  <c r="GH87" i="49"/>
  <c r="GH133" i="49"/>
  <c r="GH129" i="49"/>
  <c r="GH126" i="49"/>
  <c r="GH80" i="49"/>
  <c r="GH85" i="49"/>
  <c r="GH144" i="49"/>
  <c r="GH141" i="49"/>
  <c r="GH138" i="49"/>
  <c r="GH132" i="49"/>
  <c r="GH122" i="49"/>
  <c r="GH118" i="49"/>
  <c r="GH109" i="49"/>
  <c r="GH106" i="49"/>
  <c r="GH105" i="49"/>
  <c r="GH100" i="49"/>
  <c r="GH96" i="49"/>
  <c r="GH92" i="49"/>
  <c r="GH88" i="49"/>
  <c r="GH75" i="49"/>
  <c r="GH51" i="49"/>
  <c r="GH48" i="49"/>
  <c r="GH45" i="49"/>
  <c r="GH42" i="49"/>
  <c r="GH39" i="49"/>
  <c r="GH36" i="49"/>
  <c r="GH33" i="49"/>
  <c r="GH30" i="49"/>
  <c r="GH27" i="49"/>
  <c r="GH24" i="49"/>
  <c r="GH73" i="49"/>
  <c r="GH70" i="49"/>
  <c r="GH67" i="49"/>
  <c r="GH64" i="49"/>
  <c r="GH61" i="49"/>
  <c r="GH58" i="49"/>
  <c r="GH55" i="49"/>
  <c r="GH78" i="49"/>
  <c r="GH49" i="49"/>
  <c r="GH46" i="49"/>
  <c r="GH43" i="49"/>
  <c r="GH40" i="49"/>
  <c r="GH37" i="49"/>
  <c r="GH34" i="49"/>
  <c r="GH31" i="49"/>
  <c r="GH28" i="49"/>
  <c r="GH25" i="49"/>
  <c r="GH76" i="49"/>
  <c r="GH71" i="49"/>
  <c r="GH68" i="49"/>
  <c r="GH65" i="49"/>
  <c r="GH62" i="49"/>
  <c r="GH59" i="49"/>
  <c r="GH56" i="49"/>
  <c r="GH53" i="49"/>
  <c r="GH74" i="49"/>
  <c r="GH79" i="49"/>
  <c r="GH50" i="49"/>
  <c r="GH47" i="49"/>
  <c r="GH44" i="49"/>
  <c r="GH41" i="49"/>
  <c r="GH38" i="49"/>
  <c r="GH35" i="49"/>
  <c r="GH32" i="49"/>
  <c r="GH29" i="49"/>
  <c r="GH26" i="49"/>
  <c r="GH23" i="49"/>
  <c r="GH77" i="49"/>
  <c r="GH72" i="49"/>
  <c r="GH69" i="49"/>
  <c r="GH66" i="49"/>
  <c r="GH63" i="49"/>
  <c r="GH60" i="49"/>
  <c r="GH57" i="49"/>
  <c r="GH54" i="49"/>
  <c r="GH20" i="49"/>
  <c r="GH17" i="49"/>
  <c r="GH14" i="49"/>
  <c r="GH11" i="49"/>
  <c r="GH21" i="49"/>
  <c r="GH18" i="49"/>
  <c r="GH15" i="49"/>
  <c r="GH12" i="49"/>
  <c r="GH22" i="49"/>
  <c r="GH19" i="49"/>
  <c r="GH16" i="49"/>
  <c r="GH13" i="49"/>
  <c r="GH10" i="49"/>
  <c r="GE97" i="40"/>
  <c r="GE93" i="40"/>
  <c r="GE88" i="40"/>
  <c r="GE84" i="40"/>
  <c r="GE80" i="40"/>
  <c r="GE75" i="40"/>
  <c r="GE70" i="40"/>
  <c r="GE66" i="40"/>
  <c r="GE98" i="40"/>
  <c r="GE94" i="40"/>
  <c r="GE90" i="40"/>
  <c r="GE85" i="40"/>
  <c r="GE81" i="40"/>
  <c r="GE77" i="40"/>
  <c r="GE71" i="40"/>
  <c r="GE67" i="40"/>
  <c r="GE95" i="40"/>
  <c r="GE91" i="40"/>
  <c r="GE86" i="40"/>
  <c r="GE82" i="40"/>
  <c r="GE78" i="40"/>
  <c r="GE73" i="40"/>
  <c r="GE68" i="40"/>
  <c r="GE96" i="40"/>
  <c r="GE92" i="40"/>
  <c r="GE87" i="40"/>
  <c r="GE83" i="40"/>
  <c r="GE79" i="40"/>
  <c r="GE74" i="40"/>
  <c r="GE69" i="40"/>
  <c r="GE62" i="40"/>
  <c r="GE58" i="40"/>
  <c r="GE54" i="40"/>
  <c r="GE48" i="40"/>
  <c r="GE44" i="40"/>
  <c r="GE40" i="40"/>
  <c r="GE36" i="40"/>
  <c r="GE32" i="40"/>
  <c r="GE65" i="40"/>
  <c r="GE63" i="40"/>
  <c r="GE59" i="40"/>
  <c r="GE55" i="40"/>
  <c r="GE51" i="40"/>
  <c r="GE45" i="40"/>
  <c r="GE41" i="40"/>
  <c r="GE37" i="40"/>
  <c r="GE33" i="40"/>
  <c r="GE64" i="40"/>
  <c r="GE60" i="40"/>
  <c r="GE56" i="40"/>
  <c r="GE49" i="40"/>
  <c r="GE47" i="40"/>
  <c r="GE42" i="40"/>
  <c r="GE38" i="40"/>
  <c r="GE34" i="40"/>
  <c r="GE61" i="40"/>
  <c r="GE57" i="40"/>
  <c r="GE52" i="40"/>
  <c r="GE50" i="40"/>
  <c r="GE43" i="40"/>
  <c r="GE39" i="40"/>
  <c r="GE30" i="40"/>
  <c r="GE26" i="40"/>
  <c r="GE35" i="40"/>
  <c r="GE22" i="40"/>
  <c r="GE18" i="40"/>
  <c r="GE14" i="40"/>
  <c r="GE10" i="40"/>
  <c r="GE31" i="40"/>
  <c r="GE27" i="40"/>
  <c r="GE23" i="40"/>
  <c r="GE19" i="40"/>
  <c r="GE15" i="40"/>
  <c r="GE11" i="40"/>
  <c r="GE28" i="40"/>
  <c r="GE20" i="40"/>
  <c r="GE16" i="40"/>
  <c r="GE12" i="40"/>
  <c r="GE29" i="40"/>
  <c r="GE25" i="40"/>
  <c r="GE21" i="40"/>
  <c r="GE17" i="40"/>
  <c r="GE13" i="40"/>
  <c r="FK95" i="40"/>
  <c r="FK91" i="40"/>
  <c r="FK86" i="40"/>
  <c r="FK82" i="40"/>
  <c r="FK78" i="40"/>
  <c r="FK73" i="40"/>
  <c r="FK68" i="40"/>
  <c r="FK96" i="40"/>
  <c r="FK92" i="40"/>
  <c r="FK87" i="40"/>
  <c r="FK83" i="40"/>
  <c r="FK79" i="40"/>
  <c r="FK74" i="40"/>
  <c r="FK69" i="40"/>
  <c r="FK65" i="40"/>
  <c r="FK97" i="40"/>
  <c r="FK93" i="40"/>
  <c r="FK88" i="40"/>
  <c r="FK84" i="40"/>
  <c r="FK80" i="40"/>
  <c r="FK75" i="40"/>
  <c r="FK70" i="40"/>
  <c r="FK66" i="40"/>
  <c r="FK98" i="40"/>
  <c r="FK94" i="40"/>
  <c r="FK90" i="40"/>
  <c r="FK85" i="40"/>
  <c r="FK81" i="40"/>
  <c r="FK77" i="40"/>
  <c r="FK71" i="40"/>
  <c r="FK67" i="40"/>
  <c r="FK64" i="40"/>
  <c r="FK60" i="40"/>
  <c r="FK56" i="40"/>
  <c r="FK49" i="40"/>
  <c r="FK47" i="40"/>
  <c r="FK42" i="40"/>
  <c r="FK38" i="40"/>
  <c r="FK34" i="40"/>
  <c r="FK61" i="40"/>
  <c r="FK57" i="40"/>
  <c r="FK52" i="40"/>
  <c r="FK50" i="40"/>
  <c r="FK43" i="40"/>
  <c r="FK39" i="40"/>
  <c r="FK35" i="40"/>
  <c r="FK62" i="40"/>
  <c r="FK58" i="40"/>
  <c r="FK54" i="40"/>
  <c r="FK48" i="40"/>
  <c r="FK44" i="40"/>
  <c r="FK40" i="40"/>
  <c r="FK36" i="40"/>
  <c r="FK63" i="40"/>
  <c r="FK59" i="40"/>
  <c r="FK55" i="40"/>
  <c r="FK51" i="40"/>
  <c r="FK45" i="40"/>
  <c r="FK41" i="40"/>
  <c r="FK37" i="40"/>
  <c r="FK33" i="40"/>
  <c r="FK32" i="40"/>
  <c r="FK28" i="40"/>
  <c r="FK20" i="40"/>
  <c r="FK16" i="40"/>
  <c r="FK12" i="40"/>
  <c r="FK29" i="40"/>
  <c r="FK25" i="40"/>
  <c r="FK21" i="40"/>
  <c r="FK17" i="40"/>
  <c r="FK13" i="40"/>
  <c r="FK30" i="40"/>
  <c r="FK26" i="40"/>
  <c r="FK22" i="40"/>
  <c r="FK18" i="40"/>
  <c r="FK14" i="40"/>
  <c r="FK10" i="40"/>
  <c r="FK31" i="40"/>
  <c r="FK27" i="40"/>
  <c r="FK23" i="40"/>
  <c r="FK19" i="40"/>
  <c r="FK15" i="40"/>
  <c r="FK11" i="40"/>
  <c r="GG217" i="49"/>
  <c r="GG218" i="49"/>
  <c r="GG219" i="49"/>
  <c r="GG215" i="49"/>
  <c r="GG220" i="49"/>
  <c r="GG216" i="49"/>
  <c r="GG197" i="49"/>
  <c r="GG194" i="49"/>
  <c r="GG191" i="49"/>
  <c r="GG188" i="49"/>
  <c r="GG185" i="49"/>
  <c r="GG180" i="49"/>
  <c r="GG214" i="49"/>
  <c r="GG210" i="49"/>
  <c r="GG206" i="49"/>
  <c r="GG202" i="49"/>
  <c r="GG183" i="49"/>
  <c r="GG211" i="49"/>
  <c r="GG207" i="49"/>
  <c r="GG203" i="49"/>
  <c r="GG198" i="49"/>
  <c r="GG195" i="49"/>
  <c r="GG192" i="49"/>
  <c r="GG189" i="49"/>
  <c r="GG186" i="49"/>
  <c r="GG181" i="49"/>
  <c r="GG212" i="49"/>
  <c r="GG208" i="49"/>
  <c r="GG204" i="49"/>
  <c r="GG200" i="49"/>
  <c r="GG196" i="49"/>
  <c r="GG193" i="49"/>
  <c r="GG190" i="49"/>
  <c r="GG187" i="49"/>
  <c r="GG184" i="49"/>
  <c r="GG213" i="49"/>
  <c r="GG209" i="49"/>
  <c r="GG205" i="49"/>
  <c r="GG201" i="49"/>
  <c r="GG175" i="49"/>
  <c r="GG167" i="49"/>
  <c r="GG163" i="49"/>
  <c r="GG158" i="49"/>
  <c r="GG154" i="49"/>
  <c r="GG176" i="49"/>
  <c r="GG172" i="49"/>
  <c r="GG151" i="49"/>
  <c r="GG148" i="49"/>
  <c r="GG179" i="49"/>
  <c r="GG168" i="49"/>
  <c r="GG164" i="49"/>
  <c r="GG159" i="49"/>
  <c r="GG155" i="49"/>
  <c r="GG177" i="49"/>
  <c r="GG173" i="49"/>
  <c r="GG169" i="49"/>
  <c r="GG165" i="49"/>
  <c r="GG161" i="49"/>
  <c r="GG156" i="49"/>
  <c r="GG152" i="49"/>
  <c r="GG149" i="49"/>
  <c r="GG174" i="49"/>
  <c r="GG182" i="49"/>
  <c r="GG166" i="49"/>
  <c r="GG162" i="49"/>
  <c r="GG157" i="49"/>
  <c r="GG153" i="49"/>
  <c r="GG178" i="49"/>
  <c r="GG171" i="49"/>
  <c r="GG150" i="49"/>
  <c r="GG147" i="49"/>
  <c r="GG144" i="49"/>
  <c r="GG141" i="49"/>
  <c r="GG138" i="49"/>
  <c r="GG132" i="49"/>
  <c r="GG122" i="49"/>
  <c r="GG118" i="49"/>
  <c r="GG109" i="49"/>
  <c r="GG106" i="49"/>
  <c r="GG105" i="49"/>
  <c r="GG100" i="49"/>
  <c r="GG96" i="49"/>
  <c r="GG92" i="49"/>
  <c r="GG88" i="49"/>
  <c r="GG83" i="49"/>
  <c r="GG137" i="49"/>
  <c r="GG131" i="49"/>
  <c r="GG128" i="49"/>
  <c r="GG125" i="49"/>
  <c r="GG123" i="49"/>
  <c r="GG119" i="49"/>
  <c r="GG113" i="49"/>
  <c r="GG110" i="49"/>
  <c r="GG101" i="49"/>
  <c r="GG97" i="49"/>
  <c r="GG93" i="49"/>
  <c r="GG89" i="49"/>
  <c r="GG81" i="49"/>
  <c r="GG145" i="49"/>
  <c r="GG142" i="49"/>
  <c r="GG139" i="49"/>
  <c r="GG136" i="49"/>
  <c r="GG86" i="49"/>
  <c r="GG135" i="49"/>
  <c r="GG130" i="49"/>
  <c r="GG127" i="49"/>
  <c r="GG124" i="49"/>
  <c r="GG120" i="49"/>
  <c r="GG114" i="49"/>
  <c r="GG111" i="49"/>
  <c r="GG103" i="49"/>
  <c r="GG98" i="49"/>
  <c r="GG94" i="49"/>
  <c r="GG90" i="49"/>
  <c r="GG84" i="49"/>
  <c r="GG146" i="49"/>
  <c r="GG143" i="49"/>
  <c r="GG140" i="49"/>
  <c r="GG134" i="49"/>
  <c r="GG82" i="49"/>
  <c r="GG121" i="49"/>
  <c r="GG116" i="49"/>
  <c r="GG115" i="49"/>
  <c r="GG112" i="49"/>
  <c r="GG104" i="49"/>
  <c r="GG99" i="49"/>
  <c r="GG95" i="49"/>
  <c r="GG91" i="49"/>
  <c r="GG87" i="49"/>
  <c r="GG133" i="49"/>
  <c r="GG129" i="49"/>
  <c r="GG126" i="49"/>
  <c r="GG80" i="49"/>
  <c r="GG85" i="49"/>
  <c r="GG75" i="49"/>
  <c r="GG51" i="49"/>
  <c r="GG48" i="49"/>
  <c r="GG45" i="49"/>
  <c r="GG42" i="49"/>
  <c r="GG39" i="49"/>
  <c r="GG36" i="49"/>
  <c r="GG33" i="49"/>
  <c r="GG30" i="49"/>
  <c r="GG27" i="49"/>
  <c r="GG24" i="49"/>
  <c r="GG73" i="49"/>
  <c r="GG70" i="49"/>
  <c r="GG67" i="49"/>
  <c r="GG64" i="49"/>
  <c r="GG61" i="49"/>
  <c r="GG58" i="49"/>
  <c r="GG55" i="49"/>
  <c r="GG78" i="49"/>
  <c r="GG49" i="49"/>
  <c r="GG46" i="49"/>
  <c r="GG43" i="49"/>
  <c r="GG40" i="49"/>
  <c r="GG37" i="49"/>
  <c r="GG34" i="49"/>
  <c r="GG31" i="49"/>
  <c r="GG28" i="49"/>
  <c r="GG25" i="49"/>
  <c r="GG76" i="49"/>
  <c r="GG71" i="49"/>
  <c r="GG68" i="49"/>
  <c r="GG65" i="49"/>
  <c r="GG62" i="49"/>
  <c r="GG59" i="49"/>
  <c r="GG56" i="49"/>
  <c r="GG53" i="49"/>
  <c r="GG74" i="49"/>
  <c r="GG79" i="49"/>
  <c r="GG50" i="49"/>
  <c r="GG47" i="49"/>
  <c r="GG44" i="49"/>
  <c r="GG41" i="49"/>
  <c r="GG38" i="49"/>
  <c r="GG35" i="49"/>
  <c r="GG32" i="49"/>
  <c r="GG29" i="49"/>
  <c r="GG26" i="49"/>
  <c r="GG23" i="49"/>
  <c r="GG77" i="49"/>
  <c r="GG72" i="49"/>
  <c r="GG69" i="49"/>
  <c r="GG66" i="49"/>
  <c r="GG63" i="49"/>
  <c r="GG60" i="49"/>
  <c r="GG57" i="49"/>
  <c r="GG54" i="49"/>
  <c r="GG20" i="49"/>
  <c r="GG17" i="49"/>
  <c r="GG14" i="49"/>
  <c r="GG11" i="49"/>
  <c r="GG21" i="49"/>
  <c r="GG18" i="49"/>
  <c r="GG15" i="49"/>
  <c r="GG12" i="49"/>
  <c r="GG22" i="49"/>
  <c r="GG19" i="49"/>
  <c r="GG16" i="49"/>
  <c r="GG13" i="49"/>
  <c r="GG10" i="49"/>
  <c r="FL218" i="49"/>
  <c r="FL219" i="49"/>
  <c r="FL220" i="49"/>
  <c r="FL216" i="49"/>
  <c r="FL217" i="49"/>
  <c r="FL215" i="49"/>
  <c r="FL211" i="49"/>
  <c r="FL207" i="49"/>
  <c r="FL203" i="49"/>
  <c r="FL184" i="49"/>
  <c r="FL212" i="49"/>
  <c r="FL208" i="49"/>
  <c r="FL204" i="49"/>
  <c r="FL200" i="49"/>
  <c r="FL196" i="49"/>
  <c r="FL193" i="49"/>
  <c r="FL190" i="49"/>
  <c r="FL187" i="49"/>
  <c r="FL182" i="49"/>
  <c r="FL213" i="49"/>
  <c r="FL209" i="49"/>
  <c r="FL205" i="49"/>
  <c r="FL201" i="49"/>
  <c r="FL180" i="49"/>
  <c r="FL197" i="49"/>
  <c r="FL194" i="49"/>
  <c r="FL191" i="49"/>
  <c r="FL188" i="49"/>
  <c r="FL185" i="49"/>
  <c r="FL214" i="49"/>
  <c r="FL210" i="49"/>
  <c r="FL206" i="49"/>
  <c r="FL202" i="49"/>
  <c r="FL198" i="49"/>
  <c r="FL195" i="49"/>
  <c r="FL192" i="49"/>
  <c r="FL189" i="49"/>
  <c r="FL186" i="49"/>
  <c r="FL181" i="49"/>
  <c r="FL168" i="49"/>
  <c r="FL164" i="49"/>
  <c r="FL159" i="49"/>
  <c r="FL155" i="49"/>
  <c r="FL177" i="49"/>
  <c r="FL173" i="49"/>
  <c r="FL152" i="49"/>
  <c r="FL149" i="49"/>
  <c r="FL169" i="49"/>
  <c r="FL165" i="49"/>
  <c r="FL161" i="49"/>
  <c r="FL156" i="49"/>
  <c r="FL178" i="49"/>
  <c r="FL174" i="49"/>
  <c r="FL171" i="49"/>
  <c r="FL166" i="49"/>
  <c r="FL162" i="49"/>
  <c r="FL157" i="49"/>
  <c r="FL153" i="49"/>
  <c r="FL150" i="49"/>
  <c r="FL147" i="49"/>
  <c r="FL183" i="49"/>
  <c r="FL175" i="49"/>
  <c r="FL167" i="49"/>
  <c r="FL163" i="49"/>
  <c r="FL158" i="49"/>
  <c r="FL154" i="49"/>
  <c r="FL179" i="49"/>
  <c r="FL172" i="49"/>
  <c r="FL151" i="49"/>
  <c r="FL148" i="49"/>
  <c r="FL176" i="49"/>
  <c r="FL135" i="49"/>
  <c r="FL84" i="49"/>
  <c r="FL134" i="49"/>
  <c r="FL130" i="49"/>
  <c r="FL127" i="49"/>
  <c r="FL124" i="49"/>
  <c r="FL120" i="49"/>
  <c r="FL114" i="49"/>
  <c r="FL111" i="49"/>
  <c r="FL103" i="49"/>
  <c r="FL98" i="49"/>
  <c r="FL94" i="49"/>
  <c r="FL90" i="49"/>
  <c r="FL82" i="49"/>
  <c r="FL146" i="49"/>
  <c r="FL143" i="49"/>
  <c r="FL140" i="49"/>
  <c r="FL87" i="49"/>
  <c r="FL133" i="49"/>
  <c r="FL121" i="49"/>
  <c r="FL116" i="49"/>
  <c r="FL115" i="49"/>
  <c r="FL112" i="49"/>
  <c r="FL104" i="49"/>
  <c r="FL99" i="49"/>
  <c r="FL95" i="49"/>
  <c r="FL91" i="49"/>
  <c r="FL85" i="49"/>
  <c r="FL138" i="49"/>
  <c r="FL132" i="49"/>
  <c r="FL129" i="49"/>
  <c r="FL126" i="49"/>
  <c r="FL144" i="49"/>
  <c r="FL141" i="49"/>
  <c r="FL83" i="49"/>
  <c r="FL137" i="49"/>
  <c r="FL122" i="49"/>
  <c r="FL118" i="49"/>
  <c r="FL109" i="49"/>
  <c r="FL106" i="49"/>
  <c r="FL105" i="49"/>
  <c r="FL100" i="49"/>
  <c r="FL96" i="49"/>
  <c r="FL92" i="49"/>
  <c r="FL88" i="49"/>
  <c r="FL81" i="49"/>
  <c r="FL136" i="49"/>
  <c r="FL131" i="49"/>
  <c r="FL128" i="49"/>
  <c r="FL125" i="49"/>
  <c r="FL86" i="49"/>
  <c r="FL145" i="49"/>
  <c r="FL142" i="49"/>
  <c r="FL139" i="49"/>
  <c r="FL123" i="49"/>
  <c r="FL119" i="49"/>
  <c r="FL113" i="49"/>
  <c r="FL110" i="49"/>
  <c r="FL101" i="49"/>
  <c r="FL97" i="49"/>
  <c r="FL93" i="49"/>
  <c r="FL89" i="49"/>
  <c r="FL76" i="49"/>
  <c r="FL49" i="49"/>
  <c r="FL46" i="49"/>
  <c r="FL43" i="49"/>
  <c r="FL40" i="49"/>
  <c r="FL37" i="49"/>
  <c r="FL34" i="49"/>
  <c r="FL31" i="49"/>
  <c r="FL28" i="49"/>
  <c r="FL25" i="49"/>
  <c r="FL74" i="49"/>
  <c r="FL71" i="49"/>
  <c r="FL68" i="49"/>
  <c r="FL65" i="49"/>
  <c r="FL62" i="49"/>
  <c r="FL59" i="49"/>
  <c r="FL56" i="49"/>
  <c r="FL53" i="49"/>
  <c r="FL79" i="49"/>
  <c r="FL77" i="49"/>
  <c r="FL50" i="49"/>
  <c r="FL47" i="49"/>
  <c r="FL44" i="49"/>
  <c r="FL41" i="49"/>
  <c r="FL38" i="49"/>
  <c r="FL35" i="49"/>
  <c r="FL32" i="49"/>
  <c r="FL29" i="49"/>
  <c r="FL26" i="49"/>
  <c r="FL72" i="49"/>
  <c r="FL69" i="49"/>
  <c r="FL66" i="49"/>
  <c r="FL63" i="49"/>
  <c r="FL60" i="49"/>
  <c r="FL57" i="49"/>
  <c r="FL54" i="49"/>
  <c r="FL75" i="49"/>
  <c r="FL80" i="49"/>
  <c r="FL51" i="49"/>
  <c r="FL48" i="49"/>
  <c r="FL45" i="49"/>
  <c r="FL42" i="49"/>
  <c r="FL39" i="49"/>
  <c r="FL36" i="49"/>
  <c r="FL33" i="49"/>
  <c r="FL30" i="49"/>
  <c r="FL27" i="49"/>
  <c r="FL24" i="49"/>
  <c r="FL78" i="49"/>
  <c r="FL73" i="49"/>
  <c r="FL70" i="49"/>
  <c r="FL67" i="49"/>
  <c r="FL64" i="49"/>
  <c r="FL61" i="49"/>
  <c r="FL58" i="49"/>
  <c r="FL55" i="49"/>
  <c r="FL23" i="49"/>
  <c r="FL21" i="49"/>
  <c r="FL18" i="49"/>
  <c r="FL15" i="49"/>
  <c r="FL12" i="49"/>
  <c r="FL22" i="49"/>
  <c r="FL19" i="49"/>
  <c r="FL16" i="49"/>
  <c r="FL13" i="49"/>
  <c r="FL10" i="49"/>
  <c r="FL20" i="49"/>
  <c r="FL17" i="49"/>
  <c r="FL14" i="49"/>
  <c r="FL11" i="49"/>
  <c r="GG98" i="40"/>
  <c r="GG94" i="40"/>
  <c r="GG90" i="40"/>
  <c r="GG85" i="40"/>
  <c r="GG81" i="40"/>
  <c r="GG77" i="40"/>
  <c r="GG71" i="40"/>
  <c r="GG67" i="40"/>
  <c r="GG95" i="40"/>
  <c r="GG91" i="40"/>
  <c r="GG86" i="40"/>
  <c r="GG82" i="40"/>
  <c r="GG78" i="40"/>
  <c r="GG73" i="40"/>
  <c r="GG68" i="40"/>
  <c r="GG96" i="40"/>
  <c r="GG92" i="40"/>
  <c r="GG87" i="40"/>
  <c r="GG83" i="40"/>
  <c r="GG79" i="40"/>
  <c r="GG74" i="40"/>
  <c r="GG69" i="40"/>
  <c r="GG65" i="40"/>
  <c r="GG97" i="40"/>
  <c r="GG93" i="40"/>
  <c r="GG88" i="40"/>
  <c r="GG84" i="40"/>
  <c r="GG80" i="40"/>
  <c r="GG75" i="40"/>
  <c r="GG70" i="40"/>
  <c r="GG66" i="40"/>
  <c r="GG63" i="40"/>
  <c r="GG59" i="40"/>
  <c r="GG55" i="40"/>
  <c r="GG51" i="40"/>
  <c r="GG45" i="40"/>
  <c r="GG41" i="40"/>
  <c r="GG37" i="40"/>
  <c r="GG33" i="40"/>
  <c r="GG64" i="40"/>
  <c r="GG60" i="40"/>
  <c r="GG56" i="40"/>
  <c r="GG49" i="40"/>
  <c r="GG47" i="40"/>
  <c r="GG42" i="40"/>
  <c r="GG38" i="40"/>
  <c r="GG34" i="40"/>
  <c r="GG61" i="40"/>
  <c r="GG57" i="40"/>
  <c r="GG52" i="40"/>
  <c r="GG50" i="40"/>
  <c r="GG43" i="40"/>
  <c r="GG39" i="40"/>
  <c r="GG35" i="40"/>
  <c r="GG62" i="40"/>
  <c r="GG58" i="40"/>
  <c r="GG54" i="40"/>
  <c r="GG48" i="40"/>
  <c r="GG44" i="40"/>
  <c r="GG40" i="40"/>
  <c r="GG36" i="40"/>
  <c r="GG32" i="40"/>
  <c r="GG31" i="40"/>
  <c r="GG27" i="40"/>
  <c r="GG23" i="40"/>
  <c r="GG19" i="40"/>
  <c r="GG15" i="40"/>
  <c r="GG11" i="40"/>
  <c r="GG28" i="40"/>
  <c r="GG20" i="40"/>
  <c r="GG16" i="40"/>
  <c r="GG12" i="40"/>
  <c r="GG29" i="40"/>
  <c r="GG25" i="40"/>
  <c r="GG21" i="40"/>
  <c r="GG17" i="40"/>
  <c r="GG13" i="40"/>
  <c r="GG30" i="40"/>
  <c r="GG26" i="40"/>
  <c r="GG22" i="40"/>
  <c r="GG18" i="40"/>
  <c r="GG14" i="40"/>
  <c r="GG10" i="40"/>
  <c r="GF97" i="40"/>
  <c r="GF93" i="40"/>
  <c r="GF88" i="40"/>
  <c r="GF84" i="40"/>
  <c r="GF80" i="40"/>
  <c r="GF75" i="40"/>
  <c r="GF70" i="40"/>
  <c r="GF66" i="40"/>
  <c r="GF98" i="40"/>
  <c r="GF94" i="40"/>
  <c r="GF90" i="40"/>
  <c r="GF85" i="40"/>
  <c r="GF81" i="40"/>
  <c r="GF77" i="40"/>
  <c r="GF71" i="40"/>
  <c r="GF67" i="40"/>
  <c r="GF95" i="40"/>
  <c r="GF91" i="40"/>
  <c r="GF86" i="40"/>
  <c r="GF82" i="40"/>
  <c r="GF78" i="40"/>
  <c r="GF73" i="40"/>
  <c r="GF68" i="40"/>
  <c r="GF96" i="40"/>
  <c r="GF92" i="40"/>
  <c r="GF87" i="40"/>
  <c r="GF83" i="40"/>
  <c r="GF79" i="40"/>
  <c r="GF74" i="40"/>
  <c r="GF69" i="40"/>
  <c r="GF65" i="40"/>
  <c r="GF62" i="40"/>
  <c r="GF58" i="40"/>
  <c r="GF54" i="40"/>
  <c r="GF48" i="40"/>
  <c r="GF44" i="40"/>
  <c r="GF40" i="40"/>
  <c r="GF36" i="40"/>
  <c r="GF32" i="40"/>
  <c r="GF63" i="40"/>
  <c r="GF59" i="40"/>
  <c r="GF55" i="40"/>
  <c r="GF51" i="40"/>
  <c r="GF45" i="40"/>
  <c r="GF41" i="40"/>
  <c r="GF37" i="40"/>
  <c r="GF33" i="40"/>
  <c r="GF64" i="40"/>
  <c r="GF60" i="40"/>
  <c r="GF56" i="40"/>
  <c r="GF49" i="40"/>
  <c r="GF47" i="40"/>
  <c r="GF42" i="40"/>
  <c r="GF38" i="40"/>
  <c r="GF34" i="40"/>
  <c r="GF61" i="40"/>
  <c r="GF57" i="40"/>
  <c r="GF52" i="40"/>
  <c r="GF50" i="40"/>
  <c r="GF43" i="40"/>
  <c r="GF39" i="40"/>
  <c r="GF35" i="40"/>
  <c r="GF22" i="40"/>
  <c r="GF18" i="40"/>
  <c r="GF14" i="40"/>
  <c r="GF10" i="40"/>
  <c r="GF31" i="40"/>
  <c r="GF27" i="40"/>
  <c r="GF23" i="40"/>
  <c r="GF19" i="40"/>
  <c r="GF15" i="40"/>
  <c r="GF11" i="40"/>
  <c r="GF28" i="40"/>
  <c r="GF20" i="40"/>
  <c r="GF16" i="40"/>
  <c r="GF12" i="40"/>
  <c r="GF29" i="40"/>
  <c r="GF25" i="40"/>
  <c r="GF21" i="40"/>
  <c r="GF17" i="40"/>
  <c r="GF13" i="40"/>
  <c r="GF30" i="40"/>
  <c r="GF26" i="40"/>
  <c r="E163" i="49"/>
  <c r="B163" i="49" s="1"/>
  <c r="B162" i="49"/>
  <c r="B112" i="49"/>
  <c r="B169" i="49"/>
  <c r="B166" i="49"/>
  <c r="EA222" i="49"/>
  <c r="EX222" i="49"/>
  <c r="EB222" i="49"/>
  <c r="EV222" i="49"/>
  <c r="EW222" i="49"/>
  <c r="ET100" i="40"/>
  <c r="EU100" i="40"/>
  <c r="DZ100" i="40"/>
  <c r="EV100" i="40"/>
  <c r="DY100" i="40"/>
  <c r="FL222" i="49" l="1"/>
  <c r="GG222" i="49"/>
  <c r="GH222" i="49"/>
  <c r="FJ100" i="40"/>
  <c r="GE100" i="40"/>
  <c r="GF100" i="40"/>
  <c r="GG100" i="40"/>
  <c r="FK100" i="40"/>
  <c r="DP222" i="49" l="1"/>
  <c r="DO222" i="49"/>
  <c r="EX107" i="40"/>
  <c r="EW107" i="40"/>
  <c r="ES107" i="40"/>
  <c r="ER107" i="40"/>
  <c r="EQ107" i="40"/>
  <c r="EP107" i="40"/>
  <c r="EO107" i="40"/>
  <c r="EN107" i="40"/>
  <c r="EM107" i="40"/>
  <c r="EL107" i="40"/>
  <c r="EK107" i="40"/>
  <c r="EJ107" i="40"/>
  <c r="EI107" i="40"/>
  <c r="EH107" i="40"/>
  <c r="EG107" i="40"/>
  <c r="EF107" i="40"/>
  <c r="EE107" i="40"/>
  <c r="ED107" i="40"/>
  <c r="EC107" i="40"/>
  <c r="EB107" i="40"/>
  <c r="EA107" i="40"/>
  <c r="DX107" i="40"/>
  <c r="DW107" i="40"/>
  <c r="CZ3" i="32"/>
  <c r="CY3" i="32"/>
  <c r="CX3" i="32"/>
  <c r="DH225" i="49"/>
  <c r="EX49" i="40" l="1"/>
  <c r="EX51" i="40"/>
  <c r="EX48" i="40"/>
  <c r="EX50" i="40"/>
  <c r="EX47" i="40"/>
  <c r="EX52" i="40"/>
  <c r="EJ52" i="40"/>
  <c r="EJ49" i="40"/>
  <c r="EJ51" i="40"/>
  <c r="EJ48" i="40"/>
  <c r="EJ50" i="40"/>
  <c r="EJ47" i="40"/>
  <c r="ER52" i="40"/>
  <c r="ER49" i="40"/>
  <c r="ER51" i="40"/>
  <c r="ER48" i="40"/>
  <c r="ER50" i="40"/>
  <c r="ER47" i="40"/>
  <c r="DW49" i="40"/>
  <c r="DW51" i="40"/>
  <c r="DW48" i="40"/>
  <c r="DW50" i="40"/>
  <c r="DW52" i="40"/>
  <c r="DW47" i="40"/>
  <c r="EK52" i="40"/>
  <c r="EK49" i="40"/>
  <c r="EK51" i="40"/>
  <c r="EK48" i="40"/>
  <c r="EK50" i="40"/>
  <c r="EK47" i="40"/>
  <c r="EL49" i="40"/>
  <c r="EL51" i="40"/>
  <c r="EL48" i="40"/>
  <c r="EL50" i="40"/>
  <c r="EL47" i="40"/>
  <c r="EL52" i="40"/>
  <c r="EB50" i="40"/>
  <c r="EB47" i="40"/>
  <c r="EB49" i="40"/>
  <c r="EB51" i="40"/>
  <c r="EB48" i="40"/>
  <c r="EB52" i="40"/>
  <c r="EC52" i="40"/>
  <c r="EC49" i="40"/>
  <c r="EC51" i="40"/>
  <c r="EC48" i="40"/>
  <c r="EC50" i="40"/>
  <c r="EC47" i="40"/>
  <c r="EO52" i="40"/>
  <c r="EO49" i="40"/>
  <c r="EO51" i="40"/>
  <c r="EO48" i="40"/>
  <c r="EO50" i="40"/>
  <c r="EO47" i="40"/>
  <c r="EE47" i="40"/>
  <c r="EE52" i="40"/>
  <c r="EE49" i="40"/>
  <c r="EE51" i="40"/>
  <c r="EE48" i="40"/>
  <c r="EE50" i="40"/>
  <c r="EI48" i="40"/>
  <c r="EI50" i="40"/>
  <c r="EI52" i="40"/>
  <c r="EI49" i="40"/>
  <c r="EI51" i="40"/>
  <c r="EI47" i="40"/>
  <c r="DX52" i="40"/>
  <c r="DX49" i="40"/>
  <c r="DX51" i="40"/>
  <c r="DX48" i="40"/>
  <c r="DX50" i="40"/>
  <c r="DX47" i="40"/>
  <c r="EA52" i="40"/>
  <c r="EA49" i="40"/>
  <c r="EA51" i="40"/>
  <c r="EA48" i="40"/>
  <c r="EA50" i="40"/>
  <c r="EA47" i="40"/>
  <c r="EN51" i="40"/>
  <c r="EN49" i="40"/>
  <c r="EN47" i="40"/>
  <c r="EN48" i="40"/>
  <c r="EN50" i="40"/>
  <c r="EN52" i="40"/>
  <c r="ED51" i="40"/>
  <c r="ED49" i="40"/>
  <c r="ED52" i="40"/>
  <c r="ED48" i="40"/>
  <c r="ED50" i="40"/>
  <c r="ED47" i="40"/>
  <c r="EP47" i="40"/>
  <c r="EP50" i="40"/>
  <c r="EP52" i="40"/>
  <c r="EP51" i="40"/>
  <c r="EP48" i="40"/>
  <c r="EP49" i="40"/>
  <c r="EG52" i="40"/>
  <c r="EG49" i="40"/>
  <c r="EG51" i="40"/>
  <c r="EG48" i="40"/>
  <c r="EG50" i="40"/>
  <c r="EG47" i="40"/>
  <c r="ES52" i="40"/>
  <c r="ES49" i="40"/>
  <c r="ES51" i="40"/>
  <c r="ES48" i="40"/>
  <c r="ES50" i="40"/>
  <c r="ES47" i="40"/>
  <c r="EQ52" i="40"/>
  <c r="EQ49" i="40"/>
  <c r="EQ51" i="40"/>
  <c r="EQ48" i="40"/>
  <c r="EQ50" i="40"/>
  <c r="EQ47" i="40"/>
  <c r="EF52" i="40"/>
  <c r="EF49" i="40"/>
  <c r="EF51" i="40"/>
  <c r="EF48" i="40"/>
  <c r="EF50" i="40"/>
  <c r="EF47" i="40"/>
  <c r="EH50" i="40"/>
  <c r="EH52" i="40"/>
  <c r="EH49" i="40"/>
  <c r="EH51" i="40"/>
  <c r="EH48" i="40"/>
  <c r="EH47" i="40"/>
  <c r="EW52" i="40"/>
  <c r="EW49" i="40"/>
  <c r="EW51" i="40"/>
  <c r="EW48" i="40"/>
  <c r="EW50" i="40"/>
  <c r="EW47" i="40"/>
  <c r="EI75" i="40"/>
  <c r="EI73" i="40"/>
  <c r="EI74" i="40"/>
  <c r="EX73" i="40"/>
  <c r="EX74" i="40"/>
  <c r="EX75" i="40"/>
  <c r="DW75" i="40"/>
  <c r="DW73" i="40"/>
  <c r="DW74" i="40"/>
  <c r="EQ74" i="40"/>
  <c r="EQ75" i="40"/>
  <c r="EQ73" i="40"/>
  <c r="DX75" i="40"/>
  <c r="DX73" i="40"/>
  <c r="DX74" i="40"/>
  <c r="EL73" i="40"/>
  <c r="EL74" i="40"/>
  <c r="EL75" i="40"/>
  <c r="EJ75" i="40"/>
  <c r="EJ73" i="40"/>
  <c r="EJ74" i="40"/>
  <c r="EB73" i="40"/>
  <c r="EB74" i="40"/>
  <c r="EB75" i="40"/>
  <c r="EN73" i="40"/>
  <c r="EN74" i="40"/>
  <c r="EN75" i="40"/>
  <c r="EE74" i="40"/>
  <c r="EE75" i="40"/>
  <c r="EE73" i="40"/>
  <c r="EK73" i="40"/>
  <c r="EK74" i="40"/>
  <c r="EK75" i="40"/>
  <c r="EA73" i="40"/>
  <c r="EA74" i="40"/>
  <c r="EA75" i="40"/>
  <c r="EC73" i="40"/>
  <c r="EC74" i="40"/>
  <c r="EC75" i="40"/>
  <c r="EO73" i="40"/>
  <c r="EO74" i="40"/>
  <c r="EO75" i="40"/>
  <c r="ED74" i="40"/>
  <c r="ED75" i="40"/>
  <c r="ED73" i="40"/>
  <c r="EP73" i="40"/>
  <c r="EP74" i="40"/>
  <c r="EP75" i="40"/>
  <c r="ER74" i="40"/>
  <c r="ER75" i="40"/>
  <c r="ER73" i="40"/>
  <c r="ES74" i="40"/>
  <c r="ES75" i="40"/>
  <c r="ES73" i="40"/>
  <c r="EF74" i="40"/>
  <c r="EF75" i="40"/>
  <c r="EF73" i="40"/>
  <c r="EG74" i="40"/>
  <c r="EG75" i="40"/>
  <c r="EG73" i="40"/>
  <c r="EH74" i="40"/>
  <c r="EH75" i="40"/>
  <c r="EH73" i="40"/>
  <c r="EW75" i="40"/>
  <c r="EW73" i="40"/>
  <c r="EW74" i="40"/>
  <c r="DO225" i="49"/>
  <c r="DP225" i="49"/>
  <c r="CP7" i="49"/>
  <c r="CP6" i="49"/>
  <c r="CV7" i="49"/>
  <c r="CV6" i="49"/>
  <c r="DA7" i="49"/>
  <c r="CZ7" i="49"/>
  <c r="DA6" i="49"/>
  <c r="CZ6" i="49"/>
  <c r="DP7" i="49"/>
  <c r="DO7" i="49"/>
  <c r="DP6" i="49"/>
  <c r="DO6" i="49"/>
  <c r="DZ229" i="49"/>
  <c r="DZ6" i="49"/>
  <c r="FK6" i="49" s="1"/>
  <c r="EF229" i="49"/>
  <c r="EF6" i="49"/>
  <c r="FQ6" i="49" s="1"/>
  <c r="EK229" i="49"/>
  <c r="EJ229" i="49"/>
  <c r="EK6" i="49"/>
  <c r="FV6" i="49" s="1"/>
  <c r="EJ6" i="49"/>
  <c r="FU6" i="49" s="1"/>
  <c r="EZ229" i="49"/>
  <c r="EY229" i="49"/>
  <c r="EZ6" i="49"/>
  <c r="GK6" i="49" s="1"/>
  <c r="EY6" i="49"/>
  <c r="GJ6" i="49" s="1"/>
  <c r="EU229" i="49"/>
  <c r="ET229" i="49"/>
  <c r="ES229" i="49"/>
  <c r="ER229" i="49"/>
  <c r="EQ229" i="49"/>
  <c r="EP229" i="49"/>
  <c r="EO229" i="49"/>
  <c r="FZ229" i="49" s="1"/>
  <c r="EN229" i="49"/>
  <c r="EM229" i="49"/>
  <c r="EL229" i="49"/>
  <c r="EI229" i="49"/>
  <c r="EH229" i="49"/>
  <c r="EG229" i="49"/>
  <c r="EE229" i="49"/>
  <c r="ED229" i="49"/>
  <c r="EC229" i="49"/>
  <c r="DY229" i="49"/>
  <c r="T7" i="49"/>
  <c r="T6" i="49"/>
  <c r="T5" i="49"/>
  <c r="Z7" i="49"/>
  <c r="Z6" i="49"/>
  <c r="Z5" i="49"/>
  <c r="AE7" i="49"/>
  <c r="AD7" i="49"/>
  <c r="AE6" i="49"/>
  <c r="AD6" i="49"/>
  <c r="AE5" i="49"/>
  <c r="AD5" i="49"/>
  <c r="AT7" i="49"/>
  <c r="AT6" i="49"/>
  <c r="AT5" i="49"/>
  <c r="AS7" i="49"/>
  <c r="AS6" i="49"/>
  <c r="AS5" i="49"/>
  <c r="FW229" i="49" l="1"/>
  <c r="FW217" i="49" s="1"/>
  <c r="EL108" i="49"/>
  <c r="EL107" i="49"/>
  <c r="FX229" i="49"/>
  <c r="FX216" i="49" s="1"/>
  <c r="EM108" i="49"/>
  <c r="EM107" i="49"/>
  <c r="FU229" i="49"/>
  <c r="FU216" i="49" s="1"/>
  <c r="EJ107" i="49"/>
  <c r="EJ108" i="49"/>
  <c r="GK229" i="49"/>
  <c r="EZ108" i="49"/>
  <c r="EZ107" i="49"/>
  <c r="GA229" i="49"/>
  <c r="GA202" i="49" s="1"/>
  <c r="GJ229" i="49"/>
  <c r="GJ181" i="49" s="1"/>
  <c r="EY108" i="49"/>
  <c r="EY107" i="49"/>
  <c r="FO229" i="49"/>
  <c r="FO106" i="49" s="1"/>
  <c r="ED108" i="49"/>
  <c r="ED107" i="49"/>
  <c r="GD229" i="49"/>
  <c r="GD172" i="49" s="1"/>
  <c r="ES108" i="49"/>
  <c r="ES107" i="49"/>
  <c r="FQ229" i="49"/>
  <c r="EF108" i="49"/>
  <c r="EF107" i="49"/>
  <c r="FJ229" i="49"/>
  <c r="FJ188" i="49" s="1"/>
  <c r="DY108" i="49"/>
  <c r="DY107" i="49"/>
  <c r="GB229" i="49"/>
  <c r="FN229" i="49"/>
  <c r="EC108" i="49"/>
  <c r="EC107" i="49"/>
  <c r="GC229" i="49"/>
  <c r="ER108" i="49"/>
  <c r="ER107" i="49"/>
  <c r="FP229" i="49"/>
  <c r="EE108" i="49"/>
  <c r="EE107" i="49"/>
  <c r="GE229" i="49"/>
  <c r="ET108" i="49"/>
  <c r="ET107" i="49"/>
  <c r="FV229" i="49"/>
  <c r="FV146" i="49" s="1"/>
  <c r="EK108" i="49"/>
  <c r="EK107" i="49"/>
  <c r="FR229" i="49"/>
  <c r="FR213" i="49" s="1"/>
  <c r="EG108" i="49"/>
  <c r="EG107" i="49"/>
  <c r="GF229" i="49"/>
  <c r="EU108" i="49"/>
  <c r="EU107" i="49"/>
  <c r="DZ108" i="49"/>
  <c r="DZ107" i="49"/>
  <c r="FY229" i="49"/>
  <c r="FY200" i="49" s="1"/>
  <c r="EN108" i="49"/>
  <c r="EN107" i="49"/>
  <c r="FS229" i="49"/>
  <c r="FS219" i="49" s="1"/>
  <c r="EH108" i="49"/>
  <c r="EH107" i="49"/>
  <c r="FT229" i="49"/>
  <c r="EI108" i="49"/>
  <c r="EI107" i="49"/>
  <c r="FW110" i="49"/>
  <c r="FO152" i="49"/>
  <c r="FO89" i="49"/>
  <c r="FO94" i="49"/>
  <c r="FO77" i="49"/>
  <c r="FO50" i="49"/>
  <c r="FO61" i="49"/>
  <c r="FO58" i="49"/>
  <c r="FO46" i="49"/>
  <c r="GD173" i="49"/>
  <c r="GD96" i="49"/>
  <c r="GD123" i="49"/>
  <c r="GD119" i="49"/>
  <c r="GD113" i="49"/>
  <c r="GD81" i="49"/>
  <c r="GD57" i="49"/>
  <c r="GD56" i="49"/>
  <c r="GD10" i="49"/>
  <c r="GD21" i="49"/>
  <c r="GD18" i="49"/>
  <c r="FX219" i="49"/>
  <c r="FX220" i="49"/>
  <c r="FX182" i="49"/>
  <c r="FX209" i="49"/>
  <c r="FX164" i="49"/>
  <c r="FX159" i="49"/>
  <c r="FX155" i="49"/>
  <c r="FX161" i="49"/>
  <c r="FX156" i="49"/>
  <c r="FX154" i="49"/>
  <c r="FX148" i="49"/>
  <c r="FX94" i="49"/>
  <c r="FX90" i="49"/>
  <c r="FX84" i="49"/>
  <c r="FX146" i="49"/>
  <c r="FX143" i="49"/>
  <c r="FX118" i="49"/>
  <c r="FX109" i="49"/>
  <c r="FX93" i="49"/>
  <c r="FX89" i="49"/>
  <c r="FX78" i="49"/>
  <c r="FX80" i="49"/>
  <c r="FX49" i="49"/>
  <c r="FX41" i="49"/>
  <c r="FX38" i="49"/>
  <c r="FX75" i="49"/>
  <c r="FX51" i="49"/>
  <c r="FX36" i="49"/>
  <c r="FX33" i="49"/>
  <c r="FX27" i="49"/>
  <c r="FX11" i="49"/>
  <c r="GA91" i="49"/>
  <c r="GA100" i="49"/>
  <c r="GA96" i="49"/>
  <c r="FR144" i="49"/>
  <c r="FK229" i="49"/>
  <c r="FJ168" i="49"/>
  <c r="FJ129" i="49"/>
  <c r="FS220" i="49"/>
  <c r="FS216" i="49"/>
  <c r="FS212" i="49"/>
  <c r="FS208" i="49"/>
  <c r="FS209" i="49"/>
  <c r="FS171" i="49"/>
  <c r="FS167" i="49"/>
  <c r="FS168" i="49"/>
  <c r="FS164" i="49"/>
  <c r="FS159" i="49"/>
  <c r="FS85" i="49"/>
  <c r="FS137" i="49"/>
  <c r="FS122" i="49"/>
  <c r="FS105" i="49"/>
  <c r="FS100" i="49"/>
  <c r="FS92" i="49"/>
  <c r="FS88" i="49"/>
  <c r="FS83" i="49"/>
  <c r="FS86" i="49"/>
  <c r="FS124" i="49"/>
  <c r="FS103" i="49"/>
  <c r="FS98" i="49"/>
  <c r="FS94" i="49"/>
  <c r="FS90" i="49"/>
  <c r="FS104" i="49"/>
  <c r="FS99" i="49"/>
  <c r="FS63" i="49"/>
  <c r="FS60" i="49"/>
  <c r="FS57" i="49"/>
  <c r="FS30" i="49"/>
  <c r="FS24" i="49"/>
  <c r="FS78" i="49"/>
  <c r="FS73" i="49"/>
  <c r="FS61" i="49"/>
  <c r="FS76" i="49"/>
  <c r="FS71" i="49"/>
  <c r="FS68" i="49"/>
  <c r="FS65" i="49"/>
  <c r="FS62" i="49"/>
  <c r="FS59" i="49"/>
  <c r="FS38" i="49"/>
  <c r="FS35" i="49"/>
  <c r="FS32" i="49"/>
  <c r="FS15" i="49"/>
  <c r="FS19" i="49"/>
  <c r="FZ184" i="49"/>
  <c r="FZ182" i="49"/>
  <c r="FZ180" i="49"/>
  <c r="FZ183" i="49"/>
  <c r="FZ178" i="49"/>
  <c r="FZ181" i="49"/>
  <c r="FZ179" i="49"/>
  <c r="FZ134" i="49"/>
  <c r="FZ133" i="49"/>
  <c r="FZ138" i="49"/>
  <c r="FZ132" i="49"/>
  <c r="FZ137" i="49"/>
  <c r="FZ136" i="49"/>
  <c r="FZ135" i="49"/>
  <c r="FU217" i="49"/>
  <c r="FU218" i="49"/>
  <c r="FU219" i="49"/>
  <c r="FU206" i="49"/>
  <c r="FU202" i="49"/>
  <c r="FU183" i="49"/>
  <c r="FU181" i="49"/>
  <c r="FU211" i="49"/>
  <c r="FU207" i="49"/>
  <c r="FU203" i="49"/>
  <c r="FU198" i="49"/>
  <c r="FU192" i="49"/>
  <c r="FU189" i="49"/>
  <c r="FU212" i="49"/>
  <c r="FU208" i="49"/>
  <c r="FU204" i="49"/>
  <c r="FU200" i="49"/>
  <c r="FU196" i="49"/>
  <c r="FU193" i="49"/>
  <c r="FU187" i="49"/>
  <c r="FU182" i="49"/>
  <c r="FU213" i="49"/>
  <c r="FU209" i="49"/>
  <c r="FU194" i="49"/>
  <c r="FU191" i="49"/>
  <c r="FU188" i="49"/>
  <c r="FU185" i="49"/>
  <c r="FU163" i="49"/>
  <c r="FU158" i="49"/>
  <c r="FU154" i="49"/>
  <c r="FU179" i="49"/>
  <c r="FU176" i="49"/>
  <c r="FU151" i="49"/>
  <c r="FU164" i="49"/>
  <c r="FU159" i="49"/>
  <c r="FU177" i="49"/>
  <c r="FU173" i="49"/>
  <c r="FU180" i="49"/>
  <c r="FU169" i="49"/>
  <c r="FU165" i="49"/>
  <c r="FU161" i="49"/>
  <c r="FU152" i="49"/>
  <c r="FU149" i="49"/>
  <c r="FU162" i="49"/>
  <c r="FU157" i="49"/>
  <c r="FU153" i="49"/>
  <c r="FU171" i="49"/>
  <c r="FU150" i="49"/>
  <c r="FU175" i="49"/>
  <c r="FU83" i="49"/>
  <c r="FU131" i="49"/>
  <c r="FU128" i="49"/>
  <c r="FU125" i="49"/>
  <c r="FU110" i="49"/>
  <c r="FU101" i="49"/>
  <c r="FU97" i="49"/>
  <c r="FU93" i="49"/>
  <c r="FU89" i="49"/>
  <c r="FU81" i="49"/>
  <c r="FU145" i="49"/>
  <c r="FU142" i="49"/>
  <c r="FU135" i="49"/>
  <c r="FU86" i="49"/>
  <c r="FU127" i="49"/>
  <c r="FU124" i="49"/>
  <c r="FU120" i="49"/>
  <c r="FU114" i="49"/>
  <c r="FU111" i="49"/>
  <c r="FU98" i="49"/>
  <c r="FU90" i="49"/>
  <c r="FU84" i="49"/>
  <c r="FU146" i="49"/>
  <c r="FU143" i="49"/>
  <c r="FU82" i="49"/>
  <c r="FU121" i="49"/>
  <c r="FU116" i="49"/>
  <c r="FU115" i="49"/>
  <c r="FU99" i="49"/>
  <c r="FU95" i="49"/>
  <c r="FU91" i="49"/>
  <c r="FU87" i="49"/>
  <c r="FU138" i="49"/>
  <c r="FU132" i="49"/>
  <c r="FU85" i="49"/>
  <c r="FU144" i="49"/>
  <c r="FU141" i="49"/>
  <c r="FU118" i="49"/>
  <c r="FU109" i="49"/>
  <c r="FU106" i="49"/>
  <c r="FU105" i="49"/>
  <c r="FU100" i="49"/>
  <c r="FU96" i="49"/>
  <c r="FU92" i="49"/>
  <c r="FU48" i="49"/>
  <c r="FU42" i="49"/>
  <c r="FU36" i="49"/>
  <c r="FU33" i="49"/>
  <c r="FU30" i="49"/>
  <c r="FU27" i="49"/>
  <c r="FU24" i="49"/>
  <c r="FU73" i="49"/>
  <c r="FU70" i="49"/>
  <c r="FU67" i="49"/>
  <c r="FU55" i="49"/>
  <c r="FU46" i="49"/>
  <c r="FU43" i="49"/>
  <c r="FU40" i="49"/>
  <c r="FU37" i="49"/>
  <c r="FU34" i="49"/>
  <c r="FU31" i="49"/>
  <c r="FU28" i="49"/>
  <c r="FU25" i="49"/>
  <c r="FU68" i="49"/>
  <c r="FU56" i="49"/>
  <c r="FU53" i="49"/>
  <c r="FU50" i="49"/>
  <c r="FU47" i="49"/>
  <c r="FU44" i="49"/>
  <c r="FU41" i="49"/>
  <c r="FU38" i="49"/>
  <c r="FU32" i="49"/>
  <c r="FU29" i="49"/>
  <c r="FU26" i="49"/>
  <c r="FU66" i="49"/>
  <c r="FU63" i="49"/>
  <c r="FU60" i="49"/>
  <c r="FU57" i="49"/>
  <c r="FU54" i="49"/>
  <c r="FU17" i="49"/>
  <c r="FU14" i="49"/>
  <c r="FU11" i="49"/>
  <c r="FU18" i="49"/>
  <c r="FU15" i="49"/>
  <c r="FU12" i="49"/>
  <c r="FU22" i="49"/>
  <c r="FU16" i="49"/>
  <c r="GB219" i="49"/>
  <c r="GB215" i="49"/>
  <c r="GB220" i="49"/>
  <c r="GB216" i="49"/>
  <c r="GB217" i="49"/>
  <c r="GB218" i="49"/>
  <c r="GB212" i="49"/>
  <c r="GB208" i="49"/>
  <c r="GB204" i="49"/>
  <c r="GB200" i="49"/>
  <c r="GB182" i="49"/>
  <c r="GB196" i="49"/>
  <c r="GB193" i="49"/>
  <c r="GB190" i="49"/>
  <c r="GB187" i="49"/>
  <c r="GB180" i="49"/>
  <c r="GB213" i="49"/>
  <c r="GB209" i="49"/>
  <c r="GB205" i="49"/>
  <c r="GB201" i="49"/>
  <c r="GB197" i="49"/>
  <c r="GB194" i="49"/>
  <c r="GB191" i="49"/>
  <c r="GB188" i="49"/>
  <c r="GB185" i="49"/>
  <c r="GB183" i="49"/>
  <c r="GB214" i="49"/>
  <c r="GB210" i="49"/>
  <c r="GB206" i="49"/>
  <c r="GB202" i="49"/>
  <c r="GB181" i="49"/>
  <c r="GB211" i="49"/>
  <c r="GB207" i="49"/>
  <c r="GB203" i="49"/>
  <c r="GB198" i="49"/>
  <c r="GB195" i="49"/>
  <c r="GB192" i="49"/>
  <c r="GB189" i="49"/>
  <c r="GB186" i="49"/>
  <c r="GB169" i="49"/>
  <c r="GB165" i="49"/>
  <c r="GB161" i="49"/>
  <c r="GB156" i="49"/>
  <c r="GB152" i="49"/>
  <c r="GB149" i="49"/>
  <c r="GB178" i="49"/>
  <c r="GB184" i="49"/>
  <c r="GB174" i="49"/>
  <c r="GB166" i="49"/>
  <c r="GB162" i="49"/>
  <c r="GB157" i="49"/>
  <c r="GB153" i="49"/>
  <c r="GB171" i="49"/>
  <c r="GB150" i="49"/>
  <c r="GB147" i="49"/>
  <c r="GB175" i="49"/>
  <c r="GB179" i="49"/>
  <c r="GB167" i="49"/>
  <c r="GB163" i="49"/>
  <c r="GB158" i="49"/>
  <c r="GB154" i="49"/>
  <c r="GB176" i="49"/>
  <c r="GB172" i="49"/>
  <c r="GB151" i="49"/>
  <c r="GB148" i="49"/>
  <c r="GB168" i="49"/>
  <c r="GB164" i="49"/>
  <c r="GB159" i="49"/>
  <c r="GB155" i="49"/>
  <c r="GB177" i="49"/>
  <c r="GB173" i="49"/>
  <c r="GB133" i="49"/>
  <c r="GB146" i="49"/>
  <c r="GB143" i="49"/>
  <c r="GB140" i="49"/>
  <c r="GB82" i="49"/>
  <c r="GB138" i="49"/>
  <c r="GB132" i="49"/>
  <c r="GB121" i="49"/>
  <c r="GB99" i="49"/>
  <c r="GB95" i="49"/>
  <c r="GB91" i="49"/>
  <c r="GB87" i="49"/>
  <c r="GB129" i="49"/>
  <c r="GB126" i="49"/>
  <c r="GB80" i="49"/>
  <c r="GB137" i="49"/>
  <c r="GB85" i="49"/>
  <c r="GB144" i="49"/>
  <c r="GB141" i="49"/>
  <c r="GB122" i="49"/>
  <c r="GB118" i="49"/>
  <c r="GB100" i="49"/>
  <c r="GB96" i="49"/>
  <c r="GB92" i="49"/>
  <c r="GB88" i="49"/>
  <c r="GB136" i="49"/>
  <c r="GB83" i="49"/>
  <c r="GB131" i="49"/>
  <c r="GB128" i="49"/>
  <c r="GB125" i="49"/>
  <c r="GB135" i="49"/>
  <c r="GB123" i="49"/>
  <c r="GB119" i="49"/>
  <c r="GB101" i="49"/>
  <c r="GB97" i="49"/>
  <c r="GB93" i="49"/>
  <c r="GB89" i="49"/>
  <c r="GB81" i="49"/>
  <c r="GB145" i="49"/>
  <c r="GB142" i="49"/>
  <c r="GB139" i="49"/>
  <c r="GB86" i="49"/>
  <c r="GB134" i="49"/>
  <c r="GB130" i="49"/>
  <c r="GB127" i="49"/>
  <c r="GB124" i="49"/>
  <c r="GB120" i="49"/>
  <c r="GB98" i="49"/>
  <c r="GB94" i="49"/>
  <c r="GB90" i="49"/>
  <c r="GB84" i="49"/>
  <c r="GB71" i="49"/>
  <c r="GB68" i="49"/>
  <c r="GB65" i="49"/>
  <c r="GB62" i="49"/>
  <c r="GB59" i="49"/>
  <c r="GB56" i="49"/>
  <c r="GB53" i="49"/>
  <c r="GB74" i="49"/>
  <c r="GB79" i="49"/>
  <c r="GB50" i="49"/>
  <c r="GB47" i="49"/>
  <c r="GB44" i="49"/>
  <c r="GB41" i="49"/>
  <c r="GB38" i="49"/>
  <c r="GB35" i="49"/>
  <c r="GB32" i="49"/>
  <c r="GB29" i="49"/>
  <c r="GB26" i="49"/>
  <c r="GB23" i="49"/>
  <c r="GB77" i="49"/>
  <c r="GB72" i="49"/>
  <c r="GB69" i="49"/>
  <c r="GB66" i="49"/>
  <c r="GB63" i="49"/>
  <c r="GB60" i="49"/>
  <c r="GB57" i="49"/>
  <c r="GB54" i="49"/>
  <c r="GB75" i="49"/>
  <c r="GB51" i="49"/>
  <c r="GB48" i="49"/>
  <c r="GB45" i="49"/>
  <c r="GB42" i="49"/>
  <c r="GB39" i="49"/>
  <c r="GB36" i="49"/>
  <c r="GB33" i="49"/>
  <c r="GB30" i="49"/>
  <c r="GB27" i="49"/>
  <c r="GB24" i="49"/>
  <c r="GB73" i="49"/>
  <c r="GB70" i="49"/>
  <c r="GB67" i="49"/>
  <c r="GB64" i="49"/>
  <c r="GB61" i="49"/>
  <c r="GB58" i="49"/>
  <c r="GB55" i="49"/>
  <c r="GB78" i="49"/>
  <c r="GB49" i="49"/>
  <c r="GB46" i="49"/>
  <c r="GB43" i="49"/>
  <c r="GB40" i="49"/>
  <c r="GB37" i="49"/>
  <c r="GB34" i="49"/>
  <c r="GB31" i="49"/>
  <c r="GB28" i="49"/>
  <c r="GB25" i="49"/>
  <c r="GB76" i="49"/>
  <c r="GB22" i="49"/>
  <c r="GB19" i="49"/>
  <c r="GB16" i="49"/>
  <c r="GB13" i="49"/>
  <c r="GB10" i="49"/>
  <c r="GB20" i="49"/>
  <c r="GB17" i="49"/>
  <c r="GB14" i="49"/>
  <c r="GB11" i="49"/>
  <c r="GB21" i="49"/>
  <c r="GB18" i="49"/>
  <c r="GB15" i="49"/>
  <c r="GB12" i="49"/>
  <c r="EU106" i="49"/>
  <c r="EU115" i="49"/>
  <c r="EU114" i="49"/>
  <c r="EU113" i="49"/>
  <c r="EU109" i="49"/>
  <c r="EU116" i="49"/>
  <c r="EU105" i="49"/>
  <c r="EU104" i="49"/>
  <c r="EU103" i="49"/>
  <c r="EU112" i="49"/>
  <c r="EU111" i="49"/>
  <c r="EU110" i="49"/>
  <c r="DZ109" i="49"/>
  <c r="DZ116" i="49"/>
  <c r="DZ105" i="49"/>
  <c r="DZ104" i="49"/>
  <c r="DZ103" i="49"/>
  <c r="DZ112" i="49"/>
  <c r="DZ111" i="49"/>
  <c r="DZ110" i="49"/>
  <c r="DZ114" i="49"/>
  <c r="DZ106" i="49"/>
  <c r="DZ115" i="49"/>
  <c r="DZ113" i="49"/>
  <c r="EI106" i="49"/>
  <c r="EI115" i="49"/>
  <c r="EI114" i="49"/>
  <c r="EI113" i="49"/>
  <c r="EI109" i="49"/>
  <c r="EI116" i="49"/>
  <c r="EI105" i="49"/>
  <c r="EI104" i="49"/>
  <c r="EI103" i="49"/>
  <c r="EI112" i="49"/>
  <c r="EI111" i="49"/>
  <c r="EI110" i="49"/>
  <c r="EL109" i="49"/>
  <c r="EL115" i="49"/>
  <c r="EL116" i="49"/>
  <c r="EL114" i="49"/>
  <c r="EL105" i="49"/>
  <c r="EL104" i="49"/>
  <c r="EL103" i="49"/>
  <c r="EL112" i="49"/>
  <c r="EL111" i="49"/>
  <c r="EL110" i="49"/>
  <c r="EL106" i="49"/>
  <c r="EL113" i="49"/>
  <c r="EY109" i="49"/>
  <c r="EY116" i="49"/>
  <c r="EY103" i="49"/>
  <c r="EY104" i="49"/>
  <c r="EY105" i="49"/>
  <c r="EY112" i="49"/>
  <c r="EY111" i="49"/>
  <c r="EY110" i="49"/>
  <c r="EY106" i="49"/>
  <c r="EY115" i="49"/>
  <c r="EY114" i="49"/>
  <c r="EY113" i="49"/>
  <c r="EM109" i="49"/>
  <c r="EM116" i="49"/>
  <c r="EM105" i="49"/>
  <c r="EM103" i="49"/>
  <c r="EM104" i="49"/>
  <c r="EM112" i="49"/>
  <c r="EM111" i="49"/>
  <c r="EM110" i="49"/>
  <c r="EM106" i="49"/>
  <c r="EM115" i="49"/>
  <c r="EM114" i="49"/>
  <c r="EM113" i="49"/>
  <c r="EZ116" i="49"/>
  <c r="EZ105" i="49"/>
  <c r="EZ104" i="49"/>
  <c r="EZ103" i="49"/>
  <c r="EZ112" i="49"/>
  <c r="EZ111" i="49"/>
  <c r="EZ110" i="49"/>
  <c r="EZ109" i="49"/>
  <c r="EZ106" i="49"/>
  <c r="EZ115" i="49"/>
  <c r="EZ114" i="49"/>
  <c r="EZ113" i="49"/>
  <c r="EN116" i="49"/>
  <c r="EN105" i="49"/>
  <c r="EN104" i="49"/>
  <c r="EN103" i="49"/>
  <c r="EN112" i="49"/>
  <c r="EN111" i="49"/>
  <c r="EN110" i="49"/>
  <c r="EN106" i="49"/>
  <c r="EN115" i="49"/>
  <c r="EN114" i="49"/>
  <c r="EN113" i="49"/>
  <c r="EN109" i="49"/>
  <c r="EG112" i="49"/>
  <c r="EG111" i="49"/>
  <c r="EG110" i="49"/>
  <c r="EG106" i="49"/>
  <c r="EG115" i="49"/>
  <c r="EG114" i="49"/>
  <c r="EG113" i="49"/>
  <c r="EG109" i="49"/>
  <c r="EG116" i="49"/>
  <c r="EG105" i="49"/>
  <c r="EG104" i="49"/>
  <c r="EG103" i="49"/>
  <c r="EH106" i="49"/>
  <c r="EH111" i="49"/>
  <c r="EH115" i="49"/>
  <c r="EH114" i="49"/>
  <c r="EH113" i="49"/>
  <c r="EH109" i="49"/>
  <c r="EH116" i="49"/>
  <c r="EH105" i="49"/>
  <c r="EH104" i="49"/>
  <c r="EH103" i="49"/>
  <c r="EH112" i="49"/>
  <c r="EH110" i="49"/>
  <c r="ED105" i="49"/>
  <c r="ED104" i="49"/>
  <c r="ED103" i="49"/>
  <c r="ED112" i="49"/>
  <c r="ED111" i="49"/>
  <c r="ED110" i="49"/>
  <c r="ED106" i="49"/>
  <c r="ED115" i="49"/>
  <c r="ED114" i="49"/>
  <c r="ED113" i="49"/>
  <c r="ED116" i="49"/>
  <c r="ED109" i="49"/>
  <c r="ES112" i="49"/>
  <c r="ES111" i="49"/>
  <c r="ES110" i="49"/>
  <c r="ES106" i="49"/>
  <c r="ES115" i="49"/>
  <c r="ES114" i="49"/>
  <c r="ES113" i="49"/>
  <c r="ES109" i="49"/>
  <c r="ES116" i="49"/>
  <c r="ES105" i="49"/>
  <c r="ES104" i="49"/>
  <c r="ES103" i="49"/>
  <c r="EF112" i="49"/>
  <c r="EF111" i="49"/>
  <c r="EF110" i="49"/>
  <c r="EF106" i="49"/>
  <c r="EF115" i="49"/>
  <c r="EF114" i="49"/>
  <c r="EF113" i="49"/>
  <c r="EF105" i="49"/>
  <c r="EF103" i="49"/>
  <c r="EF109" i="49"/>
  <c r="EF116" i="49"/>
  <c r="EF104" i="49"/>
  <c r="EJ115" i="49"/>
  <c r="EJ114" i="49"/>
  <c r="EJ113" i="49"/>
  <c r="EJ109" i="49"/>
  <c r="EJ116" i="49"/>
  <c r="EJ105" i="49"/>
  <c r="EJ104" i="49"/>
  <c r="EJ103" i="49"/>
  <c r="EJ112" i="49"/>
  <c r="EJ111" i="49"/>
  <c r="EJ110" i="49"/>
  <c r="EJ106" i="49"/>
  <c r="DY115" i="49"/>
  <c r="DY114" i="49"/>
  <c r="DY113" i="49"/>
  <c r="DY109" i="49"/>
  <c r="DY116" i="49"/>
  <c r="DY105" i="49"/>
  <c r="DY104" i="49"/>
  <c r="DY103" i="49"/>
  <c r="DY112" i="49"/>
  <c r="DY111" i="49"/>
  <c r="DY110" i="49"/>
  <c r="DY106" i="49"/>
  <c r="EK115" i="49"/>
  <c r="EK114" i="49"/>
  <c r="EK113" i="49"/>
  <c r="EK109" i="49"/>
  <c r="EK116" i="49"/>
  <c r="EK105" i="49"/>
  <c r="EK104" i="49"/>
  <c r="EK103" i="49"/>
  <c r="EK112" i="49"/>
  <c r="EK111" i="49"/>
  <c r="EK110" i="49"/>
  <c r="EK106" i="49"/>
  <c r="EC116" i="49"/>
  <c r="EC105" i="49"/>
  <c r="EC104" i="49"/>
  <c r="EC103" i="49"/>
  <c r="EC112" i="49"/>
  <c r="EC111" i="49"/>
  <c r="EC110" i="49"/>
  <c r="EC106" i="49"/>
  <c r="EC115" i="49"/>
  <c r="EC114" i="49"/>
  <c r="EC113" i="49"/>
  <c r="EC109" i="49"/>
  <c r="ER103" i="49"/>
  <c r="ER112" i="49"/>
  <c r="ER111" i="49"/>
  <c r="ER110" i="49"/>
  <c r="ER106" i="49"/>
  <c r="ER115" i="49"/>
  <c r="ER114" i="49"/>
  <c r="ER113" i="49"/>
  <c r="ER105" i="49"/>
  <c r="ER109" i="49"/>
  <c r="ER116" i="49"/>
  <c r="ER104" i="49"/>
  <c r="EE105" i="49"/>
  <c r="EE104" i="49"/>
  <c r="EE103" i="49"/>
  <c r="EE112" i="49"/>
  <c r="EE111" i="49"/>
  <c r="EE110" i="49"/>
  <c r="EE106" i="49"/>
  <c r="EE115" i="49"/>
  <c r="EE114" i="49"/>
  <c r="EE113" i="49"/>
  <c r="EE109" i="49"/>
  <c r="EE116" i="49"/>
  <c r="ET106" i="49"/>
  <c r="ET115" i="49"/>
  <c r="ET114" i="49"/>
  <c r="ET113" i="49"/>
  <c r="ET110" i="49"/>
  <c r="ET109" i="49"/>
  <c r="ET111" i="49"/>
  <c r="ET116" i="49"/>
  <c r="ET112" i="49"/>
  <c r="ET105" i="49"/>
  <c r="ET104" i="49"/>
  <c r="ET103" i="49"/>
  <c r="EM169" i="49"/>
  <c r="EM168" i="49"/>
  <c r="EM167" i="49"/>
  <c r="EM163" i="49"/>
  <c r="EM162" i="49"/>
  <c r="EM161" i="49"/>
  <c r="EM166" i="49"/>
  <c r="EM165" i="49"/>
  <c r="EM164" i="49"/>
  <c r="EN169" i="49"/>
  <c r="EN168" i="49"/>
  <c r="EN167" i="49"/>
  <c r="EN163" i="49"/>
  <c r="EN162" i="49"/>
  <c r="EN161" i="49"/>
  <c r="EN166" i="49"/>
  <c r="EN165" i="49"/>
  <c r="EN164" i="49"/>
  <c r="EP169" i="49"/>
  <c r="EP168" i="49"/>
  <c r="EP167" i="49"/>
  <c r="EP163" i="49"/>
  <c r="EP162" i="49"/>
  <c r="EP161" i="49"/>
  <c r="EP166" i="49"/>
  <c r="EP165" i="49"/>
  <c r="EP164" i="49"/>
  <c r="EI166" i="49"/>
  <c r="EI165" i="49"/>
  <c r="EI164" i="49"/>
  <c r="EI169" i="49"/>
  <c r="EI168" i="49"/>
  <c r="EI167" i="49"/>
  <c r="EI163" i="49"/>
  <c r="EI162" i="49"/>
  <c r="EI161" i="49"/>
  <c r="EQ169" i="49"/>
  <c r="EQ167" i="49"/>
  <c r="EQ166" i="49"/>
  <c r="EQ165" i="49"/>
  <c r="EQ164" i="49"/>
  <c r="EQ168" i="49"/>
  <c r="EQ161" i="49"/>
  <c r="EQ163" i="49"/>
  <c r="EQ162" i="49"/>
  <c r="EC33" i="49"/>
  <c r="EC169" i="49"/>
  <c r="EC168" i="49"/>
  <c r="EC167" i="49"/>
  <c r="EC163" i="49"/>
  <c r="EC162" i="49"/>
  <c r="EC161" i="49"/>
  <c r="EC166" i="49"/>
  <c r="EC165" i="49"/>
  <c r="EC164" i="49"/>
  <c r="ER166" i="49"/>
  <c r="ER165" i="49"/>
  <c r="ER164" i="49"/>
  <c r="ER169" i="49"/>
  <c r="ER168" i="49"/>
  <c r="ER167" i="49"/>
  <c r="ER163" i="49"/>
  <c r="ER162" i="49"/>
  <c r="ER161" i="49"/>
  <c r="EJ166" i="49"/>
  <c r="EJ165" i="49"/>
  <c r="EJ164" i="49"/>
  <c r="EJ169" i="49"/>
  <c r="EJ168" i="49"/>
  <c r="EJ167" i="49"/>
  <c r="EJ163" i="49"/>
  <c r="EJ162" i="49"/>
  <c r="EJ161" i="49"/>
  <c r="DY58" i="49"/>
  <c r="DY169" i="49"/>
  <c r="DY168" i="49"/>
  <c r="DY167" i="49"/>
  <c r="DY163" i="49"/>
  <c r="DY162" i="49"/>
  <c r="DY161" i="49"/>
  <c r="DY166" i="49"/>
  <c r="DY165" i="49"/>
  <c r="DY164" i="49"/>
  <c r="EK166" i="49"/>
  <c r="EK165" i="49"/>
  <c r="EK169" i="49"/>
  <c r="EK168" i="49"/>
  <c r="EK167" i="49"/>
  <c r="EK163" i="49"/>
  <c r="EK162" i="49"/>
  <c r="EK161" i="49"/>
  <c r="EK164" i="49"/>
  <c r="ED169" i="49"/>
  <c r="ED168" i="49"/>
  <c r="ED167" i="49"/>
  <c r="ED163" i="49"/>
  <c r="ED162" i="49"/>
  <c r="ED161" i="49"/>
  <c r="ED166" i="49"/>
  <c r="ED165" i="49"/>
  <c r="ED164" i="49"/>
  <c r="ES166" i="49"/>
  <c r="ES165" i="49"/>
  <c r="ES164" i="49"/>
  <c r="ES169" i="49"/>
  <c r="ES168" i="49"/>
  <c r="ES167" i="49"/>
  <c r="ES163" i="49"/>
  <c r="ES162" i="49"/>
  <c r="ES161" i="49"/>
  <c r="EF21" i="49"/>
  <c r="EF166" i="49"/>
  <c r="EF165" i="49"/>
  <c r="EF164" i="49"/>
  <c r="EF169" i="49"/>
  <c r="EF168" i="49"/>
  <c r="EF167" i="49"/>
  <c r="EF163" i="49"/>
  <c r="EF162" i="49"/>
  <c r="EF161" i="49"/>
  <c r="EZ169" i="49"/>
  <c r="EZ168" i="49"/>
  <c r="EZ167" i="49"/>
  <c r="EZ163" i="49"/>
  <c r="EZ162" i="49"/>
  <c r="EZ161" i="49"/>
  <c r="EZ166" i="49"/>
  <c r="EZ165" i="49"/>
  <c r="EZ164" i="49"/>
  <c r="EE169" i="49"/>
  <c r="EE167" i="49"/>
  <c r="EE166" i="49"/>
  <c r="EE165" i="49"/>
  <c r="EE164" i="49"/>
  <c r="EE168" i="49"/>
  <c r="EE161" i="49"/>
  <c r="EE163" i="49"/>
  <c r="EE162" i="49"/>
  <c r="ET166" i="49"/>
  <c r="ET165" i="49"/>
  <c r="ET164" i="49"/>
  <c r="ET169" i="49"/>
  <c r="ET168" i="49"/>
  <c r="ET167" i="49"/>
  <c r="ET163" i="49"/>
  <c r="ET162" i="49"/>
  <c r="ET161" i="49"/>
  <c r="EG166" i="49"/>
  <c r="EG165" i="49"/>
  <c r="EG164" i="49"/>
  <c r="EG169" i="49"/>
  <c r="EG168" i="49"/>
  <c r="EG167" i="49"/>
  <c r="EG163" i="49"/>
  <c r="EG162" i="49"/>
  <c r="EG161" i="49"/>
  <c r="EU166" i="49"/>
  <c r="EU165" i="49"/>
  <c r="EU164" i="49"/>
  <c r="EU169" i="49"/>
  <c r="EU168" i="49"/>
  <c r="EU167" i="49"/>
  <c r="EU163" i="49"/>
  <c r="EU162" i="49"/>
  <c r="EU161" i="49"/>
  <c r="EH27" i="49"/>
  <c r="EH166" i="49"/>
  <c r="EH165" i="49"/>
  <c r="EH164" i="49"/>
  <c r="EH169" i="49"/>
  <c r="EH168" i="49"/>
  <c r="EH167" i="49"/>
  <c r="EH163" i="49"/>
  <c r="EH162" i="49"/>
  <c r="EH161" i="49"/>
  <c r="DZ169" i="49"/>
  <c r="DZ168" i="49"/>
  <c r="DZ167" i="49"/>
  <c r="DZ163" i="49"/>
  <c r="DZ162" i="49"/>
  <c r="DZ161" i="49"/>
  <c r="DZ166" i="49"/>
  <c r="DZ165" i="49"/>
  <c r="DZ164" i="49"/>
  <c r="EL169" i="49"/>
  <c r="EL168" i="49"/>
  <c r="EL167" i="49"/>
  <c r="EL163" i="49"/>
  <c r="EL162" i="49"/>
  <c r="EL161" i="49"/>
  <c r="EL166" i="49"/>
  <c r="EL165" i="49"/>
  <c r="EL164" i="49"/>
  <c r="EY169" i="49"/>
  <c r="EY168" i="49"/>
  <c r="EY167" i="49"/>
  <c r="EY163" i="49"/>
  <c r="EY162" i="49"/>
  <c r="EY161" i="49"/>
  <c r="EY166" i="49"/>
  <c r="EY165" i="49"/>
  <c r="EY164" i="49"/>
  <c r="DZ93" i="49"/>
  <c r="EO135" i="49"/>
  <c r="EO136" i="49"/>
  <c r="EO132" i="49"/>
  <c r="EO181" i="49"/>
  <c r="EO137" i="49"/>
  <c r="EO133" i="49"/>
  <c r="EO182" i="49"/>
  <c r="EO178" i="49"/>
  <c r="EO180" i="49"/>
  <c r="EO138" i="49"/>
  <c r="EO134" i="49"/>
  <c r="EO183" i="49"/>
  <c r="EO179" i="49"/>
  <c r="EO184" i="49"/>
  <c r="EP51" i="49"/>
  <c r="EP39" i="49"/>
  <c r="EP27" i="49"/>
  <c r="EP15" i="49"/>
  <c r="EP50" i="49"/>
  <c r="EP38" i="49"/>
  <c r="EP26" i="49"/>
  <c r="EP14" i="49"/>
  <c r="EP19" i="49"/>
  <c r="EP49" i="49"/>
  <c r="EP37" i="49"/>
  <c r="EP25" i="49"/>
  <c r="EP13" i="49"/>
  <c r="EP43" i="49"/>
  <c r="EP48" i="49"/>
  <c r="EP36" i="49"/>
  <c r="EP24" i="49"/>
  <c r="EP12" i="49"/>
  <c r="EP31" i="49"/>
  <c r="EP47" i="49"/>
  <c r="EP35" i="49"/>
  <c r="EP23" i="49"/>
  <c r="EP11" i="49"/>
  <c r="EP46" i="49"/>
  <c r="EP34" i="49"/>
  <c r="EP22" i="49"/>
  <c r="EP10" i="49"/>
  <c r="EP45" i="49"/>
  <c r="EP33" i="49"/>
  <c r="EP21" i="49"/>
  <c r="EP44" i="49"/>
  <c r="EP32" i="49"/>
  <c r="EP20" i="49"/>
  <c r="EP42" i="49"/>
  <c r="EP41" i="49"/>
  <c r="EP29" i="49"/>
  <c r="EP17" i="49"/>
  <c r="EP40" i="49"/>
  <c r="EP16" i="49"/>
  <c r="EP18" i="49"/>
  <c r="EP28" i="49"/>
  <c r="EP30" i="49"/>
  <c r="EP101" i="49"/>
  <c r="EP92" i="49"/>
  <c r="EP93" i="49"/>
  <c r="EP94" i="49"/>
  <c r="EP95" i="49"/>
  <c r="EP96" i="49"/>
  <c r="EP97" i="49"/>
  <c r="EP98" i="49"/>
  <c r="EP99" i="49"/>
  <c r="EP91" i="49"/>
  <c r="EP79" i="49"/>
  <c r="EP67" i="49"/>
  <c r="EP55" i="49"/>
  <c r="EP211" i="49"/>
  <c r="EP159" i="49"/>
  <c r="EP147" i="49"/>
  <c r="EP195" i="49"/>
  <c r="EP100" i="49"/>
  <c r="EP80" i="49"/>
  <c r="EP68" i="49"/>
  <c r="EP56" i="49"/>
  <c r="EP212" i="49"/>
  <c r="EP200" i="49"/>
  <c r="EP148" i="49"/>
  <c r="EP196" i="49"/>
  <c r="EP81" i="49"/>
  <c r="EP69" i="49"/>
  <c r="EP57" i="49"/>
  <c r="EP213" i="49"/>
  <c r="EP201" i="49"/>
  <c r="EP149" i="49"/>
  <c r="EP197" i="49"/>
  <c r="EP82" i="49"/>
  <c r="EP70" i="49"/>
  <c r="EP58" i="49"/>
  <c r="EP214" i="49"/>
  <c r="EP202" i="49"/>
  <c r="EP150" i="49"/>
  <c r="EP198" i="49"/>
  <c r="EP83" i="49"/>
  <c r="EP71" i="49"/>
  <c r="EP59" i="49"/>
  <c r="EP215" i="49"/>
  <c r="EP203" i="49"/>
  <c r="EP151" i="49"/>
  <c r="EP139" i="49"/>
  <c r="EP84" i="49"/>
  <c r="EP72" i="49"/>
  <c r="EP60" i="49"/>
  <c r="EP216" i="49"/>
  <c r="EP204" i="49"/>
  <c r="EP152" i="49"/>
  <c r="EP140" i="49"/>
  <c r="EP85" i="49"/>
  <c r="EP73" i="49"/>
  <c r="EP61" i="49"/>
  <c r="EP217" i="49"/>
  <c r="EP205" i="49"/>
  <c r="EP153" i="49"/>
  <c r="EP141" i="49"/>
  <c r="EP86" i="49"/>
  <c r="EP74" i="49"/>
  <c r="EP62" i="49"/>
  <c r="EP218" i="49"/>
  <c r="EP206" i="49"/>
  <c r="EP154" i="49"/>
  <c r="EP142" i="49"/>
  <c r="EP87" i="49"/>
  <c r="EP75" i="49"/>
  <c r="EP63" i="49"/>
  <c r="EP219" i="49"/>
  <c r="EP207" i="49"/>
  <c r="EP155" i="49"/>
  <c r="EP143" i="49"/>
  <c r="EP88" i="49"/>
  <c r="EP76" i="49"/>
  <c r="EP64" i="49"/>
  <c r="EP220" i="49"/>
  <c r="EP208" i="49"/>
  <c r="EP156" i="49"/>
  <c r="EP144" i="49"/>
  <c r="EP89" i="49"/>
  <c r="EP77" i="49"/>
  <c r="EP65" i="49"/>
  <c r="EP53" i="49"/>
  <c r="EP209" i="49"/>
  <c r="EP157" i="49"/>
  <c r="EP145" i="49"/>
  <c r="EP210" i="49"/>
  <c r="EP186" i="49"/>
  <c r="EP127" i="49"/>
  <c r="EP175" i="49"/>
  <c r="EP54" i="49"/>
  <c r="EP187" i="49"/>
  <c r="EP136" i="49"/>
  <c r="EP132" i="49"/>
  <c r="EP181" i="49"/>
  <c r="EP128" i="49"/>
  <c r="EP176" i="49"/>
  <c r="EP66" i="49"/>
  <c r="EP188" i="49"/>
  <c r="EP129" i="49"/>
  <c r="EP177" i="49"/>
  <c r="EP78" i="49"/>
  <c r="EP189" i="49"/>
  <c r="EP130" i="49"/>
  <c r="EP118" i="49"/>
  <c r="EP90" i="49"/>
  <c r="EP190" i="49"/>
  <c r="EP137" i="49"/>
  <c r="EP133" i="49"/>
  <c r="EP182" i="49"/>
  <c r="EP178" i="49"/>
  <c r="EP131" i="49"/>
  <c r="EP119" i="49"/>
  <c r="EP191" i="49"/>
  <c r="EP120" i="49"/>
  <c r="EP158" i="49"/>
  <c r="EP185" i="49"/>
  <c r="EP192" i="49"/>
  <c r="EP121" i="49"/>
  <c r="EP126" i="49"/>
  <c r="EP193" i="49"/>
  <c r="EP138" i="49"/>
  <c r="EP134" i="49"/>
  <c r="EP183" i="49"/>
  <c r="EP179" i="49"/>
  <c r="EP122" i="49"/>
  <c r="EP174" i="49"/>
  <c r="EP123" i="49"/>
  <c r="EP171" i="49"/>
  <c r="EP194" i="49"/>
  <c r="EP124" i="49"/>
  <c r="EP172" i="49"/>
  <c r="EP146" i="49"/>
  <c r="EP135" i="49"/>
  <c r="EP184" i="49"/>
  <c r="EP180" i="49"/>
  <c r="EP125" i="49"/>
  <c r="EP173" i="49"/>
  <c r="ER49" i="49"/>
  <c r="ER37" i="49"/>
  <c r="ER25" i="49"/>
  <c r="ER13" i="49"/>
  <c r="ER48" i="49"/>
  <c r="ER36" i="49"/>
  <c r="ER24" i="49"/>
  <c r="ER12" i="49"/>
  <c r="ER41" i="49"/>
  <c r="ER47" i="49"/>
  <c r="ER35" i="49"/>
  <c r="ER23" i="49"/>
  <c r="ER11" i="49"/>
  <c r="ER46" i="49"/>
  <c r="ER34" i="49"/>
  <c r="ER22" i="49"/>
  <c r="ER10" i="49"/>
  <c r="ER45" i="49"/>
  <c r="ER33" i="49"/>
  <c r="ER21" i="49"/>
  <c r="ER29" i="49"/>
  <c r="ER44" i="49"/>
  <c r="ER32" i="49"/>
  <c r="ER20" i="49"/>
  <c r="ER43" i="49"/>
  <c r="ER31" i="49"/>
  <c r="ER19" i="49"/>
  <c r="ER42" i="49"/>
  <c r="ER30" i="49"/>
  <c r="ER18" i="49"/>
  <c r="ER17" i="49"/>
  <c r="ER51" i="49"/>
  <c r="ER39" i="49"/>
  <c r="ER27" i="49"/>
  <c r="ER15" i="49"/>
  <c r="ER50" i="49"/>
  <c r="ER38" i="49"/>
  <c r="ER16" i="49"/>
  <c r="ER26" i="49"/>
  <c r="ER14" i="49"/>
  <c r="ER40" i="49"/>
  <c r="ER28" i="49"/>
  <c r="ER92" i="49"/>
  <c r="ER93" i="49"/>
  <c r="ER94" i="49"/>
  <c r="ER95" i="49"/>
  <c r="ER96" i="49"/>
  <c r="ER97" i="49"/>
  <c r="ER98" i="49"/>
  <c r="ER99" i="49"/>
  <c r="ER100" i="49"/>
  <c r="ER101" i="49"/>
  <c r="ER81" i="49"/>
  <c r="ER69" i="49"/>
  <c r="ER57" i="49"/>
  <c r="ER213" i="49"/>
  <c r="ER201" i="49"/>
  <c r="ER149" i="49"/>
  <c r="ER197" i="49"/>
  <c r="ER82" i="49"/>
  <c r="ER70" i="49"/>
  <c r="ER58" i="49"/>
  <c r="ER214" i="49"/>
  <c r="ER202" i="49"/>
  <c r="ER150" i="49"/>
  <c r="ER198" i="49"/>
  <c r="ER83" i="49"/>
  <c r="ER71" i="49"/>
  <c r="ER59" i="49"/>
  <c r="ER215" i="49"/>
  <c r="ER203" i="49"/>
  <c r="ER151" i="49"/>
  <c r="ER139" i="49"/>
  <c r="ER84" i="49"/>
  <c r="ER72" i="49"/>
  <c r="ER60" i="49"/>
  <c r="ER216" i="49"/>
  <c r="ER204" i="49"/>
  <c r="ER152" i="49"/>
  <c r="ER140" i="49"/>
  <c r="ER85" i="49"/>
  <c r="ER73" i="49"/>
  <c r="ER61" i="49"/>
  <c r="ER217" i="49"/>
  <c r="ER205" i="49"/>
  <c r="ER153" i="49"/>
  <c r="ER141" i="49"/>
  <c r="ER86" i="49"/>
  <c r="ER74" i="49"/>
  <c r="ER62" i="49"/>
  <c r="ER218" i="49"/>
  <c r="ER206" i="49"/>
  <c r="ER154" i="49"/>
  <c r="ER142" i="49"/>
  <c r="ER87" i="49"/>
  <c r="ER75" i="49"/>
  <c r="ER63" i="49"/>
  <c r="ER219" i="49"/>
  <c r="ER207" i="49"/>
  <c r="ER155" i="49"/>
  <c r="ER143" i="49"/>
  <c r="ER88" i="49"/>
  <c r="ER76" i="49"/>
  <c r="ER64" i="49"/>
  <c r="ER220" i="49"/>
  <c r="ER208" i="49"/>
  <c r="ER156" i="49"/>
  <c r="ER144" i="49"/>
  <c r="ER89" i="49"/>
  <c r="ER77" i="49"/>
  <c r="ER65" i="49"/>
  <c r="ER53" i="49"/>
  <c r="ER209" i="49"/>
  <c r="ER157" i="49"/>
  <c r="ER145" i="49"/>
  <c r="ER90" i="49"/>
  <c r="ER78" i="49"/>
  <c r="ER66" i="49"/>
  <c r="ER54" i="49"/>
  <c r="ER210" i="49"/>
  <c r="ER158" i="49"/>
  <c r="ER146" i="49"/>
  <c r="ER194" i="49"/>
  <c r="ER91" i="49"/>
  <c r="ER79" i="49"/>
  <c r="ER67" i="49"/>
  <c r="ER55" i="49"/>
  <c r="ER211" i="49"/>
  <c r="ER159" i="49"/>
  <c r="ER147" i="49"/>
  <c r="ER195" i="49"/>
  <c r="ER68" i="49"/>
  <c r="ER188" i="49"/>
  <c r="ER129" i="49"/>
  <c r="ER177" i="49"/>
  <c r="ER80" i="49"/>
  <c r="ER189" i="49"/>
  <c r="ER130" i="49"/>
  <c r="ER118" i="49"/>
  <c r="ER176" i="49"/>
  <c r="ER190" i="49"/>
  <c r="ER137" i="49"/>
  <c r="ER133" i="49"/>
  <c r="ER182" i="49"/>
  <c r="ER178" i="49"/>
  <c r="ER131" i="49"/>
  <c r="ER119" i="49"/>
  <c r="ER191" i="49"/>
  <c r="ER120" i="49"/>
  <c r="ER192" i="49"/>
  <c r="ER121" i="49"/>
  <c r="ER193" i="49"/>
  <c r="ER138" i="49"/>
  <c r="ER134" i="49"/>
  <c r="ER183" i="49"/>
  <c r="ER179" i="49"/>
  <c r="ER122" i="49"/>
  <c r="ER136" i="49"/>
  <c r="ER132" i="49"/>
  <c r="ER128" i="49"/>
  <c r="ER123" i="49"/>
  <c r="ER171" i="49"/>
  <c r="ER196" i="49"/>
  <c r="ER124" i="49"/>
  <c r="ER172" i="49"/>
  <c r="ER148" i="49"/>
  <c r="ER135" i="49"/>
  <c r="ER184" i="49"/>
  <c r="ER180" i="49"/>
  <c r="ER125" i="49"/>
  <c r="ER173" i="49"/>
  <c r="ER187" i="49"/>
  <c r="ER200" i="49"/>
  <c r="ER185" i="49"/>
  <c r="ER126" i="49"/>
  <c r="ER174" i="49"/>
  <c r="ER181" i="49"/>
  <c r="ER212" i="49"/>
  <c r="ER186" i="49"/>
  <c r="ER127" i="49"/>
  <c r="ER175" i="49"/>
  <c r="ER56" i="49"/>
  <c r="EY42" i="49"/>
  <c r="EY30" i="49"/>
  <c r="EY18" i="49"/>
  <c r="EY41" i="49"/>
  <c r="EY29" i="49"/>
  <c r="EY17" i="49"/>
  <c r="EY40" i="49"/>
  <c r="EY28" i="49"/>
  <c r="EY16" i="49"/>
  <c r="EY51" i="49"/>
  <c r="EY39" i="49"/>
  <c r="EY27" i="49"/>
  <c r="EY15" i="49"/>
  <c r="EY46" i="49"/>
  <c r="EY50" i="49"/>
  <c r="EY38" i="49"/>
  <c r="EY26" i="49"/>
  <c r="EY14" i="49"/>
  <c r="EY49" i="49"/>
  <c r="EY37" i="49"/>
  <c r="EY25" i="49"/>
  <c r="EY13" i="49"/>
  <c r="EY22" i="49"/>
  <c r="EY10" i="49"/>
  <c r="EY45" i="49"/>
  <c r="EY48" i="49"/>
  <c r="EY36" i="49"/>
  <c r="EY24" i="49"/>
  <c r="EY12" i="49"/>
  <c r="EY34" i="49"/>
  <c r="EY47" i="49"/>
  <c r="EY35" i="49"/>
  <c r="EY23" i="49"/>
  <c r="EY11" i="49"/>
  <c r="EY44" i="49"/>
  <c r="EY32" i="49"/>
  <c r="EY20" i="49"/>
  <c r="EY43" i="49"/>
  <c r="EY31" i="49"/>
  <c r="EY21" i="49"/>
  <c r="EY33" i="49"/>
  <c r="EY19" i="49"/>
  <c r="EY98" i="49"/>
  <c r="EY99" i="49"/>
  <c r="EY100" i="49"/>
  <c r="EY101" i="49"/>
  <c r="EY91" i="49"/>
  <c r="EY92" i="49"/>
  <c r="EY93" i="49"/>
  <c r="EY94" i="49"/>
  <c r="EY95" i="49"/>
  <c r="EY96" i="49"/>
  <c r="EY88" i="49"/>
  <c r="EY76" i="49"/>
  <c r="EY64" i="49"/>
  <c r="EY220" i="49"/>
  <c r="EY208" i="49"/>
  <c r="EY156" i="49"/>
  <c r="EY144" i="49"/>
  <c r="EY89" i="49"/>
  <c r="EY77" i="49"/>
  <c r="EY65" i="49"/>
  <c r="EY53" i="49"/>
  <c r="EY209" i="49"/>
  <c r="EY157" i="49"/>
  <c r="EY145" i="49"/>
  <c r="EY90" i="49"/>
  <c r="EY78" i="49"/>
  <c r="EY66" i="49"/>
  <c r="EY54" i="49"/>
  <c r="EY210" i="49"/>
  <c r="EY158" i="49"/>
  <c r="EY146" i="49"/>
  <c r="EY194" i="49"/>
  <c r="EY97" i="49"/>
  <c r="EY79" i="49"/>
  <c r="EY67" i="49"/>
  <c r="EY55" i="49"/>
  <c r="EY211" i="49"/>
  <c r="EY159" i="49"/>
  <c r="EY147" i="49"/>
  <c r="EY195" i="49"/>
  <c r="EY80" i="49"/>
  <c r="EY68" i="49"/>
  <c r="EY56" i="49"/>
  <c r="EY212" i="49"/>
  <c r="EY200" i="49"/>
  <c r="EY148" i="49"/>
  <c r="EY196" i="49"/>
  <c r="EY81" i="49"/>
  <c r="EY69" i="49"/>
  <c r="EY57" i="49"/>
  <c r="EY213" i="49"/>
  <c r="EY201" i="49"/>
  <c r="EY149" i="49"/>
  <c r="EY197" i="49"/>
  <c r="EY82" i="49"/>
  <c r="EY70" i="49"/>
  <c r="EY58" i="49"/>
  <c r="EY214" i="49"/>
  <c r="EY202" i="49"/>
  <c r="EY150" i="49"/>
  <c r="EY198" i="49"/>
  <c r="EY83" i="49"/>
  <c r="EY71" i="49"/>
  <c r="EY59" i="49"/>
  <c r="EY215" i="49"/>
  <c r="EY203" i="49"/>
  <c r="EY151" i="49"/>
  <c r="EY139" i="49"/>
  <c r="EY84" i="49"/>
  <c r="EY72" i="49"/>
  <c r="EY60" i="49"/>
  <c r="EY216" i="49"/>
  <c r="EY204" i="49"/>
  <c r="EY152" i="49"/>
  <c r="EY140" i="49"/>
  <c r="EY85" i="49"/>
  <c r="EY73" i="49"/>
  <c r="EY61" i="49"/>
  <c r="EY217" i="49"/>
  <c r="EY205" i="49"/>
  <c r="EY153" i="49"/>
  <c r="EY141" i="49"/>
  <c r="EY86" i="49"/>
  <c r="EY74" i="49"/>
  <c r="EY62" i="49"/>
  <c r="EY218" i="49"/>
  <c r="EY206" i="49"/>
  <c r="EY154" i="49"/>
  <c r="EY142" i="49"/>
  <c r="EY143" i="49"/>
  <c r="EY124" i="49"/>
  <c r="EY172" i="49"/>
  <c r="EY155" i="49"/>
  <c r="EY138" i="49"/>
  <c r="EY134" i="49"/>
  <c r="EY183" i="49"/>
  <c r="EY179" i="49"/>
  <c r="EY125" i="49"/>
  <c r="EY173" i="49"/>
  <c r="EY207" i="49"/>
  <c r="EY185" i="49"/>
  <c r="EY126" i="49"/>
  <c r="EY174" i="49"/>
  <c r="EY219" i="49"/>
  <c r="EY186" i="49"/>
  <c r="EY127" i="49"/>
  <c r="EY175" i="49"/>
  <c r="EY63" i="49"/>
  <c r="EY187" i="49"/>
  <c r="EY135" i="49"/>
  <c r="EY184" i="49"/>
  <c r="EY180" i="49"/>
  <c r="EY128" i="49"/>
  <c r="EY176" i="49"/>
  <c r="EY123" i="49"/>
  <c r="EY75" i="49"/>
  <c r="EY188" i="49"/>
  <c r="EY129" i="49"/>
  <c r="EY177" i="49"/>
  <c r="EY87" i="49"/>
  <c r="EY189" i="49"/>
  <c r="EY130" i="49"/>
  <c r="EY118" i="49"/>
  <c r="EY190" i="49"/>
  <c r="EY136" i="49"/>
  <c r="EY132" i="49"/>
  <c r="EY181" i="49"/>
  <c r="EY131" i="49"/>
  <c r="EY119" i="49"/>
  <c r="EY191" i="49"/>
  <c r="EY120" i="49"/>
  <c r="EY192" i="49"/>
  <c r="EY121" i="49"/>
  <c r="EY193" i="49"/>
  <c r="EY137" i="49"/>
  <c r="EY133" i="49"/>
  <c r="EY182" i="49"/>
  <c r="EY178" i="49"/>
  <c r="EY122" i="49"/>
  <c r="EY171" i="49"/>
  <c r="EQ50" i="49"/>
  <c r="EQ38" i="49"/>
  <c r="EQ26" i="49"/>
  <c r="EQ14" i="49"/>
  <c r="EQ49" i="49"/>
  <c r="EQ37" i="49"/>
  <c r="EQ25" i="49"/>
  <c r="EQ13" i="49"/>
  <c r="EQ48" i="49"/>
  <c r="EQ36" i="49"/>
  <c r="EQ24" i="49"/>
  <c r="EQ12" i="49"/>
  <c r="EQ47" i="49"/>
  <c r="EQ35" i="49"/>
  <c r="EQ23" i="49"/>
  <c r="EQ11" i="49"/>
  <c r="EQ18" i="49"/>
  <c r="EQ46" i="49"/>
  <c r="EQ34" i="49"/>
  <c r="EQ22" i="49"/>
  <c r="EQ10" i="49"/>
  <c r="EQ45" i="49"/>
  <c r="EQ33" i="49"/>
  <c r="EQ21" i="49"/>
  <c r="EQ42" i="49"/>
  <c r="EQ44" i="49"/>
  <c r="EQ32" i="49"/>
  <c r="EQ20" i="49"/>
  <c r="EQ43" i="49"/>
  <c r="EQ31" i="49"/>
  <c r="EQ19" i="49"/>
  <c r="EQ30" i="49"/>
  <c r="EQ40" i="49"/>
  <c r="EQ28" i="49"/>
  <c r="EQ16" i="49"/>
  <c r="EQ51" i="49"/>
  <c r="EQ39" i="49"/>
  <c r="EQ41" i="49"/>
  <c r="EQ27" i="49"/>
  <c r="EQ15" i="49"/>
  <c r="EQ29" i="49"/>
  <c r="EQ17" i="49"/>
  <c r="EQ92" i="49"/>
  <c r="EQ93" i="49"/>
  <c r="EQ94" i="49"/>
  <c r="EQ95" i="49"/>
  <c r="EQ96" i="49"/>
  <c r="EQ97" i="49"/>
  <c r="EQ98" i="49"/>
  <c r="EQ99" i="49"/>
  <c r="EQ100" i="49"/>
  <c r="EQ101" i="49"/>
  <c r="EQ80" i="49"/>
  <c r="EQ68" i="49"/>
  <c r="EQ56" i="49"/>
  <c r="EQ212" i="49"/>
  <c r="EQ200" i="49"/>
  <c r="EQ148" i="49"/>
  <c r="EQ196" i="49"/>
  <c r="EQ81" i="49"/>
  <c r="EQ69" i="49"/>
  <c r="EQ57" i="49"/>
  <c r="EQ213" i="49"/>
  <c r="EQ201" i="49"/>
  <c r="EQ149" i="49"/>
  <c r="EQ197" i="49"/>
  <c r="EQ82" i="49"/>
  <c r="EQ70" i="49"/>
  <c r="EQ58" i="49"/>
  <c r="EQ214" i="49"/>
  <c r="EQ202" i="49"/>
  <c r="EQ150" i="49"/>
  <c r="EQ198" i="49"/>
  <c r="EQ83" i="49"/>
  <c r="EQ71" i="49"/>
  <c r="EQ59" i="49"/>
  <c r="EQ215" i="49"/>
  <c r="EQ203" i="49"/>
  <c r="EQ151" i="49"/>
  <c r="EQ139" i="49"/>
  <c r="EQ84" i="49"/>
  <c r="EQ72" i="49"/>
  <c r="EQ60" i="49"/>
  <c r="EQ216" i="49"/>
  <c r="EQ204" i="49"/>
  <c r="EQ152" i="49"/>
  <c r="EQ140" i="49"/>
  <c r="EQ85" i="49"/>
  <c r="EQ73" i="49"/>
  <c r="EQ61" i="49"/>
  <c r="EQ217" i="49"/>
  <c r="EQ205" i="49"/>
  <c r="EQ153" i="49"/>
  <c r="EQ141" i="49"/>
  <c r="EQ86" i="49"/>
  <c r="EQ74" i="49"/>
  <c r="EQ62" i="49"/>
  <c r="EQ218" i="49"/>
  <c r="EQ206" i="49"/>
  <c r="EQ154" i="49"/>
  <c r="EQ142" i="49"/>
  <c r="EQ87" i="49"/>
  <c r="EQ75" i="49"/>
  <c r="EQ63" i="49"/>
  <c r="EQ219" i="49"/>
  <c r="EQ207" i="49"/>
  <c r="EQ155" i="49"/>
  <c r="EQ143" i="49"/>
  <c r="EQ88" i="49"/>
  <c r="EQ76" i="49"/>
  <c r="EQ64" i="49"/>
  <c r="EQ220" i="49"/>
  <c r="EQ208" i="49"/>
  <c r="EQ156" i="49"/>
  <c r="EQ144" i="49"/>
  <c r="EQ89" i="49"/>
  <c r="EQ77" i="49"/>
  <c r="EQ65" i="49"/>
  <c r="EQ53" i="49"/>
  <c r="EQ209" i="49"/>
  <c r="EQ157" i="49"/>
  <c r="EQ145" i="49"/>
  <c r="EQ90" i="49"/>
  <c r="EQ78" i="49"/>
  <c r="EQ66" i="49"/>
  <c r="EQ54" i="49"/>
  <c r="EQ210" i="49"/>
  <c r="EQ158" i="49"/>
  <c r="EQ146" i="49"/>
  <c r="EQ194" i="49"/>
  <c r="EQ55" i="49"/>
  <c r="EQ187" i="49"/>
  <c r="EQ136" i="49"/>
  <c r="EQ132" i="49"/>
  <c r="EQ181" i="49"/>
  <c r="EQ128" i="49"/>
  <c r="EQ176" i="49"/>
  <c r="EQ175" i="49"/>
  <c r="EQ67" i="49"/>
  <c r="EQ188" i="49"/>
  <c r="EQ129" i="49"/>
  <c r="EQ177" i="49"/>
  <c r="EQ79" i="49"/>
  <c r="EQ189" i="49"/>
  <c r="EQ130" i="49"/>
  <c r="EQ118" i="49"/>
  <c r="EQ91" i="49"/>
  <c r="EQ190" i="49"/>
  <c r="EQ137" i="49"/>
  <c r="EQ133" i="49"/>
  <c r="EQ182" i="49"/>
  <c r="EQ178" i="49"/>
  <c r="EQ131" i="49"/>
  <c r="EQ119" i="49"/>
  <c r="EQ191" i="49"/>
  <c r="EQ120" i="49"/>
  <c r="EQ192" i="49"/>
  <c r="EQ121" i="49"/>
  <c r="EQ211" i="49"/>
  <c r="EQ193" i="49"/>
  <c r="EQ138" i="49"/>
  <c r="EQ134" i="49"/>
  <c r="EQ183" i="49"/>
  <c r="EQ179" i="49"/>
  <c r="EQ122" i="49"/>
  <c r="EQ123" i="49"/>
  <c r="EQ171" i="49"/>
  <c r="EQ127" i="49"/>
  <c r="EQ195" i="49"/>
  <c r="EQ124" i="49"/>
  <c r="EQ172" i="49"/>
  <c r="EQ147" i="49"/>
  <c r="EQ135" i="49"/>
  <c r="EQ184" i="49"/>
  <c r="EQ180" i="49"/>
  <c r="EQ125" i="49"/>
  <c r="EQ173" i="49"/>
  <c r="EQ159" i="49"/>
  <c r="EQ185" i="49"/>
  <c r="EQ126" i="49"/>
  <c r="EQ174" i="49"/>
  <c r="EQ186" i="49"/>
  <c r="EZ41" i="49"/>
  <c r="EZ29" i="49"/>
  <c r="EZ17" i="49"/>
  <c r="EZ45" i="49"/>
  <c r="EZ33" i="49"/>
  <c r="EZ21" i="49"/>
  <c r="EZ40" i="49"/>
  <c r="EZ28" i="49"/>
  <c r="EZ16" i="49"/>
  <c r="EZ51" i="49"/>
  <c r="EZ39" i="49"/>
  <c r="EZ27" i="49"/>
  <c r="EZ15" i="49"/>
  <c r="EZ50" i="49"/>
  <c r="EZ38" i="49"/>
  <c r="EZ26" i="49"/>
  <c r="EZ14" i="49"/>
  <c r="EZ49" i="49"/>
  <c r="EZ37" i="49"/>
  <c r="EZ25" i="49"/>
  <c r="EZ13" i="49"/>
  <c r="EZ44" i="49"/>
  <c r="EZ48" i="49"/>
  <c r="EZ36" i="49"/>
  <c r="EZ24" i="49"/>
  <c r="EZ12" i="49"/>
  <c r="EZ47" i="49"/>
  <c r="EZ35" i="49"/>
  <c r="EZ23" i="49"/>
  <c r="EZ11" i="49"/>
  <c r="EZ46" i="49"/>
  <c r="EZ34" i="49"/>
  <c r="EZ22" i="49"/>
  <c r="EZ10" i="49"/>
  <c r="EZ43" i="49"/>
  <c r="EZ31" i="49"/>
  <c r="EZ19" i="49"/>
  <c r="EZ42" i="49"/>
  <c r="EZ30" i="49"/>
  <c r="EZ32" i="49"/>
  <c r="EZ20" i="49"/>
  <c r="EZ18" i="49"/>
  <c r="EZ99" i="49"/>
  <c r="EZ100" i="49"/>
  <c r="EZ101" i="49"/>
  <c r="EZ91" i="49"/>
  <c r="EZ92" i="49"/>
  <c r="EZ93" i="49"/>
  <c r="EZ94" i="49"/>
  <c r="EZ95" i="49"/>
  <c r="EZ96" i="49"/>
  <c r="EZ97" i="49"/>
  <c r="EZ89" i="49"/>
  <c r="EZ77" i="49"/>
  <c r="EZ65" i="49"/>
  <c r="EZ53" i="49"/>
  <c r="EZ209" i="49"/>
  <c r="EZ157" i="49"/>
  <c r="EZ145" i="49"/>
  <c r="EZ193" i="49"/>
  <c r="EZ90" i="49"/>
  <c r="EZ78" i="49"/>
  <c r="EZ66" i="49"/>
  <c r="EZ54" i="49"/>
  <c r="EZ210" i="49"/>
  <c r="EZ158" i="49"/>
  <c r="EZ146" i="49"/>
  <c r="EZ194" i="49"/>
  <c r="EZ98" i="49"/>
  <c r="EZ79" i="49"/>
  <c r="EZ67" i="49"/>
  <c r="EZ55" i="49"/>
  <c r="EZ211" i="49"/>
  <c r="EZ159" i="49"/>
  <c r="EZ147" i="49"/>
  <c r="EZ195" i="49"/>
  <c r="EZ80" i="49"/>
  <c r="EZ68" i="49"/>
  <c r="EZ56" i="49"/>
  <c r="EZ212" i="49"/>
  <c r="EZ200" i="49"/>
  <c r="EZ148" i="49"/>
  <c r="EZ196" i="49"/>
  <c r="EZ81" i="49"/>
  <c r="EZ69" i="49"/>
  <c r="EZ57" i="49"/>
  <c r="EZ213" i="49"/>
  <c r="EZ201" i="49"/>
  <c r="EZ149" i="49"/>
  <c r="EZ197" i="49"/>
  <c r="EZ82" i="49"/>
  <c r="EZ70" i="49"/>
  <c r="EZ58" i="49"/>
  <c r="EZ214" i="49"/>
  <c r="EZ202" i="49"/>
  <c r="EZ150" i="49"/>
  <c r="EZ198" i="49"/>
  <c r="EZ83" i="49"/>
  <c r="EZ71" i="49"/>
  <c r="EZ59" i="49"/>
  <c r="EZ215" i="49"/>
  <c r="EZ203" i="49"/>
  <c r="EZ151" i="49"/>
  <c r="EZ139" i="49"/>
  <c r="EZ84" i="49"/>
  <c r="EZ72" i="49"/>
  <c r="EZ60" i="49"/>
  <c r="EZ216" i="49"/>
  <c r="EZ204" i="49"/>
  <c r="EZ152" i="49"/>
  <c r="EZ140" i="49"/>
  <c r="EZ85" i="49"/>
  <c r="EZ73" i="49"/>
  <c r="EZ61" i="49"/>
  <c r="EZ217" i="49"/>
  <c r="EZ205" i="49"/>
  <c r="EZ153" i="49"/>
  <c r="EZ141" i="49"/>
  <c r="EZ86" i="49"/>
  <c r="EZ74" i="49"/>
  <c r="EZ62" i="49"/>
  <c r="EZ218" i="49"/>
  <c r="EZ206" i="49"/>
  <c r="EZ154" i="49"/>
  <c r="EZ142" i="49"/>
  <c r="EZ87" i="49"/>
  <c r="EZ75" i="49"/>
  <c r="EZ63" i="49"/>
  <c r="EZ219" i="49"/>
  <c r="EZ207" i="49"/>
  <c r="EZ155" i="49"/>
  <c r="EZ143" i="49"/>
  <c r="EZ156" i="49"/>
  <c r="EZ138" i="49"/>
  <c r="EZ134" i="49"/>
  <c r="EZ183" i="49"/>
  <c r="EZ179" i="49"/>
  <c r="EZ125" i="49"/>
  <c r="EZ173" i="49"/>
  <c r="EZ208" i="49"/>
  <c r="EZ185" i="49"/>
  <c r="EZ126" i="49"/>
  <c r="EZ174" i="49"/>
  <c r="EZ220" i="49"/>
  <c r="EZ186" i="49"/>
  <c r="EZ127" i="49"/>
  <c r="EZ175" i="49"/>
  <c r="EZ64" i="49"/>
  <c r="EZ187" i="49"/>
  <c r="EZ135" i="49"/>
  <c r="EZ184" i="49"/>
  <c r="EZ180" i="49"/>
  <c r="EZ128" i="49"/>
  <c r="EZ176" i="49"/>
  <c r="EZ76" i="49"/>
  <c r="EZ188" i="49"/>
  <c r="EZ129" i="49"/>
  <c r="EZ177" i="49"/>
  <c r="EZ172" i="49"/>
  <c r="EZ88" i="49"/>
  <c r="EZ189" i="49"/>
  <c r="EZ130" i="49"/>
  <c r="EZ118" i="49"/>
  <c r="EZ190" i="49"/>
  <c r="EZ136" i="49"/>
  <c r="EZ132" i="49"/>
  <c r="EZ181" i="49"/>
  <c r="EZ131" i="49"/>
  <c r="EZ119" i="49"/>
  <c r="EZ191" i="49"/>
  <c r="EZ120" i="49"/>
  <c r="EZ192" i="49"/>
  <c r="EZ121" i="49"/>
  <c r="EZ137" i="49"/>
  <c r="EZ133" i="49"/>
  <c r="EZ182" i="49"/>
  <c r="EZ178" i="49"/>
  <c r="EZ122" i="49"/>
  <c r="EZ123" i="49"/>
  <c r="EZ171" i="49"/>
  <c r="EZ144" i="49"/>
  <c r="EZ124" i="49"/>
  <c r="EM41" i="49"/>
  <c r="EM29" i="49"/>
  <c r="EM17" i="49"/>
  <c r="EM44" i="49"/>
  <c r="EM40" i="49"/>
  <c r="EM28" i="49"/>
  <c r="EM16" i="49"/>
  <c r="EM51" i="49"/>
  <c r="EM39" i="49"/>
  <c r="EM27" i="49"/>
  <c r="EM15" i="49"/>
  <c r="EM50" i="49"/>
  <c r="EM38" i="49"/>
  <c r="EM26" i="49"/>
  <c r="EM14" i="49"/>
  <c r="EM49" i="49"/>
  <c r="EM37" i="49"/>
  <c r="EM25" i="49"/>
  <c r="EM13" i="49"/>
  <c r="EM21" i="49"/>
  <c r="EM48" i="49"/>
  <c r="EM36" i="49"/>
  <c r="EM24" i="49"/>
  <c r="EM12" i="49"/>
  <c r="EM33" i="49"/>
  <c r="EM47" i="49"/>
  <c r="EM35" i="49"/>
  <c r="EM23" i="49"/>
  <c r="EM11" i="49"/>
  <c r="EM46" i="49"/>
  <c r="EM34" i="49"/>
  <c r="EM22" i="49"/>
  <c r="EM10" i="49"/>
  <c r="EM45" i="49"/>
  <c r="EM43" i="49"/>
  <c r="EM31" i="49"/>
  <c r="EM19" i="49"/>
  <c r="EM42" i="49"/>
  <c r="EM30" i="49"/>
  <c r="EM20" i="49"/>
  <c r="EM32" i="49"/>
  <c r="EM18" i="49"/>
  <c r="ES45" i="49"/>
  <c r="ES33" i="49"/>
  <c r="ES21" i="49"/>
  <c r="ES44" i="49"/>
  <c r="ES32" i="49"/>
  <c r="ES20" i="49"/>
  <c r="ES43" i="49"/>
  <c r="ES31" i="49"/>
  <c r="ES19" i="49"/>
  <c r="ES13" i="49"/>
  <c r="ES42" i="49"/>
  <c r="ES30" i="49"/>
  <c r="ES18" i="49"/>
  <c r="ES25" i="49"/>
  <c r="ES41" i="49"/>
  <c r="ES29" i="49"/>
  <c r="ES17" i="49"/>
  <c r="ES40" i="49"/>
  <c r="ES28" i="49"/>
  <c r="ES16" i="49"/>
  <c r="ES49" i="49"/>
  <c r="ES51" i="49"/>
  <c r="ES39" i="49"/>
  <c r="ES27" i="49"/>
  <c r="ES15" i="49"/>
  <c r="ES50" i="49"/>
  <c r="ES38" i="49"/>
  <c r="ES26" i="49"/>
  <c r="ES14" i="49"/>
  <c r="ES37" i="49"/>
  <c r="ES48" i="49"/>
  <c r="ES47" i="49"/>
  <c r="ES35" i="49"/>
  <c r="ES23" i="49"/>
  <c r="ES11" i="49"/>
  <c r="ES46" i="49"/>
  <c r="ES34" i="49"/>
  <c r="ES36" i="49"/>
  <c r="ES10" i="49"/>
  <c r="ES24" i="49"/>
  <c r="ES12" i="49"/>
  <c r="ES22" i="49"/>
  <c r="ES95" i="49"/>
  <c r="ES96" i="49"/>
  <c r="ES97" i="49"/>
  <c r="ES98" i="49"/>
  <c r="ES99" i="49"/>
  <c r="ES100" i="49"/>
  <c r="ES101" i="49"/>
  <c r="ES91" i="49"/>
  <c r="ES92" i="49"/>
  <c r="ES93" i="49"/>
  <c r="ES85" i="49"/>
  <c r="ES73" i="49"/>
  <c r="ES61" i="49"/>
  <c r="ES217" i="49"/>
  <c r="ES205" i="49"/>
  <c r="ES153" i="49"/>
  <c r="ES141" i="49"/>
  <c r="ES86" i="49"/>
  <c r="ES74" i="49"/>
  <c r="ES62" i="49"/>
  <c r="ES218" i="49"/>
  <c r="ES206" i="49"/>
  <c r="ES154" i="49"/>
  <c r="ES142" i="49"/>
  <c r="ES87" i="49"/>
  <c r="ES75" i="49"/>
  <c r="ES63" i="49"/>
  <c r="ES219" i="49"/>
  <c r="ES207" i="49"/>
  <c r="ES155" i="49"/>
  <c r="ES143" i="49"/>
  <c r="ES88" i="49"/>
  <c r="ES76" i="49"/>
  <c r="ES64" i="49"/>
  <c r="ES220" i="49"/>
  <c r="ES208" i="49"/>
  <c r="ES156" i="49"/>
  <c r="ES144" i="49"/>
  <c r="ES89" i="49"/>
  <c r="ES77" i="49"/>
  <c r="ES65" i="49"/>
  <c r="ES53" i="49"/>
  <c r="ES209" i="49"/>
  <c r="ES157" i="49"/>
  <c r="ES145" i="49"/>
  <c r="ES90" i="49"/>
  <c r="ES78" i="49"/>
  <c r="ES66" i="49"/>
  <c r="ES54" i="49"/>
  <c r="ES210" i="49"/>
  <c r="ES158" i="49"/>
  <c r="ES146" i="49"/>
  <c r="ES194" i="49"/>
  <c r="ES94" i="49"/>
  <c r="ES79" i="49"/>
  <c r="ES67" i="49"/>
  <c r="ES55" i="49"/>
  <c r="ES211" i="49"/>
  <c r="ES159" i="49"/>
  <c r="ES147" i="49"/>
  <c r="ES195" i="49"/>
  <c r="ES80" i="49"/>
  <c r="ES68" i="49"/>
  <c r="ES56" i="49"/>
  <c r="ES212" i="49"/>
  <c r="ES200" i="49"/>
  <c r="ES148" i="49"/>
  <c r="ES196" i="49"/>
  <c r="ES81" i="49"/>
  <c r="ES69" i="49"/>
  <c r="ES57" i="49"/>
  <c r="ES213" i="49"/>
  <c r="ES201" i="49"/>
  <c r="ES149" i="49"/>
  <c r="ES197" i="49"/>
  <c r="ES82" i="49"/>
  <c r="ES70" i="49"/>
  <c r="ES58" i="49"/>
  <c r="ES214" i="49"/>
  <c r="ES202" i="49"/>
  <c r="ES150" i="49"/>
  <c r="ES198" i="49"/>
  <c r="ES83" i="49"/>
  <c r="ES71" i="49"/>
  <c r="ES59" i="49"/>
  <c r="ES215" i="49"/>
  <c r="ES203" i="49"/>
  <c r="ES151" i="49"/>
  <c r="ES139" i="49"/>
  <c r="ES192" i="49"/>
  <c r="ES121" i="49"/>
  <c r="ES193" i="49"/>
  <c r="ES122" i="49"/>
  <c r="ES123" i="49"/>
  <c r="ES171" i="49"/>
  <c r="ES140" i="49"/>
  <c r="ES124" i="49"/>
  <c r="ES172" i="49"/>
  <c r="ES152" i="49"/>
  <c r="ES125" i="49"/>
  <c r="ES173" i="49"/>
  <c r="ES191" i="49"/>
  <c r="ES204" i="49"/>
  <c r="ES185" i="49"/>
  <c r="ES126" i="49"/>
  <c r="ES174" i="49"/>
  <c r="ES216" i="49"/>
  <c r="ES186" i="49"/>
  <c r="ES127" i="49"/>
  <c r="ES175" i="49"/>
  <c r="ES60" i="49"/>
  <c r="ES187" i="49"/>
  <c r="ES128" i="49"/>
  <c r="ES176" i="49"/>
  <c r="ES72" i="49"/>
  <c r="ES188" i="49"/>
  <c r="ES129" i="49"/>
  <c r="ES177" i="49"/>
  <c r="ES120" i="49"/>
  <c r="ES84" i="49"/>
  <c r="ES189" i="49"/>
  <c r="ES130" i="49"/>
  <c r="ES118" i="49"/>
  <c r="ES190" i="49"/>
  <c r="ES131" i="49"/>
  <c r="ES119" i="49"/>
  <c r="EN40" i="49"/>
  <c r="EN28" i="49"/>
  <c r="EN16" i="49"/>
  <c r="EN51" i="49"/>
  <c r="EN39" i="49"/>
  <c r="EN27" i="49"/>
  <c r="EN15" i="49"/>
  <c r="EN32" i="49"/>
  <c r="EN43" i="49"/>
  <c r="EN50" i="49"/>
  <c r="EN38" i="49"/>
  <c r="EN26" i="49"/>
  <c r="EN14" i="49"/>
  <c r="EN20" i="49"/>
  <c r="EN49" i="49"/>
  <c r="EN37" i="49"/>
  <c r="EN25" i="49"/>
  <c r="EN13" i="49"/>
  <c r="EN48" i="49"/>
  <c r="EN36" i="49"/>
  <c r="EN24" i="49"/>
  <c r="EN12" i="49"/>
  <c r="EN47" i="49"/>
  <c r="EN35" i="49"/>
  <c r="EN23" i="49"/>
  <c r="EN11" i="49"/>
  <c r="EN46" i="49"/>
  <c r="EN34" i="49"/>
  <c r="EN22" i="49"/>
  <c r="EN10" i="49"/>
  <c r="EN44" i="49"/>
  <c r="EN45" i="49"/>
  <c r="EN33" i="49"/>
  <c r="EN21" i="49"/>
  <c r="EN42" i="49"/>
  <c r="EN30" i="49"/>
  <c r="EN18" i="49"/>
  <c r="EN41" i="49"/>
  <c r="EN17" i="49"/>
  <c r="EN31" i="49"/>
  <c r="EN19" i="49"/>
  <c r="EN29" i="49"/>
  <c r="ET44" i="49"/>
  <c r="ET32" i="49"/>
  <c r="ET20" i="49"/>
  <c r="ET47" i="49"/>
  <c r="ET43" i="49"/>
  <c r="ET31" i="49"/>
  <c r="ET19" i="49"/>
  <c r="ET42" i="49"/>
  <c r="ET30" i="49"/>
  <c r="ET18" i="49"/>
  <c r="ET36" i="49"/>
  <c r="ET41" i="49"/>
  <c r="ET29" i="49"/>
  <c r="ET17" i="49"/>
  <c r="ET12" i="49"/>
  <c r="ET40" i="49"/>
  <c r="ET28" i="49"/>
  <c r="ET16" i="49"/>
  <c r="ET48" i="49"/>
  <c r="ET51" i="49"/>
  <c r="ET39" i="49"/>
  <c r="ET27" i="49"/>
  <c r="ET15" i="49"/>
  <c r="ET50" i="49"/>
  <c r="ET38" i="49"/>
  <c r="ET26" i="49"/>
  <c r="ET14" i="49"/>
  <c r="ET24" i="49"/>
  <c r="ET49" i="49"/>
  <c r="ET37" i="49"/>
  <c r="ET25" i="49"/>
  <c r="ET13" i="49"/>
  <c r="ET46" i="49"/>
  <c r="ET34" i="49"/>
  <c r="ET22" i="49"/>
  <c r="ET10" i="49"/>
  <c r="ET45" i="49"/>
  <c r="ET33" i="49"/>
  <c r="ET21" i="49"/>
  <c r="ET11" i="49"/>
  <c r="ET35" i="49"/>
  <c r="ET23" i="49"/>
  <c r="ET96" i="49"/>
  <c r="ET97" i="49"/>
  <c r="ET98" i="49"/>
  <c r="ET99" i="49"/>
  <c r="ET100" i="49"/>
  <c r="ET101" i="49"/>
  <c r="ET91" i="49"/>
  <c r="ET92" i="49"/>
  <c r="ET93" i="49"/>
  <c r="ET94" i="49"/>
  <c r="ET86" i="49"/>
  <c r="ET74" i="49"/>
  <c r="ET62" i="49"/>
  <c r="ET218" i="49"/>
  <c r="ET206" i="49"/>
  <c r="ET154" i="49"/>
  <c r="ET142" i="49"/>
  <c r="ET87" i="49"/>
  <c r="ET75" i="49"/>
  <c r="ET63" i="49"/>
  <c r="ET219" i="49"/>
  <c r="ET207" i="49"/>
  <c r="ET155" i="49"/>
  <c r="ET143" i="49"/>
  <c r="ET88" i="49"/>
  <c r="ET76" i="49"/>
  <c r="ET64" i="49"/>
  <c r="ET220" i="49"/>
  <c r="ET208" i="49"/>
  <c r="ET156" i="49"/>
  <c r="ET144" i="49"/>
  <c r="ET89" i="49"/>
  <c r="ET77" i="49"/>
  <c r="ET65" i="49"/>
  <c r="ET53" i="49"/>
  <c r="ET209" i="49"/>
  <c r="ET157" i="49"/>
  <c r="ET145" i="49"/>
  <c r="ET90" i="49"/>
  <c r="ET78" i="49"/>
  <c r="ET66" i="49"/>
  <c r="ET54" i="49"/>
  <c r="ET210" i="49"/>
  <c r="ET158" i="49"/>
  <c r="ET146" i="49"/>
  <c r="ET194" i="49"/>
  <c r="ET95" i="49"/>
  <c r="ET79" i="49"/>
  <c r="ET67" i="49"/>
  <c r="ET55" i="49"/>
  <c r="ET211" i="49"/>
  <c r="ET159" i="49"/>
  <c r="ET147" i="49"/>
  <c r="ET195" i="49"/>
  <c r="ET80" i="49"/>
  <c r="ET68" i="49"/>
  <c r="ET56" i="49"/>
  <c r="ET212" i="49"/>
  <c r="ET200" i="49"/>
  <c r="ET148" i="49"/>
  <c r="ET196" i="49"/>
  <c r="ET81" i="49"/>
  <c r="ET69" i="49"/>
  <c r="ET57" i="49"/>
  <c r="ET213" i="49"/>
  <c r="ET201" i="49"/>
  <c r="ET149" i="49"/>
  <c r="ET197" i="49"/>
  <c r="ET82" i="49"/>
  <c r="ET70" i="49"/>
  <c r="ET58" i="49"/>
  <c r="ET214" i="49"/>
  <c r="ET202" i="49"/>
  <c r="ET150" i="49"/>
  <c r="ET198" i="49"/>
  <c r="ET83" i="49"/>
  <c r="ET71" i="49"/>
  <c r="ET59" i="49"/>
  <c r="ET215" i="49"/>
  <c r="ET203" i="49"/>
  <c r="ET151" i="49"/>
  <c r="ET139" i="49"/>
  <c r="ET84" i="49"/>
  <c r="ET72" i="49"/>
  <c r="ET60" i="49"/>
  <c r="ET216" i="49"/>
  <c r="ET204" i="49"/>
  <c r="ET152" i="49"/>
  <c r="ET140" i="49"/>
  <c r="ET193" i="49"/>
  <c r="ET122" i="49"/>
  <c r="ET123" i="49"/>
  <c r="ET171" i="49"/>
  <c r="ET141" i="49"/>
  <c r="ET124" i="49"/>
  <c r="ET172" i="49"/>
  <c r="ET153" i="49"/>
  <c r="ET125" i="49"/>
  <c r="ET173" i="49"/>
  <c r="ET205" i="49"/>
  <c r="ET185" i="49"/>
  <c r="ET126" i="49"/>
  <c r="ET174" i="49"/>
  <c r="ET217" i="49"/>
  <c r="ET186" i="49"/>
  <c r="ET127" i="49"/>
  <c r="ET175" i="49"/>
  <c r="ET192" i="49"/>
  <c r="ET61" i="49"/>
  <c r="ET187" i="49"/>
  <c r="ET128" i="49"/>
  <c r="ET176" i="49"/>
  <c r="ET73" i="49"/>
  <c r="ET188" i="49"/>
  <c r="ET129" i="49"/>
  <c r="ET177" i="49"/>
  <c r="ET85" i="49"/>
  <c r="ET189" i="49"/>
  <c r="ET130" i="49"/>
  <c r="ET118" i="49"/>
  <c r="ET190" i="49"/>
  <c r="ET131" i="49"/>
  <c r="ET119" i="49"/>
  <c r="ET121" i="49"/>
  <c r="ET191" i="49"/>
  <c r="ET120" i="49"/>
  <c r="EU43" i="49"/>
  <c r="EU31" i="49"/>
  <c r="EU19" i="49"/>
  <c r="EU42" i="49"/>
  <c r="EU30" i="49"/>
  <c r="EU18" i="49"/>
  <c r="EU47" i="49"/>
  <c r="EU11" i="49"/>
  <c r="EU41" i="49"/>
  <c r="EU29" i="49"/>
  <c r="EU17" i="49"/>
  <c r="EU40" i="49"/>
  <c r="EU28" i="49"/>
  <c r="EU16" i="49"/>
  <c r="EU51" i="49"/>
  <c r="EU39" i="49"/>
  <c r="EU27" i="49"/>
  <c r="EU15" i="49"/>
  <c r="EU50" i="49"/>
  <c r="EU38" i="49"/>
  <c r="EU26" i="49"/>
  <c r="EU14" i="49"/>
  <c r="EU49" i="49"/>
  <c r="EU37" i="49"/>
  <c r="EU25" i="49"/>
  <c r="EU13" i="49"/>
  <c r="EU48" i="49"/>
  <c r="EU36" i="49"/>
  <c r="EU24" i="49"/>
  <c r="EU12" i="49"/>
  <c r="EU35" i="49"/>
  <c r="EU23" i="49"/>
  <c r="EU46" i="49"/>
  <c r="EU45" i="49"/>
  <c r="EU33" i="49"/>
  <c r="EU21" i="49"/>
  <c r="EU44" i="49"/>
  <c r="EU32" i="49"/>
  <c r="EU10" i="49"/>
  <c r="EU34" i="49"/>
  <c r="EU20" i="49"/>
  <c r="EU22" i="49"/>
  <c r="EU97" i="49"/>
  <c r="EU98" i="49"/>
  <c r="EU99" i="49"/>
  <c r="EU100" i="49"/>
  <c r="EU101" i="49"/>
  <c r="EU91" i="49"/>
  <c r="EU92" i="49"/>
  <c r="EU93" i="49"/>
  <c r="EU94" i="49"/>
  <c r="EU95" i="49"/>
  <c r="EU87" i="49"/>
  <c r="EU75" i="49"/>
  <c r="EU63" i="49"/>
  <c r="EU219" i="49"/>
  <c r="EU207" i="49"/>
  <c r="EU155" i="49"/>
  <c r="EU143" i="49"/>
  <c r="EU88" i="49"/>
  <c r="EU76" i="49"/>
  <c r="EU64" i="49"/>
  <c r="EU220" i="49"/>
  <c r="EU208" i="49"/>
  <c r="EU156" i="49"/>
  <c r="EU144" i="49"/>
  <c r="EU89" i="49"/>
  <c r="EU77" i="49"/>
  <c r="EU65" i="49"/>
  <c r="EU53" i="49"/>
  <c r="EU209" i="49"/>
  <c r="EU157" i="49"/>
  <c r="EU145" i="49"/>
  <c r="EU90" i="49"/>
  <c r="EU78" i="49"/>
  <c r="EU66" i="49"/>
  <c r="EU54" i="49"/>
  <c r="EU210" i="49"/>
  <c r="EU158" i="49"/>
  <c r="EU146" i="49"/>
  <c r="EU194" i="49"/>
  <c r="EU96" i="49"/>
  <c r="EU79" i="49"/>
  <c r="EU67" i="49"/>
  <c r="EU55" i="49"/>
  <c r="EU211" i="49"/>
  <c r="EU159" i="49"/>
  <c r="EU147" i="49"/>
  <c r="EU195" i="49"/>
  <c r="EU80" i="49"/>
  <c r="EU68" i="49"/>
  <c r="EU56" i="49"/>
  <c r="EU212" i="49"/>
  <c r="EU200" i="49"/>
  <c r="EU148" i="49"/>
  <c r="EU196" i="49"/>
  <c r="EU81" i="49"/>
  <c r="EU69" i="49"/>
  <c r="EU57" i="49"/>
  <c r="EU213" i="49"/>
  <c r="EU201" i="49"/>
  <c r="EU149" i="49"/>
  <c r="EU197" i="49"/>
  <c r="EU82" i="49"/>
  <c r="EU70" i="49"/>
  <c r="EU58" i="49"/>
  <c r="EU214" i="49"/>
  <c r="EU202" i="49"/>
  <c r="EU150" i="49"/>
  <c r="EU198" i="49"/>
  <c r="EU83" i="49"/>
  <c r="EU71" i="49"/>
  <c r="EU59" i="49"/>
  <c r="EU215" i="49"/>
  <c r="EU203" i="49"/>
  <c r="EU151" i="49"/>
  <c r="EU139" i="49"/>
  <c r="EU84" i="49"/>
  <c r="EU72" i="49"/>
  <c r="EU60" i="49"/>
  <c r="EU216" i="49"/>
  <c r="EU204" i="49"/>
  <c r="EU152" i="49"/>
  <c r="EU140" i="49"/>
  <c r="EU85" i="49"/>
  <c r="EU73" i="49"/>
  <c r="EU61" i="49"/>
  <c r="EU217" i="49"/>
  <c r="EU205" i="49"/>
  <c r="EU153" i="49"/>
  <c r="EU141" i="49"/>
  <c r="EU123" i="49"/>
  <c r="EU171" i="49"/>
  <c r="EU142" i="49"/>
  <c r="EU124" i="49"/>
  <c r="EU172" i="49"/>
  <c r="EU154" i="49"/>
  <c r="EU125" i="49"/>
  <c r="EU173" i="49"/>
  <c r="EU206" i="49"/>
  <c r="EU185" i="49"/>
  <c r="EU126" i="49"/>
  <c r="EU174" i="49"/>
  <c r="EU122" i="49"/>
  <c r="EU218" i="49"/>
  <c r="EU186" i="49"/>
  <c r="EU127" i="49"/>
  <c r="EU175" i="49"/>
  <c r="EU62" i="49"/>
  <c r="EU187" i="49"/>
  <c r="EU128" i="49"/>
  <c r="EU176" i="49"/>
  <c r="EU74" i="49"/>
  <c r="EU188" i="49"/>
  <c r="EU129" i="49"/>
  <c r="EU177" i="49"/>
  <c r="EU86" i="49"/>
  <c r="EU189" i="49"/>
  <c r="EU130" i="49"/>
  <c r="EU118" i="49"/>
  <c r="EU193" i="49"/>
  <c r="EU190" i="49"/>
  <c r="EU131" i="49"/>
  <c r="EU119" i="49"/>
  <c r="EU191" i="49"/>
  <c r="EU120" i="49"/>
  <c r="EU192" i="49"/>
  <c r="EU121" i="49"/>
  <c r="EK67" i="49"/>
  <c r="DZ84" i="49"/>
  <c r="EF88" i="49"/>
  <c r="DZ25" i="49"/>
  <c r="DZ29" i="49"/>
  <c r="DZ45" i="49"/>
  <c r="EE30" i="49"/>
  <c r="EE34" i="49"/>
  <c r="EI38" i="49"/>
  <c r="EI39" i="49"/>
  <c r="EH12" i="49"/>
  <c r="DZ43" i="49"/>
  <c r="EH16" i="49"/>
  <c r="DZ44" i="49"/>
  <c r="EH20" i="49"/>
  <c r="EH23" i="49"/>
  <c r="EK24" i="49"/>
  <c r="EG220" i="49"/>
  <c r="EG216" i="49"/>
  <c r="EG212" i="49"/>
  <c r="EG208" i="49"/>
  <c r="EG204" i="49"/>
  <c r="EG200" i="49"/>
  <c r="EG144" i="49"/>
  <c r="EG192" i="49"/>
  <c r="EG157" i="49"/>
  <c r="EG154" i="49"/>
  <c r="EG149" i="49"/>
  <c r="EG142" i="49"/>
  <c r="EG190" i="49"/>
  <c r="EG217" i="49"/>
  <c r="EG213" i="49"/>
  <c r="EG209" i="49"/>
  <c r="EG205" i="49"/>
  <c r="EG201" i="49"/>
  <c r="EG147" i="49"/>
  <c r="EG152" i="49"/>
  <c r="EG140" i="49"/>
  <c r="EG158" i="49"/>
  <c r="EG155" i="49"/>
  <c r="EG145" i="49"/>
  <c r="EG193" i="49"/>
  <c r="EG218" i="49"/>
  <c r="EG214" i="49"/>
  <c r="EG210" i="49"/>
  <c r="EG206" i="49"/>
  <c r="EG202" i="49"/>
  <c r="EG150" i="49"/>
  <c r="EG198" i="49"/>
  <c r="EG143" i="49"/>
  <c r="EG191" i="49"/>
  <c r="EG148" i="49"/>
  <c r="EG196" i="49"/>
  <c r="EG185" i="49"/>
  <c r="EG137" i="49"/>
  <c r="EG134" i="49"/>
  <c r="EG184" i="49"/>
  <c r="EG181" i="49"/>
  <c r="EG178" i="49"/>
  <c r="EG130" i="49"/>
  <c r="EG127" i="49"/>
  <c r="EG124" i="49"/>
  <c r="EG121" i="49"/>
  <c r="EG118" i="49"/>
  <c r="EG175" i="49"/>
  <c r="EG195" i="49"/>
  <c r="EG203" i="49"/>
  <c r="EG156" i="49"/>
  <c r="EG141" i="49"/>
  <c r="EG101" i="49"/>
  <c r="EG146" i="49"/>
  <c r="EG188" i="49"/>
  <c r="EG151" i="49"/>
  <c r="EG136" i="49"/>
  <c r="EG133" i="49"/>
  <c r="EG182" i="49"/>
  <c r="EG179" i="49"/>
  <c r="EG129" i="49"/>
  <c r="EG126" i="49"/>
  <c r="EG122" i="49"/>
  <c r="EG119" i="49"/>
  <c r="EG176" i="49"/>
  <c r="EG173" i="49"/>
  <c r="EG219" i="49"/>
  <c r="EG153" i="49"/>
  <c r="EG139" i="49"/>
  <c r="EG186" i="49"/>
  <c r="EG215" i="49"/>
  <c r="EG194" i="49"/>
  <c r="EG189" i="49"/>
  <c r="EG138" i="49"/>
  <c r="EG135" i="49"/>
  <c r="EG132" i="49"/>
  <c r="EG183" i="49"/>
  <c r="EG180" i="49"/>
  <c r="EG187" i="49"/>
  <c r="EG207" i="49"/>
  <c r="EG159" i="49"/>
  <c r="EG81" i="49"/>
  <c r="EG50" i="49"/>
  <c r="EG46" i="49"/>
  <c r="EG42" i="49"/>
  <c r="EG40" i="49"/>
  <c r="EG99" i="49"/>
  <c r="EG95" i="49"/>
  <c r="EG80" i="49"/>
  <c r="EG77" i="49"/>
  <c r="EG74" i="49"/>
  <c r="EG211" i="49"/>
  <c r="EG174" i="49"/>
  <c r="EG92" i="49"/>
  <c r="EG89" i="49"/>
  <c r="EG83" i="49"/>
  <c r="EG51" i="49"/>
  <c r="EG47" i="49"/>
  <c r="EG43" i="49"/>
  <c r="EG38" i="49"/>
  <c r="EG197" i="49"/>
  <c r="EG100" i="49"/>
  <c r="EG96" i="49"/>
  <c r="EG85" i="49"/>
  <c r="EG123" i="49"/>
  <c r="EG79" i="49"/>
  <c r="EG76" i="49"/>
  <c r="EG93" i="49"/>
  <c r="EG90" i="49"/>
  <c r="EG87" i="49"/>
  <c r="EG97" i="49"/>
  <c r="EG82" i="49"/>
  <c r="EG131" i="49"/>
  <c r="EG128" i="49"/>
  <c r="EG125" i="49"/>
  <c r="EG120" i="49"/>
  <c r="EG98" i="49"/>
  <c r="EG94" i="49"/>
  <c r="EG91" i="49"/>
  <c r="EG88" i="49"/>
  <c r="EG39" i="49"/>
  <c r="EG27" i="49"/>
  <c r="EG23" i="49"/>
  <c r="EG20" i="49"/>
  <c r="EG18" i="49"/>
  <c r="EG16" i="49"/>
  <c r="EG14" i="49"/>
  <c r="EG12" i="49"/>
  <c r="EG10" i="49"/>
  <c r="EG37" i="49"/>
  <c r="EG78" i="49"/>
  <c r="EG49" i="49"/>
  <c r="EG48" i="49"/>
  <c r="EG41" i="49"/>
  <c r="EG35" i="49"/>
  <c r="EG33" i="49"/>
  <c r="EG31" i="49"/>
  <c r="EG28" i="49"/>
  <c r="EG24" i="49"/>
  <c r="EG45" i="49"/>
  <c r="EG44" i="49"/>
  <c r="EG86" i="49"/>
  <c r="EG29" i="49"/>
  <c r="EG25" i="49"/>
  <c r="EG21" i="49"/>
  <c r="EG19" i="49"/>
  <c r="EG17" i="49"/>
  <c r="EG15" i="49"/>
  <c r="EG13" i="49"/>
  <c r="EG11" i="49"/>
  <c r="EG36" i="49"/>
  <c r="EG34" i="49"/>
  <c r="EG32" i="49"/>
  <c r="EG30" i="49"/>
  <c r="EG26" i="49"/>
  <c r="EG22" i="49"/>
  <c r="EG84" i="49"/>
  <c r="EG75" i="49"/>
  <c r="EG177" i="49"/>
  <c r="EJ217" i="49"/>
  <c r="EJ213" i="49"/>
  <c r="EJ209" i="49"/>
  <c r="EJ205" i="49"/>
  <c r="EJ201" i="49"/>
  <c r="EJ142" i="49"/>
  <c r="EJ190" i="49"/>
  <c r="EJ147" i="49"/>
  <c r="EJ158" i="49"/>
  <c r="EJ155" i="49"/>
  <c r="EJ152" i="49"/>
  <c r="EJ140" i="49"/>
  <c r="EJ218" i="49"/>
  <c r="EJ214" i="49"/>
  <c r="EJ210" i="49"/>
  <c r="EJ206" i="49"/>
  <c r="EJ202" i="49"/>
  <c r="EJ145" i="49"/>
  <c r="EJ150" i="49"/>
  <c r="EJ198" i="49"/>
  <c r="EJ143" i="49"/>
  <c r="EJ191" i="49"/>
  <c r="EJ219" i="49"/>
  <c r="EJ215" i="49"/>
  <c r="EJ211" i="49"/>
  <c r="EJ207" i="49"/>
  <c r="EJ203" i="49"/>
  <c r="EJ159" i="49"/>
  <c r="EJ156" i="49"/>
  <c r="EJ153" i="49"/>
  <c r="EJ148" i="49"/>
  <c r="EJ196" i="49"/>
  <c r="EJ141" i="49"/>
  <c r="EJ146" i="49"/>
  <c r="EJ194" i="49"/>
  <c r="EJ154" i="49"/>
  <c r="EJ144" i="49"/>
  <c r="EJ195" i="49"/>
  <c r="EJ220" i="49"/>
  <c r="EJ149" i="49"/>
  <c r="EJ188" i="49"/>
  <c r="EJ136" i="49"/>
  <c r="EJ133" i="49"/>
  <c r="EJ182" i="49"/>
  <c r="EJ179" i="49"/>
  <c r="EJ129" i="49"/>
  <c r="EJ126" i="49"/>
  <c r="EJ122" i="49"/>
  <c r="EJ119" i="49"/>
  <c r="EJ176" i="49"/>
  <c r="EJ173" i="49"/>
  <c r="EJ151" i="49"/>
  <c r="EJ216" i="49"/>
  <c r="EJ139" i="49"/>
  <c r="EJ186" i="49"/>
  <c r="EJ193" i="49"/>
  <c r="EJ171" i="49"/>
  <c r="EJ212" i="49"/>
  <c r="EJ200" i="49"/>
  <c r="EJ138" i="49"/>
  <c r="EJ135" i="49"/>
  <c r="EJ132" i="49"/>
  <c r="EJ183" i="49"/>
  <c r="EJ180" i="49"/>
  <c r="EJ131" i="49"/>
  <c r="EJ128" i="49"/>
  <c r="EJ125" i="49"/>
  <c r="EJ123" i="49"/>
  <c r="EJ120" i="49"/>
  <c r="EJ177" i="49"/>
  <c r="EJ174" i="49"/>
  <c r="EJ189" i="49"/>
  <c r="EJ208" i="49"/>
  <c r="EJ197" i="49"/>
  <c r="EJ187" i="49"/>
  <c r="EJ185" i="49"/>
  <c r="EJ192" i="49"/>
  <c r="EJ130" i="49"/>
  <c r="EJ127" i="49"/>
  <c r="EJ124" i="49"/>
  <c r="EJ67" i="49"/>
  <c r="EJ55" i="49"/>
  <c r="EJ51" i="49"/>
  <c r="EJ47" i="49"/>
  <c r="EJ43" i="49"/>
  <c r="EJ38" i="49"/>
  <c r="EJ100" i="49"/>
  <c r="EJ96" i="49"/>
  <c r="EJ85" i="49"/>
  <c r="EJ72" i="49"/>
  <c r="EJ60" i="49"/>
  <c r="EJ65" i="49"/>
  <c r="EJ184" i="49"/>
  <c r="EJ178" i="49"/>
  <c r="EJ121" i="49"/>
  <c r="EJ93" i="49"/>
  <c r="EJ90" i="49"/>
  <c r="EJ87" i="49"/>
  <c r="EJ70" i="49"/>
  <c r="EJ58" i="49"/>
  <c r="EJ48" i="49"/>
  <c r="EJ44" i="49"/>
  <c r="EJ41" i="49"/>
  <c r="EJ39" i="49"/>
  <c r="EJ204" i="49"/>
  <c r="EJ97" i="49"/>
  <c r="EJ82" i="49"/>
  <c r="EJ63" i="49"/>
  <c r="EJ68" i="49"/>
  <c r="EJ56" i="49"/>
  <c r="EJ118" i="49"/>
  <c r="EJ172" i="49"/>
  <c r="EJ84" i="49"/>
  <c r="EJ73" i="49"/>
  <c r="EJ61" i="49"/>
  <c r="EJ49" i="49"/>
  <c r="EJ157" i="49"/>
  <c r="EJ137" i="49"/>
  <c r="EJ98" i="49"/>
  <c r="EJ94" i="49"/>
  <c r="EJ91" i="49"/>
  <c r="EJ88" i="49"/>
  <c r="EJ66" i="49"/>
  <c r="EJ54" i="49"/>
  <c r="EJ181" i="49"/>
  <c r="EJ86" i="49"/>
  <c r="EJ71" i="49"/>
  <c r="EJ59" i="49"/>
  <c r="EJ99" i="49"/>
  <c r="EJ95" i="49"/>
  <c r="EJ69" i="49"/>
  <c r="EJ57" i="49"/>
  <c r="EJ40" i="49"/>
  <c r="EJ35" i="49"/>
  <c r="EJ33" i="49"/>
  <c r="EJ31" i="49"/>
  <c r="EJ28" i="49"/>
  <c r="EJ24" i="49"/>
  <c r="EJ83" i="49"/>
  <c r="EJ46" i="49"/>
  <c r="EJ45" i="49"/>
  <c r="EJ101" i="49"/>
  <c r="EJ62" i="49"/>
  <c r="EJ50" i="49"/>
  <c r="EJ42" i="49"/>
  <c r="EJ29" i="49"/>
  <c r="EJ25" i="49"/>
  <c r="EJ21" i="49"/>
  <c r="EJ19" i="49"/>
  <c r="EJ17" i="49"/>
  <c r="EJ15" i="49"/>
  <c r="EJ13" i="49"/>
  <c r="EJ11" i="49"/>
  <c r="EJ134" i="49"/>
  <c r="EJ81" i="49"/>
  <c r="EJ53" i="49"/>
  <c r="EJ36" i="49"/>
  <c r="EJ34" i="49"/>
  <c r="EJ32" i="49"/>
  <c r="EJ30" i="49"/>
  <c r="EJ26" i="49"/>
  <c r="EJ22" i="49"/>
  <c r="EJ175" i="49"/>
  <c r="EJ64" i="49"/>
  <c r="EJ92" i="49"/>
  <c r="EJ27" i="49"/>
  <c r="EJ23" i="49"/>
  <c r="EJ20" i="49"/>
  <c r="EJ18" i="49"/>
  <c r="EJ16" i="49"/>
  <c r="EJ14" i="49"/>
  <c r="EJ12" i="49"/>
  <c r="EJ10" i="49"/>
  <c r="EJ37" i="49"/>
  <c r="EJ89" i="49"/>
  <c r="ED219" i="49"/>
  <c r="ED215" i="49"/>
  <c r="ED211" i="49"/>
  <c r="ED207" i="49"/>
  <c r="ED203" i="49"/>
  <c r="ED159" i="49"/>
  <c r="ED156" i="49"/>
  <c r="ED153" i="49"/>
  <c r="ED141" i="49"/>
  <c r="ED146" i="49"/>
  <c r="ED151" i="49"/>
  <c r="ED139" i="49"/>
  <c r="ED220" i="49"/>
  <c r="ED216" i="49"/>
  <c r="ED212" i="49"/>
  <c r="ED208" i="49"/>
  <c r="ED204" i="49"/>
  <c r="ED200" i="49"/>
  <c r="ED144" i="49"/>
  <c r="ED157" i="49"/>
  <c r="ED154" i="49"/>
  <c r="ED149" i="49"/>
  <c r="ED197" i="49"/>
  <c r="ED142" i="49"/>
  <c r="ED190" i="49"/>
  <c r="ED217" i="49"/>
  <c r="ED213" i="49"/>
  <c r="ED209" i="49"/>
  <c r="ED205" i="49"/>
  <c r="ED201" i="49"/>
  <c r="ED147" i="49"/>
  <c r="ED195" i="49"/>
  <c r="ED152" i="49"/>
  <c r="ED140" i="49"/>
  <c r="ED158" i="49"/>
  <c r="ED155" i="49"/>
  <c r="ED145" i="49"/>
  <c r="ED193" i="49"/>
  <c r="ED210" i="49"/>
  <c r="ED198" i="49"/>
  <c r="ED187" i="49"/>
  <c r="ED192" i="49"/>
  <c r="ED172" i="49"/>
  <c r="ED206" i="49"/>
  <c r="ED185" i="49"/>
  <c r="ED137" i="49"/>
  <c r="ED134" i="49"/>
  <c r="ED184" i="49"/>
  <c r="ED181" i="49"/>
  <c r="ED178" i="49"/>
  <c r="ED130" i="49"/>
  <c r="ED127" i="49"/>
  <c r="ED124" i="49"/>
  <c r="ED121" i="49"/>
  <c r="ED118" i="49"/>
  <c r="ED175" i="49"/>
  <c r="ED101" i="49"/>
  <c r="ED143" i="49"/>
  <c r="ED196" i="49"/>
  <c r="ED188" i="49"/>
  <c r="ED148" i="49"/>
  <c r="ED136" i="49"/>
  <c r="ED133" i="49"/>
  <c r="ED182" i="49"/>
  <c r="ED179" i="49"/>
  <c r="ED129" i="49"/>
  <c r="ED126" i="49"/>
  <c r="ED122" i="49"/>
  <c r="ED119" i="49"/>
  <c r="ED176" i="49"/>
  <c r="ED173" i="49"/>
  <c r="ED202" i="49"/>
  <c r="ED150" i="49"/>
  <c r="ED186" i="49"/>
  <c r="ED194" i="49"/>
  <c r="ED214" i="49"/>
  <c r="ED189" i="49"/>
  <c r="ED138" i="49"/>
  <c r="ED135" i="49"/>
  <c r="ED132" i="49"/>
  <c r="ED183" i="49"/>
  <c r="ED180" i="49"/>
  <c r="ED218" i="49"/>
  <c r="ED78" i="49"/>
  <c r="ED75" i="49"/>
  <c r="ED66" i="49"/>
  <c r="ED54" i="49"/>
  <c r="ED49" i="49"/>
  <c r="ED45" i="49"/>
  <c r="ED177" i="49"/>
  <c r="ED98" i="49"/>
  <c r="ED94" i="49"/>
  <c r="ED91" i="49"/>
  <c r="ED88" i="49"/>
  <c r="ED71" i="49"/>
  <c r="ED59" i="49"/>
  <c r="ED64" i="49"/>
  <c r="ED69" i="49"/>
  <c r="ED57" i="49"/>
  <c r="ED50" i="49"/>
  <c r="ED46" i="49"/>
  <c r="ED42" i="49"/>
  <c r="ED40" i="49"/>
  <c r="ED37" i="49"/>
  <c r="ED174" i="49"/>
  <c r="ED171" i="49"/>
  <c r="ED99" i="49"/>
  <c r="ED95" i="49"/>
  <c r="ED80" i="49"/>
  <c r="ED77" i="49"/>
  <c r="ED74" i="49"/>
  <c r="ED62" i="49"/>
  <c r="ED92" i="49"/>
  <c r="ED89" i="49"/>
  <c r="ED67" i="49"/>
  <c r="ED55" i="49"/>
  <c r="ED72" i="49"/>
  <c r="ED60" i="49"/>
  <c r="ED51" i="49"/>
  <c r="ED123" i="49"/>
  <c r="ED100" i="49"/>
  <c r="ED96" i="49"/>
  <c r="ED65" i="49"/>
  <c r="ED53" i="49"/>
  <c r="ED191" i="49"/>
  <c r="ED79" i="49"/>
  <c r="ED76" i="49"/>
  <c r="ED70" i="49"/>
  <c r="ED58" i="49"/>
  <c r="ED131" i="49"/>
  <c r="ED128" i="49"/>
  <c r="ED125" i="49"/>
  <c r="ED120" i="49"/>
  <c r="ED97" i="49"/>
  <c r="ED68" i="49"/>
  <c r="ED56" i="49"/>
  <c r="ED63" i="49"/>
  <c r="ED36" i="49"/>
  <c r="ED34" i="49"/>
  <c r="ED32" i="49"/>
  <c r="ED30" i="49"/>
  <c r="ED26" i="49"/>
  <c r="ED22" i="49"/>
  <c r="ED39" i="49"/>
  <c r="ED38" i="49"/>
  <c r="ED27" i="49"/>
  <c r="ED23" i="49"/>
  <c r="ED20" i="49"/>
  <c r="ED18" i="49"/>
  <c r="ED16" i="49"/>
  <c r="ED14" i="49"/>
  <c r="ED12" i="49"/>
  <c r="ED10" i="49"/>
  <c r="ED90" i="49"/>
  <c r="ED73" i="49"/>
  <c r="ED48" i="49"/>
  <c r="ED47" i="49"/>
  <c r="ED41" i="49"/>
  <c r="ED93" i="49"/>
  <c r="ED44" i="49"/>
  <c r="ED43" i="49"/>
  <c r="ED35" i="49"/>
  <c r="ED33" i="49"/>
  <c r="ED31" i="49"/>
  <c r="ED28" i="49"/>
  <c r="ED24" i="49"/>
  <c r="ED29" i="49"/>
  <c r="ED25" i="49"/>
  <c r="ED21" i="49"/>
  <c r="ED19" i="49"/>
  <c r="ED17" i="49"/>
  <c r="ED15" i="49"/>
  <c r="ED13" i="49"/>
  <c r="ED11" i="49"/>
  <c r="ED61" i="49"/>
  <c r="EE146" i="49"/>
  <c r="EE194" i="49"/>
  <c r="EE151" i="49"/>
  <c r="EE220" i="49"/>
  <c r="EE216" i="49"/>
  <c r="EE212" i="49"/>
  <c r="EE208" i="49"/>
  <c r="EE204" i="49"/>
  <c r="EE200" i="49"/>
  <c r="EE144" i="49"/>
  <c r="EE192" i="49"/>
  <c r="EE157" i="49"/>
  <c r="EE154" i="49"/>
  <c r="EE149" i="49"/>
  <c r="EE142" i="49"/>
  <c r="EE190" i="49"/>
  <c r="EE217" i="49"/>
  <c r="EE213" i="49"/>
  <c r="EE209" i="49"/>
  <c r="EE205" i="49"/>
  <c r="EE201" i="49"/>
  <c r="EE147" i="49"/>
  <c r="EE195" i="49"/>
  <c r="EE152" i="49"/>
  <c r="EE140" i="49"/>
  <c r="EE158" i="49"/>
  <c r="EE155" i="49"/>
  <c r="EE145" i="49"/>
  <c r="EE193" i="49"/>
  <c r="EE218" i="49"/>
  <c r="EE214" i="49"/>
  <c r="EE210" i="49"/>
  <c r="EE206" i="49"/>
  <c r="EE202" i="49"/>
  <c r="EE150" i="49"/>
  <c r="EE198" i="49"/>
  <c r="EE207" i="49"/>
  <c r="EE187" i="49"/>
  <c r="EE159" i="49"/>
  <c r="EE172" i="49"/>
  <c r="EE185" i="49"/>
  <c r="EE137" i="49"/>
  <c r="EE134" i="49"/>
  <c r="EE184" i="49"/>
  <c r="EE181" i="49"/>
  <c r="EE178" i="49"/>
  <c r="EE130" i="49"/>
  <c r="EE127" i="49"/>
  <c r="EE124" i="49"/>
  <c r="EE121" i="49"/>
  <c r="EE118" i="49"/>
  <c r="EE175" i="49"/>
  <c r="EE203" i="49"/>
  <c r="EE156" i="49"/>
  <c r="EE141" i="49"/>
  <c r="EE143" i="49"/>
  <c r="EE196" i="49"/>
  <c r="EE188" i="49"/>
  <c r="EE219" i="49"/>
  <c r="EE148" i="49"/>
  <c r="EE139" i="49"/>
  <c r="EE136" i="49"/>
  <c r="EE133" i="49"/>
  <c r="EE182" i="49"/>
  <c r="EE179" i="49"/>
  <c r="EE129" i="49"/>
  <c r="EE126" i="49"/>
  <c r="EE122" i="49"/>
  <c r="EE119" i="49"/>
  <c r="EE176" i="49"/>
  <c r="EE153" i="49"/>
  <c r="EE186" i="49"/>
  <c r="EE215" i="49"/>
  <c r="EE191" i="49"/>
  <c r="EE211" i="49"/>
  <c r="EE197" i="49"/>
  <c r="EE189" i="49"/>
  <c r="EE138" i="49"/>
  <c r="EE135" i="49"/>
  <c r="EE132" i="49"/>
  <c r="EE183" i="49"/>
  <c r="EE180" i="49"/>
  <c r="EE131" i="49"/>
  <c r="EE128" i="49"/>
  <c r="EE125" i="49"/>
  <c r="EE123" i="49"/>
  <c r="EE120" i="49"/>
  <c r="EE177" i="49"/>
  <c r="EE174" i="49"/>
  <c r="EE98" i="49"/>
  <c r="EE94" i="49"/>
  <c r="EE91" i="49"/>
  <c r="EE88" i="49"/>
  <c r="EE71" i="49"/>
  <c r="EE59" i="49"/>
  <c r="EE101" i="49"/>
  <c r="EE64" i="49"/>
  <c r="EE69" i="49"/>
  <c r="EE171" i="49"/>
  <c r="EE99" i="49"/>
  <c r="EE95" i="49"/>
  <c r="EE80" i="49"/>
  <c r="EE77" i="49"/>
  <c r="EE74" i="49"/>
  <c r="EE62" i="49"/>
  <c r="EE92" i="49"/>
  <c r="EE89" i="49"/>
  <c r="EE67" i="49"/>
  <c r="EE72" i="49"/>
  <c r="EE60" i="49"/>
  <c r="EE51" i="49"/>
  <c r="EE47" i="49"/>
  <c r="EE43" i="49"/>
  <c r="EE38" i="49"/>
  <c r="EE100" i="49"/>
  <c r="EE96" i="49"/>
  <c r="EE65" i="49"/>
  <c r="EE53" i="49"/>
  <c r="EE79" i="49"/>
  <c r="EE76" i="49"/>
  <c r="EE70" i="49"/>
  <c r="EE58" i="49"/>
  <c r="EE93" i="49"/>
  <c r="EE90" i="49"/>
  <c r="EE63" i="49"/>
  <c r="EE73" i="49"/>
  <c r="EE61" i="49"/>
  <c r="EE57" i="49"/>
  <c r="EE55" i="49"/>
  <c r="EE39" i="49"/>
  <c r="EE27" i="49"/>
  <c r="EE23" i="49"/>
  <c r="EE20" i="49"/>
  <c r="EE18" i="49"/>
  <c r="EE16" i="49"/>
  <c r="EE14" i="49"/>
  <c r="EE12" i="49"/>
  <c r="EE10" i="49"/>
  <c r="EE78" i="49"/>
  <c r="EE66" i="49"/>
  <c r="EE40" i="49"/>
  <c r="EE37" i="49"/>
  <c r="EE97" i="49"/>
  <c r="EE49" i="49"/>
  <c r="EE48" i="49"/>
  <c r="EE41" i="49"/>
  <c r="EE46" i="49"/>
  <c r="EE45" i="49"/>
  <c r="EE44" i="49"/>
  <c r="EE35" i="49"/>
  <c r="EE33" i="49"/>
  <c r="EE31" i="49"/>
  <c r="EE28" i="49"/>
  <c r="EE24" i="49"/>
  <c r="EE56" i="49"/>
  <c r="EE50" i="49"/>
  <c r="EE42" i="49"/>
  <c r="EE68" i="49"/>
  <c r="EE29" i="49"/>
  <c r="EE25" i="49"/>
  <c r="EE21" i="49"/>
  <c r="EE19" i="49"/>
  <c r="EE17" i="49"/>
  <c r="EE15" i="49"/>
  <c r="EE13" i="49"/>
  <c r="EE11" i="49"/>
  <c r="EE54" i="49"/>
  <c r="EK147" i="49"/>
  <c r="EK195" i="49"/>
  <c r="EK158" i="49"/>
  <c r="EK155" i="49"/>
  <c r="EK152" i="49"/>
  <c r="EK218" i="49"/>
  <c r="EK214" i="49"/>
  <c r="EK210" i="49"/>
  <c r="EK206" i="49"/>
  <c r="EK202" i="49"/>
  <c r="EK145" i="49"/>
  <c r="EK193" i="49"/>
  <c r="EK150" i="49"/>
  <c r="EK143" i="49"/>
  <c r="EK191" i="49"/>
  <c r="EK219" i="49"/>
  <c r="EK215" i="49"/>
  <c r="EK211" i="49"/>
  <c r="EK207" i="49"/>
  <c r="EK203" i="49"/>
  <c r="EK159" i="49"/>
  <c r="EK156" i="49"/>
  <c r="EK153" i="49"/>
  <c r="EK148" i="49"/>
  <c r="EK196" i="49"/>
  <c r="EK141" i="49"/>
  <c r="EK146" i="49"/>
  <c r="EK194" i="49"/>
  <c r="EK220" i="49"/>
  <c r="EK216" i="49"/>
  <c r="EK212" i="49"/>
  <c r="EK208" i="49"/>
  <c r="EK204" i="49"/>
  <c r="EK200" i="49"/>
  <c r="EK151" i="49"/>
  <c r="EK139" i="49"/>
  <c r="EK217" i="49"/>
  <c r="EK149" i="49"/>
  <c r="EK198" i="49"/>
  <c r="EK188" i="49"/>
  <c r="EK136" i="49"/>
  <c r="EK133" i="49"/>
  <c r="EK182" i="49"/>
  <c r="EK179" i="49"/>
  <c r="EK129" i="49"/>
  <c r="EK126" i="49"/>
  <c r="EK122" i="49"/>
  <c r="EK119" i="49"/>
  <c r="EK176" i="49"/>
  <c r="EK201" i="49"/>
  <c r="EK213" i="49"/>
  <c r="EK186" i="49"/>
  <c r="EK190" i="49"/>
  <c r="EK171" i="49"/>
  <c r="EK209" i="49"/>
  <c r="EK138" i="49"/>
  <c r="EK135" i="49"/>
  <c r="EK132" i="49"/>
  <c r="EK183" i="49"/>
  <c r="EK180" i="49"/>
  <c r="EK131" i="49"/>
  <c r="EK128" i="49"/>
  <c r="EK125" i="49"/>
  <c r="EK123" i="49"/>
  <c r="EK120" i="49"/>
  <c r="EK177" i="49"/>
  <c r="EK174" i="49"/>
  <c r="EK189" i="49"/>
  <c r="EK205" i="49"/>
  <c r="EK197" i="49"/>
  <c r="EK187" i="49"/>
  <c r="EK157" i="49"/>
  <c r="EK140" i="49"/>
  <c r="EK137" i="49"/>
  <c r="EK134" i="49"/>
  <c r="EK184" i="49"/>
  <c r="EK181" i="49"/>
  <c r="EK142" i="49"/>
  <c r="EK192" i="49"/>
  <c r="EK101" i="49"/>
  <c r="EK154" i="49"/>
  <c r="EK144" i="49"/>
  <c r="EK100" i="49"/>
  <c r="EK96" i="49"/>
  <c r="EK85" i="49"/>
  <c r="EK72" i="49"/>
  <c r="EK60" i="49"/>
  <c r="EK65" i="49"/>
  <c r="EK178" i="49"/>
  <c r="EK121" i="49"/>
  <c r="EK93" i="49"/>
  <c r="EK90" i="49"/>
  <c r="EK87" i="49"/>
  <c r="EK70" i="49"/>
  <c r="EK97" i="49"/>
  <c r="EK82" i="49"/>
  <c r="EK63" i="49"/>
  <c r="EK185" i="49"/>
  <c r="EK68" i="49"/>
  <c r="EK118" i="49"/>
  <c r="EK172" i="49"/>
  <c r="EK84" i="49"/>
  <c r="EK73" i="49"/>
  <c r="EK61" i="49"/>
  <c r="EK49" i="49"/>
  <c r="EK45" i="49"/>
  <c r="EK98" i="49"/>
  <c r="EK94" i="49"/>
  <c r="EK91" i="49"/>
  <c r="EK88" i="49"/>
  <c r="EK66" i="49"/>
  <c r="EK54" i="49"/>
  <c r="EK86" i="49"/>
  <c r="EK71" i="49"/>
  <c r="EK59" i="49"/>
  <c r="EK175" i="49"/>
  <c r="EK81" i="49"/>
  <c r="EK64" i="49"/>
  <c r="EK173" i="49"/>
  <c r="EK92" i="49"/>
  <c r="EK89" i="49"/>
  <c r="EK83" i="49"/>
  <c r="EK62" i="49"/>
  <c r="EK124" i="49"/>
  <c r="EK48" i="49"/>
  <c r="EK47" i="49"/>
  <c r="EK46" i="49"/>
  <c r="EK41" i="49"/>
  <c r="EK50" i="49"/>
  <c r="EK44" i="49"/>
  <c r="EK43" i="49"/>
  <c r="EK42" i="49"/>
  <c r="EK29" i="49"/>
  <c r="EK25" i="49"/>
  <c r="EK21" i="49"/>
  <c r="EK19" i="49"/>
  <c r="EK17" i="49"/>
  <c r="EK15" i="49"/>
  <c r="EK13" i="49"/>
  <c r="EK11" i="49"/>
  <c r="EK69" i="49"/>
  <c r="EK58" i="49"/>
  <c r="EK51" i="49"/>
  <c r="EK56" i="49"/>
  <c r="EK53" i="49"/>
  <c r="EK36" i="49"/>
  <c r="EK34" i="49"/>
  <c r="EK32" i="49"/>
  <c r="EK30" i="49"/>
  <c r="EK26" i="49"/>
  <c r="EK22" i="49"/>
  <c r="EK99" i="49"/>
  <c r="EK27" i="49"/>
  <c r="EK23" i="49"/>
  <c r="EK20" i="49"/>
  <c r="EK18" i="49"/>
  <c r="EK16" i="49"/>
  <c r="EK14" i="49"/>
  <c r="EK12" i="49"/>
  <c r="EK10" i="49"/>
  <c r="EK130" i="49"/>
  <c r="EK95" i="49"/>
  <c r="EK57" i="49"/>
  <c r="EK39" i="49"/>
  <c r="EK38" i="49"/>
  <c r="EK37" i="49"/>
  <c r="EI30" i="49"/>
  <c r="EI34" i="49"/>
  <c r="EF51" i="49"/>
  <c r="EH157" i="49"/>
  <c r="EH154" i="49"/>
  <c r="EH217" i="49"/>
  <c r="EH213" i="49"/>
  <c r="EH209" i="49"/>
  <c r="EH205" i="49"/>
  <c r="EH201" i="49"/>
  <c r="EH158" i="49"/>
  <c r="EH155" i="49"/>
  <c r="EH218" i="49"/>
  <c r="EH214" i="49"/>
  <c r="EH210" i="49"/>
  <c r="EH206" i="49"/>
  <c r="EH202" i="49"/>
  <c r="EH219" i="49"/>
  <c r="EH215" i="49"/>
  <c r="EH211" i="49"/>
  <c r="EH207" i="49"/>
  <c r="EH203" i="49"/>
  <c r="EH159" i="49"/>
  <c r="EH156" i="49"/>
  <c r="EH153" i="49"/>
  <c r="EH101" i="49"/>
  <c r="EH220" i="49"/>
  <c r="EH136" i="49"/>
  <c r="EH133" i="49"/>
  <c r="EH182" i="49"/>
  <c r="EH179" i="49"/>
  <c r="EH129" i="49"/>
  <c r="EH126" i="49"/>
  <c r="EH122" i="49"/>
  <c r="EH119" i="49"/>
  <c r="EH176" i="49"/>
  <c r="EH173" i="49"/>
  <c r="EH216" i="49"/>
  <c r="EH212" i="49"/>
  <c r="EH200" i="49"/>
  <c r="EH138" i="49"/>
  <c r="EH135" i="49"/>
  <c r="EH132" i="49"/>
  <c r="EH183" i="49"/>
  <c r="EH180" i="49"/>
  <c r="EH131" i="49"/>
  <c r="EH128" i="49"/>
  <c r="EH125" i="49"/>
  <c r="EH123" i="49"/>
  <c r="EH120" i="49"/>
  <c r="EH177" i="49"/>
  <c r="EH174" i="49"/>
  <c r="EH208" i="49"/>
  <c r="EH204" i="49"/>
  <c r="EH137" i="49"/>
  <c r="EH134" i="49"/>
  <c r="EH184" i="49"/>
  <c r="EH181" i="49"/>
  <c r="EH99" i="49"/>
  <c r="EH95" i="49"/>
  <c r="EH69" i="49"/>
  <c r="EH57" i="49"/>
  <c r="EH130" i="49"/>
  <c r="EH127" i="49"/>
  <c r="EH124" i="49"/>
  <c r="EH92" i="49"/>
  <c r="EH89" i="49"/>
  <c r="EH83" i="49"/>
  <c r="EH62" i="49"/>
  <c r="EH171" i="49"/>
  <c r="EH67" i="49"/>
  <c r="EH100" i="49"/>
  <c r="EH96" i="49"/>
  <c r="EH85" i="49"/>
  <c r="EH72" i="49"/>
  <c r="EH60" i="49"/>
  <c r="EH178" i="49"/>
  <c r="EH121" i="49"/>
  <c r="EH65" i="49"/>
  <c r="EH93" i="49"/>
  <c r="EH90" i="49"/>
  <c r="EH87" i="49"/>
  <c r="EH70" i="49"/>
  <c r="EH58" i="49"/>
  <c r="EH48" i="49"/>
  <c r="EH44" i="49"/>
  <c r="EH41" i="49"/>
  <c r="EH39" i="49"/>
  <c r="EH97" i="49"/>
  <c r="EH82" i="49"/>
  <c r="EH63" i="49"/>
  <c r="EH118" i="49"/>
  <c r="EH172" i="49"/>
  <c r="EH68" i="49"/>
  <c r="EH56" i="49"/>
  <c r="EH84" i="49"/>
  <c r="EH73" i="49"/>
  <c r="EH61" i="49"/>
  <c r="EH175" i="49"/>
  <c r="EH86" i="49"/>
  <c r="EH71" i="49"/>
  <c r="EH59" i="49"/>
  <c r="EH98" i="49"/>
  <c r="EH91" i="49"/>
  <c r="EH55" i="49"/>
  <c r="EH38" i="49"/>
  <c r="EH37" i="49"/>
  <c r="EH40" i="49"/>
  <c r="EH94" i="49"/>
  <c r="EH66" i="49"/>
  <c r="EH49" i="49"/>
  <c r="EH35" i="49"/>
  <c r="EH33" i="49"/>
  <c r="EH31" i="49"/>
  <c r="EH28" i="49"/>
  <c r="EH24" i="49"/>
  <c r="EH47" i="49"/>
  <c r="EH46" i="49"/>
  <c r="EH45" i="49"/>
  <c r="EH50" i="49"/>
  <c r="EH43" i="49"/>
  <c r="EH42" i="49"/>
  <c r="EH29" i="49"/>
  <c r="EH25" i="49"/>
  <c r="EH21" i="49"/>
  <c r="EH19" i="49"/>
  <c r="EH17" i="49"/>
  <c r="EH15" i="49"/>
  <c r="EH13" i="49"/>
  <c r="EH11" i="49"/>
  <c r="EH51" i="49"/>
  <c r="EH36" i="49"/>
  <c r="EH34" i="49"/>
  <c r="EH32" i="49"/>
  <c r="EH30" i="49"/>
  <c r="EH26" i="49"/>
  <c r="EH22" i="49"/>
  <c r="EH64" i="49"/>
  <c r="EH54" i="49"/>
  <c r="EH88" i="49"/>
  <c r="EC24" i="49"/>
  <c r="EC31" i="49"/>
  <c r="EC35" i="49"/>
  <c r="EH53" i="49"/>
  <c r="EI149" i="49"/>
  <c r="EI197" i="49"/>
  <c r="EI217" i="49"/>
  <c r="EI213" i="49"/>
  <c r="EI209" i="49"/>
  <c r="EI205" i="49"/>
  <c r="EI201" i="49"/>
  <c r="EI142" i="49"/>
  <c r="EI147" i="49"/>
  <c r="EI195" i="49"/>
  <c r="EI158" i="49"/>
  <c r="EI155" i="49"/>
  <c r="EI152" i="49"/>
  <c r="EI218" i="49"/>
  <c r="EI214" i="49"/>
  <c r="EI210" i="49"/>
  <c r="EI206" i="49"/>
  <c r="EI202" i="49"/>
  <c r="EI145" i="49"/>
  <c r="EI193" i="49"/>
  <c r="EI150" i="49"/>
  <c r="EI198" i="49"/>
  <c r="EI143" i="49"/>
  <c r="EI191" i="49"/>
  <c r="EI219" i="49"/>
  <c r="EI215" i="49"/>
  <c r="EI211" i="49"/>
  <c r="EI207" i="49"/>
  <c r="EI203" i="49"/>
  <c r="EI159" i="49"/>
  <c r="EI156" i="49"/>
  <c r="EI153" i="49"/>
  <c r="EI148" i="49"/>
  <c r="EI196" i="49"/>
  <c r="EI141" i="49"/>
  <c r="EI220" i="49"/>
  <c r="EI216" i="49"/>
  <c r="EI212" i="49"/>
  <c r="EI208" i="49"/>
  <c r="EI204" i="49"/>
  <c r="EI192" i="49"/>
  <c r="EI154" i="49"/>
  <c r="EI144" i="49"/>
  <c r="EI146" i="49"/>
  <c r="EI188" i="49"/>
  <c r="EI136" i="49"/>
  <c r="EI133" i="49"/>
  <c r="EI182" i="49"/>
  <c r="EI179" i="49"/>
  <c r="EI129" i="49"/>
  <c r="EI126" i="49"/>
  <c r="EI122" i="49"/>
  <c r="EI119" i="49"/>
  <c r="EI176" i="49"/>
  <c r="EI173" i="49"/>
  <c r="EI151" i="49"/>
  <c r="EI139" i="49"/>
  <c r="EI190" i="49"/>
  <c r="EI186" i="49"/>
  <c r="EI171" i="49"/>
  <c r="EI200" i="49"/>
  <c r="EI138" i="49"/>
  <c r="EI135" i="49"/>
  <c r="EI132" i="49"/>
  <c r="EI183" i="49"/>
  <c r="EI180" i="49"/>
  <c r="EI131" i="49"/>
  <c r="EI128" i="49"/>
  <c r="EI125" i="49"/>
  <c r="EI123" i="49"/>
  <c r="EI120" i="49"/>
  <c r="EI177" i="49"/>
  <c r="EI174" i="49"/>
  <c r="EI194" i="49"/>
  <c r="EI189" i="49"/>
  <c r="EI157" i="49"/>
  <c r="EI137" i="49"/>
  <c r="EI134" i="49"/>
  <c r="EI184" i="49"/>
  <c r="EI181" i="49"/>
  <c r="EI178" i="49"/>
  <c r="EI130" i="49"/>
  <c r="EI127" i="49"/>
  <c r="EI124" i="49"/>
  <c r="EI121" i="49"/>
  <c r="EI118" i="49"/>
  <c r="EI175" i="49"/>
  <c r="EI172" i="49"/>
  <c r="EI185" i="49"/>
  <c r="EI101" i="49"/>
  <c r="EI92" i="49"/>
  <c r="EI89" i="49"/>
  <c r="EI83" i="49"/>
  <c r="EI62" i="49"/>
  <c r="EI187" i="49"/>
  <c r="EI67" i="49"/>
  <c r="EI55" i="49"/>
  <c r="EI140" i="49"/>
  <c r="EI100" i="49"/>
  <c r="EI96" i="49"/>
  <c r="EI85" i="49"/>
  <c r="EI72" i="49"/>
  <c r="EI60" i="49"/>
  <c r="EI65" i="49"/>
  <c r="EI53" i="49"/>
  <c r="EI93" i="49"/>
  <c r="EI90" i="49"/>
  <c r="EI87" i="49"/>
  <c r="EI70" i="49"/>
  <c r="EI97" i="49"/>
  <c r="EI82" i="49"/>
  <c r="EI63" i="49"/>
  <c r="EI68" i="49"/>
  <c r="EI56" i="49"/>
  <c r="EI84" i="49"/>
  <c r="EI73" i="49"/>
  <c r="EI61" i="49"/>
  <c r="EI49" i="49"/>
  <c r="EI45" i="49"/>
  <c r="EI98" i="49"/>
  <c r="EI94" i="49"/>
  <c r="EI91" i="49"/>
  <c r="EI88" i="49"/>
  <c r="EI66" i="49"/>
  <c r="EI81" i="49"/>
  <c r="EI64" i="49"/>
  <c r="EI50" i="49"/>
  <c r="EI46" i="49"/>
  <c r="EI42" i="49"/>
  <c r="EI40" i="49"/>
  <c r="EI37" i="49"/>
  <c r="EI59" i="49"/>
  <c r="EI35" i="49"/>
  <c r="EI33" i="49"/>
  <c r="EI31" i="49"/>
  <c r="EI28" i="49"/>
  <c r="EI24" i="49"/>
  <c r="EI48" i="49"/>
  <c r="EI47" i="49"/>
  <c r="EI41" i="49"/>
  <c r="EI44" i="49"/>
  <c r="EI43" i="49"/>
  <c r="EI86" i="49"/>
  <c r="EI29" i="49"/>
  <c r="EI25" i="49"/>
  <c r="EI21" i="49"/>
  <c r="EI19" i="49"/>
  <c r="EI17" i="49"/>
  <c r="EI15" i="49"/>
  <c r="EI13" i="49"/>
  <c r="EI11" i="49"/>
  <c r="EI69" i="49"/>
  <c r="EI58" i="49"/>
  <c r="EI51" i="49"/>
  <c r="EI54" i="49"/>
  <c r="EI99" i="49"/>
  <c r="EI71" i="49"/>
  <c r="EI27" i="49"/>
  <c r="EI23" i="49"/>
  <c r="EI20" i="49"/>
  <c r="EI18" i="49"/>
  <c r="EI16" i="49"/>
  <c r="EI14" i="49"/>
  <c r="EI12" i="49"/>
  <c r="EI10" i="49"/>
  <c r="EK31" i="49"/>
  <c r="EK35" i="49"/>
  <c r="EK40" i="49"/>
  <c r="EF71" i="49"/>
  <c r="EI95" i="49"/>
  <c r="EF13" i="49"/>
  <c r="EF17" i="49"/>
  <c r="EC28" i="49"/>
  <c r="EF151" i="49"/>
  <c r="EF139" i="49"/>
  <c r="EF220" i="49"/>
  <c r="EF216" i="49"/>
  <c r="EF212" i="49"/>
  <c r="EF208" i="49"/>
  <c r="EF204" i="49"/>
  <c r="EF200" i="49"/>
  <c r="EF144" i="49"/>
  <c r="EF157" i="49"/>
  <c r="EF154" i="49"/>
  <c r="EF149" i="49"/>
  <c r="EF197" i="49"/>
  <c r="EF142" i="49"/>
  <c r="EF217" i="49"/>
  <c r="EF213" i="49"/>
  <c r="EF209" i="49"/>
  <c r="EF205" i="49"/>
  <c r="EF201" i="49"/>
  <c r="EF147" i="49"/>
  <c r="EF195" i="49"/>
  <c r="EF152" i="49"/>
  <c r="EF140" i="49"/>
  <c r="EF158" i="49"/>
  <c r="EF155" i="49"/>
  <c r="EF145" i="49"/>
  <c r="EF193" i="49"/>
  <c r="EF218" i="49"/>
  <c r="EF214" i="49"/>
  <c r="EF210" i="49"/>
  <c r="EF206" i="49"/>
  <c r="EF202" i="49"/>
  <c r="EF150" i="49"/>
  <c r="EF198" i="49"/>
  <c r="EF143" i="49"/>
  <c r="EF191" i="49"/>
  <c r="EF219" i="49"/>
  <c r="EF215" i="49"/>
  <c r="EF211" i="49"/>
  <c r="EF207" i="49"/>
  <c r="EF159" i="49"/>
  <c r="EF192" i="49"/>
  <c r="EF185" i="49"/>
  <c r="EF137" i="49"/>
  <c r="EF134" i="49"/>
  <c r="EF184" i="49"/>
  <c r="EF181" i="49"/>
  <c r="EF178" i="49"/>
  <c r="EF130" i="49"/>
  <c r="EF127" i="49"/>
  <c r="EF124" i="49"/>
  <c r="EF121" i="49"/>
  <c r="EF118" i="49"/>
  <c r="EF175" i="49"/>
  <c r="EF203" i="49"/>
  <c r="EF156" i="49"/>
  <c r="EF141" i="49"/>
  <c r="EF101" i="49"/>
  <c r="EF146" i="49"/>
  <c r="EF196" i="49"/>
  <c r="EF188" i="49"/>
  <c r="EF148" i="49"/>
  <c r="EF190" i="49"/>
  <c r="EF136" i="49"/>
  <c r="EF133" i="49"/>
  <c r="EF182" i="49"/>
  <c r="EF179" i="49"/>
  <c r="EF129" i="49"/>
  <c r="EF126" i="49"/>
  <c r="EF122" i="49"/>
  <c r="EF119" i="49"/>
  <c r="EF176" i="49"/>
  <c r="EF173" i="49"/>
  <c r="EF153" i="49"/>
  <c r="EF186" i="49"/>
  <c r="EF171" i="49"/>
  <c r="EF187" i="49"/>
  <c r="EF177" i="49"/>
  <c r="EF64" i="49"/>
  <c r="EF69" i="49"/>
  <c r="EF57" i="49"/>
  <c r="EF132" i="49"/>
  <c r="EF99" i="49"/>
  <c r="EF95" i="49"/>
  <c r="EF80" i="49"/>
  <c r="EF77" i="49"/>
  <c r="EF74" i="49"/>
  <c r="EF62" i="49"/>
  <c r="EF174" i="49"/>
  <c r="EF92" i="49"/>
  <c r="EF89" i="49"/>
  <c r="EF67" i="49"/>
  <c r="EF55" i="49"/>
  <c r="EF72" i="49"/>
  <c r="EF60" i="49"/>
  <c r="EF183" i="49"/>
  <c r="EF100" i="49"/>
  <c r="EF96" i="49"/>
  <c r="EF65" i="49"/>
  <c r="EF53" i="49"/>
  <c r="EF194" i="49"/>
  <c r="EF138" i="49"/>
  <c r="EF123" i="49"/>
  <c r="EF79" i="49"/>
  <c r="EF76" i="49"/>
  <c r="EF70" i="49"/>
  <c r="EF58" i="49"/>
  <c r="EF93" i="49"/>
  <c r="EF90" i="49"/>
  <c r="EF63" i="49"/>
  <c r="EF48" i="49"/>
  <c r="EF44" i="49"/>
  <c r="EF41" i="49"/>
  <c r="EF39" i="49"/>
  <c r="EF172" i="49"/>
  <c r="EF97" i="49"/>
  <c r="EF68" i="49"/>
  <c r="EF56" i="49"/>
  <c r="EF189" i="49"/>
  <c r="EF135" i="49"/>
  <c r="EF180" i="49"/>
  <c r="EF78" i="49"/>
  <c r="EF75" i="49"/>
  <c r="EF66" i="49"/>
  <c r="EF54" i="49"/>
  <c r="EF49" i="49"/>
  <c r="EF45" i="49"/>
  <c r="EF125" i="49"/>
  <c r="EF98" i="49"/>
  <c r="EF91" i="49"/>
  <c r="EF59" i="49"/>
  <c r="EF38" i="49"/>
  <c r="EF27" i="49"/>
  <c r="EF23" i="49"/>
  <c r="EF20" i="49"/>
  <c r="EF18" i="49"/>
  <c r="EF16" i="49"/>
  <c r="EF14" i="49"/>
  <c r="EF12" i="49"/>
  <c r="EF10" i="49"/>
  <c r="EF40" i="49"/>
  <c r="EF37" i="49"/>
  <c r="EF94" i="49"/>
  <c r="EF120" i="49"/>
  <c r="EF73" i="49"/>
  <c r="EF47" i="49"/>
  <c r="EF46" i="49"/>
  <c r="EF35" i="49"/>
  <c r="EF33" i="49"/>
  <c r="EF31" i="49"/>
  <c r="EF28" i="49"/>
  <c r="EF24" i="49"/>
  <c r="EF50" i="49"/>
  <c r="EF43" i="49"/>
  <c r="EF42" i="49"/>
  <c r="EF61" i="49"/>
  <c r="EF131" i="49"/>
  <c r="EF128" i="49"/>
  <c r="EF36" i="49"/>
  <c r="EF34" i="49"/>
  <c r="EF32" i="49"/>
  <c r="EF30" i="49"/>
  <c r="EF26" i="49"/>
  <c r="EF22" i="49"/>
  <c r="EK28" i="49"/>
  <c r="EE32" i="49"/>
  <c r="EE36" i="49"/>
  <c r="EK55" i="49"/>
  <c r="EE75" i="49"/>
  <c r="EM220" i="49"/>
  <c r="EM214" i="49"/>
  <c r="EM208" i="49"/>
  <c r="EM202" i="49"/>
  <c r="EM156" i="49"/>
  <c r="EM150" i="49"/>
  <c r="EM144" i="49"/>
  <c r="EM198" i="49"/>
  <c r="EM192" i="49"/>
  <c r="EM186" i="49"/>
  <c r="EM134" i="49"/>
  <c r="EM181" i="49"/>
  <c r="EM219" i="49"/>
  <c r="EM213" i="49"/>
  <c r="EM207" i="49"/>
  <c r="EM201" i="49"/>
  <c r="EM155" i="49"/>
  <c r="EM149" i="49"/>
  <c r="EM143" i="49"/>
  <c r="EM197" i="49"/>
  <c r="EM191" i="49"/>
  <c r="EM185" i="49"/>
  <c r="EM133" i="49"/>
  <c r="EM180" i="49"/>
  <c r="EM218" i="49"/>
  <c r="EM212" i="49"/>
  <c r="EM206" i="49"/>
  <c r="EM200" i="49"/>
  <c r="EM154" i="49"/>
  <c r="EM148" i="49"/>
  <c r="EM142" i="49"/>
  <c r="EM196" i="49"/>
  <c r="EM190" i="49"/>
  <c r="EM138" i="49"/>
  <c r="EM132" i="49"/>
  <c r="EM179" i="49"/>
  <c r="EM217" i="49"/>
  <c r="EM211" i="49"/>
  <c r="EM205" i="49"/>
  <c r="EM159" i="49"/>
  <c r="EM153" i="49"/>
  <c r="EM147" i="49"/>
  <c r="EM141" i="49"/>
  <c r="EM195" i="49"/>
  <c r="EM189" i="49"/>
  <c r="EM137" i="49"/>
  <c r="EM184" i="49"/>
  <c r="EM178" i="49"/>
  <c r="EM216" i="49"/>
  <c r="EM210" i="49"/>
  <c r="EM204" i="49"/>
  <c r="EM158" i="49"/>
  <c r="EM152" i="49"/>
  <c r="EM146" i="49"/>
  <c r="EM140" i="49"/>
  <c r="EM194" i="49"/>
  <c r="EM188" i="49"/>
  <c r="EM136" i="49"/>
  <c r="EM139" i="49"/>
  <c r="EM125" i="49"/>
  <c r="EM119" i="49"/>
  <c r="EM173" i="49"/>
  <c r="EM98" i="49"/>
  <c r="EM92" i="49"/>
  <c r="EM86" i="49"/>
  <c r="EM80" i="49"/>
  <c r="EM74" i="49"/>
  <c r="EM68" i="49"/>
  <c r="EM62" i="49"/>
  <c r="EM145" i="49"/>
  <c r="EM215" i="49"/>
  <c r="EM128" i="49"/>
  <c r="EM122" i="49"/>
  <c r="EM176" i="49"/>
  <c r="EM101" i="49"/>
  <c r="EM95" i="49"/>
  <c r="EM89" i="49"/>
  <c r="EM83" i="49"/>
  <c r="EM77" i="49"/>
  <c r="EM193" i="49"/>
  <c r="EM183" i="49"/>
  <c r="EM135" i="49"/>
  <c r="EM187" i="49"/>
  <c r="EM131" i="49"/>
  <c r="EM177" i="49"/>
  <c r="EM99" i="49"/>
  <c r="EM127" i="49"/>
  <c r="EM171" i="49"/>
  <c r="EM93" i="49"/>
  <c r="EM60" i="49"/>
  <c r="EM54" i="49"/>
  <c r="EM118" i="49"/>
  <c r="EM175" i="49"/>
  <c r="EM90" i="49"/>
  <c r="EM81" i="49"/>
  <c r="EM71" i="49"/>
  <c r="EM59" i="49"/>
  <c r="EM53" i="49"/>
  <c r="EM182" i="49"/>
  <c r="EM130" i="49"/>
  <c r="EM172" i="49"/>
  <c r="EM100" i="49"/>
  <c r="EM84" i="49"/>
  <c r="EM75" i="49"/>
  <c r="EM70" i="49"/>
  <c r="EM151" i="49"/>
  <c r="EM97" i="49"/>
  <c r="EM94" i="49"/>
  <c r="EM78" i="49"/>
  <c r="EM69" i="49"/>
  <c r="EM58" i="49"/>
  <c r="EM209" i="49"/>
  <c r="EM85" i="49"/>
  <c r="EM82" i="49"/>
  <c r="EM66" i="49"/>
  <c r="EM57" i="49"/>
  <c r="EM203" i="49"/>
  <c r="EM126" i="49"/>
  <c r="EM64" i="49"/>
  <c r="EM56" i="49"/>
  <c r="EM123" i="49"/>
  <c r="EM174" i="49"/>
  <c r="EM87" i="49"/>
  <c r="EM73" i="49"/>
  <c r="EM157" i="49"/>
  <c r="EM96" i="49"/>
  <c r="EM67" i="49"/>
  <c r="EM65" i="49"/>
  <c r="EM63" i="49"/>
  <c r="EM61" i="49"/>
  <c r="EM55" i="49"/>
  <c r="EM121" i="49"/>
  <c r="EM72" i="49"/>
  <c r="EM129" i="49"/>
  <c r="EM120" i="49"/>
  <c r="EM91" i="49"/>
  <c r="EM88" i="49"/>
  <c r="EM79" i="49"/>
  <c r="EM76" i="49"/>
  <c r="EM124" i="49"/>
  <c r="EF25" i="49"/>
  <c r="EI32" i="49"/>
  <c r="EI36" i="49"/>
  <c r="EC42" i="49"/>
  <c r="EN220" i="49"/>
  <c r="EN214" i="49"/>
  <c r="EN208" i="49"/>
  <c r="EN202" i="49"/>
  <c r="EN156" i="49"/>
  <c r="EN150" i="49"/>
  <c r="EN144" i="49"/>
  <c r="EN198" i="49"/>
  <c r="EN192" i="49"/>
  <c r="EN186" i="49"/>
  <c r="EN219" i="49"/>
  <c r="EN213" i="49"/>
  <c r="EN207" i="49"/>
  <c r="EN201" i="49"/>
  <c r="EN155" i="49"/>
  <c r="EN149" i="49"/>
  <c r="EN143" i="49"/>
  <c r="EN197" i="49"/>
  <c r="EN191" i="49"/>
  <c r="EN218" i="49"/>
  <c r="EN212" i="49"/>
  <c r="EN206" i="49"/>
  <c r="EN200" i="49"/>
  <c r="EN154" i="49"/>
  <c r="EN148" i="49"/>
  <c r="EN142" i="49"/>
  <c r="EN196" i="49"/>
  <c r="EN190" i="49"/>
  <c r="EN138" i="49"/>
  <c r="EN132" i="49"/>
  <c r="EN179" i="49"/>
  <c r="EN217" i="49"/>
  <c r="EN211" i="49"/>
  <c r="EN205" i="49"/>
  <c r="EN159" i="49"/>
  <c r="EN153" i="49"/>
  <c r="EN147" i="49"/>
  <c r="EN141" i="49"/>
  <c r="EN195" i="49"/>
  <c r="EN189" i="49"/>
  <c r="EN216" i="49"/>
  <c r="EN210" i="49"/>
  <c r="EN204" i="49"/>
  <c r="EN158" i="49"/>
  <c r="EN152" i="49"/>
  <c r="EN146" i="49"/>
  <c r="EN140" i="49"/>
  <c r="EN194" i="49"/>
  <c r="EN188" i="49"/>
  <c r="EN215" i="49"/>
  <c r="EN209" i="49"/>
  <c r="EN203" i="49"/>
  <c r="EN157" i="49"/>
  <c r="EN151" i="49"/>
  <c r="EN145" i="49"/>
  <c r="EN139" i="49"/>
  <c r="EN193" i="49"/>
  <c r="EN187" i="49"/>
  <c r="EN135" i="49"/>
  <c r="EN182" i="49"/>
  <c r="EN130" i="49"/>
  <c r="EN131" i="49"/>
  <c r="EN178" i="49"/>
  <c r="EN128" i="49"/>
  <c r="EN122" i="49"/>
  <c r="EN176" i="49"/>
  <c r="EN101" i="49"/>
  <c r="EN95" i="49"/>
  <c r="EN89" i="49"/>
  <c r="EN83" i="49"/>
  <c r="EN77" i="49"/>
  <c r="EN183" i="49"/>
  <c r="EN127" i="49"/>
  <c r="EN121" i="49"/>
  <c r="EN175" i="49"/>
  <c r="EN100" i="49"/>
  <c r="EN94" i="49"/>
  <c r="EN88" i="49"/>
  <c r="EN82" i="49"/>
  <c r="EN76" i="49"/>
  <c r="EN137" i="49"/>
  <c r="EN181" i="49"/>
  <c r="EN126" i="49"/>
  <c r="EN120" i="49"/>
  <c r="EN174" i="49"/>
  <c r="EN99" i="49"/>
  <c r="EN93" i="49"/>
  <c r="EN87" i="49"/>
  <c r="EN81" i="49"/>
  <c r="EN75" i="49"/>
  <c r="EN171" i="49"/>
  <c r="EN136" i="49"/>
  <c r="EN180" i="49"/>
  <c r="EN124" i="49"/>
  <c r="EN96" i="49"/>
  <c r="EN73" i="49"/>
  <c r="EN72" i="49"/>
  <c r="EN185" i="49"/>
  <c r="EN172" i="49"/>
  <c r="EN84" i="49"/>
  <c r="EN70" i="49"/>
  <c r="EN97" i="49"/>
  <c r="EN78" i="49"/>
  <c r="EN69" i="49"/>
  <c r="EN125" i="49"/>
  <c r="EN91" i="49"/>
  <c r="EN68" i="49"/>
  <c r="EN67" i="49"/>
  <c r="EN119" i="49"/>
  <c r="EN184" i="49"/>
  <c r="EN173" i="49"/>
  <c r="EN79" i="49"/>
  <c r="EN65" i="49"/>
  <c r="EN129" i="49"/>
  <c r="EN92" i="49"/>
  <c r="EN63" i="49"/>
  <c r="EN123" i="49"/>
  <c r="EN60" i="49"/>
  <c r="EN57" i="49"/>
  <c r="EN90" i="49"/>
  <c r="EN71" i="49"/>
  <c r="EN54" i="49"/>
  <c r="EN118" i="49"/>
  <c r="EN134" i="49"/>
  <c r="EN86" i="49"/>
  <c r="EN61" i="49"/>
  <c r="EN58" i="49"/>
  <c r="EN55" i="49"/>
  <c r="EN133" i="49"/>
  <c r="EN177" i="49"/>
  <c r="EN80" i="49"/>
  <c r="EN98" i="49"/>
  <c r="EN74" i="49"/>
  <c r="EN85" i="49"/>
  <c r="EN66" i="49"/>
  <c r="EN59" i="49"/>
  <c r="EN56" i="49"/>
  <c r="EN64" i="49"/>
  <c r="EN53" i="49"/>
  <c r="EN62" i="49"/>
  <c r="EH10" i="49"/>
  <c r="EH14" i="49"/>
  <c r="EH18" i="49"/>
  <c r="EE22" i="49"/>
  <c r="EI57" i="49"/>
  <c r="EE173" i="49"/>
  <c r="EI22" i="49"/>
  <c r="EF29" i="49"/>
  <c r="EH81" i="49"/>
  <c r="DY218" i="49"/>
  <c r="DY214" i="49"/>
  <c r="DY210" i="49"/>
  <c r="DY206" i="49"/>
  <c r="DY202" i="49"/>
  <c r="DY150" i="49"/>
  <c r="DY198" i="49"/>
  <c r="DY143" i="49"/>
  <c r="DY148" i="49"/>
  <c r="DY196" i="49"/>
  <c r="DY219" i="49"/>
  <c r="DY215" i="49"/>
  <c r="DY211" i="49"/>
  <c r="DY207" i="49"/>
  <c r="DY203" i="49"/>
  <c r="DY159" i="49"/>
  <c r="DY156" i="49"/>
  <c r="DY153" i="49"/>
  <c r="DY141" i="49"/>
  <c r="DY146" i="49"/>
  <c r="DY194" i="49"/>
  <c r="DY151" i="49"/>
  <c r="DY139" i="49"/>
  <c r="DY220" i="49"/>
  <c r="DY216" i="49"/>
  <c r="DY212" i="49"/>
  <c r="DY208" i="49"/>
  <c r="DY204" i="49"/>
  <c r="DY200" i="49"/>
  <c r="DY144" i="49"/>
  <c r="DY192" i="49"/>
  <c r="DY157" i="49"/>
  <c r="DY154" i="49"/>
  <c r="DY149" i="49"/>
  <c r="DY197" i="49"/>
  <c r="DY142" i="49"/>
  <c r="DY190" i="49"/>
  <c r="DY152" i="49"/>
  <c r="DY217" i="49"/>
  <c r="DY201" i="49"/>
  <c r="DY195" i="49"/>
  <c r="DY189" i="49"/>
  <c r="DY138" i="49"/>
  <c r="DY135" i="49"/>
  <c r="DY132" i="49"/>
  <c r="DY183" i="49"/>
  <c r="DY180" i="49"/>
  <c r="DY131" i="49"/>
  <c r="DY128" i="49"/>
  <c r="DY125" i="49"/>
  <c r="DY123" i="49"/>
  <c r="DY120" i="49"/>
  <c r="DY177" i="49"/>
  <c r="DY174" i="49"/>
  <c r="DY213" i="49"/>
  <c r="DY187" i="49"/>
  <c r="DY209" i="49"/>
  <c r="DY172" i="49"/>
  <c r="DY185" i="49"/>
  <c r="DY137" i="49"/>
  <c r="DY134" i="49"/>
  <c r="DY184" i="49"/>
  <c r="DY181" i="49"/>
  <c r="DY178" i="49"/>
  <c r="DY130" i="49"/>
  <c r="DY127" i="49"/>
  <c r="DY124" i="49"/>
  <c r="DY121" i="49"/>
  <c r="DY118" i="49"/>
  <c r="DY175" i="49"/>
  <c r="DY205" i="49"/>
  <c r="DY158" i="49"/>
  <c r="DY193" i="49"/>
  <c r="DY155" i="49"/>
  <c r="DY145" i="49"/>
  <c r="DY136" i="49"/>
  <c r="DY133" i="49"/>
  <c r="DY182" i="49"/>
  <c r="DY179" i="49"/>
  <c r="DY129" i="49"/>
  <c r="DY126" i="49"/>
  <c r="DY122" i="49"/>
  <c r="DY119" i="49"/>
  <c r="DY176" i="49"/>
  <c r="DY173" i="49"/>
  <c r="DY147" i="49"/>
  <c r="DY140" i="49"/>
  <c r="DY191" i="49"/>
  <c r="DY186" i="49"/>
  <c r="DY188" i="49"/>
  <c r="DY93" i="49"/>
  <c r="DY90" i="49"/>
  <c r="DY84" i="49"/>
  <c r="DY63" i="49"/>
  <c r="DY97" i="49"/>
  <c r="DY68" i="49"/>
  <c r="DY56" i="49"/>
  <c r="DY86" i="49"/>
  <c r="DY73" i="49"/>
  <c r="DY61" i="49"/>
  <c r="DY101" i="49"/>
  <c r="DY81" i="49"/>
  <c r="DY78" i="49"/>
  <c r="DY75" i="49"/>
  <c r="DY66" i="49"/>
  <c r="DY54" i="49"/>
  <c r="DY98" i="49"/>
  <c r="DY94" i="49"/>
  <c r="DY91" i="49"/>
  <c r="DY88" i="49"/>
  <c r="DY71" i="49"/>
  <c r="DY59" i="49"/>
  <c r="DY83" i="49"/>
  <c r="DY64" i="49"/>
  <c r="DY171" i="49"/>
  <c r="DY69" i="49"/>
  <c r="DY57" i="49"/>
  <c r="DY99" i="49"/>
  <c r="DY95" i="49"/>
  <c r="DY85" i="49"/>
  <c r="DY80" i="49"/>
  <c r="DY77" i="49"/>
  <c r="DY74" i="49"/>
  <c r="DY62" i="49"/>
  <c r="DY92" i="49"/>
  <c r="DY89" i="49"/>
  <c r="DY67" i="49"/>
  <c r="DY100" i="49"/>
  <c r="DY96" i="49"/>
  <c r="DY82" i="49"/>
  <c r="DY65" i="49"/>
  <c r="DY53" i="49"/>
  <c r="DY79" i="49"/>
  <c r="DY87" i="49"/>
  <c r="DY55" i="49"/>
  <c r="DY70" i="49"/>
  <c r="DY72" i="49"/>
  <c r="DY76" i="49"/>
  <c r="DY60" i="49"/>
  <c r="EE26" i="49"/>
  <c r="EK33" i="49"/>
  <c r="EK127" i="49"/>
  <c r="EC148" i="49"/>
  <c r="EC196" i="49"/>
  <c r="EC219" i="49"/>
  <c r="EC215" i="49"/>
  <c r="EC211" i="49"/>
  <c r="EC207" i="49"/>
  <c r="EC203" i="49"/>
  <c r="EC159" i="49"/>
  <c r="EC156" i="49"/>
  <c r="EC153" i="49"/>
  <c r="EC141" i="49"/>
  <c r="EC146" i="49"/>
  <c r="EC194" i="49"/>
  <c r="EC151" i="49"/>
  <c r="EC220" i="49"/>
  <c r="EC216" i="49"/>
  <c r="EC212" i="49"/>
  <c r="EC208" i="49"/>
  <c r="EC204" i="49"/>
  <c r="EC200" i="49"/>
  <c r="EC144" i="49"/>
  <c r="EC192" i="49"/>
  <c r="EC157" i="49"/>
  <c r="EC154" i="49"/>
  <c r="EC149" i="49"/>
  <c r="EC197" i="49"/>
  <c r="EC142" i="49"/>
  <c r="EC217" i="49"/>
  <c r="EC213" i="49"/>
  <c r="EC209" i="49"/>
  <c r="EC205" i="49"/>
  <c r="EC201" i="49"/>
  <c r="EC147" i="49"/>
  <c r="EC195" i="49"/>
  <c r="EC152" i="49"/>
  <c r="EC140" i="49"/>
  <c r="EC218" i="49"/>
  <c r="EC214" i="49"/>
  <c r="EC210" i="49"/>
  <c r="EC206" i="49"/>
  <c r="EC189" i="49"/>
  <c r="EC138" i="49"/>
  <c r="EC135" i="49"/>
  <c r="EC132" i="49"/>
  <c r="EC183" i="49"/>
  <c r="EC180" i="49"/>
  <c r="EC131" i="49"/>
  <c r="EC128" i="49"/>
  <c r="EC125" i="49"/>
  <c r="EC123" i="49"/>
  <c r="EC120" i="49"/>
  <c r="EC177" i="49"/>
  <c r="EC198" i="49"/>
  <c r="EC187" i="49"/>
  <c r="EC172" i="49"/>
  <c r="EC185" i="49"/>
  <c r="EC137" i="49"/>
  <c r="EC134" i="49"/>
  <c r="EC184" i="49"/>
  <c r="EC181" i="49"/>
  <c r="EC178" i="49"/>
  <c r="EC130" i="49"/>
  <c r="EC127" i="49"/>
  <c r="EC124" i="49"/>
  <c r="EC121" i="49"/>
  <c r="EC118" i="49"/>
  <c r="EC175" i="49"/>
  <c r="EC158" i="49"/>
  <c r="EC193" i="49"/>
  <c r="EC190" i="49"/>
  <c r="EC143" i="49"/>
  <c r="EC139" i="49"/>
  <c r="EC188" i="49"/>
  <c r="EC155" i="49"/>
  <c r="EC145" i="49"/>
  <c r="EC136" i="49"/>
  <c r="EC133" i="49"/>
  <c r="EC182" i="49"/>
  <c r="EC179" i="49"/>
  <c r="EC191" i="49"/>
  <c r="EC171" i="49"/>
  <c r="EC173" i="49"/>
  <c r="EC86" i="49"/>
  <c r="EC81" i="49"/>
  <c r="EC78" i="49"/>
  <c r="EC75" i="49"/>
  <c r="EC119" i="49"/>
  <c r="EC101" i="49"/>
  <c r="EC98" i="49"/>
  <c r="EC94" i="49"/>
  <c r="EC91" i="49"/>
  <c r="EC88" i="49"/>
  <c r="EC186" i="49"/>
  <c r="EC83" i="49"/>
  <c r="EC202" i="49"/>
  <c r="EC129" i="49"/>
  <c r="EC126" i="49"/>
  <c r="EC176" i="49"/>
  <c r="EC174" i="49"/>
  <c r="EC99" i="49"/>
  <c r="EC95" i="49"/>
  <c r="EC85" i="49"/>
  <c r="EC80" i="49"/>
  <c r="EC77" i="49"/>
  <c r="EC74" i="49"/>
  <c r="EC92" i="49"/>
  <c r="EC89" i="49"/>
  <c r="EC87" i="49"/>
  <c r="EC51" i="49"/>
  <c r="EC47" i="49"/>
  <c r="EC43" i="49"/>
  <c r="EC38" i="49"/>
  <c r="EC100" i="49"/>
  <c r="EC96" i="49"/>
  <c r="EC82" i="49"/>
  <c r="EC150" i="49"/>
  <c r="EC93" i="49"/>
  <c r="EC90" i="49"/>
  <c r="EC84" i="49"/>
  <c r="EC48" i="49"/>
  <c r="EC44" i="49"/>
  <c r="EC41" i="49"/>
  <c r="EC39" i="49"/>
  <c r="EC79" i="49"/>
  <c r="EC36" i="49"/>
  <c r="EC34" i="49"/>
  <c r="EC32" i="49"/>
  <c r="EC30" i="49"/>
  <c r="EC26" i="49"/>
  <c r="EC22" i="49"/>
  <c r="EC122" i="49"/>
  <c r="EC40" i="49"/>
  <c r="EC37" i="49"/>
  <c r="EC27" i="49"/>
  <c r="EC23" i="49"/>
  <c r="EC20" i="49"/>
  <c r="EC18" i="49"/>
  <c r="EC16" i="49"/>
  <c r="EC14" i="49"/>
  <c r="EC12" i="49"/>
  <c r="EC10" i="49"/>
  <c r="EC97" i="49"/>
  <c r="EC49" i="49"/>
  <c r="EC46" i="49"/>
  <c r="EC45" i="49"/>
  <c r="EC76" i="49"/>
  <c r="EC29" i="49"/>
  <c r="EC25" i="49"/>
  <c r="EC21" i="49"/>
  <c r="EC19" i="49"/>
  <c r="EC17" i="49"/>
  <c r="EC15" i="49"/>
  <c r="EC13" i="49"/>
  <c r="EC11" i="49"/>
  <c r="EF11" i="49"/>
  <c r="EF15" i="49"/>
  <c r="EF19" i="49"/>
  <c r="EI26" i="49"/>
  <c r="EC50" i="49"/>
  <c r="DZ53" i="49"/>
  <c r="DZ24" i="49"/>
  <c r="DZ28" i="49"/>
  <c r="DZ51" i="49"/>
  <c r="DZ96" i="49"/>
  <c r="DZ47" i="49"/>
  <c r="DZ48" i="49"/>
  <c r="DZ49" i="49"/>
  <c r="DZ65" i="49"/>
  <c r="DZ100" i="49"/>
  <c r="DZ23" i="49"/>
  <c r="DZ27" i="49"/>
  <c r="DZ37" i="49"/>
  <c r="DZ90" i="49"/>
  <c r="DZ82" i="49"/>
  <c r="DZ136" i="49"/>
  <c r="DZ38" i="49"/>
  <c r="DZ39" i="49"/>
  <c r="DZ22" i="49"/>
  <c r="DZ26" i="49"/>
  <c r="DZ30" i="49"/>
  <c r="DZ143" i="49"/>
  <c r="DZ191" i="49"/>
  <c r="DZ148" i="49"/>
  <c r="DZ219" i="49"/>
  <c r="DZ215" i="49"/>
  <c r="DZ211" i="49"/>
  <c r="DZ207" i="49"/>
  <c r="DZ203" i="49"/>
  <c r="DZ159" i="49"/>
  <c r="DZ156" i="49"/>
  <c r="DZ153" i="49"/>
  <c r="DZ141" i="49"/>
  <c r="DZ146" i="49"/>
  <c r="DZ151" i="49"/>
  <c r="DZ139" i="49"/>
  <c r="DZ220" i="49"/>
  <c r="DZ216" i="49"/>
  <c r="DZ212" i="49"/>
  <c r="DZ208" i="49"/>
  <c r="DZ204" i="49"/>
  <c r="DZ200" i="49"/>
  <c r="DZ144" i="49"/>
  <c r="DZ192" i="49"/>
  <c r="DZ157" i="49"/>
  <c r="DZ154" i="49"/>
  <c r="DZ149" i="49"/>
  <c r="DZ197" i="49"/>
  <c r="DZ142" i="49"/>
  <c r="DZ217" i="49"/>
  <c r="DZ213" i="49"/>
  <c r="DZ209" i="49"/>
  <c r="DZ205" i="49"/>
  <c r="DZ201" i="49"/>
  <c r="DZ147" i="49"/>
  <c r="DZ195" i="49"/>
  <c r="DZ214" i="49"/>
  <c r="DZ189" i="49"/>
  <c r="DZ138" i="49"/>
  <c r="DZ135" i="49"/>
  <c r="DZ132" i="49"/>
  <c r="DZ183" i="49"/>
  <c r="DZ180" i="49"/>
  <c r="DZ131" i="49"/>
  <c r="DZ128" i="49"/>
  <c r="DZ125" i="49"/>
  <c r="DZ123" i="49"/>
  <c r="DZ120" i="49"/>
  <c r="DZ177" i="49"/>
  <c r="DZ174" i="49"/>
  <c r="DZ210" i="49"/>
  <c r="DZ198" i="49"/>
  <c r="DZ187" i="49"/>
  <c r="DZ206" i="49"/>
  <c r="DZ172" i="49"/>
  <c r="DZ185" i="49"/>
  <c r="DZ137" i="49"/>
  <c r="DZ134" i="49"/>
  <c r="DZ184" i="49"/>
  <c r="DZ181" i="49"/>
  <c r="DZ178" i="49"/>
  <c r="DZ130" i="49"/>
  <c r="DZ127" i="49"/>
  <c r="DZ124" i="49"/>
  <c r="DZ121" i="49"/>
  <c r="DZ118" i="49"/>
  <c r="DZ175" i="49"/>
  <c r="DZ158" i="49"/>
  <c r="DZ193" i="49"/>
  <c r="DZ196" i="49"/>
  <c r="DZ190" i="49"/>
  <c r="DZ101" i="49"/>
  <c r="DZ188" i="49"/>
  <c r="DZ218" i="49"/>
  <c r="DZ202" i="49"/>
  <c r="DZ150" i="49"/>
  <c r="DZ140" i="49"/>
  <c r="DZ186" i="49"/>
  <c r="DZ152" i="49"/>
  <c r="DZ194" i="49"/>
  <c r="DZ145" i="49"/>
  <c r="DZ179" i="49"/>
  <c r="DZ122" i="49"/>
  <c r="DZ97" i="49"/>
  <c r="DZ68" i="49"/>
  <c r="DZ56" i="49"/>
  <c r="DZ133" i="49"/>
  <c r="DZ173" i="49"/>
  <c r="DZ86" i="49"/>
  <c r="DZ73" i="49"/>
  <c r="DZ61" i="49"/>
  <c r="DZ81" i="49"/>
  <c r="DZ78" i="49"/>
  <c r="DZ75" i="49"/>
  <c r="DZ66" i="49"/>
  <c r="DZ119" i="49"/>
  <c r="DZ98" i="49"/>
  <c r="DZ94" i="49"/>
  <c r="DZ91" i="49"/>
  <c r="DZ88" i="49"/>
  <c r="DZ71" i="49"/>
  <c r="DZ59" i="49"/>
  <c r="DZ83" i="49"/>
  <c r="DZ64" i="49"/>
  <c r="DZ171" i="49"/>
  <c r="DZ69" i="49"/>
  <c r="DZ57" i="49"/>
  <c r="DZ50" i="49"/>
  <c r="DZ46" i="49"/>
  <c r="DZ129" i="49"/>
  <c r="DZ126" i="49"/>
  <c r="DZ176" i="49"/>
  <c r="DZ99" i="49"/>
  <c r="DZ95" i="49"/>
  <c r="DZ85" i="49"/>
  <c r="DZ80" i="49"/>
  <c r="DZ77" i="49"/>
  <c r="DZ74" i="49"/>
  <c r="DZ62" i="49"/>
  <c r="DZ182" i="49"/>
  <c r="DZ92" i="49"/>
  <c r="DZ89" i="49"/>
  <c r="DZ67" i="49"/>
  <c r="DZ55" i="49"/>
  <c r="DZ155" i="49"/>
  <c r="DZ87" i="49"/>
  <c r="DZ72" i="49"/>
  <c r="DZ60" i="49"/>
  <c r="DZ79" i="49"/>
  <c r="DZ76" i="49"/>
  <c r="DZ70" i="49"/>
  <c r="DZ58" i="49"/>
  <c r="DZ63" i="49"/>
  <c r="DZ54" i="49"/>
  <c r="EL217" i="49"/>
  <c r="EL205" i="49"/>
  <c r="EL156" i="49"/>
  <c r="EL138" i="49"/>
  <c r="EL132" i="49"/>
  <c r="EL131" i="49"/>
  <c r="EL129" i="49"/>
  <c r="EL127" i="49"/>
  <c r="EL125" i="49"/>
  <c r="EL121" i="49"/>
  <c r="EL175" i="49"/>
  <c r="EL101" i="49"/>
  <c r="EL84" i="49"/>
  <c r="EL218" i="49"/>
  <c r="EL206" i="49"/>
  <c r="EL151" i="49"/>
  <c r="EL147" i="49"/>
  <c r="EL143" i="49"/>
  <c r="EL139" i="49"/>
  <c r="EL195" i="49"/>
  <c r="EL191" i="49"/>
  <c r="EL187" i="49"/>
  <c r="EL92" i="49"/>
  <c r="EL70" i="49"/>
  <c r="EL66" i="49"/>
  <c r="EL62" i="49"/>
  <c r="EL58" i="49"/>
  <c r="EL54" i="49"/>
  <c r="EL219" i="49"/>
  <c r="EL207" i="49"/>
  <c r="EL157" i="49"/>
  <c r="EL137" i="49"/>
  <c r="EL184" i="49"/>
  <c r="EL182" i="49"/>
  <c r="EL180" i="49"/>
  <c r="EL178" i="49"/>
  <c r="EL122" i="49"/>
  <c r="EL176" i="49"/>
  <c r="EL82" i="49"/>
  <c r="EL220" i="49"/>
  <c r="EL208" i="49"/>
  <c r="EL171" i="49"/>
  <c r="EL93" i="49"/>
  <c r="EL87" i="49"/>
  <c r="EL41" i="49"/>
  <c r="EL35" i="49"/>
  <c r="EL32" i="49"/>
  <c r="EL20" i="49"/>
  <c r="EL17" i="49"/>
  <c r="EL14" i="49"/>
  <c r="EL11" i="49"/>
  <c r="EL209" i="49"/>
  <c r="EL158" i="49"/>
  <c r="EL152" i="49"/>
  <c r="EL148" i="49"/>
  <c r="EL144" i="49"/>
  <c r="EL140" i="49"/>
  <c r="EL196" i="49"/>
  <c r="EL192" i="49"/>
  <c r="EL188" i="49"/>
  <c r="EL136" i="49"/>
  <c r="EL123" i="49"/>
  <c r="EL177" i="49"/>
  <c r="EL80" i="49"/>
  <c r="EL78" i="49"/>
  <c r="EL76" i="49"/>
  <c r="EL74" i="49"/>
  <c r="EL71" i="49"/>
  <c r="EL67" i="49"/>
  <c r="EL63" i="49"/>
  <c r="EL59" i="49"/>
  <c r="EL55" i="49"/>
  <c r="EL210" i="49"/>
  <c r="EL94" i="49"/>
  <c r="EL88" i="49"/>
  <c r="EL85" i="49"/>
  <c r="EL211" i="49"/>
  <c r="EL159" i="49"/>
  <c r="EL153" i="49"/>
  <c r="EL135" i="49"/>
  <c r="EL130" i="49"/>
  <c r="EL128" i="49"/>
  <c r="EL126" i="49"/>
  <c r="EL124" i="49"/>
  <c r="EL118" i="49"/>
  <c r="EL172" i="49"/>
  <c r="EL95" i="49"/>
  <c r="EL212" i="49"/>
  <c r="EL200" i="49"/>
  <c r="EL149" i="49"/>
  <c r="EL145" i="49"/>
  <c r="EL141" i="49"/>
  <c r="EL197" i="49"/>
  <c r="EL193" i="49"/>
  <c r="EL189" i="49"/>
  <c r="EL185" i="49"/>
  <c r="EL96" i="49"/>
  <c r="EL89" i="49"/>
  <c r="EL83" i="49"/>
  <c r="EL72" i="49"/>
  <c r="EL68" i="49"/>
  <c r="EL64" i="49"/>
  <c r="EL60" i="49"/>
  <c r="EL56" i="49"/>
  <c r="EL42" i="49"/>
  <c r="EL36" i="49"/>
  <c r="EL33" i="49"/>
  <c r="EL21" i="49"/>
  <c r="EL18" i="49"/>
  <c r="EL15" i="49"/>
  <c r="EL12" i="49"/>
  <c r="EL213" i="49"/>
  <c r="EL201" i="49"/>
  <c r="EL154" i="49"/>
  <c r="EL134" i="49"/>
  <c r="EL183" i="49"/>
  <c r="EL181" i="49"/>
  <c r="EL179" i="49"/>
  <c r="EL119" i="49"/>
  <c r="EL173" i="49"/>
  <c r="EL97" i="49"/>
  <c r="EL51" i="49"/>
  <c r="EL50" i="49"/>
  <c r="EL49" i="49"/>
  <c r="EL48" i="49"/>
  <c r="EL47" i="49"/>
  <c r="EL46" i="49"/>
  <c r="EL45" i="49"/>
  <c r="EL44" i="49"/>
  <c r="EL43" i="49"/>
  <c r="EL39" i="49"/>
  <c r="EL38" i="49"/>
  <c r="EL37" i="49"/>
  <c r="EL30" i="49"/>
  <c r="EL29" i="49"/>
  <c r="EL28" i="49"/>
  <c r="EL27" i="49"/>
  <c r="EL26" i="49"/>
  <c r="EL25" i="49"/>
  <c r="EL24" i="49"/>
  <c r="EL23" i="49"/>
  <c r="EL22" i="49"/>
  <c r="EL214" i="49"/>
  <c r="EL202" i="49"/>
  <c r="EL98" i="49"/>
  <c r="EL90" i="49"/>
  <c r="EL81" i="49"/>
  <c r="EL215" i="49"/>
  <c r="EL203" i="49"/>
  <c r="EL155" i="49"/>
  <c r="EL150" i="49"/>
  <c r="EL146" i="49"/>
  <c r="EL142" i="49"/>
  <c r="EL198" i="49"/>
  <c r="EL194" i="49"/>
  <c r="EL190" i="49"/>
  <c r="EL186" i="49"/>
  <c r="EL133" i="49"/>
  <c r="EL120" i="49"/>
  <c r="EL174" i="49"/>
  <c r="EL99" i="49"/>
  <c r="EL86" i="49"/>
  <c r="EL79" i="49"/>
  <c r="EL77" i="49"/>
  <c r="EL75" i="49"/>
  <c r="EL73" i="49"/>
  <c r="EL69" i="49"/>
  <c r="EL65" i="49"/>
  <c r="EL61" i="49"/>
  <c r="EL57" i="49"/>
  <c r="EL53" i="49"/>
  <c r="EL216" i="49"/>
  <c r="EL204" i="49"/>
  <c r="EL100" i="49"/>
  <c r="EL91" i="49"/>
  <c r="EL40" i="49"/>
  <c r="EL34" i="49"/>
  <c r="EL31" i="49"/>
  <c r="EL19" i="49"/>
  <c r="EL16" i="49"/>
  <c r="EL13" i="49"/>
  <c r="EL10" i="49"/>
  <c r="DN103" i="40"/>
  <c r="DM103" i="40"/>
  <c r="DI103" i="40"/>
  <c r="CY103" i="40"/>
  <c r="CC7" i="40"/>
  <c r="CC6" i="40"/>
  <c r="CB7" i="40"/>
  <c r="BX7" i="40"/>
  <c r="CB6" i="40"/>
  <c r="BX6" i="40"/>
  <c r="BN7" i="40"/>
  <c r="BN6" i="40"/>
  <c r="BN5" i="40"/>
  <c r="FT5" i="40" s="1"/>
  <c r="DH103" i="40"/>
  <c r="DG103" i="40"/>
  <c r="DF103" i="40"/>
  <c r="DE103" i="40"/>
  <c r="DD103" i="40"/>
  <c r="DB103" i="40"/>
  <c r="DA103" i="40"/>
  <c r="CZ103" i="40"/>
  <c r="CX103" i="40"/>
  <c r="CW103" i="40"/>
  <c r="CV103" i="40"/>
  <c r="CU103" i="40"/>
  <c r="CT103" i="40"/>
  <c r="CS103" i="40"/>
  <c r="CR103" i="40"/>
  <c r="CQ103" i="40"/>
  <c r="CN103" i="40"/>
  <c r="CM103" i="40"/>
  <c r="CL103" i="40"/>
  <c r="CK103" i="40"/>
  <c r="CJ103" i="40"/>
  <c r="CI103" i="40"/>
  <c r="CH103" i="40"/>
  <c r="CG103" i="40"/>
  <c r="BW7" i="40"/>
  <c r="BV7" i="40"/>
  <c r="BW6" i="40"/>
  <c r="BV6" i="40"/>
  <c r="BM7" i="40"/>
  <c r="BM6" i="40"/>
  <c r="BI7" i="40"/>
  <c r="BI6" i="40"/>
  <c r="BC7" i="40"/>
  <c r="BC6" i="40"/>
  <c r="GD80" i="49" l="1"/>
  <c r="FS22" i="49"/>
  <c r="FS40" i="49"/>
  <c r="FS66" i="49"/>
  <c r="FS135" i="49"/>
  <c r="FS180" i="49"/>
  <c r="FS184" i="49"/>
  <c r="GD71" i="49"/>
  <c r="FO22" i="49"/>
  <c r="FO173" i="49"/>
  <c r="FS72" i="49"/>
  <c r="FS81" i="49"/>
  <c r="FS173" i="49"/>
  <c r="FS181" i="49"/>
  <c r="GD78" i="49"/>
  <c r="FO62" i="49"/>
  <c r="FV16" i="49"/>
  <c r="FS20" i="49"/>
  <c r="FS55" i="49"/>
  <c r="FS75" i="49"/>
  <c r="FS93" i="49"/>
  <c r="FS177" i="49"/>
  <c r="FS183" i="49"/>
  <c r="GD55" i="49"/>
  <c r="FO65" i="49"/>
  <c r="FS29" i="49"/>
  <c r="FS58" i="49"/>
  <c r="FS138" i="49"/>
  <c r="FS113" i="49"/>
  <c r="FS155" i="49"/>
  <c r="FS214" i="49"/>
  <c r="GD42" i="49"/>
  <c r="FO31" i="49"/>
  <c r="GD169" i="49"/>
  <c r="GD58" i="49"/>
  <c r="GD196" i="49"/>
  <c r="FO21" i="49"/>
  <c r="FO14" i="49"/>
  <c r="FO56" i="49"/>
  <c r="FO139" i="49"/>
  <c r="GD39" i="49"/>
  <c r="GD211" i="49"/>
  <c r="FO20" i="49"/>
  <c r="FO59" i="49"/>
  <c r="FO142" i="49"/>
  <c r="FO64" i="49"/>
  <c r="FO164" i="49"/>
  <c r="FO72" i="49"/>
  <c r="FO183" i="49"/>
  <c r="FV42" i="49"/>
  <c r="FO12" i="49"/>
  <c r="FO26" i="49"/>
  <c r="FO191" i="49"/>
  <c r="GD106" i="49"/>
  <c r="FO15" i="49"/>
  <c r="FO32" i="49"/>
  <c r="FO216" i="49"/>
  <c r="FV54" i="49"/>
  <c r="GD209" i="49"/>
  <c r="FO11" i="49"/>
  <c r="FO36" i="49"/>
  <c r="FO136" i="49"/>
  <c r="FV63" i="49"/>
  <c r="FO42" i="49"/>
  <c r="FO100" i="49"/>
  <c r="FO63" i="49"/>
  <c r="FO149" i="49"/>
  <c r="FR40" i="49"/>
  <c r="FR45" i="49"/>
  <c r="FR137" i="49"/>
  <c r="FR206" i="49"/>
  <c r="GE44" i="49"/>
  <c r="FO147" i="49"/>
  <c r="FV57" i="49"/>
  <c r="FR21" i="49"/>
  <c r="FO67" i="49"/>
  <c r="FO119" i="49"/>
  <c r="FO202" i="49"/>
  <c r="FO24" i="49"/>
  <c r="FO123" i="49"/>
  <c r="FO188" i="49"/>
  <c r="FR37" i="49"/>
  <c r="FR122" i="49"/>
  <c r="FR189" i="49"/>
  <c r="FR43" i="49"/>
  <c r="FR85" i="49"/>
  <c r="FR220" i="49"/>
  <c r="FR48" i="49"/>
  <c r="FR126" i="49"/>
  <c r="FR121" i="49"/>
  <c r="FR176" i="49"/>
  <c r="FR133" i="49"/>
  <c r="FR148" i="49"/>
  <c r="FR114" i="49"/>
  <c r="FR157" i="49"/>
  <c r="FR124" i="49"/>
  <c r="FR162" i="49"/>
  <c r="FR89" i="49"/>
  <c r="FR203" i="49"/>
  <c r="FW114" i="49"/>
  <c r="FR47" i="49"/>
  <c r="FR97" i="49"/>
  <c r="FR207" i="49"/>
  <c r="FR77" i="49"/>
  <c r="FR101" i="49"/>
  <c r="FR211" i="49"/>
  <c r="FV19" i="49"/>
  <c r="FV59" i="49"/>
  <c r="FV202" i="49"/>
  <c r="FO29" i="49"/>
  <c r="FV21" i="49"/>
  <c r="FR80" i="49"/>
  <c r="FR113" i="49"/>
  <c r="FR151" i="49"/>
  <c r="FR210" i="49"/>
  <c r="FX13" i="49"/>
  <c r="FX47" i="49"/>
  <c r="FX122" i="49"/>
  <c r="FX158" i="49"/>
  <c r="FX187" i="49"/>
  <c r="FU10" i="49"/>
  <c r="FU69" i="49"/>
  <c r="FU62" i="49"/>
  <c r="FU58" i="49"/>
  <c r="FU51" i="49"/>
  <c r="FU126" i="49"/>
  <c r="FU133" i="49"/>
  <c r="FU130" i="49"/>
  <c r="FU113" i="49"/>
  <c r="FU174" i="49"/>
  <c r="FU168" i="49"/>
  <c r="FU197" i="49"/>
  <c r="FU184" i="49"/>
  <c r="FU214" i="49"/>
  <c r="FS13" i="49"/>
  <c r="FS14" i="49"/>
  <c r="FS23" i="49"/>
  <c r="FS74" i="49"/>
  <c r="FS80" i="49"/>
  <c r="FS115" i="49"/>
  <c r="FS101" i="49"/>
  <c r="FS174" i="49"/>
  <c r="FS201" i="49"/>
  <c r="FS218" i="49"/>
  <c r="FR41" i="49"/>
  <c r="FR115" i="49"/>
  <c r="FR88" i="49"/>
  <c r="FR158" i="49"/>
  <c r="FR218" i="49"/>
  <c r="GA27" i="49"/>
  <c r="FX19" i="49"/>
  <c r="FX59" i="49"/>
  <c r="FX144" i="49"/>
  <c r="FX167" i="49"/>
  <c r="FX212" i="49"/>
  <c r="GD26" i="49"/>
  <c r="GD153" i="49"/>
  <c r="GE191" i="49"/>
  <c r="GA157" i="49"/>
  <c r="FU13" i="49"/>
  <c r="FU23" i="49"/>
  <c r="FU65" i="49"/>
  <c r="FU64" i="49"/>
  <c r="FU88" i="49"/>
  <c r="FU129" i="49"/>
  <c r="FU140" i="49"/>
  <c r="FU134" i="49"/>
  <c r="FU119" i="49"/>
  <c r="FU178" i="49"/>
  <c r="FU148" i="49"/>
  <c r="FU201" i="49"/>
  <c r="FU186" i="49"/>
  <c r="FS16" i="49"/>
  <c r="FS12" i="49"/>
  <c r="FS17" i="49"/>
  <c r="FS26" i="49"/>
  <c r="FS25" i="49"/>
  <c r="FS54" i="49"/>
  <c r="FS116" i="49"/>
  <c r="FS110" i="49"/>
  <c r="FS178" i="49"/>
  <c r="FS205" i="49"/>
  <c r="FS217" i="49"/>
  <c r="FR44" i="49"/>
  <c r="FR116" i="49"/>
  <c r="FR118" i="49"/>
  <c r="FR163" i="49"/>
  <c r="FR217" i="49"/>
  <c r="GA54" i="49"/>
  <c r="FX12" i="49"/>
  <c r="FX65" i="49"/>
  <c r="FX87" i="49"/>
  <c r="FX150" i="49"/>
  <c r="FX215" i="49"/>
  <c r="GD29" i="49"/>
  <c r="GD157" i="49"/>
  <c r="FJ126" i="49"/>
  <c r="GA57" i="49"/>
  <c r="FJ185" i="49"/>
  <c r="FR46" i="49"/>
  <c r="FR93" i="49"/>
  <c r="FR156" i="49"/>
  <c r="FR186" i="49"/>
  <c r="GA173" i="49"/>
  <c r="FX57" i="49"/>
  <c r="FX123" i="49"/>
  <c r="FX111" i="49"/>
  <c r="FX210" i="49"/>
  <c r="GA177" i="49"/>
  <c r="FS10" i="49"/>
  <c r="FS79" i="49"/>
  <c r="FS33" i="49"/>
  <c r="FS112" i="49"/>
  <c r="FS97" i="49"/>
  <c r="FS153" i="49"/>
  <c r="FS182" i="49"/>
  <c r="FR10" i="49"/>
  <c r="FR112" i="49"/>
  <c r="FR119" i="49"/>
  <c r="FR179" i="49"/>
  <c r="FR214" i="49"/>
  <c r="FX16" i="49"/>
  <c r="FX50" i="49"/>
  <c r="FX137" i="49"/>
  <c r="FX163" i="49"/>
  <c r="FX204" i="49"/>
  <c r="GD60" i="49"/>
  <c r="GD171" i="49"/>
  <c r="FR140" i="49"/>
  <c r="FR161" i="49"/>
  <c r="GE109" i="49"/>
  <c r="GA68" i="49"/>
  <c r="FX21" i="49"/>
  <c r="FX71" i="49"/>
  <c r="FX99" i="49"/>
  <c r="FX174" i="49"/>
  <c r="FX192" i="49"/>
  <c r="FS211" i="49"/>
  <c r="FS175" i="49"/>
  <c r="FS169" i="49"/>
  <c r="FS96" i="49"/>
  <c r="FS89" i="49"/>
  <c r="FS84" i="49"/>
  <c r="FS69" i="49"/>
  <c r="FS27" i="49"/>
  <c r="FS37" i="49"/>
  <c r="FS41" i="49"/>
  <c r="FS21" i="49"/>
  <c r="FS47" i="49"/>
  <c r="FS46" i="49"/>
  <c r="FS39" i="49"/>
  <c r="FS91" i="49"/>
  <c r="FS114" i="49"/>
  <c r="FS131" i="49"/>
  <c r="FS162" i="49"/>
  <c r="FS158" i="49"/>
  <c r="FS203" i="49"/>
  <c r="FJ76" i="49"/>
  <c r="FJ174" i="49"/>
  <c r="FR12" i="49"/>
  <c r="FR17" i="49"/>
  <c r="FR22" i="49"/>
  <c r="FR39" i="49"/>
  <c r="FR103" i="49"/>
  <c r="FR131" i="49"/>
  <c r="FR169" i="49"/>
  <c r="FR193" i="49"/>
  <c r="GE172" i="49"/>
  <c r="GA43" i="49"/>
  <c r="GA97" i="49"/>
  <c r="GA172" i="49"/>
  <c r="GA180" i="49"/>
  <c r="FX70" i="49"/>
  <c r="FX29" i="49"/>
  <c r="FX43" i="49"/>
  <c r="FX88" i="49"/>
  <c r="FX115" i="49"/>
  <c r="FX139" i="49"/>
  <c r="FX183" i="49"/>
  <c r="FX201" i="49"/>
  <c r="FX217" i="49"/>
  <c r="GD37" i="49"/>
  <c r="GD140" i="49"/>
  <c r="FV60" i="49"/>
  <c r="FJ110" i="49"/>
  <c r="FJ189" i="49"/>
  <c r="GE130" i="49"/>
  <c r="GA65" i="49"/>
  <c r="GA94" i="49"/>
  <c r="GA210" i="49"/>
  <c r="FX18" i="49"/>
  <c r="FX60" i="49"/>
  <c r="FX68" i="49"/>
  <c r="FX125" i="49"/>
  <c r="FX91" i="49"/>
  <c r="FX134" i="49"/>
  <c r="FX166" i="49"/>
  <c r="FX214" i="49"/>
  <c r="FX189" i="49"/>
  <c r="FR194" i="49"/>
  <c r="FR196" i="49"/>
  <c r="FR173" i="49"/>
  <c r="FR92" i="49"/>
  <c r="FR127" i="49"/>
  <c r="FR75" i="49"/>
  <c r="FR79" i="49"/>
  <c r="FJ113" i="49"/>
  <c r="FR13" i="49"/>
  <c r="FR125" i="49"/>
  <c r="FR166" i="49"/>
  <c r="GA37" i="49"/>
  <c r="GA98" i="49"/>
  <c r="FX66" i="49"/>
  <c r="FX128" i="49"/>
  <c r="FX86" i="49"/>
  <c r="FX197" i="49"/>
  <c r="GD208" i="49"/>
  <c r="GD197" i="49"/>
  <c r="GD85" i="49"/>
  <c r="GD23" i="49"/>
  <c r="GD68" i="49"/>
  <c r="FS11" i="49"/>
  <c r="FS56" i="49"/>
  <c r="FS49" i="49"/>
  <c r="FS42" i="49"/>
  <c r="FS95" i="49"/>
  <c r="FS120" i="49"/>
  <c r="FS136" i="49"/>
  <c r="FS166" i="49"/>
  <c r="FS163" i="49"/>
  <c r="FS207" i="49"/>
  <c r="FJ96" i="49"/>
  <c r="FJ178" i="49"/>
  <c r="FR18" i="49"/>
  <c r="FR20" i="49"/>
  <c r="FR38" i="49"/>
  <c r="FR42" i="49"/>
  <c r="FR111" i="49"/>
  <c r="FR136" i="49"/>
  <c r="FR152" i="49"/>
  <c r="FR215" i="49"/>
  <c r="FR219" i="49"/>
  <c r="GE162" i="49"/>
  <c r="GA73" i="49"/>
  <c r="GA101" i="49"/>
  <c r="GA176" i="49"/>
  <c r="GA218" i="49"/>
  <c r="FX73" i="49"/>
  <c r="FX35" i="49"/>
  <c r="FX46" i="49"/>
  <c r="FX106" i="49"/>
  <c r="FX116" i="49"/>
  <c r="FX145" i="49"/>
  <c r="FX149" i="49"/>
  <c r="FX205" i="49"/>
  <c r="GD40" i="49"/>
  <c r="GD139" i="49"/>
  <c r="GD158" i="49"/>
  <c r="FV188" i="49"/>
  <c r="FJ121" i="49"/>
  <c r="GE58" i="49"/>
  <c r="FJ100" i="49"/>
  <c r="FJ164" i="49"/>
  <c r="GE10" i="49"/>
  <c r="GE192" i="49"/>
  <c r="GA24" i="49"/>
  <c r="GA119" i="49"/>
  <c r="GA153" i="49"/>
  <c r="GA217" i="49"/>
  <c r="FX198" i="49"/>
  <c r="FX208" i="49"/>
  <c r="FX168" i="49"/>
  <c r="FX147" i="49"/>
  <c r="FX130" i="49"/>
  <c r="FX95" i="49"/>
  <c r="FX131" i="49"/>
  <c r="FX28" i="49"/>
  <c r="FX32" i="49"/>
  <c r="FX24" i="49"/>
  <c r="FJ133" i="49"/>
  <c r="FJ193" i="49"/>
  <c r="GE42" i="49"/>
  <c r="GA35" i="49"/>
  <c r="GA95" i="49"/>
  <c r="GA184" i="49"/>
  <c r="FJ114" i="49"/>
  <c r="FJ196" i="49"/>
  <c r="GE77" i="49"/>
  <c r="GA38" i="49"/>
  <c r="GA99" i="49"/>
  <c r="FX22" i="49"/>
  <c r="FX54" i="49"/>
  <c r="FX62" i="49"/>
  <c r="FX119" i="49"/>
  <c r="FX85" i="49"/>
  <c r="FX103" i="49"/>
  <c r="FX175" i="49"/>
  <c r="FX202" i="49"/>
  <c r="FX184" i="49"/>
  <c r="GA216" i="49"/>
  <c r="GA162" i="49"/>
  <c r="GA118" i="49"/>
  <c r="GA60" i="49"/>
  <c r="GE119" i="49"/>
  <c r="GE76" i="49"/>
  <c r="GE220" i="49"/>
  <c r="FJ219" i="49"/>
  <c r="FJ158" i="49"/>
  <c r="FJ55" i="49"/>
  <c r="GJ184" i="49"/>
  <c r="FJ120" i="49"/>
  <c r="FJ186" i="49"/>
  <c r="GE143" i="49"/>
  <c r="GA41" i="49"/>
  <c r="GA90" i="49"/>
  <c r="GA206" i="49"/>
  <c r="FJ69" i="49"/>
  <c r="FR76" i="49"/>
  <c r="FR185" i="49"/>
  <c r="GA209" i="49"/>
  <c r="FS18" i="49"/>
  <c r="FS44" i="49"/>
  <c r="FS43" i="49"/>
  <c r="FS36" i="49"/>
  <c r="FS87" i="49"/>
  <c r="FS111" i="49"/>
  <c r="FS128" i="49"/>
  <c r="FS157" i="49"/>
  <c r="FS172" i="49"/>
  <c r="FS215" i="49"/>
  <c r="FJ72" i="49"/>
  <c r="FJ154" i="49"/>
  <c r="FR11" i="49"/>
  <c r="FR19" i="49"/>
  <c r="FR78" i="49"/>
  <c r="FR98" i="49"/>
  <c r="FR128" i="49"/>
  <c r="FR165" i="49"/>
  <c r="FR187" i="49"/>
  <c r="FR191" i="49"/>
  <c r="GE156" i="49"/>
  <c r="GA40" i="49"/>
  <c r="GA71" i="49"/>
  <c r="GA151" i="49"/>
  <c r="GA213" i="49"/>
  <c r="FX67" i="49"/>
  <c r="FX69" i="49"/>
  <c r="FX25" i="49"/>
  <c r="FX83" i="49"/>
  <c r="FX104" i="49"/>
  <c r="FX135" i="49"/>
  <c r="FX178" i="49"/>
  <c r="FX180" i="49"/>
  <c r="FX211" i="49"/>
  <c r="GD76" i="49"/>
  <c r="GD50" i="49"/>
  <c r="GD177" i="49"/>
  <c r="FV12" i="49"/>
  <c r="FV134" i="49"/>
  <c r="FU210" i="49"/>
  <c r="FU215" i="49"/>
  <c r="FU205" i="49"/>
  <c r="FU172" i="49"/>
  <c r="FU156" i="49"/>
  <c r="FU136" i="49"/>
  <c r="FU147" i="49"/>
  <c r="FU103" i="49"/>
  <c r="FU112" i="49"/>
  <c r="FU122" i="49"/>
  <c r="FU39" i="49"/>
  <c r="FU49" i="49"/>
  <c r="FU59" i="49"/>
  <c r="FU72" i="49"/>
  <c r="FJ58" i="49"/>
  <c r="FJ87" i="49"/>
  <c r="FJ119" i="49"/>
  <c r="FJ176" i="49"/>
  <c r="FJ200" i="49"/>
  <c r="GE14" i="49"/>
  <c r="GE50" i="49"/>
  <c r="GE64" i="49"/>
  <c r="GE91" i="49"/>
  <c r="GE125" i="49"/>
  <c r="GE122" i="49"/>
  <c r="GE154" i="49"/>
  <c r="GE197" i="49"/>
  <c r="FJ61" i="49"/>
  <c r="FJ140" i="49"/>
  <c r="FJ123" i="49"/>
  <c r="FJ161" i="49"/>
  <c r="FJ194" i="49"/>
  <c r="GE17" i="49"/>
  <c r="GE19" i="49"/>
  <c r="GE31" i="49"/>
  <c r="GE51" i="49"/>
  <c r="GE90" i="49"/>
  <c r="GE142" i="49"/>
  <c r="GE141" i="49"/>
  <c r="GE158" i="49"/>
  <c r="GE203" i="49"/>
  <c r="GA46" i="49"/>
  <c r="GA63" i="49"/>
  <c r="GA76" i="49"/>
  <c r="GA122" i="49"/>
  <c r="GA121" i="49"/>
  <c r="GA154" i="49"/>
  <c r="GA186" i="49"/>
  <c r="GA214" i="49"/>
  <c r="GA220" i="49"/>
  <c r="FW11" i="49"/>
  <c r="FJ56" i="49"/>
  <c r="FJ118" i="49"/>
  <c r="FJ146" i="49"/>
  <c r="FJ142" i="49"/>
  <c r="FJ169" i="49"/>
  <c r="FJ201" i="49"/>
  <c r="FJ217" i="49"/>
  <c r="GE21" i="49"/>
  <c r="GE53" i="49"/>
  <c r="GE73" i="49"/>
  <c r="GE54" i="49"/>
  <c r="GE98" i="49"/>
  <c r="GE83" i="49"/>
  <c r="GE177" i="49"/>
  <c r="GE196" i="49"/>
  <c r="GE209" i="49"/>
  <c r="GA78" i="49"/>
  <c r="GA69" i="49"/>
  <c r="GA86" i="49"/>
  <c r="GA144" i="49"/>
  <c r="GA138" i="49"/>
  <c r="GA163" i="49"/>
  <c r="GA192" i="49"/>
  <c r="GA185" i="49"/>
  <c r="GA219" i="49"/>
  <c r="FW48" i="49"/>
  <c r="FS77" i="49"/>
  <c r="FS31" i="49"/>
  <c r="FS67" i="49"/>
  <c r="FS48" i="49"/>
  <c r="FS129" i="49"/>
  <c r="FS82" i="49"/>
  <c r="FS130" i="49"/>
  <c r="FS123" i="49"/>
  <c r="FS109" i="49"/>
  <c r="FS161" i="49"/>
  <c r="FS179" i="49"/>
  <c r="FS200" i="49"/>
  <c r="FS206" i="49"/>
  <c r="FJ60" i="49"/>
  <c r="FJ68" i="49"/>
  <c r="FJ81" i="49"/>
  <c r="FJ141" i="49"/>
  <c r="FJ112" i="49"/>
  <c r="FJ98" i="49"/>
  <c r="FJ93" i="49"/>
  <c r="FJ128" i="49"/>
  <c r="FJ162" i="49"/>
  <c r="FJ177" i="49"/>
  <c r="FJ206" i="49"/>
  <c r="FJ182" i="49"/>
  <c r="FJ211" i="49"/>
  <c r="FJ218" i="49"/>
  <c r="FR29" i="49"/>
  <c r="FR28" i="49"/>
  <c r="FR30" i="49"/>
  <c r="FR95" i="49"/>
  <c r="FR84" i="49"/>
  <c r="FR86" i="49"/>
  <c r="FR142" i="49"/>
  <c r="FR105" i="49"/>
  <c r="FR138" i="49"/>
  <c r="FR159" i="49"/>
  <c r="FR182" i="49"/>
  <c r="FR208" i="49"/>
  <c r="FR198" i="49"/>
  <c r="FR201" i="49"/>
  <c r="GK183" i="49"/>
  <c r="GE35" i="49"/>
  <c r="GE65" i="49"/>
  <c r="GE49" i="49"/>
  <c r="GE33" i="49"/>
  <c r="GE66" i="49"/>
  <c r="GE121" i="49"/>
  <c r="GE120" i="49"/>
  <c r="GE101" i="49"/>
  <c r="GE100" i="49"/>
  <c r="GE174" i="49"/>
  <c r="GE168" i="49"/>
  <c r="GE171" i="49"/>
  <c r="GE212" i="49"/>
  <c r="GE214" i="49"/>
  <c r="GE218" i="49"/>
  <c r="GA28" i="49"/>
  <c r="GA64" i="49"/>
  <c r="GA48" i="49"/>
  <c r="GA26" i="49"/>
  <c r="GA56" i="49"/>
  <c r="GA81" i="49"/>
  <c r="GA136" i="49"/>
  <c r="GA126" i="49"/>
  <c r="GA146" i="49"/>
  <c r="GA164" i="49"/>
  <c r="GA147" i="49"/>
  <c r="GA161" i="49"/>
  <c r="GA207" i="49"/>
  <c r="GA197" i="49"/>
  <c r="GA204" i="49"/>
  <c r="FX20" i="49"/>
  <c r="FX61" i="49"/>
  <c r="FX45" i="49"/>
  <c r="FX23" i="49"/>
  <c r="FX53" i="49"/>
  <c r="FX37" i="49"/>
  <c r="FX110" i="49"/>
  <c r="FX100" i="49"/>
  <c r="FX132" i="49"/>
  <c r="FX133" i="49"/>
  <c r="FX124" i="49"/>
  <c r="FX176" i="49"/>
  <c r="FX157" i="49"/>
  <c r="FX173" i="49"/>
  <c r="FX191" i="49"/>
  <c r="FX196" i="49"/>
  <c r="FX203" i="49"/>
  <c r="GD12" i="49"/>
  <c r="GD20" i="49"/>
  <c r="GD22" i="49"/>
  <c r="GD24" i="49"/>
  <c r="GD103" i="49"/>
  <c r="GD112" i="49"/>
  <c r="GD203" i="49"/>
  <c r="FW125" i="49"/>
  <c r="FJ79" i="49"/>
  <c r="FJ138" i="49"/>
  <c r="FJ127" i="49"/>
  <c r="FJ167" i="49"/>
  <c r="FJ148" i="49"/>
  <c r="FJ204" i="49"/>
  <c r="GE15" i="49"/>
  <c r="GE79" i="49"/>
  <c r="GE67" i="49"/>
  <c r="GE95" i="49"/>
  <c r="GE128" i="49"/>
  <c r="GE169" i="49"/>
  <c r="GE190" i="49"/>
  <c r="GE201" i="49"/>
  <c r="GA10" i="49"/>
  <c r="GA30" i="49"/>
  <c r="GA44" i="49"/>
  <c r="GA123" i="49"/>
  <c r="GA120" i="49"/>
  <c r="GA166" i="49"/>
  <c r="GA187" i="49"/>
  <c r="FJ54" i="49"/>
  <c r="FJ73" i="49"/>
  <c r="FJ99" i="49"/>
  <c r="FJ135" i="49"/>
  <c r="FJ153" i="49"/>
  <c r="FJ183" i="49"/>
  <c r="FJ203" i="49"/>
  <c r="FR24" i="49"/>
  <c r="FR177" i="49"/>
  <c r="GE159" i="49"/>
  <c r="FU19" i="49"/>
  <c r="FU21" i="49"/>
  <c r="FU20" i="49"/>
  <c r="FU35" i="49"/>
  <c r="FU71" i="49"/>
  <c r="FU61" i="49"/>
  <c r="FU45" i="49"/>
  <c r="FU137" i="49"/>
  <c r="FU104" i="49"/>
  <c r="FU94" i="49"/>
  <c r="FU139" i="49"/>
  <c r="FU123" i="49"/>
  <c r="FU166" i="49"/>
  <c r="FU155" i="49"/>
  <c r="FU167" i="49"/>
  <c r="FU190" i="49"/>
  <c r="FU195" i="49"/>
  <c r="FU220" i="49"/>
  <c r="FS53" i="49"/>
  <c r="FS34" i="49"/>
  <c r="FS70" i="49"/>
  <c r="FS51" i="49"/>
  <c r="FS132" i="49"/>
  <c r="FS133" i="49"/>
  <c r="FS134" i="49"/>
  <c r="FS125" i="49"/>
  <c r="FS118" i="49"/>
  <c r="FS165" i="49"/>
  <c r="FS154" i="49"/>
  <c r="FS204" i="49"/>
  <c r="FS210" i="49"/>
  <c r="FJ63" i="49"/>
  <c r="FJ71" i="49"/>
  <c r="FJ88" i="49"/>
  <c r="FJ144" i="49"/>
  <c r="FJ115" i="49"/>
  <c r="FJ103" i="49"/>
  <c r="FJ97" i="49"/>
  <c r="FJ131" i="49"/>
  <c r="FJ166" i="49"/>
  <c r="FJ155" i="49"/>
  <c r="FJ210" i="49"/>
  <c r="FJ187" i="49"/>
  <c r="FJ215" i="49"/>
  <c r="FR32" i="49"/>
  <c r="FR31" i="49"/>
  <c r="FR33" i="49"/>
  <c r="FR99" i="49"/>
  <c r="FR90" i="49"/>
  <c r="FR135" i="49"/>
  <c r="FR145" i="49"/>
  <c r="FR106" i="49"/>
  <c r="FR174" i="49"/>
  <c r="FR164" i="49"/>
  <c r="FR150" i="49"/>
  <c r="FR212" i="49"/>
  <c r="FR183" i="49"/>
  <c r="FR205" i="49"/>
  <c r="GE38" i="49"/>
  <c r="GE68" i="49"/>
  <c r="GE78" i="49"/>
  <c r="GE36" i="49"/>
  <c r="GE69" i="49"/>
  <c r="GE82" i="49"/>
  <c r="GE124" i="49"/>
  <c r="GE110" i="49"/>
  <c r="GE105" i="49"/>
  <c r="GE149" i="49"/>
  <c r="GE148" i="49"/>
  <c r="GE153" i="49"/>
  <c r="GE186" i="49"/>
  <c r="GE185" i="49"/>
  <c r="GE217" i="49"/>
  <c r="GA31" i="49"/>
  <c r="GA67" i="49"/>
  <c r="GA51" i="49"/>
  <c r="GA29" i="49"/>
  <c r="GA59" i="49"/>
  <c r="GA89" i="49"/>
  <c r="GA88" i="49"/>
  <c r="GA129" i="49"/>
  <c r="GA133" i="49"/>
  <c r="GA168" i="49"/>
  <c r="GA150" i="49"/>
  <c r="GA165" i="49"/>
  <c r="GA211" i="49"/>
  <c r="GA201" i="49"/>
  <c r="GA208" i="49"/>
  <c r="FX10" i="49"/>
  <c r="FX64" i="49"/>
  <c r="FX48" i="49"/>
  <c r="FX26" i="49"/>
  <c r="FX56" i="49"/>
  <c r="FX40" i="49"/>
  <c r="FX113" i="49"/>
  <c r="FX105" i="49"/>
  <c r="FX138" i="49"/>
  <c r="FX140" i="49"/>
  <c r="FX127" i="49"/>
  <c r="FX179" i="49"/>
  <c r="FX162" i="49"/>
  <c r="FX177" i="49"/>
  <c r="FX194" i="49"/>
  <c r="FX200" i="49"/>
  <c r="FX207" i="49"/>
  <c r="GD15" i="49"/>
  <c r="GD53" i="49"/>
  <c r="GD36" i="49"/>
  <c r="GD111" i="49"/>
  <c r="GD121" i="49"/>
  <c r="GD207" i="49"/>
  <c r="GJ36" i="49"/>
  <c r="FW131" i="49"/>
  <c r="FJ66" i="49"/>
  <c r="FJ74" i="49"/>
  <c r="FJ92" i="49"/>
  <c r="FJ147" i="49"/>
  <c r="FJ116" i="49"/>
  <c r="FJ111" i="49"/>
  <c r="FJ101" i="49"/>
  <c r="FJ136" i="49"/>
  <c r="FJ171" i="49"/>
  <c r="FJ159" i="49"/>
  <c r="FJ214" i="49"/>
  <c r="FJ190" i="49"/>
  <c r="FJ181" i="49"/>
  <c r="FR35" i="49"/>
  <c r="FR34" i="49"/>
  <c r="FR36" i="49"/>
  <c r="FR104" i="49"/>
  <c r="FR94" i="49"/>
  <c r="FR81" i="49"/>
  <c r="FR147" i="49"/>
  <c r="FR109" i="49"/>
  <c r="FR178" i="49"/>
  <c r="FR168" i="49"/>
  <c r="FR153" i="49"/>
  <c r="FR184" i="49"/>
  <c r="FR202" i="49"/>
  <c r="FR209" i="49"/>
  <c r="GE41" i="49"/>
  <c r="GE71" i="49"/>
  <c r="GE55" i="49"/>
  <c r="GE39" i="49"/>
  <c r="GE72" i="49"/>
  <c r="GE140" i="49"/>
  <c r="GE127" i="49"/>
  <c r="GE113" i="49"/>
  <c r="GE106" i="49"/>
  <c r="GE152" i="49"/>
  <c r="GE151" i="49"/>
  <c r="GE157" i="49"/>
  <c r="GE189" i="49"/>
  <c r="GE188" i="49"/>
  <c r="GE216" i="49"/>
  <c r="GA34" i="49"/>
  <c r="GA70" i="49"/>
  <c r="GA75" i="49"/>
  <c r="GA32" i="49"/>
  <c r="GA62" i="49"/>
  <c r="GA93" i="49"/>
  <c r="GA92" i="49"/>
  <c r="GA87" i="49"/>
  <c r="GA84" i="49"/>
  <c r="GA148" i="49"/>
  <c r="GA171" i="49"/>
  <c r="GA169" i="49"/>
  <c r="GA181" i="49"/>
  <c r="GA205" i="49"/>
  <c r="GA212" i="49"/>
  <c r="GJ59" i="49"/>
  <c r="FW90" i="49"/>
  <c r="FJ105" i="49"/>
  <c r="FJ124" i="49"/>
  <c r="FJ156" i="49"/>
  <c r="FJ191" i="49"/>
  <c r="GE12" i="49"/>
  <c r="GE28" i="49"/>
  <c r="GE84" i="49"/>
  <c r="GE165" i="49"/>
  <c r="GE198" i="49"/>
  <c r="GJ218" i="49"/>
  <c r="FJ53" i="49"/>
  <c r="FJ64" i="49"/>
  <c r="FJ109" i="49"/>
  <c r="FJ85" i="49"/>
  <c r="FJ143" i="49"/>
  <c r="FJ130" i="49"/>
  <c r="FJ139" i="49"/>
  <c r="FJ175" i="49"/>
  <c r="FJ165" i="49"/>
  <c r="FJ151" i="49"/>
  <c r="FJ197" i="49"/>
  <c r="FJ208" i="49"/>
  <c r="FJ198" i="49"/>
  <c r="FR15" i="49"/>
  <c r="FR14" i="49"/>
  <c r="FR16" i="49"/>
  <c r="FR50" i="49"/>
  <c r="FR49" i="49"/>
  <c r="FR51" i="49"/>
  <c r="FR82" i="49"/>
  <c r="FR120" i="49"/>
  <c r="FR110" i="49"/>
  <c r="FR83" i="49"/>
  <c r="FR141" i="49"/>
  <c r="FR149" i="49"/>
  <c r="FR154" i="49"/>
  <c r="FR190" i="49"/>
  <c r="FR181" i="49"/>
  <c r="FR188" i="49"/>
  <c r="FR216" i="49"/>
  <c r="GE18" i="49"/>
  <c r="GE20" i="49"/>
  <c r="GE22" i="49"/>
  <c r="GE74" i="49"/>
  <c r="GE34" i="49"/>
  <c r="GE70" i="49"/>
  <c r="GE75" i="49"/>
  <c r="GE99" i="49"/>
  <c r="GE94" i="49"/>
  <c r="GE145" i="49"/>
  <c r="GE131" i="49"/>
  <c r="GE144" i="49"/>
  <c r="GE173" i="49"/>
  <c r="GE163" i="49"/>
  <c r="GE193" i="49"/>
  <c r="GE207" i="49"/>
  <c r="GE205" i="49"/>
  <c r="GA11" i="49"/>
  <c r="GA13" i="49"/>
  <c r="GA12" i="49"/>
  <c r="GA49" i="49"/>
  <c r="GA33" i="49"/>
  <c r="GA66" i="49"/>
  <c r="GA47" i="49"/>
  <c r="GA134" i="49"/>
  <c r="GA135" i="49"/>
  <c r="GA141" i="49"/>
  <c r="GA132" i="49"/>
  <c r="GA124" i="49"/>
  <c r="GA158" i="49"/>
  <c r="GA174" i="49"/>
  <c r="GA189" i="49"/>
  <c r="GA183" i="49"/>
  <c r="GA190" i="49"/>
  <c r="GA215" i="49"/>
  <c r="FX15" i="49"/>
  <c r="FX30" i="49"/>
  <c r="FX63" i="49"/>
  <c r="FX44" i="49"/>
  <c r="FX76" i="49"/>
  <c r="FX81" i="49"/>
  <c r="FX136" i="49"/>
  <c r="FX141" i="49"/>
  <c r="FX112" i="49"/>
  <c r="FX98" i="49"/>
  <c r="FX142" i="49"/>
  <c r="FX181" i="49"/>
  <c r="FX152" i="49"/>
  <c r="FX206" i="49"/>
  <c r="FX213" i="49"/>
  <c r="FX186" i="49"/>
  <c r="FX218" i="49"/>
  <c r="FW10" i="49"/>
  <c r="GE11" i="49"/>
  <c r="GE13" i="49"/>
  <c r="GE47" i="49"/>
  <c r="GE25" i="49"/>
  <c r="GE61" i="49"/>
  <c r="GE45" i="49"/>
  <c r="GE87" i="49"/>
  <c r="GE146" i="49"/>
  <c r="GE86" i="49"/>
  <c r="GE123" i="49"/>
  <c r="GE118" i="49"/>
  <c r="GE161" i="49"/>
  <c r="GE176" i="49"/>
  <c r="GE166" i="49"/>
  <c r="GE195" i="49"/>
  <c r="GE194" i="49"/>
  <c r="FJ80" i="49"/>
  <c r="FJ67" i="49"/>
  <c r="FJ91" i="49"/>
  <c r="FJ134" i="49"/>
  <c r="FJ180" i="49"/>
  <c r="FJ172" i="49"/>
  <c r="FJ212" i="49"/>
  <c r="GE23" i="49"/>
  <c r="GE37" i="49"/>
  <c r="GE104" i="49"/>
  <c r="GE81" i="49"/>
  <c r="GE85" i="49"/>
  <c r="GE167" i="49"/>
  <c r="GE211" i="49"/>
  <c r="GA14" i="49"/>
  <c r="GA16" i="49"/>
  <c r="GA15" i="49"/>
  <c r="GA36" i="49"/>
  <c r="GA50" i="49"/>
  <c r="GA125" i="49"/>
  <c r="GA127" i="49"/>
  <c r="GA178" i="49"/>
  <c r="GA193" i="49"/>
  <c r="FJ75" i="49"/>
  <c r="FJ59" i="49"/>
  <c r="FJ70" i="49"/>
  <c r="FJ122" i="49"/>
  <c r="FJ95" i="49"/>
  <c r="FJ82" i="49"/>
  <c r="FJ84" i="49"/>
  <c r="FJ145" i="49"/>
  <c r="FJ150" i="49"/>
  <c r="FJ149" i="49"/>
  <c r="FJ179" i="49"/>
  <c r="FJ205" i="49"/>
  <c r="FJ184" i="49"/>
  <c r="FJ216" i="49"/>
  <c r="GE26" i="49"/>
  <c r="GE56" i="49"/>
  <c r="GE40" i="49"/>
  <c r="GE24" i="49"/>
  <c r="GE57" i="49"/>
  <c r="GE112" i="49"/>
  <c r="GE103" i="49"/>
  <c r="GE89" i="49"/>
  <c r="GE88" i="49"/>
  <c r="GE80" i="49"/>
  <c r="GE155" i="49"/>
  <c r="GE175" i="49"/>
  <c r="GE200" i="49"/>
  <c r="GE202" i="49"/>
  <c r="GE213" i="49"/>
  <c r="GA17" i="49"/>
  <c r="GA19" i="49"/>
  <c r="GA18" i="49"/>
  <c r="GA55" i="49"/>
  <c r="GA39" i="49"/>
  <c r="GA72" i="49"/>
  <c r="GA79" i="49"/>
  <c r="GA139" i="49"/>
  <c r="GA128" i="49"/>
  <c r="GA85" i="49"/>
  <c r="GA82" i="49"/>
  <c r="GA130" i="49"/>
  <c r="GA167" i="49"/>
  <c r="GA149" i="49"/>
  <c r="GA195" i="49"/>
  <c r="GA188" i="49"/>
  <c r="GA196" i="49"/>
  <c r="FW28" i="49"/>
  <c r="FJ77" i="49"/>
  <c r="FJ132" i="49"/>
  <c r="FJ163" i="49"/>
  <c r="FJ192" i="49"/>
  <c r="GE16" i="49"/>
  <c r="GE48" i="49"/>
  <c r="GE139" i="49"/>
  <c r="GE187" i="49"/>
  <c r="FJ106" i="49"/>
  <c r="FJ195" i="49"/>
  <c r="FJ62" i="49"/>
  <c r="FJ137" i="49"/>
  <c r="FJ90" i="49"/>
  <c r="FJ86" i="49"/>
  <c r="FJ152" i="49"/>
  <c r="FJ209" i="49"/>
  <c r="FJ220" i="49"/>
  <c r="FR23" i="49"/>
  <c r="FR74" i="49"/>
  <c r="FR87" i="49"/>
  <c r="FR143" i="49"/>
  <c r="FR130" i="49"/>
  <c r="FR123" i="49"/>
  <c r="FR96" i="49"/>
  <c r="FR129" i="49"/>
  <c r="FR167" i="49"/>
  <c r="FR200" i="49"/>
  <c r="FR192" i="49"/>
  <c r="FR197" i="49"/>
  <c r="GK73" i="49"/>
  <c r="GE29" i="49"/>
  <c r="GE59" i="49"/>
  <c r="GE43" i="49"/>
  <c r="GE27" i="49"/>
  <c r="GE60" i="49"/>
  <c r="GE115" i="49"/>
  <c r="GE111" i="49"/>
  <c r="GE93" i="49"/>
  <c r="GE92" i="49"/>
  <c r="GE126" i="49"/>
  <c r="GE147" i="49"/>
  <c r="GE204" i="49"/>
  <c r="GE206" i="49"/>
  <c r="GE215" i="49"/>
  <c r="GA20" i="49"/>
  <c r="GA22" i="49"/>
  <c r="GA21" i="49"/>
  <c r="GA58" i="49"/>
  <c r="GA42" i="49"/>
  <c r="GA77" i="49"/>
  <c r="GA74" i="49"/>
  <c r="GA142" i="49"/>
  <c r="GA131" i="49"/>
  <c r="GA137" i="49"/>
  <c r="GA140" i="49"/>
  <c r="GA155" i="49"/>
  <c r="GA179" i="49"/>
  <c r="GA152" i="49"/>
  <c r="GA198" i="49"/>
  <c r="GA191" i="49"/>
  <c r="GA182" i="49"/>
  <c r="FX14" i="49"/>
  <c r="FX55" i="49"/>
  <c r="FX39" i="49"/>
  <c r="FX72" i="49"/>
  <c r="FX79" i="49"/>
  <c r="FX31" i="49"/>
  <c r="FX97" i="49"/>
  <c r="FX92" i="49"/>
  <c r="FX126" i="49"/>
  <c r="FX121" i="49"/>
  <c r="FX114" i="49"/>
  <c r="FX151" i="49"/>
  <c r="FX171" i="49"/>
  <c r="FX165" i="49"/>
  <c r="FX185" i="49"/>
  <c r="FX190" i="49"/>
  <c r="FX195" i="49"/>
  <c r="FW58" i="49"/>
  <c r="FS50" i="49"/>
  <c r="FS28" i="49"/>
  <c r="FS64" i="49"/>
  <c r="FS45" i="49"/>
  <c r="FS126" i="49"/>
  <c r="FS121" i="49"/>
  <c r="FS127" i="49"/>
  <c r="FS119" i="49"/>
  <c r="FS106" i="49"/>
  <c r="FS156" i="49"/>
  <c r="FS176" i="49"/>
  <c r="FS213" i="49"/>
  <c r="FS202" i="49"/>
  <c r="FJ57" i="49"/>
  <c r="FJ65" i="49"/>
  <c r="FJ78" i="49"/>
  <c r="FJ83" i="49"/>
  <c r="FJ104" i="49"/>
  <c r="FJ94" i="49"/>
  <c r="FJ89" i="49"/>
  <c r="FJ125" i="49"/>
  <c r="FJ157" i="49"/>
  <c r="FJ173" i="49"/>
  <c r="FJ202" i="49"/>
  <c r="FJ213" i="49"/>
  <c r="FJ207" i="49"/>
  <c r="FR26" i="49"/>
  <c r="FR25" i="49"/>
  <c r="FR27" i="49"/>
  <c r="FR91" i="49"/>
  <c r="FR146" i="49"/>
  <c r="FR134" i="49"/>
  <c r="FR139" i="49"/>
  <c r="FR100" i="49"/>
  <c r="FR132" i="49"/>
  <c r="FR155" i="49"/>
  <c r="FR175" i="49"/>
  <c r="FR204" i="49"/>
  <c r="FR195" i="49"/>
  <c r="FR180" i="49"/>
  <c r="GK128" i="49"/>
  <c r="GE32" i="49"/>
  <c r="GE62" i="49"/>
  <c r="GE46" i="49"/>
  <c r="GE30" i="49"/>
  <c r="GE63" i="49"/>
  <c r="GE116" i="49"/>
  <c r="GE114" i="49"/>
  <c r="GE97" i="49"/>
  <c r="GE96" i="49"/>
  <c r="GE129" i="49"/>
  <c r="GE164" i="49"/>
  <c r="GE150" i="49"/>
  <c r="GE208" i="49"/>
  <c r="GE210" i="49"/>
  <c r="GE219" i="49"/>
  <c r="GA25" i="49"/>
  <c r="GA61" i="49"/>
  <c r="GA45" i="49"/>
  <c r="GA23" i="49"/>
  <c r="GA53" i="49"/>
  <c r="GA145" i="49"/>
  <c r="GA83" i="49"/>
  <c r="GA80" i="49"/>
  <c r="GA143" i="49"/>
  <c r="GA159" i="49"/>
  <c r="GA175" i="49"/>
  <c r="GA156" i="49"/>
  <c r="GA203" i="49"/>
  <c r="GA194" i="49"/>
  <c r="GA200" i="49"/>
  <c r="FX17" i="49"/>
  <c r="FX58" i="49"/>
  <c r="FX42" i="49"/>
  <c r="FX77" i="49"/>
  <c r="FX74" i="49"/>
  <c r="FX34" i="49"/>
  <c r="FX101" i="49"/>
  <c r="FX96" i="49"/>
  <c r="FX129" i="49"/>
  <c r="FX82" i="49"/>
  <c r="FX120" i="49"/>
  <c r="FX172" i="49"/>
  <c r="FX153" i="49"/>
  <c r="FX169" i="49"/>
  <c r="FX188" i="49"/>
  <c r="FX193" i="49"/>
  <c r="GD11" i="49"/>
  <c r="GD13" i="49"/>
  <c r="GD73" i="49"/>
  <c r="GD98" i="49"/>
  <c r="GD126" i="49"/>
  <c r="FW64" i="49"/>
  <c r="GD215" i="49"/>
  <c r="FV126" i="49"/>
  <c r="FO211" i="49"/>
  <c r="FV119" i="49"/>
  <c r="FV20" i="49"/>
  <c r="FV174" i="49"/>
  <c r="FV24" i="49"/>
  <c r="FV169" i="49"/>
  <c r="GJ53" i="49"/>
  <c r="FV36" i="49"/>
  <c r="FV173" i="49"/>
  <c r="FO179" i="49"/>
  <c r="FO193" i="49"/>
  <c r="FO154" i="49"/>
  <c r="FO196" i="49"/>
  <c r="FO68" i="49"/>
  <c r="FO39" i="49"/>
  <c r="FO90" i="49"/>
  <c r="FO105" i="49"/>
  <c r="FO175" i="49"/>
  <c r="FO217" i="49"/>
  <c r="FW81" i="49"/>
  <c r="FO10" i="49"/>
  <c r="FO34" i="49"/>
  <c r="FO80" i="49"/>
  <c r="FO124" i="49"/>
  <c r="FO144" i="49"/>
  <c r="FO174" i="49"/>
  <c r="FV68" i="49"/>
  <c r="FW75" i="49"/>
  <c r="FW169" i="49"/>
  <c r="FO13" i="49"/>
  <c r="FO37" i="49"/>
  <c r="FO75" i="49"/>
  <c r="FO127" i="49"/>
  <c r="FO91" i="49"/>
  <c r="FO165" i="49"/>
  <c r="FV92" i="49"/>
  <c r="FW32" i="49"/>
  <c r="FW214" i="49"/>
  <c r="FO16" i="49"/>
  <c r="FO40" i="49"/>
  <c r="FO60" i="49"/>
  <c r="FO130" i="49"/>
  <c r="FO95" i="49"/>
  <c r="FO169" i="49"/>
  <c r="FW35" i="49"/>
  <c r="FW197" i="49"/>
  <c r="FO99" i="49"/>
  <c r="GK167" i="49"/>
  <c r="GD62" i="49"/>
  <c r="GD46" i="49"/>
  <c r="GD30" i="49"/>
  <c r="GD66" i="49"/>
  <c r="GD146" i="49"/>
  <c r="GD93" i="49"/>
  <c r="GD118" i="49"/>
  <c r="GD152" i="49"/>
  <c r="GD167" i="49"/>
  <c r="GD186" i="49"/>
  <c r="GD219" i="49"/>
  <c r="GJ84" i="49"/>
  <c r="GK152" i="49"/>
  <c r="GD65" i="49"/>
  <c r="GD49" i="49"/>
  <c r="GD33" i="49"/>
  <c r="GD69" i="49"/>
  <c r="GD84" i="49"/>
  <c r="GD97" i="49"/>
  <c r="GD122" i="49"/>
  <c r="GD156" i="49"/>
  <c r="GD175" i="49"/>
  <c r="GD189" i="49"/>
  <c r="GD218" i="49"/>
  <c r="GJ130" i="49"/>
  <c r="GK54" i="49"/>
  <c r="GK205" i="49"/>
  <c r="GK35" i="49"/>
  <c r="GK212" i="49"/>
  <c r="GK65" i="49"/>
  <c r="GK220" i="49"/>
  <c r="GD14" i="49"/>
  <c r="GD16" i="49"/>
  <c r="GD25" i="49"/>
  <c r="GD61" i="49"/>
  <c r="GD45" i="49"/>
  <c r="GD32" i="49"/>
  <c r="GD114" i="49"/>
  <c r="GD125" i="49"/>
  <c r="GD129" i="49"/>
  <c r="GD155" i="49"/>
  <c r="GD162" i="49"/>
  <c r="GD206" i="49"/>
  <c r="GK49" i="49"/>
  <c r="GD17" i="49"/>
  <c r="GD19" i="49"/>
  <c r="GD28" i="49"/>
  <c r="GD64" i="49"/>
  <c r="GD48" i="49"/>
  <c r="GD41" i="49"/>
  <c r="GD127" i="49"/>
  <c r="GD83" i="49"/>
  <c r="GD95" i="49"/>
  <c r="GD168" i="49"/>
  <c r="GD187" i="49"/>
  <c r="GD185" i="49"/>
  <c r="GJ13" i="49"/>
  <c r="GD31" i="49"/>
  <c r="GD67" i="49"/>
  <c r="GD51" i="49"/>
  <c r="GD44" i="49"/>
  <c r="GD130" i="49"/>
  <c r="GD88" i="49"/>
  <c r="GD99" i="49"/>
  <c r="GD148" i="49"/>
  <c r="GD190" i="49"/>
  <c r="GD188" i="49"/>
  <c r="GK122" i="49"/>
  <c r="GD74" i="49"/>
  <c r="GD34" i="49"/>
  <c r="GD70" i="49"/>
  <c r="GD75" i="49"/>
  <c r="GD47" i="49"/>
  <c r="GD86" i="49"/>
  <c r="GD92" i="49"/>
  <c r="GD104" i="49"/>
  <c r="GD151" i="49"/>
  <c r="GD193" i="49"/>
  <c r="GD194" i="49"/>
  <c r="GK95" i="49"/>
  <c r="GK84" i="49"/>
  <c r="GK86" i="49"/>
  <c r="GD59" i="49"/>
  <c r="GD43" i="49"/>
  <c r="GD27" i="49"/>
  <c r="GD63" i="49"/>
  <c r="GD143" i="49"/>
  <c r="GD89" i="49"/>
  <c r="GD109" i="49"/>
  <c r="GD149" i="49"/>
  <c r="GD163" i="49"/>
  <c r="GD212" i="49"/>
  <c r="GJ22" i="49"/>
  <c r="GK24" i="49"/>
  <c r="GK57" i="49"/>
  <c r="GK38" i="49"/>
  <c r="GK68" i="49"/>
  <c r="GK78" i="49"/>
  <c r="GK131" i="49"/>
  <c r="GK132" i="49"/>
  <c r="GK99" i="49"/>
  <c r="GK90" i="49"/>
  <c r="GK136" i="49"/>
  <c r="GK175" i="49"/>
  <c r="GK156" i="49"/>
  <c r="GK202" i="49"/>
  <c r="GK209" i="49"/>
  <c r="GK181" i="49"/>
  <c r="GK215" i="49"/>
  <c r="GK11" i="49"/>
  <c r="GK10" i="49"/>
  <c r="GK12" i="49"/>
  <c r="GK27" i="49"/>
  <c r="GK60" i="49"/>
  <c r="GK41" i="49"/>
  <c r="GK71" i="49"/>
  <c r="GK81" i="49"/>
  <c r="GK137" i="49"/>
  <c r="GK138" i="49"/>
  <c r="GK104" i="49"/>
  <c r="GK94" i="49"/>
  <c r="GK139" i="49"/>
  <c r="GK147" i="49"/>
  <c r="GK161" i="49"/>
  <c r="GK206" i="49"/>
  <c r="GK213" i="49"/>
  <c r="GK186" i="49"/>
  <c r="GK219" i="49"/>
  <c r="GK14" i="49"/>
  <c r="GK13" i="49"/>
  <c r="GK15" i="49"/>
  <c r="GK30" i="49"/>
  <c r="GK63" i="49"/>
  <c r="GK44" i="49"/>
  <c r="GK76" i="49"/>
  <c r="GK89" i="49"/>
  <c r="GK83" i="49"/>
  <c r="GK141" i="49"/>
  <c r="GK112" i="49"/>
  <c r="GK98" i="49"/>
  <c r="GK142" i="49"/>
  <c r="GK150" i="49"/>
  <c r="GK165" i="49"/>
  <c r="GK210" i="49"/>
  <c r="GK184" i="49"/>
  <c r="GK189" i="49"/>
  <c r="GK218" i="49"/>
  <c r="GK17" i="49"/>
  <c r="GK16" i="49"/>
  <c r="GK18" i="49"/>
  <c r="GK33" i="49"/>
  <c r="GK66" i="49"/>
  <c r="GK47" i="49"/>
  <c r="GK25" i="49"/>
  <c r="GK93" i="49"/>
  <c r="GK88" i="49"/>
  <c r="GK144" i="49"/>
  <c r="GK115" i="49"/>
  <c r="GK103" i="49"/>
  <c r="GK145" i="49"/>
  <c r="GK171" i="49"/>
  <c r="GK169" i="49"/>
  <c r="GK214" i="49"/>
  <c r="GK187" i="49"/>
  <c r="GK192" i="49"/>
  <c r="GK20" i="49"/>
  <c r="GK19" i="49"/>
  <c r="GK21" i="49"/>
  <c r="GK36" i="49"/>
  <c r="GK69" i="49"/>
  <c r="GK50" i="49"/>
  <c r="GK28" i="49"/>
  <c r="GK97" i="49"/>
  <c r="GK92" i="49"/>
  <c r="GK85" i="49"/>
  <c r="GK116" i="49"/>
  <c r="GK111" i="49"/>
  <c r="GK148" i="49"/>
  <c r="GK178" i="49"/>
  <c r="GK173" i="49"/>
  <c r="GK185" i="49"/>
  <c r="GK190" i="49"/>
  <c r="GK195" i="49"/>
  <c r="GK22" i="49"/>
  <c r="GK55" i="49"/>
  <c r="GK39" i="49"/>
  <c r="GK72" i="49"/>
  <c r="GK79" i="49"/>
  <c r="GK31" i="49"/>
  <c r="GK101" i="49"/>
  <c r="GK96" i="49"/>
  <c r="GK80" i="49"/>
  <c r="GK121" i="49"/>
  <c r="GK114" i="49"/>
  <c r="GK151" i="49"/>
  <c r="GK153" i="49"/>
  <c r="GK177" i="49"/>
  <c r="GK188" i="49"/>
  <c r="GK193" i="49"/>
  <c r="GK198" i="49"/>
  <c r="GK58" i="49"/>
  <c r="GK42" i="49"/>
  <c r="GK77" i="49"/>
  <c r="GK74" i="49"/>
  <c r="GK34" i="49"/>
  <c r="GK110" i="49"/>
  <c r="GK100" i="49"/>
  <c r="GK126" i="49"/>
  <c r="GK82" i="49"/>
  <c r="GK120" i="49"/>
  <c r="GK172" i="49"/>
  <c r="GK157" i="49"/>
  <c r="GK180" i="49"/>
  <c r="GK191" i="49"/>
  <c r="GK196" i="49"/>
  <c r="GK203" i="49"/>
  <c r="GK61" i="49"/>
  <c r="GK45" i="49"/>
  <c r="GK23" i="49"/>
  <c r="GK53" i="49"/>
  <c r="GK37" i="49"/>
  <c r="GK113" i="49"/>
  <c r="GK105" i="49"/>
  <c r="GK129" i="49"/>
  <c r="GK134" i="49"/>
  <c r="GK124" i="49"/>
  <c r="GK176" i="49"/>
  <c r="GK162" i="49"/>
  <c r="GK155" i="49"/>
  <c r="GK194" i="49"/>
  <c r="GK179" i="49"/>
  <c r="GK207" i="49"/>
  <c r="GK64" i="49"/>
  <c r="GK48" i="49"/>
  <c r="GK26" i="49"/>
  <c r="GK56" i="49"/>
  <c r="GK40" i="49"/>
  <c r="GK119" i="49"/>
  <c r="GK106" i="49"/>
  <c r="GK133" i="49"/>
  <c r="GK140" i="49"/>
  <c r="GK127" i="49"/>
  <c r="GK154" i="49"/>
  <c r="GK166" i="49"/>
  <c r="GK159" i="49"/>
  <c r="GK197" i="49"/>
  <c r="GK200" i="49"/>
  <c r="GK211" i="49"/>
  <c r="GK67" i="49"/>
  <c r="GK51" i="49"/>
  <c r="GK29" i="49"/>
  <c r="GK59" i="49"/>
  <c r="GK43" i="49"/>
  <c r="GK123" i="49"/>
  <c r="GK109" i="49"/>
  <c r="GK87" i="49"/>
  <c r="GK143" i="49"/>
  <c r="GK130" i="49"/>
  <c r="GK158" i="49"/>
  <c r="GK174" i="49"/>
  <c r="GK164" i="49"/>
  <c r="GK182" i="49"/>
  <c r="GK204" i="49"/>
  <c r="GK217" i="49"/>
  <c r="GK70" i="49"/>
  <c r="GK75" i="49"/>
  <c r="GK32" i="49"/>
  <c r="GK62" i="49"/>
  <c r="GK46" i="49"/>
  <c r="GK125" i="49"/>
  <c r="GK118" i="49"/>
  <c r="GK91" i="49"/>
  <c r="GK146" i="49"/>
  <c r="GK135" i="49"/>
  <c r="GK163" i="49"/>
  <c r="GK149" i="49"/>
  <c r="GK168" i="49"/>
  <c r="GK201" i="49"/>
  <c r="GK208" i="49"/>
  <c r="GK216" i="49"/>
  <c r="FT185" i="49"/>
  <c r="FQ217" i="49"/>
  <c r="FP201" i="49"/>
  <c r="GF216" i="49"/>
  <c r="GC196" i="49"/>
  <c r="GD213" i="49"/>
  <c r="GJ15" i="49"/>
  <c r="FV211" i="49"/>
  <c r="FN190" i="49"/>
  <c r="FO212" i="49"/>
  <c r="GJ217" i="49"/>
  <c r="GJ14" i="49"/>
  <c r="GJ121" i="49"/>
  <c r="GD77" i="49"/>
  <c r="GD82" i="49"/>
  <c r="GD124" i="49"/>
  <c r="GD110" i="49"/>
  <c r="GD105" i="49"/>
  <c r="GD91" i="49"/>
  <c r="GD165" i="49"/>
  <c r="GD154" i="49"/>
  <c r="GD174" i="49"/>
  <c r="GD198" i="49"/>
  <c r="GD205" i="49"/>
  <c r="FO55" i="49"/>
  <c r="FO48" i="49"/>
  <c r="FO47" i="49"/>
  <c r="FO97" i="49"/>
  <c r="FO141" i="49"/>
  <c r="FO172" i="49"/>
  <c r="FO189" i="49"/>
  <c r="GJ75" i="49"/>
  <c r="GJ156" i="49"/>
  <c r="GJ47" i="49"/>
  <c r="GJ173" i="49"/>
  <c r="GD54" i="49"/>
  <c r="GD35" i="49"/>
  <c r="GD90" i="49"/>
  <c r="GD142" i="49"/>
  <c r="GD128" i="49"/>
  <c r="GD141" i="49"/>
  <c r="GD115" i="49"/>
  <c r="GD159" i="49"/>
  <c r="GD147" i="49"/>
  <c r="GD200" i="49"/>
  <c r="GD210" i="49"/>
  <c r="GD217" i="49"/>
  <c r="FO18" i="49"/>
  <c r="FO17" i="49"/>
  <c r="FO19" i="49"/>
  <c r="FO28" i="49"/>
  <c r="FO73" i="49"/>
  <c r="FO66" i="49"/>
  <c r="FO98" i="49"/>
  <c r="FO128" i="49"/>
  <c r="FO116" i="49"/>
  <c r="FO166" i="49"/>
  <c r="FO205" i="49"/>
  <c r="GJ61" i="49"/>
  <c r="GD38" i="49"/>
  <c r="GD94" i="49"/>
  <c r="GD145" i="49"/>
  <c r="GD131" i="49"/>
  <c r="GD144" i="49"/>
  <c r="GD116" i="49"/>
  <c r="GD164" i="49"/>
  <c r="GD150" i="49"/>
  <c r="GD204" i="49"/>
  <c r="GD214" i="49"/>
  <c r="GD216" i="49"/>
  <c r="FO78" i="49"/>
  <c r="FO69" i="49"/>
  <c r="FO120" i="49"/>
  <c r="FO131" i="49"/>
  <c r="FO121" i="49"/>
  <c r="FO171" i="49"/>
  <c r="FO209" i="49"/>
  <c r="GJ70" i="49"/>
  <c r="GJ87" i="49"/>
  <c r="GD72" i="49"/>
  <c r="GD79" i="49"/>
  <c r="GD120" i="49"/>
  <c r="GD101" i="49"/>
  <c r="GD100" i="49"/>
  <c r="GD87" i="49"/>
  <c r="GD161" i="49"/>
  <c r="GD176" i="49"/>
  <c r="GD166" i="49"/>
  <c r="GD195" i="49"/>
  <c r="GD201" i="49"/>
  <c r="FO53" i="49"/>
  <c r="FO49" i="49"/>
  <c r="FO45" i="49"/>
  <c r="FO44" i="49"/>
  <c r="FO93" i="49"/>
  <c r="FO109" i="49"/>
  <c r="FO168" i="49"/>
  <c r="FO186" i="49"/>
  <c r="GJ51" i="49"/>
  <c r="GJ119" i="49"/>
  <c r="FQ82" i="49"/>
  <c r="FT36" i="49"/>
  <c r="FQ164" i="49"/>
  <c r="FV14" i="49"/>
  <c r="FV43" i="49"/>
  <c r="FT171" i="49"/>
  <c r="FV13" i="49"/>
  <c r="FV17" i="49"/>
  <c r="FV55" i="49"/>
  <c r="GD192" i="49"/>
  <c r="GD191" i="49"/>
  <c r="GD220" i="49"/>
  <c r="GJ39" i="49"/>
  <c r="GJ43" i="49"/>
  <c r="GJ101" i="49"/>
  <c r="FW36" i="49"/>
  <c r="FW140" i="49"/>
  <c r="GJ57" i="49"/>
  <c r="GJ128" i="49"/>
  <c r="GJ176" i="49"/>
  <c r="GJ29" i="49"/>
  <c r="GJ96" i="49"/>
  <c r="GJ210" i="49"/>
  <c r="FW38" i="49"/>
  <c r="FW119" i="49"/>
  <c r="GD202" i="49"/>
  <c r="GJ38" i="49"/>
  <c r="GJ109" i="49"/>
  <c r="GJ197" i="49"/>
  <c r="FW65" i="49"/>
  <c r="FW162" i="49"/>
  <c r="GJ11" i="49"/>
  <c r="GJ16" i="49"/>
  <c r="GJ30" i="49"/>
  <c r="GJ62" i="49"/>
  <c r="GJ127" i="49"/>
  <c r="FV212" i="49"/>
  <c r="FV219" i="49"/>
  <c r="FV138" i="49"/>
  <c r="FV184" i="49"/>
  <c r="FV84" i="49"/>
  <c r="FV41" i="49"/>
  <c r="FV124" i="49"/>
  <c r="FO138" i="49"/>
  <c r="FO146" i="49"/>
  <c r="FO151" i="49"/>
  <c r="FO162" i="49"/>
  <c r="FO207" i="49"/>
  <c r="FO185" i="49"/>
  <c r="FO190" i="49"/>
  <c r="FO194" i="49"/>
  <c r="FO200" i="49"/>
  <c r="FO134" i="49"/>
  <c r="FO145" i="49"/>
  <c r="FO118" i="49"/>
  <c r="FO104" i="49"/>
  <c r="FO177" i="49"/>
  <c r="FO158" i="49"/>
  <c r="FO178" i="49"/>
  <c r="FO192" i="49"/>
  <c r="FO197" i="49"/>
  <c r="FO204" i="49"/>
  <c r="FO43" i="49"/>
  <c r="FO70" i="49"/>
  <c r="FO51" i="49"/>
  <c r="FO23" i="49"/>
  <c r="FO79" i="49"/>
  <c r="FO135" i="49"/>
  <c r="FO125" i="49"/>
  <c r="FO122" i="49"/>
  <c r="FO112" i="49"/>
  <c r="FO155" i="49"/>
  <c r="FO163" i="49"/>
  <c r="FO156" i="49"/>
  <c r="FO195" i="49"/>
  <c r="FO180" i="49"/>
  <c r="FO208" i="49"/>
  <c r="FO137" i="49"/>
  <c r="FO115" i="49"/>
  <c r="FO159" i="49"/>
  <c r="FO167" i="49"/>
  <c r="FO161" i="49"/>
  <c r="FO198" i="49"/>
  <c r="FO201" i="49"/>
  <c r="FO218" i="49"/>
  <c r="FY63" i="49"/>
  <c r="FO71" i="49"/>
  <c r="FO27" i="49"/>
  <c r="FO35" i="49"/>
  <c r="FO103" i="49"/>
  <c r="FO101" i="49"/>
  <c r="FO88" i="49"/>
  <c r="FO126" i="49"/>
  <c r="FO133" i="49"/>
  <c r="FO181" i="49"/>
  <c r="FO150" i="49"/>
  <c r="FO184" i="49"/>
  <c r="FO206" i="49"/>
  <c r="FO213" i="49"/>
  <c r="FO220" i="49"/>
  <c r="FV113" i="49"/>
  <c r="FY158" i="49"/>
  <c r="FO74" i="49"/>
  <c r="FO76" i="49"/>
  <c r="FO30" i="49"/>
  <c r="FO54" i="49"/>
  <c r="FO38" i="49"/>
  <c r="FO111" i="49"/>
  <c r="FO110" i="49"/>
  <c r="FO92" i="49"/>
  <c r="FO129" i="49"/>
  <c r="FO140" i="49"/>
  <c r="FO176" i="49"/>
  <c r="FO153" i="49"/>
  <c r="FO215" i="49"/>
  <c r="FO210" i="49"/>
  <c r="FO182" i="49"/>
  <c r="FO219" i="49"/>
  <c r="FO25" i="49"/>
  <c r="FO33" i="49"/>
  <c r="FO57" i="49"/>
  <c r="FO41" i="49"/>
  <c r="FO114" i="49"/>
  <c r="FO113" i="49"/>
  <c r="FO96" i="49"/>
  <c r="FO132" i="49"/>
  <c r="FO143" i="49"/>
  <c r="FO148" i="49"/>
  <c r="FO157" i="49"/>
  <c r="FO203" i="49"/>
  <c r="FO214" i="49"/>
  <c r="FO187" i="49"/>
  <c r="FV171" i="49"/>
  <c r="FT15" i="49"/>
  <c r="FT61" i="49"/>
  <c r="FT96" i="49"/>
  <c r="FT191" i="49"/>
  <c r="FQ77" i="49"/>
  <c r="FQ159" i="49"/>
  <c r="FV53" i="49"/>
  <c r="FV70" i="49"/>
  <c r="FV140" i="49"/>
  <c r="FV110" i="49"/>
  <c r="FV165" i="49"/>
  <c r="FV208" i="49"/>
  <c r="FT39" i="49"/>
  <c r="FT153" i="49"/>
  <c r="FQ53" i="49"/>
  <c r="FQ114" i="49"/>
  <c r="FQ175" i="49"/>
  <c r="FT11" i="49"/>
  <c r="FT87" i="49"/>
  <c r="FT169" i="49"/>
  <c r="FQ56" i="49"/>
  <c r="FQ120" i="49"/>
  <c r="FQ182" i="49"/>
  <c r="FV118" i="49"/>
  <c r="FV90" i="49"/>
  <c r="FV125" i="49"/>
  <c r="FV172" i="49"/>
  <c r="FV186" i="49"/>
  <c r="FT14" i="49"/>
  <c r="FT91" i="49"/>
  <c r="FT180" i="49"/>
  <c r="FQ37" i="49"/>
  <c r="FQ101" i="49"/>
  <c r="FQ190" i="49"/>
  <c r="FV15" i="49"/>
  <c r="FV27" i="49"/>
  <c r="FV69" i="49"/>
  <c r="FV25" i="49"/>
  <c r="FV122" i="49"/>
  <c r="FV98" i="49"/>
  <c r="FV136" i="49"/>
  <c r="FV176" i="49"/>
  <c r="FV195" i="49"/>
  <c r="FT140" i="49"/>
  <c r="FT179" i="49"/>
  <c r="FQ40" i="49"/>
  <c r="FQ110" i="49"/>
  <c r="FQ193" i="49"/>
  <c r="FV10" i="49"/>
  <c r="FV18" i="49"/>
  <c r="FV30" i="49"/>
  <c r="FV72" i="49"/>
  <c r="FV31" i="49"/>
  <c r="FV141" i="49"/>
  <c r="FV114" i="49"/>
  <c r="FV158" i="49"/>
  <c r="FV179" i="49"/>
  <c r="FV203" i="49"/>
  <c r="FT23" i="49"/>
  <c r="FT143" i="49"/>
  <c r="FT154" i="49"/>
  <c r="FQ64" i="49"/>
  <c r="FQ83" i="49"/>
  <c r="FQ181" i="49"/>
  <c r="FT10" i="49"/>
  <c r="FT127" i="49"/>
  <c r="FT190" i="49"/>
  <c r="FQ67" i="49"/>
  <c r="FQ88" i="49"/>
  <c r="FQ186" i="49"/>
  <c r="FV39" i="49"/>
  <c r="FV26" i="49"/>
  <c r="FV132" i="49"/>
  <c r="FV127" i="49"/>
  <c r="FV157" i="49"/>
  <c r="FV214" i="49"/>
  <c r="FT13" i="49"/>
  <c r="FT53" i="49"/>
  <c r="FT130" i="49"/>
  <c r="FT193" i="49"/>
  <c r="FQ45" i="49"/>
  <c r="FQ141" i="49"/>
  <c r="FQ188" i="49"/>
  <c r="FT28" i="49"/>
  <c r="FT97" i="49"/>
  <c r="FT195" i="49"/>
  <c r="FQ48" i="49"/>
  <c r="FQ144" i="49"/>
  <c r="FQ191" i="49"/>
  <c r="FV22" i="49"/>
  <c r="FV48" i="49"/>
  <c r="FV44" i="49"/>
  <c r="FV58" i="49"/>
  <c r="FV91" i="49"/>
  <c r="FV81" i="49"/>
  <c r="FV149" i="49"/>
  <c r="FV191" i="49"/>
  <c r="FY188" i="49"/>
  <c r="FT31" i="49"/>
  <c r="FT101" i="49"/>
  <c r="FT198" i="49"/>
  <c r="FQ69" i="49"/>
  <c r="FQ115" i="49"/>
  <c r="FQ216" i="49"/>
  <c r="FV51" i="49"/>
  <c r="FV50" i="49"/>
  <c r="FV64" i="49"/>
  <c r="FV95" i="49"/>
  <c r="FV93" i="49"/>
  <c r="FV152" i="49"/>
  <c r="FV197" i="49"/>
  <c r="FT12" i="49"/>
  <c r="FT58" i="49"/>
  <c r="FT92" i="49"/>
  <c r="FT188" i="49"/>
  <c r="FQ72" i="49"/>
  <c r="FQ116" i="49"/>
  <c r="FQ220" i="49"/>
  <c r="FV11" i="49"/>
  <c r="FV67" i="49"/>
  <c r="FV99" i="49"/>
  <c r="FV97" i="49"/>
  <c r="FV161" i="49"/>
  <c r="FV201" i="49"/>
  <c r="FV100" i="49"/>
  <c r="FV112" i="49"/>
  <c r="FV86" i="49"/>
  <c r="FV163" i="49"/>
  <c r="FV159" i="49"/>
  <c r="FV213" i="49"/>
  <c r="FV34" i="49"/>
  <c r="FV105" i="49"/>
  <c r="FV121" i="49"/>
  <c r="FV135" i="49"/>
  <c r="FV175" i="49"/>
  <c r="FV168" i="49"/>
  <c r="FV196" i="49"/>
  <c r="FV35" i="49"/>
  <c r="FV37" i="49"/>
  <c r="FV109" i="49"/>
  <c r="FV133" i="49"/>
  <c r="FV142" i="49"/>
  <c r="FV150" i="49"/>
  <c r="FV148" i="49"/>
  <c r="FV200" i="49"/>
  <c r="FT16" i="49"/>
  <c r="FT18" i="49"/>
  <c r="FT17" i="49"/>
  <c r="FT26" i="49"/>
  <c r="FT56" i="49"/>
  <c r="FT34" i="49"/>
  <c r="FT64" i="49"/>
  <c r="FT42" i="49"/>
  <c r="FT95" i="49"/>
  <c r="FT146" i="49"/>
  <c r="FT134" i="49"/>
  <c r="FT110" i="49"/>
  <c r="FT100" i="49"/>
  <c r="FT157" i="49"/>
  <c r="FT173" i="49"/>
  <c r="FT158" i="49"/>
  <c r="FT196" i="49"/>
  <c r="FT203" i="49"/>
  <c r="FT194" i="49"/>
  <c r="FQ59" i="49"/>
  <c r="FQ43" i="49"/>
  <c r="FQ70" i="49"/>
  <c r="FQ51" i="49"/>
  <c r="FQ23" i="49"/>
  <c r="FQ133" i="49"/>
  <c r="FQ124" i="49"/>
  <c r="FQ113" i="49"/>
  <c r="FQ92" i="49"/>
  <c r="FQ126" i="49"/>
  <c r="FQ121" i="49"/>
  <c r="FQ168" i="49"/>
  <c r="FQ147" i="49"/>
  <c r="FQ196" i="49"/>
  <c r="FQ189" i="49"/>
  <c r="FQ194" i="49"/>
  <c r="FT19" i="49"/>
  <c r="FT21" i="49"/>
  <c r="FT20" i="49"/>
  <c r="FT29" i="49"/>
  <c r="FT59" i="49"/>
  <c r="FT37" i="49"/>
  <c r="FT67" i="49"/>
  <c r="FT45" i="49"/>
  <c r="FT99" i="49"/>
  <c r="FT84" i="49"/>
  <c r="FT86" i="49"/>
  <c r="FT113" i="49"/>
  <c r="FT105" i="49"/>
  <c r="FT162" i="49"/>
  <c r="FT177" i="49"/>
  <c r="FT163" i="49"/>
  <c r="FT200" i="49"/>
  <c r="FT207" i="49"/>
  <c r="FT197" i="49"/>
  <c r="FQ62" i="49"/>
  <c r="FQ46" i="49"/>
  <c r="FQ73" i="49"/>
  <c r="FQ80" i="49"/>
  <c r="FQ26" i="49"/>
  <c r="FQ140" i="49"/>
  <c r="FQ127" i="49"/>
  <c r="FQ119" i="49"/>
  <c r="FQ96" i="49"/>
  <c r="FQ129" i="49"/>
  <c r="FQ156" i="49"/>
  <c r="FQ176" i="49"/>
  <c r="FQ150" i="49"/>
  <c r="FQ200" i="49"/>
  <c r="FQ192" i="49"/>
  <c r="FQ197" i="49"/>
  <c r="FT22" i="49"/>
  <c r="FT54" i="49"/>
  <c r="FT32" i="49"/>
  <c r="FT62" i="49"/>
  <c r="FT40" i="49"/>
  <c r="FT70" i="49"/>
  <c r="FT48" i="49"/>
  <c r="FT104" i="49"/>
  <c r="FT90" i="49"/>
  <c r="FT135" i="49"/>
  <c r="FT119" i="49"/>
  <c r="FT106" i="49"/>
  <c r="FT166" i="49"/>
  <c r="FT155" i="49"/>
  <c r="FT167" i="49"/>
  <c r="FT204" i="49"/>
  <c r="FT211" i="49"/>
  <c r="FT216" i="49"/>
  <c r="FQ10" i="49"/>
  <c r="FQ65" i="49"/>
  <c r="FQ49" i="49"/>
  <c r="FQ78" i="49"/>
  <c r="FQ29" i="49"/>
  <c r="FQ143" i="49"/>
  <c r="FQ130" i="49"/>
  <c r="FQ123" i="49"/>
  <c r="FQ100" i="49"/>
  <c r="FQ132" i="49"/>
  <c r="FQ161" i="49"/>
  <c r="FQ148" i="49"/>
  <c r="FQ153" i="49"/>
  <c r="FQ204" i="49"/>
  <c r="FQ195" i="49"/>
  <c r="FQ180" i="49"/>
  <c r="FT57" i="49"/>
  <c r="FT35" i="49"/>
  <c r="FT65" i="49"/>
  <c r="FT43" i="49"/>
  <c r="FT73" i="49"/>
  <c r="FT51" i="49"/>
  <c r="FT112" i="49"/>
  <c r="FT94" i="49"/>
  <c r="FT139" i="49"/>
  <c r="FT123" i="49"/>
  <c r="FT109" i="49"/>
  <c r="FT174" i="49"/>
  <c r="FT159" i="49"/>
  <c r="FT175" i="49"/>
  <c r="FT208" i="49"/>
  <c r="FT181" i="49"/>
  <c r="FT220" i="49"/>
  <c r="FQ12" i="49"/>
  <c r="FQ11" i="49"/>
  <c r="FQ13" i="49"/>
  <c r="FQ68" i="49"/>
  <c r="FQ24" i="49"/>
  <c r="FQ75" i="49"/>
  <c r="FQ32" i="49"/>
  <c r="FQ146" i="49"/>
  <c r="FQ134" i="49"/>
  <c r="FQ139" i="49"/>
  <c r="FQ105" i="49"/>
  <c r="FQ138" i="49"/>
  <c r="FQ165" i="49"/>
  <c r="FQ151" i="49"/>
  <c r="FQ157" i="49"/>
  <c r="FQ208" i="49"/>
  <c r="FQ198" i="49"/>
  <c r="FQ201" i="49"/>
  <c r="FT60" i="49"/>
  <c r="FT38" i="49"/>
  <c r="FT68" i="49"/>
  <c r="FT46" i="49"/>
  <c r="FT115" i="49"/>
  <c r="FT98" i="49"/>
  <c r="FT142" i="49"/>
  <c r="FT125" i="49"/>
  <c r="FT118" i="49"/>
  <c r="FT178" i="49"/>
  <c r="FT164" i="49"/>
  <c r="FT201" i="49"/>
  <c r="FT212" i="49"/>
  <c r="FT183" i="49"/>
  <c r="FT219" i="49"/>
  <c r="FQ15" i="49"/>
  <c r="FQ14" i="49"/>
  <c r="FQ16" i="49"/>
  <c r="FQ71" i="49"/>
  <c r="FQ27" i="49"/>
  <c r="FQ35" i="49"/>
  <c r="FQ84" i="49"/>
  <c r="FQ86" i="49"/>
  <c r="FQ142" i="49"/>
  <c r="FQ106" i="49"/>
  <c r="FQ87" i="49"/>
  <c r="FQ169" i="49"/>
  <c r="FQ172" i="49"/>
  <c r="FQ162" i="49"/>
  <c r="FQ212" i="49"/>
  <c r="FQ183" i="49"/>
  <c r="FQ205" i="49"/>
  <c r="FT63" i="49"/>
  <c r="FT41" i="49"/>
  <c r="FT71" i="49"/>
  <c r="FT49" i="49"/>
  <c r="FT78" i="49"/>
  <c r="FT85" i="49"/>
  <c r="FT116" i="49"/>
  <c r="FT103" i="49"/>
  <c r="FT145" i="49"/>
  <c r="FT128" i="49"/>
  <c r="FT122" i="49"/>
  <c r="FT149" i="49"/>
  <c r="FT168" i="49"/>
  <c r="FT205" i="49"/>
  <c r="FT184" i="49"/>
  <c r="FT202" i="49"/>
  <c r="FT218" i="49"/>
  <c r="FQ18" i="49"/>
  <c r="FQ17" i="49"/>
  <c r="FQ19" i="49"/>
  <c r="FQ74" i="49"/>
  <c r="FQ76" i="49"/>
  <c r="FQ30" i="49"/>
  <c r="FQ54" i="49"/>
  <c r="FQ38" i="49"/>
  <c r="FQ90" i="49"/>
  <c r="FQ135" i="49"/>
  <c r="FQ145" i="49"/>
  <c r="FQ109" i="49"/>
  <c r="FQ91" i="49"/>
  <c r="FQ149" i="49"/>
  <c r="FQ179" i="49"/>
  <c r="FQ166" i="49"/>
  <c r="FQ184" i="49"/>
  <c r="FQ202" i="49"/>
  <c r="FQ209" i="49"/>
  <c r="FT66" i="49"/>
  <c r="FT44" i="49"/>
  <c r="FT79" i="49"/>
  <c r="FT24" i="49"/>
  <c r="FT126" i="49"/>
  <c r="FT121" i="49"/>
  <c r="FT111" i="49"/>
  <c r="FT147" i="49"/>
  <c r="FT131" i="49"/>
  <c r="FT137" i="49"/>
  <c r="FT152" i="49"/>
  <c r="FT148" i="49"/>
  <c r="FT209" i="49"/>
  <c r="FT215" i="49"/>
  <c r="FT206" i="49"/>
  <c r="FT217" i="49"/>
  <c r="FQ21" i="49"/>
  <c r="FQ20" i="49"/>
  <c r="FQ22" i="49"/>
  <c r="FQ25" i="49"/>
  <c r="FQ33" i="49"/>
  <c r="FQ57" i="49"/>
  <c r="FQ41" i="49"/>
  <c r="FQ94" i="49"/>
  <c r="FQ81" i="49"/>
  <c r="FQ125" i="49"/>
  <c r="FQ118" i="49"/>
  <c r="FQ95" i="49"/>
  <c r="FQ152" i="49"/>
  <c r="FQ154" i="49"/>
  <c r="FQ171" i="49"/>
  <c r="FQ215" i="49"/>
  <c r="FQ206" i="49"/>
  <c r="FQ213" i="49"/>
  <c r="FT69" i="49"/>
  <c r="FT47" i="49"/>
  <c r="FT27" i="49"/>
  <c r="FT129" i="49"/>
  <c r="FT80" i="49"/>
  <c r="FT114" i="49"/>
  <c r="FT81" i="49"/>
  <c r="FT136" i="49"/>
  <c r="FT141" i="49"/>
  <c r="FT156" i="49"/>
  <c r="FT151" i="49"/>
  <c r="FT213" i="49"/>
  <c r="FT186" i="49"/>
  <c r="FT210" i="49"/>
  <c r="FQ28" i="49"/>
  <c r="FQ55" i="49"/>
  <c r="FQ36" i="49"/>
  <c r="FQ60" i="49"/>
  <c r="FQ44" i="49"/>
  <c r="FQ98" i="49"/>
  <c r="FQ89" i="49"/>
  <c r="FQ128" i="49"/>
  <c r="FQ122" i="49"/>
  <c r="FQ99" i="49"/>
  <c r="FQ173" i="49"/>
  <c r="FQ158" i="49"/>
  <c r="FQ174" i="49"/>
  <c r="FQ203" i="49"/>
  <c r="FQ210" i="49"/>
  <c r="FQ219" i="49"/>
  <c r="FT72" i="49"/>
  <c r="FT50" i="49"/>
  <c r="FT74" i="49"/>
  <c r="FT76" i="49"/>
  <c r="FT30" i="49"/>
  <c r="FT132" i="49"/>
  <c r="FT82" i="49"/>
  <c r="FT120" i="49"/>
  <c r="FT89" i="49"/>
  <c r="FT83" i="49"/>
  <c r="FT144" i="49"/>
  <c r="FT161" i="49"/>
  <c r="FT172" i="49"/>
  <c r="FT182" i="49"/>
  <c r="FT189" i="49"/>
  <c r="FT214" i="49"/>
  <c r="FQ79" i="49"/>
  <c r="FQ31" i="49"/>
  <c r="FQ58" i="49"/>
  <c r="FQ39" i="49"/>
  <c r="FQ63" i="49"/>
  <c r="FQ47" i="49"/>
  <c r="FQ103" i="49"/>
  <c r="FQ93" i="49"/>
  <c r="FQ131" i="49"/>
  <c r="FQ137" i="49"/>
  <c r="FQ104" i="49"/>
  <c r="FQ177" i="49"/>
  <c r="FQ163" i="49"/>
  <c r="FQ178" i="49"/>
  <c r="FQ207" i="49"/>
  <c r="FQ214" i="49"/>
  <c r="FQ218" i="49"/>
  <c r="FT75" i="49"/>
  <c r="FT77" i="49"/>
  <c r="FT25" i="49"/>
  <c r="FT55" i="49"/>
  <c r="FT33" i="49"/>
  <c r="FT138" i="49"/>
  <c r="FT133" i="49"/>
  <c r="FT124" i="49"/>
  <c r="FT93" i="49"/>
  <c r="FT88" i="49"/>
  <c r="FT150" i="49"/>
  <c r="FT165" i="49"/>
  <c r="FT176" i="49"/>
  <c r="FT187" i="49"/>
  <c r="FT192" i="49"/>
  <c r="FQ34" i="49"/>
  <c r="FQ61" i="49"/>
  <c r="FQ42" i="49"/>
  <c r="FQ66" i="49"/>
  <c r="FQ50" i="49"/>
  <c r="FQ111" i="49"/>
  <c r="FQ97" i="49"/>
  <c r="FQ136" i="49"/>
  <c r="FQ85" i="49"/>
  <c r="FQ112" i="49"/>
  <c r="FQ155" i="49"/>
  <c r="FQ167" i="49"/>
  <c r="FQ187" i="49"/>
  <c r="FQ211" i="49"/>
  <c r="FQ185" i="49"/>
  <c r="FV207" i="49"/>
  <c r="GC41" i="49"/>
  <c r="FV205" i="49"/>
  <c r="FV181" i="49"/>
  <c r="FN33" i="49"/>
  <c r="FV217" i="49"/>
  <c r="FN79" i="49"/>
  <c r="FV190" i="49"/>
  <c r="FV216" i="49"/>
  <c r="FY15" i="49"/>
  <c r="FY54" i="49"/>
  <c r="FY60" i="49"/>
  <c r="FY41" i="49"/>
  <c r="FN80" i="49"/>
  <c r="FY119" i="49"/>
  <c r="FY130" i="49"/>
  <c r="FN92" i="49"/>
  <c r="FY134" i="49"/>
  <c r="FY140" i="49"/>
  <c r="FY68" i="49"/>
  <c r="FY178" i="49"/>
  <c r="FY152" i="49"/>
  <c r="FY17" i="49"/>
  <c r="FY86" i="49"/>
  <c r="FY195" i="49"/>
  <c r="FY21" i="49"/>
  <c r="FY125" i="49"/>
  <c r="FY180" i="49"/>
  <c r="FN105" i="49"/>
  <c r="FY55" i="49"/>
  <c r="FY105" i="49"/>
  <c r="FY196" i="49"/>
  <c r="FN109" i="49"/>
  <c r="FY61" i="49"/>
  <c r="FY132" i="49"/>
  <c r="FN116" i="49"/>
  <c r="FY24" i="49"/>
  <c r="FY87" i="49"/>
  <c r="GC50" i="49"/>
  <c r="GC90" i="49"/>
  <c r="FN43" i="49"/>
  <c r="FN150" i="49"/>
  <c r="FN55" i="49"/>
  <c r="FN153" i="49"/>
  <c r="FN64" i="49"/>
  <c r="FN149" i="49"/>
  <c r="FN70" i="49"/>
  <c r="FN210" i="49"/>
  <c r="FN78" i="49"/>
  <c r="FY65" i="49"/>
  <c r="FY97" i="49"/>
  <c r="FY129" i="49"/>
  <c r="FY124" i="49"/>
  <c r="FY166" i="49"/>
  <c r="FY214" i="49"/>
  <c r="FY69" i="49"/>
  <c r="FY76" i="49"/>
  <c r="FY131" i="49"/>
  <c r="FY104" i="49"/>
  <c r="FY159" i="49"/>
  <c r="FY161" i="49"/>
  <c r="FY205" i="49"/>
  <c r="FY67" i="49"/>
  <c r="FY23" i="49"/>
  <c r="FY28" i="49"/>
  <c r="FY83" i="49"/>
  <c r="FY115" i="49"/>
  <c r="FY168" i="49"/>
  <c r="FY165" i="49"/>
  <c r="FY209" i="49"/>
  <c r="GC65" i="49"/>
  <c r="FY73" i="49"/>
  <c r="FY29" i="49"/>
  <c r="FY34" i="49"/>
  <c r="FY88" i="49"/>
  <c r="FY116" i="49"/>
  <c r="FY176" i="49"/>
  <c r="FY169" i="49"/>
  <c r="FY190" i="49"/>
  <c r="FY32" i="49"/>
  <c r="FY46" i="49"/>
  <c r="FY92" i="49"/>
  <c r="FY133" i="49"/>
  <c r="FY154" i="49"/>
  <c r="FY186" i="49"/>
  <c r="FY193" i="49"/>
  <c r="FY10" i="49"/>
  <c r="FY33" i="49"/>
  <c r="FY44" i="49"/>
  <c r="FY135" i="49"/>
  <c r="FY118" i="49"/>
  <c r="FY143" i="49"/>
  <c r="FY175" i="49"/>
  <c r="FY207" i="49"/>
  <c r="FY208" i="49"/>
  <c r="GC103" i="49"/>
  <c r="FN53" i="49"/>
  <c r="FN180" i="49"/>
  <c r="FY13" i="49"/>
  <c r="FY42" i="49"/>
  <c r="FY47" i="49"/>
  <c r="FY145" i="49"/>
  <c r="FY141" i="49"/>
  <c r="FY90" i="49"/>
  <c r="FY181" i="49"/>
  <c r="FY211" i="49"/>
  <c r="FY216" i="49"/>
  <c r="GC164" i="49"/>
  <c r="FN65" i="49"/>
  <c r="FN187" i="49"/>
  <c r="FY22" i="49"/>
  <c r="FY51" i="49"/>
  <c r="FY81" i="49"/>
  <c r="FY144" i="49"/>
  <c r="FY103" i="49"/>
  <c r="FY147" i="49"/>
  <c r="FY202" i="49"/>
  <c r="FY215" i="49"/>
  <c r="GC151" i="49"/>
  <c r="FN97" i="49"/>
  <c r="FN193" i="49"/>
  <c r="FY12" i="49"/>
  <c r="FY75" i="49"/>
  <c r="FY56" i="49"/>
  <c r="FY89" i="49"/>
  <c r="FY80" i="49"/>
  <c r="FY120" i="49"/>
  <c r="FY171" i="49"/>
  <c r="FY210" i="49"/>
  <c r="FN28" i="49"/>
  <c r="FN119" i="49"/>
  <c r="GC167" i="49"/>
  <c r="FN60" i="49"/>
  <c r="FN122" i="49"/>
  <c r="GC147" i="49"/>
  <c r="FN23" i="49"/>
  <c r="FN144" i="49"/>
  <c r="FN18" i="49"/>
  <c r="FN44" i="49"/>
  <c r="FN99" i="49"/>
  <c r="FW118" i="49"/>
  <c r="FW187" i="49"/>
  <c r="FN25" i="49"/>
  <c r="FN77" i="49"/>
  <c r="FN112" i="49"/>
  <c r="FW85" i="49"/>
  <c r="FW211" i="49"/>
  <c r="GC56" i="49"/>
  <c r="GC31" i="49"/>
  <c r="GC97" i="49"/>
  <c r="GC189" i="49"/>
  <c r="GF17" i="49"/>
  <c r="GC18" i="49"/>
  <c r="GC40" i="49"/>
  <c r="GC113" i="49"/>
  <c r="GC198" i="49"/>
  <c r="GF163" i="49"/>
  <c r="GC131" i="49"/>
  <c r="GC206" i="49"/>
  <c r="GC24" i="49"/>
  <c r="GC88" i="49"/>
  <c r="GC183" i="49"/>
  <c r="GC33" i="49"/>
  <c r="GC129" i="49"/>
  <c r="GC215" i="49"/>
  <c r="FN110" i="49"/>
  <c r="FN143" i="49"/>
  <c r="GC20" i="49"/>
  <c r="GC51" i="49"/>
  <c r="GC95" i="49"/>
  <c r="GC217" i="49"/>
  <c r="FN98" i="49"/>
  <c r="GC121" i="49"/>
  <c r="FN14" i="49"/>
  <c r="FN123" i="49"/>
  <c r="FN181" i="49"/>
  <c r="GC69" i="49"/>
  <c r="GC82" i="49"/>
  <c r="FN12" i="49"/>
  <c r="FN57" i="49"/>
  <c r="FN125" i="49"/>
  <c r="FN158" i="49"/>
  <c r="FV45" i="49"/>
  <c r="FV23" i="49"/>
  <c r="FV56" i="49"/>
  <c r="FV40" i="49"/>
  <c r="FV73" i="49"/>
  <c r="FV137" i="49"/>
  <c r="FV104" i="49"/>
  <c r="FV94" i="49"/>
  <c r="FV139" i="49"/>
  <c r="FV123" i="49"/>
  <c r="FV153" i="49"/>
  <c r="FV180" i="49"/>
  <c r="FV183" i="49"/>
  <c r="FV209" i="49"/>
  <c r="FV215" i="49"/>
  <c r="FV220" i="49"/>
  <c r="FY18" i="49"/>
  <c r="FY30" i="49"/>
  <c r="FY66" i="49"/>
  <c r="FY50" i="49"/>
  <c r="FY31" i="49"/>
  <c r="FY93" i="49"/>
  <c r="FY100" i="49"/>
  <c r="FY138" i="49"/>
  <c r="FY146" i="49"/>
  <c r="FY164" i="49"/>
  <c r="FY150" i="49"/>
  <c r="FY177" i="49"/>
  <c r="FY185" i="49"/>
  <c r="FY204" i="49"/>
  <c r="GJ20" i="49"/>
  <c r="GJ12" i="49"/>
  <c r="GJ54" i="49"/>
  <c r="GJ71" i="49"/>
  <c r="GJ106" i="49"/>
  <c r="GJ110" i="49"/>
  <c r="GJ204" i="49"/>
  <c r="FN11" i="49"/>
  <c r="FN40" i="49"/>
  <c r="FN30" i="49"/>
  <c r="FN72" i="49"/>
  <c r="FN62" i="49"/>
  <c r="FN86" i="49"/>
  <c r="FN141" i="49"/>
  <c r="FN90" i="49"/>
  <c r="FN165" i="49"/>
  <c r="FW17" i="49"/>
  <c r="FW44" i="49"/>
  <c r="FW144" i="49"/>
  <c r="FW154" i="49"/>
  <c r="FV29" i="49"/>
  <c r="FV62" i="49"/>
  <c r="FV46" i="49"/>
  <c r="FV83" i="49"/>
  <c r="FV144" i="49"/>
  <c r="FV115" i="49"/>
  <c r="FV103" i="49"/>
  <c r="FV145" i="49"/>
  <c r="FV128" i="49"/>
  <c r="FV162" i="49"/>
  <c r="FV177" i="49"/>
  <c r="FV206" i="49"/>
  <c r="FV182" i="49"/>
  <c r="FV189" i="49"/>
  <c r="FV218" i="49"/>
  <c r="FY36" i="49"/>
  <c r="FY72" i="49"/>
  <c r="FY74" i="49"/>
  <c r="FY37" i="49"/>
  <c r="FY110" i="49"/>
  <c r="FY106" i="49"/>
  <c r="FY91" i="49"/>
  <c r="FY94" i="49"/>
  <c r="FY148" i="49"/>
  <c r="FY157" i="49"/>
  <c r="FY189" i="49"/>
  <c r="FY191" i="49"/>
  <c r="FY184" i="49"/>
  <c r="GJ18" i="49"/>
  <c r="GJ66" i="49"/>
  <c r="GJ34" i="49"/>
  <c r="GJ122" i="49"/>
  <c r="GJ175" i="49"/>
  <c r="GJ186" i="49"/>
  <c r="FN17" i="49"/>
  <c r="FN49" i="49"/>
  <c r="FN36" i="49"/>
  <c r="FN29" i="49"/>
  <c r="FN68" i="49"/>
  <c r="FN131" i="49"/>
  <c r="FN126" i="49"/>
  <c r="FN103" i="49"/>
  <c r="FN173" i="49"/>
  <c r="FW22" i="49"/>
  <c r="FW71" i="49"/>
  <c r="FW80" i="49"/>
  <c r="FW152" i="49"/>
  <c r="FV32" i="49"/>
  <c r="FV65" i="49"/>
  <c r="FV49" i="49"/>
  <c r="FV88" i="49"/>
  <c r="FV85" i="49"/>
  <c r="FV116" i="49"/>
  <c r="FV111" i="49"/>
  <c r="FV147" i="49"/>
  <c r="FV131" i="49"/>
  <c r="FV166" i="49"/>
  <c r="FV155" i="49"/>
  <c r="FV210" i="49"/>
  <c r="FV187" i="49"/>
  <c r="FV192" i="49"/>
  <c r="FY11" i="49"/>
  <c r="FY78" i="49"/>
  <c r="FY39" i="49"/>
  <c r="FY53" i="49"/>
  <c r="FY40" i="49"/>
  <c r="FY113" i="49"/>
  <c r="FY109" i="49"/>
  <c r="FY99" i="49"/>
  <c r="FY98" i="49"/>
  <c r="FY151" i="49"/>
  <c r="FY162" i="49"/>
  <c r="FY192" i="49"/>
  <c r="FY197" i="49"/>
  <c r="FY218" i="49"/>
  <c r="GJ21" i="49"/>
  <c r="GJ72" i="49"/>
  <c r="GJ40" i="49"/>
  <c r="GJ133" i="49"/>
  <c r="GJ157" i="49"/>
  <c r="GJ220" i="49"/>
  <c r="FN13" i="49"/>
  <c r="FN45" i="49"/>
  <c r="FN35" i="49"/>
  <c r="FN84" i="49"/>
  <c r="FN81" i="49"/>
  <c r="FN138" i="49"/>
  <c r="FN134" i="49"/>
  <c r="FN189" i="49"/>
  <c r="FW30" i="49"/>
  <c r="FW76" i="49"/>
  <c r="FW129" i="49"/>
  <c r="FW161" i="49"/>
  <c r="FN16" i="49"/>
  <c r="FN76" i="49"/>
  <c r="FN48" i="49"/>
  <c r="FN38" i="49"/>
  <c r="FN135" i="49"/>
  <c r="FN147" i="49"/>
  <c r="FN85" i="49"/>
  <c r="FN159" i="49"/>
  <c r="FN195" i="49"/>
  <c r="FV38" i="49"/>
  <c r="FV71" i="49"/>
  <c r="FV96" i="49"/>
  <c r="FV129" i="49"/>
  <c r="FV82" i="49"/>
  <c r="FV120" i="49"/>
  <c r="FV89" i="49"/>
  <c r="FV154" i="49"/>
  <c r="FV178" i="49"/>
  <c r="FV164" i="49"/>
  <c r="FV185" i="49"/>
  <c r="FV193" i="49"/>
  <c r="FV198" i="49"/>
  <c r="FY20" i="49"/>
  <c r="FY58" i="49"/>
  <c r="FY48" i="49"/>
  <c r="FY26" i="49"/>
  <c r="FY59" i="49"/>
  <c r="FY49" i="49"/>
  <c r="FY123" i="49"/>
  <c r="FY137" i="49"/>
  <c r="FY112" i="49"/>
  <c r="FY111" i="49"/>
  <c r="FY179" i="49"/>
  <c r="FY174" i="49"/>
  <c r="FY203" i="49"/>
  <c r="FY201" i="49"/>
  <c r="FY220" i="49"/>
  <c r="GJ10" i="49"/>
  <c r="GJ33" i="49"/>
  <c r="GJ35" i="49"/>
  <c r="GJ95" i="49"/>
  <c r="GJ169" i="49"/>
  <c r="FN19" i="49"/>
  <c r="FN51" i="49"/>
  <c r="FN41" i="49"/>
  <c r="FN89" i="49"/>
  <c r="FN88" i="49"/>
  <c r="FN91" i="49"/>
  <c r="FN168" i="49"/>
  <c r="FN206" i="49"/>
  <c r="FW42" i="49"/>
  <c r="FW40" i="49"/>
  <c r="FW146" i="49"/>
  <c r="FW206" i="49"/>
  <c r="FV33" i="49"/>
  <c r="FV66" i="49"/>
  <c r="FV47" i="49"/>
  <c r="FV28" i="49"/>
  <c r="FV61" i="49"/>
  <c r="FV106" i="49"/>
  <c r="FV87" i="49"/>
  <c r="FV143" i="49"/>
  <c r="FV130" i="49"/>
  <c r="FV101" i="49"/>
  <c r="FV167" i="49"/>
  <c r="FV156" i="49"/>
  <c r="FV151" i="49"/>
  <c r="FV194" i="49"/>
  <c r="FV204" i="49"/>
  <c r="FY16" i="49"/>
  <c r="FY70" i="49"/>
  <c r="FY38" i="49"/>
  <c r="FY71" i="49"/>
  <c r="FY139" i="49"/>
  <c r="FY136" i="49"/>
  <c r="FY85" i="49"/>
  <c r="FY82" i="49"/>
  <c r="FY127" i="49"/>
  <c r="FY163" i="49"/>
  <c r="FY156" i="49"/>
  <c r="FY183" i="49"/>
  <c r="FY182" i="49"/>
  <c r="GJ45" i="49"/>
  <c r="GJ67" i="49"/>
  <c r="GJ114" i="49"/>
  <c r="GJ202" i="49"/>
  <c r="FN21" i="49"/>
  <c r="FN67" i="49"/>
  <c r="FN54" i="49"/>
  <c r="FN113" i="49"/>
  <c r="FN106" i="49"/>
  <c r="FN115" i="49"/>
  <c r="FN167" i="49"/>
  <c r="FN213" i="49"/>
  <c r="FW70" i="49"/>
  <c r="FW120" i="49"/>
  <c r="FW182" i="49"/>
  <c r="FN37" i="49"/>
  <c r="FN27" i="49"/>
  <c r="FN69" i="49"/>
  <c r="FN59" i="49"/>
  <c r="FN145" i="49"/>
  <c r="FN83" i="49"/>
  <c r="FN146" i="49"/>
  <c r="FN156" i="49"/>
  <c r="FY187" i="49"/>
  <c r="FY219" i="49"/>
  <c r="GJ48" i="49"/>
  <c r="GJ41" i="49"/>
  <c r="GJ46" i="49"/>
  <c r="GJ80" i="49"/>
  <c r="GJ89" i="49"/>
  <c r="GJ148" i="49"/>
  <c r="GJ183" i="49"/>
  <c r="GC58" i="49"/>
  <c r="GC139" i="49"/>
  <c r="GC169" i="49"/>
  <c r="GC213" i="49"/>
  <c r="FW54" i="49"/>
  <c r="FW43" i="49"/>
  <c r="FW121" i="49"/>
  <c r="FW149" i="49"/>
  <c r="GJ140" i="49"/>
  <c r="GJ171" i="49"/>
  <c r="GJ205" i="49"/>
  <c r="GC109" i="49"/>
  <c r="GC166" i="49"/>
  <c r="FY212" i="49"/>
  <c r="GJ17" i="49"/>
  <c r="GJ19" i="49"/>
  <c r="GJ27" i="49"/>
  <c r="GJ60" i="49"/>
  <c r="GJ65" i="49"/>
  <c r="GJ73" i="49"/>
  <c r="GJ143" i="49"/>
  <c r="GJ178" i="49"/>
  <c r="GJ209" i="49"/>
  <c r="GC13" i="49"/>
  <c r="GC23" i="49"/>
  <c r="GC141" i="49"/>
  <c r="GC200" i="49"/>
  <c r="FW12" i="49"/>
  <c r="FW50" i="49"/>
  <c r="FW83" i="49"/>
  <c r="FW145" i="49"/>
  <c r="FW191" i="49"/>
  <c r="GJ86" i="49"/>
  <c r="GJ180" i="49"/>
  <c r="GJ192" i="49"/>
  <c r="GC130" i="49"/>
  <c r="GC156" i="49"/>
  <c r="GC201" i="49"/>
  <c r="FP148" i="49"/>
  <c r="GF193" i="49"/>
  <c r="FP157" i="49"/>
  <c r="GF25" i="49"/>
  <c r="GF207" i="49"/>
  <c r="FP34" i="49"/>
  <c r="FP208" i="49"/>
  <c r="GF220" i="49"/>
  <c r="FP61" i="49"/>
  <c r="FP183" i="49"/>
  <c r="GF36" i="49"/>
  <c r="FP42" i="49"/>
  <c r="FP205" i="49"/>
  <c r="GF63" i="49"/>
  <c r="FP69" i="49"/>
  <c r="GF104" i="49"/>
  <c r="FP77" i="49"/>
  <c r="GF98" i="49"/>
  <c r="FP124" i="49"/>
  <c r="GF16" i="49"/>
  <c r="GF81" i="49"/>
  <c r="FP123" i="49"/>
  <c r="GF83" i="49"/>
  <c r="FP100" i="49"/>
  <c r="GF15" i="49"/>
  <c r="GF85" i="49"/>
  <c r="FP138" i="49"/>
  <c r="GF173" i="49"/>
  <c r="FP161" i="49"/>
  <c r="FN20" i="49"/>
  <c r="FN31" i="49"/>
  <c r="FN58" i="49"/>
  <c r="FN39" i="49"/>
  <c r="FN63" i="49"/>
  <c r="FN47" i="49"/>
  <c r="FN71" i="49"/>
  <c r="FN139" i="49"/>
  <c r="FN96" i="49"/>
  <c r="FN129" i="49"/>
  <c r="FN133" i="49"/>
  <c r="FN120" i="49"/>
  <c r="FN151" i="49"/>
  <c r="FN166" i="49"/>
  <c r="FN203" i="49"/>
  <c r="FN188" i="49"/>
  <c r="FN204" i="49"/>
  <c r="FW138" i="49"/>
  <c r="FW97" i="49"/>
  <c r="FW177" i="49"/>
  <c r="FN10" i="49"/>
  <c r="FN34" i="49"/>
  <c r="FN61" i="49"/>
  <c r="FN42" i="49"/>
  <c r="FN66" i="49"/>
  <c r="FN50" i="49"/>
  <c r="FN74" i="49"/>
  <c r="FN142" i="49"/>
  <c r="FN100" i="49"/>
  <c r="FN132" i="49"/>
  <c r="FN87" i="49"/>
  <c r="FN124" i="49"/>
  <c r="FN172" i="49"/>
  <c r="FN171" i="49"/>
  <c r="FN207" i="49"/>
  <c r="FN191" i="49"/>
  <c r="FN208" i="49"/>
  <c r="FW45" i="49"/>
  <c r="FW79" i="49"/>
  <c r="FW73" i="49"/>
  <c r="FW87" i="49"/>
  <c r="FW101" i="49"/>
  <c r="FW159" i="49"/>
  <c r="FN140" i="49"/>
  <c r="FN127" i="49"/>
  <c r="FN179" i="49"/>
  <c r="FN174" i="49"/>
  <c r="FN211" i="49"/>
  <c r="FN194" i="49"/>
  <c r="FN217" i="49"/>
  <c r="FN130" i="49"/>
  <c r="FN154" i="49"/>
  <c r="FN178" i="49"/>
  <c r="FN186" i="49"/>
  <c r="FN197" i="49"/>
  <c r="FN22" i="49"/>
  <c r="FN46" i="49"/>
  <c r="FN73" i="49"/>
  <c r="FN26" i="49"/>
  <c r="FN93" i="49"/>
  <c r="FN128" i="49"/>
  <c r="FN118" i="49"/>
  <c r="FN95" i="49"/>
  <c r="FN82" i="49"/>
  <c r="FN155" i="49"/>
  <c r="FN163" i="49"/>
  <c r="FN161" i="49"/>
  <c r="FN192" i="49"/>
  <c r="FN209" i="49"/>
  <c r="FW20" i="49"/>
  <c r="FW57" i="49"/>
  <c r="FW25" i="49"/>
  <c r="FW88" i="49"/>
  <c r="FW84" i="49"/>
  <c r="FW158" i="49"/>
  <c r="FW194" i="49"/>
  <c r="FN15" i="49"/>
  <c r="FN24" i="49"/>
  <c r="FN75" i="49"/>
  <c r="FN32" i="49"/>
  <c r="FN56" i="49"/>
  <c r="FN101" i="49"/>
  <c r="FN136" i="49"/>
  <c r="FN137" i="49"/>
  <c r="FN104" i="49"/>
  <c r="FN94" i="49"/>
  <c r="FN164" i="49"/>
  <c r="FN175" i="49"/>
  <c r="FN169" i="49"/>
  <c r="FN202" i="49"/>
  <c r="FN182" i="49"/>
  <c r="FW16" i="49"/>
  <c r="FW26" i="49"/>
  <c r="FW34" i="49"/>
  <c r="FW137" i="49"/>
  <c r="FW103" i="49"/>
  <c r="FW178" i="49"/>
  <c r="FW205" i="49"/>
  <c r="FN111" i="49"/>
  <c r="FN176" i="49"/>
  <c r="FN157" i="49"/>
  <c r="FN177" i="49"/>
  <c r="FN214" i="49"/>
  <c r="FN196" i="49"/>
  <c r="FN121" i="49"/>
  <c r="FN114" i="49"/>
  <c r="FN148" i="49"/>
  <c r="FN162" i="49"/>
  <c r="FN215" i="49"/>
  <c r="FN185" i="49"/>
  <c r="FN200" i="49"/>
  <c r="FW15" i="49"/>
  <c r="FW60" i="49"/>
  <c r="FW46" i="49"/>
  <c r="FW92" i="49"/>
  <c r="FW91" i="49"/>
  <c r="FW127" i="49"/>
  <c r="FW163" i="49"/>
  <c r="FW164" i="49"/>
  <c r="FW196" i="49"/>
  <c r="FW21" i="49"/>
  <c r="FW66" i="49"/>
  <c r="FW53" i="49"/>
  <c r="FW100" i="49"/>
  <c r="FW99" i="49"/>
  <c r="FW134" i="49"/>
  <c r="FW150" i="49"/>
  <c r="FW148" i="49"/>
  <c r="FW208" i="49"/>
  <c r="FW24" i="49"/>
  <c r="FW72" i="49"/>
  <c r="FW59" i="49"/>
  <c r="FW78" i="49"/>
  <c r="FW106" i="49"/>
  <c r="FW115" i="49"/>
  <c r="FW135" i="49"/>
  <c r="FW153" i="49"/>
  <c r="FW176" i="49"/>
  <c r="FW184" i="49"/>
  <c r="FW27" i="49"/>
  <c r="FW77" i="49"/>
  <c r="FW62" i="49"/>
  <c r="FW55" i="49"/>
  <c r="FW109" i="49"/>
  <c r="FW116" i="49"/>
  <c r="FW142" i="49"/>
  <c r="FW157" i="49"/>
  <c r="FW202" i="49"/>
  <c r="FW186" i="49"/>
  <c r="GJ105" i="49"/>
  <c r="GJ129" i="49"/>
  <c r="GJ134" i="49"/>
  <c r="GJ124" i="49"/>
  <c r="GJ97" i="49"/>
  <c r="GJ150" i="49"/>
  <c r="GJ165" i="49"/>
  <c r="GJ172" i="49"/>
  <c r="GJ201" i="49"/>
  <c r="GJ212" i="49"/>
  <c r="GJ216" i="49"/>
  <c r="GJ215" i="49"/>
  <c r="GJ63" i="49"/>
  <c r="GJ44" i="49"/>
  <c r="GJ68" i="49"/>
  <c r="GJ49" i="49"/>
  <c r="GJ125" i="49"/>
  <c r="GJ118" i="49"/>
  <c r="GJ91" i="49"/>
  <c r="GJ146" i="49"/>
  <c r="GJ135" i="49"/>
  <c r="GJ113" i="49"/>
  <c r="GJ153" i="49"/>
  <c r="GJ177" i="49"/>
  <c r="GJ206" i="49"/>
  <c r="GJ213" i="49"/>
  <c r="GJ189" i="49"/>
  <c r="GJ219" i="49"/>
  <c r="GJ42" i="49"/>
  <c r="GJ69" i="49"/>
  <c r="GJ50" i="49"/>
  <c r="GJ76" i="49"/>
  <c r="GJ78" i="49"/>
  <c r="GJ131" i="49"/>
  <c r="GJ132" i="49"/>
  <c r="GJ99" i="49"/>
  <c r="GJ90" i="49"/>
  <c r="GJ136" i="49"/>
  <c r="GJ123" i="49"/>
  <c r="GJ162" i="49"/>
  <c r="GJ155" i="49"/>
  <c r="GJ214" i="49"/>
  <c r="GJ187" i="49"/>
  <c r="GJ195" i="49"/>
  <c r="GJ137" i="49"/>
  <c r="GJ138" i="49"/>
  <c r="GJ104" i="49"/>
  <c r="GJ94" i="49"/>
  <c r="GJ139" i="49"/>
  <c r="GJ154" i="49"/>
  <c r="GJ166" i="49"/>
  <c r="GJ159" i="49"/>
  <c r="GJ185" i="49"/>
  <c r="GJ190" i="49"/>
  <c r="GJ198" i="49"/>
  <c r="GJ77" i="49"/>
  <c r="GJ79" i="49"/>
  <c r="GJ25" i="49"/>
  <c r="GJ83" i="49"/>
  <c r="GJ141" i="49"/>
  <c r="GJ112" i="49"/>
  <c r="GJ98" i="49"/>
  <c r="GJ142" i="49"/>
  <c r="GJ158" i="49"/>
  <c r="GJ174" i="49"/>
  <c r="GJ164" i="49"/>
  <c r="GJ188" i="49"/>
  <c r="GJ193" i="49"/>
  <c r="GJ203" i="49"/>
  <c r="GJ23" i="49"/>
  <c r="GJ74" i="49"/>
  <c r="GJ28" i="49"/>
  <c r="GJ55" i="49"/>
  <c r="GJ88" i="49"/>
  <c r="GJ144" i="49"/>
  <c r="GJ115" i="49"/>
  <c r="GJ103" i="49"/>
  <c r="GJ145" i="49"/>
  <c r="GJ163" i="49"/>
  <c r="GJ149" i="49"/>
  <c r="GJ168" i="49"/>
  <c r="GJ191" i="49"/>
  <c r="GJ196" i="49"/>
  <c r="GJ207" i="49"/>
  <c r="GJ26" i="49"/>
  <c r="GJ31" i="49"/>
  <c r="GJ58" i="49"/>
  <c r="GJ92" i="49"/>
  <c r="GJ85" i="49"/>
  <c r="GJ116" i="49"/>
  <c r="GJ111" i="49"/>
  <c r="GJ81" i="49"/>
  <c r="GJ167" i="49"/>
  <c r="GJ152" i="49"/>
  <c r="GJ179" i="49"/>
  <c r="GJ194" i="49"/>
  <c r="GJ200" i="49"/>
  <c r="GJ211" i="49"/>
  <c r="GJ24" i="49"/>
  <c r="GJ32" i="49"/>
  <c r="GJ56" i="49"/>
  <c r="GJ37" i="49"/>
  <c r="GJ64" i="49"/>
  <c r="GJ100" i="49"/>
  <c r="GJ126" i="49"/>
  <c r="GJ82" i="49"/>
  <c r="GJ120" i="49"/>
  <c r="GJ93" i="49"/>
  <c r="GJ147" i="49"/>
  <c r="GJ161" i="49"/>
  <c r="GJ151" i="49"/>
  <c r="GJ182" i="49"/>
  <c r="GJ208" i="49"/>
  <c r="GC14" i="49"/>
  <c r="GC25" i="49"/>
  <c r="GC70" i="49"/>
  <c r="GC63" i="49"/>
  <c r="GC133" i="49"/>
  <c r="GC89" i="49"/>
  <c r="GC105" i="49"/>
  <c r="GC115" i="49"/>
  <c r="GC155" i="49"/>
  <c r="GC157" i="49"/>
  <c r="GC181" i="49"/>
  <c r="GC193" i="49"/>
  <c r="GC10" i="49"/>
  <c r="GC37" i="49"/>
  <c r="GC30" i="49"/>
  <c r="GC77" i="49"/>
  <c r="GC98" i="49"/>
  <c r="GC110" i="49"/>
  <c r="GC122" i="49"/>
  <c r="GC138" i="49"/>
  <c r="GC148" i="49"/>
  <c r="GC178" i="49"/>
  <c r="GC214" i="49"/>
  <c r="GC218" i="49"/>
  <c r="GC16" i="49"/>
  <c r="GC43" i="49"/>
  <c r="GC36" i="49"/>
  <c r="GC26" i="49"/>
  <c r="GC111" i="49"/>
  <c r="GC119" i="49"/>
  <c r="GC144" i="49"/>
  <c r="GC140" i="49"/>
  <c r="GC172" i="49"/>
  <c r="GC204" i="49"/>
  <c r="GC185" i="49"/>
  <c r="GC216" i="49"/>
  <c r="GC22" i="49"/>
  <c r="GC49" i="49"/>
  <c r="GC42" i="49"/>
  <c r="GC32" i="49"/>
  <c r="GC120" i="49"/>
  <c r="GC135" i="49"/>
  <c r="GC137" i="49"/>
  <c r="GC146" i="49"/>
  <c r="GC154" i="49"/>
  <c r="GC212" i="49"/>
  <c r="GC191" i="49"/>
  <c r="GC53" i="49"/>
  <c r="GC78" i="49"/>
  <c r="GC48" i="49"/>
  <c r="GC38" i="49"/>
  <c r="GC127" i="49"/>
  <c r="GC128" i="49"/>
  <c r="GC126" i="49"/>
  <c r="GC152" i="49"/>
  <c r="GC163" i="49"/>
  <c r="GC186" i="49"/>
  <c r="GC197" i="49"/>
  <c r="GC12" i="49"/>
  <c r="GC59" i="49"/>
  <c r="GC44" i="49"/>
  <c r="GC134" i="49"/>
  <c r="GC83" i="49"/>
  <c r="GC87" i="49"/>
  <c r="GC161" i="49"/>
  <c r="GC179" i="49"/>
  <c r="GC192" i="49"/>
  <c r="GC205" i="49"/>
  <c r="GC71" i="49"/>
  <c r="GC64" i="49"/>
  <c r="GC57" i="49"/>
  <c r="GC79" i="49"/>
  <c r="GC145" i="49"/>
  <c r="GC96" i="49"/>
  <c r="GC104" i="49"/>
  <c r="GC173" i="49"/>
  <c r="GC171" i="49"/>
  <c r="GC207" i="49"/>
  <c r="GC187" i="49"/>
  <c r="GC11" i="49"/>
  <c r="GC76" i="49"/>
  <c r="GC67" i="49"/>
  <c r="GC60" i="49"/>
  <c r="GC74" i="49"/>
  <c r="GC81" i="49"/>
  <c r="GC100" i="49"/>
  <c r="GC112" i="49"/>
  <c r="GC177" i="49"/>
  <c r="GC153" i="49"/>
  <c r="GC211" i="49"/>
  <c r="GC190" i="49"/>
  <c r="FY14" i="49"/>
  <c r="FY27" i="49"/>
  <c r="FY57" i="49"/>
  <c r="FY35" i="49"/>
  <c r="FY62" i="49"/>
  <c r="FY43" i="49"/>
  <c r="FY101" i="49"/>
  <c r="FY96" i="49"/>
  <c r="FY126" i="49"/>
  <c r="FY121" i="49"/>
  <c r="FY114" i="49"/>
  <c r="FY172" i="49"/>
  <c r="FY153" i="49"/>
  <c r="FY173" i="49"/>
  <c r="FY206" i="49"/>
  <c r="FY213" i="49"/>
  <c r="FY217" i="49"/>
  <c r="GC21" i="49"/>
  <c r="GC34" i="49"/>
  <c r="GC61" i="49"/>
  <c r="GC45" i="49"/>
  <c r="GC72" i="49"/>
  <c r="GC124" i="49"/>
  <c r="GC101" i="49"/>
  <c r="GC92" i="49"/>
  <c r="GC80" i="49"/>
  <c r="GC132" i="49"/>
  <c r="GC182" i="49"/>
  <c r="GC158" i="49"/>
  <c r="GC174" i="49"/>
  <c r="GC203" i="49"/>
  <c r="GC194" i="49"/>
  <c r="GC219" i="49"/>
  <c r="FW14" i="49"/>
  <c r="FW29" i="49"/>
  <c r="FW56" i="49"/>
  <c r="FW37" i="49"/>
  <c r="FW67" i="49"/>
  <c r="FW105" i="49"/>
  <c r="FW132" i="49"/>
  <c r="FW143" i="49"/>
  <c r="FW86" i="49"/>
  <c r="FW179" i="49"/>
  <c r="FW183" i="49"/>
  <c r="FW151" i="49"/>
  <c r="FW209" i="49"/>
  <c r="FW189" i="49"/>
  <c r="FW213" i="49"/>
  <c r="FW192" i="49"/>
  <c r="FW198" i="49"/>
  <c r="FW203" i="49"/>
  <c r="GC62" i="49"/>
  <c r="GC46" i="49"/>
  <c r="GC73" i="49"/>
  <c r="GC75" i="49"/>
  <c r="GC29" i="49"/>
  <c r="GC84" i="49"/>
  <c r="GC86" i="49"/>
  <c r="GC123" i="49"/>
  <c r="GC106" i="49"/>
  <c r="GC91" i="49"/>
  <c r="GC143" i="49"/>
  <c r="GC159" i="49"/>
  <c r="GC175" i="49"/>
  <c r="GC208" i="49"/>
  <c r="GC202" i="49"/>
  <c r="GC209" i="49"/>
  <c r="GC220" i="49"/>
  <c r="FW13" i="49"/>
  <c r="FW33" i="49"/>
  <c r="FW63" i="49"/>
  <c r="FW41" i="49"/>
  <c r="FW68" i="49"/>
  <c r="FW49" i="49"/>
  <c r="FW128" i="49"/>
  <c r="FW122" i="49"/>
  <c r="FW95" i="49"/>
  <c r="FW98" i="49"/>
  <c r="FW147" i="49"/>
  <c r="FW167" i="49"/>
  <c r="FW165" i="49"/>
  <c r="FW210" i="49"/>
  <c r="FW193" i="49"/>
  <c r="FW207" i="49"/>
  <c r="FY19" i="49"/>
  <c r="FY64" i="49"/>
  <c r="FY45" i="49"/>
  <c r="FY77" i="49"/>
  <c r="FY79" i="49"/>
  <c r="FY25" i="49"/>
  <c r="FY142" i="49"/>
  <c r="FY128" i="49"/>
  <c r="FY122" i="49"/>
  <c r="FY95" i="49"/>
  <c r="FY84" i="49"/>
  <c r="FY155" i="49"/>
  <c r="FY167" i="49"/>
  <c r="FY149" i="49"/>
  <c r="FY198" i="49"/>
  <c r="FY194" i="49"/>
  <c r="GC68" i="49"/>
  <c r="GC27" i="49"/>
  <c r="GC54" i="49"/>
  <c r="GC35" i="49"/>
  <c r="GC94" i="49"/>
  <c r="GC142" i="49"/>
  <c r="GC125" i="49"/>
  <c r="GC118" i="49"/>
  <c r="GC99" i="49"/>
  <c r="GC149" i="49"/>
  <c r="GC168" i="49"/>
  <c r="GC150" i="49"/>
  <c r="GC184" i="49"/>
  <c r="GC210" i="49"/>
  <c r="GC180" i="49"/>
  <c r="FW19" i="49"/>
  <c r="FW39" i="49"/>
  <c r="FW69" i="49"/>
  <c r="FW47" i="49"/>
  <c r="FW136" i="49"/>
  <c r="FW141" i="49"/>
  <c r="FW112" i="49"/>
  <c r="FW111" i="49"/>
  <c r="FW89" i="49"/>
  <c r="FW171" i="49"/>
  <c r="FW173" i="49"/>
  <c r="FW188" i="49"/>
  <c r="FW200" i="49"/>
  <c r="FW181" i="49"/>
  <c r="FW204" i="49"/>
  <c r="FW216" i="49"/>
  <c r="FW220" i="49"/>
  <c r="FW219" i="49"/>
  <c r="GC15" i="49"/>
  <c r="GC17" i="49"/>
  <c r="GC19" i="49"/>
  <c r="GC28" i="49"/>
  <c r="GC55" i="49"/>
  <c r="GC39" i="49"/>
  <c r="GC66" i="49"/>
  <c r="GC47" i="49"/>
  <c r="GC114" i="49"/>
  <c r="GC93" i="49"/>
  <c r="GC136" i="49"/>
  <c r="GC85" i="49"/>
  <c r="GC116" i="49"/>
  <c r="GC165" i="49"/>
  <c r="GC176" i="49"/>
  <c r="GC162" i="49"/>
  <c r="GC195" i="49"/>
  <c r="GC188" i="49"/>
  <c r="FW18" i="49"/>
  <c r="FW51" i="49"/>
  <c r="FW23" i="49"/>
  <c r="FW74" i="49"/>
  <c r="FW31" i="49"/>
  <c r="FW61" i="49"/>
  <c r="FW96" i="49"/>
  <c r="FW126" i="49"/>
  <c r="FW82" i="49"/>
  <c r="FW130" i="49"/>
  <c r="FW113" i="49"/>
  <c r="FW174" i="49"/>
  <c r="FW168" i="49"/>
  <c r="FW180" i="49"/>
  <c r="FW215" i="49"/>
  <c r="FW218" i="49"/>
  <c r="GF19" i="49"/>
  <c r="GF18" i="49"/>
  <c r="GF20" i="49"/>
  <c r="GF79" i="49"/>
  <c r="GF28" i="49"/>
  <c r="GF55" i="49"/>
  <c r="GF39" i="49"/>
  <c r="GF66" i="49"/>
  <c r="GF112" i="49"/>
  <c r="GF103" i="49"/>
  <c r="GF89" i="49"/>
  <c r="GF88" i="49"/>
  <c r="GF153" i="49"/>
  <c r="GF177" i="49"/>
  <c r="GF167" i="49"/>
  <c r="GF196" i="49"/>
  <c r="GF211" i="49"/>
  <c r="GF215" i="49"/>
  <c r="FP53" i="49"/>
  <c r="FP37" i="49"/>
  <c r="FP64" i="49"/>
  <c r="FP45" i="49"/>
  <c r="FP72" i="49"/>
  <c r="FP127" i="49"/>
  <c r="FP139" i="49"/>
  <c r="FP105" i="49"/>
  <c r="FP91" i="49"/>
  <c r="FP165" i="49"/>
  <c r="FP151" i="49"/>
  <c r="FP162" i="49"/>
  <c r="FP212" i="49"/>
  <c r="FP202" i="49"/>
  <c r="FP209" i="49"/>
  <c r="GF22" i="49"/>
  <c r="GF21" i="49"/>
  <c r="GF23" i="49"/>
  <c r="GF74" i="49"/>
  <c r="GF31" i="49"/>
  <c r="GF58" i="49"/>
  <c r="GF42" i="49"/>
  <c r="GF69" i="49"/>
  <c r="GF115" i="49"/>
  <c r="GF111" i="49"/>
  <c r="GF93" i="49"/>
  <c r="GF92" i="49"/>
  <c r="GF157" i="49"/>
  <c r="GF155" i="49"/>
  <c r="GF175" i="49"/>
  <c r="GF200" i="49"/>
  <c r="GF202" i="49"/>
  <c r="GF219" i="49"/>
  <c r="FP56" i="49"/>
  <c r="FP40" i="49"/>
  <c r="FP67" i="49"/>
  <c r="FP48" i="49"/>
  <c r="FP23" i="49"/>
  <c r="FP140" i="49"/>
  <c r="FP130" i="49"/>
  <c r="FP142" i="49"/>
  <c r="FP106" i="49"/>
  <c r="FP95" i="49"/>
  <c r="FP169" i="49"/>
  <c r="FP172" i="49"/>
  <c r="FP166" i="49"/>
  <c r="FP215" i="49"/>
  <c r="FP206" i="49"/>
  <c r="FP213" i="49"/>
  <c r="GF26" i="49"/>
  <c r="GF34" i="49"/>
  <c r="GF61" i="49"/>
  <c r="GF45" i="49"/>
  <c r="GF72" i="49"/>
  <c r="GF116" i="49"/>
  <c r="GF114" i="49"/>
  <c r="GF97" i="49"/>
  <c r="GF96" i="49"/>
  <c r="GF162" i="49"/>
  <c r="GF159" i="49"/>
  <c r="GF147" i="49"/>
  <c r="GF204" i="49"/>
  <c r="GF206" i="49"/>
  <c r="GF218" i="49"/>
  <c r="FP59" i="49"/>
  <c r="FP43" i="49"/>
  <c r="FP70" i="49"/>
  <c r="FP51" i="49"/>
  <c r="FP26" i="49"/>
  <c r="FP143" i="49"/>
  <c r="FP134" i="49"/>
  <c r="FP145" i="49"/>
  <c r="FP109" i="49"/>
  <c r="FP99" i="49"/>
  <c r="FP149" i="49"/>
  <c r="FP179" i="49"/>
  <c r="FP171" i="49"/>
  <c r="FP203" i="49"/>
  <c r="FP210" i="49"/>
  <c r="FP182" i="49"/>
  <c r="GF29" i="49"/>
  <c r="GF53" i="49"/>
  <c r="GF37" i="49"/>
  <c r="GF64" i="49"/>
  <c r="GF48" i="49"/>
  <c r="GF77" i="49"/>
  <c r="GF121" i="49"/>
  <c r="GF120" i="49"/>
  <c r="GF101" i="49"/>
  <c r="GF100" i="49"/>
  <c r="GF166" i="49"/>
  <c r="GF164" i="49"/>
  <c r="GF150" i="49"/>
  <c r="GF208" i="49"/>
  <c r="GF210" i="49"/>
  <c r="GF217" i="49"/>
  <c r="FP62" i="49"/>
  <c r="FP46" i="49"/>
  <c r="FP73" i="49"/>
  <c r="FP29" i="49"/>
  <c r="FP146" i="49"/>
  <c r="FP135" i="49"/>
  <c r="FP125" i="49"/>
  <c r="FP118" i="49"/>
  <c r="FP104" i="49"/>
  <c r="FP152" i="49"/>
  <c r="FP154" i="49"/>
  <c r="FP174" i="49"/>
  <c r="FP207" i="49"/>
  <c r="FP214" i="49"/>
  <c r="FP219" i="49"/>
  <c r="GF32" i="49"/>
  <c r="GF56" i="49"/>
  <c r="GF40" i="49"/>
  <c r="GF67" i="49"/>
  <c r="GF51" i="49"/>
  <c r="GF80" i="49"/>
  <c r="GF82" i="49"/>
  <c r="GF124" i="49"/>
  <c r="GF110" i="49"/>
  <c r="GF105" i="49"/>
  <c r="GF174" i="49"/>
  <c r="GF168" i="49"/>
  <c r="GF171" i="49"/>
  <c r="GF212" i="49"/>
  <c r="GF214" i="49"/>
  <c r="FP65" i="49"/>
  <c r="FP49" i="49"/>
  <c r="FP78" i="49"/>
  <c r="FP75" i="49"/>
  <c r="FP32" i="49"/>
  <c r="FP90" i="49"/>
  <c r="FP89" i="49"/>
  <c r="FP128" i="49"/>
  <c r="FP122" i="49"/>
  <c r="FP112" i="49"/>
  <c r="FP173" i="49"/>
  <c r="FP158" i="49"/>
  <c r="FP178" i="49"/>
  <c r="FP211" i="49"/>
  <c r="FP185" i="49"/>
  <c r="FP218" i="49"/>
  <c r="GF35" i="49"/>
  <c r="GF59" i="49"/>
  <c r="GF43" i="49"/>
  <c r="GF70" i="49"/>
  <c r="GF126" i="49"/>
  <c r="GF140" i="49"/>
  <c r="GF127" i="49"/>
  <c r="GF113" i="49"/>
  <c r="GF106" i="49"/>
  <c r="GF149" i="49"/>
  <c r="GF148" i="49"/>
  <c r="GF201" i="49"/>
  <c r="GF186" i="49"/>
  <c r="GF185" i="49"/>
  <c r="FP10" i="49"/>
  <c r="FP68" i="49"/>
  <c r="FP24" i="49"/>
  <c r="FP35" i="49"/>
  <c r="FP94" i="49"/>
  <c r="FP93" i="49"/>
  <c r="FP131" i="49"/>
  <c r="FP137" i="49"/>
  <c r="FP115" i="49"/>
  <c r="FP177" i="49"/>
  <c r="FP163" i="49"/>
  <c r="FP187" i="49"/>
  <c r="FP181" i="49"/>
  <c r="FP188" i="49"/>
  <c r="FP217" i="49"/>
  <c r="GF38" i="49"/>
  <c r="GF62" i="49"/>
  <c r="GF46" i="49"/>
  <c r="GF73" i="49"/>
  <c r="GF75" i="49"/>
  <c r="GF129" i="49"/>
  <c r="GF143" i="49"/>
  <c r="GF130" i="49"/>
  <c r="GF119" i="49"/>
  <c r="GF109" i="49"/>
  <c r="GF152" i="49"/>
  <c r="GF151" i="49"/>
  <c r="GF205" i="49"/>
  <c r="GF189" i="49"/>
  <c r="GF188" i="49"/>
  <c r="FP12" i="49"/>
  <c r="FP11" i="49"/>
  <c r="FP13" i="49"/>
  <c r="FP71" i="49"/>
  <c r="FP27" i="49"/>
  <c r="FP54" i="49"/>
  <c r="FP38" i="49"/>
  <c r="FP98" i="49"/>
  <c r="FP97" i="49"/>
  <c r="FP136" i="49"/>
  <c r="FP141" i="49"/>
  <c r="FP116" i="49"/>
  <c r="FP155" i="49"/>
  <c r="FP167" i="49"/>
  <c r="FP190" i="49"/>
  <c r="FP186" i="49"/>
  <c r="FP191" i="49"/>
  <c r="FP216" i="49"/>
  <c r="GF41" i="49"/>
  <c r="GF65" i="49"/>
  <c r="GF49" i="49"/>
  <c r="GF24" i="49"/>
  <c r="GF87" i="49"/>
  <c r="GF146" i="49"/>
  <c r="GF86" i="49"/>
  <c r="GF123" i="49"/>
  <c r="GF118" i="49"/>
  <c r="GF156" i="49"/>
  <c r="GF172" i="49"/>
  <c r="GF209" i="49"/>
  <c r="GF192" i="49"/>
  <c r="GF191" i="49"/>
  <c r="FP15" i="49"/>
  <c r="FP14" i="49"/>
  <c r="FP16" i="49"/>
  <c r="FP74" i="49"/>
  <c r="FP76" i="49"/>
  <c r="FP30" i="49"/>
  <c r="FP57" i="49"/>
  <c r="FP41" i="49"/>
  <c r="FP103" i="49"/>
  <c r="FP101" i="49"/>
  <c r="FP147" i="49"/>
  <c r="FP144" i="49"/>
  <c r="FP121" i="49"/>
  <c r="FP159" i="49"/>
  <c r="FP175" i="49"/>
  <c r="FP193" i="49"/>
  <c r="FP189" i="49"/>
  <c r="FP194" i="49"/>
  <c r="FP220" i="49"/>
  <c r="GF44" i="49"/>
  <c r="GF68" i="49"/>
  <c r="GF27" i="49"/>
  <c r="GF54" i="49"/>
  <c r="GF91" i="49"/>
  <c r="GF84" i="49"/>
  <c r="GF139" i="49"/>
  <c r="GF125" i="49"/>
  <c r="GF122" i="49"/>
  <c r="GF161" i="49"/>
  <c r="GF176" i="49"/>
  <c r="GF213" i="49"/>
  <c r="GF195" i="49"/>
  <c r="GF194" i="49"/>
  <c r="FP18" i="49"/>
  <c r="FP17" i="49"/>
  <c r="FP19" i="49"/>
  <c r="FP25" i="49"/>
  <c r="FP33" i="49"/>
  <c r="FP60" i="49"/>
  <c r="FP44" i="49"/>
  <c r="FP111" i="49"/>
  <c r="FP110" i="49"/>
  <c r="FP88" i="49"/>
  <c r="FP126" i="49"/>
  <c r="FP80" i="49"/>
  <c r="FP164" i="49"/>
  <c r="FP184" i="49"/>
  <c r="FP196" i="49"/>
  <c r="FP192" i="49"/>
  <c r="FP197" i="49"/>
  <c r="GF10" i="49"/>
  <c r="GF11" i="49"/>
  <c r="GF47" i="49"/>
  <c r="GF71" i="49"/>
  <c r="GF78" i="49"/>
  <c r="GF30" i="49"/>
  <c r="GF57" i="49"/>
  <c r="GF95" i="49"/>
  <c r="GF90" i="49"/>
  <c r="GF142" i="49"/>
  <c r="GF128" i="49"/>
  <c r="GF141" i="49"/>
  <c r="GF165" i="49"/>
  <c r="GF154" i="49"/>
  <c r="GF187" i="49"/>
  <c r="GF198" i="49"/>
  <c r="GF197" i="49"/>
  <c r="FP21" i="49"/>
  <c r="FP20" i="49"/>
  <c r="FP22" i="49"/>
  <c r="FP28" i="49"/>
  <c r="FP55" i="49"/>
  <c r="FP36" i="49"/>
  <c r="FP63" i="49"/>
  <c r="FP47" i="49"/>
  <c r="FP114" i="49"/>
  <c r="FP113" i="49"/>
  <c r="FP92" i="49"/>
  <c r="FP129" i="49"/>
  <c r="FP133" i="49"/>
  <c r="FP168" i="49"/>
  <c r="FP150" i="49"/>
  <c r="FP200" i="49"/>
  <c r="FP195" i="49"/>
  <c r="FP180" i="49"/>
  <c r="GF13" i="49"/>
  <c r="GF12" i="49"/>
  <c r="GF14" i="49"/>
  <c r="GF50" i="49"/>
  <c r="GF76" i="49"/>
  <c r="GF33" i="49"/>
  <c r="GF60" i="49"/>
  <c r="GF99" i="49"/>
  <c r="GF94" i="49"/>
  <c r="GF145" i="49"/>
  <c r="GF131" i="49"/>
  <c r="GF144" i="49"/>
  <c r="GF169" i="49"/>
  <c r="GF158" i="49"/>
  <c r="GF190" i="49"/>
  <c r="GF203" i="49"/>
  <c r="FP79" i="49"/>
  <c r="FP31" i="49"/>
  <c r="FP58" i="49"/>
  <c r="FP39" i="49"/>
  <c r="FP66" i="49"/>
  <c r="FP50" i="49"/>
  <c r="FP120" i="49"/>
  <c r="FP119" i="49"/>
  <c r="FP96" i="49"/>
  <c r="FP132" i="49"/>
  <c r="FP156" i="49"/>
  <c r="FP176" i="49"/>
  <c r="FP153" i="49"/>
  <c r="FP204" i="49"/>
  <c r="FP198" i="49"/>
  <c r="FW104" i="49"/>
  <c r="FW94" i="49"/>
  <c r="FW139" i="49"/>
  <c r="FW123" i="49"/>
  <c r="FW166" i="49"/>
  <c r="FW155" i="49"/>
  <c r="FW185" i="49"/>
  <c r="FW190" i="49"/>
  <c r="FW195" i="49"/>
  <c r="FW133" i="49"/>
  <c r="FW124" i="49"/>
  <c r="FW93" i="49"/>
  <c r="FW175" i="49"/>
  <c r="FW156" i="49"/>
  <c r="FW172" i="49"/>
  <c r="FW201" i="49"/>
  <c r="FW212" i="49"/>
  <c r="FN212" i="49"/>
  <c r="FN198" i="49"/>
  <c r="FN201" i="49"/>
  <c r="FN184" i="49"/>
  <c r="FN152" i="49"/>
  <c r="FN183" i="49"/>
  <c r="FN205" i="49"/>
  <c r="FN218" i="49"/>
  <c r="FN216" i="49"/>
  <c r="FN220" i="49"/>
  <c r="FS108" i="49"/>
  <c r="FS107" i="49"/>
  <c r="FV108" i="49"/>
  <c r="FV107" i="49"/>
  <c r="FN108" i="49"/>
  <c r="FN107" i="49"/>
  <c r="GD107" i="49"/>
  <c r="GD108" i="49"/>
  <c r="GK108" i="49"/>
  <c r="GK107" i="49"/>
  <c r="FY108" i="49"/>
  <c r="FY107" i="49"/>
  <c r="GE108" i="49"/>
  <c r="GE107" i="49"/>
  <c r="FO108" i="49"/>
  <c r="FO107" i="49"/>
  <c r="FU107" i="49"/>
  <c r="FU108" i="49"/>
  <c r="GF108" i="49"/>
  <c r="GF107" i="49"/>
  <c r="FP108" i="49"/>
  <c r="FP107" i="49"/>
  <c r="FJ108" i="49"/>
  <c r="FJ107" i="49"/>
  <c r="GJ108" i="49"/>
  <c r="GJ107" i="49"/>
  <c r="FX108" i="49"/>
  <c r="FX107" i="49"/>
  <c r="FT108" i="49"/>
  <c r="FT107" i="49"/>
  <c r="FN219" i="49"/>
  <c r="FK108" i="49"/>
  <c r="FK107" i="49"/>
  <c r="FR107" i="49"/>
  <c r="FR108" i="49"/>
  <c r="GC108" i="49"/>
  <c r="GC107" i="49"/>
  <c r="FQ107" i="49"/>
  <c r="FQ108" i="49"/>
  <c r="FW108" i="49"/>
  <c r="FW107" i="49"/>
  <c r="FK218" i="49"/>
  <c r="FK219" i="49"/>
  <c r="FK220" i="49"/>
  <c r="FK216" i="49"/>
  <c r="FK217" i="49"/>
  <c r="FK198" i="49"/>
  <c r="FK195" i="49"/>
  <c r="FK192" i="49"/>
  <c r="FK189" i="49"/>
  <c r="FK186" i="49"/>
  <c r="FK181" i="49"/>
  <c r="FK215" i="49"/>
  <c r="FK211" i="49"/>
  <c r="FK207" i="49"/>
  <c r="FK203" i="49"/>
  <c r="FK184" i="49"/>
  <c r="FK212" i="49"/>
  <c r="FK208" i="49"/>
  <c r="FK204" i="49"/>
  <c r="FK200" i="49"/>
  <c r="FK196" i="49"/>
  <c r="FK193" i="49"/>
  <c r="FK190" i="49"/>
  <c r="FK187" i="49"/>
  <c r="FK182" i="49"/>
  <c r="FK213" i="49"/>
  <c r="FK209" i="49"/>
  <c r="FK205" i="49"/>
  <c r="FK201" i="49"/>
  <c r="FK180" i="49"/>
  <c r="FK197" i="49"/>
  <c r="FK194" i="49"/>
  <c r="FK191" i="49"/>
  <c r="FK188" i="49"/>
  <c r="FK185" i="49"/>
  <c r="FK214" i="49"/>
  <c r="FK210" i="49"/>
  <c r="FK206" i="49"/>
  <c r="FK202" i="49"/>
  <c r="FK176" i="49"/>
  <c r="FK168" i="49"/>
  <c r="FK164" i="49"/>
  <c r="FK159" i="49"/>
  <c r="FK155" i="49"/>
  <c r="FK177" i="49"/>
  <c r="FK173" i="49"/>
  <c r="FK152" i="49"/>
  <c r="FK149" i="49"/>
  <c r="FK169" i="49"/>
  <c r="FK165" i="49"/>
  <c r="FK161" i="49"/>
  <c r="FK156" i="49"/>
  <c r="FK178" i="49"/>
  <c r="FK174" i="49"/>
  <c r="FK171" i="49"/>
  <c r="FK166" i="49"/>
  <c r="FK162" i="49"/>
  <c r="FK157" i="49"/>
  <c r="FK153" i="49"/>
  <c r="FK150" i="49"/>
  <c r="FK183" i="49"/>
  <c r="FK175" i="49"/>
  <c r="FK167" i="49"/>
  <c r="FK163" i="49"/>
  <c r="FK158" i="49"/>
  <c r="FK154" i="49"/>
  <c r="FK179" i="49"/>
  <c r="FK172" i="49"/>
  <c r="FK151" i="49"/>
  <c r="FK148" i="49"/>
  <c r="FK145" i="49"/>
  <c r="FK142" i="49"/>
  <c r="FK139" i="49"/>
  <c r="FK123" i="49"/>
  <c r="FK119" i="49"/>
  <c r="FK113" i="49"/>
  <c r="FK110" i="49"/>
  <c r="FK101" i="49"/>
  <c r="FK97" i="49"/>
  <c r="FK93" i="49"/>
  <c r="FK89" i="49"/>
  <c r="FK135" i="49"/>
  <c r="FK84" i="49"/>
  <c r="FK134" i="49"/>
  <c r="FK130" i="49"/>
  <c r="FK127" i="49"/>
  <c r="FK124" i="49"/>
  <c r="FK120" i="49"/>
  <c r="FK114" i="49"/>
  <c r="FK111" i="49"/>
  <c r="FK103" i="49"/>
  <c r="FK98" i="49"/>
  <c r="FK94" i="49"/>
  <c r="FK90" i="49"/>
  <c r="FK82" i="49"/>
  <c r="FK146" i="49"/>
  <c r="FK143" i="49"/>
  <c r="FK140" i="49"/>
  <c r="FK87" i="49"/>
  <c r="FK133" i="49"/>
  <c r="FK121" i="49"/>
  <c r="FK116" i="49"/>
  <c r="FK115" i="49"/>
  <c r="FK112" i="49"/>
  <c r="FK104" i="49"/>
  <c r="FK99" i="49"/>
  <c r="FK95" i="49"/>
  <c r="FK91" i="49"/>
  <c r="FK85" i="49"/>
  <c r="FK138" i="49"/>
  <c r="FK132" i="49"/>
  <c r="FK129" i="49"/>
  <c r="FK126" i="49"/>
  <c r="FK147" i="49"/>
  <c r="FK144" i="49"/>
  <c r="FK141" i="49"/>
  <c r="FK83" i="49"/>
  <c r="FK137" i="49"/>
  <c r="FK122" i="49"/>
  <c r="FK118" i="49"/>
  <c r="FK109" i="49"/>
  <c r="FK106" i="49"/>
  <c r="FK105" i="49"/>
  <c r="FK100" i="49"/>
  <c r="FK96" i="49"/>
  <c r="FK92" i="49"/>
  <c r="FK88" i="49"/>
  <c r="FK81" i="49"/>
  <c r="FK136" i="49"/>
  <c r="FK131" i="49"/>
  <c r="FK128" i="49"/>
  <c r="FK125" i="49"/>
  <c r="FK86" i="49"/>
  <c r="FK76" i="49"/>
  <c r="FK49" i="49"/>
  <c r="FK46" i="49"/>
  <c r="FK43" i="49"/>
  <c r="FK40" i="49"/>
  <c r="FK37" i="49"/>
  <c r="FK34" i="49"/>
  <c r="FK31" i="49"/>
  <c r="FK28" i="49"/>
  <c r="FK25" i="49"/>
  <c r="FK74" i="49"/>
  <c r="FK71" i="49"/>
  <c r="FK68" i="49"/>
  <c r="FK65" i="49"/>
  <c r="FK62" i="49"/>
  <c r="FK59" i="49"/>
  <c r="FK56" i="49"/>
  <c r="FK53" i="49"/>
  <c r="FK79" i="49"/>
  <c r="FK77" i="49"/>
  <c r="FK50" i="49"/>
  <c r="FK47" i="49"/>
  <c r="FK44" i="49"/>
  <c r="FK41" i="49"/>
  <c r="FK38" i="49"/>
  <c r="FK35" i="49"/>
  <c r="FK32" i="49"/>
  <c r="FK29" i="49"/>
  <c r="FK26" i="49"/>
  <c r="FK72" i="49"/>
  <c r="FK69" i="49"/>
  <c r="FK66" i="49"/>
  <c r="FK63" i="49"/>
  <c r="FK60" i="49"/>
  <c r="FK57" i="49"/>
  <c r="FK54" i="49"/>
  <c r="FK75" i="49"/>
  <c r="FK80" i="49"/>
  <c r="FK51" i="49"/>
  <c r="FK48" i="49"/>
  <c r="FK45" i="49"/>
  <c r="FK42" i="49"/>
  <c r="FK39" i="49"/>
  <c r="FK36" i="49"/>
  <c r="FK33" i="49"/>
  <c r="FK30" i="49"/>
  <c r="FK27" i="49"/>
  <c r="FK24" i="49"/>
  <c r="FK78" i="49"/>
  <c r="FK73" i="49"/>
  <c r="FK70" i="49"/>
  <c r="FK67" i="49"/>
  <c r="FK64" i="49"/>
  <c r="FK61" i="49"/>
  <c r="FK58" i="49"/>
  <c r="FK55" i="49"/>
  <c r="FK23" i="49"/>
  <c r="FK21" i="49"/>
  <c r="FK18" i="49"/>
  <c r="FK15" i="49"/>
  <c r="FK12" i="49"/>
  <c r="FK22" i="49"/>
  <c r="FK19" i="49"/>
  <c r="FK16" i="49"/>
  <c r="FK13" i="49"/>
  <c r="FK10" i="49"/>
  <c r="FK20" i="49"/>
  <c r="FK17" i="49"/>
  <c r="FK14" i="49"/>
  <c r="FK11" i="49"/>
  <c r="DH5" i="40"/>
  <c r="BW5" i="40"/>
  <c r="GC5" i="40" s="1"/>
  <c r="DM5" i="40"/>
  <c r="CB5" i="40"/>
  <c r="GH5" i="40" s="1"/>
  <c r="DX5" i="40"/>
  <c r="BC5" i="40"/>
  <c r="FI5" i="40" s="1"/>
  <c r="CT5" i="40"/>
  <c r="BI5" i="40"/>
  <c r="FO5" i="40" s="1"/>
  <c r="DN5" i="40"/>
  <c r="CC5" i="40"/>
  <c r="GI5" i="40" s="1"/>
  <c r="CX5" i="40"/>
  <c r="BM5" i="40"/>
  <c r="FS5" i="40" s="1"/>
  <c r="DG5" i="40"/>
  <c r="BV5" i="40"/>
  <c r="GB5" i="40" s="1"/>
  <c r="DI5" i="40"/>
  <c r="BX5" i="40"/>
  <c r="GD5" i="40" s="1"/>
  <c r="GI222" i="49"/>
  <c r="EE93" i="40"/>
  <c r="EE69" i="40"/>
  <c r="EE63" i="40"/>
  <c r="EE83" i="40"/>
  <c r="EE80" i="40"/>
  <c r="EE95" i="40"/>
  <c r="EE71" i="40"/>
  <c r="EE65" i="40"/>
  <c r="EE85" i="40"/>
  <c r="EE82" i="40"/>
  <c r="EE96" i="40"/>
  <c r="EE90" i="40"/>
  <c r="EE66" i="40"/>
  <c r="EE86" i="40"/>
  <c r="EE60" i="40"/>
  <c r="EE97" i="40"/>
  <c r="EE98" i="40"/>
  <c r="EE91" i="40"/>
  <c r="EE67" i="40"/>
  <c r="EE70" i="40"/>
  <c r="EE87" i="40"/>
  <c r="EE84" i="40"/>
  <c r="EE55" i="40"/>
  <c r="EE44" i="40"/>
  <c r="EE92" i="40"/>
  <c r="EE56" i="40"/>
  <c r="EE45" i="40"/>
  <c r="EE62" i="40"/>
  <c r="EE88" i="40"/>
  <c r="EE57" i="40"/>
  <c r="EE94" i="40"/>
  <c r="EE38" i="40"/>
  <c r="EE32" i="40"/>
  <c r="EE78" i="40"/>
  <c r="EE61" i="40"/>
  <c r="EE39" i="40"/>
  <c r="EE33" i="40"/>
  <c r="EE27" i="40"/>
  <c r="EE40" i="40"/>
  <c r="EE34" i="40"/>
  <c r="EE28" i="40"/>
  <c r="EE58" i="40"/>
  <c r="EE43" i="40"/>
  <c r="EE37" i="40"/>
  <c r="EE68" i="40"/>
  <c r="EE54" i="40"/>
  <c r="EE29" i="40"/>
  <c r="EE77" i="40"/>
  <c r="EE35" i="40"/>
  <c r="EE26" i="40"/>
  <c r="EE41" i="40"/>
  <c r="EE59" i="40"/>
  <c r="EE30" i="40"/>
  <c r="EE81" i="40"/>
  <c r="EE79" i="40"/>
  <c r="EE36" i="40"/>
  <c r="EE64" i="40"/>
  <c r="EE25" i="40"/>
  <c r="EE13" i="40"/>
  <c r="EE14" i="40"/>
  <c r="EE15" i="40"/>
  <c r="EE23" i="40"/>
  <c r="EE17" i="40"/>
  <c r="EE18" i="40"/>
  <c r="EE10" i="40"/>
  <c r="EE42" i="40"/>
  <c r="EE31" i="40"/>
  <c r="EE21" i="40"/>
  <c r="EE11" i="40"/>
  <c r="EE12" i="40"/>
  <c r="EE20" i="40"/>
  <c r="EE19" i="40"/>
  <c r="EE22" i="40"/>
  <c r="EE16" i="40"/>
  <c r="ES96" i="40"/>
  <c r="ES93" i="40"/>
  <c r="ES69" i="40"/>
  <c r="ES63" i="40"/>
  <c r="ES83" i="40"/>
  <c r="ES80" i="40"/>
  <c r="ES94" i="40"/>
  <c r="ES70" i="40"/>
  <c r="ES64" i="40"/>
  <c r="ES84" i="40"/>
  <c r="ES81" i="40"/>
  <c r="ES86" i="40"/>
  <c r="ES98" i="40"/>
  <c r="ES66" i="40"/>
  <c r="ES91" i="40"/>
  <c r="ES68" i="40"/>
  <c r="ES61" i="40"/>
  <c r="ES95" i="40"/>
  <c r="ES87" i="40"/>
  <c r="ES59" i="40"/>
  <c r="ES97" i="40"/>
  <c r="ES90" i="40"/>
  <c r="ES82" i="40"/>
  <c r="ES67" i="40"/>
  <c r="ES85" i="40"/>
  <c r="ES62" i="40"/>
  <c r="ES71" i="40"/>
  <c r="ES60" i="40"/>
  <c r="ES56" i="40"/>
  <c r="ES88" i="40"/>
  <c r="ES58" i="40"/>
  <c r="ES44" i="40"/>
  <c r="ES41" i="40"/>
  <c r="ES35" i="40"/>
  <c r="ES29" i="40"/>
  <c r="ES92" i="40"/>
  <c r="ES54" i="40"/>
  <c r="ES65" i="40"/>
  <c r="ES77" i="40"/>
  <c r="ES43" i="40"/>
  <c r="ES57" i="40"/>
  <c r="ES38" i="40"/>
  <c r="ES32" i="40"/>
  <c r="ES26" i="40"/>
  <c r="ES45" i="40"/>
  <c r="ES31" i="40"/>
  <c r="ES42" i="40"/>
  <c r="ES37" i="40"/>
  <c r="ES28" i="40"/>
  <c r="ES55" i="40"/>
  <c r="ES34" i="40"/>
  <c r="ES40" i="40"/>
  <c r="ES21" i="40"/>
  <c r="ES78" i="40"/>
  <c r="ES25" i="40"/>
  <c r="ES30" i="40"/>
  <c r="ES36" i="40"/>
  <c r="ES33" i="40"/>
  <c r="ES19" i="40"/>
  <c r="ES79" i="40"/>
  <c r="ES22" i="40"/>
  <c r="ES12" i="40"/>
  <c r="ES27" i="40"/>
  <c r="ES16" i="40"/>
  <c r="ES20" i="40"/>
  <c r="ES18" i="40"/>
  <c r="ES10" i="40"/>
  <c r="ES39" i="40"/>
  <c r="ES13" i="40"/>
  <c r="ES14" i="40"/>
  <c r="ES15" i="40"/>
  <c r="ES11" i="40"/>
  <c r="ES17" i="40"/>
  <c r="ES23" i="40"/>
  <c r="EG94" i="40"/>
  <c r="EG70" i="40"/>
  <c r="EG64" i="40"/>
  <c r="EG84" i="40"/>
  <c r="EG81" i="40"/>
  <c r="EG96" i="40"/>
  <c r="EG90" i="40"/>
  <c r="EG66" i="40"/>
  <c r="EG86" i="40"/>
  <c r="EG60" i="40"/>
  <c r="EG98" i="40"/>
  <c r="EG91" i="40"/>
  <c r="EG67" i="40"/>
  <c r="EG87" i="40"/>
  <c r="EG61" i="40"/>
  <c r="EG92" i="40"/>
  <c r="EG68" i="40"/>
  <c r="EG95" i="40"/>
  <c r="EG56" i="40"/>
  <c r="EG45" i="40"/>
  <c r="EG97" i="40"/>
  <c r="EG69" i="40"/>
  <c r="EG62" i="40"/>
  <c r="EG82" i="40"/>
  <c r="EG57" i="40"/>
  <c r="EG77" i="40"/>
  <c r="EG88" i="40"/>
  <c r="EG85" i="40"/>
  <c r="EG65" i="40"/>
  <c r="EG58" i="40"/>
  <c r="EG71" i="40"/>
  <c r="EG83" i="40"/>
  <c r="EG80" i="40"/>
  <c r="EG39" i="40"/>
  <c r="EG33" i="40"/>
  <c r="EG27" i="40"/>
  <c r="EG93" i="40"/>
  <c r="EG59" i="40"/>
  <c r="EG44" i="40"/>
  <c r="EG40" i="40"/>
  <c r="EG34" i="40"/>
  <c r="EG28" i="40"/>
  <c r="EG41" i="40"/>
  <c r="EG35" i="40"/>
  <c r="EG29" i="40"/>
  <c r="EG79" i="40"/>
  <c r="EG54" i="40"/>
  <c r="EG26" i="40"/>
  <c r="EG32" i="40"/>
  <c r="EG19" i="40"/>
  <c r="EG38" i="40"/>
  <c r="EG43" i="40"/>
  <c r="EG30" i="40"/>
  <c r="EG36" i="40"/>
  <c r="EG25" i="40"/>
  <c r="EG42" i="40"/>
  <c r="EG31" i="40"/>
  <c r="EG55" i="40"/>
  <c r="EG14" i="40"/>
  <c r="EG37" i="40"/>
  <c r="EG15" i="40"/>
  <c r="EG22" i="40"/>
  <c r="EG16" i="40"/>
  <c r="EG10" i="40"/>
  <c r="EG21" i="40"/>
  <c r="EG18" i="40"/>
  <c r="EG11" i="40"/>
  <c r="EG63" i="40"/>
  <c r="EG12" i="40"/>
  <c r="EG13" i="40"/>
  <c r="EG20" i="40"/>
  <c r="EG17" i="40"/>
  <c r="EG23" i="40"/>
  <c r="EG78" i="40"/>
  <c r="EW97" i="40"/>
  <c r="EW90" i="40"/>
  <c r="EW66" i="40"/>
  <c r="EW86" i="40"/>
  <c r="EW60" i="40"/>
  <c r="EW92" i="40"/>
  <c r="EW68" i="40"/>
  <c r="EW88" i="40"/>
  <c r="EW62" i="40"/>
  <c r="EW93" i="40"/>
  <c r="EW69" i="40"/>
  <c r="EW63" i="40"/>
  <c r="EW83" i="40"/>
  <c r="EW94" i="40"/>
  <c r="EW70" i="40"/>
  <c r="EW98" i="40"/>
  <c r="EW91" i="40"/>
  <c r="EW81" i="40"/>
  <c r="EW58" i="40"/>
  <c r="EW78" i="40"/>
  <c r="EW41" i="40"/>
  <c r="EW95" i="40"/>
  <c r="EW64" i="40"/>
  <c r="EW87" i="40"/>
  <c r="EW59" i="40"/>
  <c r="EW79" i="40"/>
  <c r="EW42" i="40"/>
  <c r="EW82" i="40"/>
  <c r="EW67" i="40"/>
  <c r="EW85" i="40"/>
  <c r="EW65" i="40"/>
  <c r="EW96" i="40"/>
  <c r="EW35" i="40"/>
  <c r="EW29" i="40"/>
  <c r="EW54" i="40"/>
  <c r="EW36" i="40"/>
  <c r="EW30" i="40"/>
  <c r="EW80" i="40"/>
  <c r="EW57" i="40"/>
  <c r="EW37" i="40"/>
  <c r="EW31" i="40"/>
  <c r="EW45" i="40"/>
  <c r="EW84" i="40"/>
  <c r="EW56" i="40"/>
  <c r="EW28" i="40"/>
  <c r="EW55" i="40"/>
  <c r="EW34" i="40"/>
  <c r="EW40" i="40"/>
  <c r="EW21" i="40"/>
  <c r="EW26" i="40"/>
  <c r="EW25" i="40"/>
  <c r="EW32" i="40"/>
  <c r="EW22" i="40"/>
  <c r="EW44" i="40"/>
  <c r="EW38" i="40"/>
  <c r="EW77" i="40"/>
  <c r="EW27" i="40"/>
  <c r="EW43" i="40"/>
  <c r="EW33" i="40"/>
  <c r="EW61" i="40"/>
  <c r="EW39" i="40"/>
  <c r="EW16" i="40"/>
  <c r="EW10" i="40"/>
  <c r="EW17" i="40"/>
  <c r="EW11" i="40"/>
  <c r="EW12" i="40"/>
  <c r="EW18" i="40"/>
  <c r="EW71" i="40"/>
  <c r="EW13" i="40"/>
  <c r="EW14" i="40"/>
  <c r="EW19" i="40"/>
  <c r="EW15" i="40"/>
  <c r="EW20" i="40"/>
  <c r="EW23" i="40"/>
  <c r="EJ93" i="40"/>
  <c r="EJ69" i="40"/>
  <c r="EJ63" i="40"/>
  <c r="EJ83" i="40"/>
  <c r="EJ80" i="40"/>
  <c r="EJ94" i="40"/>
  <c r="EJ70" i="40"/>
  <c r="EJ64" i="40"/>
  <c r="EJ84" i="40"/>
  <c r="EJ81" i="40"/>
  <c r="EJ90" i="40"/>
  <c r="EJ87" i="40"/>
  <c r="EJ97" i="40"/>
  <c r="EJ67" i="40"/>
  <c r="EJ82" i="40"/>
  <c r="EJ92" i="40"/>
  <c r="EJ65" i="40"/>
  <c r="EJ88" i="40"/>
  <c r="EJ71" i="40"/>
  <c r="EJ59" i="40"/>
  <c r="EJ96" i="40"/>
  <c r="EJ60" i="40"/>
  <c r="EJ86" i="40"/>
  <c r="EJ98" i="40"/>
  <c r="EJ91" i="40"/>
  <c r="EJ66" i="40"/>
  <c r="EJ95" i="40"/>
  <c r="EJ61" i="40"/>
  <c r="EJ54" i="40"/>
  <c r="EJ41" i="40"/>
  <c r="EJ35" i="40"/>
  <c r="EJ29" i="40"/>
  <c r="EJ77" i="40"/>
  <c r="EJ43" i="40"/>
  <c r="EJ79" i="40"/>
  <c r="EJ62" i="40"/>
  <c r="EJ38" i="40"/>
  <c r="EJ32" i="40"/>
  <c r="EJ26" i="40"/>
  <c r="EJ58" i="40"/>
  <c r="EJ68" i="40"/>
  <c r="EJ30" i="40"/>
  <c r="EJ27" i="40"/>
  <c r="EJ21" i="40"/>
  <c r="EJ56" i="40"/>
  <c r="EJ36" i="40"/>
  <c r="EJ33" i="40"/>
  <c r="EJ25" i="40"/>
  <c r="EJ39" i="40"/>
  <c r="EJ45" i="40"/>
  <c r="EJ55" i="40"/>
  <c r="EJ42" i="40"/>
  <c r="EJ31" i="40"/>
  <c r="EJ57" i="40"/>
  <c r="EJ37" i="40"/>
  <c r="EJ78" i="40"/>
  <c r="EJ34" i="40"/>
  <c r="EJ19" i="40"/>
  <c r="EJ40" i="40"/>
  <c r="EJ44" i="40"/>
  <c r="EJ18" i="40"/>
  <c r="EJ12" i="40"/>
  <c r="EJ10" i="40"/>
  <c r="EJ13" i="40"/>
  <c r="EJ85" i="40"/>
  <c r="EJ23" i="40"/>
  <c r="EJ15" i="40"/>
  <c r="EJ17" i="40"/>
  <c r="EJ14" i="40"/>
  <c r="EJ22" i="40"/>
  <c r="EJ16" i="40"/>
  <c r="EJ11" i="40"/>
  <c r="EJ28" i="40"/>
  <c r="EJ20" i="40"/>
  <c r="ER95" i="40"/>
  <c r="ER71" i="40"/>
  <c r="ER65" i="40"/>
  <c r="ER85" i="40"/>
  <c r="ER82" i="40"/>
  <c r="ER91" i="40"/>
  <c r="ER67" i="40"/>
  <c r="ER87" i="40"/>
  <c r="ER61" i="40"/>
  <c r="ER92" i="40"/>
  <c r="ER68" i="40"/>
  <c r="ER88" i="40"/>
  <c r="ER62" i="40"/>
  <c r="ER93" i="40"/>
  <c r="ER69" i="40"/>
  <c r="ER96" i="40"/>
  <c r="ER83" i="40"/>
  <c r="ER60" i="40"/>
  <c r="ER98" i="40"/>
  <c r="ER66" i="40"/>
  <c r="ER57" i="40"/>
  <c r="ER77" i="40"/>
  <c r="ER70" i="40"/>
  <c r="ER84" i="40"/>
  <c r="ER58" i="40"/>
  <c r="ER78" i="40"/>
  <c r="ER64" i="40"/>
  <c r="ER59" i="40"/>
  <c r="ER97" i="40"/>
  <c r="ER90" i="40"/>
  <c r="ER40" i="40"/>
  <c r="ER34" i="40"/>
  <c r="ER28" i="40"/>
  <c r="ER44" i="40"/>
  <c r="ER86" i="40"/>
  <c r="ER41" i="40"/>
  <c r="ER35" i="40"/>
  <c r="ER29" i="40"/>
  <c r="ER36" i="40"/>
  <c r="ER30" i="40"/>
  <c r="ER80" i="40"/>
  <c r="ER81" i="40"/>
  <c r="ER79" i="40"/>
  <c r="ER56" i="40"/>
  <c r="ER45" i="40"/>
  <c r="ER31" i="40"/>
  <c r="ER42" i="40"/>
  <c r="ER37" i="40"/>
  <c r="ER20" i="40"/>
  <c r="ER55" i="40"/>
  <c r="ER94" i="40"/>
  <c r="ER26" i="40"/>
  <c r="ER21" i="40"/>
  <c r="ER32" i="40"/>
  <c r="ER25" i="40"/>
  <c r="ER54" i="40"/>
  <c r="ER38" i="40"/>
  <c r="ER43" i="40"/>
  <c r="ER27" i="40"/>
  <c r="ER15" i="40"/>
  <c r="ER33" i="40"/>
  <c r="ER16" i="40"/>
  <c r="ER10" i="40"/>
  <c r="ER17" i="40"/>
  <c r="ER11" i="40"/>
  <c r="ER22" i="40"/>
  <c r="ER23" i="40"/>
  <c r="ER63" i="40"/>
  <c r="ER18" i="40"/>
  <c r="ER12" i="40"/>
  <c r="ER39" i="40"/>
  <c r="ER19" i="40"/>
  <c r="ER14" i="40"/>
  <c r="ER13" i="40"/>
  <c r="EI95" i="40"/>
  <c r="EI71" i="40"/>
  <c r="EI65" i="40"/>
  <c r="EI85" i="40"/>
  <c r="EI82" i="40"/>
  <c r="EI98" i="40"/>
  <c r="EI91" i="40"/>
  <c r="EI67" i="40"/>
  <c r="EI87" i="40"/>
  <c r="EI61" i="40"/>
  <c r="EI92" i="40"/>
  <c r="EI68" i="40"/>
  <c r="EI88" i="40"/>
  <c r="EI62" i="40"/>
  <c r="EI93" i="40"/>
  <c r="EI69" i="40"/>
  <c r="EI64" i="40"/>
  <c r="EI90" i="40"/>
  <c r="EI97" i="40"/>
  <c r="EI57" i="40"/>
  <c r="EI77" i="40"/>
  <c r="EI94" i="40"/>
  <c r="EI58" i="40"/>
  <c r="EI78" i="40"/>
  <c r="EI59" i="40"/>
  <c r="EI96" i="40"/>
  <c r="EI83" i="40"/>
  <c r="EI60" i="40"/>
  <c r="EI63" i="40"/>
  <c r="EI86" i="40"/>
  <c r="EI84" i="40"/>
  <c r="EI81" i="40"/>
  <c r="EI40" i="40"/>
  <c r="EI34" i="40"/>
  <c r="EI28" i="40"/>
  <c r="EI54" i="40"/>
  <c r="EI66" i="40"/>
  <c r="EI41" i="40"/>
  <c r="EI35" i="40"/>
  <c r="EI29" i="40"/>
  <c r="EI36" i="40"/>
  <c r="EI30" i="40"/>
  <c r="EI56" i="40"/>
  <c r="EI45" i="40"/>
  <c r="EI42" i="40"/>
  <c r="EI44" i="40"/>
  <c r="EI32" i="40"/>
  <c r="EI38" i="40"/>
  <c r="EI20" i="40"/>
  <c r="EI43" i="40"/>
  <c r="EI79" i="40"/>
  <c r="EI27" i="40"/>
  <c r="EI21" i="40"/>
  <c r="EI33" i="40"/>
  <c r="EI25" i="40"/>
  <c r="EI39" i="40"/>
  <c r="EI55" i="40"/>
  <c r="EI31" i="40"/>
  <c r="EI37" i="40"/>
  <c r="EI15" i="40"/>
  <c r="EI23" i="40"/>
  <c r="EI22" i="40"/>
  <c r="EI16" i="40"/>
  <c r="EI10" i="40"/>
  <c r="EI17" i="40"/>
  <c r="EI11" i="40"/>
  <c r="EI80" i="40"/>
  <c r="EI12" i="40"/>
  <c r="EI19" i="40"/>
  <c r="EI13" i="40"/>
  <c r="EI14" i="40"/>
  <c r="EI70" i="40"/>
  <c r="EI26" i="40"/>
  <c r="EI18" i="40"/>
  <c r="EX98" i="40"/>
  <c r="EX94" i="40"/>
  <c r="EX70" i="40"/>
  <c r="EX64" i="40"/>
  <c r="EX84" i="40"/>
  <c r="EX81" i="40"/>
  <c r="EX95" i="40"/>
  <c r="EX71" i="40"/>
  <c r="EX65" i="40"/>
  <c r="EX85" i="40"/>
  <c r="EX82" i="40"/>
  <c r="EX91" i="40"/>
  <c r="EX66" i="40"/>
  <c r="EX63" i="40"/>
  <c r="EX68" i="40"/>
  <c r="EX61" i="40"/>
  <c r="EX93" i="40"/>
  <c r="EX97" i="40"/>
  <c r="EX90" i="40"/>
  <c r="EX67" i="40"/>
  <c r="EX62" i="40"/>
  <c r="EX92" i="40"/>
  <c r="EX88" i="40"/>
  <c r="EX86" i="40"/>
  <c r="EX83" i="40"/>
  <c r="EX80" i="40"/>
  <c r="EX57" i="40"/>
  <c r="EX54" i="40"/>
  <c r="EX41" i="40"/>
  <c r="EX36" i="40"/>
  <c r="EX30" i="40"/>
  <c r="EX77" i="40"/>
  <c r="EX43" i="40"/>
  <c r="EX69" i="40"/>
  <c r="EX60" i="40"/>
  <c r="EX87" i="40"/>
  <c r="EX42" i="40"/>
  <c r="EX39" i="40"/>
  <c r="EX33" i="40"/>
  <c r="EX27" i="40"/>
  <c r="EX55" i="40"/>
  <c r="EX37" i="40"/>
  <c r="EX34" i="40"/>
  <c r="EX96" i="40"/>
  <c r="EX40" i="40"/>
  <c r="EX59" i="40"/>
  <c r="EX26" i="40"/>
  <c r="EX25" i="40"/>
  <c r="EX78" i="40"/>
  <c r="EX32" i="40"/>
  <c r="EX22" i="40"/>
  <c r="EX44" i="40"/>
  <c r="EX38" i="40"/>
  <c r="EX29" i="40"/>
  <c r="EX35" i="40"/>
  <c r="EX23" i="40"/>
  <c r="EX79" i="40"/>
  <c r="EX19" i="40"/>
  <c r="EX18" i="40"/>
  <c r="EX13" i="40"/>
  <c r="EX20" i="40"/>
  <c r="EX17" i="40"/>
  <c r="EX10" i="40"/>
  <c r="EX11" i="40"/>
  <c r="EX58" i="40"/>
  <c r="EX21" i="40"/>
  <c r="EX14" i="40"/>
  <c r="EX56" i="40"/>
  <c r="EX28" i="40"/>
  <c r="EX15" i="40"/>
  <c r="EX16" i="40"/>
  <c r="EX45" i="40"/>
  <c r="EX12" i="40"/>
  <c r="EX31" i="40"/>
  <c r="DW96" i="40"/>
  <c r="DW90" i="40"/>
  <c r="DW66" i="40"/>
  <c r="DW86" i="40"/>
  <c r="DW60" i="40"/>
  <c r="DW92" i="40"/>
  <c r="DW68" i="40"/>
  <c r="DW88" i="40"/>
  <c r="DW62" i="40"/>
  <c r="DW93" i="40"/>
  <c r="DW69" i="40"/>
  <c r="DW63" i="40"/>
  <c r="DW83" i="40"/>
  <c r="DW94" i="40"/>
  <c r="DW70" i="40"/>
  <c r="DW98" i="40"/>
  <c r="DW91" i="40"/>
  <c r="DW58" i="40"/>
  <c r="DW78" i="40"/>
  <c r="DW95" i="40"/>
  <c r="DW81" i="40"/>
  <c r="DW59" i="40"/>
  <c r="DW79" i="40"/>
  <c r="DW42" i="40"/>
  <c r="DW84" i="40"/>
  <c r="DW61" i="40"/>
  <c r="DW97" i="40"/>
  <c r="DW64" i="40"/>
  <c r="DW87" i="40"/>
  <c r="DW67" i="40"/>
  <c r="DW80" i="40"/>
  <c r="DW82" i="40"/>
  <c r="DW85" i="40"/>
  <c r="DW41" i="40"/>
  <c r="DW35" i="40"/>
  <c r="DW29" i="40"/>
  <c r="DW71" i="40"/>
  <c r="DW56" i="40"/>
  <c r="DW36" i="40"/>
  <c r="DW30" i="40"/>
  <c r="DW57" i="40"/>
  <c r="DW37" i="40"/>
  <c r="DW31" i="40"/>
  <c r="DW44" i="40"/>
  <c r="DW55" i="40"/>
  <c r="DW28" i="40"/>
  <c r="DW21" i="40"/>
  <c r="DW34" i="40"/>
  <c r="DW25" i="40"/>
  <c r="DW40" i="40"/>
  <c r="DW22" i="40"/>
  <c r="DW54" i="40"/>
  <c r="DW32" i="40"/>
  <c r="DW26" i="40"/>
  <c r="DW65" i="40"/>
  <c r="DW38" i="40"/>
  <c r="DW77" i="40"/>
  <c r="DW43" i="40"/>
  <c r="DW27" i="40"/>
  <c r="DW16" i="40"/>
  <c r="DW10" i="40"/>
  <c r="DW17" i="40"/>
  <c r="DW11" i="40"/>
  <c r="DW33" i="40"/>
  <c r="DW18" i="40"/>
  <c r="DW12" i="40"/>
  <c r="DW20" i="40"/>
  <c r="DW14" i="40"/>
  <c r="DW15" i="40"/>
  <c r="DW45" i="40"/>
  <c r="DW39" i="40"/>
  <c r="DW19" i="40"/>
  <c r="DW23" i="40"/>
  <c r="DW13" i="40"/>
  <c r="EK97" i="40"/>
  <c r="EK94" i="40"/>
  <c r="EK70" i="40"/>
  <c r="EK64" i="40"/>
  <c r="EK84" i="40"/>
  <c r="EK81" i="40"/>
  <c r="EK95" i="40"/>
  <c r="EK71" i="40"/>
  <c r="EK65" i="40"/>
  <c r="EK85" i="40"/>
  <c r="EK82" i="40"/>
  <c r="EK67" i="40"/>
  <c r="EK92" i="40"/>
  <c r="EK62" i="40"/>
  <c r="EK69" i="40"/>
  <c r="EK96" i="40"/>
  <c r="EK60" i="40"/>
  <c r="EK98" i="40"/>
  <c r="EK91" i="40"/>
  <c r="EK86" i="40"/>
  <c r="EK83" i="40"/>
  <c r="EK66" i="40"/>
  <c r="EK63" i="40"/>
  <c r="EK68" i="40"/>
  <c r="EK90" i="40"/>
  <c r="EK57" i="40"/>
  <c r="EK93" i="40"/>
  <c r="EK61" i="40"/>
  <c r="EK59" i="40"/>
  <c r="EK77" i="40"/>
  <c r="EK43" i="40"/>
  <c r="EK36" i="40"/>
  <c r="EK30" i="40"/>
  <c r="EK56" i="40"/>
  <c r="EK45" i="40"/>
  <c r="EK58" i="40"/>
  <c r="EK80" i="40"/>
  <c r="EK39" i="40"/>
  <c r="EK33" i="40"/>
  <c r="EK27" i="40"/>
  <c r="EK35" i="40"/>
  <c r="EK41" i="40"/>
  <c r="EK88" i="40"/>
  <c r="EK25" i="40"/>
  <c r="EK79" i="40"/>
  <c r="EK22" i="40"/>
  <c r="EK87" i="40"/>
  <c r="EK23" i="40"/>
  <c r="EK55" i="40"/>
  <c r="EK42" i="40"/>
  <c r="EK31" i="40"/>
  <c r="EK28" i="40"/>
  <c r="EK37" i="40"/>
  <c r="EK34" i="40"/>
  <c r="EK78" i="40"/>
  <c r="EK40" i="40"/>
  <c r="EK44" i="40"/>
  <c r="EK26" i="40"/>
  <c r="EK13" i="40"/>
  <c r="EK11" i="40"/>
  <c r="EK19" i="40"/>
  <c r="EK14" i="40"/>
  <c r="EK29" i="40"/>
  <c r="EK20" i="40"/>
  <c r="EK16" i="40"/>
  <c r="EK18" i="40"/>
  <c r="EK38" i="40"/>
  <c r="EK21" i="40"/>
  <c r="EK54" i="40"/>
  <c r="EK32" i="40"/>
  <c r="EK15" i="40"/>
  <c r="EK10" i="40"/>
  <c r="EK12" i="40"/>
  <c r="EK17" i="40"/>
  <c r="EF97" i="40"/>
  <c r="EF98" i="40"/>
  <c r="EF91" i="40"/>
  <c r="EF67" i="40"/>
  <c r="EF87" i="40"/>
  <c r="EF61" i="40"/>
  <c r="EF92" i="40"/>
  <c r="EF68" i="40"/>
  <c r="EF88" i="40"/>
  <c r="EF62" i="40"/>
  <c r="EF70" i="40"/>
  <c r="EF81" i="40"/>
  <c r="EF95" i="40"/>
  <c r="EF64" i="40"/>
  <c r="EF90" i="40"/>
  <c r="EF69" i="40"/>
  <c r="EF82" i="40"/>
  <c r="EF57" i="40"/>
  <c r="EF94" i="40"/>
  <c r="EF85" i="40"/>
  <c r="EF65" i="40"/>
  <c r="EF58" i="40"/>
  <c r="EF71" i="40"/>
  <c r="EF93" i="40"/>
  <c r="EF66" i="40"/>
  <c r="EF83" i="40"/>
  <c r="EF55" i="40"/>
  <c r="EF78" i="40"/>
  <c r="EF39" i="40"/>
  <c r="EF33" i="40"/>
  <c r="EF27" i="40"/>
  <c r="EF59" i="40"/>
  <c r="EF44" i="40"/>
  <c r="EF96" i="40"/>
  <c r="EF54" i="40"/>
  <c r="EF77" i="40"/>
  <c r="EF86" i="40"/>
  <c r="EF36" i="40"/>
  <c r="EF30" i="40"/>
  <c r="EF63" i="40"/>
  <c r="EF60" i="40"/>
  <c r="EF80" i="40"/>
  <c r="EF84" i="40"/>
  <c r="EF29" i="40"/>
  <c r="EF35" i="40"/>
  <c r="EF26" i="40"/>
  <c r="EF41" i="40"/>
  <c r="EF32" i="40"/>
  <c r="EF19" i="40"/>
  <c r="EF38" i="40"/>
  <c r="EF43" i="40"/>
  <c r="EF56" i="40"/>
  <c r="EF79" i="40"/>
  <c r="EF45" i="40"/>
  <c r="EF28" i="40"/>
  <c r="EF34" i="40"/>
  <c r="EF25" i="40"/>
  <c r="EF23" i="40"/>
  <c r="EF40" i="40"/>
  <c r="EF22" i="40"/>
  <c r="EF16" i="40"/>
  <c r="EF10" i="40"/>
  <c r="EF42" i="40"/>
  <c r="EF31" i="40"/>
  <c r="EF21" i="40"/>
  <c r="EF11" i="40"/>
  <c r="EF13" i="40"/>
  <c r="EF15" i="40"/>
  <c r="EF12" i="40"/>
  <c r="EF17" i="40"/>
  <c r="EF37" i="40"/>
  <c r="EF18" i="40"/>
  <c r="EF14" i="40"/>
  <c r="EF20" i="40"/>
  <c r="EQ98" i="40"/>
  <c r="EQ92" i="40"/>
  <c r="EQ68" i="40"/>
  <c r="EQ88" i="40"/>
  <c r="EQ62" i="40"/>
  <c r="EQ93" i="40"/>
  <c r="EQ69" i="40"/>
  <c r="EQ63" i="40"/>
  <c r="EQ83" i="40"/>
  <c r="EQ71" i="40"/>
  <c r="EQ96" i="40"/>
  <c r="EQ86" i="40"/>
  <c r="EQ80" i="40"/>
  <c r="EQ91" i="40"/>
  <c r="EQ66" i="40"/>
  <c r="EQ81" i="40"/>
  <c r="EQ70" i="40"/>
  <c r="EQ84" i="40"/>
  <c r="EQ61" i="40"/>
  <c r="EQ58" i="40"/>
  <c r="EQ95" i="40"/>
  <c r="EQ64" i="40"/>
  <c r="EQ87" i="40"/>
  <c r="EQ59" i="40"/>
  <c r="EQ97" i="40"/>
  <c r="EQ90" i="40"/>
  <c r="EQ82" i="40"/>
  <c r="EQ94" i="40"/>
  <c r="EQ67" i="40"/>
  <c r="EQ56" i="40"/>
  <c r="EQ55" i="40"/>
  <c r="EQ78" i="40"/>
  <c r="EQ40" i="40"/>
  <c r="EQ34" i="40"/>
  <c r="EQ28" i="40"/>
  <c r="EQ44" i="40"/>
  <c r="EQ54" i="40"/>
  <c r="EQ65" i="40"/>
  <c r="EQ37" i="40"/>
  <c r="EQ31" i="40"/>
  <c r="EQ39" i="40"/>
  <c r="EQ45" i="40"/>
  <c r="EQ42" i="40"/>
  <c r="EQ20" i="40"/>
  <c r="EQ57" i="40"/>
  <c r="EQ29" i="40"/>
  <c r="EQ26" i="40"/>
  <c r="EQ35" i="40"/>
  <c r="EQ32" i="40"/>
  <c r="EQ25" i="40"/>
  <c r="EQ41" i="40"/>
  <c r="EQ38" i="40"/>
  <c r="EQ77" i="40"/>
  <c r="EQ85" i="40"/>
  <c r="EQ30" i="40"/>
  <c r="EQ23" i="40"/>
  <c r="EQ27" i="40"/>
  <c r="EQ36" i="40"/>
  <c r="EQ19" i="40"/>
  <c r="EQ79" i="40"/>
  <c r="EQ17" i="40"/>
  <c r="EQ11" i="40"/>
  <c r="EQ15" i="40"/>
  <c r="EQ22" i="40"/>
  <c r="EQ18" i="40"/>
  <c r="EQ21" i="40"/>
  <c r="EQ12" i="40"/>
  <c r="EQ33" i="40"/>
  <c r="EQ13" i="40"/>
  <c r="EQ60" i="40"/>
  <c r="EQ14" i="40"/>
  <c r="EQ10" i="40"/>
  <c r="EQ16" i="40"/>
  <c r="EQ43" i="40"/>
  <c r="DX97" i="40"/>
  <c r="DX94" i="40"/>
  <c r="DX70" i="40"/>
  <c r="DX64" i="40"/>
  <c r="DX84" i="40"/>
  <c r="DX81" i="40"/>
  <c r="DX95" i="40"/>
  <c r="DX71" i="40"/>
  <c r="DX65" i="40"/>
  <c r="DX85" i="40"/>
  <c r="DX82" i="40"/>
  <c r="DX98" i="40"/>
  <c r="DX91" i="40"/>
  <c r="DX60" i="40"/>
  <c r="DX68" i="40"/>
  <c r="DX66" i="40"/>
  <c r="DX63" i="40"/>
  <c r="DX93" i="40"/>
  <c r="DX61" i="40"/>
  <c r="DX90" i="40"/>
  <c r="DX87" i="40"/>
  <c r="DX67" i="40"/>
  <c r="DX80" i="40"/>
  <c r="DX92" i="40"/>
  <c r="DX96" i="40"/>
  <c r="DX57" i="40"/>
  <c r="DX56" i="40"/>
  <c r="DX79" i="40"/>
  <c r="DX36" i="40"/>
  <c r="DX30" i="40"/>
  <c r="DX83" i="40"/>
  <c r="DX45" i="40"/>
  <c r="DX55" i="40"/>
  <c r="DX88" i="40"/>
  <c r="DX39" i="40"/>
  <c r="DX33" i="40"/>
  <c r="DX27" i="40"/>
  <c r="DX69" i="40"/>
  <c r="DX42" i="40"/>
  <c r="DX31" i="40"/>
  <c r="DX28" i="40"/>
  <c r="DX78" i="40"/>
  <c r="DX37" i="40"/>
  <c r="DX34" i="40"/>
  <c r="DX25" i="40"/>
  <c r="DX58" i="40"/>
  <c r="DX44" i="40"/>
  <c r="DX40" i="40"/>
  <c r="DX22" i="40"/>
  <c r="DX54" i="40"/>
  <c r="DX32" i="40"/>
  <c r="DX26" i="40"/>
  <c r="DX38" i="40"/>
  <c r="DX29" i="40"/>
  <c r="DX62" i="40"/>
  <c r="DX59" i="40"/>
  <c r="DX77" i="40"/>
  <c r="DX35" i="40"/>
  <c r="DX86" i="40"/>
  <c r="DX43" i="40"/>
  <c r="DX41" i="40"/>
  <c r="DX21" i="40"/>
  <c r="DX20" i="40"/>
  <c r="DX13" i="40"/>
  <c r="DX16" i="40"/>
  <c r="DX17" i="40"/>
  <c r="DX23" i="40"/>
  <c r="DX10" i="40"/>
  <c r="DX12" i="40"/>
  <c r="DX18" i="40"/>
  <c r="DX14" i="40"/>
  <c r="DX19" i="40"/>
  <c r="DX11" i="40"/>
  <c r="EL98" i="40"/>
  <c r="EL91" i="40"/>
  <c r="EL67" i="40"/>
  <c r="EL87" i="40"/>
  <c r="EL61" i="40"/>
  <c r="EL93" i="40"/>
  <c r="EL69" i="40"/>
  <c r="EL63" i="40"/>
  <c r="EL83" i="40"/>
  <c r="EL80" i="40"/>
  <c r="EL94" i="40"/>
  <c r="EL70" i="40"/>
  <c r="EL64" i="40"/>
  <c r="EL84" i="40"/>
  <c r="EL81" i="40"/>
  <c r="EL95" i="40"/>
  <c r="EL71" i="40"/>
  <c r="EL82" i="40"/>
  <c r="EL92" i="40"/>
  <c r="EL65" i="40"/>
  <c r="EL88" i="40"/>
  <c r="EL59" i="40"/>
  <c r="EL79" i="40"/>
  <c r="EL42" i="40"/>
  <c r="EL96" i="40"/>
  <c r="EL60" i="40"/>
  <c r="EL54" i="40"/>
  <c r="EL43" i="40"/>
  <c r="EL86" i="40"/>
  <c r="EL66" i="40"/>
  <c r="EL68" i="40"/>
  <c r="EL97" i="40"/>
  <c r="EL85" i="40"/>
  <c r="EL36" i="40"/>
  <c r="EL30" i="40"/>
  <c r="EL37" i="40"/>
  <c r="EL31" i="40"/>
  <c r="EL58" i="40"/>
  <c r="EL38" i="40"/>
  <c r="EL32" i="40"/>
  <c r="EL26" i="40"/>
  <c r="EL78" i="40"/>
  <c r="EL44" i="40"/>
  <c r="EL41" i="40"/>
  <c r="EL77" i="40"/>
  <c r="EL27" i="40"/>
  <c r="EL25" i="40"/>
  <c r="EL56" i="40"/>
  <c r="EL33" i="40"/>
  <c r="EL22" i="40"/>
  <c r="EL39" i="40"/>
  <c r="EL45" i="40"/>
  <c r="EL23" i="40"/>
  <c r="EL55" i="40"/>
  <c r="EL28" i="40"/>
  <c r="EL62" i="40"/>
  <c r="EL34" i="40"/>
  <c r="EL57" i="40"/>
  <c r="EL40" i="40"/>
  <c r="EL90" i="40"/>
  <c r="EL17" i="40"/>
  <c r="EL11" i="40"/>
  <c r="EL21" i="40"/>
  <c r="EL18" i="40"/>
  <c r="EL12" i="40"/>
  <c r="EL13" i="40"/>
  <c r="EL29" i="40"/>
  <c r="EL20" i="40"/>
  <c r="EL14" i="40"/>
  <c r="EL15" i="40"/>
  <c r="EL16" i="40"/>
  <c r="EL35" i="40"/>
  <c r="EL10" i="40"/>
  <c r="EL19" i="40"/>
  <c r="EA98" i="40"/>
  <c r="EA91" i="40"/>
  <c r="EA67" i="40"/>
  <c r="EA87" i="40"/>
  <c r="EA61" i="40"/>
  <c r="EA93" i="40"/>
  <c r="EA69" i="40"/>
  <c r="EA63" i="40"/>
  <c r="EA83" i="40"/>
  <c r="EA94" i="40"/>
  <c r="EA70" i="40"/>
  <c r="EA64" i="40"/>
  <c r="EA84" i="40"/>
  <c r="EA81" i="40"/>
  <c r="EA95" i="40"/>
  <c r="EA71" i="40"/>
  <c r="EA86" i="40"/>
  <c r="EA68" i="40"/>
  <c r="EA66" i="40"/>
  <c r="EA59" i="40"/>
  <c r="EA79" i="40"/>
  <c r="EA42" i="40"/>
  <c r="EA90" i="40"/>
  <c r="EA54" i="40"/>
  <c r="EA43" i="40"/>
  <c r="EA97" i="40"/>
  <c r="EA80" i="40"/>
  <c r="EA92" i="40"/>
  <c r="EA82" i="40"/>
  <c r="EA85" i="40"/>
  <c r="EA62" i="40"/>
  <c r="EA60" i="40"/>
  <c r="EA58" i="40"/>
  <c r="EA36" i="40"/>
  <c r="EA30" i="40"/>
  <c r="EA45" i="40"/>
  <c r="EA37" i="40"/>
  <c r="EA31" i="40"/>
  <c r="EA88" i="40"/>
  <c r="EA38" i="40"/>
  <c r="EA32" i="40"/>
  <c r="EA26" i="40"/>
  <c r="EA96" i="40"/>
  <c r="EA28" i="40"/>
  <c r="EA78" i="40"/>
  <c r="EA34" i="40"/>
  <c r="EA25" i="40"/>
  <c r="EA44" i="40"/>
  <c r="EA40" i="40"/>
  <c r="EA22" i="40"/>
  <c r="EA23" i="40"/>
  <c r="EA29" i="40"/>
  <c r="EA65" i="40"/>
  <c r="EA77" i="40"/>
  <c r="EA35" i="40"/>
  <c r="EA41" i="40"/>
  <c r="EA56" i="40"/>
  <c r="EA57" i="40"/>
  <c r="EA33" i="40"/>
  <c r="EA17" i="40"/>
  <c r="EA11" i="40"/>
  <c r="EA18" i="40"/>
  <c r="EA12" i="40"/>
  <c r="EA27" i="40"/>
  <c r="EA13" i="40"/>
  <c r="EA55" i="40"/>
  <c r="EA15" i="40"/>
  <c r="EA16" i="40"/>
  <c r="EA10" i="40"/>
  <c r="EA21" i="40"/>
  <c r="EA19" i="40"/>
  <c r="EA39" i="40"/>
  <c r="EA20" i="40"/>
  <c r="EA14" i="40"/>
  <c r="EH97" i="40"/>
  <c r="EH92" i="40"/>
  <c r="EH68" i="40"/>
  <c r="EH88" i="40"/>
  <c r="EH62" i="40"/>
  <c r="EH93" i="40"/>
  <c r="EH69" i="40"/>
  <c r="EH63" i="40"/>
  <c r="EH83" i="40"/>
  <c r="EH95" i="40"/>
  <c r="EH84" i="40"/>
  <c r="EH61" i="40"/>
  <c r="EH90" i="40"/>
  <c r="EH67" i="40"/>
  <c r="EH85" i="40"/>
  <c r="EH94" i="40"/>
  <c r="EH65" i="40"/>
  <c r="EH58" i="40"/>
  <c r="EH71" i="40"/>
  <c r="EH59" i="40"/>
  <c r="EH96" i="40"/>
  <c r="EH60" i="40"/>
  <c r="EH70" i="40"/>
  <c r="EH81" i="40"/>
  <c r="EH80" i="40"/>
  <c r="EH98" i="40"/>
  <c r="EH87" i="40"/>
  <c r="EH57" i="40"/>
  <c r="EH44" i="40"/>
  <c r="EH40" i="40"/>
  <c r="EH34" i="40"/>
  <c r="EH28" i="40"/>
  <c r="EH64" i="40"/>
  <c r="EH54" i="40"/>
  <c r="EH86" i="40"/>
  <c r="EH43" i="40"/>
  <c r="EH37" i="40"/>
  <c r="EH31" i="40"/>
  <c r="EH29" i="40"/>
  <c r="EH26" i="40"/>
  <c r="EH35" i="40"/>
  <c r="EH32" i="40"/>
  <c r="EH77" i="40"/>
  <c r="EH41" i="40"/>
  <c r="EH38" i="40"/>
  <c r="EH82" i="40"/>
  <c r="EH20" i="40"/>
  <c r="EH66" i="40"/>
  <c r="EH30" i="40"/>
  <c r="EH56" i="40"/>
  <c r="EH79" i="40"/>
  <c r="EH36" i="40"/>
  <c r="EH27" i="40"/>
  <c r="EH33" i="40"/>
  <c r="EH25" i="40"/>
  <c r="EH91" i="40"/>
  <c r="EH45" i="40"/>
  <c r="EH39" i="40"/>
  <c r="EH42" i="40"/>
  <c r="EH55" i="40"/>
  <c r="EH23" i="40"/>
  <c r="EH19" i="40"/>
  <c r="EH21" i="40"/>
  <c r="EH17" i="40"/>
  <c r="EH11" i="40"/>
  <c r="EH12" i="40"/>
  <c r="EH78" i="40"/>
  <c r="EH14" i="40"/>
  <c r="EH22" i="40"/>
  <c r="EH16" i="40"/>
  <c r="EH13" i="40"/>
  <c r="EH18" i="40"/>
  <c r="EH15" i="40"/>
  <c r="EH10" i="40"/>
  <c r="EB95" i="40"/>
  <c r="EB71" i="40"/>
  <c r="EB65" i="40"/>
  <c r="EB85" i="40"/>
  <c r="EB82" i="40"/>
  <c r="EB96" i="40"/>
  <c r="EB90" i="40"/>
  <c r="EB66" i="40"/>
  <c r="EB86" i="40"/>
  <c r="EB60" i="40"/>
  <c r="EB68" i="40"/>
  <c r="EB83" i="40"/>
  <c r="EB93" i="40"/>
  <c r="EB70" i="40"/>
  <c r="EB97" i="40"/>
  <c r="EB87" i="40"/>
  <c r="EB84" i="40"/>
  <c r="EB80" i="40"/>
  <c r="EB67" i="40"/>
  <c r="EB64" i="40"/>
  <c r="EB92" i="40"/>
  <c r="EB62" i="40"/>
  <c r="EB69" i="40"/>
  <c r="EB88" i="40"/>
  <c r="EB98" i="40"/>
  <c r="EB91" i="40"/>
  <c r="EB58" i="40"/>
  <c r="EB94" i="40"/>
  <c r="EB63" i="40"/>
  <c r="EB81" i="40"/>
  <c r="EB79" i="40"/>
  <c r="EB45" i="40"/>
  <c r="EB37" i="40"/>
  <c r="EB31" i="40"/>
  <c r="EB57" i="40"/>
  <c r="EB55" i="40"/>
  <c r="EB42" i="40"/>
  <c r="EB78" i="40"/>
  <c r="EB44" i="40"/>
  <c r="EB59" i="40"/>
  <c r="EB54" i="40"/>
  <c r="EB40" i="40"/>
  <c r="EB34" i="40"/>
  <c r="EB28" i="40"/>
  <c r="EB25" i="40"/>
  <c r="EB23" i="40"/>
  <c r="EB32" i="40"/>
  <c r="EB29" i="40"/>
  <c r="EB26" i="40"/>
  <c r="EB77" i="40"/>
  <c r="EB38" i="40"/>
  <c r="EB35" i="40"/>
  <c r="EB41" i="40"/>
  <c r="EB56" i="40"/>
  <c r="EB43" i="40"/>
  <c r="EB27" i="40"/>
  <c r="EB33" i="40"/>
  <c r="EB39" i="40"/>
  <c r="EB30" i="40"/>
  <c r="EB61" i="40"/>
  <c r="EB20" i="40"/>
  <c r="EB14" i="40"/>
  <c r="EB36" i="40"/>
  <c r="EB17" i="40"/>
  <c r="EB18" i="40"/>
  <c r="EB21" i="40"/>
  <c r="EB19" i="40"/>
  <c r="EB11" i="40"/>
  <c r="EB13" i="40"/>
  <c r="EB16" i="40"/>
  <c r="EB12" i="40"/>
  <c r="EB10" i="40"/>
  <c r="EB15" i="40"/>
  <c r="EB22" i="40"/>
  <c r="EN95" i="40"/>
  <c r="EN71" i="40"/>
  <c r="EN65" i="40"/>
  <c r="EN85" i="40"/>
  <c r="EN82" i="40"/>
  <c r="EN96" i="40"/>
  <c r="EN97" i="40"/>
  <c r="EN90" i="40"/>
  <c r="EN66" i="40"/>
  <c r="EN86" i="40"/>
  <c r="EN60" i="40"/>
  <c r="EN92" i="40"/>
  <c r="EN62" i="40"/>
  <c r="EN69" i="40"/>
  <c r="EN94" i="40"/>
  <c r="EN98" i="40"/>
  <c r="EN91" i="40"/>
  <c r="EN83" i="40"/>
  <c r="EN68" i="40"/>
  <c r="EN63" i="40"/>
  <c r="EN80" i="40"/>
  <c r="EN93" i="40"/>
  <c r="EN61" i="40"/>
  <c r="EN67" i="40"/>
  <c r="EN58" i="40"/>
  <c r="EN64" i="40"/>
  <c r="EN37" i="40"/>
  <c r="EN31" i="40"/>
  <c r="EN70" i="40"/>
  <c r="EN88" i="40"/>
  <c r="EN56" i="40"/>
  <c r="EN79" i="40"/>
  <c r="EN45" i="40"/>
  <c r="EN84" i="40"/>
  <c r="EN55" i="40"/>
  <c r="EN42" i="40"/>
  <c r="EN40" i="40"/>
  <c r="EN34" i="40"/>
  <c r="EN28" i="40"/>
  <c r="EN77" i="40"/>
  <c r="EN27" i="40"/>
  <c r="EN25" i="40"/>
  <c r="EN33" i="40"/>
  <c r="EN43" i="40"/>
  <c r="EN39" i="40"/>
  <c r="EN30" i="40"/>
  <c r="EN36" i="40"/>
  <c r="EN23" i="40"/>
  <c r="EN87" i="40"/>
  <c r="EN81" i="40"/>
  <c r="EN59" i="40"/>
  <c r="EN57" i="40"/>
  <c r="EN78" i="40"/>
  <c r="EN44" i="40"/>
  <c r="EN32" i="40"/>
  <c r="EN29" i="40"/>
  <c r="EN22" i="40"/>
  <c r="EN54" i="40"/>
  <c r="EN20" i="40"/>
  <c r="EN14" i="40"/>
  <c r="EN21" i="40"/>
  <c r="EN19" i="40"/>
  <c r="EN12" i="40"/>
  <c r="EN26" i="40"/>
  <c r="EN15" i="40"/>
  <c r="EN41" i="40"/>
  <c r="EN35" i="40"/>
  <c r="EN17" i="40"/>
  <c r="EN10" i="40"/>
  <c r="EN38" i="40"/>
  <c r="EN18" i="40"/>
  <c r="EN13" i="40"/>
  <c r="EN16" i="40"/>
  <c r="EN11" i="40"/>
  <c r="EP12" i="40"/>
  <c r="EC92" i="40"/>
  <c r="EC68" i="40"/>
  <c r="EC88" i="40"/>
  <c r="EC62" i="40"/>
  <c r="EC94" i="40"/>
  <c r="EC70" i="40"/>
  <c r="EC64" i="40"/>
  <c r="EC84" i="40"/>
  <c r="EC81" i="40"/>
  <c r="EC95" i="40"/>
  <c r="EC71" i="40"/>
  <c r="EC65" i="40"/>
  <c r="EC85" i="40"/>
  <c r="EC82" i="40"/>
  <c r="EC96" i="40"/>
  <c r="EC90" i="40"/>
  <c r="EC97" i="40"/>
  <c r="EC66" i="40"/>
  <c r="EC63" i="40"/>
  <c r="EC93" i="40"/>
  <c r="EC61" i="40"/>
  <c r="EC54" i="40"/>
  <c r="EC43" i="40"/>
  <c r="EC67" i="40"/>
  <c r="EC55" i="40"/>
  <c r="EC44" i="40"/>
  <c r="EC56" i="40"/>
  <c r="EC69" i="40"/>
  <c r="EC86" i="40"/>
  <c r="EC83" i="40"/>
  <c r="EC80" i="40"/>
  <c r="EC37" i="40"/>
  <c r="EC31" i="40"/>
  <c r="EC57" i="40"/>
  <c r="EC42" i="40"/>
  <c r="EC38" i="40"/>
  <c r="EC32" i="40"/>
  <c r="EC26" i="40"/>
  <c r="EC59" i="40"/>
  <c r="EC39" i="40"/>
  <c r="EC33" i="40"/>
  <c r="EC27" i="40"/>
  <c r="EC91" i="40"/>
  <c r="EC77" i="40"/>
  <c r="EC98" i="40"/>
  <c r="EC78" i="40"/>
  <c r="EC34" i="40"/>
  <c r="EC60" i="40"/>
  <c r="EC40" i="40"/>
  <c r="EC58" i="40"/>
  <c r="EC23" i="40"/>
  <c r="EC29" i="40"/>
  <c r="EC35" i="40"/>
  <c r="EC41" i="40"/>
  <c r="EC87" i="40"/>
  <c r="EC30" i="40"/>
  <c r="EC79" i="40"/>
  <c r="EC36" i="40"/>
  <c r="EC28" i="40"/>
  <c r="EC18" i="40"/>
  <c r="EC12" i="40"/>
  <c r="EC45" i="40"/>
  <c r="EC13" i="40"/>
  <c r="EC14" i="40"/>
  <c r="EC19" i="40"/>
  <c r="EC22" i="40"/>
  <c r="EC20" i="40"/>
  <c r="EC16" i="40"/>
  <c r="EC17" i="40"/>
  <c r="EC10" i="40"/>
  <c r="EC11" i="40"/>
  <c r="EC25" i="40"/>
  <c r="EC21" i="40"/>
  <c r="EC15" i="40"/>
  <c r="EO92" i="40"/>
  <c r="EO68" i="40"/>
  <c r="EO88" i="40"/>
  <c r="EO62" i="40"/>
  <c r="EO94" i="40"/>
  <c r="EO70" i="40"/>
  <c r="EO64" i="40"/>
  <c r="EO84" i="40"/>
  <c r="EO81" i="40"/>
  <c r="EO95" i="40"/>
  <c r="EO71" i="40"/>
  <c r="EO65" i="40"/>
  <c r="EO85" i="40"/>
  <c r="EO82" i="40"/>
  <c r="EO96" i="40"/>
  <c r="EO97" i="40"/>
  <c r="EO90" i="40"/>
  <c r="EO98" i="40"/>
  <c r="EO69" i="40"/>
  <c r="EO54" i="40"/>
  <c r="EO43" i="40"/>
  <c r="EO91" i="40"/>
  <c r="EO86" i="40"/>
  <c r="EO83" i="40"/>
  <c r="EO55" i="40"/>
  <c r="EO44" i="40"/>
  <c r="EO66" i="40"/>
  <c r="EO63" i="40"/>
  <c r="EO80" i="40"/>
  <c r="EO56" i="40"/>
  <c r="EO93" i="40"/>
  <c r="EO61" i="40"/>
  <c r="EO87" i="40"/>
  <c r="EO59" i="40"/>
  <c r="EO37" i="40"/>
  <c r="EO31" i="40"/>
  <c r="EO79" i="40"/>
  <c r="EO45" i="40"/>
  <c r="EO38" i="40"/>
  <c r="EO32" i="40"/>
  <c r="EO26" i="40"/>
  <c r="EO39" i="40"/>
  <c r="EO33" i="40"/>
  <c r="EO27" i="40"/>
  <c r="EO60" i="40"/>
  <c r="EO57" i="40"/>
  <c r="EO30" i="40"/>
  <c r="EO36" i="40"/>
  <c r="EO23" i="40"/>
  <c r="EO67" i="40"/>
  <c r="EO28" i="40"/>
  <c r="EO42" i="40"/>
  <c r="EO34" i="40"/>
  <c r="EO78" i="40"/>
  <c r="EO40" i="40"/>
  <c r="EO35" i="40"/>
  <c r="EO41" i="40"/>
  <c r="EO21" i="40"/>
  <c r="EO18" i="40"/>
  <c r="EO12" i="40"/>
  <c r="EO13" i="40"/>
  <c r="EO29" i="40"/>
  <c r="EO14" i="40"/>
  <c r="EO15" i="40"/>
  <c r="EO16" i="40"/>
  <c r="EO17" i="40"/>
  <c r="EO58" i="40"/>
  <c r="EO77" i="40"/>
  <c r="EO22" i="40"/>
  <c r="EO25" i="40"/>
  <c r="EO10" i="40"/>
  <c r="EO19" i="40"/>
  <c r="EO11" i="40"/>
  <c r="EO20" i="40"/>
  <c r="ED96" i="40"/>
  <c r="ED90" i="40"/>
  <c r="ED66" i="40"/>
  <c r="ED86" i="40"/>
  <c r="ED60" i="40"/>
  <c r="ED97" i="40"/>
  <c r="ED98" i="40"/>
  <c r="ED91" i="40"/>
  <c r="ED67" i="40"/>
  <c r="ED87" i="40"/>
  <c r="ED61" i="40"/>
  <c r="ED93" i="40"/>
  <c r="ED70" i="40"/>
  <c r="ED81" i="40"/>
  <c r="ED80" i="40"/>
  <c r="ED95" i="40"/>
  <c r="ED64" i="40"/>
  <c r="ED92" i="40"/>
  <c r="ED56" i="40"/>
  <c r="ED69" i="40"/>
  <c r="ED62" i="40"/>
  <c r="ED82" i="40"/>
  <c r="ED88" i="40"/>
  <c r="ED85" i="40"/>
  <c r="ED57" i="40"/>
  <c r="ED94" i="40"/>
  <c r="ED65" i="40"/>
  <c r="ED68" i="40"/>
  <c r="ED63" i="40"/>
  <c r="ED59" i="40"/>
  <c r="ED71" i="40"/>
  <c r="ED42" i="40"/>
  <c r="ED83" i="40"/>
  <c r="ED55" i="40"/>
  <c r="ED38" i="40"/>
  <c r="ED32" i="40"/>
  <c r="ED26" i="40"/>
  <c r="ED78" i="40"/>
  <c r="ED84" i="40"/>
  <c r="ED41" i="40"/>
  <c r="ED35" i="40"/>
  <c r="ED29" i="40"/>
  <c r="ED40" i="40"/>
  <c r="ED31" i="40"/>
  <c r="ED58" i="40"/>
  <c r="ED44" i="40"/>
  <c r="ED37" i="40"/>
  <c r="ED54" i="40"/>
  <c r="ED77" i="40"/>
  <c r="ED43" i="40"/>
  <c r="ED27" i="40"/>
  <c r="ED33" i="40"/>
  <c r="ED30" i="40"/>
  <c r="ED79" i="40"/>
  <c r="ED39" i="40"/>
  <c r="ED36" i="40"/>
  <c r="ED45" i="40"/>
  <c r="ED20" i="40"/>
  <c r="ED19" i="40"/>
  <c r="ED25" i="40"/>
  <c r="ED15" i="40"/>
  <c r="ED18" i="40"/>
  <c r="ED10" i="40"/>
  <c r="ED21" i="40"/>
  <c r="ED23" i="40"/>
  <c r="ED12" i="40"/>
  <c r="ED14" i="40"/>
  <c r="ED28" i="40"/>
  <c r="ED17" i="40"/>
  <c r="ED13" i="40"/>
  <c r="ED34" i="40"/>
  <c r="ED22" i="40"/>
  <c r="ED11" i="40"/>
  <c r="ED16" i="40"/>
  <c r="EP96" i="40"/>
  <c r="EP97" i="40"/>
  <c r="EP90" i="40"/>
  <c r="EP66" i="40"/>
  <c r="EP86" i="40"/>
  <c r="EP60" i="40"/>
  <c r="EP98" i="40"/>
  <c r="EP91" i="40"/>
  <c r="EP67" i="40"/>
  <c r="EP87" i="40"/>
  <c r="EP61" i="40"/>
  <c r="EP69" i="40"/>
  <c r="EP88" i="40"/>
  <c r="EP85" i="40"/>
  <c r="EP94" i="40"/>
  <c r="EP71" i="40"/>
  <c r="EP63" i="40"/>
  <c r="EP68" i="40"/>
  <c r="EP80" i="40"/>
  <c r="EP56" i="40"/>
  <c r="EP93" i="40"/>
  <c r="EP81" i="40"/>
  <c r="EP57" i="40"/>
  <c r="EP70" i="40"/>
  <c r="EP84" i="40"/>
  <c r="EP92" i="40"/>
  <c r="EP62" i="40"/>
  <c r="EP82" i="40"/>
  <c r="EP59" i="40"/>
  <c r="EP64" i="40"/>
  <c r="EP79" i="40"/>
  <c r="EP45" i="40"/>
  <c r="EP38" i="40"/>
  <c r="EP32" i="40"/>
  <c r="EP26" i="40"/>
  <c r="EP58" i="40"/>
  <c r="EP42" i="40"/>
  <c r="EP78" i="40"/>
  <c r="EP41" i="40"/>
  <c r="EP35" i="40"/>
  <c r="EP29" i="40"/>
  <c r="EP33" i="40"/>
  <c r="EP30" i="40"/>
  <c r="EP43" i="40"/>
  <c r="EP39" i="40"/>
  <c r="EP36" i="40"/>
  <c r="EP23" i="40"/>
  <c r="EP95" i="40"/>
  <c r="EP28" i="40"/>
  <c r="EP83" i="40"/>
  <c r="EP55" i="40"/>
  <c r="EP34" i="40"/>
  <c r="EP65" i="40"/>
  <c r="EP40" i="40"/>
  <c r="EP31" i="40"/>
  <c r="EP37" i="40"/>
  <c r="EP44" i="40"/>
  <c r="EP54" i="40"/>
  <c r="EP25" i="40"/>
  <c r="EP20" i="40"/>
  <c r="EP15" i="40"/>
  <c r="EP13" i="40"/>
  <c r="EP16" i="40"/>
  <c r="EP77" i="40"/>
  <c r="EP22" i="40"/>
  <c r="EP18" i="40"/>
  <c r="EP10" i="40"/>
  <c r="EP11" i="40"/>
  <c r="EP27" i="40"/>
  <c r="EP21" i="40"/>
  <c r="EP14" i="40"/>
  <c r="EP19" i="40"/>
  <c r="EP17" i="40"/>
  <c r="DX15" i="40"/>
  <c r="CY5" i="40"/>
  <c r="EI5" i="40"/>
  <c r="EW5" i="40"/>
  <c r="EX5" i="40"/>
  <c r="ES5" i="40"/>
  <c r="ED5" i="40"/>
  <c r="EH5" i="40"/>
  <c r="EQ5" i="40"/>
  <c r="CN5" i="40"/>
  <c r="ER5" i="40"/>
  <c r="EC16" i="32"/>
  <c r="EC15" i="32"/>
  <c r="EC14" i="32"/>
  <c r="BP7" i="32"/>
  <c r="BP7" i="49" s="1"/>
  <c r="BO7" i="32"/>
  <c r="BO7" i="49" s="1"/>
  <c r="BP5" i="32"/>
  <c r="BP5" i="49" s="1"/>
  <c r="BO5" i="32"/>
  <c r="BO5" i="49" s="1"/>
  <c r="CZ5" i="32"/>
  <c r="DA5" i="49" s="1"/>
  <c r="CY5" i="32"/>
  <c r="CZ5" i="49" s="1"/>
  <c r="EJ98" i="32"/>
  <c r="EI98" i="32"/>
  <c r="EJ97" i="32"/>
  <c r="EI97" i="32"/>
  <c r="EJ96" i="32"/>
  <c r="EI96" i="32"/>
  <c r="EJ95" i="32"/>
  <c r="EI95" i="32"/>
  <c r="EJ94" i="32"/>
  <c r="EI94" i="32"/>
  <c r="EJ93" i="32"/>
  <c r="EI93" i="32"/>
  <c r="EJ92" i="32"/>
  <c r="EI92" i="32"/>
  <c r="EJ91" i="32"/>
  <c r="EI91" i="32"/>
  <c r="EJ90" i="32"/>
  <c r="EI90" i="32"/>
  <c r="EJ71" i="32"/>
  <c r="EI71" i="32"/>
  <c r="EJ70" i="32"/>
  <c r="EI70" i="32"/>
  <c r="EJ69" i="32"/>
  <c r="EI69" i="32"/>
  <c r="EJ68" i="32"/>
  <c r="EJ67" i="32"/>
  <c r="EJ66" i="32"/>
  <c r="EJ65" i="32"/>
  <c r="EJ64" i="32"/>
  <c r="EJ63" i="32"/>
  <c r="EJ88" i="32"/>
  <c r="EJ87" i="32"/>
  <c r="EJ86" i="32"/>
  <c r="EJ85" i="32"/>
  <c r="EJ84" i="32"/>
  <c r="EJ83" i="32"/>
  <c r="EJ62" i="32"/>
  <c r="EI62" i="32"/>
  <c r="EJ61" i="32"/>
  <c r="EI61" i="32"/>
  <c r="EJ60" i="32"/>
  <c r="EI60" i="32"/>
  <c r="EJ82" i="32"/>
  <c r="EI82" i="32"/>
  <c r="EJ81" i="32"/>
  <c r="EI81" i="32"/>
  <c r="EJ80" i="32"/>
  <c r="EI80" i="32"/>
  <c r="EJ59" i="32"/>
  <c r="EI59" i="32"/>
  <c r="EJ58" i="32"/>
  <c r="EI58" i="32"/>
  <c r="EJ57" i="32"/>
  <c r="EI57" i="32"/>
  <c r="EJ56" i="32"/>
  <c r="EI56" i="32"/>
  <c r="EJ55" i="32"/>
  <c r="EI55" i="32"/>
  <c r="EJ54" i="32"/>
  <c r="EI54" i="32"/>
  <c r="EJ79" i="32"/>
  <c r="EI79" i="32"/>
  <c r="EJ78" i="32"/>
  <c r="EI78" i="32"/>
  <c r="EJ77" i="32"/>
  <c r="EI77" i="32"/>
  <c r="EJ45" i="32"/>
  <c r="EI45" i="32"/>
  <c r="EJ44" i="32"/>
  <c r="EI44" i="32"/>
  <c r="EJ43" i="32"/>
  <c r="EI43" i="32"/>
  <c r="EJ42" i="32"/>
  <c r="EI42" i="32"/>
  <c r="EJ41" i="32"/>
  <c r="EI41" i="32"/>
  <c r="EJ40" i="32"/>
  <c r="EI40" i="32"/>
  <c r="EJ39" i="32"/>
  <c r="EI39" i="32"/>
  <c r="EJ38" i="32"/>
  <c r="EI38" i="32"/>
  <c r="EJ37" i="32"/>
  <c r="EI37" i="32"/>
  <c r="EJ33" i="32"/>
  <c r="EI33" i="32"/>
  <c r="EJ32" i="32"/>
  <c r="EI32" i="32"/>
  <c r="EJ31" i="32"/>
  <c r="EI31" i="32"/>
  <c r="EJ30" i="32"/>
  <c r="EI30" i="32"/>
  <c r="EJ29" i="32"/>
  <c r="EI29" i="32"/>
  <c r="EJ28" i="32"/>
  <c r="EI28" i="32"/>
  <c r="EJ27" i="32"/>
  <c r="EI27" i="32"/>
  <c r="EJ26" i="32"/>
  <c r="EI26" i="32"/>
  <c r="EJ25" i="32"/>
  <c r="EI25" i="32"/>
  <c r="EJ23" i="32"/>
  <c r="EI23" i="32"/>
  <c r="EJ22" i="32"/>
  <c r="EI22" i="32"/>
  <c r="EJ21" i="32"/>
  <c r="EI21" i="32"/>
  <c r="EJ20" i="32"/>
  <c r="EI20" i="32"/>
  <c r="EJ19" i="32"/>
  <c r="EI19" i="32"/>
  <c r="EJ18" i="32"/>
  <c r="EI18" i="32"/>
  <c r="EJ17" i="32"/>
  <c r="EI17" i="32"/>
  <c r="EJ16" i="32"/>
  <c r="EI16" i="32"/>
  <c r="EJ15" i="32"/>
  <c r="EI15" i="32"/>
  <c r="EJ14" i="32"/>
  <c r="EI14" i="32"/>
  <c r="EJ13" i="32"/>
  <c r="EI13" i="32"/>
  <c r="EJ12" i="32"/>
  <c r="EI12" i="32"/>
  <c r="EJ11" i="32"/>
  <c r="EI11" i="32"/>
  <c r="EJ10" i="32"/>
  <c r="EI10" i="32"/>
  <c r="EJ5" i="32"/>
  <c r="EI5" i="32"/>
  <c r="FU107" i="32"/>
  <c r="FT107" i="32"/>
  <c r="FU7" i="32"/>
  <c r="EK7" i="49" s="1"/>
  <c r="FV7" i="49" s="1"/>
  <c r="FT7" i="32"/>
  <c r="EJ7" i="49" s="1"/>
  <c r="FU7" i="49" s="1"/>
  <c r="FU5" i="32"/>
  <c r="EK5" i="49" s="1"/>
  <c r="FV5" i="49" s="1"/>
  <c r="FT5" i="32"/>
  <c r="EJ5" i="49" s="1"/>
  <c r="FU5" i="49" s="1"/>
  <c r="BE7" i="32"/>
  <c r="BE7" i="49" s="1"/>
  <c r="BE5" i="32"/>
  <c r="BE5" i="49" s="1"/>
  <c r="BK7" i="32"/>
  <c r="BK7" i="49" s="1"/>
  <c r="BK5" i="32"/>
  <c r="BK5" i="49" s="1"/>
  <c r="CE7" i="32"/>
  <c r="CE7" i="49" s="1"/>
  <c r="CD7" i="32"/>
  <c r="CD7" i="49" s="1"/>
  <c r="CE5" i="32"/>
  <c r="CE5" i="49" s="1"/>
  <c r="CD5" i="32"/>
  <c r="CD5" i="49" s="1"/>
  <c r="CO5" i="32"/>
  <c r="CP5" i="49" s="1"/>
  <c r="CO3" i="32"/>
  <c r="CU5" i="32"/>
  <c r="CV5" i="49" s="1"/>
  <c r="CU3" i="32"/>
  <c r="DO5" i="32"/>
  <c r="DP5" i="49" s="1"/>
  <c r="DN5" i="32"/>
  <c r="DO5" i="49" s="1"/>
  <c r="DO3" i="32"/>
  <c r="DN3" i="32"/>
  <c r="FJ107" i="32"/>
  <c r="FJ7" i="32"/>
  <c r="DZ7" i="49" s="1"/>
  <c r="FK7" i="49" s="1"/>
  <c r="FJ5" i="32"/>
  <c r="DZ5" i="49" s="1"/>
  <c r="FK5" i="49" s="1"/>
  <c r="EE98" i="32"/>
  <c r="EE97" i="32"/>
  <c r="EE96" i="32"/>
  <c r="EE95" i="32"/>
  <c r="EE94" i="32"/>
  <c r="EE93" i="32"/>
  <c r="EE92" i="32"/>
  <c r="EE91" i="32"/>
  <c r="EE90" i="32"/>
  <c r="EE71" i="32"/>
  <c r="EE70" i="32"/>
  <c r="EE69" i="32"/>
  <c r="EE68" i="32"/>
  <c r="EE67" i="32"/>
  <c r="EE66" i="32"/>
  <c r="EE65" i="32"/>
  <c r="EE64" i="32"/>
  <c r="EE63" i="32"/>
  <c r="EE88" i="32"/>
  <c r="EE87" i="32"/>
  <c r="EE86" i="32"/>
  <c r="EE85" i="32"/>
  <c r="EE84" i="32"/>
  <c r="EE83" i="32"/>
  <c r="EE62" i="32"/>
  <c r="EE61" i="32"/>
  <c r="EE60" i="32"/>
  <c r="EE82" i="32"/>
  <c r="EE81" i="32"/>
  <c r="EE80" i="32"/>
  <c r="EE59" i="32"/>
  <c r="EE58" i="32"/>
  <c r="EE57" i="32"/>
  <c r="EE56" i="32"/>
  <c r="EE55" i="32"/>
  <c r="EE54" i="32"/>
  <c r="EE79" i="32"/>
  <c r="EE78" i="32"/>
  <c r="EE77" i="32"/>
  <c r="EE45" i="32"/>
  <c r="EE44" i="32"/>
  <c r="EE43" i="32"/>
  <c r="EE42" i="32"/>
  <c r="EE41" i="32"/>
  <c r="EE40" i="32"/>
  <c r="EE39" i="32"/>
  <c r="EE38" i="32"/>
  <c r="EE37" i="32"/>
  <c r="EE36" i="32"/>
  <c r="EE35" i="32"/>
  <c r="EE34" i="32"/>
  <c r="EE33" i="32"/>
  <c r="EE32" i="32"/>
  <c r="EE31" i="32"/>
  <c r="EE30" i="32"/>
  <c r="EE29" i="32"/>
  <c r="EE28" i="32"/>
  <c r="EE27" i="32"/>
  <c r="EE26" i="32"/>
  <c r="EE25" i="32"/>
  <c r="EE20" i="32"/>
  <c r="EE19" i="32"/>
  <c r="EE18" i="32"/>
  <c r="EE17" i="32"/>
  <c r="EE13" i="32"/>
  <c r="EE12" i="32"/>
  <c r="EE11" i="32"/>
  <c r="EE10" i="32"/>
  <c r="EE5" i="32"/>
  <c r="DY98" i="32"/>
  <c r="DY97" i="32"/>
  <c r="DY96" i="32"/>
  <c r="DY95" i="32"/>
  <c r="DY94" i="32"/>
  <c r="DY93" i="32"/>
  <c r="DY92" i="32"/>
  <c r="DY91" i="32"/>
  <c r="DY90" i="32"/>
  <c r="DY71" i="32"/>
  <c r="DY70" i="32"/>
  <c r="DY69" i="32"/>
  <c r="DY68" i="32"/>
  <c r="DY67" i="32"/>
  <c r="DY66" i="32"/>
  <c r="DY65" i="32"/>
  <c r="DY64" i="32"/>
  <c r="DY63" i="32"/>
  <c r="DY88" i="32"/>
  <c r="DY87" i="32"/>
  <c r="DY86" i="32"/>
  <c r="DY85" i="32"/>
  <c r="DY84" i="32"/>
  <c r="DY83" i="32"/>
  <c r="DY62" i="32"/>
  <c r="DY61" i="32"/>
  <c r="DY60" i="32"/>
  <c r="DY82" i="32"/>
  <c r="DY81" i="32"/>
  <c r="DY80" i="32"/>
  <c r="DY59" i="32"/>
  <c r="DY58" i="32"/>
  <c r="DY57" i="32"/>
  <c r="DY56" i="32"/>
  <c r="DY55" i="32"/>
  <c r="DY54" i="32"/>
  <c r="DY79" i="32"/>
  <c r="DY78" i="32"/>
  <c r="DY77" i="32"/>
  <c r="DY45" i="32"/>
  <c r="DY44" i="32"/>
  <c r="DY43" i="32"/>
  <c r="DY42" i="32"/>
  <c r="DY41" i="32"/>
  <c r="DY40" i="32"/>
  <c r="DY39" i="32"/>
  <c r="DY38" i="32"/>
  <c r="DY37" i="32"/>
  <c r="DY36" i="32"/>
  <c r="DY35" i="32"/>
  <c r="DY34" i="32"/>
  <c r="DY33" i="32"/>
  <c r="DY32" i="32"/>
  <c r="DY31" i="32"/>
  <c r="DY30" i="32"/>
  <c r="DY29" i="32"/>
  <c r="DY28" i="32"/>
  <c r="DY27" i="32"/>
  <c r="DY26" i="32"/>
  <c r="DY25" i="32"/>
  <c r="DY20" i="32"/>
  <c r="DY19" i="32"/>
  <c r="DY18" i="32"/>
  <c r="DY17" i="32"/>
  <c r="DY13" i="32"/>
  <c r="DY12" i="32"/>
  <c r="DY11" i="32"/>
  <c r="DY10" i="32"/>
  <c r="DY5" i="32"/>
  <c r="EY98" i="32"/>
  <c r="EX98" i="32"/>
  <c r="EY97" i="32"/>
  <c r="EX97" i="32"/>
  <c r="EY96" i="32"/>
  <c r="EX96" i="32"/>
  <c r="EY95" i="32"/>
  <c r="EX95" i="32"/>
  <c r="EY94" i="32"/>
  <c r="EX94" i="32"/>
  <c r="EY93" i="32"/>
  <c r="EX93" i="32"/>
  <c r="EY92" i="32"/>
  <c r="EX92" i="32"/>
  <c r="EY91" i="32"/>
  <c r="EX91" i="32"/>
  <c r="EY90" i="32"/>
  <c r="EX90" i="32"/>
  <c r="EY71" i="32"/>
  <c r="EX71" i="32"/>
  <c r="EY70" i="32"/>
  <c r="EX70" i="32"/>
  <c r="EY69" i="32"/>
  <c r="EX69" i="32"/>
  <c r="EY68" i="32"/>
  <c r="EX68" i="32"/>
  <c r="EY67" i="32"/>
  <c r="EX67" i="32"/>
  <c r="EY66" i="32"/>
  <c r="EX66" i="32"/>
  <c r="EY65" i="32"/>
  <c r="EX65" i="32"/>
  <c r="EY64" i="32"/>
  <c r="EX64" i="32"/>
  <c r="EY63" i="32"/>
  <c r="EX63" i="32"/>
  <c r="EY88" i="32"/>
  <c r="EX88" i="32"/>
  <c r="EY87" i="32"/>
  <c r="EX87" i="32"/>
  <c r="EY86" i="32"/>
  <c r="EX86" i="32"/>
  <c r="EY85" i="32"/>
  <c r="EX85" i="32"/>
  <c r="EY84" i="32"/>
  <c r="EX84" i="32"/>
  <c r="EY83" i="32"/>
  <c r="EX83" i="32"/>
  <c r="EY62" i="32"/>
  <c r="EX62" i="32"/>
  <c r="EY61" i="32"/>
  <c r="EX61" i="32"/>
  <c r="EY60" i="32"/>
  <c r="EX60" i="32"/>
  <c r="EY82" i="32"/>
  <c r="EX82" i="32"/>
  <c r="EY81" i="32"/>
  <c r="EX81" i="32"/>
  <c r="EY80" i="32"/>
  <c r="EX80" i="32"/>
  <c r="EY59" i="32"/>
  <c r="EX59" i="32"/>
  <c r="EY58" i="32"/>
  <c r="EX58" i="32"/>
  <c r="EY57" i="32"/>
  <c r="EX57" i="32"/>
  <c r="EY56" i="32"/>
  <c r="EX56" i="32"/>
  <c r="EY55" i="32"/>
  <c r="EX55" i="32"/>
  <c r="EY54" i="32"/>
  <c r="EX54" i="32"/>
  <c r="EY79" i="32"/>
  <c r="EX79" i="32"/>
  <c r="EY78" i="32"/>
  <c r="EX78" i="32"/>
  <c r="EY77" i="32"/>
  <c r="EX77" i="32"/>
  <c r="EY45" i="32"/>
  <c r="EX45" i="32"/>
  <c r="EY44" i="32"/>
  <c r="EX44" i="32"/>
  <c r="EY43" i="32"/>
  <c r="EX43" i="32"/>
  <c r="EY42" i="32"/>
  <c r="EX42" i="32"/>
  <c r="EY41" i="32"/>
  <c r="EX41" i="32"/>
  <c r="EY40" i="32"/>
  <c r="EX40" i="32"/>
  <c r="EY39" i="32"/>
  <c r="EX39" i="32"/>
  <c r="EY38" i="32"/>
  <c r="EX38" i="32"/>
  <c r="EY37" i="32"/>
  <c r="EX37" i="32"/>
  <c r="EY33" i="32"/>
  <c r="EX33" i="32"/>
  <c r="EY32" i="32"/>
  <c r="EX32" i="32"/>
  <c r="EY31" i="32"/>
  <c r="EX31" i="32"/>
  <c r="EY30" i="32"/>
  <c r="EX30" i="32"/>
  <c r="EY29" i="32"/>
  <c r="EX29" i="32"/>
  <c r="EY28" i="32"/>
  <c r="EX28" i="32"/>
  <c r="EY27" i="32"/>
  <c r="EX27" i="32"/>
  <c r="EY26" i="32"/>
  <c r="EX26" i="32"/>
  <c r="EY25" i="32"/>
  <c r="EX25" i="32"/>
  <c r="EY20" i="32"/>
  <c r="EX20" i="32"/>
  <c r="EY19" i="32"/>
  <c r="EX19" i="32"/>
  <c r="EY18" i="32"/>
  <c r="EX18" i="32"/>
  <c r="EY17" i="32"/>
  <c r="EX17" i="32"/>
  <c r="EY13" i="32"/>
  <c r="EX13" i="32"/>
  <c r="EY12" i="32"/>
  <c r="EX12" i="32"/>
  <c r="EY11" i="32"/>
  <c r="EX11" i="32"/>
  <c r="EY10" i="32"/>
  <c r="EX10" i="32"/>
  <c r="EY5" i="32"/>
  <c r="EX5" i="32"/>
  <c r="GJ107" i="32"/>
  <c r="GI107" i="32"/>
  <c r="GJ7" i="32"/>
  <c r="EZ7" i="49" s="1"/>
  <c r="GK7" i="49" s="1"/>
  <c r="GI7" i="32"/>
  <c r="EY7" i="49" s="1"/>
  <c r="GJ7" i="49" s="1"/>
  <c r="GJ5" i="32"/>
  <c r="EZ5" i="49" s="1"/>
  <c r="GK5" i="49" s="1"/>
  <c r="GI5" i="32"/>
  <c r="EY5" i="49" s="1"/>
  <c r="GJ5" i="49" s="1"/>
  <c r="FP107" i="32"/>
  <c r="FP7" i="32"/>
  <c r="EF7" i="49" s="1"/>
  <c r="FQ7" i="49" s="1"/>
  <c r="FP5" i="32"/>
  <c r="EF5" i="49" s="1"/>
  <c r="FQ5" i="49" s="1"/>
  <c r="ET98" i="32"/>
  <c r="ES98" i="32"/>
  <c r="ER98" i="32"/>
  <c r="EQ98" i="32"/>
  <c r="EP98" i="32"/>
  <c r="EO98" i="32"/>
  <c r="EM98" i="32"/>
  <c r="EL98" i="32"/>
  <c r="EK98" i="32"/>
  <c r="EH98" i="32"/>
  <c r="EG98" i="32"/>
  <c r="EF98" i="32"/>
  <c r="ED98" i="32"/>
  <c r="EC98" i="32"/>
  <c r="EB98" i="32"/>
  <c r="DX98" i="32"/>
  <c r="ET97" i="32"/>
  <c r="ES97" i="32"/>
  <c r="ER97" i="32"/>
  <c r="EQ97" i="32"/>
  <c r="EP97" i="32"/>
  <c r="EO97" i="32"/>
  <c r="EM97" i="32"/>
  <c r="EL97" i="32"/>
  <c r="EK97" i="32"/>
  <c r="EH97" i="32"/>
  <c r="EG97" i="32"/>
  <c r="EF97" i="32"/>
  <c r="ED97" i="32"/>
  <c r="EC97" i="32"/>
  <c r="EB97" i="32"/>
  <c r="DX97" i="32"/>
  <c r="ET96" i="32"/>
  <c r="ES96" i="32"/>
  <c r="ER96" i="32"/>
  <c r="EQ96" i="32"/>
  <c r="EP96" i="32"/>
  <c r="EO96" i="32"/>
  <c r="EM96" i="32"/>
  <c r="EL96" i="32"/>
  <c r="EK96" i="32"/>
  <c r="EH96" i="32"/>
  <c r="EG96" i="32"/>
  <c r="EF96" i="32"/>
  <c r="ED96" i="32"/>
  <c r="EC96" i="32"/>
  <c r="EB96" i="32"/>
  <c r="DX96" i="32"/>
  <c r="ET95" i="32"/>
  <c r="ES95" i="32"/>
  <c r="ER95" i="32"/>
  <c r="EQ95" i="32"/>
  <c r="EP95" i="32"/>
  <c r="EO95" i="32"/>
  <c r="EM95" i="32"/>
  <c r="EL95" i="32"/>
  <c r="EK95" i="32"/>
  <c r="EH95" i="32"/>
  <c r="EG95" i="32"/>
  <c r="EF95" i="32"/>
  <c r="ED95" i="32"/>
  <c r="EC95" i="32"/>
  <c r="EB95" i="32"/>
  <c r="DX95" i="32"/>
  <c r="ET94" i="32"/>
  <c r="ES94" i="32"/>
  <c r="ER94" i="32"/>
  <c r="EQ94" i="32"/>
  <c r="EP94" i="32"/>
  <c r="EO94" i="32"/>
  <c r="EM94" i="32"/>
  <c r="EL94" i="32"/>
  <c r="EK94" i="32"/>
  <c r="EH94" i="32"/>
  <c r="EG94" i="32"/>
  <c r="EF94" i="32"/>
  <c r="ED94" i="32"/>
  <c r="EC94" i="32"/>
  <c r="EB94" i="32"/>
  <c r="DX94" i="32"/>
  <c r="ET93" i="32"/>
  <c r="ES93" i="32"/>
  <c r="ER93" i="32"/>
  <c r="EQ93" i="32"/>
  <c r="EP93" i="32"/>
  <c r="EO93" i="32"/>
  <c r="EM93" i="32"/>
  <c r="EL93" i="32"/>
  <c r="EK93" i="32"/>
  <c r="EH93" i="32"/>
  <c r="EG93" i="32"/>
  <c r="EF93" i="32"/>
  <c r="ED93" i="32"/>
  <c r="EC93" i="32"/>
  <c r="EB93" i="32"/>
  <c r="DX93" i="32"/>
  <c r="ET92" i="32"/>
  <c r="ES92" i="32"/>
  <c r="ER92" i="32"/>
  <c r="EQ92" i="32"/>
  <c r="EP92" i="32"/>
  <c r="EO92" i="32"/>
  <c r="EM92" i="32"/>
  <c r="EL92" i="32"/>
  <c r="EK92" i="32"/>
  <c r="EH92" i="32"/>
  <c r="EG92" i="32"/>
  <c r="EF92" i="32"/>
  <c r="ED92" i="32"/>
  <c r="EC92" i="32"/>
  <c r="EB92" i="32"/>
  <c r="DX92" i="32"/>
  <c r="ET91" i="32"/>
  <c r="ES91" i="32"/>
  <c r="ER91" i="32"/>
  <c r="EQ91" i="32"/>
  <c r="EP91" i="32"/>
  <c r="EO91" i="32"/>
  <c r="EM91" i="32"/>
  <c r="EL91" i="32"/>
  <c r="EK91" i="32"/>
  <c r="EH91" i="32"/>
  <c r="EG91" i="32"/>
  <c r="EF91" i="32"/>
  <c r="ED91" i="32"/>
  <c r="EC91" i="32"/>
  <c r="EB91" i="32"/>
  <c r="DX91" i="32"/>
  <c r="ET90" i="32"/>
  <c r="ES90" i="32"/>
  <c r="ER90" i="32"/>
  <c r="EQ90" i="32"/>
  <c r="EP90" i="32"/>
  <c r="EO90" i="32"/>
  <c r="EM90" i="32"/>
  <c r="EL90" i="32"/>
  <c r="EK90" i="32"/>
  <c r="EH90" i="32"/>
  <c r="EG90" i="32"/>
  <c r="EF90" i="32"/>
  <c r="ED90" i="32"/>
  <c r="EC90" i="32"/>
  <c r="EB90" i="32"/>
  <c r="DX90" i="32"/>
  <c r="ET71" i="32"/>
  <c r="ES71" i="32"/>
  <c r="ER71" i="32"/>
  <c r="EQ71" i="32"/>
  <c r="EP71" i="32"/>
  <c r="EO71" i="32"/>
  <c r="EM71" i="32"/>
  <c r="EL71" i="32"/>
  <c r="EK71" i="32"/>
  <c r="EH71" i="32"/>
  <c r="EG71" i="32"/>
  <c r="EF71" i="32"/>
  <c r="ED71" i="32"/>
  <c r="EC71" i="32"/>
  <c r="EB71" i="32"/>
  <c r="DX71" i="32"/>
  <c r="ET70" i="32"/>
  <c r="ES70" i="32"/>
  <c r="ER70" i="32"/>
  <c r="EQ70" i="32"/>
  <c r="EP70" i="32"/>
  <c r="EO70" i="32"/>
  <c r="EM70" i="32"/>
  <c r="EL70" i="32"/>
  <c r="EK70" i="32"/>
  <c r="EH70" i="32"/>
  <c r="EG70" i="32"/>
  <c r="EF70" i="32"/>
  <c r="ED70" i="32"/>
  <c r="EC70" i="32"/>
  <c r="EB70" i="32"/>
  <c r="DX70" i="32"/>
  <c r="ET69" i="32"/>
  <c r="ES69" i="32"/>
  <c r="ER69" i="32"/>
  <c r="EQ69" i="32"/>
  <c r="EP69" i="32"/>
  <c r="EO69" i="32"/>
  <c r="EM69" i="32"/>
  <c r="EL69" i="32"/>
  <c r="EK69" i="32"/>
  <c r="EH69" i="32"/>
  <c r="EG69" i="32"/>
  <c r="EF69" i="32"/>
  <c r="ED69" i="32"/>
  <c r="EC69" i="32"/>
  <c r="EB69" i="32"/>
  <c r="DX69" i="32"/>
  <c r="ET68" i="32"/>
  <c r="ES68" i="32"/>
  <c r="ER68" i="32"/>
  <c r="EQ68" i="32"/>
  <c r="EP68" i="32"/>
  <c r="EO68" i="32"/>
  <c r="EM68" i="32"/>
  <c r="EL68" i="32"/>
  <c r="EK68" i="32"/>
  <c r="EH68" i="32"/>
  <c r="EF68" i="32"/>
  <c r="ED68" i="32"/>
  <c r="EC68" i="32"/>
  <c r="EB68" i="32"/>
  <c r="DX68" i="32"/>
  <c r="ET67" i="32"/>
  <c r="ES67" i="32"/>
  <c r="ER67" i="32"/>
  <c r="EQ67" i="32"/>
  <c r="EP67" i="32"/>
  <c r="EO67" i="32"/>
  <c r="EM67" i="32"/>
  <c r="EL67" i="32"/>
  <c r="EK67" i="32"/>
  <c r="EH67" i="32"/>
  <c r="EF67" i="32"/>
  <c r="ED67" i="32"/>
  <c r="EC67" i="32"/>
  <c r="EB67" i="32"/>
  <c r="DX67" i="32"/>
  <c r="ET66" i="32"/>
  <c r="ES66" i="32"/>
  <c r="ER66" i="32"/>
  <c r="EQ66" i="32"/>
  <c r="EP66" i="32"/>
  <c r="EO66" i="32"/>
  <c r="EM66" i="32"/>
  <c r="EL66" i="32"/>
  <c r="EK66" i="32"/>
  <c r="EH66" i="32"/>
  <c r="EF66" i="32"/>
  <c r="ED66" i="32"/>
  <c r="EC66" i="32"/>
  <c r="EB66" i="32"/>
  <c r="DX66" i="32"/>
  <c r="ET65" i="32"/>
  <c r="ES65" i="32"/>
  <c r="ER65" i="32"/>
  <c r="EQ65" i="32"/>
  <c r="EP65" i="32"/>
  <c r="EO65" i="32"/>
  <c r="EM65" i="32"/>
  <c r="EL65" i="32"/>
  <c r="EK65" i="32"/>
  <c r="EH65" i="32"/>
  <c r="EF65" i="32"/>
  <c r="ED65" i="32"/>
  <c r="EC65" i="32"/>
  <c r="EB65" i="32"/>
  <c r="DX65" i="32"/>
  <c r="ET64" i="32"/>
  <c r="ES64" i="32"/>
  <c r="ER64" i="32"/>
  <c r="EQ64" i="32"/>
  <c r="EP64" i="32"/>
  <c r="EO64" i="32"/>
  <c r="EM64" i="32"/>
  <c r="EL64" i="32"/>
  <c r="EK64" i="32"/>
  <c r="EH64" i="32"/>
  <c r="EF64" i="32"/>
  <c r="ED64" i="32"/>
  <c r="EC64" i="32"/>
  <c r="EB64" i="32"/>
  <c r="DX64" i="32"/>
  <c r="ET63" i="32"/>
  <c r="ES63" i="32"/>
  <c r="ER63" i="32"/>
  <c r="EQ63" i="32"/>
  <c r="EP63" i="32"/>
  <c r="EO63" i="32"/>
  <c r="EM63" i="32"/>
  <c r="EL63" i="32"/>
  <c r="EK63" i="32"/>
  <c r="EH63" i="32"/>
  <c r="EF63" i="32"/>
  <c r="ED63" i="32"/>
  <c r="EC63" i="32"/>
  <c r="EB63" i="32"/>
  <c r="DX63" i="32"/>
  <c r="ET88" i="32"/>
  <c r="ES88" i="32"/>
  <c r="ER88" i="32"/>
  <c r="EQ88" i="32"/>
  <c r="EP88" i="32"/>
  <c r="EO88" i="32"/>
  <c r="EM88" i="32"/>
  <c r="EL88" i="32"/>
  <c r="EK88" i="32"/>
  <c r="EH88" i="32"/>
  <c r="EF88" i="32"/>
  <c r="ED88" i="32"/>
  <c r="EC88" i="32"/>
  <c r="EB88" i="32"/>
  <c r="DX88" i="32"/>
  <c r="ET87" i="32"/>
  <c r="ES87" i="32"/>
  <c r="ER87" i="32"/>
  <c r="EQ87" i="32"/>
  <c r="EP87" i="32"/>
  <c r="EO87" i="32"/>
  <c r="EM87" i="32"/>
  <c r="EL87" i="32"/>
  <c r="EK87" i="32"/>
  <c r="EH87" i="32"/>
  <c r="EF87" i="32"/>
  <c r="ED87" i="32"/>
  <c r="EC87" i="32"/>
  <c r="EB87" i="32"/>
  <c r="DX87" i="32"/>
  <c r="ET86" i="32"/>
  <c r="ES86" i="32"/>
  <c r="ER86" i="32"/>
  <c r="EQ86" i="32"/>
  <c r="EP86" i="32"/>
  <c r="EO86" i="32"/>
  <c r="EM86" i="32"/>
  <c r="EL86" i="32"/>
  <c r="EK86" i="32"/>
  <c r="EH86" i="32"/>
  <c r="EF86" i="32"/>
  <c r="ED86" i="32"/>
  <c r="EC86" i="32"/>
  <c r="EB86" i="32"/>
  <c r="DX86" i="32"/>
  <c r="ET85" i="32"/>
  <c r="ES85" i="32"/>
  <c r="ER85" i="32"/>
  <c r="EQ85" i="32"/>
  <c r="EP85" i="32"/>
  <c r="EO85" i="32"/>
  <c r="EM85" i="32"/>
  <c r="EL85" i="32"/>
  <c r="EK85" i="32"/>
  <c r="EH85" i="32"/>
  <c r="EF85" i="32"/>
  <c r="ED85" i="32"/>
  <c r="EC85" i="32"/>
  <c r="EB85" i="32"/>
  <c r="DX85" i="32"/>
  <c r="ET84" i="32"/>
  <c r="ES84" i="32"/>
  <c r="ER84" i="32"/>
  <c r="EQ84" i="32"/>
  <c r="EP84" i="32"/>
  <c r="EO84" i="32"/>
  <c r="EM84" i="32"/>
  <c r="EL84" i="32"/>
  <c r="EK84" i="32"/>
  <c r="EH84" i="32"/>
  <c r="EF84" i="32"/>
  <c r="ED84" i="32"/>
  <c r="EC84" i="32"/>
  <c r="EB84" i="32"/>
  <c r="DX84" i="32"/>
  <c r="ET83" i="32"/>
  <c r="ES83" i="32"/>
  <c r="ER83" i="32"/>
  <c r="EQ83" i="32"/>
  <c r="EP83" i="32"/>
  <c r="EO83" i="32"/>
  <c r="EM83" i="32"/>
  <c r="EL83" i="32"/>
  <c r="EK83" i="32"/>
  <c r="EH83" i="32"/>
  <c r="EF83" i="32"/>
  <c r="ED83" i="32"/>
  <c r="EC83" i="32"/>
  <c r="EB83" i="32"/>
  <c r="DX83" i="32"/>
  <c r="EN62" i="32"/>
  <c r="EQ62" i="32"/>
  <c r="EP62" i="32"/>
  <c r="EO62" i="32"/>
  <c r="EM62" i="32"/>
  <c r="EL62" i="32"/>
  <c r="EK62" i="32"/>
  <c r="EH62" i="32"/>
  <c r="EG62" i="32"/>
  <c r="EF62" i="32"/>
  <c r="ED62" i="32"/>
  <c r="EC62" i="32"/>
  <c r="EB62" i="32"/>
  <c r="DX62" i="32"/>
  <c r="EN61" i="32"/>
  <c r="EQ61" i="32"/>
  <c r="EP61" i="32"/>
  <c r="EO61" i="32"/>
  <c r="EM61" i="32"/>
  <c r="EL61" i="32"/>
  <c r="EK61" i="32"/>
  <c r="EH61" i="32"/>
  <c r="EG61" i="32"/>
  <c r="EF61" i="32"/>
  <c r="ED61" i="32"/>
  <c r="EC61" i="32"/>
  <c r="EB61" i="32"/>
  <c r="DX61" i="32"/>
  <c r="EN60" i="32"/>
  <c r="EQ60" i="32"/>
  <c r="EP60" i="32"/>
  <c r="EO60" i="32"/>
  <c r="EM60" i="32"/>
  <c r="EL60" i="32"/>
  <c r="EK60" i="32"/>
  <c r="EH60" i="32"/>
  <c r="EG60" i="32"/>
  <c r="EF60" i="32"/>
  <c r="ED60" i="32"/>
  <c r="EC60" i="32"/>
  <c r="EB60" i="32"/>
  <c r="DX60" i="32"/>
  <c r="EN82" i="32"/>
  <c r="EQ82" i="32"/>
  <c r="EP82" i="32"/>
  <c r="EO82" i="32"/>
  <c r="EM82" i="32"/>
  <c r="EL82" i="32"/>
  <c r="EK82" i="32"/>
  <c r="EH82" i="32"/>
  <c r="EG82" i="32"/>
  <c r="EF82" i="32"/>
  <c r="ED82" i="32"/>
  <c r="EC82" i="32"/>
  <c r="EB82" i="32"/>
  <c r="DX82" i="32"/>
  <c r="EN81" i="32"/>
  <c r="EQ81" i="32"/>
  <c r="EP81" i="32"/>
  <c r="EO81" i="32"/>
  <c r="EM81" i="32"/>
  <c r="EL81" i="32"/>
  <c r="EK81" i="32"/>
  <c r="EH81" i="32"/>
  <c r="EG81" i="32"/>
  <c r="EF81" i="32"/>
  <c r="ED81" i="32"/>
  <c r="EC81" i="32"/>
  <c r="EB81" i="32"/>
  <c r="DX81" i="32"/>
  <c r="EN80" i="32"/>
  <c r="EQ80" i="32"/>
  <c r="EP80" i="32"/>
  <c r="EO80" i="32"/>
  <c r="EM80" i="32"/>
  <c r="EL80" i="32"/>
  <c r="EK80" i="32"/>
  <c r="EH80" i="32"/>
  <c r="EG80" i="32"/>
  <c r="EF80" i="32"/>
  <c r="ED80" i="32"/>
  <c r="EC80" i="32"/>
  <c r="EB80" i="32"/>
  <c r="DX80" i="32"/>
  <c r="ET59" i="32"/>
  <c r="ES59" i="32"/>
  <c r="ER59" i="32"/>
  <c r="EQ59" i="32"/>
  <c r="EP59" i="32"/>
  <c r="EO59" i="32"/>
  <c r="EM59" i="32"/>
  <c r="EL59" i="32"/>
  <c r="EK59" i="32"/>
  <c r="EH59" i="32"/>
  <c r="EG59" i="32"/>
  <c r="EF59" i="32"/>
  <c r="ED59" i="32"/>
  <c r="EC59" i="32"/>
  <c r="EB59" i="32"/>
  <c r="DX59" i="32"/>
  <c r="ET58" i="32"/>
  <c r="ES58" i="32"/>
  <c r="ER58" i="32"/>
  <c r="EQ58" i="32"/>
  <c r="EP58" i="32"/>
  <c r="EO58" i="32"/>
  <c r="EM58" i="32"/>
  <c r="EL58" i="32"/>
  <c r="EK58" i="32"/>
  <c r="EH58" i="32"/>
  <c r="EG58" i="32"/>
  <c r="EF58" i="32"/>
  <c r="ED58" i="32"/>
  <c r="EC58" i="32"/>
  <c r="EB58" i="32"/>
  <c r="DX58" i="32"/>
  <c r="ET57" i="32"/>
  <c r="ES57" i="32"/>
  <c r="ER57" i="32"/>
  <c r="EQ57" i="32"/>
  <c r="EP57" i="32"/>
  <c r="EO57" i="32"/>
  <c r="EM57" i="32"/>
  <c r="EL57" i="32"/>
  <c r="EK57" i="32"/>
  <c r="EH57" i="32"/>
  <c r="EG57" i="32"/>
  <c r="EF57" i="32"/>
  <c r="ED57" i="32"/>
  <c r="EC57" i="32"/>
  <c r="EB57" i="32"/>
  <c r="DX57" i="32"/>
  <c r="EN56" i="32"/>
  <c r="ET56" i="32"/>
  <c r="ES56" i="32"/>
  <c r="ER56" i="32"/>
  <c r="EM56" i="32"/>
  <c r="EL56" i="32"/>
  <c r="EK56" i="32"/>
  <c r="EH56" i="32"/>
  <c r="EG56" i="32"/>
  <c r="EF56" i="32"/>
  <c r="ED56" i="32"/>
  <c r="EC56" i="32"/>
  <c r="EB56" i="32"/>
  <c r="DX56" i="32"/>
  <c r="EN55" i="32"/>
  <c r="ET55" i="32"/>
  <c r="ES55" i="32"/>
  <c r="ER55" i="32"/>
  <c r="EM55" i="32"/>
  <c r="EL55" i="32"/>
  <c r="EK55" i="32"/>
  <c r="EH55" i="32"/>
  <c r="EG55" i="32"/>
  <c r="EF55" i="32"/>
  <c r="ED55" i="32"/>
  <c r="EC55" i="32"/>
  <c r="EB55" i="32"/>
  <c r="DX55" i="32"/>
  <c r="EN54" i="32"/>
  <c r="ET54" i="32"/>
  <c r="ES54" i="32"/>
  <c r="ER54" i="32"/>
  <c r="EM54" i="32"/>
  <c r="EL54" i="32"/>
  <c r="EK54" i="32"/>
  <c r="EH54" i="32"/>
  <c r="EG54" i="32"/>
  <c r="EF54" i="32"/>
  <c r="ED54" i="32"/>
  <c r="EC54" i="32"/>
  <c r="EB54" i="32"/>
  <c r="DX54" i="32"/>
  <c r="EN79" i="32"/>
  <c r="ET79" i="32"/>
  <c r="ES79" i="32"/>
  <c r="ER79" i="32"/>
  <c r="EM79" i="32"/>
  <c r="EL79" i="32"/>
  <c r="EK79" i="32"/>
  <c r="EH79" i="32"/>
  <c r="EG79" i="32"/>
  <c r="EF79" i="32"/>
  <c r="ED79" i="32"/>
  <c r="EC79" i="32"/>
  <c r="EB79" i="32"/>
  <c r="DX79" i="32"/>
  <c r="EN78" i="32"/>
  <c r="ET78" i="32"/>
  <c r="ES78" i="32"/>
  <c r="ER78" i="32"/>
  <c r="EM78" i="32"/>
  <c r="EL78" i="32"/>
  <c r="EK78" i="32"/>
  <c r="EH78" i="32"/>
  <c r="EG78" i="32"/>
  <c r="EF78" i="32"/>
  <c r="ED78" i="32"/>
  <c r="EC78" i="32"/>
  <c r="EB78" i="32"/>
  <c r="DX78" i="32"/>
  <c r="EN77" i="32"/>
  <c r="ET77" i="32"/>
  <c r="ES77" i="32"/>
  <c r="ER77" i="32"/>
  <c r="EM77" i="32"/>
  <c r="EL77" i="32"/>
  <c r="EK77" i="32"/>
  <c r="EH77" i="32"/>
  <c r="EG77" i="32"/>
  <c r="EF77" i="32"/>
  <c r="ED77" i="32"/>
  <c r="EC77" i="32"/>
  <c r="EB77" i="32"/>
  <c r="DX77" i="32"/>
  <c r="ET45" i="32"/>
  <c r="ES45" i="32"/>
  <c r="ER45" i="32"/>
  <c r="EQ45" i="32"/>
  <c r="EP45" i="32"/>
  <c r="EO45" i="32"/>
  <c r="EM45" i="32"/>
  <c r="EL45" i="32"/>
  <c r="EK45" i="32"/>
  <c r="EH45" i="32"/>
  <c r="EG45" i="32"/>
  <c r="EF45" i="32"/>
  <c r="ED45" i="32"/>
  <c r="EC45" i="32"/>
  <c r="EB45" i="32"/>
  <c r="DX45" i="32"/>
  <c r="ET44" i="32"/>
  <c r="ES44" i="32"/>
  <c r="ER44" i="32"/>
  <c r="EQ44" i="32"/>
  <c r="EP44" i="32"/>
  <c r="EO44" i="32"/>
  <c r="EM44" i="32"/>
  <c r="EL44" i="32"/>
  <c r="EK44" i="32"/>
  <c r="EH44" i="32"/>
  <c r="EG44" i="32"/>
  <c r="EF44" i="32"/>
  <c r="ED44" i="32"/>
  <c r="EC44" i="32"/>
  <c r="EB44" i="32"/>
  <c r="DX44" i="32"/>
  <c r="ET43" i="32"/>
  <c r="ES43" i="32"/>
  <c r="ER43" i="32"/>
  <c r="EQ43" i="32"/>
  <c r="EP43" i="32"/>
  <c r="EO43" i="32"/>
  <c r="EM43" i="32"/>
  <c r="EL43" i="32"/>
  <c r="EK43" i="32"/>
  <c r="EH43" i="32"/>
  <c r="EG43" i="32"/>
  <c r="EF43" i="32"/>
  <c r="ED43" i="32"/>
  <c r="EC43" i="32"/>
  <c r="EB43" i="32"/>
  <c r="DX43" i="32"/>
  <c r="ET42" i="32"/>
  <c r="ES42" i="32"/>
  <c r="ER42" i="32"/>
  <c r="EQ42" i="32"/>
  <c r="EP42" i="32"/>
  <c r="EO42" i="32"/>
  <c r="EM42" i="32"/>
  <c r="EL42" i="32"/>
  <c r="EK42" i="32"/>
  <c r="EH42" i="32"/>
  <c r="EG42" i="32"/>
  <c r="EF42" i="32"/>
  <c r="ED42" i="32"/>
  <c r="EC42" i="32"/>
  <c r="EB42" i="32"/>
  <c r="DX42" i="32"/>
  <c r="ET41" i="32"/>
  <c r="ES41" i="32"/>
  <c r="ER41" i="32"/>
  <c r="EQ41" i="32"/>
  <c r="EP41" i="32"/>
  <c r="EO41" i="32"/>
  <c r="EM41" i="32"/>
  <c r="EL41" i="32"/>
  <c r="EK41" i="32"/>
  <c r="EH41" i="32"/>
  <c r="EG41" i="32"/>
  <c r="EF41" i="32"/>
  <c r="ED41" i="32"/>
  <c r="EC41" i="32"/>
  <c r="EB41" i="32"/>
  <c r="DX41" i="32"/>
  <c r="ET40" i="32"/>
  <c r="ES40" i="32"/>
  <c r="ER40" i="32"/>
  <c r="EQ40" i="32"/>
  <c r="EP40" i="32"/>
  <c r="EO40" i="32"/>
  <c r="EM40" i="32"/>
  <c r="EL40" i="32"/>
  <c r="EK40" i="32"/>
  <c r="EH40" i="32"/>
  <c r="EG40" i="32"/>
  <c r="EF40" i="32"/>
  <c r="ED40" i="32"/>
  <c r="EC40" i="32"/>
  <c r="EB40" i="32"/>
  <c r="DX40" i="32"/>
  <c r="ET39" i="32"/>
  <c r="ES39" i="32"/>
  <c r="ER39" i="32"/>
  <c r="EQ39" i="32"/>
  <c r="EP39" i="32"/>
  <c r="EO39" i="32"/>
  <c r="EM39" i="32"/>
  <c r="EL39" i="32"/>
  <c r="EK39" i="32"/>
  <c r="EH39" i="32"/>
  <c r="EG39" i="32"/>
  <c r="EF39" i="32"/>
  <c r="EB39" i="32"/>
  <c r="DX39" i="32"/>
  <c r="ET38" i="32"/>
  <c r="ES38" i="32"/>
  <c r="ER38" i="32"/>
  <c r="EQ38" i="32"/>
  <c r="EP38" i="32"/>
  <c r="EO38" i="32"/>
  <c r="EM38" i="32"/>
  <c r="EL38" i="32"/>
  <c r="EK38" i="32"/>
  <c r="EH38" i="32"/>
  <c r="EG38" i="32"/>
  <c r="EF38" i="32"/>
  <c r="EB38" i="32"/>
  <c r="DX38" i="32"/>
  <c r="ET37" i="32"/>
  <c r="ES37" i="32"/>
  <c r="ER37" i="32"/>
  <c r="EQ37" i="32"/>
  <c r="EP37" i="32"/>
  <c r="EO37" i="32"/>
  <c r="EM37" i="32"/>
  <c r="EL37" i="32"/>
  <c r="EK37" i="32"/>
  <c r="EH37" i="32"/>
  <c r="EG37" i="32"/>
  <c r="EF37" i="32"/>
  <c r="EB37" i="32"/>
  <c r="DX37" i="32"/>
  <c r="EN36" i="32"/>
  <c r="ET36" i="32"/>
  <c r="ES36" i="32"/>
  <c r="ER36" i="32"/>
  <c r="EQ36" i="32"/>
  <c r="EP36" i="32"/>
  <c r="EO36" i="32"/>
  <c r="EM36" i="32"/>
  <c r="EL36" i="32"/>
  <c r="EK36" i="32"/>
  <c r="EF36" i="32"/>
  <c r="ED36" i="32"/>
  <c r="EC36" i="32"/>
  <c r="EB36" i="32"/>
  <c r="DX36" i="32"/>
  <c r="EN35" i="32"/>
  <c r="ET35" i="32"/>
  <c r="ES35" i="32"/>
  <c r="ER35" i="32"/>
  <c r="EQ35" i="32"/>
  <c r="EP35" i="32"/>
  <c r="EO35" i="32"/>
  <c r="EM35" i="32"/>
  <c r="EL35" i="32"/>
  <c r="EK35" i="32"/>
  <c r="EF35" i="32"/>
  <c r="ED35" i="32"/>
  <c r="EC35" i="32"/>
  <c r="EB35" i="32"/>
  <c r="DX35" i="32"/>
  <c r="EN34" i="32"/>
  <c r="ET34" i="32"/>
  <c r="ES34" i="32"/>
  <c r="ER34" i="32"/>
  <c r="EQ34" i="32"/>
  <c r="EP34" i="32"/>
  <c r="EO34" i="32"/>
  <c r="EM34" i="32"/>
  <c r="EL34" i="32"/>
  <c r="EK34" i="32"/>
  <c r="EF34" i="32"/>
  <c r="ED34" i="32"/>
  <c r="EC34" i="32"/>
  <c r="EB34" i="32"/>
  <c r="DX34" i="32"/>
  <c r="ET33" i="32"/>
  <c r="ES33" i="32"/>
  <c r="ER33" i="32"/>
  <c r="EQ33" i="32"/>
  <c r="EP33" i="32"/>
  <c r="EO33" i="32"/>
  <c r="EM33" i="32"/>
  <c r="EL33" i="32"/>
  <c r="EK33" i="32"/>
  <c r="EH33" i="32"/>
  <c r="EG33" i="32"/>
  <c r="ED33" i="32"/>
  <c r="EC33" i="32"/>
  <c r="DX33" i="32"/>
  <c r="ET32" i="32"/>
  <c r="ES32" i="32"/>
  <c r="ER32" i="32"/>
  <c r="EQ32" i="32"/>
  <c r="EP32" i="32"/>
  <c r="EO32" i="32"/>
  <c r="EM32" i="32"/>
  <c r="EL32" i="32"/>
  <c r="EK32" i="32"/>
  <c r="EH32" i="32"/>
  <c r="EG32" i="32"/>
  <c r="ED32" i="32"/>
  <c r="EC32" i="32"/>
  <c r="DX32" i="32"/>
  <c r="ET31" i="32"/>
  <c r="ES31" i="32"/>
  <c r="ER31" i="32"/>
  <c r="EQ31" i="32"/>
  <c r="EP31" i="32"/>
  <c r="EO31" i="32"/>
  <c r="EM31" i="32"/>
  <c r="EL31" i="32"/>
  <c r="EK31" i="32"/>
  <c r="EH31" i="32"/>
  <c r="EG31" i="32"/>
  <c r="ED31" i="32"/>
  <c r="EC31" i="32"/>
  <c r="DX31" i="32"/>
  <c r="ET30" i="32"/>
  <c r="ES30" i="32"/>
  <c r="ER30" i="32"/>
  <c r="EQ30" i="32"/>
  <c r="EP30" i="32"/>
  <c r="EO30" i="32"/>
  <c r="EM30" i="32"/>
  <c r="EL30" i="32"/>
  <c r="EK30" i="32"/>
  <c r="EH30" i="32"/>
  <c r="EG30" i="32"/>
  <c r="ED30" i="32"/>
  <c r="EC30" i="32"/>
  <c r="DX30" i="32"/>
  <c r="ET29" i="32"/>
  <c r="ES29" i="32"/>
  <c r="ER29" i="32"/>
  <c r="EQ29" i="32"/>
  <c r="EP29" i="32"/>
  <c r="EO29" i="32"/>
  <c r="EM29" i="32"/>
  <c r="EL29" i="32"/>
  <c r="EK29" i="32"/>
  <c r="EH29" i="32"/>
  <c r="EG29" i="32"/>
  <c r="ED29" i="32"/>
  <c r="EC29" i="32"/>
  <c r="DX29" i="32"/>
  <c r="ET28" i="32"/>
  <c r="ES28" i="32"/>
  <c r="ER28" i="32"/>
  <c r="EQ28" i="32"/>
  <c r="EP28" i="32"/>
  <c r="EO28" i="32"/>
  <c r="EM28" i="32"/>
  <c r="EL28" i="32"/>
  <c r="EK28" i="32"/>
  <c r="EH28" i="32"/>
  <c r="EG28" i="32"/>
  <c r="ED28" i="32"/>
  <c r="EC28" i="32"/>
  <c r="DX28" i="32"/>
  <c r="ET27" i="32"/>
  <c r="ES27" i="32"/>
  <c r="ER27" i="32"/>
  <c r="EQ27" i="32"/>
  <c r="EP27" i="32"/>
  <c r="EO27" i="32"/>
  <c r="EM27" i="32"/>
  <c r="EL27" i="32"/>
  <c r="EK27" i="32"/>
  <c r="EH27" i="32"/>
  <c r="EG27" i="32"/>
  <c r="ED27" i="32"/>
  <c r="EC27" i="32"/>
  <c r="DX27" i="32"/>
  <c r="ET26" i="32"/>
  <c r="ES26" i="32"/>
  <c r="ER26" i="32"/>
  <c r="EQ26" i="32"/>
  <c r="EP26" i="32"/>
  <c r="EO26" i="32"/>
  <c r="EM26" i="32"/>
  <c r="EL26" i="32"/>
  <c r="EK26" i="32"/>
  <c r="EH26" i="32"/>
  <c r="EG26" i="32"/>
  <c r="ED26" i="32"/>
  <c r="EC26" i="32"/>
  <c r="DX26" i="32"/>
  <c r="ET25" i="32"/>
  <c r="ES25" i="32"/>
  <c r="ER25" i="32"/>
  <c r="EQ25" i="32"/>
  <c r="EP25" i="32"/>
  <c r="EO25" i="32"/>
  <c r="EM25" i="32"/>
  <c r="EL25" i="32"/>
  <c r="EK25" i="32"/>
  <c r="EH25" i="32"/>
  <c r="EG25" i="32"/>
  <c r="ED25" i="32"/>
  <c r="EC25" i="32"/>
  <c r="DX25" i="32"/>
  <c r="EN23" i="32"/>
  <c r="ET23" i="32"/>
  <c r="ES23" i="32"/>
  <c r="ER23" i="32"/>
  <c r="EQ23" i="32"/>
  <c r="EP23" i="32"/>
  <c r="EO23" i="32"/>
  <c r="EM23" i="32"/>
  <c r="EL23" i="32"/>
  <c r="EK23" i="32"/>
  <c r="EH23" i="32"/>
  <c r="EG23" i="32"/>
  <c r="EF23" i="32"/>
  <c r="ED23" i="32"/>
  <c r="EC23" i="32"/>
  <c r="EN22" i="32"/>
  <c r="ET22" i="32"/>
  <c r="ES22" i="32"/>
  <c r="ER22" i="32"/>
  <c r="EQ22" i="32"/>
  <c r="EP22" i="32"/>
  <c r="EO22" i="32"/>
  <c r="EM22" i="32"/>
  <c r="EL22" i="32"/>
  <c r="EK22" i="32"/>
  <c r="EH22" i="32"/>
  <c r="EG22" i="32"/>
  <c r="EF22" i="32"/>
  <c r="ED22" i="32"/>
  <c r="EC22" i="32"/>
  <c r="EN21" i="32"/>
  <c r="ET21" i="32"/>
  <c r="ES21" i="32"/>
  <c r="ER21" i="32"/>
  <c r="EQ21" i="32"/>
  <c r="EP21" i="32"/>
  <c r="EO21" i="32"/>
  <c r="EM21" i="32"/>
  <c r="EL21" i="32"/>
  <c r="EK21" i="32"/>
  <c r="EH21" i="32"/>
  <c r="EG21" i="32"/>
  <c r="EF21" i="32"/>
  <c r="ED21" i="32"/>
  <c r="EC21" i="32"/>
  <c r="ET20" i="32"/>
  <c r="ES20" i="32"/>
  <c r="ER20" i="32"/>
  <c r="EQ20" i="32"/>
  <c r="EP20" i="32"/>
  <c r="EO20" i="32"/>
  <c r="EM20" i="32"/>
  <c r="EL20" i="32"/>
  <c r="EK20" i="32"/>
  <c r="EH20" i="32"/>
  <c r="EG20" i="32"/>
  <c r="EF20" i="32"/>
  <c r="ED20" i="32"/>
  <c r="EC20" i="32"/>
  <c r="ET19" i="32"/>
  <c r="ES19" i="32"/>
  <c r="ER19" i="32"/>
  <c r="EQ19" i="32"/>
  <c r="EP19" i="32"/>
  <c r="EO19" i="32"/>
  <c r="EM19" i="32"/>
  <c r="EL19" i="32"/>
  <c r="EK19" i="32"/>
  <c r="EH19" i="32"/>
  <c r="EG19" i="32"/>
  <c r="EF19" i="32"/>
  <c r="ED19" i="32"/>
  <c r="EC19" i="32"/>
  <c r="ET18" i="32"/>
  <c r="ES18" i="32"/>
  <c r="ER18" i="32"/>
  <c r="EQ18" i="32"/>
  <c r="EP18" i="32"/>
  <c r="EO18" i="32"/>
  <c r="EM18" i="32"/>
  <c r="EL18" i="32"/>
  <c r="EK18" i="32"/>
  <c r="EH18" i="32"/>
  <c r="EG18" i="32"/>
  <c r="EF18" i="32"/>
  <c r="ED18" i="32"/>
  <c r="EC18" i="32"/>
  <c r="ET17" i="32"/>
  <c r="ES17" i="32"/>
  <c r="ER17" i="32"/>
  <c r="EQ17" i="32"/>
  <c r="EP17" i="32"/>
  <c r="EO17" i="32"/>
  <c r="EM17" i="32"/>
  <c r="EL17" i="32"/>
  <c r="EK17" i="32"/>
  <c r="EH17" i="32"/>
  <c r="EG17" i="32"/>
  <c r="EF17" i="32"/>
  <c r="ED17" i="32"/>
  <c r="EC17" i="32"/>
  <c r="EN16" i="32"/>
  <c r="ET16" i="32"/>
  <c r="ES16" i="32"/>
  <c r="ER16" i="32"/>
  <c r="EQ16" i="32"/>
  <c r="EP16" i="32"/>
  <c r="EO16" i="32"/>
  <c r="EM16" i="32"/>
  <c r="EL16" i="32"/>
  <c r="EK16" i="32"/>
  <c r="EH16" i="32"/>
  <c r="EG16" i="32"/>
  <c r="EF16" i="32"/>
  <c r="ED16" i="32"/>
  <c r="EN15" i="32"/>
  <c r="ET15" i="32"/>
  <c r="ES15" i="32"/>
  <c r="ER15" i="32"/>
  <c r="EQ15" i="32"/>
  <c r="EP15" i="32"/>
  <c r="EO15" i="32"/>
  <c r="EM15" i="32"/>
  <c r="EL15" i="32"/>
  <c r="EK15" i="32"/>
  <c r="EH15" i="32"/>
  <c r="EG15" i="32"/>
  <c r="EF15" i="32"/>
  <c r="ED15" i="32"/>
  <c r="EN14" i="32"/>
  <c r="ET14" i="32"/>
  <c r="ES14" i="32"/>
  <c r="ER14" i="32"/>
  <c r="EQ14" i="32"/>
  <c r="EP14" i="32"/>
  <c r="EO14" i="32"/>
  <c r="EM14" i="32"/>
  <c r="EL14" i="32"/>
  <c r="EK14" i="32"/>
  <c r="EH14" i="32"/>
  <c r="EG14" i="32"/>
  <c r="EF14" i="32"/>
  <c r="ED14" i="32"/>
  <c r="ET13" i="32"/>
  <c r="ES13" i="32"/>
  <c r="ER13" i="32"/>
  <c r="EQ13" i="32"/>
  <c r="EP13" i="32"/>
  <c r="EO13" i="32"/>
  <c r="EM13" i="32"/>
  <c r="EL13" i="32"/>
  <c r="EK13" i="32"/>
  <c r="EH13" i="32"/>
  <c r="EG13" i="32"/>
  <c r="EF13" i="32"/>
  <c r="ED13" i="32"/>
  <c r="EC13" i="32"/>
  <c r="ET12" i="32"/>
  <c r="ES12" i="32"/>
  <c r="ER12" i="32"/>
  <c r="EQ12" i="32"/>
  <c r="EP12" i="32"/>
  <c r="EO12" i="32"/>
  <c r="EM12" i="32"/>
  <c r="EL12" i="32"/>
  <c r="EK12" i="32"/>
  <c r="EH12" i="32"/>
  <c r="EG12" i="32"/>
  <c r="EF12" i="32"/>
  <c r="ED12" i="32"/>
  <c r="EC12" i="32"/>
  <c r="ET11" i="32"/>
  <c r="ES11" i="32"/>
  <c r="ER11" i="32"/>
  <c r="EQ11" i="32"/>
  <c r="EP11" i="32"/>
  <c r="EO11" i="32"/>
  <c r="EM11" i="32"/>
  <c r="EL11" i="32"/>
  <c r="EK11" i="32"/>
  <c r="EH11" i="32"/>
  <c r="EG11" i="32"/>
  <c r="EF11" i="32"/>
  <c r="ED11" i="32"/>
  <c r="EC11" i="32"/>
  <c r="ET10" i="32"/>
  <c r="ES10" i="32"/>
  <c r="ER10" i="32"/>
  <c r="EQ10" i="32"/>
  <c r="EP10" i="32"/>
  <c r="EO10" i="32"/>
  <c r="EM10" i="32"/>
  <c r="EL10" i="32"/>
  <c r="EK10" i="32"/>
  <c r="EH10" i="32"/>
  <c r="EG10" i="32"/>
  <c r="EF10" i="32"/>
  <c r="ED10" i="32"/>
  <c r="EC10" i="32"/>
  <c r="FS107" i="40" l="1"/>
  <c r="FS90" i="40" s="1"/>
  <c r="FI107" i="40"/>
  <c r="FI79" i="40" s="1"/>
  <c r="GH107" i="40"/>
  <c r="GH98" i="40" s="1"/>
  <c r="GI107" i="40"/>
  <c r="FO107" i="40"/>
  <c r="FO32" i="40" s="1"/>
  <c r="DQ91" i="52"/>
  <c r="DQ90" i="52"/>
  <c r="DQ43" i="52"/>
  <c r="DQ45" i="52"/>
  <c r="DQ44" i="52"/>
  <c r="DQ98" i="52"/>
  <c r="DQ97" i="52"/>
  <c r="DQ96" i="52"/>
  <c r="DQ92" i="52"/>
  <c r="DQ95" i="52"/>
  <c r="DQ94" i="52"/>
  <c r="DQ93" i="52"/>
  <c r="GJ222" i="49"/>
  <c r="FK222" i="49"/>
  <c r="FO65" i="40"/>
  <c r="FO85" i="40"/>
  <c r="FO81" i="40"/>
  <c r="FO67" i="40"/>
  <c r="FO68" i="40"/>
  <c r="FO43" i="40"/>
  <c r="GH15" i="40"/>
  <c r="GH20" i="40"/>
  <c r="GI63" i="40"/>
  <c r="GI54" i="40"/>
  <c r="GI40" i="40"/>
  <c r="FI94" i="40"/>
  <c r="FI67" i="40"/>
  <c r="FI82" i="40"/>
  <c r="FI87" i="40"/>
  <c r="FI74" i="40"/>
  <c r="FI84" i="40"/>
  <c r="FI55" i="40"/>
  <c r="FI37" i="40"/>
  <c r="FI49" i="40"/>
  <c r="FI38" i="40"/>
  <c r="FI52" i="40"/>
  <c r="FI58" i="40"/>
  <c r="FI40" i="40"/>
  <c r="FI15" i="40"/>
  <c r="FI28" i="40"/>
  <c r="FI25" i="40"/>
  <c r="FI21" i="40"/>
  <c r="FI26" i="40"/>
  <c r="FI10" i="40"/>
  <c r="FS75" i="40"/>
  <c r="FS70" i="40"/>
  <c r="FS94" i="40"/>
  <c r="FS91" i="40"/>
  <c r="FS86" i="40"/>
  <c r="FS73" i="40"/>
  <c r="FS69" i="40"/>
  <c r="FS62" i="40"/>
  <c r="FS58" i="40"/>
  <c r="FS48" i="40"/>
  <c r="FS45" i="40"/>
  <c r="FS41" i="40"/>
  <c r="FS37" i="40"/>
  <c r="FS65" i="40"/>
  <c r="FS34" i="40"/>
  <c r="FS61" i="40"/>
  <c r="FS57" i="40"/>
  <c r="FS50" i="40"/>
  <c r="FS31" i="40"/>
  <c r="FS27" i="40"/>
  <c r="FS23" i="40"/>
  <c r="FS15" i="40"/>
  <c r="FS25" i="40"/>
  <c r="FS21" i="40"/>
  <c r="FS17" i="40"/>
  <c r="FS30" i="40"/>
  <c r="FT107" i="40"/>
  <c r="GJ48" i="32"/>
  <c r="GJ51" i="32"/>
  <c r="GJ49" i="32"/>
  <c r="GJ52" i="32"/>
  <c r="GJ47" i="32"/>
  <c r="GJ50" i="32"/>
  <c r="FJ47" i="32"/>
  <c r="FJ50" i="32"/>
  <c r="FJ48" i="32"/>
  <c r="FJ51" i="32"/>
  <c r="FJ49" i="32"/>
  <c r="FJ52" i="32"/>
  <c r="FT47" i="32"/>
  <c r="FT50" i="32"/>
  <c r="FT48" i="32"/>
  <c r="FT49" i="32"/>
  <c r="FT52" i="32"/>
  <c r="FT51" i="32"/>
  <c r="FU55" i="32"/>
  <c r="FU47" i="32"/>
  <c r="FU49" i="32"/>
  <c r="FU50" i="32"/>
  <c r="FU48" i="32"/>
  <c r="FU51" i="32"/>
  <c r="FU52" i="32"/>
  <c r="FP47" i="32"/>
  <c r="FP50" i="32"/>
  <c r="FP48" i="32"/>
  <c r="FP51" i="32"/>
  <c r="FP49" i="32"/>
  <c r="FP52" i="32"/>
  <c r="GI50" i="32"/>
  <c r="GI48" i="32"/>
  <c r="GI51" i="32"/>
  <c r="GI49" i="32"/>
  <c r="GI52" i="32"/>
  <c r="GI47" i="32"/>
  <c r="DN233" i="49"/>
  <c r="DM233" i="49"/>
  <c r="DL233" i="49"/>
  <c r="FU14" i="32"/>
  <c r="FU20" i="32"/>
  <c r="FP97" i="32"/>
  <c r="FP74" i="32"/>
  <c r="FP73" i="32"/>
  <c r="FP75" i="32"/>
  <c r="FT98" i="32"/>
  <c r="FT74" i="32"/>
  <c r="FT73" i="32"/>
  <c r="FT75" i="32"/>
  <c r="FU74" i="32"/>
  <c r="FU73" i="32"/>
  <c r="FU75" i="32"/>
  <c r="GI96" i="32"/>
  <c r="GI74" i="32"/>
  <c r="GI73" i="32"/>
  <c r="GI75" i="32"/>
  <c r="GJ95" i="32"/>
  <c r="GJ75" i="32"/>
  <c r="GJ74" i="32"/>
  <c r="GJ73" i="32"/>
  <c r="FJ91" i="32"/>
  <c r="FJ74" i="32"/>
  <c r="FJ73" i="32"/>
  <c r="FJ75" i="32"/>
  <c r="FU13" i="32"/>
  <c r="FU26" i="32"/>
  <c r="FU64" i="32"/>
  <c r="GJ13" i="32"/>
  <c r="GJ38" i="32"/>
  <c r="GJ62" i="32"/>
  <c r="DO233" i="49"/>
  <c r="DF233" i="49"/>
  <c r="DK233" i="49"/>
  <c r="DG233" i="49"/>
  <c r="DC233" i="49"/>
  <c r="DH233" i="49"/>
  <c r="DD233" i="49"/>
  <c r="DI233" i="49"/>
  <c r="DJ233" i="49"/>
  <c r="DE233" i="49"/>
  <c r="FJ12" i="32"/>
  <c r="FT27" i="32"/>
  <c r="FU32" i="32"/>
  <c r="FT20" i="32"/>
  <c r="FJ36" i="32"/>
  <c r="FT45" i="32"/>
  <c r="FT82" i="32"/>
  <c r="GJ12" i="32"/>
  <c r="GJ81" i="32"/>
  <c r="GJ20" i="32"/>
  <c r="GJ83" i="32"/>
  <c r="GJ88" i="32"/>
  <c r="FT37" i="32"/>
  <c r="GJ66" i="32"/>
  <c r="FP83" i="32"/>
  <c r="GJ29" i="32"/>
  <c r="GJ67" i="32"/>
  <c r="FT14" i="32"/>
  <c r="FT54" i="32"/>
  <c r="FP84" i="32"/>
  <c r="GJ30" i="32"/>
  <c r="GJ42" i="32"/>
  <c r="FJ62" i="32"/>
  <c r="FT64" i="32"/>
  <c r="GJ43" i="32"/>
  <c r="GJ55" i="32"/>
  <c r="GJ10" i="32"/>
  <c r="GJ57" i="32"/>
  <c r="GI42" i="32"/>
  <c r="FT21" i="32"/>
  <c r="FT29" i="32"/>
  <c r="FT55" i="32"/>
  <c r="FT65" i="32"/>
  <c r="FT23" i="32"/>
  <c r="FT31" i="32"/>
  <c r="FT70" i="32"/>
  <c r="FT11" i="32"/>
  <c r="FT32" i="32"/>
  <c r="FT56" i="32"/>
  <c r="FT71" i="32"/>
  <c r="FT13" i="32"/>
  <c r="FT80" i="32"/>
  <c r="FT93" i="32"/>
  <c r="FT33" i="32"/>
  <c r="FT81" i="32"/>
  <c r="FT95" i="32"/>
  <c r="FT38" i="32"/>
  <c r="FT83" i="32"/>
  <c r="FT15" i="32"/>
  <c r="FT39" i="32"/>
  <c r="FT84" i="32"/>
  <c r="FT17" i="32"/>
  <c r="FT25" i="32"/>
  <c r="FT43" i="32"/>
  <c r="FT85" i="32"/>
  <c r="FT19" i="32"/>
  <c r="FT26" i="32"/>
  <c r="FT44" i="32"/>
  <c r="FT63" i="32"/>
  <c r="GI12" i="32"/>
  <c r="GI29" i="32"/>
  <c r="GJ41" i="32"/>
  <c r="GI55" i="32"/>
  <c r="GJ61" i="32"/>
  <c r="GJ64" i="32"/>
  <c r="GI97" i="32"/>
  <c r="GI30" i="32"/>
  <c r="GI67" i="32"/>
  <c r="GI17" i="32"/>
  <c r="GI58" i="32"/>
  <c r="GJ17" i="32"/>
  <c r="GJ31" i="32"/>
  <c r="GI44" i="32"/>
  <c r="GJ58" i="32"/>
  <c r="GI84" i="32"/>
  <c r="GJ68" i="32"/>
  <c r="GI18" i="32"/>
  <c r="GI32" i="32"/>
  <c r="GJ44" i="32"/>
  <c r="GI59" i="32"/>
  <c r="GJ84" i="32"/>
  <c r="GJ69" i="32"/>
  <c r="FU93" i="32"/>
  <c r="FU94" i="32"/>
  <c r="FU84" i="32"/>
  <c r="FU44" i="32"/>
  <c r="FU11" i="32"/>
  <c r="FU70" i="32"/>
  <c r="FU81" i="32"/>
  <c r="FU38" i="32"/>
  <c r="FU19" i="32"/>
  <c r="FU17" i="32"/>
  <c r="GJ18" i="32"/>
  <c r="GJ32" i="32"/>
  <c r="GJ77" i="32"/>
  <c r="GJ59" i="32"/>
  <c r="GJ86" i="32"/>
  <c r="GI70" i="32"/>
  <c r="GJ19" i="32"/>
  <c r="GJ37" i="32"/>
  <c r="GI78" i="32"/>
  <c r="GJ80" i="32"/>
  <c r="GI87" i="32"/>
  <c r="GJ70" i="32"/>
  <c r="GI20" i="32"/>
  <c r="GJ25" i="32"/>
  <c r="GI38" i="32"/>
  <c r="GJ78" i="32"/>
  <c r="GI81" i="32"/>
  <c r="GJ87" i="32"/>
  <c r="GJ90" i="32"/>
  <c r="GI26" i="32"/>
  <c r="GI79" i="32"/>
  <c r="GI93" i="32"/>
  <c r="GI11" i="32"/>
  <c r="GJ26" i="32"/>
  <c r="GJ40" i="32"/>
  <c r="GJ79" i="32"/>
  <c r="GJ60" i="32"/>
  <c r="GJ63" i="32"/>
  <c r="GJ94" i="32"/>
  <c r="GI62" i="32"/>
  <c r="GJ11" i="32"/>
  <c r="GJ28" i="32"/>
  <c r="GI41" i="32"/>
  <c r="GJ54" i="32"/>
  <c r="GI61" i="32"/>
  <c r="GI64" i="32"/>
  <c r="GJ96" i="32"/>
  <c r="FU23" i="32"/>
  <c r="FU29" i="32"/>
  <c r="FT69" i="32"/>
  <c r="FT94" i="32"/>
  <c r="FP38" i="32"/>
  <c r="FJ11" i="32"/>
  <c r="FJ35" i="32"/>
  <c r="FJ78" i="32"/>
  <c r="FJ61" i="32"/>
  <c r="FJ67" i="32"/>
  <c r="FJ98" i="32"/>
  <c r="FJ13" i="32"/>
  <c r="FJ25" i="32"/>
  <c r="FJ37" i="32"/>
  <c r="FJ54" i="32"/>
  <c r="FJ83" i="32"/>
  <c r="FJ69" i="32"/>
  <c r="FJ17" i="32"/>
  <c r="FJ26" i="32"/>
  <c r="FJ38" i="32"/>
  <c r="FJ55" i="32"/>
  <c r="FJ84" i="32"/>
  <c r="FJ70" i="32"/>
  <c r="FJ79" i="32"/>
  <c r="GI68" i="32"/>
  <c r="FJ18" i="32"/>
  <c r="FJ27" i="32"/>
  <c r="FJ39" i="32"/>
  <c r="FJ56" i="32"/>
  <c r="FJ85" i="32"/>
  <c r="FJ71" i="32"/>
  <c r="FJ19" i="32"/>
  <c r="FJ28" i="32"/>
  <c r="FJ40" i="32"/>
  <c r="FJ57" i="32"/>
  <c r="FJ86" i="32"/>
  <c r="FJ90" i="32"/>
  <c r="FJ20" i="32"/>
  <c r="FJ29" i="32"/>
  <c r="FJ41" i="32"/>
  <c r="FJ58" i="32"/>
  <c r="FJ87" i="32"/>
  <c r="FJ92" i="32"/>
  <c r="FJ30" i="32"/>
  <c r="FJ42" i="32"/>
  <c r="FJ59" i="32"/>
  <c r="FJ88" i="32"/>
  <c r="FJ93" i="32"/>
  <c r="GI88" i="32"/>
  <c r="FJ31" i="32"/>
  <c r="FJ43" i="32"/>
  <c r="FJ80" i="32"/>
  <c r="FJ63" i="32"/>
  <c r="FJ94" i="32"/>
  <c r="FJ68" i="32"/>
  <c r="FJ32" i="32"/>
  <c r="FJ44" i="32"/>
  <c r="FJ81" i="32"/>
  <c r="FJ64" i="32"/>
  <c r="FJ95" i="32"/>
  <c r="FP20" i="32"/>
  <c r="GI91" i="32"/>
  <c r="FJ33" i="32"/>
  <c r="FJ45" i="32"/>
  <c r="FJ82" i="32"/>
  <c r="FJ65" i="32"/>
  <c r="FJ96" i="32"/>
  <c r="FP37" i="32"/>
  <c r="FJ10" i="32"/>
  <c r="FJ34" i="32"/>
  <c r="FJ77" i="32"/>
  <c r="FJ60" i="32"/>
  <c r="FJ66" i="32"/>
  <c r="FJ97" i="32"/>
  <c r="FU15" i="32"/>
  <c r="FU21" i="32"/>
  <c r="FU27" i="32"/>
  <c r="FU33" i="32"/>
  <c r="FU39" i="32"/>
  <c r="FU45" i="32"/>
  <c r="FU56" i="32"/>
  <c r="FU82" i="32"/>
  <c r="FU85" i="32"/>
  <c r="FU65" i="32"/>
  <c r="FU71" i="32"/>
  <c r="FU95" i="32"/>
  <c r="FT10" i="32"/>
  <c r="FT16" i="32"/>
  <c r="FT22" i="32"/>
  <c r="FT28" i="32"/>
  <c r="FT40" i="32"/>
  <c r="FT77" i="32"/>
  <c r="FT57" i="32"/>
  <c r="FT60" i="32"/>
  <c r="FT86" i="32"/>
  <c r="FT66" i="32"/>
  <c r="FT90" i="32"/>
  <c r="FT96" i="32"/>
  <c r="FU10" i="32"/>
  <c r="FU16" i="32"/>
  <c r="FU22" i="32"/>
  <c r="FU28" i="32"/>
  <c r="FU40" i="32"/>
  <c r="FU77" i="32"/>
  <c r="FU57" i="32"/>
  <c r="FU60" i="32"/>
  <c r="FU86" i="32"/>
  <c r="FU66" i="32"/>
  <c r="FU90" i="32"/>
  <c r="FU96" i="32"/>
  <c r="FT41" i="32"/>
  <c r="FT78" i="32"/>
  <c r="FT58" i="32"/>
  <c r="FT61" i="32"/>
  <c r="FT87" i="32"/>
  <c r="FT67" i="32"/>
  <c r="FT91" i="32"/>
  <c r="FT97" i="32"/>
  <c r="FU41" i="32"/>
  <c r="FU78" i="32"/>
  <c r="FU58" i="32"/>
  <c r="FU61" i="32"/>
  <c r="FU87" i="32"/>
  <c r="FU67" i="32"/>
  <c r="FU91" i="32"/>
  <c r="FU97" i="32"/>
  <c r="FT12" i="32"/>
  <c r="FT18" i="32"/>
  <c r="FT30" i="32"/>
  <c r="FT42" i="32"/>
  <c r="FT79" i="32"/>
  <c r="FT59" i="32"/>
  <c r="FT62" i="32"/>
  <c r="FT88" i="32"/>
  <c r="FT68" i="32"/>
  <c r="FT92" i="32"/>
  <c r="FU12" i="32"/>
  <c r="FU18" i="32"/>
  <c r="FU30" i="32"/>
  <c r="FU42" i="32"/>
  <c r="FU79" i="32"/>
  <c r="FU59" i="32"/>
  <c r="FU62" i="32"/>
  <c r="FU88" i="32"/>
  <c r="FU68" i="32"/>
  <c r="FU92" i="32"/>
  <c r="FU98" i="32"/>
  <c r="FU25" i="32"/>
  <c r="FU31" i="32"/>
  <c r="FU37" i="32"/>
  <c r="FU43" i="32"/>
  <c r="FU54" i="32"/>
  <c r="FU80" i="32"/>
  <c r="FU83" i="32"/>
  <c r="FU63" i="32"/>
  <c r="FU69" i="32"/>
  <c r="FP40" i="32"/>
  <c r="FP86" i="32"/>
  <c r="FP42" i="32"/>
  <c r="FP88" i="32"/>
  <c r="FP43" i="32"/>
  <c r="FP63" i="32"/>
  <c r="FP79" i="32"/>
  <c r="FP68" i="32"/>
  <c r="FP10" i="32"/>
  <c r="FP25" i="32"/>
  <c r="FP54" i="32"/>
  <c r="FP69" i="32"/>
  <c r="FP12" i="32"/>
  <c r="FP26" i="32"/>
  <c r="FP55" i="32"/>
  <c r="FP70" i="32"/>
  <c r="FP13" i="32"/>
  <c r="FP28" i="32"/>
  <c r="FP57" i="32"/>
  <c r="FP90" i="32"/>
  <c r="FP30" i="32"/>
  <c r="FP59" i="32"/>
  <c r="FP92" i="32"/>
  <c r="FP18" i="32"/>
  <c r="FP31" i="32"/>
  <c r="FP80" i="32"/>
  <c r="FP93" i="32"/>
  <c r="FP19" i="32"/>
  <c r="FP36" i="32"/>
  <c r="FP62" i="32"/>
  <c r="FP98" i="32"/>
  <c r="GI13" i="32"/>
  <c r="GI19" i="32"/>
  <c r="GI25" i="32"/>
  <c r="GI31" i="32"/>
  <c r="GI37" i="32"/>
  <c r="GI43" i="32"/>
  <c r="GI54" i="32"/>
  <c r="GI80" i="32"/>
  <c r="GI83" i="32"/>
  <c r="GI63" i="32"/>
  <c r="GI69" i="32"/>
  <c r="GI95" i="32"/>
  <c r="GI27" i="32"/>
  <c r="GI33" i="32"/>
  <c r="GI39" i="32"/>
  <c r="GI45" i="32"/>
  <c r="GI56" i="32"/>
  <c r="GI82" i="32"/>
  <c r="GI85" i="32"/>
  <c r="GI65" i="32"/>
  <c r="GI71" i="32"/>
  <c r="GJ27" i="32"/>
  <c r="GJ33" i="32"/>
  <c r="GJ39" i="32"/>
  <c r="GJ45" i="32"/>
  <c r="GJ56" i="32"/>
  <c r="GJ82" i="32"/>
  <c r="GJ85" i="32"/>
  <c r="GJ65" i="32"/>
  <c r="GJ71" i="32"/>
  <c r="GI10" i="32"/>
  <c r="GI28" i="32"/>
  <c r="GI40" i="32"/>
  <c r="GI77" i="32"/>
  <c r="GI57" i="32"/>
  <c r="GI60" i="32"/>
  <c r="GI86" i="32"/>
  <c r="GI66" i="32"/>
  <c r="GI90" i="32"/>
  <c r="GI94" i="32"/>
  <c r="GJ91" i="32"/>
  <c r="GJ97" i="32"/>
  <c r="GI92" i="32"/>
  <c r="GI98" i="32"/>
  <c r="GJ92" i="32"/>
  <c r="GJ98" i="32"/>
  <c r="GJ93" i="32"/>
  <c r="FP27" i="32"/>
  <c r="FP39" i="32"/>
  <c r="FP56" i="32"/>
  <c r="FP85" i="32"/>
  <c r="FP71" i="32"/>
  <c r="FP11" i="32"/>
  <c r="FP29" i="32"/>
  <c r="FP41" i="32"/>
  <c r="FP58" i="32"/>
  <c r="FP87" i="32"/>
  <c r="FP91" i="32"/>
  <c r="FP32" i="32"/>
  <c r="FP44" i="32"/>
  <c r="FP81" i="32"/>
  <c r="FP64" i="32"/>
  <c r="FP94" i="32"/>
  <c r="FP33" i="32"/>
  <c r="FP45" i="32"/>
  <c r="FP82" i="32"/>
  <c r="FP65" i="32"/>
  <c r="FP95" i="32"/>
  <c r="FP34" i="32"/>
  <c r="FP77" i="32"/>
  <c r="FP60" i="32"/>
  <c r="FP66" i="32"/>
  <c r="FP96" i="32"/>
  <c r="FP17" i="32"/>
  <c r="FP35" i="32"/>
  <c r="FP78" i="32"/>
  <c r="FP61" i="32"/>
  <c r="FP67" i="32"/>
  <c r="FS13" i="40" l="1"/>
  <c r="FS19" i="40"/>
  <c r="FS52" i="40"/>
  <c r="FS33" i="40"/>
  <c r="FS54" i="40"/>
  <c r="FS78" i="40"/>
  <c r="FS98" i="40"/>
  <c r="FS82" i="40"/>
  <c r="FS66" i="40"/>
  <c r="FS29" i="40"/>
  <c r="FS10" i="40"/>
  <c r="FS100" i="40" s="1"/>
  <c r="FS38" i="40"/>
  <c r="FS51" i="40"/>
  <c r="FS74" i="40"/>
  <c r="FS95" i="40"/>
  <c r="FS80" i="40"/>
  <c r="FS12" i="40"/>
  <c r="FS14" i="40"/>
  <c r="FS42" i="40"/>
  <c r="FS55" i="40"/>
  <c r="FS79" i="40"/>
  <c r="FS67" i="40"/>
  <c r="FS84" i="40"/>
  <c r="FS16" i="40"/>
  <c r="FS18" i="40"/>
  <c r="FS47" i="40"/>
  <c r="FS59" i="40"/>
  <c r="FS83" i="40"/>
  <c r="FS71" i="40"/>
  <c r="FS88" i="40"/>
  <c r="FS20" i="40"/>
  <c r="FS22" i="40"/>
  <c r="FS49" i="40"/>
  <c r="FS63" i="40"/>
  <c r="FS87" i="40"/>
  <c r="FS77" i="40"/>
  <c r="FS93" i="40"/>
  <c r="FS28" i="40"/>
  <c r="FS35" i="40"/>
  <c r="FS56" i="40"/>
  <c r="FS36" i="40"/>
  <c r="FS92" i="40"/>
  <c r="FS81" i="40"/>
  <c r="FS97" i="40"/>
  <c r="FS32" i="40"/>
  <c r="FS39" i="40"/>
  <c r="FS60" i="40"/>
  <c r="FS40" i="40"/>
  <c r="FS96" i="40"/>
  <c r="FS85" i="40"/>
  <c r="FO28" i="40"/>
  <c r="FS26" i="40"/>
  <c r="FS11" i="40"/>
  <c r="FS43" i="40"/>
  <c r="FS64" i="40"/>
  <c r="FS44" i="40"/>
  <c r="FS68" i="40"/>
  <c r="FI27" i="40"/>
  <c r="FI64" i="40"/>
  <c r="FI68" i="40"/>
  <c r="GI51" i="40"/>
  <c r="FI31" i="40"/>
  <c r="FI66" i="40"/>
  <c r="FI73" i="40"/>
  <c r="GI59" i="40"/>
  <c r="FI22" i="40"/>
  <c r="FI54" i="40"/>
  <c r="FI51" i="40"/>
  <c r="FI95" i="40"/>
  <c r="GI22" i="40"/>
  <c r="GI95" i="40"/>
  <c r="GI30" i="40"/>
  <c r="GI90" i="40"/>
  <c r="FI35" i="40"/>
  <c r="FI63" i="40"/>
  <c r="FI77" i="40"/>
  <c r="GI13" i="40"/>
  <c r="GI94" i="40"/>
  <c r="FI50" i="40"/>
  <c r="FI80" i="40"/>
  <c r="FI90" i="40"/>
  <c r="GI17" i="40"/>
  <c r="FI12" i="40"/>
  <c r="FI61" i="40"/>
  <c r="FI93" i="40"/>
  <c r="GI48" i="40"/>
  <c r="FI32" i="40"/>
  <c r="FI42" i="40"/>
  <c r="GI62" i="40"/>
  <c r="GI41" i="40"/>
  <c r="FO11" i="40"/>
  <c r="FO10" i="40"/>
  <c r="FO30" i="40"/>
  <c r="FO49" i="40"/>
  <c r="FO60" i="40"/>
  <c r="FO37" i="40"/>
  <c r="GI21" i="40"/>
  <c r="GI35" i="40"/>
  <c r="GI84" i="40"/>
  <c r="GH32" i="40"/>
  <c r="GI29" i="40"/>
  <c r="GI52" i="40"/>
  <c r="GI93" i="40"/>
  <c r="GH36" i="40"/>
  <c r="GI61" i="40"/>
  <c r="GI97" i="40"/>
  <c r="GH48" i="40"/>
  <c r="GI16" i="40"/>
  <c r="GI34" i="40"/>
  <c r="GI74" i="40"/>
  <c r="GH55" i="40"/>
  <c r="GI20" i="40"/>
  <c r="GI38" i="40"/>
  <c r="GI79" i="40"/>
  <c r="GH66" i="40"/>
  <c r="GI31" i="40"/>
  <c r="GI11" i="40"/>
  <c r="GI100" i="40" s="1"/>
  <c r="GI47" i="40"/>
  <c r="GI73" i="40"/>
  <c r="GH80" i="40"/>
  <c r="GI10" i="40"/>
  <c r="GI32" i="40"/>
  <c r="GI49" i="40"/>
  <c r="GI82" i="40"/>
  <c r="GH93" i="40"/>
  <c r="GI18" i="40"/>
  <c r="GI36" i="40"/>
  <c r="GI37" i="40"/>
  <c r="GI86" i="40"/>
  <c r="GH69" i="40"/>
  <c r="FO55" i="40"/>
  <c r="FO40" i="40"/>
  <c r="FO66" i="40"/>
  <c r="FO22" i="40"/>
  <c r="FO44" i="40"/>
  <c r="FO84" i="40"/>
  <c r="GI14" i="40"/>
  <c r="GI12" i="40"/>
  <c r="GI58" i="40"/>
  <c r="GI33" i="40"/>
  <c r="GI65" i="40"/>
  <c r="GI98" i="40"/>
  <c r="FO26" i="40"/>
  <c r="FO58" i="40"/>
  <c r="FO97" i="40"/>
  <c r="FO17" i="40"/>
  <c r="FO57" i="40"/>
  <c r="FO69" i="40"/>
  <c r="GI26" i="40"/>
  <c r="GI28" i="40"/>
  <c r="GI50" i="40"/>
  <c r="GI45" i="40"/>
  <c r="GI68" i="40"/>
  <c r="FO38" i="40"/>
  <c r="FO61" i="40"/>
  <c r="FO83" i="40"/>
  <c r="GI23" i="40"/>
  <c r="GI57" i="40"/>
  <c r="GI55" i="40"/>
  <c r="GI78" i="40"/>
  <c r="FO12" i="40"/>
  <c r="FO56" i="40"/>
  <c r="FO82" i="40"/>
  <c r="GI27" i="40"/>
  <c r="GI25" i="40"/>
  <c r="GI44" i="40"/>
  <c r="GI42" i="40"/>
  <c r="GI88" i="40"/>
  <c r="GI67" i="40"/>
  <c r="FO23" i="40"/>
  <c r="FO36" i="40"/>
  <c r="FO90" i="40"/>
  <c r="GI69" i="40"/>
  <c r="GI91" i="40"/>
  <c r="GH62" i="40"/>
  <c r="GH83" i="40"/>
  <c r="GH43" i="40"/>
  <c r="GH96" i="40"/>
  <c r="GH10" i="40"/>
  <c r="GH57" i="40"/>
  <c r="GH78" i="40"/>
  <c r="GI66" i="40"/>
  <c r="GI83" i="40"/>
  <c r="GI71" i="40"/>
  <c r="GH22" i="40"/>
  <c r="GH38" i="40"/>
  <c r="GH91" i="40"/>
  <c r="GI56" i="40"/>
  <c r="GI70" i="40"/>
  <c r="GI87" i="40"/>
  <c r="GI77" i="40"/>
  <c r="GH49" i="40"/>
  <c r="GH71" i="40"/>
  <c r="GI15" i="40"/>
  <c r="GI39" i="40"/>
  <c r="GI60" i="40"/>
  <c r="GI75" i="40"/>
  <c r="GI92" i="40"/>
  <c r="GI81" i="40"/>
  <c r="GH21" i="40"/>
  <c r="GH64" i="40"/>
  <c r="GH85" i="40"/>
  <c r="GI19" i="40"/>
  <c r="GI43" i="40"/>
  <c r="GI64" i="40"/>
  <c r="GI80" i="40"/>
  <c r="GI96" i="40"/>
  <c r="GI85" i="40"/>
  <c r="GH41" i="40"/>
  <c r="FO27" i="40"/>
  <c r="FO21" i="40"/>
  <c r="FO41" i="40"/>
  <c r="FO62" i="40"/>
  <c r="FO86" i="40"/>
  <c r="FO70" i="40"/>
  <c r="FO87" i="40"/>
  <c r="GH82" i="40"/>
  <c r="FO31" i="40"/>
  <c r="FO25" i="40"/>
  <c r="FO45" i="40"/>
  <c r="FO35" i="40"/>
  <c r="FO91" i="40"/>
  <c r="FO75" i="40"/>
  <c r="FO92" i="40"/>
  <c r="FO34" i="40"/>
  <c r="FO29" i="40"/>
  <c r="FO51" i="40"/>
  <c r="FO39" i="40"/>
  <c r="FO95" i="40"/>
  <c r="FO80" i="40"/>
  <c r="FO96" i="40"/>
  <c r="FO16" i="40"/>
  <c r="FO14" i="40"/>
  <c r="FO42" i="40"/>
  <c r="FO59" i="40"/>
  <c r="FO50" i="40"/>
  <c r="FO71" i="40"/>
  <c r="FO88" i="40"/>
  <c r="FO20" i="40"/>
  <c r="FO18" i="40"/>
  <c r="FO47" i="40"/>
  <c r="FO63" i="40"/>
  <c r="FO52" i="40"/>
  <c r="FO77" i="40"/>
  <c r="FO93" i="40"/>
  <c r="FI85" i="40"/>
  <c r="FO15" i="40"/>
  <c r="FO64" i="40"/>
  <c r="FO48" i="40"/>
  <c r="FO73" i="40"/>
  <c r="FO94" i="40"/>
  <c r="FO74" i="40"/>
  <c r="FO19" i="40"/>
  <c r="FO13" i="40"/>
  <c r="FO33" i="40"/>
  <c r="FO54" i="40"/>
  <c r="FO78" i="40"/>
  <c r="FO98" i="40"/>
  <c r="FO79" i="40"/>
  <c r="FI29" i="40"/>
  <c r="FI36" i="40"/>
  <c r="FI57" i="40"/>
  <c r="FI33" i="40"/>
  <c r="FI88" i="40"/>
  <c r="FI78" i="40"/>
  <c r="FI98" i="40"/>
  <c r="GH18" i="40"/>
  <c r="GH16" i="40"/>
  <c r="GH44" i="40"/>
  <c r="GH34" i="40"/>
  <c r="GH51" i="40"/>
  <c r="GH65" i="40"/>
  <c r="GH86" i="40"/>
  <c r="FI14" i="40"/>
  <c r="FI16" i="40"/>
  <c r="FI44" i="40"/>
  <c r="FI65" i="40"/>
  <c r="FI41" i="40"/>
  <c r="FI97" i="40"/>
  <c r="FI86" i="40"/>
  <c r="GH26" i="40"/>
  <c r="GH28" i="40"/>
  <c r="GH54" i="40"/>
  <c r="GH42" i="40"/>
  <c r="GH59" i="40"/>
  <c r="GH74" i="40"/>
  <c r="GH95" i="40"/>
  <c r="FI18" i="40"/>
  <c r="FI20" i="40"/>
  <c r="FI48" i="40"/>
  <c r="FI34" i="40"/>
  <c r="FI45" i="40"/>
  <c r="FI69" i="40"/>
  <c r="FI91" i="40"/>
  <c r="GH30" i="40"/>
  <c r="GH11" i="40"/>
  <c r="GH58" i="40"/>
  <c r="GH47" i="40"/>
  <c r="GH63" i="40"/>
  <c r="GH79" i="40"/>
  <c r="GH67" i="40"/>
  <c r="GH13" i="40"/>
  <c r="GH19" i="40"/>
  <c r="GH35" i="40"/>
  <c r="GH56" i="40"/>
  <c r="GH70" i="40"/>
  <c r="GH87" i="40"/>
  <c r="GH77" i="40"/>
  <c r="FI30" i="40"/>
  <c r="FI11" i="40"/>
  <c r="FI62" i="40"/>
  <c r="FI47" i="40"/>
  <c r="FI59" i="40"/>
  <c r="FI83" i="40"/>
  <c r="FI71" i="40"/>
  <c r="GH17" i="40"/>
  <c r="GH23" i="40"/>
  <c r="GH39" i="40"/>
  <c r="GH60" i="40"/>
  <c r="GH75" i="40"/>
  <c r="GH92" i="40"/>
  <c r="GH81" i="40"/>
  <c r="FI13" i="40"/>
  <c r="FI19" i="40"/>
  <c r="FI39" i="40"/>
  <c r="FI56" i="40"/>
  <c r="FI70" i="40"/>
  <c r="FI92" i="40"/>
  <c r="FI81" i="40"/>
  <c r="GH25" i="40"/>
  <c r="GH27" i="40"/>
  <c r="GH50" i="40"/>
  <c r="GH33" i="40"/>
  <c r="GH84" i="40"/>
  <c r="GH68" i="40"/>
  <c r="GH90" i="40"/>
  <c r="FI17" i="40"/>
  <c r="FI23" i="40"/>
  <c r="FI43" i="40"/>
  <c r="FI60" i="40"/>
  <c r="FI75" i="40"/>
  <c r="FI96" i="40"/>
  <c r="GH29" i="40"/>
  <c r="GH31" i="40"/>
  <c r="GH52" i="40"/>
  <c r="GH37" i="40"/>
  <c r="GH88" i="40"/>
  <c r="GH73" i="40"/>
  <c r="GH94" i="40"/>
  <c r="GH14" i="40"/>
  <c r="GH12" i="40"/>
  <c r="GH40" i="40"/>
  <c r="GH61" i="40"/>
  <c r="GH45" i="40"/>
  <c r="GH97" i="40"/>
  <c r="DQ62" i="52"/>
  <c r="DQ61" i="52"/>
  <c r="DQ22" i="52"/>
  <c r="DQ14" i="52"/>
  <c r="DQ23" i="52"/>
  <c r="DQ60" i="52"/>
  <c r="DQ15" i="52"/>
  <c r="DQ59" i="52"/>
  <c r="DQ57" i="52"/>
  <c r="DQ16" i="52"/>
  <c r="DQ21" i="52"/>
  <c r="DQ58" i="52"/>
  <c r="FT98" i="40"/>
  <c r="FT94" i="40"/>
  <c r="FT90" i="40"/>
  <c r="FT85" i="40"/>
  <c r="FT81" i="40"/>
  <c r="FT77" i="40"/>
  <c r="FT71" i="40"/>
  <c r="FT67" i="40"/>
  <c r="FT95" i="40"/>
  <c r="FT91" i="40"/>
  <c r="FT86" i="40"/>
  <c r="FT82" i="40"/>
  <c r="FT78" i="40"/>
  <c r="FT73" i="40"/>
  <c r="FT68" i="40"/>
  <c r="FT96" i="40"/>
  <c r="FT92" i="40"/>
  <c r="FT87" i="40"/>
  <c r="FT83" i="40"/>
  <c r="FT79" i="40"/>
  <c r="FT74" i="40"/>
  <c r="FT69" i="40"/>
  <c r="FT97" i="40"/>
  <c r="FT93" i="40"/>
  <c r="FT88" i="40"/>
  <c r="FT84" i="40"/>
  <c r="FT80" i="40"/>
  <c r="FT75" i="40"/>
  <c r="FT70" i="40"/>
  <c r="FT66" i="40"/>
  <c r="FT63" i="40"/>
  <c r="FT59" i="40"/>
  <c r="FT55" i="40"/>
  <c r="FT51" i="40"/>
  <c r="FT45" i="40"/>
  <c r="FT41" i="40"/>
  <c r="FT37" i="40"/>
  <c r="FT33" i="40"/>
  <c r="FT65" i="40"/>
  <c r="FT64" i="40"/>
  <c r="FT60" i="40"/>
  <c r="FT56" i="40"/>
  <c r="FT49" i="40"/>
  <c r="FT47" i="40"/>
  <c r="FT42" i="40"/>
  <c r="FT38" i="40"/>
  <c r="FT34" i="40"/>
  <c r="FT61" i="40"/>
  <c r="FT57" i="40"/>
  <c r="FT52" i="40"/>
  <c r="FT50" i="40"/>
  <c r="FT43" i="40"/>
  <c r="FT39" i="40"/>
  <c r="FT35" i="40"/>
  <c r="FT62" i="40"/>
  <c r="FT58" i="40"/>
  <c r="FT54" i="40"/>
  <c r="FT48" i="40"/>
  <c r="FT44" i="40"/>
  <c r="FT40" i="40"/>
  <c r="FT36" i="40"/>
  <c r="FT31" i="40"/>
  <c r="FT27" i="40"/>
  <c r="FT23" i="40"/>
  <c r="FT19" i="40"/>
  <c r="FT15" i="40"/>
  <c r="FT11" i="40"/>
  <c r="FT32" i="40"/>
  <c r="FT28" i="40"/>
  <c r="FT20" i="40"/>
  <c r="FT16" i="40"/>
  <c r="FT12" i="40"/>
  <c r="FT29" i="40"/>
  <c r="FT25" i="40"/>
  <c r="FT21" i="40"/>
  <c r="FT17" i="40"/>
  <c r="FT13" i="40"/>
  <c r="FT30" i="40"/>
  <c r="FT26" i="40"/>
  <c r="FT22" i="40"/>
  <c r="FT18" i="40"/>
  <c r="FT14" i="40"/>
  <c r="FT10" i="40"/>
  <c r="K111" i="40"/>
  <c r="FO100" i="40" l="1"/>
  <c r="FI100" i="40"/>
  <c r="GH100" i="40"/>
  <c r="O111" i="40"/>
  <c r="L111" i="40"/>
  <c r="V111" i="40"/>
  <c r="AO111" i="40"/>
  <c r="AJ111" i="40"/>
  <c r="AS111" i="40"/>
  <c r="AC111" i="40"/>
  <c r="X111" i="40"/>
  <c r="AG111" i="40"/>
  <c r="Q111" i="40"/>
  <c r="AL111" i="40"/>
  <c r="U111" i="40"/>
  <c r="AI111" i="40"/>
  <c r="Z111" i="40"/>
  <c r="AE111" i="40"/>
  <c r="AN111" i="40"/>
  <c r="N111" i="40"/>
  <c r="AP111" i="40"/>
  <c r="AB111" i="40"/>
  <c r="T111" i="40"/>
  <c r="AQ111" i="40"/>
  <c r="AD111" i="40"/>
  <c r="P111" i="40"/>
  <c r="W111" i="40"/>
  <c r="AK111" i="40"/>
  <c r="R111" i="40"/>
  <c r="AM111" i="40"/>
  <c r="Y111" i="40"/>
  <c r="AR111" i="40"/>
  <c r="AA111" i="40"/>
  <c r="M111" i="40"/>
  <c r="AF111" i="40"/>
  <c r="AH111" i="40"/>
  <c r="S111" i="40"/>
  <c r="FT100" i="40"/>
  <c r="DD111" i="40"/>
  <c r="DA75" i="52" l="1"/>
  <c r="EN75" i="32"/>
  <c r="DB51" i="52"/>
  <c r="DB48" i="52"/>
  <c r="DB49" i="52"/>
  <c r="DB52" i="52"/>
  <c r="DB47" i="52"/>
  <c r="DB50" i="52"/>
  <c r="DC51" i="52"/>
  <c r="DC49" i="52"/>
  <c r="DC52" i="52"/>
  <c r="DC47" i="52"/>
  <c r="DC50" i="52"/>
  <c r="DC48" i="52"/>
  <c r="CM73" i="52"/>
  <c r="CM75" i="52"/>
  <c r="CM74" i="52"/>
  <c r="CN75" i="52"/>
  <c r="CN74" i="52"/>
  <c r="CN73" i="52"/>
  <c r="DI73" i="52"/>
  <c r="DI74" i="52"/>
  <c r="DI75" i="52"/>
  <c r="DH74" i="52"/>
  <c r="DH73" i="52"/>
  <c r="DH75" i="52"/>
  <c r="DJ74" i="52"/>
  <c r="DJ75" i="52"/>
  <c r="DJ73" i="52"/>
  <c r="FK74" i="32"/>
  <c r="GG74" i="32"/>
  <c r="FL74" i="32"/>
  <c r="GH75" i="32"/>
  <c r="GH74" i="32"/>
  <c r="CM111" i="40"/>
  <c r="DL111" i="40"/>
  <c r="DK111" i="40"/>
  <c r="DJ111" i="40"/>
  <c r="DI111" i="40"/>
  <c r="CI111" i="40"/>
  <c r="CQ111" i="40"/>
  <c r="CJ111" i="40"/>
  <c r="CS111" i="40"/>
  <c r="DN111" i="40"/>
  <c r="CY111" i="40"/>
  <c r="DE111" i="40"/>
  <c r="CU111" i="40"/>
  <c r="CP111" i="40"/>
  <c r="CO111" i="40"/>
  <c r="DH111" i="40"/>
  <c r="CN111" i="40"/>
  <c r="DG111" i="40"/>
  <c r="CK111" i="40"/>
  <c r="CW111" i="40"/>
  <c r="CH111" i="40"/>
  <c r="CF111" i="40"/>
  <c r="CL111" i="40"/>
  <c r="CX111" i="40"/>
  <c r="CV111" i="40"/>
  <c r="DF111" i="40"/>
  <c r="DB111" i="40"/>
  <c r="DC111" i="40"/>
  <c r="CT111" i="40"/>
  <c r="DM111" i="40"/>
  <c r="CZ111" i="40"/>
  <c r="CG111" i="40"/>
  <c r="CR111" i="40"/>
  <c r="DA111" i="40"/>
  <c r="FY107" i="32"/>
  <c r="FX107" i="40" s="1"/>
  <c r="GE107" i="32"/>
  <c r="GD107" i="32"/>
  <c r="GC107" i="32"/>
  <c r="GB107" i="32"/>
  <c r="GA107" i="32"/>
  <c r="FZ107" i="32"/>
  <c r="FX107" i="32"/>
  <c r="FW107" i="32"/>
  <c r="FV107" i="32"/>
  <c r="FS107" i="32"/>
  <c r="FR107" i="32"/>
  <c r="FQ107" i="32"/>
  <c r="FO107" i="32"/>
  <c r="FN107" i="32"/>
  <c r="FM107" i="32"/>
  <c r="FL107" i="40" s="1"/>
  <c r="FI107" i="32"/>
  <c r="FH107" i="40" s="1"/>
  <c r="DQ107" i="32"/>
  <c r="AH110" i="40"/>
  <c r="K110" i="40"/>
  <c r="FV107" i="40" l="1"/>
  <c r="FV88" i="40" s="1"/>
  <c r="FW107" i="40"/>
  <c r="FW96" i="40" s="1"/>
  <c r="FY107" i="40"/>
  <c r="FY65" i="40" s="1"/>
  <c r="FZ107" i="40"/>
  <c r="FZ67" i="40" s="1"/>
  <c r="GB107" i="40"/>
  <c r="GB83" i="40" s="1"/>
  <c r="FM107" i="40"/>
  <c r="FM92" i="40" s="1"/>
  <c r="GC107" i="40"/>
  <c r="GC85" i="40" s="1"/>
  <c r="FN107" i="40"/>
  <c r="FN90" i="40" s="1"/>
  <c r="GD107" i="40"/>
  <c r="GD81" i="40" s="1"/>
  <c r="FR107" i="40"/>
  <c r="FR96" i="40" s="1"/>
  <c r="FP107" i="40"/>
  <c r="FP87" i="40" s="1"/>
  <c r="FQ107" i="40"/>
  <c r="FQ97" i="40" s="1"/>
  <c r="FU107" i="40"/>
  <c r="FU73" i="40" s="1"/>
  <c r="DP48" i="52"/>
  <c r="DP52" i="52"/>
  <c r="DP47" i="52"/>
  <c r="DP50" i="52"/>
  <c r="DP75" i="52"/>
  <c r="DP51" i="52"/>
  <c r="DP73" i="52"/>
  <c r="DP49" i="52"/>
  <c r="DP74" i="52"/>
  <c r="FL95" i="40"/>
  <c r="FL91" i="40"/>
  <c r="FL86" i="40"/>
  <c r="FL82" i="40"/>
  <c r="FL78" i="40"/>
  <c r="FL73" i="40"/>
  <c r="FL68" i="40"/>
  <c r="FL96" i="40"/>
  <c r="FL92" i="40"/>
  <c r="FL87" i="40"/>
  <c r="FL83" i="40"/>
  <c r="FL79" i="40"/>
  <c r="FL74" i="40"/>
  <c r="FL69" i="40"/>
  <c r="FL65" i="40"/>
  <c r="FL97" i="40"/>
  <c r="FL93" i="40"/>
  <c r="FL88" i="40"/>
  <c r="FL84" i="40"/>
  <c r="FL80" i="40"/>
  <c r="FL75" i="40"/>
  <c r="FL70" i="40"/>
  <c r="FL66" i="40"/>
  <c r="FL98" i="40"/>
  <c r="FL94" i="40"/>
  <c r="FL90" i="40"/>
  <c r="FL85" i="40"/>
  <c r="FL81" i="40"/>
  <c r="FL77" i="40"/>
  <c r="FL71" i="40"/>
  <c r="FL67" i="40"/>
  <c r="FL64" i="40"/>
  <c r="FL60" i="40"/>
  <c r="FL56" i="40"/>
  <c r="FL49" i="40"/>
  <c r="FL47" i="40"/>
  <c r="FL42" i="40"/>
  <c r="FL38" i="40"/>
  <c r="FL34" i="40"/>
  <c r="FL61" i="40"/>
  <c r="FL57" i="40"/>
  <c r="FL52" i="40"/>
  <c r="FL50" i="40"/>
  <c r="FL43" i="40"/>
  <c r="FL39" i="40"/>
  <c r="FL35" i="40"/>
  <c r="FL62" i="40"/>
  <c r="FL58" i="40"/>
  <c r="FL54" i="40"/>
  <c r="FL48" i="40"/>
  <c r="FL44" i="40"/>
  <c r="FL40" i="40"/>
  <c r="FL36" i="40"/>
  <c r="FL63" i="40"/>
  <c r="FL59" i="40"/>
  <c r="FL55" i="40"/>
  <c r="FL51" i="40"/>
  <c r="FL45" i="40"/>
  <c r="FL41" i="40"/>
  <c r="FL37" i="40"/>
  <c r="FL32" i="40"/>
  <c r="FL28" i="40"/>
  <c r="FL20" i="40"/>
  <c r="FL16" i="40"/>
  <c r="FL12" i="40"/>
  <c r="FL29" i="40"/>
  <c r="FL25" i="40"/>
  <c r="FL21" i="40"/>
  <c r="FL17" i="40"/>
  <c r="FL13" i="40"/>
  <c r="FL30" i="40"/>
  <c r="FL26" i="40"/>
  <c r="FL22" i="40"/>
  <c r="FL18" i="40"/>
  <c r="FL14" i="40"/>
  <c r="FL10" i="40"/>
  <c r="FL31" i="40"/>
  <c r="FL27" i="40"/>
  <c r="FL23" i="40"/>
  <c r="FL19" i="40"/>
  <c r="FL15" i="40"/>
  <c r="FL11" i="40"/>
  <c r="FL33" i="40"/>
  <c r="FM91" i="40"/>
  <c r="FM78" i="40"/>
  <c r="FM96" i="40"/>
  <c r="FM69" i="40"/>
  <c r="FM93" i="40"/>
  <c r="FM88" i="40"/>
  <c r="FM84" i="40"/>
  <c r="FM80" i="40"/>
  <c r="FM98" i="40"/>
  <c r="FM94" i="40"/>
  <c r="FM71" i="40"/>
  <c r="FM67" i="40"/>
  <c r="FM49" i="40"/>
  <c r="FM47" i="40"/>
  <c r="FM42" i="40"/>
  <c r="FM43" i="40"/>
  <c r="FM39" i="40"/>
  <c r="FM35" i="40"/>
  <c r="FM62" i="40"/>
  <c r="FM58" i="40"/>
  <c r="FM54" i="40"/>
  <c r="FM59" i="40"/>
  <c r="FM37" i="40"/>
  <c r="FM20" i="40"/>
  <c r="FM16" i="40"/>
  <c r="FM29" i="40"/>
  <c r="FM25" i="40"/>
  <c r="FM21" i="40"/>
  <c r="FM17" i="40"/>
  <c r="FM13" i="40"/>
  <c r="FM23" i="40"/>
  <c r="FM19" i="40"/>
  <c r="FM15" i="40"/>
  <c r="FM11" i="40"/>
  <c r="FM33" i="40"/>
  <c r="GC60" i="40"/>
  <c r="GB96" i="40"/>
  <c r="GB92" i="40"/>
  <c r="GB87" i="40"/>
  <c r="GB69" i="40"/>
  <c r="GB65" i="40"/>
  <c r="GB97" i="40"/>
  <c r="GB93" i="40"/>
  <c r="GB88" i="40"/>
  <c r="GB84" i="40"/>
  <c r="GB80" i="40"/>
  <c r="GB75" i="40"/>
  <c r="GB70" i="40"/>
  <c r="GB94" i="40"/>
  <c r="GB90" i="40"/>
  <c r="GB85" i="40"/>
  <c r="GB81" i="40"/>
  <c r="GB77" i="40"/>
  <c r="GB71" i="40"/>
  <c r="GB67" i="40"/>
  <c r="GB95" i="40"/>
  <c r="GB91" i="40"/>
  <c r="GB86" i="40"/>
  <c r="GB82" i="40"/>
  <c r="GB78" i="40"/>
  <c r="GB73" i="40"/>
  <c r="GB68" i="40"/>
  <c r="GB61" i="40"/>
  <c r="GB57" i="40"/>
  <c r="GB52" i="40"/>
  <c r="GB50" i="40"/>
  <c r="GB43" i="40"/>
  <c r="GB39" i="40"/>
  <c r="GB35" i="40"/>
  <c r="GB62" i="40"/>
  <c r="GB58" i="40"/>
  <c r="GB54" i="40"/>
  <c r="GB48" i="40"/>
  <c r="GB44" i="40"/>
  <c r="GB40" i="40"/>
  <c r="GB36" i="40"/>
  <c r="GB32" i="40"/>
  <c r="GB63" i="40"/>
  <c r="GB59" i="40"/>
  <c r="GB55" i="40"/>
  <c r="GB51" i="40"/>
  <c r="GB45" i="40"/>
  <c r="GB41" i="40"/>
  <c r="GB37" i="40"/>
  <c r="GB33" i="40"/>
  <c r="GB64" i="40"/>
  <c r="GB60" i="40"/>
  <c r="GB56" i="40"/>
  <c r="GB49" i="40"/>
  <c r="GB47" i="40"/>
  <c r="GB42" i="40"/>
  <c r="GB38" i="40"/>
  <c r="GB29" i="40"/>
  <c r="GB25" i="40"/>
  <c r="GB21" i="40"/>
  <c r="GB17" i="40"/>
  <c r="GB13" i="40"/>
  <c r="GB30" i="40"/>
  <c r="GB26" i="40"/>
  <c r="GB34" i="40"/>
  <c r="GB22" i="40"/>
  <c r="GB18" i="40"/>
  <c r="GB14" i="40"/>
  <c r="GB10" i="40"/>
  <c r="GB31" i="40"/>
  <c r="GB27" i="40"/>
  <c r="GB23" i="40"/>
  <c r="GB19" i="40"/>
  <c r="GB15" i="40"/>
  <c r="GB11" i="40"/>
  <c r="GB28" i="40"/>
  <c r="GB20" i="40"/>
  <c r="GB16" i="40"/>
  <c r="GB12" i="40"/>
  <c r="GD90" i="40"/>
  <c r="GD60" i="40"/>
  <c r="FP96" i="40"/>
  <c r="FP92" i="40"/>
  <c r="FP69" i="40"/>
  <c r="FP97" i="40"/>
  <c r="FP93" i="40"/>
  <c r="FP88" i="40"/>
  <c r="FP84" i="40"/>
  <c r="FP80" i="40"/>
  <c r="FP75" i="40"/>
  <c r="FP90" i="40"/>
  <c r="FP85" i="40"/>
  <c r="FP81" i="40"/>
  <c r="FP77" i="40"/>
  <c r="FP71" i="40"/>
  <c r="FP67" i="40"/>
  <c r="FP95" i="40"/>
  <c r="FP91" i="40"/>
  <c r="FP73" i="40"/>
  <c r="FP68" i="40"/>
  <c r="FP61" i="40"/>
  <c r="FP57" i="40"/>
  <c r="FP52" i="40"/>
  <c r="FP50" i="40"/>
  <c r="FP43" i="40"/>
  <c r="FP39" i="40"/>
  <c r="FP35" i="40"/>
  <c r="FP48" i="40"/>
  <c r="FP44" i="40"/>
  <c r="FP40" i="40"/>
  <c r="FP36" i="40"/>
  <c r="FP63" i="40"/>
  <c r="FP59" i="40"/>
  <c r="FP55" i="40"/>
  <c r="FP51" i="40"/>
  <c r="FP45" i="40"/>
  <c r="FP64" i="40"/>
  <c r="FP60" i="40"/>
  <c r="FP56" i="40"/>
  <c r="FP49" i="40"/>
  <c r="FP47" i="40"/>
  <c r="FP42" i="40"/>
  <c r="FP38" i="40"/>
  <c r="FP34" i="40"/>
  <c r="FP21" i="40"/>
  <c r="FP26" i="40"/>
  <c r="FP22" i="40"/>
  <c r="FP18" i="40"/>
  <c r="FP14" i="40"/>
  <c r="FP10" i="40"/>
  <c r="FP31" i="40"/>
  <c r="FP27" i="40"/>
  <c r="FP23" i="40"/>
  <c r="FP19" i="40"/>
  <c r="FP28" i="40"/>
  <c r="FP20" i="40"/>
  <c r="FP16" i="40"/>
  <c r="FP12" i="40"/>
  <c r="FP29" i="40"/>
  <c r="FP25" i="40"/>
  <c r="FV37" i="40"/>
  <c r="FV44" i="40"/>
  <c r="FV23" i="40"/>
  <c r="FQ91" i="40"/>
  <c r="FQ36" i="40"/>
  <c r="FQ50" i="40"/>
  <c r="FQ25" i="40"/>
  <c r="FZ73" i="40"/>
  <c r="FZ68" i="40"/>
  <c r="FZ26" i="40"/>
  <c r="FZ22" i="40"/>
  <c r="FH98" i="40"/>
  <c r="FH94" i="40"/>
  <c r="FH90" i="40"/>
  <c r="FH85" i="40"/>
  <c r="FH81" i="40"/>
  <c r="FH77" i="40"/>
  <c r="FH71" i="40"/>
  <c r="FH67" i="40"/>
  <c r="FH95" i="40"/>
  <c r="FH91" i="40"/>
  <c r="FH86" i="40"/>
  <c r="FH82" i="40"/>
  <c r="FH78" i="40"/>
  <c r="FH73" i="40"/>
  <c r="FH68" i="40"/>
  <c r="FH96" i="40"/>
  <c r="FH92" i="40"/>
  <c r="FH87" i="40"/>
  <c r="FH83" i="40"/>
  <c r="FH79" i="40"/>
  <c r="FH74" i="40"/>
  <c r="FH69" i="40"/>
  <c r="FH97" i="40"/>
  <c r="FH93" i="40"/>
  <c r="FH88" i="40"/>
  <c r="FH84" i="40"/>
  <c r="FH80" i="40"/>
  <c r="FH75" i="40"/>
  <c r="FH70" i="40"/>
  <c r="FH66" i="40"/>
  <c r="FH63" i="40"/>
  <c r="FH59" i="40"/>
  <c r="FH55" i="40"/>
  <c r="FH51" i="40"/>
  <c r="FH45" i="40"/>
  <c r="FH41" i="40"/>
  <c r="FH37" i="40"/>
  <c r="FH33" i="40"/>
  <c r="FH64" i="40"/>
  <c r="FH60" i="40"/>
  <c r="FH56" i="40"/>
  <c r="FH49" i="40"/>
  <c r="FH47" i="40"/>
  <c r="FH42" i="40"/>
  <c r="FH38" i="40"/>
  <c r="FH34" i="40"/>
  <c r="FH65" i="40"/>
  <c r="FH61" i="40"/>
  <c r="FH57" i="40"/>
  <c r="FH52" i="40"/>
  <c r="FH50" i="40"/>
  <c r="FH43" i="40"/>
  <c r="FH39" i="40"/>
  <c r="FH35" i="40"/>
  <c r="FH62" i="40"/>
  <c r="FH58" i="40"/>
  <c r="FH54" i="40"/>
  <c r="FH48" i="40"/>
  <c r="FH44" i="40"/>
  <c r="FH40" i="40"/>
  <c r="FH36" i="40"/>
  <c r="FH31" i="40"/>
  <c r="FH27" i="40"/>
  <c r="FH23" i="40"/>
  <c r="FH19" i="40"/>
  <c r="FH15" i="40"/>
  <c r="FH11" i="40"/>
  <c r="FH32" i="40"/>
  <c r="FH28" i="40"/>
  <c r="FH20" i="40"/>
  <c r="FH16" i="40"/>
  <c r="FH12" i="40"/>
  <c r="FH29" i="40"/>
  <c r="FH25" i="40"/>
  <c r="FH21" i="40"/>
  <c r="FH17" i="40"/>
  <c r="FH13" i="40"/>
  <c r="FH30" i="40"/>
  <c r="FH26" i="40"/>
  <c r="FH22" i="40"/>
  <c r="FH18" i="40"/>
  <c r="FH14" i="40"/>
  <c r="FH10" i="40"/>
  <c r="GA107" i="40"/>
  <c r="FM51" i="32"/>
  <c r="FM49" i="32"/>
  <c r="FM52" i="32"/>
  <c r="FM47" i="32"/>
  <c r="FM50" i="32"/>
  <c r="FM48" i="32"/>
  <c r="GC50" i="32"/>
  <c r="GC48" i="32"/>
  <c r="GC51" i="32"/>
  <c r="GC49" i="32"/>
  <c r="GC52" i="32"/>
  <c r="GC47" i="32"/>
  <c r="FN49" i="32"/>
  <c r="FN52" i="32"/>
  <c r="FN47" i="32"/>
  <c r="FN50" i="32"/>
  <c r="FN48" i="32"/>
  <c r="FN51" i="32"/>
  <c r="FO52" i="32"/>
  <c r="FO47" i="32"/>
  <c r="FO50" i="32"/>
  <c r="FO48" i="32"/>
  <c r="FO51" i="32"/>
  <c r="FO49" i="32"/>
  <c r="GE47" i="32"/>
  <c r="GE50" i="32"/>
  <c r="GE51" i="32"/>
  <c r="GE48" i="32"/>
  <c r="GE49" i="32"/>
  <c r="GE52" i="32"/>
  <c r="FV47" i="32"/>
  <c r="FV52" i="32"/>
  <c r="FV50" i="32"/>
  <c r="FV48" i="32"/>
  <c r="FV51" i="32"/>
  <c r="FV49" i="32"/>
  <c r="FX48" i="32"/>
  <c r="FX51" i="32"/>
  <c r="FX49" i="32"/>
  <c r="FX52" i="32"/>
  <c r="FX47" i="32"/>
  <c r="FX50" i="32"/>
  <c r="FY51" i="32"/>
  <c r="FY49" i="32"/>
  <c r="FY52" i="32"/>
  <c r="FY47" i="32"/>
  <c r="FY50" i="32"/>
  <c r="FY48" i="32"/>
  <c r="FW50" i="32"/>
  <c r="FW48" i="32"/>
  <c r="FW51" i="32"/>
  <c r="FW49" i="32"/>
  <c r="FW52" i="32"/>
  <c r="FW47" i="32"/>
  <c r="FI47" i="32"/>
  <c r="FI50" i="32"/>
  <c r="FI48" i="32"/>
  <c r="FI51" i="32"/>
  <c r="FI52" i="32"/>
  <c r="FI49" i="32"/>
  <c r="GD50" i="32"/>
  <c r="GD47" i="32"/>
  <c r="GD48" i="32"/>
  <c r="GD51" i="32"/>
  <c r="GD49" i="32"/>
  <c r="GD52" i="32"/>
  <c r="FR50" i="32"/>
  <c r="FR47" i="32"/>
  <c r="FR48" i="32"/>
  <c r="FR51" i="32"/>
  <c r="FR49" i="32"/>
  <c r="FR52" i="32"/>
  <c r="FS47" i="32"/>
  <c r="FS50" i="32"/>
  <c r="FS51" i="32"/>
  <c r="FS49" i="32"/>
  <c r="FS52" i="32"/>
  <c r="FS48" i="32"/>
  <c r="FX75" i="40"/>
  <c r="GF75" i="32"/>
  <c r="EW73" i="32"/>
  <c r="EU75" i="32"/>
  <c r="EV74" i="32"/>
  <c r="DZ75" i="32"/>
  <c r="FK75" i="32"/>
  <c r="EW75" i="32"/>
  <c r="EV73" i="32"/>
  <c r="EW74" i="32"/>
  <c r="FX74" i="40"/>
  <c r="GF74" i="32"/>
  <c r="GH73" i="32"/>
  <c r="GH100" i="32" s="1"/>
  <c r="GG73" i="32"/>
  <c r="EU74" i="32"/>
  <c r="DZ74" i="32"/>
  <c r="FL73" i="32"/>
  <c r="EA75" i="32"/>
  <c r="FL75" i="32"/>
  <c r="EV75" i="32"/>
  <c r="GG75" i="32"/>
  <c r="EA73" i="32"/>
  <c r="EU73" i="32"/>
  <c r="FX73" i="40"/>
  <c r="GF73" i="32"/>
  <c r="FK73" i="32"/>
  <c r="DZ73" i="32"/>
  <c r="EA74" i="32"/>
  <c r="FY74" i="32"/>
  <c r="FY73" i="32"/>
  <c r="FY75" i="32"/>
  <c r="FR74" i="32"/>
  <c r="FR73" i="32"/>
  <c r="FR75" i="32"/>
  <c r="FQ75" i="32"/>
  <c r="FQ74" i="32"/>
  <c r="FQ73" i="32"/>
  <c r="FS75" i="32"/>
  <c r="FS73" i="32"/>
  <c r="FS74" i="32"/>
  <c r="FV74" i="32"/>
  <c r="FV73" i="32"/>
  <c r="FV75" i="32"/>
  <c r="FW73" i="32"/>
  <c r="FW74" i="32"/>
  <c r="FW75" i="32"/>
  <c r="FX74" i="32"/>
  <c r="FX73" i="32"/>
  <c r="FX75" i="32"/>
  <c r="FI75" i="32"/>
  <c r="FI73" i="32"/>
  <c r="FI74" i="32"/>
  <c r="FM74" i="32"/>
  <c r="FM73" i="32"/>
  <c r="FM75" i="32"/>
  <c r="GC73" i="32"/>
  <c r="GC75" i="32"/>
  <c r="GC74" i="32"/>
  <c r="FN74" i="32"/>
  <c r="FN73" i="32"/>
  <c r="FN75" i="32"/>
  <c r="GD74" i="32"/>
  <c r="GD73" i="32"/>
  <c r="GD75" i="32"/>
  <c r="FO74" i="32"/>
  <c r="FO75" i="32"/>
  <c r="FO73" i="32"/>
  <c r="GE74" i="32"/>
  <c r="GE75" i="32"/>
  <c r="GE73" i="32"/>
  <c r="DP107" i="40"/>
  <c r="DP94" i="40" s="1"/>
  <c r="DR229" i="49"/>
  <c r="FC229" i="49" s="1"/>
  <c r="FQ71" i="32"/>
  <c r="FQ63" i="32"/>
  <c r="FQ70" i="32"/>
  <c r="FQ69" i="32"/>
  <c r="FQ68" i="32"/>
  <c r="FQ67" i="32"/>
  <c r="FQ66" i="32"/>
  <c r="FQ65" i="32"/>
  <c r="FQ98" i="32"/>
  <c r="FQ97" i="32"/>
  <c r="FQ96" i="32"/>
  <c r="FQ95" i="32"/>
  <c r="FQ94" i="32"/>
  <c r="FQ93" i="32"/>
  <c r="FQ92" i="32"/>
  <c r="FQ91" i="32"/>
  <c r="FQ90" i="32"/>
  <c r="FQ87" i="32"/>
  <c r="FQ80" i="32"/>
  <c r="FQ59" i="32"/>
  <c r="FQ86" i="32"/>
  <c r="FQ64" i="32"/>
  <c r="FQ88" i="32"/>
  <c r="FQ85" i="32"/>
  <c r="FQ84" i="32"/>
  <c r="FQ83" i="32"/>
  <c r="FQ62" i="32"/>
  <c r="FQ54" i="32"/>
  <c r="FQ61" i="32"/>
  <c r="FQ60" i="32"/>
  <c r="FQ79" i="32"/>
  <c r="FQ82" i="32"/>
  <c r="FQ78" i="32"/>
  <c r="FQ45" i="32"/>
  <c r="FQ44" i="32"/>
  <c r="FQ43" i="32"/>
  <c r="FQ77" i="32"/>
  <c r="FQ42" i="32"/>
  <c r="FQ56" i="32"/>
  <c r="FQ41" i="32"/>
  <c r="FQ40" i="32"/>
  <c r="FQ55" i="32"/>
  <c r="FQ81" i="32"/>
  <c r="FQ58" i="32"/>
  <c r="FQ57" i="32"/>
  <c r="FQ37" i="32"/>
  <c r="FQ36" i="32"/>
  <c r="FQ38" i="32"/>
  <c r="FQ17" i="32"/>
  <c r="FQ34" i="32"/>
  <c r="FQ39" i="32"/>
  <c r="FQ35" i="32"/>
  <c r="FQ18" i="32"/>
  <c r="FQ19" i="32"/>
  <c r="FQ20" i="32"/>
  <c r="FQ16" i="32"/>
  <c r="FQ15" i="32"/>
  <c r="FQ14" i="32"/>
  <c r="FQ21" i="32"/>
  <c r="FQ13" i="32"/>
  <c r="FQ12" i="32"/>
  <c r="FQ22" i="32"/>
  <c r="FQ11" i="32"/>
  <c r="FQ10" i="32"/>
  <c r="FQ23" i="32"/>
  <c r="FO98" i="32"/>
  <c r="FO97" i="32"/>
  <c r="FO96" i="32"/>
  <c r="FO95" i="32"/>
  <c r="FO94" i="32"/>
  <c r="FO93" i="32"/>
  <c r="FO92" i="32"/>
  <c r="FO91" i="32"/>
  <c r="FO90" i="32"/>
  <c r="FO71" i="32"/>
  <c r="FO63" i="32"/>
  <c r="FO70" i="32"/>
  <c r="FO69" i="32"/>
  <c r="FO68" i="32"/>
  <c r="FO67" i="32"/>
  <c r="FO66" i="32"/>
  <c r="FO64" i="32"/>
  <c r="FO87" i="32"/>
  <c r="FO80" i="32"/>
  <c r="FO59" i="32"/>
  <c r="FO86" i="32"/>
  <c r="FO88" i="32"/>
  <c r="FO85" i="32"/>
  <c r="FO84" i="32"/>
  <c r="FO55" i="32"/>
  <c r="FO83" i="32"/>
  <c r="FO62" i="32"/>
  <c r="FO54" i="32"/>
  <c r="FO61" i="32"/>
  <c r="FO60" i="32"/>
  <c r="FO79" i="32"/>
  <c r="FO81" i="32"/>
  <c r="FO77" i="32"/>
  <c r="FO36" i="32"/>
  <c r="FO65" i="32"/>
  <c r="FO45" i="32"/>
  <c r="FO44" i="32"/>
  <c r="FO43" i="32"/>
  <c r="FO42" i="32"/>
  <c r="FO56" i="32"/>
  <c r="FO78" i="32"/>
  <c r="FO41" i="32"/>
  <c r="FO33" i="32"/>
  <c r="FO40" i="32"/>
  <c r="FO58" i="32"/>
  <c r="FO82" i="32"/>
  <c r="FO57" i="32"/>
  <c r="FO29" i="32"/>
  <c r="FO35" i="32"/>
  <c r="FO26" i="32"/>
  <c r="FO28" i="32"/>
  <c r="FO25" i="32"/>
  <c r="FO27" i="32"/>
  <c r="FO32" i="32"/>
  <c r="FO18" i="32"/>
  <c r="FO31" i="32"/>
  <c r="FO17" i="32"/>
  <c r="FO30" i="32"/>
  <c r="FO34" i="32"/>
  <c r="FO19" i="32"/>
  <c r="FO20" i="32"/>
  <c r="FO16" i="32"/>
  <c r="FO15" i="32"/>
  <c r="FO14" i="32"/>
  <c r="FO21" i="32"/>
  <c r="FO13" i="32"/>
  <c r="FO12" i="32"/>
  <c r="FO22" i="32"/>
  <c r="FO11" i="32"/>
  <c r="FO10" i="32"/>
  <c r="FO23" i="32"/>
  <c r="FR70" i="32"/>
  <c r="FR69" i="32"/>
  <c r="FR71" i="32"/>
  <c r="FR58" i="32"/>
  <c r="FR57" i="32"/>
  <c r="FR98" i="32"/>
  <c r="FR97" i="32"/>
  <c r="FR96" i="32"/>
  <c r="FR95" i="32"/>
  <c r="FR94" i="32"/>
  <c r="FR93" i="32"/>
  <c r="FR92" i="32"/>
  <c r="FR91" i="32"/>
  <c r="FR90" i="32"/>
  <c r="FR62" i="32"/>
  <c r="FR54" i="32"/>
  <c r="FR61" i="32"/>
  <c r="FR60" i="32"/>
  <c r="FR79" i="32"/>
  <c r="FR82" i="32"/>
  <c r="FR78" i="32"/>
  <c r="FR81" i="32"/>
  <c r="FR80" i="32"/>
  <c r="FR59" i="32"/>
  <c r="FR45" i="32"/>
  <c r="FR44" i="32"/>
  <c r="FR43" i="32"/>
  <c r="FR77" i="32"/>
  <c r="FR56" i="32"/>
  <c r="FR41" i="32"/>
  <c r="FR40" i="32"/>
  <c r="FR32" i="32"/>
  <c r="FR55" i="32"/>
  <c r="FR39" i="32"/>
  <c r="FR28" i="32"/>
  <c r="FR42" i="32"/>
  <c r="FR25" i="32"/>
  <c r="FR23" i="32"/>
  <c r="FR27" i="32"/>
  <c r="FR38" i="32"/>
  <c r="FR31" i="32"/>
  <c r="FR30" i="32"/>
  <c r="FR29" i="32"/>
  <c r="FR33" i="32"/>
  <c r="FR37" i="32"/>
  <c r="FR26" i="32"/>
  <c r="FR17" i="32"/>
  <c r="FR18" i="32"/>
  <c r="FR19" i="32"/>
  <c r="FR20" i="32"/>
  <c r="FR16" i="32"/>
  <c r="FR15" i="32"/>
  <c r="FR14" i="32"/>
  <c r="FR21" i="32"/>
  <c r="FR13" i="32"/>
  <c r="FR12" i="32"/>
  <c r="FR22" i="32"/>
  <c r="FR11" i="32"/>
  <c r="FR10" i="32"/>
  <c r="GC70" i="32"/>
  <c r="GC69" i="32"/>
  <c r="GC68" i="32"/>
  <c r="GC67" i="32"/>
  <c r="GC66" i="32"/>
  <c r="GC65" i="32"/>
  <c r="GC64" i="32"/>
  <c r="GC71" i="32"/>
  <c r="GC63" i="32"/>
  <c r="GC86" i="32"/>
  <c r="GC58" i="32"/>
  <c r="GC57" i="32"/>
  <c r="GC85" i="32"/>
  <c r="GC98" i="32"/>
  <c r="GC97" i="32"/>
  <c r="GC96" i="32"/>
  <c r="GC95" i="32"/>
  <c r="GC94" i="32"/>
  <c r="GC93" i="32"/>
  <c r="GC92" i="32"/>
  <c r="GC91" i="32"/>
  <c r="GC90" i="32"/>
  <c r="GC84" i="32"/>
  <c r="GC83" i="32"/>
  <c r="GC54" i="32"/>
  <c r="GC88" i="32"/>
  <c r="GC79" i="32"/>
  <c r="GC78" i="32"/>
  <c r="GC87" i="32"/>
  <c r="GC59" i="32"/>
  <c r="GC55" i="32"/>
  <c r="GC45" i="32"/>
  <c r="GC44" i="32"/>
  <c r="GC43" i="32"/>
  <c r="GC35" i="32"/>
  <c r="GC77" i="32"/>
  <c r="GC41" i="32"/>
  <c r="GC40" i="32"/>
  <c r="GC32" i="32"/>
  <c r="GC39" i="32"/>
  <c r="GC56" i="32"/>
  <c r="GC36" i="32"/>
  <c r="GC28" i="32"/>
  <c r="GC25" i="32"/>
  <c r="GC23" i="32"/>
  <c r="GC37" i="32"/>
  <c r="GC27" i="32"/>
  <c r="GC31" i="32"/>
  <c r="GC30" i="32"/>
  <c r="GC29" i="32"/>
  <c r="GC38" i="32"/>
  <c r="GC42" i="32"/>
  <c r="GC34" i="32"/>
  <c r="GC33" i="32"/>
  <c r="GC26" i="32"/>
  <c r="GC17" i="32"/>
  <c r="GC16" i="32"/>
  <c r="GC15" i="32"/>
  <c r="GC14" i="32"/>
  <c r="GC18" i="32"/>
  <c r="GC13" i="32"/>
  <c r="GC19" i="32"/>
  <c r="GC12" i="32"/>
  <c r="GC11" i="32"/>
  <c r="GC20" i="32"/>
  <c r="GC10" i="32"/>
  <c r="GC21" i="32"/>
  <c r="GC22" i="32"/>
  <c r="FV69" i="32"/>
  <c r="FV68" i="32"/>
  <c r="FV67" i="32"/>
  <c r="FV66" i="32"/>
  <c r="FV65" i="32"/>
  <c r="FV64" i="32"/>
  <c r="FV98" i="32"/>
  <c r="FV97" i="32"/>
  <c r="FV96" i="32"/>
  <c r="FV95" i="32"/>
  <c r="FV94" i="32"/>
  <c r="FV93" i="32"/>
  <c r="FV92" i="32"/>
  <c r="FV91" i="32"/>
  <c r="FV90" i="32"/>
  <c r="FV71" i="32"/>
  <c r="FV63" i="32"/>
  <c r="FV85" i="32"/>
  <c r="FV56" i="32"/>
  <c r="FV88" i="32"/>
  <c r="FV84" i="32"/>
  <c r="FV70" i="32"/>
  <c r="FV83" i="32"/>
  <c r="FV62" i="32"/>
  <c r="FV61" i="32"/>
  <c r="FV60" i="32"/>
  <c r="FV82" i="32"/>
  <c r="FV78" i="32"/>
  <c r="FV81" i="32"/>
  <c r="FV87" i="32"/>
  <c r="FV80" i="32"/>
  <c r="FV59" i="32"/>
  <c r="FV40" i="32"/>
  <c r="FV55" i="32"/>
  <c r="FV39" i="32"/>
  <c r="FV31" i="32"/>
  <c r="FV38" i="32"/>
  <c r="FV30" i="32"/>
  <c r="FV54" i="32"/>
  <c r="FV79" i="32"/>
  <c r="FV57" i="32"/>
  <c r="FV45" i="32"/>
  <c r="FV44" i="32"/>
  <c r="FV43" i="32"/>
  <c r="FV35" i="32"/>
  <c r="FV27" i="32"/>
  <c r="FV86" i="32"/>
  <c r="FV77" i="32"/>
  <c r="FV42" i="32"/>
  <c r="FV34" i="32"/>
  <c r="FV28" i="32"/>
  <c r="FV41" i="32"/>
  <c r="FV32" i="32"/>
  <c r="FV29" i="32"/>
  <c r="FV33" i="32"/>
  <c r="FV58" i="32"/>
  <c r="FV37" i="32"/>
  <c r="FV36" i="32"/>
  <c r="FV26" i="32"/>
  <c r="FV25" i="32"/>
  <c r="FV23" i="32"/>
  <c r="FV22" i="32"/>
  <c r="FV21" i="32"/>
  <c r="FV20" i="32"/>
  <c r="FV19" i="32"/>
  <c r="FV16" i="32"/>
  <c r="FV15" i="32"/>
  <c r="FV14" i="32"/>
  <c r="FV13" i="32"/>
  <c r="FV12" i="32"/>
  <c r="FV11" i="32"/>
  <c r="FV10" i="32"/>
  <c r="FV17" i="32"/>
  <c r="FV18" i="32"/>
  <c r="GE69" i="32"/>
  <c r="GE68" i="32"/>
  <c r="GE67" i="32"/>
  <c r="GE66" i="32"/>
  <c r="GE65" i="32"/>
  <c r="GE64" i="32"/>
  <c r="GE98" i="32"/>
  <c r="GE97" i="32"/>
  <c r="GE96" i="32"/>
  <c r="GE95" i="32"/>
  <c r="GE94" i="32"/>
  <c r="GE93" i="32"/>
  <c r="GE92" i="32"/>
  <c r="GE91" i="32"/>
  <c r="GE90" i="32"/>
  <c r="GE71" i="32"/>
  <c r="GE63" i="32"/>
  <c r="GE85" i="32"/>
  <c r="GE56" i="32"/>
  <c r="GE84" i="32"/>
  <c r="GE70" i="32"/>
  <c r="GE83" i="32"/>
  <c r="GE88" i="32"/>
  <c r="GE78" i="32"/>
  <c r="GE87" i="32"/>
  <c r="GE59" i="32"/>
  <c r="GE54" i="32"/>
  <c r="GE79" i="32"/>
  <c r="GE77" i="32"/>
  <c r="GE58" i="32"/>
  <c r="GE40" i="32"/>
  <c r="GE57" i="32"/>
  <c r="GE39" i="32"/>
  <c r="GE31" i="32"/>
  <c r="GE38" i="32"/>
  <c r="GE30" i="32"/>
  <c r="GE86" i="32"/>
  <c r="GE55" i="32"/>
  <c r="GE45" i="32"/>
  <c r="GE44" i="32"/>
  <c r="GE43" i="32"/>
  <c r="GE35" i="32"/>
  <c r="GE27" i="32"/>
  <c r="GE42" i="32"/>
  <c r="GE34" i="32"/>
  <c r="GE41" i="32"/>
  <c r="GE36" i="32"/>
  <c r="GE28" i="32"/>
  <c r="GE32" i="32"/>
  <c r="GE29" i="32"/>
  <c r="GE33" i="32"/>
  <c r="GE26" i="32"/>
  <c r="GE25" i="32"/>
  <c r="GE23" i="32"/>
  <c r="GE22" i="32"/>
  <c r="GE21" i="32"/>
  <c r="GE37" i="32"/>
  <c r="GE20" i="32"/>
  <c r="GE19" i="32"/>
  <c r="GE17" i="32"/>
  <c r="GE16" i="32"/>
  <c r="GE15" i="32"/>
  <c r="GE14" i="32"/>
  <c r="GE18" i="32"/>
  <c r="GE13" i="32"/>
  <c r="GE12" i="32"/>
  <c r="GE11" i="32"/>
  <c r="GE10" i="32"/>
  <c r="FS69" i="32"/>
  <c r="FS68" i="32"/>
  <c r="FS67" i="32"/>
  <c r="FS66" i="32"/>
  <c r="FS65" i="32"/>
  <c r="FS98" i="32"/>
  <c r="FS97" i="32"/>
  <c r="FS96" i="32"/>
  <c r="FS95" i="32"/>
  <c r="FS94" i="32"/>
  <c r="FS93" i="32"/>
  <c r="FS92" i="32"/>
  <c r="FS91" i="32"/>
  <c r="FS90" i="32"/>
  <c r="FS70" i="32"/>
  <c r="FS88" i="32"/>
  <c r="FS85" i="32"/>
  <c r="FS64" i="32"/>
  <c r="FS84" i="32"/>
  <c r="FS71" i="32"/>
  <c r="FS83" i="32"/>
  <c r="FS62" i="32"/>
  <c r="FS61" i="32"/>
  <c r="FS60" i="32"/>
  <c r="FS79" i="32"/>
  <c r="FS82" i="32"/>
  <c r="FS78" i="32"/>
  <c r="FS63" i="32"/>
  <c r="FS81" i="32"/>
  <c r="FS86" i="32"/>
  <c r="FS58" i="32"/>
  <c r="FS57" i="32"/>
  <c r="FS77" i="32"/>
  <c r="FS42" i="32"/>
  <c r="FS87" i="32"/>
  <c r="FS56" i="32"/>
  <c r="FS41" i="32"/>
  <c r="FS55" i="32"/>
  <c r="FS39" i="32"/>
  <c r="FS31" i="32"/>
  <c r="FS80" i="32"/>
  <c r="FS38" i="32"/>
  <c r="FS45" i="32"/>
  <c r="FS44" i="32"/>
  <c r="FS43" i="32"/>
  <c r="FS27" i="32"/>
  <c r="FS28" i="32"/>
  <c r="FS32" i="32"/>
  <c r="FS30" i="32"/>
  <c r="FS29" i="32"/>
  <c r="FS54" i="32"/>
  <c r="FS33" i="32"/>
  <c r="FS37" i="32"/>
  <c r="FS59" i="32"/>
  <c r="FS40" i="32"/>
  <c r="FS26" i="32"/>
  <c r="FS25" i="32"/>
  <c r="FS23" i="32"/>
  <c r="FS22" i="32"/>
  <c r="FS21" i="32"/>
  <c r="FS18" i="32"/>
  <c r="FS19" i="32"/>
  <c r="FS20" i="32"/>
  <c r="FS16" i="32"/>
  <c r="FS15" i="32"/>
  <c r="FS14" i="32"/>
  <c r="FS13" i="32"/>
  <c r="FS12" i="32"/>
  <c r="FS11" i="32"/>
  <c r="FS10" i="32"/>
  <c r="FS17" i="32"/>
  <c r="GD69" i="32"/>
  <c r="GD68" i="32"/>
  <c r="GD67" i="32"/>
  <c r="GD66" i="32"/>
  <c r="GD65" i="32"/>
  <c r="GD98" i="32"/>
  <c r="GD97" i="32"/>
  <c r="GD96" i="32"/>
  <c r="GD95" i="32"/>
  <c r="GD94" i="32"/>
  <c r="GD93" i="32"/>
  <c r="GD92" i="32"/>
  <c r="GD91" i="32"/>
  <c r="GD90" i="32"/>
  <c r="GD70" i="32"/>
  <c r="GD88" i="32"/>
  <c r="GD85" i="32"/>
  <c r="GD84" i="32"/>
  <c r="GD71" i="32"/>
  <c r="GD83" i="32"/>
  <c r="GD63" i="32"/>
  <c r="GD79" i="32"/>
  <c r="GD78" i="32"/>
  <c r="GD64" i="32"/>
  <c r="GD86" i="32"/>
  <c r="GD58" i="32"/>
  <c r="GD57" i="32"/>
  <c r="GD87" i="32"/>
  <c r="GD42" i="32"/>
  <c r="GD54" i="32"/>
  <c r="GD77" i="32"/>
  <c r="GD41" i="32"/>
  <c r="GD59" i="32"/>
  <c r="GD39" i="32"/>
  <c r="GD31" i="32"/>
  <c r="GD38" i="32"/>
  <c r="GD56" i="32"/>
  <c r="GD55" i="32"/>
  <c r="GD45" i="32"/>
  <c r="GD44" i="32"/>
  <c r="GD43" i="32"/>
  <c r="GD35" i="32"/>
  <c r="GD27" i="32"/>
  <c r="GD37" i="32"/>
  <c r="GD36" i="32"/>
  <c r="GD40" i="32"/>
  <c r="GD28" i="32"/>
  <c r="GD32" i="32"/>
  <c r="GD30" i="32"/>
  <c r="GD29" i="32"/>
  <c r="GD34" i="32"/>
  <c r="GD33" i="32"/>
  <c r="GD26" i="32"/>
  <c r="GD25" i="32"/>
  <c r="GD23" i="32"/>
  <c r="GD22" i="32"/>
  <c r="GD21" i="32"/>
  <c r="GD17" i="32"/>
  <c r="GD16" i="32"/>
  <c r="GD15" i="32"/>
  <c r="GD14" i="32"/>
  <c r="GD18" i="32"/>
  <c r="GD13" i="32"/>
  <c r="GD19" i="32"/>
  <c r="GD12" i="32"/>
  <c r="GD11" i="32"/>
  <c r="GD20" i="32"/>
  <c r="GD10" i="32"/>
  <c r="FY55" i="32"/>
  <c r="FY62" i="32"/>
  <c r="FY61" i="32"/>
  <c r="FY60" i="32"/>
  <c r="FY82" i="32"/>
  <c r="FY78" i="32"/>
  <c r="FY81" i="32"/>
  <c r="FY80" i="32"/>
  <c r="FY56" i="32"/>
  <c r="FY54" i="32"/>
  <c r="FY79" i="32"/>
  <c r="FY77" i="32"/>
  <c r="FY34" i="32"/>
  <c r="FY36" i="32"/>
  <c r="FY35" i="32"/>
  <c r="FY16" i="32"/>
  <c r="FY15" i="32"/>
  <c r="FY14" i="32"/>
  <c r="FY23" i="32"/>
  <c r="FY21" i="32"/>
  <c r="FY22" i="32"/>
  <c r="FW67" i="32"/>
  <c r="FW66" i="32"/>
  <c r="FW65" i="32"/>
  <c r="FW64" i="32"/>
  <c r="FW98" i="32"/>
  <c r="FW97" i="32"/>
  <c r="FW96" i="32"/>
  <c r="FW95" i="32"/>
  <c r="FW94" i="32"/>
  <c r="FW93" i="32"/>
  <c r="FW92" i="32"/>
  <c r="FW91" i="32"/>
  <c r="FW90" i="32"/>
  <c r="FW71" i="32"/>
  <c r="FW63" i="32"/>
  <c r="FW70" i="32"/>
  <c r="FW68" i="32"/>
  <c r="FW88" i="32"/>
  <c r="FW83" i="32"/>
  <c r="FW62" i="32"/>
  <c r="FW69" i="32"/>
  <c r="FW61" i="32"/>
  <c r="FW60" i="32"/>
  <c r="FW82" i="32"/>
  <c r="FW81" i="32"/>
  <c r="FW77" i="32"/>
  <c r="FW87" i="32"/>
  <c r="FW80" i="32"/>
  <c r="FW59" i="32"/>
  <c r="FW86" i="32"/>
  <c r="FW58" i="32"/>
  <c r="FW57" i="32"/>
  <c r="FW84" i="32"/>
  <c r="FW55" i="32"/>
  <c r="FW56" i="32"/>
  <c r="FW40" i="32"/>
  <c r="FW78" i="32"/>
  <c r="FW54" i="32"/>
  <c r="FW79" i="32"/>
  <c r="FW37" i="32"/>
  <c r="FW29" i="32"/>
  <c r="FW36" i="32"/>
  <c r="FW45" i="32"/>
  <c r="FW44" i="32"/>
  <c r="FW43" i="32"/>
  <c r="FW85" i="32"/>
  <c r="FW42" i="32"/>
  <c r="FW41" i="32"/>
  <c r="FW33" i="32"/>
  <c r="FW32" i="32"/>
  <c r="FW31" i="32"/>
  <c r="FW38" i="32"/>
  <c r="FW30" i="32"/>
  <c r="FW34" i="32"/>
  <c r="FW26" i="32"/>
  <c r="FW39" i="32"/>
  <c r="FW25" i="32"/>
  <c r="FW35" i="32"/>
  <c r="FW28" i="32"/>
  <c r="FW18" i="32"/>
  <c r="FW27" i="32"/>
  <c r="FW17" i="32"/>
  <c r="FW19" i="32"/>
  <c r="FW16" i="32"/>
  <c r="FW15" i="32"/>
  <c r="FW14" i="32"/>
  <c r="FW13" i="32"/>
  <c r="FW20" i="32"/>
  <c r="FW12" i="32"/>
  <c r="FW21" i="32"/>
  <c r="FW11" i="32"/>
  <c r="FW10" i="32"/>
  <c r="FW22" i="32"/>
  <c r="FW23" i="32"/>
  <c r="DQ98" i="32"/>
  <c r="DQ97" i="32"/>
  <c r="DQ96" i="32"/>
  <c r="DQ95" i="32"/>
  <c r="DQ94" i="32"/>
  <c r="DQ93" i="32"/>
  <c r="DQ92" i="32"/>
  <c r="DQ91" i="32"/>
  <c r="DQ90" i="32"/>
  <c r="DQ62" i="32"/>
  <c r="DQ61" i="32"/>
  <c r="DQ60" i="32"/>
  <c r="DQ59" i="32"/>
  <c r="DQ58" i="32"/>
  <c r="DQ57" i="32"/>
  <c r="DQ45" i="32"/>
  <c r="DQ44" i="32"/>
  <c r="DQ43" i="32"/>
  <c r="FZ66" i="32"/>
  <c r="FZ65" i="32"/>
  <c r="FZ64" i="32"/>
  <c r="FZ98" i="32"/>
  <c r="FZ97" i="32"/>
  <c r="FZ96" i="32"/>
  <c r="FZ95" i="32"/>
  <c r="FZ94" i="32"/>
  <c r="FZ93" i="32"/>
  <c r="FZ92" i="32"/>
  <c r="FZ91" i="32"/>
  <c r="FZ90" i="32"/>
  <c r="FZ71" i="32"/>
  <c r="FZ63" i="32"/>
  <c r="FZ70" i="32"/>
  <c r="FZ69" i="32"/>
  <c r="FZ68" i="32"/>
  <c r="FZ67" i="32"/>
  <c r="FZ61" i="32"/>
  <c r="FZ60" i="32"/>
  <c r="FZ82" i="32"/>
  <c r="FZ81" i="32"/>
  <c r="FZ87" i="32"/>
  <c r="FZ80" i="32"/>
  <c r="FZ59" i="32"/>
  <c r="FZ86" i="32"/>
  <c r="FZ58" i="32"/>
  <c r="FZ57" i="32"/>
  <c r="FZ85" i="32"/>
  <c r="FZ84" i="32"/>
  <c r="FZ83" i="32"/>
  <c r="FZ62" i="32"/>
  <c r="FZ39" i="32"/>
  <c r="FZ88" i="32"/>
  <c r="FZ36" i="32"/>
  <c r="FZ28" i="32"/>
  <c r="FZ45" i="32"/>
  <c r="FZ44" i="32"/>
  <c r="FZ43" i="32"/>
  <c r="FZ35" i="32"/>
  <c r="FZ41" i="32"/>
  <c r="FZ40" i="32"/>
  <c r="FZ32" i="32"/>
  <c r="FZ38" i="32"/>
  <c r="FZ30" i="32"/>
  <c r="FZ29" i="32"/>
  <c r="FZ34" i="32"/>
  <c r="FZ33" i="32"/>
  <c r="FZ37" i="32"/>
  <c r="FZ26" i="32"/>
  <c r="FZ25" i="32"/>
  <c r="FZ23" i="32"/>
  <c r="FZ27" i="32"/>
  <c r="FZ42" i="32"/>
  <c r="FZ31" i="32"/>
  <c r="FZ20" i="32"/>
  <c r="FZ12" i="32"/>
  <c r="FZ21" i="32"/>
  <c r="FZ11" i="32"/>
  <c r="FZ10" i="32"/>
  <c r="FZ22" i="32"/>
  <c r="FZ17" i="32"/>
  <c r="FZ18" i="32"/>
  <c r="FZ19" i="32"/>
  <c r="FZ16" i="32"/>
  <c r="FZ15" i="32"/>
  <c r="FZ14" i="32"/>
  <c r="FZ13" i="32"/>
  <c r="FX67" i="32"/>
  <c r="FX66" i="32"/>
  <c r="FX65" i="32"/>
  <c r="FX64" i="32"/>
  <c r="FX98" i="32"/>
  <c r="FX97" i="32"/>
  <c r="FX96" i="32"/>
  <c r="FX95" i="32"/>
  <c r="FX94" i="32"/>
  <c r="FX93" i="32"/>
  <c r="FX92" i="32"/>
  <c r="FX91" i="32"/>
  <c r="FX90" i="32"/>
  <c r="FX71" i="32"/>
  <c r="FX63" i="32"/>
  <c r="FX70" i="32"/>
  <c r="FX69" i="32"/>
  <c r="FX83" i="32"/>
  <c r="FX62" i="32"/>
  <c r="FX54" i="32"/>
  <c r="FX68" i="32"/>
  <c r="FX61" i="32"/>
  <c r="FX60" i="32"/>
  <c r="FX82" i="32"/>
  <c r="FX81" i="32"/>
  <c r="FX87" i="32"/>
  <c r="FX80" i="32"/>
  <c r="FX59" i="32"/>
  <c r="FX86" i="32"/>
  <c r="FX58" i="32"/>
  <c r="FX57" i="32"/>
  <c r="FX85" i="32"/>
  <c r="FX56" i="32"/>
  <c r="FX88" i="32"/>
  <c r="FX55" i="32"/>
  <c r="FX78" i="32"/>
  <c r="FX79" i="32"/>
  <c r="FX37" i="32"/>
  <c r="FX29" i="32"/>
  <c r="FX36" i="32"/>
  <c r="FX28" i="32"/>
  <c r="FX42" i="32"/>
  <c r="FX77" i="32"/>
  <c r="FX41" i="32"/>
  <c r="FX33" i="32"/>
  <c r="FX40" i="32"/>
  <c r="FX32" i="32"/>
  <c r="FX45" i="32"/>
  <c r="FX31" i="32"/>
  <c r="FX84" i="32"/>
  <c r="FX38" i="32"/>
  <c r="FX30" i="32"/>
  <c r="FX34" i="32"/>
  <c r="FX26" i="32"/>
  <c r="FX39" i="32"/>
  <c r="FX25" i="32"/>
  <c r="FX35" i="32"/>
  <c r="FX43" i="32"/>
  <c r="FX27" i="32"/>
  <c r="FX17" i="32"/>
  <c r="FX44" i="32"/>
  <c r="FX13" i="32"/>
  <c r="FX20" i="32"/>
  <c r="FX12" i="32"/>
  <c r="FX21" i="32"/>
  <c r="FX11" i="32"/>
  <c r="FX10" i="32"/>
  <c r="FX22" i="32"/>
  <c r="FX23" i="32"/>
  <c r="FX18" i="32"/>
  <c r="FX19" i="32"/>
  <c r="FX16" i="32"/>
  <c r="FX15" i="32"/>
  <c r="FX14" i="32"/>
  <c r="FI65" i="32"/>
  <c r="FI98" i="32"/>
  <c r="FI97" i="32"/>
  <c r="FI96" i="32"/>
  <c r="FI95" i="32"/>
  <c r="FI94" i="32"/>
  <c r="FI93" i="32"/>
  <c r="FI92" i="32"/>
  <c r="FI91" i="32"/>
  <c r="FI90" i="32"/>
  <c r="FI71" i="32"/>
  <c r="FI63" i="32"/>
  <c r="FI70" i="32"/>
  <c r="FI69" i="32"/>
  <c r="FI68" i="32"/>
  <c r="FI66" i="32"/>
  <c r="FI67" i="32"/>
  <c r="FI82" i="32"/>
  <c r="FI81" i="32"/>
  <c r="FI64" i="32"/>
  <c r="FI87" i="32"/>
  <c r="FI80" i="32"/>
  <c r="FI88" i="32"/>
  <c r="FI86" i="32"/>
  <c r="FI58" i="32"/>
  <c r="FI57" i="32"/>
  <c r="FI85" i="32"/>
  <c r="FI56" i="32"/>
  <c r="FI84" i="32"/>
  <c r="FI55" i="32"/>
  <c r="FI61" i="32"/>
  <c r="FI60" i="32"/>
  <c r="FI79" i="32"/>
  <c r="FI38" i="32"/>
  <c r="FI62" i="32"/>
  <c r="FI78" i="32"/>
  <c r="FI77" i="32"/>
  <c r="FI45" i="32"/>
  <c r="FI44" i="32"/>
  <c r="FI43" i="32"/>
  <c r="FI35" i="32"/>
  <c r="FI27" i="32"/>
  <c r="FI42" i="32"/>
  <c r="FI54" i="32"/>
  <c r="FI41" i="32"/>
  <c r="FI59" i="32"/>
  <c r="FI39" i="32"/>
  <c r="FI31" i="32"/>
  <c r="FI26" i="32"/>
  <c r="FI28" i="32"/>
  <c r="FI25" i="32"/>
  <c r="FI23" i="32"/>
  <c r="FI22" i="32"/>
  <c r="FI21" i="32"/>
  <c r="FI32" i="32"/>
  <c r="FI30" i="32"/>
  <c r="FI29" i="32"/>
  <c r="FI83" i="32"/>
  <c r="FI37" i="32"/>
  <c r="FI34" i="32"/>
  <c r="FI33" i="32"/>
  <c r="FI40" i="32"/>
  <c r="FI36" i="32"/>
  <c r="FI16" i="32"/>
  <c r="FI15" i="32"/>
  <c r="FI14" i="32"/>
  <c r="GA65" i="32"/>
  <c r="GA98" i="32"/>
  <c r="GA97" i="32"/>
  <c r="GA96" i="32"/>
  <c r="GA95" i="32"/>
  <c r="GA94" i="32"/>
  <c r="GA93" i="32"/>
  <c r="GA92" i="32"/>
  <c r="GA91" i="32"/>
  <c r="GA90" i="32"/>
  <c r="GA71" i="32"/>
  <c r="GA63" i="32"/>
  <c r="GA70" i="32"/>
  <c r="GA69" i="32"/>
  <c r="GA68" i="32"/>
  <c r="GA66" i="32"/>
  <c r="GA67" i="32"/>
  <c r="GA64" i="32"/>
  <c r="GA82" i="32"/>
  <c r="GA81" i="32"/>
  <c r="GA87" i="32"/>
  <c r="GA80" i="32"/>
  <c r="GA86" i="32"/>
  <c r="GA58" i="32"/>
  <c r="GA57" i="32"/>
  <c r="GA85" i="32"/>
  <c r="GA84" i="32"/>
  <c r="GA88" i="32"/>
  <c r="GA61" i="32"/>
  <c r="GA60" i="32"/>
  <c r="GA38" i="32"/>
  <c r="GA62" i="32"/>
  <c r="GA45" i="32"/>
  <c r="GA44" i="32"/>
  <c r="GA43" i="32"/>
  <c r="GA35" i="32"/>
  <c r="GA27" i="32"/>
  <c r="GA83" i="32"/>
  <c r="GA59" i="32"/>
  <c r="GA42" i="32"/>
  <c r="GA41" i="32"/>
  <c r="GA39" i="32"/>
  <c r="GA31" i="32"/>
  <c r="GA34" i="32"/>
  <c r="GA33" i="32"/>
  <c r="GA37" i="32"/>
  <c r="GA26" i="32"/>
  <c r="GA36" i="32"/>
  <c r="GA25" i="32"/>
  <c r="GA23" i="32"/>
  <c r="GA22" i="32"/>
  <c r="GA21" i="32"/>
  <c r="GA40" i="32"/>
  <c r="GA28" i="32"/>
  <c r="GA32" i="32"/>
  <c r="GA30" i="32"/>
  <c r="GA29" i="32"/>
  <c r="GA11" i="32"/>
  <c r="GA10" i="32"/>
  <c r="GA17" i="32"/>
  <c r="GA18" i="32"/>
  <c r="GA19" i="32"/>
  <c r="GA16" i="32"/>
  <c r="GA15" i="32"/>
  <c r="GA14" i="32"/>
  <c r="GA13" i="32"/>
  <c r="GA20" i="32"/>
  <c r="GA12" i="32"/>
  <c r="FM65" i="32"/>
  <c r="FM64" i="32"/>
  <c r="FM98" i="32"/>
  <c r="FM97" i="32"/>
  <c r="FM96" i="32"/>
  <c r="FM95" i="32"/>
  <c r="FM94" i="32"/>
  <c r="FM93" i="32"/>
  <c r="FM92" i="32"/>
  <c r="FM91" i="32"/>
  <c r="FM90" i="32"/>
  <c r="FM71" i="32"/>
  <c r="FM63" i="32"/>
  <c r="FM70" i="32"/>
  <c r="FM88" i="32"/>
  <c r="FM69" i="32"/>
  <c r="FM68" i="32"/>
  <c r="FM67" i="32"/>
  <c r="FM82" i="32"/>
  <c r="FM78" i="32"/>
  <c r="FM81" i="32"/>
  <c r="FM87" i="32"/>
  <c r="FM80" i="32"/>
  <c r="FM59" i="32"/>
  <c r="FM86" i="32"/>
  <c r="FM85" i="32"/>
  <c r="FM56" i="32"/>
  <c r="FM84" i="32"/>
  <c r="FM55" i="32"/>
  <c r="FM83" i="32"/>
  <c r="FM62" i="32"/>
  <c r="FM54" i="32"/>
  <c r="FM66" i="32"/>
  <c r="FM60" i="32"/>
  <c r="FM57" i="32"/>
  <c r="FM61" i="32"/>
  <c r="FM77" i="32"/>
  <c r="FM45" i="32"/>
  <c r="FM44" i="32"/>
  <c r="FM43" i="32"/>
  <c r="FM35" i="32"/>
  <c r="FM27" i="32"/>
  <c r="FM42" i="32"/>
  <c r="FM34" i="32"/>
  <c r="FM40" i="32"/>
  <c r="FM39" i="32"/>
  <c r="FM31" i="32"/>
  <c r="FM58" i="32"/>
  <c r="FM38" i="32"/>
  <c r="FM30" i="32"/>
  <c r="FM26" i="32"/>
  <c r="FM41" i="32"/>
  <c r="FM28" i="32"/>
  <c r="FM25" i="32"/>
  <c r="FM23" i="32"/>
  <c r="FM22" i="32"/>
  <c r="FM21" i="32"/>
  <c r="FM32" i="32"/>
  <c r="FM29" i="32"/>
  <c r="FM37" i="32"/>
  <c r="FM33" i="32"/>
  <c r="FM36" i="32"/>
  <c r="FM79" i="32"/>
  <c r="FM16" i="32"/>
  <c r="FM15" i="32"/>
  <c r="FM14" i="32"/>
  <c r="GB65" i="32"/>
  <c r="GB64" i="32"/>
  <c r="GB98" i="32"/>
  <c r="GB97" i="32"/>
  <c r="GB96" i="32"/>
  <c r="GB95" i="32"/>
  <c r="GB94" i="32"/>
  <c r="GB93" i="32"/>
  <c r="GB92" i="32"/>
  <c r="GB91" i="32"/>
  <c r="GB90" i="32"/>
  <c r="GB71" i="32"/>
  <c r="GB63" i="32"/>
  <c r="GB70" i="32"/>
  <c r="GB88" i="32"/>
  <c r="GB69" i="32"/>
  <c r="GB68" i="32"/>
  <c r="GB67" i="32"/>
  <c r="GB82" i="32"/>
  <c r="GB81" i="32"/>
  <c r="GB87" i="32"/>
  <c r="GB80" i="32"/>
  <c r="GB59" i="32"/>
  <c r="GB86" i="32"/>
  <c r="GB85" i="32"/>
  <c r="GB84" i="32"/>
  <c r="GB83" i="32"/>
  <c r="GB62" i="32"/>
  <c r="GB60" i="32"/>
  <c r="GB61" i="32"/>
  <c r="GB45" i="32"/>
  <c r="GB44" i="32"/>
  <c r="GB43" i="32"/>
  <c r="GB35" i="32"/>
  <c r="GB27" i="32"/>
  <c r="GB66" i="32"/>
  <c r="GB42" i="32"/>
  <c r="GB34" i="32"/>
  <c r="GB58" i="32"/>
  <c r="GB57" i="32"/>
  <c r="GB40" i="32"/>
  <c r="GB39" i="32"/>
  <c r="GB31" i="32"/>
  <c r="GB38" i="32"/>
  <c r="GB30" i="32"/>
  <c r="GB33" i="32"/>
  <c r="GB41" i="32"/>
  <c r="GB37" i="32"/>
  <c r="GB26" i="32"/>
  <c r="GB36" i="32"/>
  <c r="GB25" i="32"/>
  <c r="GB23" i="32"/>
  <c r="GB22" i="32"/>
  <c r="GB21" i="32"/>
  <c r="GB20" i="32"/>
  <c r="GB19" i="32"/>
  <c r="GB28" i="32"/>
  <c r="GB32" i="32"/>
  <c r="GB29" i="32"/>
  <c r="GB10" i="32"/>
  <c r="GB17" i="32"/>
  <c r="GB18" i="32"/>
  <c r="GB16" i="32"/>
  <c r="GB15" i="32"/>
  <c r="GB14" i="32"/>
  <c r="GB13" i="32"/>
  <c r="GB12" i="32"/>
  <c r="GB11" i="32"/>
  <c r="FN64" i="32"/>
  <c r="FN98" i="32"/>
  <c r="FN97" i="32"/>
  <c r="FN96" i="32"/>
  <c r="FN95" i="32"/>
  <c r="FN94" i="32"/>
  <c r="FN93" i="32"/>
  <c r="FN92" i="32"/>
  <c r="FN91" i="32"/>
  <c r="FN90" i="32"/>
  <c r="FN71" i="32"/>
  <c r="FN70" i="32"/>
  <c r="FN88" i="32"/>
  <c r="FN69" i="32"/>
  <c r="FN68" i="32"/>
  <c r="FN67" i="32"/>
  <c r="FN66" i="32"/>
  <c r="FN65" i="32"/>
  <c r="FN81" i="32"/>
  <c r="FN87" i="32"/>
  <c r="FN80" i="32"/>
  <c r="FN86" i="32"/>
  <c r="FN85" i="32"/>
  <c r="FN56" i="32"/>
  <c r="FN84" i="32"/>
  <c r="FN55" i="32"/>
  <c r="FN83" i="32"/>
  <c r="FN62" i="32"/>
  <c r="FN54" i="32"/>
  <c r="FN63" i="32"/>
  <c r="FN61" i="32"/>
  <c r="FN60" i="32"/>
  <c r="FN79" i="32"/>
  <c r="FN82" i="32"/>
  <c r="FN78" i="32"/>
  <c r="FN57" i="32"/>
  <c r="FN77" i="32"/>
  <c r="FN45" i="32"/>
  <c r="FN44" i="32"/>
  <c r="FN43" i="32"/>
  <c r="FN42" i="32"/>
  <c r="FN34" i="32"/>
  <c r="FN41" i="32"/>
  <c r="FN59" i="32"/>
  <c r="FN58" i="32"/>
  <c r="FN30" i="32"/>
  <c r="FN35" i="32"/>
  <c r="FN26" i="32"/>
  <c r="FN28" i="32"/>
  <c r="FN25" i="32"/>
  <c r="FN27" i="32"/>
  <c r="FN20" i="32"/>
  <c r="FN19" i="32"/>
  <c r="FN32" i="32"/>
  <c r="FN29" i="32"/>
  <c r="FN18" i="32"/>
  <c r="FN31" i="32"/>
  <c r="FN33" i="32"/>
  <c r="FN40" i="32"/>
  <c r="FN36" i="32"/>
  <c r="FN23" i="32"/>
  <c r="FN17" i="32"/>
  <c r="FN16" i="32"/>
  <c r="FN15" i="32"/>
  <c r="FN14" i="32"/>
  <c r="FN21" i="32"/>
  <c r="FN13" i="32"/>
  <c r="FN12" i="32"/>
  <c r="FN22" i="32"/>
  <c r="FN11" i="32"/>
  <c r="FN10" i="32"/>
  <c r="DV107" i="32"/>
  <c r="FB107" i="32"/>
  <c r="DW107" i="32"/>
  <c r="DT107" i="32"/>
  <c r="DU107" i="32"/>
  <c r="DR107" i="32"/>
  <c r="DS107" i="32"/>
  <c r="FQ29" i="40" l="1"/>
  <c r="FQ52" i="40"/>
  <c r="FQ40" i="40"/>
  <c r="FQ95" i="40"/>
  <c r="FQ20" i="40"/>
  <c r="FQ57" i="40"/>
  <c r="FQ54" i="40"/>
  <c r="FQ67" i="40"/>
  <c r="FQ28" i="40"/>
  <c r="FQ38" i="40"/>
  <c r="FQ58" i="40"/>
  <c r="FQ71" i="40"/>
  <c r="FQ32" i="40"/>
  <c r="FQ42" i="40"/>
  <c r="FQ62" i="40"/>
  <c r="FQ77" i="40"/>
  <c r="FQ11" i="40"/>
  <c r="FQ47" i="40"/>
  <c r="FQ65" i="40"/>
  <c r="FQ98" i="40"/>
  <c r="FQ23" i="40"/>
  <c r="FQ49" i="40"/>
  <c r="FQ69" i="40"/>
  <c r="FQ75" i="40"/>
  <c r="FP65" i="40"/>
  <c r="FQ10" i="40"/>
  <c r="FQ56" i="40"/>
  <c r="FQ74" i="40"/>
  <c r="FQ80" i="40"/>
  <c r="FQ14" i="40"/>
  <c r="FQ33" i="40"/>
  <c r="FQ73" i="40"/>
  <c r="FQ84" i="40"/>
  <c r="FP94" i="40"/>
  <c r="FP74" i="40"/>
  <c r="FR15" i="40"/>
  <c r="FQ18" i="40"/>
  <c r="FQ37" i="40"/>
  <c r="FQ78" i="40"/>
  <c r="FQ88" i="40"/>
  <c r="FP32" i="40"/>
  <c r="FP30" i="40"/>
  <c r="FP33" i="40"/>
  <c r="FP54" i="40"/>
  <c r="FP78" i="40"/>
  <c r="FP98" i="40"/>
  <c r="FP79" i="40"/>
  <c r="GB74" i="40"/>
  <c r="FM27" i="40"/>
  <c r="FM63" i="40"/>
  <c r="FM56" i="40"/>
  <c r="FM83" i="40"/>
  <c r="FR19" i="40"/>
  <c r="FQ22" i="40"/>
  <c r="FQ51" i="40"/>
  <c r="FQ82" i="40"/>
  <c r="FQ93" i="40"/>
  <c r="FP11" i="40"/>
  <c r="FP13" i="40"/>
  <c r="FP100" i="40" s="1"/>
  <c r="FP37" i="40"/>
  <c r="FP58" i="40"/>
  <c r="FP82" i="40"/>
  <c r="FP66" i="40"/>
  <c r="FP83" i="40"/>
  <c r="GB98" i="40"/>
  <c r="GB79" i="40"/>
  <c r="FM22" i="40"/>
  <c r="FM36" i="40"/>
  <c r="FM60" i="40"/>
  <c r="FM87" i="40"/>
  <c r="FR42" i="40"/>
  <c r="FQ26" i="40"/>
  <c r="FQ63" i="40"/>
  <c r="FQ86" i="40"/>
  <c r="FP15" i="40"/>
  <c r="FP17" i="40"/>
  <c r="FP41" i="40"/>
  <c r="FP62" i="40"/>
  <c r="FP86" i="40"/>
  <c r="FP70" i="40"/>
  <c r="GB66" i="40"/>
  <c r="FM26" i="40"/>
  <c r="FM48" i="40"/>
  <c r="FM64" i="40"/>
  <c r="GD74" i="40"/>
  <c r="FY44" i="40"/>
  <c r="GD79" i="40"/>
  <c r="GD20" i="40"/>
  <c r="GD75" i="40"/>
  <c r="GD11" i="40"/>
  <c r="GD80" i="40"/>
  <c r="GD19" i="40"/>
  <c r="GD23" i="40"/>
  <c r="GD56" i="40"/>
  <c r="GD64" i="40"/>
  <c r="GD44" i="40"/>
  <c r="GD48" i="40"/>
  <c r="FY14" i="40"/>
  <c r="FY36" i="40"/>
  <c r="FY40" i="40"/>
  <c r="FY50" i="40"/>
  <c r="FY61" i="40"/>
  <c r="FY81" i="40"/>
  <c r="GC21" i="40"/>
  <c r="FY90" i="40"/>
  <c r="FY91" i="40"/>
  <c r="FY95" i="40"/>
  <c r="FM75" i="40"/>
  <c r="FM95" i="40"/>
  <c r="FY15" i="40"/>
  <c r="FZ86" i="40"/>
  <c r="GD16" i="40"/>
  <c r="GD40" i="40"/>
  <c r="FY43" i="40"/>
  <c r="FZ20" i="40"/>
  <c r="FR60" i="40"/>
  <c r="FU43" i="40"/>
  <c r="GC61" i="40"/>
  <c r="FV51" i="40"/>
  <c r="FZ37" i="40"/>
  <c r="FR64" i="40"/>
  <c r="FV59" i="40"/>
  <c r="FU52" i="40"/>
  <c r="GD18" i="40"/>
  <c r="GD87" i="40"/>
  <c r="GC82" i="40"/>
  <c r="FY13" i="40"/>
  <c r="FY94" i="40"/>
  <c r="FZ71" i="40"/>
  <c r="FR67" i="40"/>
  <c r="FQ12" i="40"/>
  <c r="FQ30" i="40"/>
  <c r="FQ41" i="40"/>
  <c r="FQ79" i="40"/>
  <c r="FQ66" i="40"/>
  <c r="FU83" i="40"/>
  <c r="GD38" i="40"/>
  <c r="GD77" i="40"/>
  <c r="FM31" i="40"/>
  <c r="FM41" i="40"/>
  <c r="FM57" i="40"/>
  <c r="FM66" i="40"/>
  <c r="FM68" i="40"/>
  <c r="FY29" i="40"/>
  <c r="FY97" i="40"/>
  <c r="FZ54" i="40"/>
  <c r="FR95" i="40"/>
  <c r="FU88" i="40"/>
  <c r="GD50" i="40"/>
  <c r="GD67" i="40"/>
  <c r="GC86" i="40"/>
  <c r="FY25" i="40"/>
  <c r="FY70" i="40"/>
  <c r="FZ88" i="40"/>
  <c r="FQ16" i="40"/>
  <c r="FQ35" i="40"/>
  <c r="FQ45" i="40"/>
  <c r="FQ92" i="40"/>
  <c r="FQ70" i="40"/>
  <c r="FU96" i="40"/>
  <c r="GD42" i="40"/>
  <c r="FM18" i="40"/>
  <c r="FM45" i="40"/>
  <c r="FM38" i="40"/>
  <c r="FM70" i="40"/>
  <c r="FM73" i="40"/>
  <c r="FW31" i="40"/>
  <c r="FZ29" i="40"/>
  <c r="FZ65" i="40"/>
  <c r="FW29" i="40"/>
  <c r="FR43" i="40"/>
  <c r="FR81" i="40"/>
  <c r="FV48" i="40"/>
  <c r="FU49" i="40"/>
  <c r="GC58" i="40"/>
  <c r="GD95" i="40"/>
  <c r="GD36" i="40"/>
  <c r="GD43" i="40"/>
  <c r="GD12" i="40"/>
  <c r="GD91" i="40"/>
  <c r="GD63" i="40"/>
  <c r="GD39" i="40"/>
  <c r="GD17" i="40"/>
  <c r="GD97" i="40"/>
  <c r="GD68" i="40"/>
  <c r="GD59" i="40"/>
  <c r="GD35" i="40"/>
  <c r="GD13" i="40"/>
  <c r="GD84" i="40"/>
  <c r="GD92" i="40"/>
  <c r="GD33" i="40"/>
  <c r="GD22" i="40"/>
  <c r="GD93" i="40"/>
  <c r="GD96" i="40"/>
  <c r="GD55" i="40"/>
  <c r="GD26" i="40"/>
  <c r="GD85" i="40"/>
  <c r="GD69" i="40"/>
  <c r="GD47" i="40"/>
  <c r="GD15" i="40"/>
  <c r="FY96" i="40"/>
  <c r="FY77" i="40"/>
  <c r="FY63" i="40"/>
  <c r="FY10" i="40"/>
  <c r="FY92" i="40"/>
  <c r="FY67" i="40"/>
  <c r="FY55" i="40"/>
  <c r="FY33" i="40"/>
  <c r="FY87" i="40"/>
  <c r="FY42" i="40"/>
  <c r="FY51" i="40"/>
  <c r="FY31" i="40"/>
  <c r="FY69" i="40"/>
  <c r="FY34" i="40"/>
  <c r="FY12" i="40"/>
  <c r="FY19" i="40"/>
  <c r="FY83" i="40"/>
  <c r="FY38" i="40"/>
  <c r="FY45" i="40"/>
  <c r="FY23" i="40"/>
  <c r="FY66" i="40"/>
  <c r="FY39" i="40"/>
  <c r="FY17" i="40"/>
  <c r="FZ16" i="40"/>
  <c r="FZ69" i="40"/>
  <c r="FR38" i="40"/>
  <c r="FR85" i="40"/>
  <c r="FV42" i="40"/>
  <c r="FU64" i="40"/>
  <c r="GC62" i="40"/>
  <c r="FZ50" i="40"/>
  <c r="FZ91" i="40"/>
  <c r="FR51" i="40"/>
  <c r="FN68" i="40"/>
  <c r="FN44" i="40"/>
  <c r="FN60" i="40"/>
  <c r="FN11" i="40"/>
  <c r="FW80" i="40"/>
  <c r="FW64" i="40"/>
  <c r="FW43" i="40"/>
  <c r="FW59" i="40"/>
  <c r="FU84" i="40"/>
  <c r="FU27" i="40"/>
  <c r="FU80" i="40"/>
  <c r="FU23" i="40"/>
  <c r="FU66" i="40"/>
  <c r="FU11" i="40"/>
  <c r="FU90" i="40"/>
  <c r="FU33" i="40"/>
  <c r="FU25" i="40"/>
  <c r="FU94" i="40"/>
  <c r="FU37" i="40"/>
  <c r="FU29" i="40"/>
  <c r="FU68" i="40"/>
  <c r="FU50" i="40"/>
  <c r="GC79" i="40"/>
  <c r="GC54" i="40"/>
  <c r="GC15" i="40"/>
  <c r="GC65" i="40"/>
  <c r="GC40" i="40"/>
  <c r="GC20" i="40"/>
  <c r="GC70" i="40"/>
  <c r="GC45" i="40"/>
  <c r="GC98" i="40"/>
  <c r="GC37" i="40"/>
  <c r="GC66" i="40"/>
  <c r="GC41" i="40"/>
  <c r="GC78" i="40"/>
  <c r="GC13" i="40"/>
  <c r="FV91" i="40"/>
  <c r="FV38" i="40"/>
  <c r="FV14" i="40"/>
  <c r="FV86" i="40"/>
  <c r="FV34" i="40"/>
  <c r="FV10" i="40"/>
  <c r="FV73" i="40"/>
  <c r="FV52" i="40"/>
  <c r="FV74" i="40"/>
  <c r="FV54" i="40"/>
  <c r="FV55" i="40"/>
  <c r="FV12" i="40"/>
  <c r="FZ52" i="40"/>
  <c r="FR55" i="40"/>
  <c r="FV18" i="40"/>
  <c r="FV65" i="40"/>
  <c r="FU71" i="40"/>
  <c r="FN69" i="40"/>
  <c r="GC19" i="40"/>
  <c r="GC83" i="40"/>
  <c r="FZ38" i="40"/>
  <c r="FR13" i="40"/>
  <c r="FR79" i="40"/>
  <c r="FV21" i="40"/>
  <c r="FV69" i="40"/>
  <c r="FU21" i="40"/>
  <c r="FU85" i="40"/>
  <c r="GC23" i="40"/>
  <c r="GC87" i="40"/>
  <c r="FZ42" i="40"/>
  <c r="FR20" i="40"/>
  <c r="FR92" i="40"/>
  <c r="FV95" i="40"/>
  <c r="FU31" i="40"/>
  <c r="GC26" i="40"/>
  <c r="FZ18" i="40"/>
  <c r="FR11" i="40"/>
  <c r="FV16" i="40"/>
  <c r="FV94" i="40"/>
  <c r="FU62" i="40"/>
  <c r="GC17" i="40"/>
  <c r="FR97" i="40"/>
  <c r="FR74" i="40"/>
  <c r="FR39" i="40"/>
  <c r="FR84" i="40"/>
  <c r="FR44" i="40"/>
  <c r="FR30" i="40"/>
  <c r="FR80" i="40"/>
  <c r="FR40" i="40"/>
  <c r="FR18" i="40"/>
  <c r="FR90" i="40"/>
  <c r="FR36" i="40"/>
  <c r="FR14" i="40"/>
  <c r="FR68" i="40"/>
  <c r="FR56" i="40"/>
  <c r="FR16" i="40"/>
  <c r="FZ84" i="40"/>
  <c r="FZ48" i="40"/>
  <c r="FZ33" i="40"/>
  <c r="FZ94" i="40"/>
  <c r="FZ44" i="40"/>
  <c r="FZ31" i="40"/>
  <c r="FZ90" i="40"/>
  <c r="FZ32" i="40"/>
  <c r="FZ28" i="40"/>
  <c r="FZ95" i="40"/>
  <c r="FZ85" i="40"/>
  <c r="FZ63" i="40"/>
  <c r="FZ74" i="40"/>
  <c r="FZ34" i="40"/>
  <c r="FZ25" i="40"/>
  <c r="FQ27" i="40"/>
  <c r="FQ61" i="40"/>
  <c r="FQ55" i="40"/>
  <c r="FQ83" i="40"/>
  <c r="FQ81" i="40"/>
  <c r="FM28" i="40"/>
  <c r="FM30" i="40"/>
  <c r="FM51" i="40"/>
  <c r="FM50" i="40"/>
  <c r="FM77" i="40"/>
  <c r="FM74" i="40"/>
  <c r="FQ21" i="40"/>
  <c r="FQ31" i="40"/>
  <c r="FQ34" i="40"/>
  <c r="FQ59" i="40"/>
  <c r="FQ87" i="40"/>
  <c r="FQ94" i="40"/>
  <c r="FM32" i="40"/>
  <c r="FM55" i="40"/>
  <c r="FM52" i="40"/>
  <c r="FM90" i="40"/>
  <c r="FM79" i="40"/>
  <c r="FZ77" i="40"/>
  <c r="FW23" i="40"/>
  <c r="FW51" i="40"/>
  <c r="FW56" i="40"/>
  <c r="FR22" i="40"/>
  <c r="FR83" i="40"/>
  <c r="FR88" i="40"/>
  <c r="FV25" i="40"/>
  <c r="FV57" i="40"/>
  <c r="FV93" i="40"/>
  <c r="FV98" i="40"/>
  <c r="FU13" i="40"/>
  <c r="FU35" i="40"/>
  <c r="FU70" i="40"/>
  <c r="FU77" i="40"/>
  <c r="FN49" i="40"/>
  <c r="FN57" i="40"/>
  <c r="FN97" i="40"/>
  <c r="GC30" i="40"/>
  <c r="GC44" i="40"/>
  <c r="GC69" i="40"/>
  <c r="FW19" i="40"/>
  <c r="FW17" i="40"/>
  <c r="FW45" i="40"/>
  <c r="FW62" i="40"/>
  <c r="FW49" i="40"/>
  <c r="FW66" i="40"/>
  <c r="FW83" i="40"/>
  <c r="FN20" i="40"/>
  <c r="FN22" i="40"/>
  <c r="FN47" i="40"/>
  <c r="FN63" i="40"/>
  <c r="FN52" i="40"/>
  <c r="FN77" i="40"/>
  <c r="FN93" i="40"/>
  <c r="FZ10" i="40"/>
  <c r="FZ36" i="40"/>
  <c r="FZ57" i="40"/>
  <c r="FZ93" i="40"/>
  <c r="FZ78" i="40"/>
  <c r="FW21" i="40"/>
  <c r="FW35" i="40"/>
  <c r="FW70" i="40"/>
  <c r="FW87" i="40"/>
  <c r="FR28" i="40"/>
  <c r="FR47" i="40"/>
  <c r="FR59" i="40"/>
  <c r="FR71" i="40"/>
  <c r="FV27" i="40"/>
  <c r="FV36" i="40"/>
  <c r="FV41" i="40"/>
  <c r="FV78" i="40"/>
  <c r="FU15" i="40"/>
  <c r="FU56" i="40"/>
  <c r="FU87" i="40"/>
  <c r="FN28" i="40"/>
  <c r="FN26" i="40"/>
  <c r="FN36" i="40"/>
  <c r="FN81" i="40"/>
  <c r="GC28" i="40"/>
  <c r="GC64" i="40"/>
  <c r="GC68" i="40"/>
  <c r="GC90" i="40"/>
  <c r="FZ14" i="40"/>
  <c r="FZ12" i="40"/>
  <c r="FZ40" i="40"/>
  <c r="FZ61" i="40"/>
  <c r="FZ81" i="40"/>
  <c r="FZ97" i="40"/>
  <c r="FZ82" i="40"/>
  <c r="FW27" i="40"/>
  <c r="FW25" i="40"/>
  <c r="FW55" i="40"/>
  <c r="FW39" i="40"/>
  <c r="FW60" i="40"/>
  <c r="FW75" i="40"/>
  <c r="FW92" i="40"/>
  <c r="FR32" i="40"/>
  <c r="FR26" i="40"/>
  <c r="FR49" i="40"/>
  <c r="FR63" i="40"/>
  <c r="FR87" i="40"/>
  <c r="FR77" i="40"/>
  <c r="FR93" i="40"/>
  <c r="FV31" i="40"/>
  <c r="FV29" i="40"/>
  <c r="FV40" i="40"/>
  <c r="FV61" i="40"/>
  <c r="FV45" i="40"/>
  <c r="FV97" i="40"/>
  <c r="FV82" i="40"/>
  <c r="FU17" i="40"/>
  <c r="FU19" i="40"/>
  <c r="FU39" i="40"/>
  <c r="FU60" i="40"/>
  <c r="FU75" i="40"/>
  <c r="FU92" i="40"/>
  <c r="FU81" i="40"/>
  <c r="GD28" i="40"/>
  <c r="GD30" i="40"/>
  <c r="GD49" i="40"/>
  <c r="GD32" i="40"/>
  <c r="GD83" i="40"/>
  <c r="GD71" i="40"/>
  <c r="GD88" i="40"/>
  <c r="FN32" i="40"/>
  <c r="FN30" i="40"/>
  <c r="FN56" i="40"/>
  <c r="FN40" i="40"/>
  <c r="FN61" i="40"/>
  <c r="FN85" i="40"/>
  <c r="FN65" i="40"/>
  <c r="GC11" i="40"/>
  <c r="GC33" i="40"/>
  <c r="GC48" i="40"/>
  <c r="GC73" i="40"/>
  <c r="GC94" i="40"/>
  <c r="GC74" i="40"/>
  <c r="FY27" i="40"/>
  <c r="FY21" i="40"/>
  <c r="FY59" i="40"/>
  <c r="FY57" i="40"/>
  <c r="FY85" i="40"/>
  <c r="FY74" i="40"/>
  <c r="FW10" i="40"/>
  <c r="FW63" i="40"/>
  <c r="FW84" i="40"/>
  <c r="FN13" i="40"/>
  <c r="FN48" i="40"/>
  <c r="FN94" i="40"/>
  <c r="FW52" i="40"/>
  <c r="FN33" i="40"/>
  <c r="FN98" i="40"/>
  <c r="FZ11" i="40"/>
  <c r="FZ41" i="40"/>
  <c r="FZ47" i="40"/>
  <c r="FZ79" i="40"/>
  <c r="FW16" i="40"/>
  <c r="FW57" i="40"/>
  <c r="FW93" i="40"/>
  <c r="FR23" i="40"/>
  <c r="FR65" i="40"/>
  <c r="FR73" i="40"/>
  <c r="FV20" i="40"/>
  <c r="FV47" i="40"/>
  <c r="FV67" i="40"/>
  <c r="FU10" i="40"/>
  <c r="FU36" i="40"/>
  <c r="FU41" i="40"/>
  <c r="FU78" i="40"/>
  <c r="FN82" i="40"/>
  <c r="FW50" i="40"/>
  <c r="FW68" i="40"/>
  <c r="FN15" i="40"/>
  <c r="FN64" i="40"/>
  <c r="FN73" i="40"/>
  <c r="FW14" i="40"/>
  <c r="FW32" i="40"/>
  <c r="FW88" i="40"/>
  <c r="FN54" i="40"/>
  <c r="FZ30" i="40"/>
  <c r="FZ58" i="40"/>
  <c r="FZ98" i="40"/>
  <c r="FW18" i="40"/>
  <c r="FW36" i="40"/>
  <c r="FW77" i="40"/>
  <c r="FW78" i="40"/>
  <c r="FR17" i="40"/>
  <c r="FR50" i="40"/>
  <c r="FR48" i="40"/>
  <c r="FR94" i="40"/>
  <c r="FV22" i="40"/>
  <c r="FV58" i="40"/>
  <c r="FV63" i="40"/>
  <c r="FV79" i="40"/>
  <c r="FU57" i="40"/>
  <c r="FU93" i="40"/>
  <c r="FU98" i="40"/>
  <c r="FN23" i="40"/>
  <c r="FN21" i="40"/>
  <c r="FN37" i="40"/>
  <c r="FN58" i="40"/>
  <c r="FN66" i="40"/>
  <c r="FN83" i="40"/>
  <c r="GC27" i="40"/>
  <c r="GC34" i="40"/>
  <c r="GC51" i="40"/>
  <c r="GC35" i="40"/>
  <c r="GC91" i="40"/>
  <c r="GC75" i="40"/>
  <c r="GC92" i="40"/>
  <c r="FZ15" i="40"/>
  <c r="FZ45" i="40"/>
  <c r="FZ62" i="40"/>
  <c r="FZ49" i="40"/>
  <c r="FZ66" i="40"/>
  <c r="FZ83" i="40"/>
  <c r="FW22" i="40"/>
  <c r="FW20" i="40"/>
  <c r="FW40" i="40"/>
  <c r="FW61" i="40"/>
  <c r="FW81" i="40"/>
  <c r="FW97" i="40"/>
  <c r="FW82" i="40"/>
  <c r="FR21" i="40"/>
  <c r="FR27" i="40"/>
  <c r="FR52" i="40"/>
  <c r="FR33" i="40"/>
  <c r="FR54" i="40"/>
  <c r="FR78" i="40"/>
  <c r="FR98" i="40"/>
  <c r="FV26" i="40"/>
  <c r="FV28" i="40"/>
  <c r="FV62" i="40"/>
  <c r="FV49" i="40"/>
  <c r="FV66" i="40"/>
  <c r="FV83" i="40"/>
  <c r="FV71" i="40"/>
  <c r="FU14" i="40"/>
  <c r="FU12" i="40"/>
  <c r="FU40" i="40"/>
  <c r="FU61" i="40"/>
  <c r="FU45" i="40"/>
  <c r="FU97" i="40"/>
  <c r="FU82" i="40"/>
  <c r="GD21" i="40"/>
  <c r="GD27" i="40"/>
  <c r="GD52" i="40"/>
  <c r="GD37" i="40"/>
  <c r="GD54" i="40"/>
  <c r="GD73" i="40"/>
  <c r="GD94" i="40"/>
  <c r="FN27" i="40"/>
  <c r="FN25" i="40"/>
  <c r="FN41" i="40"/>
  <c r="FN62" i="40"/>
  <c r="FN86" i="40"/>
  <c r="FN70" i="40"/>
  <c r="FN87" i="40"/>
  <c r="GC25" i="40"/>
  <c r="GC31" i="40"/>
  <c r="GC38" i="40"/>
  <c r="GC55" i="40"/>
  <c r="GC39" i="40"/>
  <c r="GC95" i="40"/>
  <c r="GC80" i="40"/>
  <c r="GC96" i="40"/>
  <c r="FY18" i="40"/>
  <c r="FY16" i="40"/>
  <c r="FY48" i="40"/>
  <c r="FY49" i="40"/>
  <c r="FY75" i="40"/>
  <c r="FY68" i="40"/>
  <c r="FW71" i="40"/>
  <c r="FN19" i="40"/>
  <c r="FZ23" i="40"/>
  <c r="FZ17" i="40"/>
  <c r="FZ55" i="40"/>
  <c r="FZ39" i="40"/>
  <c r="FZ60" i="40"/>
  <c r="FZ75" i="40"/>
  <c r="FZ92" i="40"/>
  <c r="FW30" i="40"/>
  <c r="FW33" i="40"/>
  <c r="FW48" i="40"/>
  <c r="FW38" i="40"/>
  <c r="FW90" i="40"/>
  <c r="FW69" i="40"/>
  <c r="FW91" i="40"/>
  <c r="FR29" i="40"/>
  <c r="FR35" i="40"/>
  <c r="FR61" i="40"/>
  <c r="FR41" i="40"/>
  <c r="FR62" i="40"/>
  <c r="FR86" i="40"/>
  <c r="FR70" i="40"/>
  <c r="FQ13" i="40"/>
  <c r="FQ15" i="40"/>
  <c r="FQ39" i="40"/>
  <c r="FQ60" i="40"/>
  <c r="FQ44" i="40"/>
  <c r="FQ96" i="40"/>
  <c r="FQ85" i="40"/>
  <c r="FV11" i="40"/>
  <c r="FV39" i="40"/>
  <c r="FV60" i="40"/>
  <c r="FV75" i="40"/>
  <c r="FV92" i="40"/>
  <c r="FV81" i="40"/>
  <c r="FU22" i="40"/>
  <c r="FU20" i="40"/>
  <c r="FU48" i="40"/>
  <c r="FU38" i="40"/>
  <c r="FU55" i="40"/>
  <c r="FU69" i="40"/>
  <c r="FU91" i="40"/>
  <c r="GD29" i="40"/>
  <c r="GD10" i="40"/>
  <c r="GD61" i="40"/>
  <c r="GD45" i="40"/>
  <c r="GD62" i="40"/>
  <c r="GD82" i="40"/>
  <c r="GD66" i="40"/>
  <c r="FN10" i="40"/>
  <c r="FN34" i="40"/>
  <c r="FN51" i="40"/>
  <c r="FN39" i="40"/>
  <c r="FN95" i="40"/>
  <c r="FN80" i="40"/>
  <c r="FN96" i="40"/>
  <c r="GC14" i="40"/>
  <c r="GC47" i="40"/>
  <c r="GC63" i="40"/>
  <c r="GC50" i="40"/>
  <c r="GC71" i="40"/>
  <c r="GC88" i="40"/>
  <c r="FM10" i="40"/>
  <c r="FM40" i="40"/>
  <c r="FM61" i="40"/>
  <c r="FM81" i="40"/>
  <c r="FM97" i="40"/>
  <c r="FM82" i="40"/>
  <c r="FY26" i="40"/>
  <c r="FY28" i="40"/>
  <c r="FY62" i="40"/>
  <c r="FY60" i="40"/>
  <c r="FY84" i="40"/>
  <c r="FY82" i="40"/>
  <c r="FW67" i="40"/>
  <c r="FN74" i="40"/>
  <c r="FW12" i="40"/>
  <c r="FW73" i="40"/>
  <c r="FN17" i="40"/>
  <c r="FN78" i="40"/>
  <c r="FN79" i="40"/>
  <c r="FZ19" i="40"/>
  <c r="FZ13" i="40"/>
  <c r="FZ51" i="40"/>
  <c r="FZ35" i="40"/>
  <c r="FZ56" i="40"/>
  <c r="FZ70" i="40"/>
  <c r="FZ87" i="40"/>
  <c r="FW26" i="40"/>
  <c r="FW28" i="40"/>
  <c r="FW44" i="40"/>
  <c r="FW34" i="40"/>
  <c r="FW85" i="40"/>
  <c r="FW65" i="40"/>
  <c r="FW86" i="40"/>
  <c r="FR25" i="40"/>
  <c r="FR31" i="40"/>
  <c r="FR57" i="40"/>
  <c r="FR37" i="40"/>
  <c r="FR58" i="40"/>
  <c r="FR82" i="40"/>
  <c r="FR66" i="40"/>
  <c r="FV30" i="40"/>
  <c r="FV32" i="40"/>
  <c r="FV35" i="40"/>
  <c r="FV56" i="40"/>
  <c r="FV70" i="40"/>
  <c r="FV87" i="40"/>
  <c r="FV77" i="40"/>
  <c r="FU18" i="40"/>
  <c r="FU16" i="40"/>
  <c r="FU44" i="40"/>
  <c r="FU34" i="40"/>
  <c r="FU51" i="40"/>
  <c r="FU65" i="40"/>
  <c r="FU86" i="40"/>
  <c r="GD25" i="40"/>
  <c r="GD31" i="40"/>
  <c r="GD57" i="40"/>
  <c r="GD41" i="40"/>
  <c r="GD58" i="40"/>
  <c r="GD78" i="40"/>
  <c r="GD98" i="40"/>
  <c r="FN31" i="40"/>
  <c r="FN29" i="40"/>
  <c r="FN45" i="40"/>
  <c r="FN35" i="40"/>
  <c r="FN91" i="40"/>
  <c r="FN75" i="40"/>
  <c r="FN92" i="40"/>
  <c r="GC29" i="40"/>
  <c r="GC10" i="40"/>
  <c r="GC42" i="40"/>
  <c r="GC59" i="40"/>
  <c r="GC43" i="40"/>
  <c r="GC67" i="40"/>
  <c r="GC84" i="40"/>
  <c r="FY22" i="40"/>
  <c r="FY20" i="40"/>
  <c r="FY54" i="40"/>
  <c r="FY56" i="40"/>
  <c r="FY80" i="40"/>
  <c r="FY78" i="40"/>
  <c r="FZ27" i="40"/>
  <c r="FZ21" i="40"/>
  <c r="FZ59" i="40"/>
  <c r="FZ43" i="40"/>
  <c r="FZ64" i="40"/>
  <c r="FZ80" i="40"/>
  <c r="FZ96" i="40"/>
  <c r="FW11" i="40"/>
  <c r="FW37" i="40"/>
  <c r="FW54" i="40"/>
  <c r="FW42" i="40"/>
  <c r="FW94" i="40"/>
  <c r="FW74" i="40"/>
  <c r="FW95" i="40"/>
  <c r="FR12" i="40"/>
  <c r="FR10" i="40"/>
  <c r="FR34" i="40"/>
  <c r="FR45" i="40"/>
  <c r="FR69" i="40"/>
  <c r="FR91" i="40"/>
  <c r="FR75" i="40"/>
  <c r="FQ17" i="40"/>
  <c r="FQ19" i="40"/>
  <c r="FQ43" i="40"/>
  <c r="FQ64" i="40"/>
  <c r="FQ48" i="40"/>
  <c r="FQ68" i="40"/>
  <c r="FQ90" i="40"/>
  <c r="FV13" i="40"/>
  <c r="FV15" i="40"/>
  <c r="FV43" i="40"/>
  <c r="FV64" i="40"/>
  <c r="FV80" i="40"/>
  <c r="FV96" i="40"/>
  <c r="FV85" i="40"/>
  <c r="FU26" i="40"/>
  <c r="FU28" i="40"/>
  <c r="FU54" i="40"/>
  <c r="FU42" i="40"/>
  <c r="FU59" i="40"/>
  <c r="FU74" i="40"/>
  <c r="FU95" i="40"/>
  <c r="GD14" i="40"/>
  <c r="GD34" i="40"/>
  <c r="GD51" i="40"/>
  <c r="GD65" i="40"/>
  <c r="GD86" i="40"/>
  <c r="GD70" i="40"/>
  <c r="FN12" i="40"/>
  <c r="FN14" i="40"/>
  <c r="FN38" i="40"/>
  <c r="FN55" i="40"/>
  <c r="FN43" i="40"/>
  <c r="FN67" i="40"/>
  <c r="FN84" i="40"/>
  <c r="GC12" i="40"/>
  <c r="GC18" i="40"/>
  <c r="GC49" i="40"/>
  <c r="GC32" i="40"/>
  <c r="GC52" i="40"/>
  <c r="GC77" i="40"/>
  <c r="GC93" i="40"/>
  <c r="FM14" i="40"/>
  <c r="FM12" i="40"/>
  <c r="FM44" i="40"/>
  <c r="FM34" i="40"/>
  <c r="FM85" i="40"/>
  <c r="FM65" i="40"/>
  <c r="FM86" i="40"/>
  <c r="FY11" i="40"/>
  <c r="FY30" i="40"/>
  <c r="FY37" i="40"/>
  <c r="FY35" i="40"/>
  <c r="FY64" i="40"/>
  <c r="FY93" i="40"/>
  <c r="FY86" i="40"/>
  <c r="FW15" i="40"/>
  <c r="FW13" i="40"/>
  <c r="FW41" i="40"/>
  <c r="FW58" i="40"/>
  <c r="FW47" i="40"/>
  <c r="FW98" i="40"/>
  <c r="FW79" i="40"/>
  <c r="FV17" i="40"/>
  <c r="FV19" i="40"/>
  <c r="FV50" i="40"/>
  <c r="FV33" i="40"/>
  <c r="FV84" i="40"/>
  <c r="FV68" i="40"/>
  <c r="FV90" i="40"/>
  <c r="FU30" i="40"/>
  <c r="FU32" i="40"/>
  <c r="FU58" i="40"/>
  <c r="FU47" i="40"/>
  <c r="FU63" i="40"/>
  <c r="FU79" i="40"/>
  <c r="FU67" i="40"/>
  <c r="FN16" i="40"/>
  <c r="FN18" i="40"/>
  <c r="FN42" i="40"/>
  <c r="FN59" i="40"/>
  <c r="FN50" i="40"/>
  <c r="FN71" i="40"/>
  <c r="FN88" i="40"/>
  <c r="GC16" i="40"/>
  <c r="GC22" i="40"/>
  <c r="GC56" i="40"/>
  <c r="GC36" i="40"/>
  <c r="GC57" i="40"/>
  <c r="GC81" i="40"/>
  <c r="GC97" i="40"/>
  <c r="FY32" i="40"/>
  <c r="FY52" i="40"/>
  <c r="FY71" i="40"/>
  <c r="FY88" i="40"/>
  <c r="FY73" i="40"/>
  <c r="FY41" i="40"/>
  <c r="FY58" i="40"/>
  <c r="FY47" i="40"/>
  <c r="FY98" i="40"/>
  <c r="FY79" i="40"/>
  <c r="FA107" i="40"/>
  <c r="FA91" i="40" s="1"/>
  <c r="GF100" i="32"/>
  <c r="FL100" i="40"/>
  <c r="GB100" i="40"/>
  <c r="FH100" i="40"/>
  <c r="FC220" i="49"/>
  <c r="FC208" i="49"/>
  <c r="FC135" i="49"/>
  <c r="FC100" i="49"/>
  <c r="FC219" i="49"/>
  <c r="FC207" i="49"/>
  <c r="FC134" i="49"/>
  <c r="FC99" i="49"/>
  <c r="FC218" i="49"/>
  <c r="FC206" i="49"/>
  <c r="FC133" i="49"/>
  <c r="FC98" i="49"/>
  <c r="FC217" i="49"/>
  <c r="FC205" i="49"/>
  <c r="FC132" i="49"/>
  <c r="FC97" i="49"/>
  <c r="FC216" i="49"/>
  <c r="FC204" i="49"/>
  <c r="FC131" i="49"/>
  <c r="FC96" i="49"/>
  <c r="FC215" i="49"/>
  <c r="FC203" i="49"/>
  <c r="FC130" i="49"/>
  <c r="FC95" i="49"/>
  <c r="FC214" i="49"/>
  <c r="FC202" i="49"/>
  <c r="FC129" i="49"/>
  <c r="FC213" i="49"/>
  <c r="FC201" i="49"/>
  <c r="FC128" i="49"/>
  <c r="FC212" i="49"/>
  <c r="FC200" i="49"/>
  <c r="FC127" i="49"/>
  <c r="FC211" i="49"/>
  <c r="FC138" i="49"/>
  <c r="FC126" i="49"/>
  <c r="FC210" i="49"/>
  <c r="FC137" i="49"/>
  <c r="FC125" i="49"/>
  <c r="FC209" i="49"/>
  <c r="FC136" i="49"/>
  <c r="FC101" i="49"/>
  <c r="GA96" i="40"/>
  <c r="GA92" i="40"/>
  <c r="GA87" i="40"/>
  <c r="GA83" i="40"/>
  <c r="GA79" i="40"/>
  <c r="GA74" i="40"/>
  <c r="GA69" i="40"/>
  <c r="GA65" i="40"/>
  <c r="GA97" i="40"/>
  <c r="GA93" i="40"/>
  <c r="GA88" i="40"/>
  <c r="GA84" i="40"/>
  <c r="GA80" i="40"/>
  <c r="GA75" i="40"/>
  <c r="GA70" i="40"/>
  <c r="GA66" i="40"/>
  <c r="GA98" i="40"/>
  <c r="GA94" i="40"/>
  <c r="GA90" i="40"/>
  <c r="GA85" i="40"/>
  <c r="GA81" i="40"/>
  <c r="GA77" i="40"/>
  <c r="GA71" i="40"/>
  <c r="GA67" i="40"/>
  <c r="GA95" i="40"/>
  <c r="GA91" i="40"/>
  <c r="GA86" i="40"/>
  <c r="GA82" i="40"/>
  <c r="GA78" i="40"/>
  <c r="GA73" i="40"/>
  <c r="GA68" i="40"/>
  <c r="GA61" i="40"/>
  <c r="GA57" i="40"/>
  <c r="GA52" i="40"/>
  <c r="GA50" i="40"/>
  <c r="GA43" i="40"/>
  <c r="GA39" i="40"/>
  <c r="GA35" i="40"/>
  <c r="GA62" i="40"/>
  <c r="GA58" i="40"/>
  <c r="GA54" i="40"/>
  <c r="GA48" i="40"/>
  <c r="GA44" i="40"/>
  <c r="GA40" i="40"/>
  <c r="GA36" i="40"/>
  <c r="GA32" i="40"/>
  <c r="GA63" i="40"/>
  <c r="GA59" i="40"/>
  <c r="GA55" i="40"/>
  <c r="GA51" i="40"/>
  <c r="GA45" i="40"/>
  <c r="GA41" i="40"/>
  <c r="GA37" i="40"/>
  <c r="GA33" i="40"/>
  <c r="GA64" i="40"/>
  <c r="GA60" i="40"/>
  <c r="GA56" i="40"/>
  <c r="GA49" i="40"/>
  <c r="GA47" i="40"/>
  <c r="GA42" i="40"/>
  <c r="GA38" i="40"/>
  <c r="GA34" i="40"/>
  <c r="GA29" i="40"/>
  <c r="GA25" i="40"/>
  <c r="GA21" i="40"/>
  <c r="GA17" i="40"/>
  <c r="GA13" i="40"/>
  <c r="GA30" i="40"/>
  <c r="GA26" i="40"/>
  <c r="GA22" i="40"/>
  <c r="GA18" i="40"/>
  <c r="GA14" i="40"/>
  <c r="GA10" i="40"/>
  <c r="GA31" i="40"/>
  <c r="GA27" i="40"/>
  <c r="GA23" i="40"/>
  <c r="GA19" i="40"/>
  <c r="GA15" i="40"/>
  <c r="GA11" i="40"/>
  <c r="GA28" i="40"/>
  <c r="GA20" i="40"/>
  <c r="GA16" i="40"/>
  <c r="GA12" i="40"/>
  <c r="GG100" i="32"/>
  <c r="DS47" i="32"/>
  <c r="DS50" i="32"/>
  <c r="DS48" i="32"/>
  <c r="DS51" i="32"/>
  <c r="DS49" i="32"/>
  <c r="DS52" i="32"/>
  <c r="DR52" i="32"/>
  <c r="DR47" i="32"/>
  <c r="DR50" i="32"/>
  <c r="DR48" i="32"/>
  <c r="DR51" i="32"/>
  <c r="DR49" i="32"/>
  <c r="DU47" i="32"/>
  <c r="DU48" i="32"/>
  <c r="DU51" i="32"/>
  <c r="DU49" i="32"/>
  <c r="DU50" i="32"/>
  <c r="DU52" i="32"/>
  <c r="DV47" i="32"/>
  <c r="DV50" i="32"/>
  <c r="DV51" i="32"/>
  <c r="DV49" i="32"/>
  <c r="DV48" i="32"/>
  <c r="DV52" i="32"/>
  <c r="DT50" i="32"/>
  <c r="DT48" i="32"/>
  <c r="DT47" i="32"/>
  <c r="DT51" i="32"/>
  <c r="DT49" i="32"/>
  <c r="DT52" i="32"/>
  <c r="DW47" i="32"/>
  <c r="DW50" i="32"/>
  <c r="DW48" i="32"/>
  <c r="DW51" i="32"/>
  <c r="DW49" i="32"/>
  <c r="DW52" i="32"/>
  <c r="FL100" i="32"/>
  <c r="EV100" i="32"/>
  <c r="FK100" i="32"/>
  <c r="EW100" i="32"/>
  <c r="DZ100" i="32"/>
  <c r="EU100" i="32"/>
  <c r="EA100" i="32"/>
  <c r="DT74" i="32"/>
  <c r="DT73" i="32"/>
  <c r="DT75" i="32"/>
  <c r="DW73" i="32"/>
  <c r="DW74" i="32"/>
  <c r="DW75" i="32"/>
  <c r="DR107" i="40"/>
  <c r="DS74" i="32"/>
  <c r="DS75" i="32"/>
  <c r="DS73" i="32"/>
  <c r="DQ107" i="40"/>
  <c r="DR74" i="32"/>
  <c r="DR73" i="32"/>
  <c r="DR75" i="32"/>
  <c r="DT107" i="40"/>
  <c r="DU74" i="32"/>
  <c r="DU73" i="32"/>
  <c r="DU75" i="32"/>
  <c r="DU107" i="40"/>
  <c r="DV74" i="32"/>
  <c r="DV73" i="32"/>
  <c r="DV75" i="32"/>
  <c r="FG107" i="32"/>
  <c r="FG65" i="32" s="1"/>
  <c r="DS107" i="40"/>
  <c r="DX229" i="49"/>
  <c r="DV107" i="40"/>
  <c r="DP96" i="40"/>
  <c r="DP45" i="40"/>
  <c r="DP98" i="40"/>
  <c r="DP44" i="40"/>
  <c r="DP91" i="40"/>
  <c r="DP90" i="40"/>
  <c r="DP97" i="40"/>
  <c r="DP92" i="40"/>
  <c r="DP93" i="40"/>
  <c r="DP95" i="40"/>
  <c r="DP43" i="40"/>
  <c r="DW229" i="49"/>
  <c r="DT229" i="49"/>
  <c r="DS229" i="49"/>
  <c r="DU229" i="49"/>
  <c r="DV229" i="49"/>
  <c r="DR219" i="49"/>
  <c r="DR215" i="49"/>
  <c r="DR211" i="49"/>
  <c r="DR207" i="49"/>
  <c r="DR203" i="49"/>
  <c r="DR220" i="49"/>
  <c r="DR216" i="49"/>
  <c r="DR212" i="49"/>
  <c r="DR208" i="49"/>
  <c r="DR204" i="49"/>
  <c r="DR200" i="49"/>
  <c r="DR217" i="49"/>
  <c r="DR213" i="49"/>
  <c r="DR209" i="49"/>
  <c r="DR205" i="49"/>
  <c r="DR201" i="49"/>
  <c r="DR214" i="49"/>
  <c r="DR136" i="49"/>
  <c r="DR133" i="49"/>
  <c r="DR129" i="49"/>
  <c r="DR126" i="49"/>
  <c r="DR210" i="49"/>
  <c r="DR206" i="49"/>
  <c r="DR138" i="49"/>
  <c r="DR135" i="49"/>
  <c r="DR132" i="49"/>
  <c r="DR131" i="49"/>
  <c r="DR128" i="49"/>
  <c r="DR125" i="49"/>
  <c r="DR137" i="49"/>
  <c r="DR134" i="49"/>
  <c r="DR130" i="49"/>
  <c r="DR127" i="49"/>
  <c r="DR218" i="49"/>
  <c r="DR202" i="49"/>
  <c r="DR98" i="49"/>
  <c r="DR99" i="49"/>
  <c r="DR95" i="49"/>
  <c r="DR100" i="49"/>
  <c r="DR96" i="49"/>
  <c r="DR101" i="49"/>
  <c r="DR97" i="49"/>
  <c r="FE107" i="32"/>
  <c r="DU65" i="32"/>
  <c r="DU98" i="32"/>
  <c r="DU97" i="32"/>
  <c r="DU96" i="32"/>
  <c r="DU95" i="32"/>
  <c r="DU94" i="32"/>
  <c r="DU93" i="32"/>
  <c r="DU92" i="32"/>
  <c r="DU91" i="32"/>
  <c r="DU90" i="32"/>
  <c r="DU71" i="32"/>
  <c r="DU63" i="32"/>
  <c r="DU70" i="32"/>
  <c r="DU69" i="32"/>
  <c r="DU68" i="32"/>
  <c r="DU67" i="32"/>
  <c r="DU66" i="32"/>
  <c r="DU82" i="32"/>
  <c r="DU88" i="32"/>
  <c r="DU81" i="32"/>
  <c r="DU64" i="32"/>
  <c r="DU87" i="32"/>
  <c r="DU80" i="32"/>
  <c r="DU86" i="32"/>
  <c r="DU85" i="32"/>
  <c r="DU56" i="32"/>
  <c r="DU84" i="32"/>
  <c r="DU55" i="32"/>
  <c r="DU83" i="32"/>
  <c r="DU54" i="32"/>
  <c r="DU79" i="32"/>
  <c r="DU38" i="32"/>
  <c r="DU77" i="32"/>
  <c r="DU45" i="32"/>
  <c r="DU44" i="32"/>
  <c r="DU43" i="32"/>
  <c r="DU35" i="32"/>
  <c r="DU42" i="32"/>
  <c r="DU39" i="32"/>
  <c r="DU31" i="32"/>
  <c r="DU40" i="32"/>
  <c r="DU28" i="32"/>
  <c r="DU41" i="32"/>
  <c r="DU36" i="32"/>
  <c r="DU33" i="32"/>
  <c r="DU30" i="32"/>
  <c r="DU27" i="32"/>
  <c r="DU78" i="32"/>
  <c r="DU32" i="32"/>
  <c r="DU34" i="32"/>
  <c r="DU26" i="32"/>
  <c r="DU25" i="32"/>
  <c r="DU23" i="32"/>
  <c r="DU22" i="32"/>
  <c r="DU21" i="32"/>
  <c r="DU20" i="32"/>
  <c r="DU19" i="32"/>
  <c r="DU37" i="32"/>
  <c r="DU29" i="32"/>
  <c r="DU10" i="32"/>
  <c r="DU17" i="32"/>
  <c r="DU16" i="32"/>
  <c r="DU15" i="32"/>
  <c r="DU14" i="32"/>
  <c r="DU18" i="32"/>
  <c r="DU13" i="32"/>
  <c r="DU12" i="32"/>
  <c r="DU11" i="32"/>
  <c r="DR67" i="32"/>
  <c r="DR66" i="32"/>
  <c r="DR65" i="32"/>
  <c r="DR98" i="32"/>
  <c r="DR97" i="32"/>
  <c r="DR96" i="32"/>
  <c r="DR95" i="32"/>
  <c r="DR94" i="32"/>
  <c r="DR93" i="32"/>
  <c r="DR92" i="32"/>
  <c r="DR91" i="32"/>
  <c r="DR90" i="32"/>
  <c r="DR64" i="32"/>
  <c r="DR71" i="32"/>
  <c r="DR70" i="32"/>
  <c r="DR69" i="32"/>
  <c r="DR68" i="32"/>
  <c r="DR83" i="32"/>
  <c r="DR54" i="32"/>
  <c r="DR63" i="32"/>
  <c r="DR82" i="32"/>
  <c r="DR88" i="32"/>
  <c r="DR81" i="32"/>
  <c r="DR87" i="32"/>
  <c r="DR80" i="32"/>
  <c r="DR86" i="32"/>
  <c r="DR85" i="32"/>
  <c r="DR56" i="32"/>
  <c r="DR84" i="32"/>
  <c r="DR55" i="32"/>
  <c r="DR40" i="32"/>
  <c r="DR37" i="32"/>
  <c r="DR29" i="32"/>
  <c r="DR36" i="32"/>
  <c r="DR79" i="32"/>
  <c r="DR42" i="32"/>
  <c r="DR78" i="32"/>
  <c r="DR41" i="32"/>
  <c r="DR33" i="32"/>
  <c r="DR28" i="32"/>
  <c r="DR32" i="32"/>
  <c r="DR31" i="32"/>
  <c r="DR30" i="32"/>
  <c r="DR27" i="32"/>
  <c r="DR39" i="32"/>
  <c r="DR35" i="32"/>
  <c r="DR34" i="32"/>
  <c r="DR26" i="32"/>
  <c r="DR25" i="32"/>
  <c r="DR44" i="32"/>
  <c r="DR43" i="32"/>
  <c r="DR45" i="32"/>
  <c r="DR38" i="32"/>
  <c r="DR77" i="32"/>
  <c r="DR18" i="32"/>
  <c r="DR13" i="32"/>
  <c r="DR19" i="32"/>
  <c r="DR12" i="32"/>
  <c r="DR11" i="32"/>
  <c r="DR20" i="32"/>
  <c r="DR10" i="32"/>
  <c r="DR21" i="32"/>
  <c r="DR22" i="32"/>
  <c r="DR23" i="32"/>
  <c r="DR17" i="32"/>
  <c r="DR16" i="32"/>
  <c r="DR15" i="32"/>
  <c r="DR14" i="32"/>
  <c r="DS66" i="32"/>
  <c r="DS98" i="32"/>
  <c r="DS97" i="32"/>
  <c r="DS96" i="32"/>
  <c r="DS95" i="32"/>
  <c r="DS94" i="32"/>
  <c r="DS93" i="32"/>
  <c r="DS92" i="32"/>
  <c r="DS91" i="32"/>
  <c r="DS90" i="32"/>
  <c r="DS64" i="32"/>
  <c r="DS71" i="32"/>
  <c r="DS70" i="32"/>
  <c r="DS69" i="32"/>
  <c r="DS67" i="32"/>
  <c r="DS63" i="32"/>
  <c r="DS82" i="32"/>
  <c r="DS88" i="32"/>
  <c r="DS81" i="32"/>
  <c r="DS87" i="32"/>
  <c r="DS80" i="32"/>
  <c r="DS86" i="32"/>
  <c r="DS85" i="32"/>
  <c r="DS56" i="32"/>
  <c r="DS68" i="32"/>
  <c r="DS83" i="32"/>
  <c r="DS54" i="32"/>
  <c r="DS39" i="32"/>
  <c r="DS84" i="32"/>
  <c r="DS36" i="32"/>
  <c r="DS28" i="32"/>
  <c r="DS77" i="32"/>
  <c r="DS45" i="32"/>
  <c r="DS44" i="32"/>
  <c r="DS43" i="32"/>
  <c r="DS42" i="32"/>
  <c r="DS65" i="32"/>
  <c r="DS78" i="32"/>
  <c r="DS55" i="32"/>
  <c r="DS40" i="32"/>
  <c r="DS32" i="32"/>
  <c r="DS29" i="32"/>
  <c r="DS41" i="32"/>
  <c r="DS33" i="32"/>
  <c r="DS31" i="32"/>
  <c r="DS30" i="32"/>
  <c r="DS27" i="32"/>
  <c r="DS35" i="32"/>
  <c r="DS34" i="32"/>
  <c r="DS26" i="32"/>
  <c r="DS79" i="32"/>
  <c r="DS25" i="32"/>
  <c r="DS38" i="32"/>
  <c r="DS37" i="32"/>
  <c r="DS19" i="32"/>
  <c r="DS12" i="32"/>
  <c r="DS11" i="32"/>
  <c r="DS20" i="32"/>
  <c r="DS10" i="32"/>
  <c r="DS21" i="32"/>
  <c r="DS22" i="32"/>
  <c r="DS23" i="32"/>
  <c r="DS17" i="32"/>
  <c r="DS16" i="32"/>
  <c r="DS15" i="32"/>
  <c r="DS14" i="32"/>
  <c r="DS18" i="32"/>
  <c r="DS13" i="32"/>
  <c r="DT66" i="32"/>
  <c r="DT65" i="32"/>
  <c r="DT98" i="32"/>
  <c r="DT97" i="32"/>
  <c r="DT96" i="32"/>
  <c r="DT95" i="32"/>
  <c r="DT94" i="32"/>
  <c r="DT93" i="32"/>
  <c r="DT92" i="32"/>
  <c r="DT91" i="32"/>
  <c r="DT90" i="32"/>
  <c r="DT64" i="32"/>
  <c r="DT71" i="32"/>
  <c r="DT63" i="32"/>
  <c r="DT70" i="32"/>
  <c r="DT69" i="32"/>
  <c r="DT68" i="32"/>
  <c r="DT79" i="32"/>
  <c r="DT82" i="32"/>
  <c r="DT88" i="32"/>
  <c r="DT81" i="32"/>
  <c r="DT87" i="32"/>
  <c r="DT86" i="32"/>
  <c r="DT85" i="32"/>
  <c r="DT56" i="32"/>
  <c r="DT67" i="32"/>
  <c r="DT84" i="32"/>
  <c r="DT55" i="32"/>
  <c r="DT83" i="32"/>
  <c r="DT80" i="32"/>
  <c r="DT36" i="32"/>
  <c r="DT28" i="32"/>
  <c r="DT77" i="32"/>
  <c r="DT45" i="32"/>
  <c r="DT44" i="32"/>
  <c r="DT43" i="32"/>
  <c r="DT35" i="32"/>
  <c r="DT78" i="32"/>
  <c r="DT41" i="32"/>
  <c r="DT54" i="32"/>
  <c r="DT40" i="32"/>
  <c r="DT32" i="32"/>
  <c r="DT39" i="32"/>
  <c r="DT31" i="32"/>
  <c r="DT29" i="32"/>
  <c r="DT33" i="32"/>
  <c r="DT30" i="32"/>
  <c r="DT27" i="32"/>
  <c r="DT34" i="32"/>
  <c r="DT26" i="32"/>
  <c r="DT25" i="32"/>
  <c r="DT23" i="32"/>
  <c r="DT22" i="32"/>
  <c r="DT21" i="32"/>
  <c r="DT38" i="32"/>
  <c r="DT37" i="32"/>
  <c r="DT42" i="32"/>
  <c r="DT11" i="32"/>
  <c r="DT20" i="32"/>
  <c r="DT10" i="32"/>
  <c r="DT17" i="32"/>
  <c r="DT16" i="32"/>
  <c r="DT15" i="32"/>
  <c r="DT14" i="32"/>
  <c r="DT18" i="32"/>
  <c r="DT13" i="32"/>
  <c r="DT19" i="32"/>
  <c r="DT12" i="32"/>
  <c r="DW70" i="32"/>
  <c r="DW69" i="32"/>
  <c r="DW68" i="32"/>
  <c r="DW67" i="32"/>
  <c r="DW66" i="32"/>
  <c r="DW71" i="32"/>
  <c r="DW63" i="32"/>
  <c r="DW59" i="32"/>
  <c r="DW58" i="32"/>
  <c r="DW86" i="32"/>
  <c r="DW98" i="32"/>
  <c r="DW97" i="32"/>
  <c r="DW96" i="32"/>
  <c r="DW95" i="32"/>
  <c r="DW94" i="32"/>
  <c r="DW93" i="32"/>
  <c r="DW92" i="32"/>
  <c r="DW91" i="32"/>
  <c r="DW90" i="32"/>
  <c r="DW64" i="32"/>
  <c r="DW85" i="32"/>
  <c r="DW84" i="32"/>
  <c r="DW83" i="32"/>
  <c r="DW54" i="32"/>
  <c r="DW62" i="32"/>
  <c r="DW61" i="32"/>
  <c r="DW60" i="32"/>
  <c r="DW79" i="32"/>
  <c r="DW65" i="32"/>
  <c r="DW82" i="32"/>
  <c r="DW87" i="32"/>
  <c r="DW80" i="32"/>
  <c r="DW77" i="32"/>
  <c r="DW45" i="32"/>
  <c r="DW44" i="32"/>
  <c r="DW43" i="32"/>
  <c r="DW35" i="32"/>
  <c r="DW42" i="32"/>
  <c r="DW57" i="32"/>
  <c r="DW41" i="32"/>
  <c r="DW81" i="32"/>
  <c r="DW78" i="32"/>
  <c r="DW40" i="32"/>
  <c r="DW32" i="32"/>
  <c r="DW56" i="32"/>
  <c r="DW39" i="32"/>
  <c r="DW55" i="32"/>
  <c r="DW88" i="32"/>
  <c r="DW36" i="32"/>
  <c r="DW28" i="32"/>
  <c r="DW25" i="32"/>
  <c r="DW34" i="32"/>
  <c r="DW38" i="32"/>
  <c r="DW37" i="32"/>
  <c r="DW29" i="32"/>
  <c r="DW27" i="32"/>
  <c r="DW33" i="32"/>
  <c r="DW31" i="32"/>
  <c r="DW30" i="32"/>
  <c r="DW26" i="32"/>
  <c r="FH107" i="32"/>
  <c r="FB98" i="32"/>
  <c r="FB97" i="32"/>
  <c r="FB96" i="32"/>
  <c r="FB95" i="32"/>
  <c r="FB94" i="32"/>
  <c r="FB93" i="32"/>
  <c r="FB92" i="32"/>
  <c r="FB91" i="32"/>
  <c r="FB90" i="32"/>
  <c r="FB62" i="32"/>
  <c r="FB61" i="32"/>
  <c r="FB60" i="32"/>
  <c r="FB58" i="32"/>
  <c r="FB45" i="32"/>
  <c r="FB44" i="32"/>
  <c r="FB43" i="32"/>
  <c r="FB57" i="32"/>
  <c r="FB59" i="32"/>
  <c r="DV98" i="32"/>
  <c r="DV97" i="32"/>
  <c r="DV96" i="32"/>
  <c r="DV95" i="32"/>
  <c r="DV94" i="32"/>
  <c r="DV93" i="32"/>
  <c r="DV92" i="32"/>
  <c r="DV91" i="32"/>
  <c r="DV90" i="32"/>
  <c r="DV64" i="32"/>
  <c r="DV71" i="32"/>
  <c r="DV70" i="32"/>
  <c r="DV69" i="32"/>
  <c r="DV68" i="32"/>
  <c r="DV67" i="32"/>
  <c r="DV65" i="32"/>
  <c r="DV63" i="32"/>
  <c r="DV88" i="32"/>
  <c r="DV81" i="32"/>
  <c r="DV87" i="32"/>
  <c r="DV86" i="32"/>
  <c r="DV85" i="32"/>
  <c r="DV56" i="32"/>
  <c r="DV84" i="32"/>
  <c r="DV55" i="32"/>
  <c r="DV66" i="32"/>
  <c r="DV83" i="32"/>
  <c r="DV54" i="32"/>
  <c r="DV82" i="32"/>
  <c r="DV78" i="32"/>
  <c r="DV37" i="32"/>
  <c r="DV80" i="32"/>
  <c r="DV77" i="32"/>
  <c r="DV45" i="32"/>
  <c r="DV44" i="32"/>
  <c r="DV43" i="32"/>
  <c r="DV42" i="32"/>
  <c r="DV34" i="32"/>
  <c r="DV79" i="32"/>
  <c r="DV41" i="32"/>
  <c r="DV38" i="32"/>
  <c r="DV30" i="32"/>
  <c r="DV36" i="32"/>
  <c r="DV33" i="32"/>
  <c r="DV27" i="32"/>
  <c r="DV32" i="32"/>
  <c r="DV31" i="32"/>
  <c r="DV26" i="32"/>
  <c r="DV25" i="32"/>
  <c r="DV35" i="32"/>
  <c r="DV20" i="32"/>
  <c r="DV19" i="32"/>
  <c r="DV39" i="32"/>
  <c r="DV18" i="32"/>
  <c r="DV29" i="32"/>
  <c r="DV40" i="32"/>
  <c r="DV28" i="32"/>
  <c r="DV21" i="32"/>
  <c r="DV22" i="32"/>
  <c r="DV23" i="32"/>
  <c r="DV17" i="32"/>
  <c r="DV16" i="32"/>
  <c r="DV15" i="32"/>
  <c r="DV14" i="32"/>
  <c r="DV13" i="32"/>
  <c r="DV12" i="32"/>
  <c r="DV11" i="32"/>
  <c r="DV10" i="32"/>
  <c r="FD107" i="32"/>
  <c r="FF107" i="32"/>
  <c r="FC107" i="32"/>
  <c r="DT41" i="40" l="1"/>
  <c r="DT59" i="40"/>
  <c r="FW100" i="40"/>
  <c r="FU100" i="40"/>
  <c r="FM100" i="40"/>
  <c r="FV100" i="40"/>
  <c r="FQ100" i="40"/>
  <c r="GD100" i="40"/>
  <c r="FZ100" i="40"/>
  <c r="FN100" i="40"/>
  <c r="GC100" i="40"/>
  <c r="FR100" i="40"/>
  <c r="FG25" i="32"/>
  <c r="FG66" i="32"/>
  <c r="DT42" i="40"/>
  <c r="FG63" i="32"/>
  <c r="FG86" i="32"/>
  <c r="FG12" i="32"/>
  <c r="FG55" i="32"/>
  <c r="DT91" i="40"/>
  <c r="FG13" i="32"/>
  <c r="FG69" i="32"/>
  <c r="FG14" i="32"/>
  <c r="FG70" i="32"/>
  <c r="FG40" i="32"/>
  <c r="FG71" i="32"/>
  <c r="FG56" i="32"/>
  <c r="FG20" i="32"/>
  <c r="FG98" i="32"/>
  <c r="FG38" i="32"/>
  <c r="FG34" i="32"/>
  <c r="FG54" i="32"/>
  <c r="FG39" i="32"/>
  <c r="FG96" i="32"/>
  <c r="DT11" i="40"/>
  <c r="FG79" i="32"/>
  <c r="DT20" i="40"/>
  <c r="FY100" i="40"/>
  <c r="FA90" i="40"/>
  <c r="DT36" i="40"/>
  <c r="DT66" i="40"/>
  <c r="DT61" i="40"/>
  <c r="FA96" i="40"/>
  <c r="FA43" i="40"/>
  <c r="FA93" i="40"/>
  <c r="FA94" i="40"/>
  <c r="FA98" i="40"/>
  <c r="FA45" i="40"/>
  <c r="FA95" i="40"/>
  <c r="FA44" i="40"/>
  <c r="FA92" i="40"/>
  <c r="FA97" i="40"/>
  <c r="DR60" i="40"/>
  <c r="DT68" i="40"/>
  <c r="DQ19" i="40"/>
  <c r="FE107" i="40"/>
  <c r="FD107" i="40"/>
  <c r="FD64" i="40" s="1"/>
  <c r="FB107" i="40"/>
  <c r="FB87" i="40" s="1"/>
  <c r="FG107" i="40"/>
  <c r="FG36" i="40" s="1"/>
  <c r="FC107" i="40"/>
  <c r="DT34" i="40"/>
  <c r="DT12" i="40"/>
  <c r="DT85" i="40"/>
  <c r="DT95" i="40"/>
  <c r="DT83" i="40"/>
  <c r="DT17" i="40"/>
  <c r="DT23" i="40"/>
  <c r="DT78" i="40"/>
  <c r="DT27" i="40"/>
  <c r="DT96" i="40"/>
  <c r="DT26" i="40"/>
  <c r="DT33" i="40"/>
  <c r="DT71" i="40"/>
  <c r="DT29" i="40"/>
  <c r="DT10" i="40"/>
  <c r="DT55" i="40"/>
  <c r="DT44" i="40"/>
  <c r="DT94" i="40"/>
  <c r="DT56" i="40"/>
  <c r="DT16" i="40"/>
  <c r="DT19" i="40"/>
  <c r="DT90" i="40"/>
  <c r="DT62" i="40"/>
  <c r="DT15" i="40"/>
  <c r="DT14" i="40"/>
  <c r="DT21" i="40"/>
  <c r="DT69" i="40"/>
  <c r="DT88" i="40"/>
  <c r="DT35" i="40"/>
  <c r="DT30" i="40"/>
  <c r="DT58" i="40"/>
  <c r="DT87" i="40"/>
  <c r="DT13" i="40"/>
  <c r="DT45" i="40"/>
  <c r="DT70" i="40"/>
  <c r="DT97" i="40"/>
  <c r="DT37" i="40"/>
  <c r="DT43" i="40"/>
  <c r="DT93" i="40"/>
  <c r="DT25" i="40"/>
  <c r="DT18" i="40"/>
  <c r="DT31" i="40"/>
  <c r="DT77" i="40"/>
  <c r="DT60" i="40"/>
  <c r="DT54" i="40"/>
  <c r="DT57" i="40"/>
  <c r="DT67" i="40"/>
  <c r="DT80" i="40"/>
  <c r="DT82" i="40"/>
  <c r="DQ32" i="40"/>
  <c r="FH229" i="49"/>
  <c r="FH198" i="49" s="1"/>
  <c r="DW108" i="49"/>
  <c r="DW107" i="49"/>
  <c r="FG229" i="49"/>
  <c r="FG204" i="49" s="1"/>
  <c r="DV108" i="49"/>
  <c r="DV107" i="49"/>
  <c r="FF229" i="49"/>
  <c r="DU108" i="49"/>
  <c r="DU107" i="49"/>
  <c r="FI229" i="49"/>
  <c r="FI207" i="49" s="1"/>
  <c r="DX107" i="49"/>
  <c r="DX108" i="49"/>
  <c r="FD229" i="49"/>
  <c r="DS108" i="49"/>
  <c r="DS107" i="49"/>
  <c r="FE229" i="49"/>
  <c r="DT108" i="49"/>
  <c r="DT107" i="49"/>
  <c r="DT38" i="40"/>
  <c r="DT79" i="40"/>
  <c r="DT81" i="40"/>
  <c r="DT63" i="40"/>
  <c r="DT92" i="40"/>
  <c r="DT22" i="40"/>
  <c r="DT28" i="40"/>
  <c r="DT64" i="40"/>
  <c r="DT84" i="40"/>
  <c r="DT65" i="40"/>
  <c r="DT98" i="40"/>
  <c r="DT32" i="40"/>
  <c r="DT40" i="40"/>
  <c r="DT39" i="40"/>
  <c r="DT86" i="40"/>
  <c r="GA100" i="40"/>
  <c r="FG97" i="32"/>
  <c r="FF107" i="40"/>
  <c r="FH185" i="49"/>
  <c r="FH61" i="49"/>
  <c r="FH12" i="49"/>
  <c r="FG86" i="40"/>
  <c r="FB96" i="40"/>
  <c r="FB95" i="40"/>
  <c r="FD217" i="49"/>
  <c r="FD191" i="49"/>
  <c r="FD192" i="49"/>
  <c r="FD193" i="49"/>
  <c r="FD167" i="49"/>
  <c r="FD159" i="49"/>
  <c r="FD116" i="49"/>
  <c r="FD141" i="49"/>
  <c r="FD145" i="49"/>
  <c r="FD120" i="49"/>
  <c r="FD87" i="49"/>
  <c r="FD72" i="49"/>
  <c r="FD80" i="49"/>
  <c r="FD64" i="49"/>
  <c r="FD25" i="49"/>
  <c r="FD19" i="49"/>
  <c r="DQ40" i="40"/>
  <c r="DQ42" i="40"/>
  <c r="DQ36" i="40"/>
  <c r="DQ67" i="40"/>
  <c r="DQ97" i="40"/>
  <c r="DQ65" i="40"/>
  <c r="DQ95" i="40"/>
  <c r="FG22" i="32"/>
  <c r="FG31" i="32"/>
  <c r="FG42" i="32"/>
  <c r="FG85" i="32"/>
  <c r="FG88" i="32"/>
  <c r="FG64" i="32"/>
  <c r="FG15" i="32"/>
  <c r="FG29" i="32"/>
  <c r="FG43" i="32"/>
  <c r="FG80" i="32"/>
  <c r="FG90" i="32"/>
  <c r="FG67" i="32"/>
  <c r="FG10" i="32"/>
  <c r="FG16" i="32"/>
  <c r="FG32" i="32"/>
  <c r="FG44" i="32"/>
  <c r="FG87" i="32"/>
  <c r="FG91" i="32"/>
  <c r="FG68" i="32"/>
  <c r="FG17" i="32"/>
  <c r="FG21" i="32"/>
  <c r="FG27" i="32"/>
  <c r="FG45" i="32"/>
  <c r="FG81" i="32"/>
  <c r="FG92" i="32"/>
  <c r="FG26" i="32"/>
  <c r="FG77" i="32"/>
  <c r="FG78" i="32"/>
  <c r="FG93" i="32"/>
  <c r="FG11" i="32"/>
  <c r="FG18" i="32"/>
  <c r="FG28" i="32"/>
  <c r="FG37" i="32"/>
  <c r="FG82" i="32"/>
  <c r="FG94" i="32"/>
  <c r="FG23" i="32"/>
  <c r="FG33" i="32"/>
  <c r="FG35" i="32"/>
  <c r="FG30" i="32"/>
  <c r="FG83" i="32"/>
  <c r="FG95" i="32"/>
  <c r="FG19" i="32"/>
  <c r="FG36" i="32"/>
  <c r="FG41" i="32"/>
  <c r="FG84" i="32"/>
  <c r="DR25" i="40"/>
  <c r="DR36" i="40"/>
  <c r="DR59" i="40"/>
  <c r="DR92" i="40"/>
  <c r="DR42" i="40"/>
  <c r="DR32" i="40"/>
  <c r="DR23" i="40"/>
  <c r="DR13" i="40"/>
  <c r="DR55" i="40"/>
  <c r="DR38" i="40"/>
  <c r="DR39" i="40"/>
  <c r="DR70" i="40"/>
  <c r="DR22" i="40"/>
  <c r="DR33" i="40"/>
  <c r="DR68" i="40"/>
  <c r="DR19" i="40"/>
  <c r="DR45" i="40"/>
  <c r="DR71" i="40"/>
  <c r="DR27" i="40"/>
  <c r="DR94" i="40"/>
  <c r="DR81" i="40"/>
  <c r="DR79" i="40"/>
  <c r="DR61" i="40"/>
  <c r="DR17" i="40"/>
  <c r="DR65" i="40"/>
  <c r="DR41" i="40"/>
  <c r="DR98" i="40"/>
  <c r="DR31" i="40"/>
  <c r="DR80" i="40"/>
  <c r="DR97" i="40"/>
  <c r="DR20" i="40"/>
  <c r="DR40" i="40"/>
  <c r="DR58" i="40"/>
  <c r="DW106" i="49"/>
  <c r="DW115" i="49"/>
  <c r="DW114" i="49"/>
  <c r="DW113" i="49"/>
  <c r="DW109" i="49"/>
  <c r="DW116" i="49"/>
  <c r="DW105" i="49"/>
  <c r="DW104" i="49"/>
  <c r="DW103" i="49"/>
  <c r="DW112" i="49"/>
  <c r="DW111" i="49"/>
  <c r="DW110" i="49"/>
  <c r="DU112" i="49"/>
  <c r="DU111" i="49"/>
  <c r="DU110" i="49"/>
  <c r="DU106" i="49"/>
  <c r="DU115" i="49"/>
  <c r="DU114" i="49"/>
  <c r="DU113" i="49"/>
  <c r="DU109" i="49"/>
  <c r="DU116" i="49"/>
  <c r="DU105" i="49"/>
  <c r="DU104" i="49"/>
  <c r="DU103" i="49"/>
  <c r="DV106" i="49"/>
  <c r="DV115" i="49"/>
  <c r="DV114" i="49"/>
  <c r="DV113" i="49"/>
  <c r="DV111" i="49"/>
  <c r="DV109" i="49"/>
  <c r="DV116" i="49"/>
  <c r="DV112" i="49"/>
  <c r="DV105" i="49"/>
  <c r="DV104" i="49"/>
  <c r="DV103" i="49"/>
  <c r="DV110" i="49"/>
  <c r="DX115" i="49"/>
  <c r="DX114" i="49"/>
  <c r="DX113" i="49"/>
  <c r="DX109" i="49"/>
  <c r="DX116" i="49"/>
  <c r="DX106" i="49"/>
  <c r="DX105" i="49"/>
  <c r="DX104" i="49"/>
  <c r="DX103" i="49"/>
  <c r="DX112" i="49"/>
  <c r="DX111" i="49"/>
  <c r="DX110" i="49"/>
  <c r="DS105" i="49"/>
  <c r="DS104" i="49"/>
  <c r="DS103" i="49"/>
  <c r="DS112" i="49"/>
  <c r="DS111" i="49"/>
  <c r="DS110" i="49"/>
  <c r="DS106" i="49"/>
  <c r="DS115" i="49"/>
  <c r="DS114" i="49"/>
  <c r="DS113" i="49"/>
  <c r="DS109" i="49"/>
  <c r="DS116" i="49"/>
  <c r="DT112" i="49"/>
  <c r="DT111" i="49"/>
  <c r="DT110" i="49"/>
  <c r="DT106" i="49"/>
  <c r="DT104" i="49"/>
  <c r="DT115" i="49"/>
  <c r="DT114" i="49"/>
  <c r="DT113" i="49"/>
  <c r="DT109" i="49"/>
  <c r="DT105" i="49"/>
  <c r="DT116" i="49"/>
  <c r="DT103" i="49"/>
  <c r="DR49" i="40"/>
  <c r="DR51" i="40"/>
  <c r="DR48" i="40"/>
  <c r="DR50" i="40"/>
  <c r="DR47" i="40"/>
  <c r="DR52" i="40"/>
  <c r="DQ37" i="40"/>
  <c r="DQ52" i="40"/>
  <c r="DQ49" i="40"/>
  <c r="DQ51" i="40"/>
  <c r="DQ48" i="40"/>
  <c r="DQ50" i="40"/>
  <c r="DQ47" i="40"/>
  <c r="DV47" i="40"/>
  <c r="DV52" i="40"/>
  <c r="DV49" i="40"/>
  <c r="DV51" i="40"/>
  <c r="DV48" i="40"/>
  <c r="DV50" i="40"/>
  <c r="DT47" i="40"/>
  <c r="DT52" i="40"/>
  <c r="DT49" i="40"/>
  <c r="DT51" i="40"/>
  <c r="DT48" i="40"/>
  <c r="DT50" i="40"/>
  <c r="DS52" i="40"/>
  <c r="DS49" i="40"/>
  <c r="DS51" i="40"/>
  <c r="DS48" i="40"/>
  <c r="DS50" i="40"/>
  <c r="DS47" i="40"/>
  <c r="DU52" i="40"/>
  <c r="DU49" i="40"/>
  <c r="DU51" i="40"/>
  <c r="DU48" i="40"/>
  <c r="DU50" i="40"/>
  <c r="DU47" i="40"/>
  <c r="FF47" i="32"/>
  <c r="FF48" i="32"/>
  <c r="FF51" i="32"/>
  <c r="FF49" i="32"/>
  <c r="FF52" i="32"/>
  <c r="FF50" i="32"/>
  <c r="FH47" i="32"/>
  <c r="FH50" i="32"/>
  <c r="FH48" i="32"/>
  <c r="FH49" i="32"/>
  <c r="FH52" i="32"/>
  <c r="FH51" i="32"/>
  <c r="FE50" i="32"/>
  <c r="FE47" i="32"/>
  <c r="FE48" i="32"/>
  <c r="FE51" i="32"/>
  <c r="FE49" i="32"/>
  <c r="FE52" i="32"/>
  <c r="FC52" i="32"/>
  <c r="FC47" i="32"/>
  <c r="FC50" i="32"/>
  <c r="FC48" i="32"/>
  <c r="FC51" i="32"/>
  <c r="FC49" i="32"/>
  <c r="FD47" i="32"/>
  <c r="FD50" i="32"/>
  <c r="FD48" i="32"/>
  <c r="FD51" i="32"/>
  <c r="FD49" i="32"/>
  <c r="FD52" i="32"/>
  <c r="FG48" i="32"/>
  <c r="FG47" i="32"/>
  <c r="FG50" i="32"/>
  <c r="FG51" i="32"/>
  <c r="FG49" i="32"/>
  <c r="FG52" i="32"/>
  <c r="DT166" i="49"/>
  <c r="DT165" i="49"/>
  <c r="DT164" i="49"/>
  <c r="DT169" i="49"/>
  <c r="DT168" i="49"/>
  <c r="DT167" i="49"/>
  <c r="DT163" i="49"/>
  <c r="DT162" i="49"/>
  <c r="DT161" i="49"/>
  <c r="DW166" i="49"/>
  <c r="DW165" i="49"/>
  <c r="DW164" i="49"/>
  <c r="DW169" i="49"/>
  <c r="DW168" i="49"/>
  <c r="DW167" i="49"/>
  <c r="DW163" i="49"/>
  <c r="DW162" i="49"/>
  <c r="DW161" i="49"/>
  <c r="DV166" i="49"/>
  <c r="DV165" i="49"/>
  <c r="DV164" i="49"/>
  <c r="DV169" i="49"/>
  <c r="DV168" i="49"/>
  <c r="DV167" i="49"/>
  <c r="DV163" i="49"/>
  <c r="DV162" i="49"/>
  <c r="DV161" i="49"/>
  <c r="DU166" i="49"/>
  <c r="DU165" i="49"/>
  <c r="DU164" i="49"/>
  <c r="DU169" i="49"/>
  <c r="DU168" i="49"/>
  <c r="DU167" i="49"/>
  <c r="DU163" i="49"/>
  <c r="DU162" i="49"/>
  <c r="DU161" i="49"/>
  <c r="DX193" i="49"/>
  <c r="DX166" i="49"/>
  <c r="DX165" i="49"/>
  <c r="DX164" i="49"/>
  <c r="DX169" i="49"/>
  <c r="DX168" i="49"/>
  <c r="DX167" i="49"/>
  <c r="DX163" i="49"/>
  <c r="DX162" i="49"/>
  <c r="DX161" i="49"/>
  <c r="DS168" i="49"/>
  <c r="DS167" i="49"/>
  <c r="DS166" i="49"/>
  <c r="DS165" i="49"/>
  <c r="DS164" i="49"/>
  <c r="DS169" i="49"/>
  <c r="DS161" i="49"/>
  <c r="DS163" i="49"/>
  <c r="DS162" i="49"/>
  <c r="DQ11" i="40"/>
  <c r="DT74" i="40"/>
  <c r="DT75" i="40"/>
  <c r="DT73" i="40"/>
  <c r="DS74" i="40"/>
  <c r="DS75" i="40"/>
  <c r="DS73" i="40"/>
  <c r="DU74" i="40"/>
  <c r="DU75" i="40"/>
  <c r="DU73" i="40"/>
  <c r="DR66" i="40"/>
  <c r="DR74" i="40"/>
  <c r="DR75" i="40"/>
  <c r="DR73" i="40"/>
  <c r="DQ96" i="40"/>
  <c r="DQ73" i="40"/>
  <c r="DQ74" i="40"/>
  <c r="DQ75" i="40"/>
  <c r="DV74" i="40"/>
  <c r="DV75" i="40"/>
  <c r="DV73" i="40"/>
  <c r="DR69" i="40"/>
  <c r="DR86" i="40"/>
  <c r="DR64" i="40"/>
  <c r="DR84" i="40"/>
  <c r="DR44" i="40"/>
  <c r="DR87" i="40"/>
  <c r="DR18" i="40"/>
  <c r="DR12" i="40"/>
  <c r="DR29" i="40"/>
  <c r="DR93" i="40"/>
  <c r="DR96" i="40"/>
  <c r="DR11" i="40"/>
  <c r="DR10" i="40"/>
  <c r="DR28" i="40"/>
  <c r="DR35" i="40"/>
  <c r="DR83" i="40"/>
  <c r="DR14" i="40"/>
  <c r="DR56" i="40"/>
  <c r="DR37" i="40"/>
  <c r="DR82" i="40"/>
  <c r="DR43" i="40"/>
  <c r="DR62" i="40"/>
  <c r="DR88" i="40"/>
  <c r="DR90" i="40"/>
  <c r="DQ39" i="40"/>
  <c r="DQ86" i="40"/>
  <c r="DR95" i="40"/>
  <c r="DR77" i="40"/>
  <c r="DR57" i="40"/>
  <c r="DR67" i="40"/>
  <c r="DQ55" i="40"/>
  <c r="DR21" i="40"/>
  <c r="DR16" i="40"/>
  <c r="DR15" i="40"/>
  <c r="DR34" i="40"/>
  <c r="DR30" i="40"/>
  <c r="DR54" i="40"/>
  <c r="DR63" i="40"/>
  <c r="DR91" i="40"/>
  <c r="DQ18" i="40"/>
  <c r="DQ54" i="40"/>
  <c r="DQ79" i="40"/>
  <c r="DQ94" i="40"/>
  <c r="DR26" i="40"/>
  <c r="DR78" i="40"/>
  <c r="DR85" i="40"/>
  <c r="DQ10" i="40"/>
  <c r="DQ41" i="40"/>
  <c r="DQ88" i="40"/>
  <c r="DQ20" i="40"/>
  <c r="DQ22" i="40"/>
  <c r="DQ28" i="40"/>
  <c r="DQ33" i="40"/>
  <c r="DQ83" i="40"/>
  <c r="DQ82" i="40"/>
  <c r="DQ15" i="40"/>
  <c r="DQ14" i="40"/>
  <c r="DQ61" i="40"/>
  <c r="DQ60" i="40"/>
  <c r="DQ71" i="40"/>
  <c r="DQ21" i="40"/>
  <c r="DQ58" i="40"/>
  <c r="DQ38" i="40"/>
  <c r="DQ91" i="40"/>
  <c r="DQ81" i="40"/>
  <c r="DQ25" i="40"/>
  <c r="DQ30" i="40"/>
  <c r="DQ87" i="40"/>
  <c r="DQ98" i="40"/>
  <c r="DQ84" i="40"/>
  <c r="DQ17" i="40"/>
  <c r="DQ12" i="40"/>
  <c r="DQ45" i="40"/>
  <c r="DQ31" i="40"/>
  <c r="DQ43" i="40"/>
  <c r="DQ70" i="40"/>
  <c r="DQ77" i="40"/>
  <c r="DQ26" i="40"/>
  <c r="DQ59" i="40"/>
  <c r="DQ69" i="40"/>
  <c r="DQ62" i="40"/>
  <c r="DQ34" i="40"/>
  <c r="DQ56" i="40"/>
  <c r="DQ66" i="40"/>
  <c r="DQ90" i="40"/>
  <c r="DQ68" i="40"/>
  <c r="DQ64" i="40"/>
  <c r="DQ29" i="40"/>
  <c r="DQ57" i="40"/>
  <c r="DQ93" i="40"/>
  <c r="DX128" i="49"/>
  <c r="DX209" i="49"/>
  <c r="DX217" i="49"/>
  <c r="DX55" i="49"/>
  <c r="DX34" i="49"/>
  <c r="DX77" i="49"/>
  <c r="DX59" i="49"/>
  <c r="DX97" i="49"/>
  <c r="DX63" i="49"/>
  <c r="DX196" i="49"/>
  <c r="FC75" i="32"/>
  <c r="FC74" i="32"/>
  <c r="FC73" i="32"/>
  <c r="FG74" i="32"/>
  <c r="FG75" i="32"/>
  <c r="FG73" i="32"/>
  <c r="FD74" i="32"/>
  <c r="FD73" i="32"/>
  <c r="FD75" i="32"/>
  <c r="FF75" i="32"/>
  <c r="FF74" i="32"/>
  <c r="FF73" i="32"/>
  <c r="FH74" i="32"/>
  <c r="FH73" i="32"/>
  <c r="FH75" i="32"/>
  <c r="FE68" i="32"/>
  <c r="FE73" i="32"/>
  <c r="FE75" i="32"/>
  <c r="FE74" i="32"/>
  <c r="DX203" i="49"/>
  <c r="DX45" i="49"/>
  <c r="DX118" i="49"/>
  <c r="DX35" i="49"/>
  <c r="DX123" i="49"/>
  <c r="DX62" i="49"/>
  <c r="DX159" i="49"/>
  <c r="DX40" i="49"/>
  <c r="DX49" i="49"/>
  <c r="DX89" i="49"/>
  <c r="DX25" i="49"/>
  <c r="DX85" i="49"/>
  <c r="DX88" i="49"/>
  <c r="DX90" i="49"/>
  <c r="DX124" i="49"/>
  <c r="DX180" i="49"/>
  <c r="DX149" i="49"/>
  <c r="DX207" i="49"/>
  <c r="DX41" i="49"/>
  <c r="DX29" i="49"/>
  <c r="DX95" i="49"/>
  <c r="DX91" i="49"/>
  <c r="DX93" i="49"/>
  <c r="DX127" i="49"/>
  <c r="DX183" i="49"/>
  <c r="DX154" i="49"/>
  <c r="DX215" i="49"/>
  <c r="DX11" i="49"/>
  <c r="DX10" i="49"/>
  <c r="DX99" i="49"/>
  <c r="DX94" i="49"/>
  <c r="DX122" i="49"/>
  <c r="DX130" i="49"/>
  <c r="DX132" i="49"/>
  <c r="DX144" i="49"/>
  <c r="DX148" i="49"/>
  <c r="DX27" i="49"/>
  <c r="DX19" i="49"/>
  <c r="DX14" i="49"/>
  <c r="DX67" i="49"/>
  <c r="DX50" i="49"/>
  <c r="DX66" i="49"/>
  <c r="DX58" i="49"/>
  <c r="DX181" i="49"/>
  <c r="DX138" i="49"/>
  <c r="DX204" i="49"/>
  <c r="DX191" i="49"/>
  <c r="DX18" i="49"/>
  <c r="DX38" i="49"/>
  <c r="DX78" i="49"/>
  <c r="DX76" i="49"/>
  <c r="DX134" i="49"/>
  <c r="DX195" i="49"/>
  <c r="DX208" i="49"/>
  <c r="DX202" i="49"/>
  <c r="DX13" i="49"/>
  <c r="DX24" i="49"/>
  <c r="DX20" i="49"/>
  <c r="DX43" i="49"/>
  <c r="DX57" i="49"/>
  <c r="DX81" i="49"/>
  <c r="DX79" i="49"/>
  <c r="DX137" i="49"/>
  <c r="DX201" i="49"/>
  <c r="DX212" i="49"/>
  <c r="DX210" i="49"/>
  <c r="DX17" i="49"/>
  <c r="DX28" i="49"/>
  <c r="DX47" i="49"/>
  <c r="DX69" i="49"/>
  <c r="DX101" i="49"/>
  <c r="DX182" i="49"/>
  <c r="DX185" i="49"/>
  <c r="DX171" i="49"/>
  <c r="DX220" i="49"/>
  <c r="DX214" i="49"/>
  <c r="DX92" i="49"/>
  <c r="DX22" i="49"/>
  <c r="DX126" i="49"/>
  <c r="DX61" i="49"/>
  <c r="DX136" i="49"/>
  <c r="DX198" i="49"/>
  <c r="DX186" i="49"/>
  <c r="DX151" i="49"/>
  <c r="DX218" i="49"/>
  <c r="DX48" i="49"/>
  <c r="DX31" i="49"/>
  <c r="DX30" i="49"/>
  <c r="DX72" i="49"/>
  <c r="DX64" i="49"/>
  <c r="DX86" i="49"/>
  <c r="DX188" i="49"/>
  <c r="DX177" i="49"/>
  <c r="DX147" i="49"/>
  <c r="DX194" i="49"/>
  <c r="DX145" i="49"/>
  <c r="DX100" i="49"/>
  <c r="DX33" i="49"/>
  <c r="DX39" i="49"/>
  <c r="DX87" i="49"/>
  <c r="DX83" i="49"/>
  <c r="DX68" i="49"/>
  <c r="DX190" i="49"/>
  <c r="DX120" i="49"/>
  <c r="DX205" i="49"/>
  <c r="DX153" i="49"/>
  <c r="DX158" i="49"/>
  <c r="FE55" i="32"/>
  <c r="DX65" i="49"/>
  <c r="DX96" i="49"/>
  <c r="DX16" i="49"/>
  <c r="DX36" i="49"/>
  <c r="DX60" i="49"/>
  <c r="DX71" i="49"/>
  <c r="DX73" i="49"/>
  <c r="DX70" i="49"/>
  <c r="DX121" i="49"/>
  <c r="DX174" i="49"/>
  <c r="DX189" i="49"/>
  <c r="DX197" i="49"/>
  <c r="DX139" i="49"/>
  <c r="DX219" i="49"/>
  <c r="DX155" i="49"/>
  <c r="DX157" i="49"/>
  <c r="DX146" i="49"/>
  <c r="DX143" i="49"/>
  <c r="DX15" i="49"/>
  <c r="DX44" i="49"/>
  <c r="DX82" i="49"/>
  <c r="DX54" i="49"/>
  <c r="DX74" i="49"/>
  <c r="DX176" i="49"/>
  <c r="DX98" i="49"/>
  <c r="DX173" i="49"/>
  <c r="DX133" i="49"/>
  <c r="DX178" i="49"/>
  <c r="DX125" i="49"/>
  <c r="DX152" i="49"/>
  <c r="DX192" i="49"/>
  <c r="DX141" i="49"/>
  <c r="DX150" i="49"/>
  <c r="DX37" i="49"/>
  <c r="DX23" i="49"/>
  <c r="DX56" i="49"/>
  <c r="DX26" i="49"/>
  <c r="DX172" i="49"/>
  <c r="DX80" i="49"/>
  <c r="DX129" i="49"/>
  <c r="DX75" i="49"/>
  <c r="DX84" i="49"/>
  <c r="DX142" i="49"/>
  <c r="DX184" i="49"/>
  <c r="DX131" i="49"/>
  <c r="DX140" i="49"/>
  <c r="DX200" i="49"/>
  <c r="DX156" i="49"/>
  <c r="DX206" i="49"/>
  <c r="DX21" i="49"/>
  <c r="DX53" i="49"/>
  <c r="DX12" i="49"/>
  <c r="DX32" i="49"/>
  <c r="DX51" i="49"/>
  <c r="DX46" i="49"/>
  <c r="DX42" i="49"/>
  <c r="DX119" i="49"/>
  <c r="DX179" i="49"/>
  <c r="DX175" i="49"/>
  <c r="DX187" i="49"/>
  <c r="DX135" i="49"/>
  <c r="DX213" i="49"/>
  <c r="DX216" i="49"/>
  <c r="DX211" i="49"/>
  <c r="DS146" i="49"/>
  <c r="DS194" i="49"/>
  <c r="DS151" i="49"/>
  <c r="DS220" i="49"/>
  <c r="DS216" i="49"/>
  <c r="DS212" i="49"/>
  <c r="DS208" i="49"/>
  <c r="DS204" i="49"/>
  <c r="DS200" i="49"/>
  <c r="DS144" i="49"/>
  <c r="DS192" i="49"/>
  <c r="DS157" i="49"/>
  <c r="DS154" i="49"/>
  <c r="DS149" i="49"/>
  <c r="DS142" i="49"/>
  <c r="DS217" i="49"/>
  <c r="DS213" i="49"/>
  <c r="DS209" i="49"/>
  <c r="DS205" i="49"/>
  <c r="DS201" i="49"/>
  <c r="DS147" i="49"/>
  <c r="DS195" i="49"/>
  <c r="DS152" i="49"/>
  <c r="DS140" i="49"/>
  <c r="DS158" i="49"/>
  <c r="DS155" i="49"/>
  <c r="DS145" i="49"/>
  <c r="DS193" i="49"/>
  <c r="DS218" i="49"/>
  <c r="DS214" i="49"/>
  <c r="DS210" i="49"/>
  <c r="DS206" i="49"/>
  <c r="DS202" i="49"/>
  <c r="DS150" i="49"/>
  <c r="DS198" i="49"/>
  <c r="DS211" i="49"/>
  <c r="DS187" i="49"/>
  <c r="DS191" i="49"/>
  <c r="DS172" i="49"/>
  <c r="DS207" i="49"/>
  <c r="DS185" i="49"/>
  <c r="DS184" i="49"/>
  <c r="DS181" i="49"/>
  <c r="DS178" i="49"/>
  <c r="DS124" i="49"/>
  <c r="DS121" i="49"/>
  <c r="DS118" i="49"/>
  <c r="DS175" i="49"/>
  <c r="DS197" i="49"/>
  <c r="DS190" i="49"/>
  <c r="DS159" i="49"/>
  <c r="DS188" i="49"/>
  <c r="DS182" i="49"/>
  <c r="DS179" i="49"/>
  <c r="DS122" i="49"/>
  <c r="DS119" i="49"/>
  <c r="DS176" i="49"/>
  <c r="DS203" i="49"/>
  <c r="DS156" i="49"/>
  <c r="DS141" i="49"/>
  <c r="DS186" i="49"/>
  <c r="DS219" i="49"/>
  <c r="DS143" i="49"/>
  <c r="DS215" i="49"/>
  <c r="DS153" i="49"/>
  <c r="DS196" i="49"/>
  <c r="DS189" i="49"/>
  <c r="DS183" i="49"/>
  <c r="DS180" i="49"/>
  <c r="DS123" i="49"/>
  <c r="DS120" i="49"/>
  <c r="DS177" i="49"/>
  <c r="DS174" i="49"/>
  <c r="DS139" i="49"/>
  <c r="DS98" i="49"/>
  <c r="DS94" i="49"/>
  <c r="DS91" i="49"/>
  <c r="DS88" i="49"/>
  <c r="DS71" i="49"/>
  <c r="DS59" i="49"/>
  <c r="DS42" i="49"/>
  <c r="DS40" i="49"/>
  <c r="DS83" i="49"/>
  <c r="DS64" i="49"/>
  <c r="DS69" i="49"/>
  <c r="DS99" i="49"/>
  <c r="DS95" i="49"/>
  <c r="DS85" i="49"/>
  <c r="DS80" i="49"/>
  <c r="DS77" i="49"/>
  <c r="DS74" i="49"/>
  <c r="DS62" i="49"/>
  <c r="DS173" i="49"/>
  <c r="DS92" i="49"/>
  <c r="DS89" i="49"/>
  <c r="DS67" i="49"/>
  <c r="DS87" i="49"/>
  <c r="DS72" i="49"/>
  <c r="DS60" i="49"/>
  <c r="DS51" i="49"/>
  <c r="DS47" i="49"/>
  <c r="DS43" i="49"/>
  <c r="DS38" i="49"/>
  <c r="DS100" i="49"/>
  <c r="DS96" i="49"/>
  <c r="DS82" i="49"/>
  <c r="DS65" i="49"/>
  <c r="DS53" i="49"/>
  <c r="DS79" i="49"/>
  <c r="DS76" i="49"/>
  <c r="DS70" i="49"/>
  <c r="DS58" i="49"/>
  <c r="DS93" i="49"/>
  <c r="DS90" i="49"/>
  <c r="DS84" i="49"/>
  <c r="DS63" i="49"/>
  <c r="DS86" i="49"/>
  <c r="DS73" i="49"/>
  <c r="DS61" i="49"/>
  <c r="DS50" i="49"/>
  <c r="DS46" i="49"/>
  <c r="DS45" i="49"/>
  <c r="DS44" i="49"/>
  <c r="DS20" i="49"/>
  <c r="DS18" i="49"/>
  <c r="DS16" i="49"/>
  <c r="DS14" i="49"/>
  <c r="DS12" i="49"/>
  <c r="DS10" i="49"/>
  <c r="DS148" i="49"/>
  <c r="DS75" i="49"/>
  <c r="DS171" i="49"/>
  <c r="DS37" i="49"/>
  <c r="DS27" i="49"/>
  <c r="DS23" i="49"/>
  <c r="DS35" i="49"/>
  <c r="DS33" i="49"/>
  <c r="DS31" i="49"/>
  <c r="DS101" i="49"/>
  <c r="DS57" i="49"/>
  <c r="DS54" i="49"/>
  <c r="DS78" i="49"/>
  <c r="DS66" i="49"/>
  <c r="DS28" i="49"/>
  <c r="DS24" i="49"/>
  <c r="DS97" i="49"/>
  <c r="DS21" i="49"/>
  <c r="DS19" i="49"/>
  <c r="DS17" i="49"/>
  <c r="DS15" i="49"/>
  <c r="DS13" i="49"/>
  <c r="DS11" i="49"/>
  <c r="DS39" i="49"/>
  <c r="DS29" i="49"/>
  <c r="DS25" i="49"/>
  <c r="DS81" i="49"/>
  <c r="DS36" i="49"/>
  <c r="DS34" i="49"/>
  <c r="DS32" i="49"/>
  <c r="DS68" i="49"/>
  <c r="DS56" i="49"/>
  <c r="DS41" i="49"/>
  <c r="DS30" i="49"/>
  <c r="DS49" i="49"/>
  <c r="DS26" i="49"/>
  <c r="DS48" i="49"/>
  <c r="DS22" i="49"/>
  <c r="DS55" i="49"/>
  <c r="DQ16" i="40"/>
  <c r="DQ35" i="40"/>
  <c r="DQ23" i="40"/>
  <c r="DQ78" i="40"/>
  <c r="DQ44" i="40"/>
  <c r="DQ85" i="40"/>
  <c r="DQ92" i="40"/>
  <c r="DT151" i="49"/>
  <c r="DT139" i="49"/>
  <c r="DT220" i="49"/>
  <c r="DT216" i="49"/>
  <c r="DT212" i="49"/>
  <c r="DT208" i="49"/>
  <c r="DT204" i="49"/>
  <c r="DT200" i="49"/>
  <c r="DT144" i="49"/>
  <c r="DT157" i="49"/>
  <c r="DT154" i="49"/>
  <c r="DT149" i="49"/>
  <c r="DT197" i="49"/>
  <c r="DT142" i="49"/>
  <c r="DT217" i="49"/>
  <c r="DT213" i="49"/>
  <c r="DT209" i="49"/>
  <c r="DT205" i="49"/>
  <c r="DT201" i="49"/>
  <c r="DT147" i="49"/>
  <c r="DT195" i="49"/>
  <c r="DT152" i="49"/>
  <c r="DT140" i="49"/>
  <c r="DT158" i="49"/>
  <c r="DT155" i="49"/>
  <c r="DT145" i="49"/>
  <c r="DT193" i="49"/>
  <c r="DT218" i="49"/>
  <c r="DT214" i="49"/>
  <c r="DT210" i="49"/>
  <c r="DT206" i="49"/>
  <c r="DT202" i="49"/>
  <c r="DT150" i="49"/>
  <c r="DT198" i="49"/>
  <c r="DT143" i="49"/>
  <c r="DT191" i="49"/>
  <c r="DT219" i="49"/>
  <c r="DT215" i="49"/>
  <c r="DT211" i="49"/>
  <c r="DT207" i="49"/>
  <c r="DT185" i="49"/>
  <c r="DT184" i="49"/>
  <c r="DT181" i="49"/>
  <c r="DT178" i="49"/>
  <c r="DT124" i="49"/>
  <c r="DT121" i="49"/>
  <c r="DT118" i="49"/>
  <c r="DT175" i="49"/>
  <c r="DT194" i="49"/>
  <c r="DT190" i="49"/>
  <c r="DT159" i="49"/>
  <c r="DT188" i="49"/>
  <c r="DT182" i="49"/>
  <c r="DT179" i="49"/>
  <c r="DT122" i="49"/>
  <c r="DT119" i="49"/>
  <c r="DT176" i="49"/>
  <c r="DT173" i="49"/>
  <c r="DT203" i="49"/>
  <c r="DT156" i="49"/>
  <c r="DT141" i="49"/>
  <c r="DT192" i="49"/>
  <c r="DT186" i="49"/>
  <c r="DT146" i="49"/>
  <c r="DT171" i="49"/>
  <c r="DT148" i="49"/>
  <c r="DT187" i="49"/>
  <c r="DT120" i="49"/>
  <c r="DT83" i="49"/>
  <c r="DT64" i="49"/>
  <c r="DT172" i="49"/>
  <c r="DT69" i="49"/>
  <c r="DT57" i="49"/>
  <c r="DT99" i="49"/>
  <c r="DT95" i="49"/>
  <c r="DT85" i="49"/>
  <c r="DT80" i="49"/>
  <c r="DT77" i="49"/>
  <c r="DT74" i="49"/>
  <c r="DT62" i="49"/>
  <c r="DT177" i="49"/>
  <c r="DT92" i="49"/>
  <c r="DT89" i="49"/>
  <c r="DT67" i="49"/>
  <c r="DT55" i="49"/>
  <c r="DT87" i="49"/>
  <c r="DT72" i="49"/>
  <c r="DT60" i="49"/>
  <c r="DT196" i="49"/>
  <c r="DT100" i="49"/>
  <c r="DT96" i="49"/>
  <c r="DT82" i="49"/>
  <c r="DT65" i="49"/>
  <c r="DT53" i="49"/>
  <c r="DT41" i="49"/>
  <c r="DT183" i="49"/>
  <c r="DT79" i="49"/>
  <c r="DT76" i="49"/>
  <c r="DT70" i="49"/>
  <c r="DT58" i="49"/>
  <c r="DT93" i="49"/>
  <c r="DT90" i="49"/>
  <c r="DT84" i="49"/>
  <c r="DT63" i="49"/>
  <c r="DT48" i="49"/>
  <c r="DT44" i="49"/>
  <c r="DT39" i="49"/>
  <c r="DT174" i="49"/>
  <c r="DT101" i="49"/>
  <c r="DT97" i="49"/>
  <c r="DT68" i="49"/>
  <c r="DT56" i="49"/>
  <c r="DT81" i="49"/>
  <c r="DT78" i="49"/>
  <c r="DT75" i="49"/>
  <c r="DT66" i="49"/>
  <c r="DT54" i="49"/>
  <c r="DT49" i="49"/>
  <c r="DT45" i="49"/>
  <c r="DT153" i="49"/>
  <c r="DT43" i="49"/>
  <c r="DT88" i="49"/>
  <c r="DT71" i="49"/>
  <c r="DT51" i="49"/>
  <c r="DT37" i="49"/>
  <c r="DT27" i="49"/>
  <c r="DT23" i="49"/>
  <c r="DT123" i="49"/>
  <c r="DT35" i="49"/>
  <c r="DT33" i="49"/>
  <c r="DT31" i="49"/>
  <c r="DT189" i="49"/>
  <c r="DT98" i="49"/>
  <c r="DT91" i="49"/>
  <c r="DT59" i="49"/>
  <c r="DT28" i="49"/>
  <c r="DT24" i="49"/>
  <c r="DT94" i="49"/>
  <c r="DT21" i="49"/>
  <c r="DT19" i="49"/>
  <c r="DT17" i="49"/>
  <c r="DT15" i="49"/>
  <c r="DT13" i="49"/>
  <c r="DT11" i="49"/>
  <c r="DT86" i="49"/>
  <c r="DT73" i="49"/>
  <c r="DT61" i="49"/>
  <c r="DT40" i="49"/>
  <c r="DT38" i="49"/>
  <c r="DT36" i="49"/>
  <c r="DT34" i="49"/>
  <c r="DT32" i="49"/>
  <c r="DT30" i="49"/>
  <c r="DT26" i="49"/>
  <c r="DT22" i="49"/>
  <c r="DT180" i="49"/>
  <c r="DT50" i="49"/>
  <c r="DT46" i="49"/>
  <c r="DT29" i="49"/>
  <c r="DT42" i="49"/>
  <c r="DT18" i="49"/>
  <c r="DT14" i="49"/>
  <c r="DT10" i="49"/>
  <c r="DT25" i="49"/>
  <c r="DT47" i="49"/>
  <c r="DT16" i="49"/>
  <c r="DT20" i="49"/>
  <c r="DT12" i="49"/>
  <c r="DU220" i="49"/>
  <c r="DU216" i="49"/>
  <c r="DU212" i="49"/>
  <c r="DU208" i="49"/>
  <c r="DU204" i="49"/>
  <c r="DU200" i="49"/>
  <c r="DU144" i="49"/>
  <c r="DU192" i="49"/>
  <c r="DU157" i="49"/>
  <c r="DU154" i="49"/>
  <c r="DU149" i="49"/>
  <c r="DU142" i="49"/>
  <c r="DU217" i="49"/>
  <c r="DU213" i="49"/>
  <c r="DU209" i="49"/>
  <c r="DU205" i="49"/>
  <c r="DU201" i="49"/>
  <c r="DU147" i="49"/>
  <c r="DU152" i="49"/>
  <c r="DU140" i="49"/>
  <c r="DU158" i="49"/>
  <c r="DU155" i="49"/>
  <c r="DU145" i="49"/>
  <c r="DU193" i="49"/>
  <c r="DU218" i="49"/>
  <c r="DU214" i="49"/>
  <c r="DU210" i="49"/>
  <c r="DU206" i="49"/>
  <c r="DU202" i="49"/>
  <c r="DU150" i="49"/>
  <c r="DU198" i="49"/>
  <c r="DU143" i="49"/>
  <c r="DU191" i="49"/>
  <c r="DU148" i="49"/>
  <c r="DU196" i="49"/>
  <c r="DU185" i="49"/>
  <c r="DU184" i="49"/>
  <c r="DU181" i="49"/>
  <c r="DU178" i="49"/>
  <c r="DU124" i="49"/>
  <c r="DU121" i="49"/>
  <c r="DU118" i="49"/>
  <c r="DU175" i="49"/>
  <c r="DU207" i="49"/>
  <c r="DU194" i="49"/>
  <c r="DU190" i="49"/>
  <c r="DU159" i="49"/>
  <c r="DU197" i="49"/>
  <c r="DU188" i="49"/>
  <c r="DU182" i="49"/>
  <c r="DU179" i="49"/>
  <c r="DU122" i="49"/>
  <c r="DU119" i="49"/>
  <c r="DU176" i="49"/>
  <c r="DU173" i="49"/>
  <c r="DU203" i="49"/>
  <c r="DU156" i="49"/>
  <c r="DU141" i="49"/>
  <c r="DU186" i="49"/>
  <c r="DU146" i="49"/>
  <c r="DU195" i="49"/>
  <c r="DU219" i="49"/>
  <c r="DU151" i="49"/>
  <c r="DU153" i="49"/>
  <c r="DU189" i="49"/>
  <c r="DU183" i="49"/>
  <c r="DU180" i="49"/>
  <c r="DU139" i="49"/>
  <c r="DU187" i="49"/>
  <c r="DU211" i="49"/>
  <c r="DU172" i="49"/>
  <c r="DU69" i="49"/>
  <c r="DU57" i="49"/>
  <c r="DU50" i="49"/>
  <c r="DU46" i="49"/>
  <c r="DU215" i="49"/>
  <c r="DU99" i="49"/>
  <c r="DU95" i="49"/>
  <c r="DU85" i="49"/>
  <c r="DU80" i="49"/>
  <c r="DU77" i="49"/>
  <c r="DU74" i="49"/>
  <c r="DU62" i="49"/>
  <c r="DU177" i="49"/>
  <c r="DU92" i="49"/>
  <c r="DU89" i="49"/>
  <c r="DU67" i="49"/>
  <c r="DU87" i="49"/>
  <c r="DU72" i="49"/>
  <c r="DU60" i="49"/>
  <c r="DU51" i="49"/>
  <c r="DU47" i="49"/>
  <c r="DU43" i="49"/>
  <c r="DU38" i="49"/>
  <c r="DU100" i="49"/>
  <c r="DU96" i="49"/>
  <c r="DU82" i="49"/>
  <c r="DU65" i="49"/>
  <c r="DU79" i="49"/>
  <c r="DU76" i="49"/>
  <c r="DU70" i="49"/>
  <c r="DU58" i="49"/>
  <c r="DU93" i="49"/>
  <c r="DU90" i="49"/>
  <c r="DU84" i="49"/>
  <c r="DU63" i="49"/>
  <c r="DU174" i="49"/>
  <c r="DU101" i="49"/>
  <c r="DU97" i="49"/>
  <c r="DU68" i="49"/>
  <c r="DU56" i="49"/>
  <c r="DU123" i="49"/>
  <c r="DU171" i="49"/>
  <c r="DU86" i="49"/>
  <c r="DU73" i="49"/>
  <c r="DU61" i="49"/>
  <c r="DU98" i="49"/>
  <c r="DU94" i="49"/>
  <c r="DU91" i="49"/>
  <c r="DU88" i="49"/>
  <c r="DU71" i="49"/>
  <c r="DU59" i="49"/>
  <c r="DU42" i="49"/>
  <c r="DU40" i="49"/>
  <c r="DU75" i="49"/>
  <c r="DU37" i="49"/>
  <c r="DU27" i="49"/>
  <c r="DU23" i="49"/>
  <c r="DU53" i="49"/>
  <c r="DU35" i="49"/>
  <c r="DU33" i="49"/>
  <c r="DU31" i="49"/>
  <c r="DU83" i="49"/>
  <c r="DU54" i="49"/>
  <c r="DU28" i="49"/>
  <c r="DU24" i="49"/>
  <c r="DU78" i="49"/>
  <c r="DU66" i="49"/>
  <c r="DU21" i="49"/>
  <c r="DU19" i="49"/>
  <c r="DU17" i="49"/>
  <c r="DU15" i="49"/>
  <c r="DU13" i="49"/>
  <c r="DU11" i="49"/>
  <c r="DU120" i="49"/>
  <c r="DU55" i="49"/>
  <c r="DU29" i="49"/>
  <c r="DU25" i="49"/>
  <c r="DU81" i="49"/>
  <c r="DU41" i="49"/>
  <c r="DU30" i="49"/>
  <c r="DU26" i="49"/>
  <c r="DU22" i="49"/>
  <c r="DU49" i="49"/>
  <c r="DU48" i="49"/>
  <c r="DU20" i="49"/>
  <c r="DU18" i="49"/>
  <c r="DU16" i="49"/>
  <c r="DU14" i="49"/>
  <c r="DU12" i="49"/>
  <c r="DU10" i="49"/>
  <c r="DU34" i="49"/>
  <c r="DU44" i="49"/>
  <c r="DU36" i="49"/>
  <c r="DU32" i="49"/>
  <c r="DU39" i="49"/>
  <c r="DU64" i="49"/>
  <c r="DU45" i="49"/>
  <c r="DW142" i="49"/>
  <c r="DW217" i="49"/>
  <c r="DW213" i="49"/>
  <c r="DW209" i="49"/>
  <c r="DW205" i="49"/>
  <c r="DW201" i="49"/>
  <c r="DW147" i="49"/>
  <c r="DW152" i="49"/>
  <c r="DW140" i="49"/>
  <c r="DW158" i="49"/>
  <c r="DW155" i="49"/>
  <c r="DW145" i="49"/>
  <c r="DW218" i="49"/>
  <c r="DW214" i="49"/>
  <c r="DW210" i="49"/>
  <c r="DW206" i="49"/>
  <c r="DW202" i="49"/>
  <c r="DW150" i="49"/>
  <c r="DW198" i="49"/>
  <c r="DW143" i="49"/>
  <c r="DW191" i="49"/>
  <c r="DW148" i="49"/>
  <c r="DW196" i="49"/>
  <c r="DW219" i="49"/>
  <c r="DW215" i="49"/>
  <c r="DW211" i="49"/>
  <c r="DW207" i="49"/>
  <c r="DW203" i="49"/>
  <c r="DW159" i="49"/>
  <c r="DW156" i="49"/>
  <c r="DW153" i="49"/>
  <c r="DW141" i="49"/>
  <c r="DW146" i="49"/>
  <c r="DW194" i="49"/>
  <c r="DW220" i="49"/>
  <c r="DW216" i="49"/>
  <c r="DW212" i="49"/>
  <c r="DW208" i="49"/>
  <c r="DW204" i="49"/>
  <c r="DW157" i="49"/>
  <c r="DW197" i="49"/>
  <c r="DW188" i="49"/>
  <c r="DW182" i="49"/>
  <c r="DW179" i="49"/>
  <c r="DW122" i="49"/>
  <c r="DW119" i="49"/>
  <c r="DW176" i="49"/>
  <c r="DW173" i="49"/>
  <c r="DW144" i="49"/>
  <c r="DW186" i="49"/>
  <c r="DW154" i="49"/>
  <c r="DW149" i="49"/>
  <c r="DW192" i="49"/>
  <c r="DW151" i="49"/>
  <c r="DW195" i="49"/>
  <c r="DW189" i="49"/>
  <c r="DW183" i="49"/>
  <c r="DW180" i="49"/>
  <c r="DW123" i="49"/>
  <c r="DW120" i="49"/>
  <c r="DW177" i="49"/>
  <c r="DW139" i="49"/>
  <c r="DW187" i="49"/>
  <c r="DW185" i="49"/>
  <c r="DW184" i="49"/>
  <c r="DW181" i="49"/>
  <c r="DW178" i="49"/>
  <c r="DW124" i="49"/>
  <c r="DW121" i="49"/>
  <c r="DW118" i="49"/>
  <c r="DW175" i="49"/>
  <c r="DW190" i="49"/>
  <c r="DW92" i="49"/>
  <c r="DW89" i="49"/>
  <c r="DW67" i="49"/>
  <c r="DW55" i="49"/>
  <c r="DW87" i="49"/>
  <c r="DW72" i="49"/>
  <c r="DW60" i="49"/>
  <c r="DW100" i="49"/>
  <c r="DW96" i="49"/>
  <c r="DW82" i="49"/>
  <c r="DW65" i="49"/>
  <c r="DW79" i="49"/>
  <c r="DW76" i="49"/>
  <c r="DW70" i="49"/>
  <c r="DW58" i="49"/>
  <c r="DW93" i="49"/>
  <c r="DW90" i="49"/>
  <c r="DW84" i="49"/>
  <c r="DW63" i="49"/>
  <c r="DW97" i="49"/>
  <c r="DW68" i="49"/>
  <c r="DW56" i="49"/>
  <c r="DW200" i="49"/>
  <c r="DW174" i="49"/>
  <c r="DW101" i="49"/>
  <c r="DW86" i="49"/>
  <c r="DW73" i="49"/>
  <c r="DW61" i="49"/>
  <c r="DW193" i="49"/>
  <c r="DW171" i="49"/>
  <c r="DW81" i="49"/>
  <c r="DW78" i="49"/>
  <c r="DW75" i="49"/>
  <c r="DW66" i="49"/>
  <c r="DW54" i="49"/>
  <c r="DW49" i="49"/>
  <c r="DW45" i="49"/>
  <c r="DW98" i="49"/>
  <c r="DW94" i="49"/>
  <c r="DW91" i="49"/>
  <c r="DW88" i="49"/>
  <c r="DW71" i="49"/>
  <c r="DW59" i="49"/>
  <c r="DW69" i="49"/>
  <c r="DW57" i="49"/>
  <c r="DW50" i="49"/>
  <c r="DW46" i="49"/>
  <c r="DW53" i="49"/>
  <c r="DW172" i="49"/>
  <c r="DW95" i="49"/>
  <c r="DW28" i="49"/>
  <c r="DW24" i="49"/>
  <c r="DW83" i="49"/>
  <c r="DW21" i="49"/>
  <c r="DW19" i="49"/>
  <c r="DW17" i="49"/>
  <c r="DW15" i="49"/>
  <c r="DW13" i="49"/>
  <c r="DW11" i="49"/>
  <c r="DW74" i="49"/>
  <c r="DW29" i="49"/>
  <c r="DW25" i="49"/>
  <c r="DW62" i="49"/>
  <c r="DW36" i="49"/>
  <c r="DW34" i="49"/>
  <c r="DW32" i="49"/>
  <c r="DW40" i="49"/>
  <c r="DW39" i="49"/>
  <c r="DW38" i="49"/>
  <c r="DW41" i="49"/>
  <c r="DW20" i="49"/>
  <c r="DW18" i="49"/>
  <c r="DW16" i="49"/>
  <c r="DW14" i="49"/>
  <c r="DW12" i="49"/>
  <c r="DW10" i="49"/>
  <c r="DW85" i="49"/>
  <c r="DW48" i="49"/>
  <c r="DW47" i="49"/>
  <c r="DW42" i="49"/>
  <c r="DW64" i="49"/>
  <c r="DW44" i="49"/>
  <c r="DW43" i="49"/>
  <c r="DW37" i="49"/>
  <c r="DW27" i="49"/>
  <c r="DW23" i="49"/>
  <c r="DW30" i="49"/>
  <c r="DW35" i="49"/>
  <c r="DW26" i="49"/>
  <c r="DW31" i="49"/>
  <c r="DW80" i="49"/>
  <c r="DW33" i="49"/>
  <c r="DW77" i="49"/>
  <c r="DW22" i="49"/>
  <c r="DW99" i="49"/>
  <c r="DW51" i="49"/>
  <c r="DV157" i="49"/>
  <c r="DV154" i="49"/>
  <c r="DV149" i="49"/>
  <c r="DV197" i="49"/>
  <c r="DV142" i="49"/>
  <c r="DV217" i="49"/>
  <c r="DV213" i="49"/>
  <c r="DV209" i="49"/>
  <c r="DV205" i="49"/>
  <c r="DV201" i="49"/>
  <c r="DV147" i="49"/>
  <c r="DV195" i="49"/>
  <c r="DV152" i="49"/>
  <c r="DV158" i="49"/>
  <c r="DV155" i="49"/>
  <c r="DV145" i="49"/>
  <c r="DV193" i="49"/>
  <c r="DV218" i="49"/>
  <c r="DV214" i="49"/>
  <c r="DV210" i="49"/>
  <c r="DV206" i="49"/>
  <c r="DV202" i="49"/>
  <c r="DV150" i="49"/>
  <c r="DV198" i="49"/>
  <c r="DV143" i="49"/>
  <c r="DV191" i="49"/>
  <c r="DV148" i="49"/>
  <c r="DV196" i="49"/>
  <c r="DV219" i="49"/>
  <c r="DV215" i="49"/>
  <c r="DV211" i="49"/>
  <c r="DV207" i="49"/>
  <c r="DV203" i="49"/>
  <c r="DV159" i="49"/>
  <c r="DV156" i="49"/>
  <c r="DV153" i="49"/>
  <c r="DV141" i="49"/>
  <c r="DV194" i="49"/>
  <c r="DV190" i="49"/>
  <c r="DV204" i="49"/>
  <c r="DV101" i="49"/>
  <c r="DV140" i="49"/>
  <c r="DV188" i="49"/>
  <c r="DV182" i="49"/>
  <c r="DV179" i="49"/>
  <c r="DV122" i="49"/>
  <c r="DV119" i="49"/>
  <c r="DV176" i="49"/>
  <c r="DV173" i="49"/>
  <c r="DV220" i="49"/>
  <c r="DV144" i="49"/>
  <c r="DV186" i="49"/>
  <c r="DV146" i="49"/>
  <c r="DV192" i="49"/>
  <c r="DV171" i="49"/>
  <c r="DV216" i="49"/>
  <c r="DV151" i="49"/>
  <c r="DV189" i="49"/>
  <c r="DV183" i="49"/>
  <c r="DV180" i="49"/>
  <c r="DV123" i="49"/>
  <c r="DV120" i="49"/>
  <c r="DV177" i="49"/>
  <c r="DV174" i="49"/>
  <c r="DV212" i="49"/>
  <c r="DV208" i="49"/>
  <c r="DV200" i="49"/>
  <c r="DV172" i="49"/>
  <c r="DV185" i="49"/>
  <c r="DV184" i="49"/>
  <c r="DV181" i="49"/>
  <c r="DV99" i="49"/>
  <c r="DV95" i="49"/>
  <c r="DV85" i="49"/>
  <c r="DV80" i="49"/>
  <c r="DV77" i="49"/>
  <c r="DV74" i="49"/>
  <c r="DV62" i="49"/>
  <c r="DV175" i="49"/>
  <c r="DV92" i="49"/>
  <c r="DV89" i="49"/>
  <c r="DV67" i="49"/>
  <c r="DV187" i="49"/>
  <c r="DV87" i="49"/>
  <c r="DV72" i="49"/>
  <c r="DV60" i="49"/>
  <c r="DV139" i="49"/>
  <c r="DV100" i="49"/>
  <c r="DV96" i="49"/>
  <c r="DV82" i="49"/>
  <c r="DV65" i="49"/>
  <c r="DV53" i="49"/>
  <c r="DV41" i="49"/>
  <c r="DV124" i="49"/>
  <c r="DV79" i="49"/>
  <c r="DV76" i="49"/>
  <c r="DV70" i="49"/>
  <c r="DV93" i="49"/>
  <c r="DV90" i="49"/>
  <c r="DV84" i="49"/>
  <c r="DV63" i="49"/>
  <c r="DV48" i="49"/>
  <c r="DV44" i="49"/>
  <c r="DV39" i="49"/>
  <c r="DV97" i="49"/>
  <c r="DV68" i="49"/>
  <c r="DV56" i="49"/>
  <c r="DV178" i="49"/>
  <c r="DV121" i="49"/>
  <c r="DV86" i="49"/>
  <c r="DV73" i="49"/>
  <c r="DV61" i="49"/>
  <c r="DV81" i="49"/>
  <c r="DV78" i="49"/>
  <c r="DV75" i="49"/>
  <c r="DV66" i="49"/>
  <c r="DV118" i="49"/>
  <c r="DV83" i="49"/>
  <c r="DV64" i="49"/>
  <c r="DV88" i="49"/>
  <c r="DV71" i="49"/>
  <c r="DV51" i="49"/>
  <c r="DV35" i="49"/>
  <c r="DV33" i="49"/>
  <c r="DV31" i="49"/>
  <c r="DV98" i="49"/>
  <c r="DV91" i="49"/>
  <c r="DV59" i="49"/>
  <c r="DV54" i="49"/>
  <c r="DV28" i="49"/>
  <c r="DV24" i="49"/>
  <c r="DV57" i="49"/>
  <c r="DV21" i="49"/>
  <c r="DV19" i="49"/>
  <c r="DV17" i="49"/>
  <c r="DV15" i="49"/>
  <c r="DV13" i="49"/>
  <c r="DV11" i="49"/>
  <c r="DV94" i="49"/>
  <c r="DV55" i="49"/>
  <c r="DV29" i="49"/>
  <c r="DV25" i="49"/>
  <c r="DV36" i="49"/>
  <c r="DV34" i="49"/>
  <c r="DV32" i="49"/>
  <c r="DV30" i="49"/>
  <c r="DV26" i="49"/>
  <c r="DV22" i="49"/>
  <c r="DV58" i="49"/>
  <c r="DV49" i="49"/>
  <c r="DV20" i="49"/>
  <c r="DV18" i="49"/>
  <c r="DV16" i="49"/>
  <c r="DV14" i="49"/>
  <c r="DV12" i="49"/>
  <c r="DV10" i="49"/>
  <c r="DV50" i="49"/>
  <c r="DV47" i="49"/>
  <c r="DV46" i="49"/>
  <c r="DV45" i="49"/>
  <c r="DV42" i="49"/>
  <c r="DV38" i="49"/>
  <c r="DV23" i="49"/>
  <c r="DV43" i="49"/>
  <c r="DV37" i="49"/>
  <c r="DV69" i="49"/>
  <c r="DV40" i="49"/>
  <c r="DV27" i="49"/>
  <c r="DQ13" i="40"/>
  <c r="DQ27" i="40"/>
  <c r="DQ63" i="40"/>
  <c r="DQ80" i="40"/>
  <c r="FE66" i="32"/>
  <c r="DV93" i="40"/>
  <c r="DV69" i="40"/>
  <c r="DV63" i="40"/>
  <c r="DV83" i="40"/>
  <c r="DV80" i="40"/>
  <c r="DV94" i="40"/>
  <c r="DV70" i="40"/>
  <c r="DV64" i="40"/>
  <c r="DV84" i="40"/>
  <c r="DV96" i="40"/>
  <c r="DV98" i="40"/>
  <c r="DV91" i="40"/>
  <c r="DV86" i="40"/>
  <c r="DV68" i="40"/>
  <c r="DV66" i="40"/>
  <c r="DV95" i="40"/>
  <c r="DV81" i="40"/>
  <c r="DV59" i="40"/>
  <c r="DV90" i="40"/>
  <c r="DV61" i="40"/>
  <c r="DV97" i="40"/>
  <c r="DV87" i="40"/>
  <c r="DV67" i="40"/>
  <c r="DV71" i="40"/>
  <c r="DV65" i="40"/>
  <c r="DV88" i="40"/>
  <c r="DV60" i="40"/>
  <c r="DV58" i="40"/>
  <c r="DV77" i="40"/>
  <c r="DV43" i="40"/>
  <c r="DV85" i="40"/>
  <c r="DV41" i="40"/>
  <c r="DV35" i="40"/>
  <c r="DV29" i="40"/>
  <c r="DV56" i="40"/>
  <c r="DV79" i="40"/>
  <c r="DV92" i="40"/>
  <c r="DV82" i="40"/>
  <c r="DV45" i="40"/>
  <c r="DV42" i="40"/>
  <c r="DV57" i="40"/>
  <c r="DV78" i="40"/>
  <c r="DV38" i="40"/>
  <c r="DV32" i="40"/>
  <c r="DV26" i="40"/>
  <c r="DV39" i="40"/>
  <c r="DV55" i="40"/>
  <c r="DV31" i="40"/>
  <c r="DV37" i="40"/>
  <c r="DV28" i="40"/>
  <c r="DV21" i="40"/>
  <c r="DV44" i="40"/>
  <c r="DV34" i="40"/>
  <c r="DV25" i="40"/>
  <c r="DV40" i="40"/>
  <c r="DV54" i="40"/>
  <c r="DV62" i="40"/>
  <c r="DV30" i="40"/>
  <c r="DV33" i="40"/>
  <c r="DV27" i="40"/>
  <c r="DV18" i="40"/>
  <c r="DV12" i="40"/>
  <c r="DV22" i="40"/>
  <c r="DV20" i="40"/>
  <c r="DV36" i="40"/>
  <c r="DV15" i="40"/>
  <c r="DV16" i="40"/>
  <c r="DV23" i="40"/>
  <c r="DV11" i="40"/>
  <c r="DV17" i="40"/>
  <c r="DV13" i="40"/>
  <c r="DV14" i="40"/>
  <c r="DV19" i="40"/>
  <c r="DV10" i="40"/>
  <c r="DU94" i="40"/>
  <c r="DU70" i="40"/>
  <c r="DU64" i="40"/>
  <c r="DU84" i="40"/>
  <c r="DU81" i="40"/>
  <c r="DU96" i="40"/>
  <c r="DU90" i="40"/>
  <c r="DU66" i="40"/>
  <c r="DU86" i="40"/>
  <c r="DU60" i="40"/>
  <c r="DU98" i="40"/>
  <c r="DU91" i="40"/>
  <c r="DU67" i="40"/>
  <c r="DU87" i="40"/>
  <c r="DU61" i="40"/>
  <c r="DU92" i="40"/>
  <c r="DU68" i="40"/>
  <c r="DU88" i="40"/>
  <c r="DU85" i="40"/>
  <c r="DU71" i="40"/>
  <c r="DU56" i="40"/>
  <c r="DU45" i="40"/>
  <c r="DU93" i="40"/>
  <c r="DU63" i="40"/>
  <c r="DU57" i="40"/>
  <c r="DU77" i="40"/>
  <c r="DU58" i="40"/>
  <c r="DU95" i="40"/>
  <c r="DU62" i="40"/>
  <c r="DU82" i="40"/>
  <c r="DU65" i="40"/>
  <c r="DU39" i="40"/>
  <c r="DU33" i="40"/>
  <c r="DU27" i="40"/>
  <c r="DU54" i="40"/>
  <c r="DU97" i="40"/>
  <c r="DU40" i="40"/>
  <c r="DU34" i="40"/>
  <c r="DU28" i="40"/>
  <c r="DU41" i="40"/>
  <c r="DU35" i="40"/>
  <c r="DU29" i="40"/>
  <c r="DU69" i="40"/>
  <c r="DU59" i="40"/>
  <c r="DU42" i="40"/>
  <c r="DU30" i="40"/>
  <c r="DU80" i="40"/>
  <c r="DU36" i="40"/>
  <c r="DU19" i="40"/>
  <c r="DU55" i="40"/>
  <c r="DU78" i="40"/>
  <c r="DU31" i="40"/>
  <c r="DU83" i="40"/>
  <c r="DU37" i="40"/>
  <c r="DU44" i="40"/>
  <c r="DU25" i="40"/>
  <c r="DU32" i="40"/>
  <c r="DU26" i="40"/>
  <c r="DU38" i="40"/>
  <c r="DU23" i="40"/>
  <c r="DU14" i="40"/>
  <c r="DU15" i="40"/>
  <c r="DU16" i="40"/>
  <c r="DU43" i="40"/>
  <c r="DU12" i="40"/>
  <c r="DU13" i="40"/>
  <c r="DU79" i="40"/>
  <c r="DU20" i="40"/>
  <c r="DU22" i="40"/>
  <c r="DU17" i="40"/>
  <c r="DU21" i="40"/>
  <c r="DU11" i="40"/>
  <c r="DU18" i="40"/>
  <c r="DU10" i="40"/>
  <c r="DS93" i="40"/>
  <c r="DS69" i="40"/>
  <c r="DS63" i="40"/>
  <c r="DS83" i="40"/>
  <c r="DS95" i="40"/>
  <c r="DS71" i="40"/>
  <c r="DS65" i="40"/>
  <c r="DS85" i="40"/>
  <c r="DS82" i="40"/>
  <c r="DS96" i="40"/>
  <c r="DS90" i="40"/>
  <c r="DS66" i="40"/>
  <c r="DS86" i="40"/>
  <c r="DS60" i="40"/>
  <c r="DS97" i="40"/>
  <c r="DS98" i="40"/>
  <c r="DS91" i="40"/>
  <c r="DS62" i="40"/>
  <c r="DS94" i="40"/>
  <c r="DS55" i="40"/>
  <c r="DS44" i="40"/>
  <c r="DS68" i="40"/>
  <c r="DS56" i="40"/>
  <c r="DS45" i="40"/>
  <c r="DS57" i="40"/>
  <c r="DS70" i="40"/>
  <c r="DS61" i="40"/>
  <c r="DS87" i="40"/>
  <c r="DS38" i="40"/>
  <c r="DS32" i="40"/>
  <c r="DS67" i="40"/>
  <c r="DS58" i="40"/>
  <c r="DS81" i="40"/>
  <c r="DS39" i="40"/>
  <c r="DS33" i="40"/>
  <c r="DS27" i="40"/>
  <c r="DS80" i="40"/>
  <c r="DS40" i="40"/>
  <c r="DS34" i="40"/>
  <c r="DS28" i="40"/>
  <c r="DS92" i="40"/>
  <c r="DS64" i="40"/>
  <c r="DS79" i="40"/>
  <c r="DS30" i="40"/>
  <c r="DS84" i="40"/>
  <c r="DS36" i="40"/>
  <c r="DS88" i="40"/>
  <c r="DS42" i="40"/>
  <c r="DS78" i="40"/>
  <c r="DS31" i="40"/>
  <c r="DS37" i="40"/>
  <c r="DS54" i="40"/>
  <c r="DS59" i="40"/>
  <c r="DS77" i="40"/>
  <c r="DS29" i="40"/>
  <c r="DS25" i="40"/>
  <c r="DS26" i="40"/>
  <c r="DS13" i="40"/>
  <c r="DS23" i="40"/>
  <c r="DS14" i="40"/>
  <c r="DS15" i="40"/>
  <c r="DS21" i="40"/>
  <c r="DS19" i="40"/>
  <c r="DS11" i="40"/>
  <c r="DS12" i="40"/>
  <c r="DS35" i="40"/>
  <c r="DS16" i="40"/>
  <c r="DS20" i="40"/>
  <c r="DS17" i="40"/>
  <c r="DS18" i="40"/>
  <c r="DS41" i="40"/>
  <c r="DS10" i="40"/>
  <c r="DS43" i="40"/>
  <c r="DS22" i="40"/>
  <c r="FE13" i="32"/>
  <c r="FE21" i="32"/>
  <c r="FE39" i="32"/>
  <c r="FE67" i="32"/>
  <c r="FE22" i="32"/>
  <c r="FE87" i="32"/>
  <c r="FE42" i="32"/>
  <c r="FE82" i="32"/>
  <c r="FE79" i="32"/>
  <c r="FE32" i="32"/>
  <c r="FE84" i="32"/>
  <c r="FE28" i="32"/>
  <c r="FE63" i="32"/>
  <c r="FE80" i="32"/>
  <c r="FE88" i="32"/>
  <c r="FE40" i="32"/>
  <c r="FE93" i="32"/>
  <c r="FE17" i="32"/>
  <c r="FE27" i="32"/>
  <c r="FE94" i="32"/>
  <c r="FE12" i="32"/>
  <c r="FE77" i="32"/>
  <c r="FE98" i="32"/>
  <c r="FE20" i="32"/>
  <c r="FE36" i="32"/>
  <c r="FE38" i="32"/>
  <c r="FE64" i="32"/>
  <c r="FE95" i="32"/>
  <c r="FE18" i="32"/>
  <c r="FE33" i="32"/>
  <c r="FE56" i="32"/>
  <c r="FE71" i="32"/>
  <c r="FE96" i="32"/>
  <c r="FE10" i="32"/>
  <c r="FE34" i="32"/>
  <c r="FE31" i="32"/>
  <c r="FE83" i="32"/>
  <c r="FE97" i="32"/>
  <c r="FE11" i="32"/>
  <c r="FE37" i="32"/>
  <c r="FE41" i="32"/>
  <c r="FE85" i="32"/>
  <c r="FE65" i="32"/>
  <c r="FE14" i="32"/>
  <c r="FE25" i="32"/>
  <c r="FE35" i="32"/>
  <c r="FE54" i="32"/>
  <c r="FE70" i="32"/>
  <c r="FE69" i="32"/>
  <c r="FE15" i="32"/>
  <c r="FE29" i="32"/>
  <c r="FE43" i="32"/>
  <c r="FE86" i="32"/>
  <c r="FE91" i="32"/>
  <c r="FE16" i="32"/>
  <c r="FE30" i="32"/>
  <c r="FE44" i="32"/>
  <c r="FE78" i="32"/>
  <c r="FE92" i="32"/>
  <c r="EI88" i="32"/>
  <c r="EI87" i="32"/>
  <c r="EI86" i="32"/>
  <c r="EI85" i="32"/>
  <c r="EI84" i="32"/>
  <c r="EI83" i="32"/>
  <c r="EI68" i="32"/>
  <c r="EI67" i="32"/>
  <c r="EI63" i="32"/>
  <c r="EI66" i="32"/>
  <c r="EI65" i="32"/>
  <c r="EI64" i="32"/>
  <c r="FE19" i="32"/>
  <c r="FE23" i="32"/>
  <c r="FE26" i="32"/>
  <c r="FE45" i="32"/>
  <c r="FE81" i="32"/>
  <c r="FE90" i="32"/>
  <c r="FD70" i="32"/>
  <c r="FD69" i="32"/>
  <c r="FD68" i="32"/>
  <c r="FD67" i="32"/>
  <c r="FD66" i="32"/>
  <c r="FD65" i="32"/>
  <c r="FD64" i="32"/>
  <c r="FD71" i="32"/>
  <c r="FD63" i="32"/>
  <c r="FD86" i="32"/>
  <c r="FD85" i="32"/>
  <c r="FD84" i="32"/>
  <c r="FD98" i="32"/>
  <c r="FD97" i="32"/>
  <c r="FD96" i="32"/>
  <c r="FD95" i="32"/>
  <c r="FD94" i="32"/>
  <c r="FD93" i="32"/>
  <c r="FD92" i="32"/>
  <c r="FD91" i="32"/>
  <c r="FD90" i="32"/>
  <c r="FD83" i="32"/>
  <c r="FD54" i="32"/>
  <c r="FD79" i="32"/>
  <c r="FD82" i="32"/>
  <c r="FD78" i="32"/>
  <c r="FD81" i="32"/>
  <c r="FD87" i="32"/>
  <c r="FD80" i="32"/>
  <c r="FD77" i="32"/>
  <c r="FD45" i="32"/>
  <c r="FD44" i="32"/>
  <c r="FD43" i="32"/>
  <c r="FD35" i="32"/>
  <c r="FD88" i="32"/>
  <c r="FD41" i="32"/>
  <c r="FD40" i="32"/>
  <c r="FD32" i="32"/>
  <c r="FD39" i="32"/>
  <c r="FD55" i="32"/>
  <c r="FD36" i="32"/>
  <c r="FD28" i="32"/>
  <c r="FD56" i="32"/>
  <c r="FD30" i="32"/>
  <c r="FD29" i="32"/>
  <c r="FD25" i="32"/>
  <c r="FD37" i="32"/>
  <c r="FD42" i="32"/>
  <c r="FD34" i="32"/>
  <c r="FD33" i="32"/>
  <c r="FD38" i="32"/>
  <c r="FD27" i="32"/>
  <c r="FD26" i="32"/>
  <c r="FD31" i="32"/>
  <c r="FD20" i="32"/>
  <c r="FD21" i="32"/>
  <c r="FD22" i="32"/>
  <c r="FD16" i="32"/>
  <c r="FD15" i="32"/>
  <c r="FD14" i="32"/>
  <c r="FD23" i="32"/>
  <c r="FD13" i="32"/>
  <c r="FD12" i="32"/>
  <c r="FD11" i="32"/>
  <c r="FD17" i="32"/>
  <c r="FD10" i="32"/>
  <c r="FD18" i="32"/>
  <c r="FD19" i="32"/>
  <c r="FF69" i="32"/>
  <c r="FF68" i="32"/>
  <c r="FF67" i="32"/>
  <c r="FF66" i="32"/>
  <c r="FF65" i="32"/>
  <c r="FF64" i="32"/>
  <c r="FF98" i="32"/>
  <c r="FF97" i="32"/>
  <c r="FF96" i="32"/>
  <c r="FF95" i="32"/>
  <c r="FF94" i="32"/>
  <c r="FF93" i="32"/>
  <c r="FF92" i="32"/>
  <c r="FF91" i="32"/>
  <c r="FF90" i="32"/>
  <c r="FF71" i="32"/>
  <c r="FF63" i="32"/>
  <c r="FF85" i="32"/>
  <c r="FF56" i="32"/>
  <c r="FF84" i="32"/>
  <c r="FF83" i="32"/>
  <c r="FF70" i="32"/>
  <c r="FF82" i="32"/>
  <c r="FF78" i="32"/>
  <c r="FF81" i="32"/>
  <c r="FF88" i="32"/>
  <c r="FF87" i="32"/>
  <c r="FF80" i="32"/>
  <c r="FF86" i="32"/>
  <c r="FF40" i="32"/>
  <c r="FF39" i="32"/>
  <c r="FF31" i="32"/>
  <c r="FF38" i="32"/>
  <c r="FF30" i="32"/>
  <c r="FF55" i="32"/>
  <c r="FF77" i="32"/>
  <c r="FF45" i="32"/>
  <c r="FF44" i="32"/>
  <c r="FF43" i="32"/>
  <c r="FF35" i="32"/>
  <c r="FF27" i="32"/>
  <c r="FF54" i="32"/>
  <c r="FF79" i="32"/>
  <c r="FF42" i="32"/>
  <c r="FF34" i="32"/>
  <c r="FF33" i="32"/>
  <c r="FF36" i="32"/>
  <c r="FF41" i="32"/>
  <c r="FF28" i="32"/>
  <c r="FF26" i="32"/>
  <c r="FF32" i="32"/>
  <c r="FF29" i="32"/>
  <c r="FF25" i="32"/>
  <c r="FF23" i="32"/>
  <c r="FF22" i="32"/>
  <c r="FF21" i="32"/>
  <c r="FF37" i="32"/>
  <c r="FF20" i="32"/>
  <c r="FF19" i="32"/>
  <c r="FF16" i="32"/>
  <c r="FF15" i="32"/>
  <c r="FF14" i="32"/>
  <c r="FF13" i="32"/>
  <c r="FF12" i="32"/>
  <c r="FF11" i="32"/>
  <c r="FF17" i="32"/>
  <c r="FF10" i="32"/>
  <c r="FF18" i="32"/>
  <c r="FC71" i="32"/>
  <c r="FC63" i="32"/>
  <c r="FC70" i="32"/>
  <c r="FC69" i="32"/>
  <c r="FC68" i="32"/>
  <c r="FC67" i="32"/>
  <c r="FC66" i="32"/>
  <c r="FC65" i="32"/>
  <c r="FC98" i="32"/>
  <c r="FC97" i="32"/>
  <c r="FC96" i="32"/>
  <c r="FC95" i="32"/>
  <c r="FC94" i="32"/>
  <c r="FC93" i="32"/>
  <c r="FC92" i="32"/>
  <c r="FC91" i="32"/>
  <c r="FC90" i="32"/>
  <c r="FC87" i="32"/>
  <c r="FC80" i="32"/>
  <c r="FC86" i="32"/>
  <c r="FC85" i="32"/>
  <c r="FC84" i="32"/>
  <c r="FC64" i="32"/>
  <c r="FC83" i="32"/>
  <c r="FC54" i="32"/>
  <c r="FC79" i="32"/>
  <c r="FC82" i="32"/>
  <c r="FC78" i="32"/>
  <c r="FC88" i="32"/>
  <c r="FC77" i="32"/>
  <c r="FC45" i="32"/>
  <c r="FC44" i="32"/>
  <c r="FC43" i="32"/>
  <c r="FC42" i="32"/>
  <c r="FC41" i="32"/>
  <c r="FC33" i="32"/>
  <c r="FC40" i="32"/>
  <c r="FC32" i="32"/>
  <c r="FC56" i="32"/>
  <c r="FC81" i="32"/>
  <c r="FC37" i="32"/>
  <c r="FC29" i="32"/>
  <c r="FC55" i="32"/>
  <c r="FC36" i="32"/>
  <c r="FC28" i="32"/>
  <c r="FC31" i="32"/>
  <c r="FC30" i="32"/>
  <c r="FC25" i="32"/>
  <c r="FC34" i="32"/>
  <c r="FC39" i="32"/>
  <c r="FC17" i="32"/>
  <c r="FC35" i="32"/>
  <c r="FC38" i="32"/>
  <c r="FC27" i="32"/>
  <c r="FC26" i="32"/>
  <c r="FC20" i="32"/>
  <c r="FC21" i="32"/>
  <c r="FC22" i="32"/>
  <c r="FC16" i="32"/>
  <c r="FC15" i="32"/>
  <c r="FC14" i="32"/>
  <c r="FC23" i="32"/>
  <c r="FC13" i="32"/>
  <c r="FC12" i="32"/>
  <c r="FC11" i="32"/>
  <c r="FC10" i="32"/>
  <c r="FC18" i="32"/>
  <c r="FC19" i="32"/>
  <c r="FH66" i="32"/>
  <c r="FH65" i="32"/>
  <c r="FH64" i="32"/>
  <c r="FH98" i="32"/>
  <c r="FH97" i="32"/>
  <c r="FH96" i="32"/>
  <c r="FH95" i="32"/>
  <c r="FH94" i="32"/>
  <c r="FH93" i="32"/>
  <c r="FH92" i="32"/>
  <c r="FH91" i="32"/>
  <c r="FH90" i="32"/>
  <c r="FH71" i="32"/>
  <c r="FH63" i="32"/>
  <c r="FH70" i="32"/>
  <c r="FH69" i="32"/>
  <c r="FH68" i="32"/>
  <c r="FH67" i="32"/>
  <c r="FH61" i="32"/>
  <c r="FH60" i="32"/>
  <c r="FH79" i="32"/>
  <c r="FH82" i="32"/>
  <c r="FH81" i="32"/>
  <c r="FH87" i="32"/>
  <c r="FH80" i="32"/>
  <c r="FH59" i="32"/>
  <c r="FH88" i="32"/>
  <c r="FH86" i="32"/>
  <c r="FH58" i="32"/>
  <c r="FH57" i="32"/>
  <c r="FH85" i="32"/>
  <c r="FH56" i="32"/>
  <c r="FH84" i="32"/>
  <c r="FH55" i="32"/>
  <c r="FH83" i="32"/>
  <c r="FH62" i="32"/>
  <c r="FH54" i="32"/>
  <c r="FH39" i="32"/>
  <c r="FH36" i="32"/>
  <c r="FH28" i="32"/>
  <c r="FH78" i="32"/>
  <c r="FH77" i="32"/>
  <c r="FH45" i="32"/>
  <c r="FH44" i="32"/>
  <c r="FH43" i="32"/>
  <c r="FH35" i="32"/>
  <c r="FH41" i="32"/>
  <c r="FH40" i="32"/>
  <c r="FH32" i="32"/>
  <c r="FH42" i="32"/>
  <c r="FH26" i="32"/>
  <c r="FH27" i="32"/>
  <c r="FH38" i="32"/>
  <c r="FH25" i="32"/>
  <c r="FH31" i="32"/>
  <c r="FH30" i="32"/>
  <c r="FH29" i="32"/>
  <c r="FH37" i="32"/>
  <c r="FH34" i="32"/>
  <c r="FH33" i="32"/>
  <c r="FY5" i="32"/>
  <c r="GE5" i="32"/>
  <c r="GD5" i="32"/>
  <c r="GC5" i="32"/>
  <c r="GB5" i="32"/>
  <c r="GA5" i="32"/>
  <c r="FZ5" i="32"/>
  <c r="FX5" i="32"/>
  <c r="FW5" i="32"/>
  <c r="FV5" i="32"/>
  <c r="FS5" i="32"/>
  <c r="FR5" i="32"/>
  <c r="FQ5" i="32"/>
  <c r="FO5" i="32"/>
  <c r="FN5" i="32"/>
  <c r="FM5" i="32"/>
  <c r="FI5" i="32"/>
  <c r="FH5" i="32"/>
  <c r="FG5" i="32"/>
  <c r="FF5" i="32"/>
  <c r="FE5" i="32"/>
  <c r="FD5" i="32"/>
  <c r="FC5" i="32"/>
  <c r="FB5" i="32"/>
  <c r="EN5" i="32"/>
  <c r="ET5" i="32"/>
  <c r="ES5" i="32"/>
  <c r="ER5" i="32"/>
  <c r="EQ5" i="32"/>
  <c r="EP5" i="32"/>
  <c r="EO5" i="32"/>
  <c r="EM5" i="32"/>
  <c r="EL5" i="32"/>
  <c r="EK5" i="32"/>
  <c r="EH5" i="32"/>
  <c r="EG5" i="32"/>
  <c r="EF5" i="32"/>
  <c r="ED5" i="32"/>
  <c r="EC5" i="32"/>
  <c r="EB5" i="32"/>
  <c r="DX5" i="32"/>
  <c r="DW5" i="32"/>
  <c r="DV5" i="32"/>
  <c r="DU5" i="32"/>
  <c r="DT5" i="32"/>
  <c r="DS5" i="32"/>
  <c r="DR5" i="32"/>
  <c r="DQ5" i="32"/>
  <c r="DD5" i="32"/>
  <c r="DJ5" i="32"/>
  <c r="DI5" i="32"/>
  <c r="DH5" i="32"/>
  <c r="DG5" i="32"/>
  <c r="DF5" i="32"/>
  <c r="DE5" i="32"/>
  <c r="DC5" i="32"/>
  <c r="DB5" i="32"/>
  <c r="DA5" i="32"/>
  <c r="CX5" i="32"/>
  <c r="CW5" i="32"/>
  <c r="CV5" i="32"/>
  <c r="CT5" i="32"/>
  <c r="CS5" i="32"/>
  <c r="CR5" i="32"/>
  <c r="CN5" i="32"/>
  <c r="CM5" i="32"/>
  <c r="CL5" i="32"/>
  <c r="CK5" i="32"/>
  <c r="CJ5" i="32"/>
  <c r="CI5" i="32"/>
  <c r="CH5" i="32"/>
  <c r="CG5" i="32"/>
  <c r="BT5" i="32"/>
  <c r="BT5" i="49" s="1"/>
  <c r="BZ5" i="32"/>
  <c r="BZ5" i="49" s="1"/>
  <c r="BY5" i="32"/>
  <c r="BY5" i="49" s="1"/>
  <c r="BX5" i="32"/>
  <c r="BX5" i="49" s="1"/>
  <c r="BW5" i="32"/>
  <c r="BW5" i="49" s="1"/>
  <c r="BV5" i="32"/>
  <c r="BV5" i="49" s="1"/>
  <c r="BU5" i="32"/>
  <c r="BU5" i="49" s="1"/>
  <c r="BS5" i="32"/>
  <c r="BS5" i="49" s="1"/>
  <c r="BR5" i="32"/>
  <c r="BR5" i="49" s="1"/>
  <c r="BQ5" i="32"/>
  <c r="BQ5" i="49" s="1"/>
  <c r="BN5" i="32"/>
  <c r="BN5" i="49" s="1"/>
  <c r="BM5" i="32"/>
  <c r="BM5" i="49" s="1"/>
  <c r="BL5" i="32"/>
  <c r="BL5" i="49" s="1"/>
  <c r="BJ5" i="32"/>
  <c r="BJ5" i="49" s="1"/>
  <c r="BD5" i="32"/>
  <c r="BD5" i="49" s="1"/>
  <c r="BC5" i="32"/>
  <c r="BC5" i="49" s="1"/>
  <c r="BB5" i="32"/>
  <c r="BB5" i="49" s="1"/>
  <c r="BA5" i="32"/>
  <c r="BA5" i="49" s="1"/>
  <c r="AZ5" i="32"/>
  <c r="AZ5" i="49" s="1"/>
  <c r="AY5" i="32"/>
  <c r="AY5" i="49" s="1"/>
  <c r="AX5" i="32"/>
  <c r="AX5" i="49" s="1"/>
  <c r="AW5" i="32"/>
  <c r="AW5" i="49" s="1"/>
  <c r="FB57" i="40" l="1"/>
  <c r="FG40" i="40"/>
  <c r="FG91" i="40"/>
  <c r="FG13" i="40"/>
  <c r="FG71" i="40"/>
  <c r="FG17" i="40"/>
  <c r="FG77" i="40"/>
  <c r="FG28" i="40"/>
  <c r="FG88" i="40"/>
  <c r="FG32" i="40"/>
  <c r="FD97" i="40"/>
  <c r="FB25" i="40"/>
  <c r="FG31" i="40"/>
  <c r="FB37" i="40"/>
  <c r="FG10" i="40"/>
  <c r="FB41" i="40"/>
  <c r="FG18" i="40"/>
  <c r="FB55" i="40"/>
  <c r="FG63" i="40"/>
  <c r="FB52" i="40"/>
  <c r="FD15" i="49"/>
  <c r="FD13" i="49"/>
  <c r="FD58" i="49"/>
  <c r="FD60" i="49"/>
  <c r="FD111" i="49"/>
  <c r="FD100" i="49"/>
  <c r="FD177" i="49"/>
  <c r="FD187" i="49"/>
  <c r="FD210" i="49"/>
  <c r="FH47" i="49"/>
  <c r="FD18" i="49"/>
  <c r="FD14" i="49"/>
  <c r="FD16" i="49"/>
  <c r="FD61" i="49"/>
  <c r="FD63" i="49"/>
  <c r="FD114" i="49"/>
  <c r="FD109" i="49"/>
  <c r="FD155" i="49"/>
  <c r="FD190" i="49"/>
  <c r="FD214" i="49"/>
  <c r="FD31" i="40"/>
  <c r="FH55" i="49"/>
  <c r="FD59" i="49"/>
  <c r="FD73" i="49"/>
  <c r="FD77" i="49"/>
  <c r="FD124" i="49"/>
  <c r="FD144" i="49"/>
  <c r="FD176" i="49"/>
  <c r="FD196" i="49"/>
  <c r="FD194" i="49"/>
  <c r="FD69" i="40"/>
  <c r="FH33" i="49"/>
  <c r="FD62" i="49"/>
  <c r="FD78" i="49"/>
  <c r="FD35" i="49"/>
  <c r="FD113" i="49"/>
  <c r="FD91" i="49"/>
  <c r="FD148" i="49"/>
  <c r="FD200" i="49"/>
  <c r="FD180" i="49"/>
  <c r="FD79" i="40"/>
  <c r="FH146" i="49"/>
  <c r="FD68" i="49"/>
  <c r="FD24" i="49"/>
  <c r="FD38" i="49"/>
  <c r="FD119" i="49"/>
  <c r="FD95" i="49"/>
  <c r="FD154" i="49"/>
  <c r="FD204" i="49"/>
  <c r="FD201" i="49"/>
  <c r="FB34" i="40"/>
  <c r="FG19" i="40"/>
  <c r="FG95" i="40"/>
  <c r="FH90" i="49"/>
  <c r="FD71" i="49"/>
  <c r="FD27" i="49"/>
  <c r="FD47" i="49"/>
  <c r="FD139" i="49"/>
  <c r="FD99" i="49"/>
  <c r="FD158" i="49"/>
  <c r="FD208" i="49"/>
  <c r="FD219" i="49"/>
  <c r="FH84" i="49"/>
  <c r="FD74" i="49"/>
  <c r="FD36" i="49"/>
  <c r="FD50" i="49"/>
  <c r="FD142" i="49"/>
  <c r="FD104" i="49"/>
  <c r="FD163" i="49"/>
  <c r="FD215" i="49"/>
  <c r="FD218" i="49"/>
  <c r="FH152" i="49"/>
  <c r="FD28" i="49"/>
  <c r="FD75" i="49"/>
  <c r="FD90" i="49"/>
  <c r="FD86" i="49"/>
  <c r="FD121" i="49"/>
  <c r="FD175" i="49"/>
  <c r="FD195" i="49"/>
  <c r="FG22" i="40"/>
  <c r="FH213" i="49"/>
  <c r="FD49" i="49"/>
  <c r="FD54" i="49"/>
  <c r="FD94" i="49"/>
  <c r="FD81" i="49"/>
  <c r="FD161" i="49"/>
  <c r="FD171" i="49"/>
  <c r="FD198" i="49"/>
  <c r="FG56" i="40"/>
  <c r="FH184" i="49"/>
  <c r="FD12" i="49"/>
  <c r="FD76" i="49"/>
  <c r="FD57" i="49"/>
  <c r="FD103" i="49"/>
  <c r="FD96" i="49"/>
  <c r="FD149" i="49"/>
  <c r="FD174" i="49"/>
  <c r="FD183" i="49"/>
  <c r="FB91" i="40"/>
  <c r="FG33" i="40"/>
  <c r="FH219" i="49"/>
  <c r="FD74" i="40"/>
  <c r="FH69" i="49"/>
  <c r="FH188" i="49"/>
  <c r="FH218" i="49"/>
  <c r="FH83" i="49"/>
  <c r="FH112" i="49"/>
  <c r="FI30" i="49"/>
  <c r="FG37" i="40"/>
  <c r="FG93" i="40"/>
  <c r="FG51" i="40"/>
  <c r="FG97" i="40"/>
  <c r="FG59" i="40"/>
  <c r="FG92" i="40"/>
  <c r="FB67" i="40"/>
  <c r="FG35" i="40"/>
  <c r="FG96" i="40"/>
  <c r="FB22" i="40"/>
  <c r="FB71" i="40"/>
  <c r="FG57" i="40"/>
  <c r="FG78" i="40"/>
  <c r="FB26" i="40"/>
  <c r="FB80" i="40"/>
  <c r="FG26" i="40"/>
  <c r="FG42" i="40"/>
  <c r="FG82" i="40"/>
  <c r="FI61" i="49"/>
  <c r="FI122" i="49"/>
  <c r="FI146" i="49"/>
  <c r="FI82" i="49"/>
  <c r="FI215" i="49"/>
  <c r="FI47" i="49"/>
  <c r="FB21" i="40"/>
  <c r="FB82" i="40"/>
  <c r="FD67" i="40"/>
  <c r="FD33" i="40"/>
  <c r="FI33" i="49"/>
  <c r="FI181" i="49"/>
  <c r="FD54" i="40"/>
  <c r="FI49" i="49"/>
  <c r="FG119" i="49"/>
  <c r="FD71" i="40"/>
  <c r="FG171" i="49"/>
  <c r="FI152" i="49"/>
  <c r="FB16" i="40"/>
  <c r="FB63" i="40"/>
  <c r="FB93" i="40"/>
  <c r="FG21" i="40"/>
  <c r="FG61" i="40"/>
  <c r="FG54" i="40"/>
  <c r="FG70" i="40"/>
  <c r="FD56" i="40"/>
  <c r="FD17" i="49"/>
  <c r="FD37" i="49"/>
  <c r="FD39" i="49"/>
  <c r="FD41" i="49"/>
  <c r="FD84" i="49"/>
  <c r="FD118" i="49"/>
  <c r="FD152" i="49"/>
  <c r="FD184" i="49"/>
  <c r="FD181" i="49"/>
  <c r="FD205" i="49"/>
  <c r="FI173" i="49"/>
  <c r="FB10" i="40"/>
  <c r="FB36" i="40"/>
  <c r="FB83" i="40"/>
  <c r="FG25" i="40"/>
  <c r="FG65" i="40"/>
  <c r="FG58" i="40"/>
  <c r="FG75" i="40"/>
  <c r="FD60" i="40"/>
  <c r="FH20" i="49"/>
  <c r="FH105" i="49"/>
  <c r="FI145" i="49"/>
  <c r="FB12" i="40"/>
  <c r="FB59" i="40"/>
  <c r="FB84" i="40"/>
  <c r="FD10" i="40"/>
  <c r="FD10" i="49"/>
  <c r="FD40" i="49"/>
  <c r="FD45" i="49"/>
  <c r="FD44" i="49"/>
  <c r="FD89" i="49"/>
  <c r="FD83" i="49"/>
  <c r="FD173" i="49"/>
  <c r="FD150" i="49"/>
  <c r="FD189" i="49"/>
  <c r="FD182" i="49"/>
  <c r="FI163" i="49"/>
  <c r="FB14" i="40"/>
  <c r="FB58" i="40"/>
  <c r="FG29" i="40"/>
  <c r="FG34" i="40"/>
  <c r="FG74" i="40"/>
  <c r="FG80" i="40"/>
  <c r="FH75" i="49"/>
  <c r="FH166" i="49"/>
  <c r="FI39" i="49"/>
  <c r="FI70" i="49"/>
  <c r="FI114" i="49"/>
  <c r="FI148" i="49"/>
  <c r="FI210" i="49"/>
  <c r="FG60" i="49"/>
  <c r="FG163" i="49"/>
  <c r="FI66" i="49"/>
  <c r="FI96" i="49"/>
  <c r="FI135" i="49"/>
  <c r="FI185" i="49"/>
  <c r="FG63" i="49"/>
  <c r="FG167" i="49"/>
  <c r="FI21" i="49"/>
  <c r="FI69" i="49"/>
  <c r="FI109" i="49"/>
  <c r="FI110" i="49"/>
  <c r="FI154" i="49"/>
  <c r="FG41" i="49"/>
  <c r="FG200" i="49"/>
  <c r="FI36" i="49"/>
  <c r="FI67" i="49"/>
  <c r="FI90" i="49"/>
  <c r="FI155" i="49"/>
  <c r="FI198" i="49"/>
  <c r="FG155" i="49"/>
  <c r="FI44" i="49"/>
  <c r="FI118" i="49"/>
  <c r="FI142" i="49"/>
  <c r="FI158" i="49"/>
  <c r="FG61" i="49"/>
  <c r="FE54" i="40"/>
  <c r="FE44" i="49"/>
  <c r="FG159" i="49"/>
  <c r="FG42" i="49"/>
  <c r="FG166" i="49"/>
  <c r="FG58" i="49"/>
  <c r="FG195" i="49"/>
  <c r="FG123" i="49"/>
  <c r="FG44" i="49"/>
  <c r="FG216" i="49"/>
  <c r="FG109" i="49"/>
  <c r="FG25" i="49"/>
  <c r="FG197" i="49"/>
  <c r="FG106" i="49"/>
  <c r="FG74" i="49"/>
  <c r="FG192" i="49"/>
  <c r="FI50" i="49"/>
  <c r="FI187" i="49"/>
  <c r="FG112" i="49"/>
  <c r="FI79" i="49"/>
  <c r="FI95" i="49"/>
  <c r="FI81" i="49"/>
  <c r="FI190" i="49"/>
  <c r="FG115" i="49"/>
  <c r="FI86" i="49"/>
  <c r="FI65" i="49"/>
  <c r="FI121" i="49"/>
  <c r="FI153" i="49"/>
  <c r="FG103" i="49"/>
  <c r="FB88" i="40"/>
  <c r="FB78" i="40"/>
  <c r="FB51" i="40"/>
  <c r="FB18" i="40"/>
  <c r="FB75" i="40"/>
  <c r="FB50" i="40"/>
  <c r="FB49" i="40"/>
  <c r="FB27" i="40"/>
  <c r="FB77" i="40"/>
  <c r="FB62" i="40"/>
  <c r="FB38" i="40"/>
  <c r="FB20" i="40"/>
  <c r="FB66" i="40"/>
  <c r="FB43" i="40"/>
  <c r="FB47" i="40"/>
  <c r="FB23" i="40"/>
  <c r="FB98" i="40"/>
  <c r="FB39" i="40"/>
  <c r="FB42" i="40"/>
  <c r="FB28" i="40"/>
  <c r="FG39" i="49"/>
  <c r="FI208" i="49"/>
  <c r="FI177" i="49"/>
  <c r="FI139" i="49"/>
  <c r="FI99" i="49"/>
  <c r="FI64" i="49"/>
  <c r="FI32" i="49"/>
  <c r="FI220" i="49"/>
  <c r="FI182" i="49"/>
  <c r="FI161" i="49"/>
  <c r="FI84" i="49"/>
  <c r="FI85" i="49"/>
  <c r="FI34" i="49"/>
  <c r="FI63" i="49"/>
  <c r="FI216" i="49"/>
  <c r="FI213" i="49"/>
  <c r="FI166" i="49"/>
  <c r="FI134" i="49"/>
  <c r="FI126" i="49"/>
  <c r="FI31" i="49"/>
  <c r="FI60" i="49"/>
  <c r="FI214" i="49"/>
  <c r="FI197" i="49"/>
  <c r="FI162" i="49"/>
  <c r="FI130" i="49"/>
  <c r="FI137" i="49"/>
  <c r="FI28" i="49"/>
  <c r="FI80" i="49"/>
  <c r="FI91" i="49"/>
  <c r="FC47" i="40"/>
  <c r="FC10" i="40"/>
  <c r="FC38" i="40"/>
  <c r="FC18" i="40"/>
  <c r="FI19" i="49"/>
  <c r="FI17" i="49"/>
  <c r="FI25" i="49"/>
  <c r="FI143" i="49"/>
  <c r="FI157" i="49"/>
  <c r="FI211" i="49"/>
  <c r="FG111" i="49"/>
  <c r="FD81" i="40"/>
  <c r="FD18" i="40"/>
  <c r="FD95" i="40"/>
  <c r="FD27" i="40"/>
  <c r="FD35" i="40"/>
  <c r="FD43" i="40"/>
  <c r="FD25" i="40"/>
  <c r="FD39" i="40"/>
  <c r="FD53" i="49"/>
  <c r="FD43" i="49"/>
  <c r="FD30" i="49"/>
  <c r="FD66" i="49"/>
  <c r="FD140" i="49"/>
  <c r="FD101" i="49"/>
  <c r="FD105" i="49"/>
  <c r="FD112" i="49"/>
  <c r="FD164" i="49"/>
  <c r="FD153" i="49"/>
  <c r="FD207" i="49"/>
  <c r="FD185" i="49"/>
  <c r="FD216" i="49"/>
  <c r="FG23" i="40"/>
  <c r="FG47" i="40"/>
  <c r="FG62" i="40"/>
  <c r="FG81" i="40"/>
  <c r="FH22" i="49"/>
  <c r="FH50" i="49"/>
  <c r="FH106" i="49"/>
  <c r="FD11" i="49"/>
  <c r="FD56" i="49"/>
  <c r="FD46" i="49"/>
  <c r="FD33" i="49"/>
  <c r="FD69" i="49"/>
  <c r="FD143" i="49"/>
  <c r="FD110" i="49"/>
  <c r="FD106" i="49"/>
  <c r="FD115" i="49"/>
  <c r="FD168" i="49"/>
  <c r="FD157" i="49"/>
  <c r="FD211" i="49"/>
  <c r="FD188" i="49"/>
  <c r="FD220" i="49"/>
  <c r="FG27" i="40"/>
  <c r="FG49" i="40"/>
  <c r="FG69" i="40"/>
  <c r="FG66" i="40"/>
  <c r="FH40" i="49"/>
  <c r="FH157" i="49"/>
  <c r="FD65" i="49"/>
  <c r="FD55" i="49"/>
  <c r="FD42" i="49"/>
  <c r="FD32" i="49"/>
  <c r="FD98" i="49"/>
  <c r="FD123" i="49"/>
  <c r="FD122" i="49"/>
  <c r="FD156" i="49"/>
  <c r="FD179" i="49"/>
  <c r="FD178" i="49"/>
  <c r="FD186" i="49"/>
  <c r="FD197" i="49"/>
  <c r="FH18" i="49"/>
  <c r="FH30" i="49"/>
  <c r="FH176" i="49"/>
  <c r="FI10" i="49"/>
  <c r="FI12" i="49"/>
  <c r="FI45" i="49"/>
  <c r="FI77" i="49"/>
  <c r="FI56" i="49"/>
  <c r="FI40" i="49"/>
  <c r="FI78" i="49"/>
  <c r="FI141" i="49"/>
  <c r="FI112" i="49"/>
  <c r="FI98" i="49"/>
  <c r="FI93" i="49"/>
  <c r="FI128" i="49"/>
  <c r="FI174" i="49"/>
  <c r="FI164" i="49"/>
  <c r="FI188" i="49"/>
  <c r="FI196" i="49"/>
  <c r="FI189" i="49"/>
  <c r="FI218" i="49"/>
  <c r="FB11" i="40"/>
  <c r="FB60" i="40"/>
  <c r="FB44" i="40"/>
  <c r="FB65" i="40"/>
  <c r="FB85" i="40"/>
  <c r="FB69" i="40"/>
  <c r="FG72" i="49"/>
  <c r="FG79" i="49"/>
  <c r="FG34" i="49"/>
  <c r="FG70" i="49"/>
  <c r="FG51" i="49"/>
  <c r="FG87" i="49"/>
  <c r="FG124" i="49"/>
  <c r="FG145" i="49"/>
  <c r="FG83" i="49"/>
  <c r="FG156" i="49"/>
  <c r="FG176" i="49"/>
  <c r="FG201" i="49"/>
  <c r="FG184" i="49"/>
  <c r="FG202" i="49"/>
  <c r="FG218" i="49"/>
  <c r="FD12" i="40"/>
  <c r="FD26" i="40"/>
  <c r="FD51" i="40"/>
  <c r="FD52" i="40"/>
  <c r="FD90" i="40"/>
  <c r="FD96" i="40"/>
  <c r="FC52" i="40"/>
  <c r="FI42" i="49"/>
  <c r="FI72" i="49"/>
  <c r="FI53" i="49"/>
  <c r="FI37" i="49"/>
  <c r="FI73" i="49"/>
  <c r="FI83" i="49"/>
  <c r="FI104" i="49"/>
  <c r="FI94" i="49"/>
  <c r="FI89" i="49"/>
  <c r="FI125" i="49"/>
  <c r="FI171" i="49"/>
  <c r="FI159" i="49"/>
  <c r="FI167" i="49"/>
  <c r="FI193" i="49"/>
  <c r="FI186" i="49"/>
  <c r="FI219" i="49"/>
  <c r="FB32" i="40"/>
  <c r="FB30" i="40"/>
  <c r="FB56" i="40"/>
  <c r="FB40" i="40"/>
  <c r="FB61" i="40"/>
  <c r="FB81" i="40"/>
  <c r="FB97" i="40"/>
  <c r="FG69" i="49"/>
  <c r="FG50" i="49"/>
  <c r="FG31" i="49"/>
  <c r="FG67" i="49"/>
  <c r="FG48" i="49"/>
  <c r="FG121" i="49"/>
  <c r="FG120" i="49"/>
  <c r="FG142" i="49"/>
  <c r="FG122" i="49"/>
  <c r="FG178" i="49"/>
  <c r="FG168" i="49"/>
  <c r="FG180" i="49"/>
  <c r="FG212" i="49"/>
  <c r="FG183" i="49"/>
  <c r="FG219" i="49"/>
  <c r="FD29" i="40"/>
  <c r="FD22" i="40"/>
  <c r="FD45" i="40"/>
  <c r="FD50" i="40"/>
  <c r="FD85" i="40"/>
  <c r="FD92" i="40"/>
  <c r="FC43" i="40"/>
  <c r="FD21" i="49"/>
  <c r="FD20" i="49"/>
  <c r="FD22" i="49"/>
  <c r="FD31" i="49"/>
  <c r="FD67" i="49"/>
  <c r="FD48" i="49"/>
  <c r="FD26" i="49"/>
  <c r="FD146" i="49"/>
  <c r="FD93" i="49"/>
  <c r="FD88" i="49"/>
  <c r="FD147" i="49"/>
  <c r="FD165" i="49"/>
  <c r="FD151" i="49"/>
  <c r="FD162" i="49"/>
  <c r="FD212" i="49"/>
  <c r="FD202" i="49"/>
  <c r="FD209" i="49"/>
  <c r="FI13" i="49"/>
  <c r="FI15" i="49"/>
  <c r="FI11" i="49"/>
  <c r="FI48" i="49"/>
  <c r="FI26" i="49"/>
  <c r="FI59" i="49"/>
  <c r="FI43" i="49"/>
  <c r="FI88" i="49"/>
  <c r="FI144" i="49"/>
  <c r="FI115" i="49"/>
  <c r="FI103" i="49"/>
  <c r="FI97" i="49"/>
  <c r="FI131" i="49"/>
  <c r="FI178" i="49"/>
  <c r="FI168" i="49"/>
  <c r="FI191" i="49"/>
  <c r="FI200" i="49"/>
  <c r="FI192" i="49"/>
  <c r="FI217" i="49"/>
  <c r="FB15" i="40"/>
  <c r="FB13" i="40"/>
  <c r="FB64" i="40"/>
  <c r="FB48" i="40"/>
  <c r="FB68" i="40"/>
  <c r="FB90" i="40"/>
  <c r="FB74" i="40"/>
  <c r="FG77" i="49"/>
  <c r="FG53" i="49"/>
  <c r="FG37" i="49"/>
  <c r="FG73" i="49"/>
  <c r="FG80" i="49"/>
  <c r="FG140" i="49"/>
  <c r="FG84" i="49"/>
  <c r="FG86" i="49"/>
  <c r="FG141" i="49"/>
  <c r="FG161" i="49"/>
  <c r="FG148" i="49"/>
  <c r="FG205" i="49"/>
  <c r="FG203" i="49"/>
  <c r="FG206" i="49"/>
  <c r="FG217" i="49"/>
  <c r="FG16" i="40"/>
  <c r="FG39" i="40"/>
  <c r="FG41" i="40"/>
  <c r="FG83" i="40"/>
  <c r="FG85" i="40"/>
  <c r="FD20" i="40"/>
  <c r="FD30" i="40"/>
  <c r="FD55" i="40"/>
  <c r="FD61" i="40"/>
  <c r="FD94" i="40"/>
  <c r="FH62" i="49"/>
  <c r="FH89" i="49"/>
  <c r="FH192" i="49"/>
  <c r="FC95" i="40"/>
  <c r="FD23" i="49"/>
  <c r="FD79" i="49"/>
  <c r="FD34" i="49"/>
  <c r="FD70" i="49"/>
  <c r="FD51" i="49"/>
  <c r="FD29" i="49"/>
  <c r="FD82" i="49"/>
  <c r="FD97" i="49"/>
  <c r="FD92" i="49"/>
  <c r="FD85" i="49"/>
  <c r="FD169" i="49"/>
  <c r="FD172" i="49"/>
  <c r="FD166" i="49"/>
  <c r="FD203" i="49"/>
  <c r="FD206" i="49"/>
  <c r="FD213" i="49"/>
  <c r="FI16" i="49"/>
  <c r="FI18" i="49"/>
  <c r="FI14" i="49"/>
  <c r="FI51" i="49"/>
  <c r="FI29" i="49"/>
  <c r="FI62" i="49"/>
  <c r="FI46" i="49"/>
  <c r="FI92" i="49"/>
  <c r="FI147" i="49"/>
  <c r="FI116" i="49"/>
  <c r="FI111" i="49"/>
  <c r="FI101" i="49"/>
  <c r="FI136" i="49"/>
  <c r="FI156" i="49"/>
  <c r="FI176" i="49"/>
  <c r="FI194" i="49"/>
  <c r="FI204" i="49"/>
  <c r="FI195" i="49"/>
  <c r="FB19" i="40"/>
  <c r="FB17" i="40"/>
  <c r="FB33" i="40"/>
  <c r="FB54" i="40"/>
  <c r="FB73" i="40"/>
  <c r="FB94" i="40"/>
  <c r="FB79" i="40"/>
  <c r="FG10" i="49"/>
  <c r="FG12" i="49"/>
  <c r="FG11" i="49"/>
  <c r="FG23" i="49"/>
  <c r="FG56" i="49"/>
  <c r="FG40" i="49"/>
  <c r="FG78" i="49"/>
  <c r="FG75" i="49"/>
  <c r="FG143" i="49"/>
  <c r="FG89" i="49"/>
  <c r="FG81" i="49"/>
  <c r="FG144" i="49"/>
  <c r="FG165" i="49"/>
  <c r="FG151" i="49"/>
  <c r="FG209" i="49"/>
  <c r="FG207" i="49"/>
  <c r="FG210" i="49"/>
  <c r="FG20" i="40"/>
  <c r="FG52" i="40"/>
  <c r="FG45" i="40"/>
  <c r="FG87" i="40"/>
  <c r="FG98" i="40"/>
  <c r="FD28" i="40"/>
  <c r="FD17" i="40"/>
  <c r="FD59" i="40"/>
  <c r="FD65" i="40"/>
  <c r="FD70" i="40"/>
  <c r="FH68" i="49"/>
  <c r="FH142" i="49"/>
  <c r="FE20" i="49"/>
  <c r="FC71" i="40"/>
  <c r="FE98" i="40"/>
  <c r="FG66" i="49"/>
  <c r="FG47" i="49"/>
  <c r="FG28" i="49"/>
  <c r="FG64" i="49"/>
  <c r="FG45" i="49"/>
  <c r="FG116" i="49"/>
  <c r="FG114" i="49"/>
  <c r="FG139" i="49"/>
  <c r="FG118" i="49"/>
  <c r="FG174" i="49"/>
  <c r="FG164" i="49"/>
  <c r="FG175" i="49"/>
  <c r="FG208" i="49"/>
  <c r="FG198" i="49"/>
  <c r="FG220" i="49"/>
  <c r="FG26" i="49"/>
  <c r="FG24" i="49"/>
  <c r="FG147" i="49"/>
  <c r="FI24" i="49"/>
  <c r="FI54" i="49"/>
  <c r="FI38" i="49"/>
  <c r="FI71" i="49"/>
  <c r="FI55" i="49"/>
  <c r="FI105" i="49"/>
  <c r="FI132" i="49"/>
  <c r="FI87" i="49"/>
  <c r="FI124" i="49"/>
  <c r="FI119" i="49"/>
  <c r="FI180" i="49"/>
  <c r="FI169" i="49"/>
  <c r="FI172" i="49"/>
  <c r="FI205" i="49"/>
  <c r="FI184" i="49"/>
  <c r="FI202" i="49"/>
  <c r="FB31" i="40"/>
  <c r="FB29" i="40"/>
  <c r="FB45" i="40"/>
  <c r="FB35" i="40"/>
  <c r="FB86" i="40"/>
  <c r="FB70" i="40"/>
  <c r="FB92" i="40"/>
  <c r="FE27" i="40"/>
  <c r="FG19" i="49"/>
  <c r="FG21" i="49"/>
  <c r="FG20" i="49"/>
  <c r="FG32" i="49"/>
  <c r="FG65" i="49"/>
  <c r="FG49" i="49"/>
  <c r="FG30" i="49"/>
  <c r="FG95" i="49"/>
  <c r="FG90" i="49"/>
  <c r="FG101" i="49"/>
  <c r="FG96" i="49"/>
  <c r="FG153" i="49"/>
  <c r="FG152" i="49"/>
  <c r="FG182" i="49"/>
  <c r="FG190" i="49"/>
  <c r="FG181" i="49"/>
  <c r="FG188" i="49"/>
  <c r="FD23" i="40"/>
  <c r="FD42" i="40"/>
  <c r="FD44" i="40"/>
  <c r="FD86" i="40"/>
  <c r="FD84" i="40"/>
  <c r="FE84" i="49"/>
  <c r="FG13" i="49"/>
  <c r="FG15" i="49"/>
  <c r="FG14" i="49"/>
  <c r="FG59" i="49"/>
  <c r="FG43" i="49"/>
  <c r="FG85" i="49"/>
  <c r="FG146" i="49"/>
  <c r="FG93" i="49"/>
  <c r="FG88" i="49"/>
  <c r="FG169" i="49"/>
  <c r="FG172" i="49"/>
  <c r="FG213" i="49"/>
  <c r="FG211" i="49"/>
  <c r="FG214" i="49"/>
  <c r="FD32" i="40"/>
  <c r="FD21" i="40"/>
  <c r="FD63" i="40"/>
  <c r="FD68" i="40"/>
  <c r="FD75" i="40"/>
  <c r="FI22" i="49"/>
  <c r="FI23" i="49"/>
  <c r="FI20" i="49"/>
  <c r="FI75" i="49"/>
  <c r="FI35" i="49"/>
  <c r="FI68" i="49"/>
  <c r="FI76" i="49"/>
  <c r="FI100" i="49"/>
  <c r="FI129" i="49"/>
  <c r="FI133" i="49"/>
  <c r="FI120" i="49"/>
  <c r="FI113" i="49"/>
  <c r="FI175" i="49"/>
  <c r="FI165" i="49"/>
  <c r="FI151" i="49"/>
  <c r="FI201" i="49"/>
  <c r="FI212" i="49"/>
  <c r="FI183" i="49"/>
  <c r="FE21" i="40"/>
  <c r="FG16" i="49"/>
  <c r="FG18" i="49"/>
  <c r="FG17" i="49"/>
  <c r="FG29" i="49"/>
  <c r="FG62" i="49"/>
  <c r="FG46" i="49"/>
  <c r="FG27" i="49"/>
  <c r="FG91" i="49"/>
  <c r="FG82" i="49"/>
  <c r="FG97" i="49"/>
  <c r="FG92" i="49"/>
  <c r="FG150" i="49"/>
  <c r="FG149" i="49"/>
  <c r="FG179" i="49"/>
  <c r="FG187" i="49"/>
  <c r="FG215" i="49"/>
  <c r="FG185" i="49"/>
  <c r="FD11" i="40"/>
  <c r="FD38" i="40"/>
  <c r="FD40" i="40"/>
  <c r="FD73" i="40"/>
  <c r="FD80" i="40"/>
  <c r="FE143" i="49"/>
  <c r="FI27" i="49"/>
  <c r="FI57" i="49"/>
  <c r="FI41" i="49"/>
  <c r="FI74" i="49"/>
  <c r="FI58" i="49"/>
  <c r="FI106" i="49"/>
  <c r="FI138" i="49"/>
  <c r="FI140" i="49"/>
  <c r="FI127" i="49"/>
  <c r="FI123" i="49"/>
  <c r="FI150" i="49"/>
  <c r="FI149" i="49"/>
  <c r="FI179" i="49"/>
  <c r="FI209" i="49"/>
  <c r="FI203" i="49"/>
  <c r="FI206" i="49"/>
  <c r="FE52" i="40"/>
  <c r="FG22" i="49"/>
  <c r="FG54" i="49"/>
  <c r="FG35" i="49"/>
  <c r="FG68" i="49"/>
  <c r="FG76" i="49"/>
  <c r="FG33" i="49"/>
  <c r="FG99" i="49"/>
  <c r="FG94" i="49"/>
  <c r="FG110" i="49"/>
  <c r="FG100" i="49"/>
  <c r="FG157" i="49"/>
  <c r="FG173" i="49"/>
  <c r="FG154" i="49"/>
  <c r="FG193" i="49"/>
  <c r="FG186" i="49"/>
  <c r="FG191" i="49"/>
  <c r="FD34" i="40"/>
  <c r="FD47" i="40"/>
  <c r="FD48" i="40"/>
  <c r="FD91" i="40"/>
  <c r="FD88" i="40"/>
  <c r="FE110" i="49"/>
  <c r="FC20" i="40"/>
  <c r="FE78" i="40"/>
  <c r="FE33" i="40"/>
  <c r="FG57" i="49"/>
  <c r="FG38" i="49"/>
  <c r="FG71" i="49"/>
  <c r="FG55" i="49"/>
  <c r="FG36" i="49"/>
  <c r="FG104" i="49"/>
  <c r="FG98" i="49"/>
  <c r="FG113" i="49"/>
  <c r="FG105" i="49"/>
  <c r="FG162" i="49"/>
  <c r="FG177" i="49"/>
  <c r="FG158" i="49"/>
  <c r="FG196" i="49"/>
  <c r="FG189" i="49"/>
  <c r="FG194" i="49"/>
  <c r="FE95" i="49"/>
  <c r="FE25" i="40"/>
  <c r="FE31" i="40"/>
  <c r="FE57" i="40"/>
  <c r="FE37" i="40"/>
  <c r="FE58" i="40"/>
  <c r="FE82" i="40"/>
  <c r="FE66" i="40"/>
  <c r="FG12" i="40"/>
  <c r="FG14" i="40"/>
  <c r="FG38" i="40"/>
  <c r="FG55" i="40"/>
  <c r="FG79" i="40"/>
  <c r="FG67" i="40"/>
  <c r="FG84" i="40"/>
  <c r="FD16" i="40"/>
  <c r="FD14" i="40"/>
  <c r="FD49" i="40"/>
  <c r="FD36" i="40"/>
  <c r="FD57" i="40"/>
  <c r="FD77" i="40"/>
  <c r="FD93" i="40"/>
  <c r="FC63" i="40"/>
  <c r="FE29" i="40"/>
  <c r="FE10" i="40"/>
  <c r="FE61" i="40"/>
  <c r="FE41" i="40"/>
  <c r="FE62" i="40"/>
  <c r="FE86" i="40"/>
  <c r="FE70" i="40"/>
  <c r="FE12" i="40"/>
  <c r="FE14" i="40"/>
  <c r="FE65" i="40"/>
  <c r="FE45" i="40"/>
  <c r="FE69" i="40"/>
  <c r="FE91" i="40"/>
  <c r="FE75" i="40"/>
  <c r="FE16" i="40"/>
  <c r="FE18" i="40"/>
  <c r="FE34" i="40"/>
  <c r="FE51" i="40"/>
  <c r="FE74" i="40"/>
  <c r="FE95" i="40"/>
  <c r="FE80" i="40"/>
  <c r="FE20" i="40"/>
  <c r="FE22" i="40"/>
  <c r="FE38" i="40"/>
  <c r="FE55" i="40"/>
  <c r="FE79" i="40"/>
  <c r="FE67" i="40"/>
  <c r="FE84" i="40"/>
  <c r="FE28" i="40"/>
  <c r="FE26" i="40"/>
  <c r="FE42" i="40"/>
  <c r="FE59" i="40"/>
  <c r="FE83" i="40"/>
  <c r="FE71" i="40"/>
  <c r="FE88" i="40"/>
  <c r="FG30" i="40"/>
  <c r="FG11" i="40"/>
  <c r="FG43" i="40"/>
  <c r="FG60" i="40"/>
  <c r="FG44" i="40"/>
  <c r="FG68" i="40"/>
  <c r="FG90" i="40"/>
  <c r="FD15" i="40"/>
  <c r="FD37" i="40"/>
  <c r="FD58" i="40"/>
  <c r="FD78" i="40"/>
  <c r="FD98" i="40"/>
  <c r="FD83" i="40"/>
  <c r="FC88" i="40"/>
  <c r="FE32" i="40"/>
  <c r="FE30" i="40"/>
  <c r="FE47" i="40"/>
  <c r="FE63" i="40"/>
  <c r="FE87" i="40"/>
  <c r="FE77" i="40"/>
  <c r="FE93" i="40"/>
  <c r="FG15" i="40"/>
  <c r="FG50" i="40"/>
  <c r="FG64" i="40"/>
  <c r="FG48" i="40"/>
  <c r="FG73" i="40"/>
  <c r="FG94" i="40"/>
  <c r="FD19" i="40"/>
  <c r="FD13" i="40"/>
  <c r="FD41" i="40"/>
  <c r="FD62" i="40"/>
  <c r="FD82" i="40"/>
  <c r="FD66" i="40"/>
  <c r="FD87" i="40"/>
  <c r="FE11" i="40"/>
  <c r="FE35" i="40"/>
  <c r="FE49" i="40"/>
  <c r="FE36" i="40"/>
  <c r="FE92" i="40"/>
  <c r="FE81" i="40"/>
  <c r="FE97" i="40"/>
  <c r="FE15" i="40"/>
  <c r="FE39" i="40"/>
  <c r="FE56" i="40"/>
  <c r="FE40" i="40"/>
  <c r="FE96" i="40"/>
  <c r="FE85" i="40"/>
  <c r="FE13" i="40"/>
  <c r="FE19" i="40"/>
  <c r="FE43" i="40"/>
  <c r="FE60" i="40"/>
  <c r="FE44" i="40"/>
  <c r="FE68" i="40"/>
  <c r="FE90" i="40"/>
  <c r="FE17" i="40"/>
  <c r="FE23" i="40"/>
  <c r="FE50" i="40"/>
  <c r="FE64" i="40"/>
  <c r="FE48" i="40"/>
  <c r="FE73" i="40"/>
  <c r="FE94" i="40"/>
  <c r="FE195" i="49"/>
  <c r="FE104" i="49"/>
  <c r="FH149" i="49"/>
  <c r="FE22" i="49"/>
  <c r="FE154" i="49"/>
  <c r="FE26" i="49"/>
  <c r="FE158" i="49"/>
  <c r="FE65" i="49"/>
  <c r="FE78" i="49"/>
  <c r="FE27" i="49"/>
  <c r="FE21" i="49"/>
  <c r="FE51" i="49"/>
  <c r="FH43" i="49"/>
  <c r="FH123" i="49"/>
  <c r="FH187" i="49"/>
  <c r="FE93" i="49"/>
  <c r="FC12" i="40"/>
  <c r="FC80" i="40"/>
  <c r="FH77" i="49"/>
  <c r="FH104" i="49"/>
  <c r="FE70" i="49"/>
  <c r="FC55" i="40"/>
  <c r="FE16" i="49"/>
  <c r="FE140" i="49"/>
  <c r="FE185" i="49"/>
  <c r="FE71" i="49"/>
  <c r="FE106" i="49"/>
  <c r="FE31" i="49"/>
  <c r="FE147" i="49"/>
  <c r="FE60" i="49"/>
  <c r="FE187" i="49"/>
  <c r="FC16" i="40"/>
  <c r="FC14" i="40"/>
  <c r="FC42" i="40"/>
  <c r="FC59" i="40"/>
  <c r="FC50" i="40"/>
  <c r="FC67" i="40"/>
  <c r="FC84" i="40"/>
  <c r="FC28" i="40"/>
  <c r="FC22" i="40"/>
  <c r="FC49" i="40"/>
  <c r="FC36" i="40"/>
  <c r="FC57" i="40"/>
  <c r="FC77" i="40"/>
  <c r="FC93" i="40"/>
  <c r="FC32" i="40"/>
  <c r="FC26" i="40"/>
  <c r="FC56" i="40"/>
  <c r="FC40" i="40"/>
  <c r="FC61" i="40"/>
  <c r="FC81" i="40"/>
  <c r="FC97" i="40"/>
  <c r="FC11" i="40"/>
  <c r="FC30" i="40"/>
  <c r="FC60" i="40"/>
  <c r="FC44" i="40"/>
  <c r="FC65" i="40"/>
  <c r="FC85" i="40"/>
  <c r="FC69" i="40"/>
  <c r="FC15" i="40"/>
  <c r="FC64" i="40"/>
  <c r="FC48" i="40"/>
  <c r="FC68" i="40"/>
  <c r="FC90" i="40"/>
  <c r="FC74" i="40"/>
  <c r="FC19" i="40"/>
  <c r="FC13" i="40"/>
  <c r="FC33" i="40"/>
  <c r="FC54" i="40"/>
  <c r="FC73" i="40"/>
  <c r="FC94" i="40"/>
  <c r="FC79" i="40"/>
  <c r="FC23" i="40"/>
  <c r="FC17" i="40"/>
  <c r="FC37" i="40"/>
  <c r="FC58" i="40"/>
  <c r="FC78" i="40"/>
  <c r="FC98" i="40"/>
  <c r="FC83" i="40"/>
  <c r="FC34" i="40"/>
  <c r="FC21" i="40"/>
  <c r="FC41" i="40"/>
  <c r="FC62" i="40"/>
  <c r="FC82" i="40"/>
  <c r="FC66" i="40"/>
  <c r="FC87" i="40"/>
  <c r="FC27" i="40"/>
  <c r="FC25" i="40"/>
  <c r="FC45" i="40"/>
  <c r="FC35" i="40"/>
  <c r="FC86" i="40"/>
  <c r="FC70" i="40"/>
  <c r="FC92" i="40"/>
  <c r="FC31" i="40"/>
  <c r="FC29" i="40"/>
  <c r="FC51" i="40"/>
  <c r="FC39" i="40"/>
  <c r="FC91" i="40"/>
  <c r="FC75" i="40"/>
  <c r="FC96" i="40"/>
  <c r="FE15" i="49"/>
  <c r="FE59" i="49"/>
  <c r="FE80" i="49"/>
  <c r="FE141" i="49"/>
  <c r="FE192" i="49"/>
  <c r="FE220" i="49"/>
  <c r="FE34" i="49"/>
  <c r="FE146" i="49"/>
  <c r="FE112" i="49"/>
  <c r="FE49" i="49"/>
  <c r="FE103" i="49"/>
  <c r="FE165" i="49"/>
  <c r="FH214" i="49"/>
  <c r="FE61" i="49"/>
  <c r="FE120" i="49"/>
  <c r="FE151" i="49"/>
  <c r="FE182" i="49"/>
  <c r="FF194" i="49"/>
  <c r="FE14" i="49"/>
  <c r="FE32" i="49"/>
  <c r="FE33" i="49"/>
  <c r="FE105" i="49"/>
  <c r="FE174" i="49"/>
  <c r="FE153" i="49"/>
  <c r="FE189" i="49"/>
  <c r="FE210" i="49"/>
  <c r="FF159" i="49"/>
  <c r="FE180" i="49"/>
  <c r="FF93" i="49"/>
  <c r="FF88" i="49"/>
  <c r="FF147" i="49"/>
  <c r="FF167" i="49"/>
  <c r="FF32" i="49"/>
  <c r="FF200" i="49"/>
  <c r="FF59" i="49"/>
  <c r="FF192" i="49"/>
  <c r="FF43" i="49"/>
  <c r="FF197" i="49"/>
  <c r="FF70" i="49"/>
  <c r="FF51" i="49"/>
  <c r="FF85" i="49"/>
  <c r="FF146" i="49"/>
  <c r="FE162" i="49"/>
  <c r="FE194" i="49"/>
  <c r="FE201" i="49"/>
  <c r="FE119" i="49"/>
  <c r="FE149" i="49"/>
  <c r="FE196" i="49"/>
  <c r="FE217" i="49"/>
  <c r="FE145" i="49"/>
  <c r="FE152" i="49"/>
  <c r="FE204" i="49"/>
  <c r="FE216" i="49"/>
  <c r="FE86" i="49"/>
  <c r="FE177" i="49"/>
  <c r="FE203" i="49"/>
  <c r="FE77" i="49"/>
  <c r="FE100" i="49"/>
  <c r="FE164" i="49"/>
  <c r="FE207" i="49"/>
  <c r="FH203" i="49"/>
  <c r="FE50" i="49"/>
  <c r="FE55" i="49"/>
  <c r="FE66" i="49"/>
  <c r="FE142" i="49"/>
  <c r="FE116" i="49"/>
  <c r="FE157" i="49"/>
  <c r="FE183" i="49"/>
  <c r="FH151" i="49"/>
  <c r="FE28" i="49"/>
  <c r="FE36" i="49"/>
  <c r="FE111" i="49"/>
  <c r="FE122" i="49"/>
  <c r="FE176" i="49"/>
  <c r="FE212" i="49"/>
  <c r="FE205" i="49"/>
  <c r="FH16" i="49"/>
  <c r="FH35" i="49"/>
  <c r="FH28" i="49"/>
  <c r="FH73" i="49"/>
  <c r="FH85" i="49"/>
  <c r="FH111" i="49"/>
  <c r="FH88" i="49"/>
  <c r="FH156" i="49"/>
  <c r="FH158" i="49"/>
  <c r="FH200" i="49"/>
  <c r="FH210" i="49"/>
  <c r="FH19" i="49"/>
  <c r="FH14" i="49"/>
  <c r="FH41" i="49"/>
  <c r="FH34" i="49"/>
  <c r="FH24" i="49"/>
  <c r="FH95" i="49"/>
  <c r="FH120" i="49"/>
  <c r="FH96" i="49"/>
  <c r="FH165" i="49"/>
  <c r="FH167" i="49"/>
  <c r="FH208" i="49"/>
  <c r="FH216" i="49"/>
  <c r="FH46" i="49"/>
  <c r="FH36" i="49"/>
  <c r="FH115" i="49"/>
  <c r="FH93" i="49"/>
  <c r="FH109" i="49"/>
  <c r="FH173" i="49"/>
  <c r="FH191" i="49"/>
  <c r="FH207" i="49"/>
  <c r="FH217" i="49"/>
  <c r="FH57" i="49"/>
  <c r="FH42" i="49"/>
  <c r="FH121" i="49"/>
  <c r="FH101" i="49"/>
  <c r="FH122" i="49"/>
  <c r="FH155" i="49"/>
  <c r="FH197" i="49"/>
  <c r="FH215" i="49"/>
  <c r="FH63" i="49"/>
  <c r="FH56" i="49"/>
  <c r="FH76" i="49"/>
  <c r="FH48" i="49"/>
  <c r="FH140" i="49"/>
  <c r="FH113" i="49"/>
  <c r="FH150" i="49"/>
  <c r="FH164" i="49"/>
  <c r="FH205" i="49"/>
  <c r="FH186" i="49"/>
  <c r="FH66" i="49"/>
  <c r="FH59" i="49"/>
  <c r="FH51" i="49"/>
  <c r="FH143" i="49"/>
  <c r="FH119" i="49"/>
  <c r="FH153" i="49"/>
  <c r="FH168" i="49"/>
  <c r="FH209" i="49"/>
  <c r="FH189" i="49"/>
  <c r="FH10" i="49"/>
  <c r="FH23" i="49"/>
  <c r="FH29" i="49"/>
  <c r="FH74" i="49"/>
  <c r="FH67" i="49"/>
  <c r="FH144" i="49"/>
  <c r="FH98" i="49"/>
  <c r="FH86" i="49"/>
  <c r="FH174" i="49"/>
  <c r="FH179" i="49"/>
  <c r="FH193" i="49"/>
  <c r="FH202" i="49"/>
  <c r="FH13" i="49"/>
  <c r="FH32" i="49"/>
  <c r="FH25" i="49"/>
  <c r="FH70" i="49"/>
  <c r="FH147" i="49"/>
  <c r="FH103" i="49"/>
  <c r="FH81" i="49"/>
  <c r="FH178" i="49"/>
  <c r="FH154" i="49"/>
  <c r="FH196" i="49"/>
  <c r="FH206" i="49"/>
  <c r="FE23" i="49"/>
  <c r="FE11" i="49"/>
  <c r="FE62" i="49"/>
  <c r="FE64" i="49"/>
  <c r="FE63" i="49"/>
  <c r="FE101" i="49"/>
  <c r="FE144" i="49"/>
  <c r="FE168" i="49"/>
  <c r="FE190" i="49"/>
  <c r="FE214" i="49"/>
  <c r="FE38" i="49"/>
  <c r="FE43" i="49"/>
  <c r="FE42" i="49"/>
  <c r="FE94" i="49"/>
  <c r="FE88" i="49"/>
  <c r="FE156" i="49"/>
  <c r="FE175" i="49"/>
  <c r="FE215" i="49"/>
  <c r="FE219" i="49"/>
  <c r="FH21" i="49"/>
  <c r="FH17" i="49"/>
  <c r="FH26" i="49"/>
  <c r="FH53" i="49"/>
  <c r="FH37" i="49"/>
  <c r="FH64" i="49"/>
  <c r="FH45" i="49"/>
  <c r="FH99" i="49"/>
  <c r="FH94" i="49"/>
  <c r="FH110" i="49"/>
  <c r="FH100" i="49"/>
  <c r="FH171" i="49"/>
  <c r="FH159" i="49"/>
  <c r="FH175" i="49"/>
  <c r="FH190" i="49"/>
  <c r="FH181" i="49"/>
  <c r="FH220" i="49"/>
  <c r="FE18" i="49"/>
  <c r="FE41" i="49"/>
  <c r="FE25" i="49"/>
  <c r="FE58" i="49"/>
  <c r="FE45" i="49"/>
  <c r="FE87" i="49"/>
  <c r="FE89" i="49"/>
  <c r="FE96" i="49"/>
  <c r="FE99" i="49"/>
  <c r="FE155" i="49"/>
  <c r="FE150" i="49"/>
  <c r="FE208" i="49"/>
  <c r="FE206" i="49"/>
  <c r="FE218" i="49"/>
  <c r="FH54" i="49"/>
  <c r="FH38" i="49"/>
  <c r="FH65" i="49"/>
  <c r="FH49" i="49"/>
  <c r="FH78" i="49"/>
  <c r="FH80" i="49"/>
  <c r="FH116" i="49"/>
  <c r="FH114" i="49"/>
  <c r="FH139" i="49"/>
  <c r="FH118" i="49"/>
  <c r="FH161" i="49"/>
  <c r="FH148" i="49"/>
  <c r="FH194" i="49"/>
  <c r="FH204" i="49"/>
  <c r="FH195" i="49"/>
  <c r="FE13" i="49"/>
  <c r="FE79" i="49"/>
  <c r="FE37" i="49"/>
  <c r="FE73" i="49"/>
  <c r="FE75" i="49"/>
  <c r="FE90" i="49"/>
  <c r="FE113" i="49"/>
  <c r="FE109" i="49"/>
  <c r="FE121" i="49"/>
  <c r="FE148" i="49"/>
  <c r="FE171" i="49"/>
  <c r="FE211" i="49"/>
  <c r="FE188" i="49"/>
  <c r="FH60" i="49"/>
  <c r="FH44" i="49"/>
  <c r="FH71" i="49"/>
  <c r="FH27" i="49"/>
  <c r="FH141" i="49"/>
  <c r="FH87" i="49"/>
  <c r="FH124" i="49"/>
  <c r="FH145" i="49"/>
  <c r="FH180" i="49"/>
  <c r="FH169" i="49"/>
  <c r="FH172" i="49"/>
  <c r="FH201" i="49"/>
  <c r="FH212" i="49"/>
  <c r="FH183" i="49"/>
  <c r="FE19" i="49"/>
  <c r="FE53" i="49"/>
  <c r="FE46" i="49"/>
  <c r="FE24" i="49"/>
  <c r="FE57" i="49"/>
  <c r="FE98" i="49"/>
  <c r="FE123" i="49"/>
  <c r="FE83" i="49"/>
  <c r="FE161" i="49"/>
  <c r="FE179" i="49"/>
  <c r="FE178" i="49"/>
  <c r="FE181" i="49"/>
  <c r="FE197" i="49"/>
  <c r="FH15" i="49"/>
  <c r="FH11" i="49"/>
  <c r="FH72" i="49"/>
  <c r="FH79" i="49"/>
  <c r="FH31" i="49"/>
  <c r="FH58" i="49"/>
  <c r="FH39" i="49"/>
  <c r="FH91" i="49"/>
  <c r="FH82" i="49"/>
  <c r="FH97" i="49"/>
  <c r="FH92" i="49"/>
  <c r="FH162" i="49"/>
  <c r="FH177" i="49"/>
  <c r="FH163" i="49"/>
  <c r="FH182" i="49"/>
  <c r="FH211" i="49"/>
  <c r="FE12" i="49"/>
  <c r="FE17" i="49"/>
  <c r="FE35" i="49"/>
  <c r="FE68" i="49"/>
  <c r="FE39" i="49"/>
  <c r="FE69" i="49"/>
  <c r="FE124" i="49"/>
  <c r="FE81" i="49"/>
  <c r="FE91" i="49"/>
  <c r="FE173" i="49"/>
  <c r="FE163" i="49"/>
  <c r="FE200" i="49"/>
  <c r="FE198" i="49"/>
  <c r="FE213" i="49"/>
  <c r="FE10" i="49"/>
  <c r="FE47" i="49"/>
  <c r="FE74" i="49"/>
  <c r="FE76" i="49"/>
  <c r="FE30" i="49"/>
  <c r="FE54" i="49"/>
  <c r="FE82" i="49"/>
  <c r="FE97" i="49"/>
  <c r="FE92" i="49"/>
  <c r="FE85" i="49"/>
  <c r="FE169" i="49"/>
  <c r="FE172" i="49"/>
  <c r="FE166" i="49"/>
  <c r="FE184" i="49"/>
  <c r="FE202" i="49"/>
  <c r="FE209" i="49"/>
  <c r="FE29" i="49"/>
  <c r="FE56" i="49"/>
  <c r="FE40" i="49"/>
  <c r="FE67" i="49"/>
  <c r="FE48" i="49"/>
  <c r="FE72" i="49"/>
  <c r="FE114" i="49"/>
  <c r="FE139" i="49"/>
  <c r="FE118" i="49"/>
  <c r="FE115" i="49"/>
  <c r="FE159" i="49"/>
  <c r="FE167" i="49"/>
  <c r="FE193" i="49"/>
  <c r="FE186" i="49"/>
  <c r="FE191" i="49"/>
  <c r="FF35" i="49"/>
  <c r="FF62" i="49"/>
  <c r="FF46" i="49"/>
  <c r="FF73" i="49"/>
  <c r="FF91" i="49"/>
  <c r="FF82" i="49"/>
  <c r="FF97" i="49"/>
  <c r="FF92" i="49"/>
  <c r="FF174" i="49"/>
  <c r="FF164" i="49"/>
  <c r="FF175" i="49"/>
  <c r="FF204" i="49"/>
  <c r="FF195" i="49"/>
  <c r="FF180" i="49"/>
  <c r="FF38" i="49"/>
  <c r="FF65" i="49"/>
  <c r="FF49" i="49"/>
  <c r="FF78" i="49"/>
  <c r="FF80" i="49"/>
  <c r="FF95" i="49"/>
  <c r="FF90" i="49"/>
  <c r="FF101" i="49"/>
  <c r="FF96" i="49"/>
  <c r="FF178" i="49"/>
  <c r="FF168" i="49"/>
  <c r="FF150" i="49"/>
  <c r="FF208" i="49"/>
  <c r="FF198" i="49"/>
  <c r="FF201" i="49"/>
  <c r="FF41" i="49"/>
  <c r="FF68" i="49"/>
  <c r="FF24" i="49"/>
  <c r="FF75" i="49"/>
  <c r="FF99" i="49"/>
  <c r="FF94" i="49"/>
  <c r="FF110" i="49"/>
  <c r="FF100" i="49"/>
  <c r="FF156" i="49"/>
  <c r="FF176" i="49"/>
  <c r="FF153" i="49"/>
  <c r="FF212" i="49"/>
  <c r="FF183" i="49"/>
  <c r="FF205" i="49"/>
  <c r="FF11" i="49"/>
  <c r="FF44" i="49"/>
  <c r="FF71" i="49"/>
  <c r="FF27" i="49"/>
  <c r="FF104" i="49"/>
  <c r="FF98" i="49"/>
  <c r="FF113" i="49"/>
  <c r="FF105" i="49"/>
  <c r="FF161" i="49"/>
  <c r="FF148" i="49"/>
  <c r="FF157" i="49"/>
  <c r="FF184" i="49"/>
  <c r="FF202" i="49"/>
  <c r="FF209" i="49"/>
  <c r="FF10" i="49"/>
  <c r="FF12" i="49"/>
  <c r="FF14" i="49"/>
  <c r="FF47" i="49"/>
  <c r="FF74" i="49"/>
  <c r="FF76" i="49"/>
  <c r="FF30" i="49"/>
  <c r="FF54" i="49"/>
  <c r="FF112" i="49"/>
  <c r="FF103" i="49"/>
  <c r="FF119" i="49"/>
  <c r="FF106" i="49"/>
  <c r="FF165" i="49"/>
  <c r="FF151" i="49"/>
  <c r="FF162" i="49"/>
  <c r="FF203" i="49"/>
  <c r="FF206" i="49"/>
  <c r="FF213" i="49"/>
  <c r="FF13" i="49"/>
  <c r="FF15" i="49"/>
  <c r="FF17" i="49"/>
  <c r="FF50" i="49"/>
  <c r="FF25" i="49"/>
  <c r="FF33" i="49"/>
  <c r="FF57" i="49"/>
  <c r="FF115" i="49"/>
  <c r="FF111" i="49"/>
  <c r="FF123" i="49"/>
  <c r="FF109" i="49"/>
  <c r="FF169" i="49"/>
  <c r="FF172" i="49"/>
  <c r="FF166" i="49"/>
  <c r="FF207" i="49"/>
  <c r="FF210" i="49"/>
  <c r="FF219" i="49"/>
  <c r="FF16" i="49"/>
  <c r="FF18" i="49"/>
  <c r="FF20" i="49"/>
  <c r="FF28" i="49"/>
  <c r="FF55" i="49"/>
  <c r="FF36" i="49"/>
  <c r="FF60" i="49"/>
  <c r="FF116" i="49"/>
  <c r="FF114" i="49"/>
  <c r="FF139" i="49"/>
  <c r="FF118" i="49"/>
  <c r="FF149" i="49"/>
  <c r="FF179" i="49"/>
  <c r="FF171" i="49"/>
  <c r="FF211" i="49"/>
  <c r="FF214" i="49"/>
  <c r="FF218" i="49"/>
  <c r="FF19" i="49"/>
  <c r="FF21" i="49"/>
  <c r="FF77" i="49"/>
  <c r="FF79" i="49"/>
  <c r="FF31" i="49"/>
  <c r="FF58" i="49"/>
  <c r="FF39" i="49"/>
  <c r="FF63" i="49"/>
  <c r="FF121" i="49"/>
  <c r="FF120" i="49"/>
  <c r="FF142" i="49"/>
  <c r="FF122" i="49"/>
  <c r="FF152" i="49"/>
  <c r="FF182" i="49"/>
  <c r="FF187" i="49"/>
  <c r="FF215" i="49"/>
  <c r="FF185" i="49"/>
  <c r="FF217" i="49"/>
  <c r="FF22" i="49"/>
  <c r="FF23" i="49"/>
  <c r="FF34" i="49"/>
  <c r="FF61" i="49"/>
  <c r="FF42" i="49"/>
  <c r="FF66" i="49"/>
  <c r="FF87" i="49"/>
  <c r="FF124" i="49"/>
  <c r="FF145" i="49"/>
  <c r="FF83" i="49"/>
  <c r="FF173" i="49"/>
  <c r="FF154" i="49"/>
  <c r="FF190" i="49"/>
  <c r="FF181" i="49"/>
  <c r="FF188" i="49"/>
  <c r="FF216" i="49"/>
  <c r="FF26" i="49"/>
  <c r="FF53" i="49"/>
  <c r="FF37" i="49"/>
  <c r="FF64" i="49"/>
  <c r="FF45" i="49"/>
  <c r="FF69" i="49"/>
  <c r="FF140" i="49"/>
  <c r="FF84" i="49"/>
  <c r="FF86" i="49"/>
  <c r="FF141" i="49"/>
  <c r="FF177" i="49"/>
  <c r="FF158" i="49"/>
  <c r="FF193" i="49"/>
  <c r="FF186" i="49"/>
  <c r="FF191" i="49"/>
  <c r="FF220" i="49"/>
  <c r="FF29" i="49"/>
  <c r="FF56" i="49"/>
  <c r="FF40" i="49"/>
  <c r="FF67" i="49"/>
  <c r="FF48" i="49"/>
  <c r="FF72" i="49"/>
  <c r="FF143" i="49"/>
  <c r="FF89" i="49"/>
  <c r="FF81" i="49"/>
  <c r="FF144" i="49"/>
  <c r="FF155" i="49"/>
  <c r="FF163" i="49"/>
  <c r="FF196" i="49"/>
  <c r="FF189" i="49"/>
  <c r="FI108" i="49"/>
  <c r="FI107" i="49"/>
  <c r="FF108" i="49"/>
  <c r="FF107" i="49"/>
  <c r="FE108" i="49"/>
  <c r="FE107" i="49"/>
  <c r="FG108" i="49"/>
  <c r="FG107" i="49"/>
  <c r="FD108" i="49"/>
  <c r="FD107" i="49"/>
  <c r="FH108" i="49"/>
  <c r="FH107" i="49"/>
  <c r="FF97" i="40"/>
  <c r="FF93" i="40"/>
  <c r="FF88" i="40"/>
  <c r="FF84" i="40"/>
  <c r="FF80" i="40"/>
  <c r="FF75" i="40"/>
  <c r="FF70" i="40"/>
  <c r="FF66" i="40"/>
  <c r="FF98" i="40"/>
  <c r="FF94" i="40"/>
  <c r="FF90" i="40"/>
  <c r="FF85" i="40"/>
  <c r="FF81" i="40"/>
  <c r="FF77" i="40"/>
  <c r="FF71" i="40"/>
  <c r="FF67" i="40"/>
  <c r="FF95" i="40"/>
  <c r="FF91" i="40"/>
  <c r="FF86" i="40"/>
  <c r="FF82" i="40"/>
  <c r="FF78" i="40"/>
  <c r="FF73" i="40"/>
  <c r="FF68" i="40"/>
  <c r="FF96" i="40"/>
  <c r="FF92" i="40"/>
  <c r="FF87" i="40"/>
  <c r="FF83" i="40"/>
  <c r="FF79" i="40"/>
  <c r="FF74" i="40"/>
  <c r="FF69" i="40"/>
  <c r="FF62" i="40"/>
  <c r="FF58" i="40"/>
  <c r="FF54" i="40"/>
  <c r="FF48" i="40"/>
  <c r="FF44" i="40"/>
  <c r="FF40" i="40"/>
  <c r="FF36" i="40"/>
  <c r="FF63" i="40"/>
  <c r="FF59" i="40"/>
  <c r="FF55" i="40"/>
  <c r="FF51" i="40"/>
  <c r="FF45" i="40"/>
  <c r="FF41" i="40"/>
  <c r="FF37" i="40"/>
  <c r="FF33" i="40"/>
  <c r="FF64" i="40"/>
  <c r="FF60" i="40"/>
  <c r="FF56" i="40"/>
  <c r="FF49" i="40"/>
  <c r="FF47" i="40"/>
  <c r="FF42" i="40"/>
  <c r="FF38" i="40"/>
  <c r="FF34" i="40"/>
  <c r="FF65" i="40"/>
  <c r="FF61" i="40"/>
  <c r="FF57" i="40"/>
  <c r="FF52" i="40"/>
  <c r="FF50" i="40"/>
  <c r="FF43" i="40"/>
  <c r="FF39" i="40"/>
  <c r="FF30" i="40"/>
  <c r="FF26" i="40"/>
  <c r="FF22" i="40"/>
  <c r="FF18" i="40"/>
  <c r="FF14" i="40"/>
  <c r="FF10" i="40"/>
  <c r="FF35" i="40"/>
  <c r="FF31" i="40"/>
  <c r="FF27" i="40"/>
  <c r="FF23" i="40"/>
  <c r="FF19" i="40"/>
  <c r="FF15" i="40"/>
  <c r="FF11" i="40"/>
  <c r="FF32" i="40"/>
  <c r="FF28" i="40"/>
  <c r="FF20" i="40"/>
  <c r="FF16" i="40"/>
  <c r="FF12" i="40"/>
  <c r="FF29" i="40"/>
  <c r="FF25" i="40"/>
  <c r="FF21" i="40"/>
  <c r="FF17" i="40"/>
  <c r="FF13" i="40"/>
  <c r="EP51" i="32"/>
  <c r="EP47" i="32"/>
  <c r="EP50" i="32"/>
  <c r="EP48" i="32"/>
  <c r="EP52" i="32"/>
  <c r="EP49" i="32"/>
  <c r="FM222" i="49"/>
  <c r="FB100" i="40" l="1"/>
  <c r="FE100" i="40"/>
  <c r="FD100" i="40"/>
  <c r="FG100" i="40"/>
  <c r="FC100" i="40"/>
  <c r="FF100" i="40"/>
  <c r="N5" i="83"/>
  <c r="FX49" i="40"/>
  <c r="EO49" i="32"/>
  <c r="FX50" i="40"/>
  <c r="EO50" i="32"/>
  <c r="FX47" i="40"/>
  <c r="EO47" i="32"/>
  <c r="FX52" i="40"/>
  <c r="EO52" i="32"/>
  <c r="FX51" i="40"/>
  <c r="EO51" i="32"/>
  <c r="FX48" i="40"/>
  <c r="EO48" i="32"/>
  <c r="FA52" i="40"/>
  <c r="DQ52" i="32"/>
  <c r="FA51" i="40"/>
  <c r="DQ51" i="32"/>
  <c r="FA50" i="40"/>
  <c r="DQ50" i="32"/>
  <c r="FA47" i="40"/>
  <c r="DQ47" i="32"/>
  <c r="FA48" i="40"/>
  <c r="DQ48" i="32"/>
  <c r="FA49" i="40"/>
  <c r="DQ49" i="32"/>
  <c r="FB47" i="32"/>
  <c r="FB51" i="32"/>
  <c r="FB48" i="32"/>
  <c r="FB50" i="32"/>
  <c r="FB52" i="32"/>
  <c r="GB50" i="32"/>
  <c r="EQ50" i="32"/>
  <c r="GB49" i="32"/>
  <c r="EQ49" i="32"/>
  <c r="FB49" i="32"/>
  <c r="GB47" i="32"/>
  <c r="EQ47" i="32"/>
  <c r="GB51" i="32"/>
  <c r="EQ51" i="32"/>
  <c r="GB48" i="32"/>
  <c r="EQ48" i="32"/>
  <c r="GB52" i="32"/>
  <c r="EQ52" i="32"/>
  <c r="DQ74" i="32"/>
  <c r="FA74" i="40"/>
  <c r="GJ74" i="40" s="1"/>
  <c r="FB74" i="32"/>
  <c r="DQ75" i="32"/>
  <c r="FA75" i="40"/>
  <c r="GJ75" i="40" s="1"/>
  <c r="FB75" i="32"/>
  <c r="FB73" i="32"/>
  <c r="FA73" i="40"/>
  <c r="GJ73" i="40" s="1"/>
  <c r="DQ73" i="32"/>
  <c r="GB75" i="32"/>
  <c r="EQ75" i="32"/>
  <c r="GA73" i="32"/>
  <c r="EP73" i="32"/>
  <c r="GA74" i="32"/>
  <c r="EP74" i="32"/>
  <c r="FZ75" i="32"/>
  <c r="EO75" i="32"/>
  <c r="GB74" i="32"/>
  <c r="EQ74" i="32"/>
  <c r="FZ73" i="32"/>
  <c r="EO73" i="32"/>
  <c r="FZ74" i="32"/>
  <c r="EO74" i="32"/>
  <c r="GB73" i="32"/>
  <c r="EQ73" i="32"/>
  <c r="GA75" i="32"/>
  <c r="EP75" i="32"/>
  <c r="D12" i="79"/>
  <c r="B61" i="79"/>
  <c r="B13" i="38"/>
  <c r="B12" i="38"/>
  <c r="B11" i="38"/>
  <c r="B10" i="38"/>
  <c r="GJ47" i="40" l="1"/>
  <c r="GJ49" i="40"/>
  <c r="GJ51" i="40"/>
  <c r="GJ48" i="40"/>
  <c r="GJ50" i="40"/>
  <c r="GJ52" i="40"/>
  <c r="GK73" i="32"/>
  <c r="H95" i="38" s="1"/>
  <c r="EZ75" i="32"/>
  <c r="F97" i="38" s="1"/>
  <c r="GK74" i="32"/>
  <c r="H96" i="38" s="1"/>
  <c r="GK75" i="32"/>
  <c r="H97" i="38" s="1"/>
  <c r="EZ73" i="32"/>
  <c r="F95" i="38" s="1"/>
  <c r="EZ74" i="32"/>
  <c r="F96" i="38" s="1"/>
  <c r="I61" i="31"/>
  <c r="J61" i="31"/>
  <c r="C10" i="38" s="1"/>
  <c r="D7" i="81" s="1"/>
  <c r="I60" i="31"/>
  <c r="J60" i="31"/>
  <c r="G6" i="89" s="1"/>
  <c r="I97" i="38" l="1"/>
  <c r="I96" i="38"/>
  <c r="I95" i="38"/>
  <c r="E6" i="89"/>
  <c r="P54" i="87"/>
  <c r="P52" i="87"/>
  <c r="P50" i="87"/>
  <c r="P40" i="87"/>
  <c r="P38" i="87"/>
  <c r="P36" i="87"/>
  <c r="C57" i="79" l="1"/>
  <c r="E50" i="44"/>
  <c r="C48" i="44"/>
  <c r="B60" i="79" s="1"/>
  <c r="B57" i="79"/>
  <c r="C37" i="44"/>
  <c r="B56" i="79" s="1"/>
  <c r="C36" i="44"/>
  <c r="B55" i="79" s="1"/>
  <c r="I166" i="31"/>
  <c r="J166" i="31" s="1"/>
  <c r="C22" i="44" s="1"/>
  <c r="I165" i="31"/>
  <c r="D36" i="44" s="1"/>
  <c r="C55" i="79" s="1"/>
  <c r="F156" i="31"/>
  <c r="G156" i="31"/>
  <c r="C21" i="44"/>
  <c r="G147" i="31"/>
  <c r="G149" i="31" s="1"/>
  <c r="F147" i="31"/>
  <c r="F149" i="31" s="1"/>
  <c r="M156" i="31"/>
  <c r="L156" i="31"/>
  <c r="K156" i="31"/>
  <c r="J156" i="31"/>
  <c r="C21" i="48"/>
  <c r="D57" i="79" l="1"/>
  <c r="B54" i="79"/>
  <c r="D37" i="44"/>
  <c r="C56" i="79" s="1"/>
  <c r="C54" i="79" s="1"/>
  <c r="D32" i="48"/>
  <c r="D31" i="48"/>
  <c r="C45" i="48"/>
  <c r="B39" i="79" s="1"/>
  <c r="I129" i="31"/>
  <c r="D36" i="48" s="1"/>
  <c r="C36" i="79" s="1"/>
  <c r="I128" i="31"/>
  <c r="D35" i="48" s="1"/>
  <c r="C35" i="79" s="1"/>
  <c r="I127" i="31"/>
  <c r="D34" i="48" s="1"/>
  <c r="C36" i="48"/>
  <c r="B36" i="79" s="1"/>
  <c r="C35" i="48"/>
  <c r="B35" i="79" s="1"/>
  <c r="B40" i="79" l="1"/>
  <c r="C49" i="48"/>
  <c r="B41" i="79" s="1"/>
  <c r="C19" i="48"/>
  <c r="C20" i="48"/>
  <c r="D30" i="48"/>
  <c r="C32" i="79" s="1"/>
  <c r="D114" i="31"/>
  <c r="D113" i="31"/>
  <c r="E114" i="31"/>
  <c r="E113" i="31"/>
  <c r="F114" i="31"/>
  <c r="F113" i="31"/>
  <c r="G114" i="31"/>
  <c r="C32" i="48" s="1"/>
  <c r="G113" i="31"/>
  <c r="C31" i="48" s="1"/>
  <c r="B104" i="31"/>
  <c r="B130" i="31"/>
  <c r="B131" i="31" s="1"/>
  <c r="B115" i="31"/>
  <c r="B116" i="31" s="1"/>
  <c r="C30" i="48" l="1"/>
  <c r="B32" i="79" s="1"/>
  <c r="D135" i="31"/>
  <c r="D130" i="31" l="1"/>
  <c r="D131" i="31" s="1"/>
  <c r="C130" i="31"/>
  <c r="C131" i="31" s="1"/>
  <c r="M131" i="31"/>
  <c r="L131" i="31"/>
  <c r="K131" i="31"/>
  <c r="J131" i="31"/>
  <c r="I135" i="31"/>
  <c r="C34" i="79" s="1"/>
  <c r="I130" i="31" l="1"/>
  <c r="I131" i="31" s="1"/>
  <c r="C33" i="79"/>
  <c r="C37" i="79" s="1"/>
  <c r="D115" i="31" l="1"/>
  <c r="D116" i="31" s="1"/>
  <c r="C115" i="31"/>
  <c r="C116" i="31" s="1"/>
  <c r="M116" i="31"/>
  <c r="L116" i="31"/>
  <c r="K116" i="31"/>
  <c r="J116" i="31"/>
  <c r="I116" i="31"/>
  <c r="G103" i="31"/>
  <c r="G102" i="31"/>
  <c r="G101" i="31"/>
  <c r="E103" i="31"/>
  <c r="E102" i="31"/>
  <c r="D103" i="31"/>
  <c r="D102" i="31"/>
  <c r="C102" i="31"/>
  <c r="C103" i="31"/>
  <c r="C101" i="31"/>
  <c r="D101" i="31"/>
  <c r="E101" i="31"/>
  <c r="F103" i="31"/>
  <c r="F102" i="31"/>
  <c r="F101" i="31"/>
  <c r="B19" i="79" l="1"/>
  <c r="I90" i="31" l="1"/>
  <c r="D51" i="31"/>
  <c r="E90" i="31" s="1"/>
  <c r="F20" i="31" l="1"/>
  <c r="C24" i="37" l="1"/>
  <c r="C8" i="78" s="1"/>
  <c r="J47" i="31"/>
  <c r="I47" i="31"/>
  <c r="J52" i="31"/>
  <c r="I52" i="31"/>
  <c r="C9" i="38" l="1"/>
  <c r="D6" i="81" s="1"/>
  <c r="D5" i="89"/>
  <c r="E49" i="44"/>
  <c r="E46" i="48"/>
  <c r="J51" i="31"/>
  <c r="E48" i="44" l="1"/>
  <c r="E45" i="48"/>
  <c r="D39" i="79" s="1"/>
  <c r="I62" i="31"/>
  <c r="D60" i="79" l="1"/>
  <c r="C11" i="79"/>
  <c r="C6" i="89"/>
  <c r="D41" i="37"/>
  <c r="I43" i="31"/>
  <c r="I78" i="31" l="1"/>
  <c r="C21" i="37"/>
  <c r="J43" i="31"/>
  <c r="C5" i="78" l="1"/>
  <c r="F21" i="31"/>
  <c r="F19" i="31" l="1"/>
  <c r="C42" i="31"/>
  <c r="C43" i="31"/>
  <c r="C62" i="31" l="1"/>
  <c r="D47" i="31"/>
  <c r="D43" i="31" s="1"/>
  <c r="D78" i="31" l="1"/>
  <c r="E43" i="31"/>
  <c r="F43" i="31" s="1"/>
  <c r="D42" i="31"/>
  <c r="C23" i="37"/>
  <c r="C7" i="78" s="1"/>
  <c r="E56" i="37"/>
  <c r="D62" i="31" l="1"/>
  <c r="E42" i="31"/>
  <c r="E78" i="31"/>
  <c r="C55" i="37"/>
  <c r="C44" i="37"/>
  <c r="B13" i="79" s="1"/>
  <c r="I86" i="31"/>
  <c r="D39" i="37"/>
  <c r="D38" i="37"/>
  <c r="D85" i="31"/>
  <c r="E85" i="31"/>
  <c r="F85" i="31"/>
  <c r="G85" i="31"/>
  <c r="C39" i="37" s="1"/>
  <c r="G84" i="31"/>
  <c r="C38" i="37" s="1"/>
  <c r="F84" i="31"/>
  <c r="E84" i="31"/>
  <c r="D84" i="31"/>
  <c r="D37" i="37" l="1"/>
  <c r="C8" i="79" s="1"/>
  <c r="C12" i="79"/>
  <c r="C59" i="37"/>
  <c r="B20" i="79" s="1"/>
  <c r="B18" i="79"/>
  <c r="E62" i="31"/>
  <c r="F42" i="31"/>
  <c r="F86" i="31"/>
  <c r="E86" i="31"/>
  <c r="G90" i="31" s="1"/>
  <c r="D86" i="31"/>
  <c r="F90" i="31" s="1"/>
  <c r="F78" i="31" s="1"/>
  <c r="G86" i="31"/>
  <c r="C37" i="37"/>
  <c r="B8" i="79" s="1"/>
  <c r="O126" i="69"/>
  <c r="F62" i="31" l="1"/>
  <c r="C43" i="37"/>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2" i="28"/>
  <c r="C151"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C6" i="28"/>
  <c r="H1" i="63"/>
  <c r="J300" i="28" s="1"/>
  <c r="C344" i="28"/>
  <c r="I344" i="28" s="1"/>
  <c r="C345" i="28"/>
  <c r="I345" i="28" s="1"/>
  <c r="C346" i="28"/>
  <c r="I346" i="28" s="1"/>
  <c r="C347" i="28"/>
  <c r="I347" i="28" s="1"/>
  <c r="C343" i="28"/>
  <c r="I343" i="28" s="1"/>
  <c r="B316" i="28"/>
  <c r="J316" i="28" s="1"/>
  <c r="B317" i="28"/>
  <c r="B318" i="28"/>
  <c r="B319" i="28"/>
  <c r="B320" i="28"/>
  <c r="B315" i="28"/>
  <c r="A20" i="67"/>
  <c r="A19" i="67"/>
  <c r="A14" i="67"/>
  <c r="A13" i="67"/>
  <c r="A8" i="67"/>
  <c r="A7" i="67"/>
  <c r="A8" i="66"/>
  <c r="B325" i="28"/>
  <c r="B326" i="28"/>
  <c r="B327" i="28"/>
  <c r="B328" i="28"/>
  <c r="B329" i="28"/>
  <c r="B330" i="28"/>
  <c r="B331" i="28"/>
  <c r="B332" i="28"/>
  <c r="B333" i="28"/>
  <c r="B334" i="28"/>
  <c r="B335" i="28"/>
  <c r="B336" i="28"/>
  <c r="B337" i="28"/>
  <c r="B324" i="28"/>
  <c r="J324" i="28" s="1"/>
  <c r="A19" i="66"/>
  <c r="A18" i="66"/>
  <c r="A16" i="66"/>
  <c r="A15" i="66"/>
  <c r="A14" i="66"/>
  <c r="A13" i="66"/>
  <c r="A11" i="66"/>
  <c r="A10" i="66"/>
  <c r="A9" i="66"/>
  <c r="J331" i="28" l="1"/>
  <c r="J330" i="28"/>
  <c r="J315" i="28"/>
  <c r="J326" i="28"/>
  <c r="J318" i="28"/>
  <c r="J325" i="28"/>
  <c r="J317" i="28"/>
  <c r="J329" i="28"/>
  <c r="J328" i="28"/>
  <c r="J320" i="28"/>
  <c r="J327" i="28"/>
  <c r="J319" i="28"/>
  <c r="J336" i="28"/>
  <c r="J337" i="28"/>
  <c r="B12" i="79"/>
  <c r="B347" i="28"/>
  <c r="B346" i="28"/>
  <c r="B345" i="28"/>
  <c r="B344" i="28"/>
  <c r="B343" i="28"/>
  <c r="J17" i="28"/>
  <c r="J29" i="28"/>
  <c r="J41" i="28"/>
  <c r="J53" i="28"/>
  <c r="J65" i="28"/>
  <c r="J77" i="28"/>
  <c r="J89" i="28"/>
  <c r="J101" i="28"/>
  <c r="J113" i="28"/>
  <c r="J125" i="28"/>
  <c r="J137" i="28"/>
  <c r="J149" i="28"/>
  <c r="J161" i="28"/>
  <c r="J173" i="28"/>
  <c r="J185" i="28"/>
  <c r="J197" i="28"/>
  <c r="J209" i="28"/>
  <c r="J229" i="28"/>
  <c r="J241" i="28"/>
  <c r="J253" i="28"/>
  <c r="J265" i="28"/>
  <c r="J277" i="28"/>
  <c r="J289" i="28"/>
  <c r="J301" i="28"/>
  <c r="J6" i="28"/>
  <c r="J18" i="28"/>
  <c r="J30" i="28"/>
  <c r="J42" i="28"/>
  <c r="J54" i="28"/>
  <c r="J66" i="28"/>
  <c r="J78" i="28"/>
  <c r="J90" i="28"/>
  <c r="J102" i="28"/>
  <c r="J114" i="28"/>
  <c r="J126" i="28"/>
  <c r="J138" i="28"/>
  <c r="J150" i="28"/>
  <c r="J162" i="28"/>
  <c r="J174" i="28"/>
  <c r="J186" i="28"/>
  <c r="J198" i="28"/>
  <c r="J210" i="28"/>
  <c r="J218" i="28"/>
  <c r="J230" i="28"/>
  <c r="J242" i="28"/>
  <c r="J254" i="28"/>
  <c r="J266" i="28"/>
  <c r="J278" i="28"/>
  <c r="J290" i="28"/>
  <c r="J302" i="28"/>
  <c r="J7" i="28"/>
  <c r="J19" i="28"/>
  <c r="J31" i="28"/>
  <c r="J43" i="28"/>
  <c r="J55" i="28"/>
  <c r="J67" i="28"/>
  <c r="J79" i="28"/>
  <c r="J91" i="28"/>
  <c r="J103" i="28"/>
  <c r="J115" i="28"/>
  <c r="J127" i="28"/>
  <c r="J139" i="28"/>
  <c r="J151" i="28"/>
  <c r="J163" i="28"/>
  <c r="J175" i="28"/>
  <c r="J187" i="28"/>
  <c r="J199" i="28"/>
  <c r="J211" i="28"/>
  <c r="J219" i="28"/>
  <c r="J231" i="28"/>
  <c r="J243" i="28"/>
  <c r="J255" i="28"/>
  <c r="J267" i="28"/>
  <c r="J279" i="28"/>
  <c r="J291" i="28"/>
  <c r="J303" i="28"/>
  <c r="C331" i="28"/>
  <c r="A331" i="28" s="1"/>
  <c r="J8" i="28"/>
  <c r="J20" i="28"/>
  <c r="J32" i="28"/>
  <c r="J44" i="28"/>
  <c r="J56" i="28"/>
  <c r="J68" i="28"/>
  <c r="J80" i="28"/>
  <c r="J92" i="28"/>
  <c r="J104" i="28"/>
  <c r="J116" i="28"/>
  <c r="J128" i="28"/>
  <c r="J140" i="28"/>
  <c r="J152" i="28"/>
  <c r="J164" i="28"/>
  <c r="J176" i="28"/>
  <c r="J188" i="28"/>
  <c r="J200" i="28"/>
  <c r="J212" i="28"/>
  <c r="J220" i="28"/>
  <c r="J232" i="28"/>
  <c r="J244" i="28"/>
  <c r="J256" i="28"/>
  <c r="J268" i="28"/>
  <c r="J280" i="28"/>
  <c r="J292" i="28"/>
  <c r="J304" i="28"/>
  <c r="J21" i="28"/>
  <c r="J33" i="28"/>
  <c r="J57" i="28"/>
  <c r="J69" i="28"/>
  <c r="J81" i="28"/>
  <c r="J93" i="28"/>
  <c r="J105" i="28"/>
  <c r="J117" i="28"/>
  <c r="J129" i="28"/>
  <c r="J141" i="28"/>
  <c r="J153" i="28"/>
  <c r="J165" i="28"/>
  <c r="J177" i="28"/>
  <c r="J189" i="28"/>
  <c r="J201" i="28"/>
  <c r="J213" i="28"/>
  <c r="J221" i="28"/>
  <c r="J233" i="28"/>
  <c r="J245" i="28"/>
  <c r="J257" i="28"/>
  <c r="J269" i="28"/>
  <c r="J281" i="28"/>
  <c r="J293" i="28"/>
  <c r="J305" i="28"/>
  <c r="J45" i="28"/>
  <c r="J10" i="28"/>
  <c r="J22" i="28"/>
  <c r="J34" i="28"/>
  <c r="J46" i="28"/>
  <c r="J58" i="28"/>
  <c r="J70" i="28"/>
  <c r="J82" i="28"/>
  <c r="J94" i="28"/>
  <c r="J106" i="28"/>
  <c r="J118" i="28"/>
  <c r="J130" i="28"/>
  <c r="J142" i="28"/>
  <c r="J154" i="28"/>
  <c r="J166" i="28"/>
  <c r="J178" i="28"/>
  <c r="J190" i="28"/>
  <c r="J202" i="28"/>
  <c r="J214" i="28"/>
  <c r="J222" i="28"/>
  <c r="J234" i="28"/>
  <c r="J246" i="28"/>
  <c r="J258" i="28"/>
  <c r="J270" i="28"/>
  <c r="J282" i="28"/>
  <c r="J294" i="28"/>
  <c r="J306" i="28"/>
  <c r="J11" i="28"/>
  <c r="J23" i="28"/>
  <c r="J35" i="28"/>
  <c r="J47" i="28"/>
  <c r="J59" i="28"/>
  <c r="J71" i="28"/>
  <c r="J83" i="28"/>
  <c r="J95" i="28"/>
  <c r="J107" i="28"/>
  <c r="J119" i="28"/>
  <c r="J131" i="28"/>
  <c r="J143" i="28"/>
  <c r="J155" i="28"/>
  <c r="J167" i="28"/>
  <c r="J179" i="28"/>
  <c r="J191" i="28"/>
  <c r="J203" i="28"/>
  <c r="J215" i="28"/>
  <c r="J223" i="28"/>
  <c r="J235" i="28"/>
  <c r="J247" i="28"/>
  <c r="J259" i="28"/>
  <c r="J271" i="28"/>
  <c r="J283" i="28"/>
  <c r="J295" i="28"/>
  <c r="J307" i="28"/>
  <c r="J9" i="28"/>
  <c r="J12" i="28"/>
  <c r="J24" i="28"/>
  <c r="J36" i="28"/>
  <c r="J48" i="28"/>
  <c r="J60" i="28"/>
  <c r="J72" i="28"/>
  <c r="J84" i="28"/>
  <c r="J96" i="28"/>
  <c r="J108" i="28"/>
  <c r="J120" i="28"/>
  <c r="J132" i="28"/>
  <c r="J144" i="28"/>
  <c r="J156" i="28"/>
  <c r="J168" i="28"/>
  <c r="J180" i="28"/>
  <c r="J192" i="28"/>
  <c r="J204" i="28"/>
  <c r="J216" i="28"/>
  <c r="J224" i="28"/>
  <c r="J236" i="28"/>
  <c r="J248" i="28"/>
  <c r="J260" i="28"/>
  <c r="J272" i="28"/>
  <c r="J284" i="28"/>
  <c r="J296" i="28"/>
  <c r="J308" i="28"/>
  <c r="J13" i="28"/>
  <c r="J25" i="28"/>
  <c r="J37" i="28"/>
  <c r="J49" i="28"/>
  <c r="J61" i="28"/>
  <c r="J73" i="28"/>
  <c r="J85" i="28"/>
  <c r="J97" i="28"/>
  <c r="J109" i="28"/>
  <c r="J121" i="28"/>
  <c r="J133" i="28"/>
  <c r="J145" i="28"/>
  <c r="J157" i="28"/>
  <c r="J169" i="28"/>
  <c r="J181" i="28"/>
  <c r="J193" i="28"/>
  <c r="J205" i="28"/>
  <c r="J217" i="28"/>
  <c r="J225" i="28"/>
  <c r="J237" i="28"/>
  <c r="J249" i="28"/>
  <c r="J261" i="28"/>
  <c r="J273" i="28"/>
  <c r="J285" i="28"/>
  <c r="J297" i="28"/>
  <c r="J309" i="28"/>
  <c r="J14" i="28"/>
  <c r="J26" i="28"/>
  <c r="J38" i="28"/>
  <c r="J50" i="28"/>
  <c r="J62" i="28"/>
  <c r="J74" i="28"/>
  <c r="J86" i="28"/>
  <c r="J98" i="28"/>
  <c r="J110" i="28"/>
  <c r="J122" i="28"/>
  <c r="J134" i="28"/>
  <c r="J146" i="28"/>
  <c r="J158" i="28"/>
  <c r="J170" i="28"/>
  <c r="J182" i="28"/>
  <c r="J194" i="28"/>
  <c r="J206" i="28"/>
  <c r="J226" i="28"/>
  <c r="J238" i="28"/>
  <c r="J250" i="28"/>
  <c r="J262" i="28"/>
  <c r="J274" i="28"/>
  <c r="J286" i="28"/>
  <c r="J298" i="28"/>
  <c r="J310" i="28"/>
  <c r="J15" i="28"/>
  <c r="J27" i="28"/>
  <c r="J39" i="28"/>
  <c r="J51" i="28"/>
  <c r="J63" i="28"/>
  <c r="J75" i="28"/>
  <c r="J87" i="28"/>
  <c r="J99" i="28"/>
  <c r="J111" i="28"/>
  <c r="J123" i="28"/>
  <c r="J135" i="28"/>
  <c r="J147" i="28"/>
  <c r="J159" i="28"/>
  <c r="J171" i="28"/>
  <c r="J183" i="28"/>
  <c r="J195" i="28"/>
  <c r="J207" i="28"/>
  <c r="J227" i="28"/>
  <c r="J239" i="28"/>
  <c r="J251" i="28"/>
  <c r="J263" i="28"/>
  <c r="J275" i="28"/>
  <c r="J287" i="28"/>
  <c r="J299" i="28"/>
  <c r="J311" i="28"/>
  <c r="J16" i="28"/>
  <c r="J28" i="28"/>
  <c r="J40" i="28"/>
  <c r="J52" i="28"/>
  <c r="J64" i="28"/>
  <c r="J76" i="28"/>
  <c r="J88" i="28"/>
  <c r="J100" i="28"/>
  <c r="J112" i="28"/>
  <c r="J124" i="28"/>
  <c r="J136" i="28"/>
  <c r="J148" i="28"/>
  <c r="J160" i="28"/>
  <c r="J172" i="28"/>
  <c r="J184" i="28"/>
  <c r="J196" i="28"/>
  <c r="J208" i="28"/>
  <c r="J228" i="28"/>
  <c r="J240" i="28"/>
  <c r="J252" i="28"/>
  <c r="J264" i="28"/>
  <c r="J276" i="28"/>
  <c r="J288" i="28"/>
  <c r="C330" i="28"/>
  <c r="A330" i="28" s="1"/>
  <c r="C324" i="28"/>
  <c r="A324" i="28" s="1"/>
  <c r="C327" i="28"/>
  <c r="A327" i="28" s="1"/>
  <c r="C326" i="28"/>
  <c r="A326" i="28" s="1"/>
  <c r="C328" i="28"/>
  <c r="A328" i="28" s="1"/>
  <c r="C336" i="28"/>
  <c r="A336" i="28" s="1"/>
  <c r="C337" i="28"/>
  <c r="A337" i="28" s="1"/>
  <c r="C325" i="28"/>
  <c r="A325" i="28" s="1"/>
  <c r="C329" i="28"/>
  <c r="A329" i="28" s="1"/>
  <c r="K4" i="28" l="1"/>
  <c r="D35" i="44" l="1"/>
  <c r="D33" i="44" s="1"/>
  <c r="D41" i="44" l="1"/>
  <c r="D53" i="44" s="1"/>
  <c r="C53" i="79"/>
  <c r="C58" i="79" s="1"/>
  <c r="C12" i="78"/>
  <c r="C10" i="78"/>
  <c r="C63" i="79" l="1"/>
  <c r="C52" i="44"/>
  <c r="B62" i="79" s="1"/>
  <c r="D44" i="37" l="1"/>
  <c r="C13" i="79" s="1"/>
  <c r="C118" i="38" l="1"/>
  <c r="B118" i="38"/>
  <c r="C117" i="38"/>
  <c r="B117" i="38"/>
  <c r="C116" i="38"/>
  <c r="B116" i="38"/>
  <c r="C115" i="38"/>
  <c r="B115" i="38"/>
  <c r="C114" i="38"/>
  <c r="B114" i="38"/>
  <c r="C113" i="38"/>
  <c r="B113" i="38"/>
  <c r="C112" i="38"/>
  <c r="B112" i="38"/>
  <c r="C93" i="38"/>
  <c r="B93" i="38"/>
  <c r="C92" i="38"/>
  <c r="B92" i="38"/>
  <c r="C91" i="38"/>
  <c r="B91" i="38"/>
  <c r="C90" i="38"/>
  <c r="B90" i="38"/>
  <c r="C89" i="38"/>
  <c r="B89" i="38"/>
  <c r="C88" i="38"/>
  <c r="B88" i="38"/>
  <c r="C87" i="38"/>
  <c r="B87" i="38"/>
  <c r="C86" i="38"/>
  <c r="B86" i="38"/>
  <c r="C85" i="38"/>
  <c r="B85" i="38"/>
  <c r="C84" i="38"/>
  <c r="B84" i="38"/>
  <c r="C83" i="38"/>
  <c r="B83" i="38"/>
  <c r="C82" i="38"/>
  <c r="B82" i="38"/>
  <c r="C81" i="38"/>
  <c r="B81" i="38"/>
  <c r="C80" i="38"/>
  <c r="B80" i="38"/>
  <c r="C79" i="38"/>
  <c r="B79" i="38"/>
  <c r="C78" i="38"/>
  <c r="B78" i="38"/>
  <c r="C77" i="38"/>
  <c r="B77" i="38"/>
  <c r="C76" i="38"/>
  <c r="B76" i="38"/>
  <c r="C67" i="38"/>
  <c r="B67" i="38"/>
  <c r="C66" i="38"/>
  <c r="B66" i="38"/>
  <c r="C65" i="38"/>
  <c r="B65" i="38"/>
  <c r="C64" i="38"/>
  <c r="B64" i="38"/>
  <c r="C63" i="38"/>
  <c r="B63" i="38"/>
  <c r="C62" i="38"/>
  <c r="B62" i="38"/>
  <c r="C61" i="38"/>
  <c r="B61" i="38"/>
  <c r="C60" i="38"/>
  <c r="B60" i="38"/>
  <c r="C59" i="38"/>
  <c r="B59" i="38"/>
  <c r="C58" i="38"/>
  <c r="B58" i="38"/>
  <c r="C57" i="38"/>
  <c r="B57" i="38"/>
  <c r="C56" i="38"/>
  <c r="B56" i="38"/>
  <c r="C55" i="38"/>
  <c r="B55" i="38"/>
  <c r="C54" i="38"/>
  <c r="B54" i="38"/>
  <c r="C53" i="38"/>
  <c r="B53" i="38"/>
  <c r="C52" i="38"/>
  <c r="B52" i="38"/>
  <c r="C51" i="38"/>
  <c r="B51" i="38"/>
  <c r="C50" i="38"/>
  <c r="B50" i="38"/>
  <c r="C49" i="38"/>
  <c r="B49" i="38"/>
  <c r="C48" i="38"/>
  <c r="B48" i="38"/>
  <c r="C47" i="38"/>
  <c r="B47" i="38"/>
  <c r="C45" i="38"/>
  <c r="B45" i="38"/>
  <c r="C44" i="38"/>
  <c r="B44" i="38"/>
  <c r="C43" i="38"/>
  <c r="B43" i="38"/>
  <c r="C42" i="38"/>
  <c r="B42" i="38"/>
  <c r="C41" i="38"/>
  <c r="B41" i="38"/>
  <c r="C40" i="38"/>
  <c r="B40" i="38"/>
  <c r="C39" i="38"/>
  <c r="B39" i="38"/>
  <c r="C38" i="38"/>
  <c r="B38" i="38"/>
  <c r="C37" i="38"/>
  <c r="B37" i="38"/>
  <c r="C36" i="38"/>
  <c r="B36" i="38"/>
  <c r="C35" i="38"/>
  <c r="B35" i="38"/>
  <c r="C34" i="38"/>
  <c r="B34" i="38"/>
  <c r="C33" i="38"/>
  <c r="B33" i="38"/>
  <c r="C32" i="38"/>
  <c r="B32" i="38"/>
  <c r="C120" i="38"/>
  <c r="B120" i="38"/>
  <c r="B119" i="38"/>
  <c r="C119" i="38"/>
  <c r="B29" i="38"/>
  <c r="E120" i="38"/>
  <c r="D120" i="38"/>
  <c r="E119" i="38"/>
  <c r="D119" i="38"/>
  <c r="E118" i="38"/>
  <c r="D118" i="38"/>
  <c r="E117" i="38"/>
  <c r="D117" i="38"/>
  <c r="E116" i="38"/>
  <c r="D116" i="38"/>
  <c r="E115" i="38"/>
  <c r="D115" i="38"/>
  <c r="E114" i="38"/>
  <c r="D114" i="38"/>
  <c r="E113" i="38"/>
  <c r="D113" i="38"/>
  <c r="E112" i="38"/>
  <c r="D112" i="38"/>
  <c r="E93" i="38"/>
  <c r="D93" i="38"/>
  <c r="E92" i="38"/>
  <c r="D92" i="38"/>
  <c r="E91" i="38"/>
  <c r="D91" i="38"/>
  <c r="E90" i="38"/>
  <c r="D90" i="38"/>
  <c r="E89" i="38"/>
  <c r="D89" i="38"/>
  <c r="E88" i="38"/>
  <c r="D88" i="38"/>
  <c r="E87" i="38"/>
  <c r="D87" i="38"/>
  <c r="E86" i="38"/>
  <c r="D86" i="38"/>
  <c r="E85" i="38"/>
  <c r="D85" i="38"/>
  <c r="E84" i="38"/>
  <c r="D84" i="38"/>
  <c r="E83" i="38"/>
  <c r="D83" i="38"/>
  <c r="E82" i="38"/>
  <c r="D82" i="38"/>
  <c r="E81" i="38"/>
  <c r="D81" i="38"/>
  <c r="E80" i="38"/>
  <c r="D80" i="38"/>
  <c r="E79" i="38"/>
  <c r="D79" i="38"/>
  <c r="E78" i="38"/>
  <c r="D78" i="38"/>
  <c r="E77" i="38"/>
  <c r="D77" i="38"/>
  <c r="E76" i="38"/>
  <c r="D76" i="38"/>
  <c r="E67" i="38"/>
  <c r="D67" i="38"/>
  <c r="E66" i="38"/>
  <c r="D66" i="38"/>
  <c r="E65" i="38"/>
  <c r="D65" i="38"/>
  <c r="E64" i="38"/>
  <c r="D64" i="38"/>
  <c r="E63" i="38"/>
  <c r="D63" i="38"/>
  <c r="E62" i="38"/>
  <c r="D62" i="38"/>
  <c r="E61" i="38"/>
  <c r="D61" i="38"/>
  <c r="E60" i="38"/>
  <c r="D60" i="38"/>
  <c r="E59" i="38"/>
  <c r="D59" i="38"/>
  <c r="E58" i="38"/>
  <c r="D58" i="38"/>
  <c r="E57" i="38"/>
  <c r="D57" i="38"/>
  <c r="E56" i="38"/>
  <c r="D56" i="38"/>
  <c r="E55" i="38"/>
  <c r="D55" i="38"/>
  <c r="E54" i="38"/>
  <c r="D54" i="38"/>
  <c r="E53" i="38"/>
  <c r="D53" i="38"/>
  <c r="E52" i="38"/>
  <c r="D52" i="38"/>
  <c r="E51" i="38"/>
  <c r="D51" i="38"/>
  <c r="E50" i="38"/>
  <c r="D50" i="38"/>
  <c r="E49" i="38"/>
  <c r="D49" i="38"/>
  <c r="E48" i="38"/>
  <c r="D48" i="38"/>
  <c r="E47" i="38"/>
  <c r="D47" i="38"/>
  <c r="E45" i="38"/>
  <c r="D45" i="38"/>
  <c r="E44" i="38"/>
  <c r="D44" i="38"/>
  <c r="E43" i="38"/>
  <c r="D43" i="38"/>
  <c r="E42" i="38"/>
  <c r="D42" i="38"/>
  <c r="E41" i="38"/>
  <c r="D41" i="38"/>
  <c r="E40" i="38"/>
  <c r="D40" i="38"/>
  <c r="E39" i="38"/>
  <c r="D39" i="38"/>
  <c r="E38" i="38"/>
  <c r="D38" i="38"/>
  <c r="E37" i="38"/>
  <c r="D37" i="38"/>
  <c r="E36" i="38"/>
  <c r="D36" i="38"/>
  <c r="E35" i="38"/>
  <c r="D35" i="38"/>
  <c r="E34" i="38"/>
  <c r="D34" i="38"/>
  <c r="E33" i="38"/>
  <c r="D33" i="38"/>
  <c r="E32" i="38"/>
  <c r="D32" i="38"/>
  <c r="A120" i="38" l="1"/>
  <c r="A119" i="38"/>
  <c r="H98" i="40" l="1"/>
  <c r="G98" i="40"/>
  <c r="F98" i="40"/>
  <c r="E98" i="40"/>
  <c r="D98" i="40"/>
  <c r="C98" i="40"/>
  <c r="B98" i="40"/>
  <c r="H97" i="40"/>
  <c r="G97" i="40"/>
  <c r="F97" i="40"/>
  <c r="E97" i="40"/>
  <c r="D97" i="40"/>
  <c r="C97" i="40"/>
  <c r="B97" i="40"/>
  <c r="H96" i="40"/>
  <c r="G96" i="40"/>
  <c r="F96" i="40"/>
  <c r="E96" i="40"/>
  <c r="D96" i="40"/>
  <c r="C96" i="40"/>
  <c r="B96" i="40"/>
  <c r="H95" i="40"/>
  <c r="G95" i="40"/>
  <c r="F95" i="40"/>
  <c r="E95" i="40"/>
  <c r="D95" i="40"/>
  <c r="C95" i="40"/>
  <c r="B95" i="40"/>
  <c r="H94" i="40"/>
  <c r="G94" i="40"/>
  <c r="F94" i="40"/>
  <c r="E94" i="40"/>
  <c r="D94" i="40"/>
  <c r="C94" i="40"/>
  <c r="B94" i="40"/>
  <c r="H93" i="40"/>
  <c r="G93" i="40"/>
  <c r="F93" i="40"/>
  <c r="E93" i="40"/>
  <c r="D93" i="40"/>
  <c r="C93" i="40"/>
  <c r="B93" i="40"/>
  <c r="H92" i="40"/>
  <c r="G92" i="40"/>
  <c r="F92" i="40"/>
  <c r="E92" i="40"/>
  <c r="D92" i="40"/>
  <c r="C92" i="40"/>
  <c r="B92" i="40"/>
  <c r="H91" i="40"/>
  <c r="G91" i="40"/>
  <c r="F91" i="40"/>
  <c r="E91" i="40"/>
  <c r="D91" i="40"/>
  <c r="C91" i="40"/>
  <c r="B91" i="40"/>
  <c r="H90" i="40"/>
  <c r="G90" i="40"/>
  <c r="F90" i="40"/>
  <c r="E90" i="40"/>
  <c r="D90" i="40"/>
  <c r="C90" i="40"/>
  <c r="B90" i="40"/>
  <c r="H71" i="40"/>
  <c r="G71" i="40"/>
  <c r="F71" i="40"/>
  <c r="E71" i="40"/>
  <c r="D71" i="40"/>
  <c r="C71" i="40"/>
  <c r="B71" i="40"/>
  <c r="H70" i="40"/>
  <c r="G70" i="40"/>
  <c r="F70" i="40"/>
  <c r="E70" i="40"/>
  <c r="D70" i="40"/>
  <c r="C70" i="40"/>
  <c r="B70" i="40"/>
  <c r="H69" i="40"/>
  <c r="G69" i="40"/>
  <c r="F69" i="40"/>
  <c r="E69" i="40"/>
  <c r="D69" i="40"/>
  <c r="C69" i="40"/>
  <c r="B69" i="40"/>
  <c r="H68" i="40"/>
  <c r="G68" i="40"/>
  <c r="F68" i="40"/>
  <c r="E68" i="40"/>
  <c r="D68" i="40"/>
  <c r="C68" i="40"/>
  <c r="B68" i="40"/>
  <c r="H67" i="40"/>
  <c r="G67" i="40"/>
  <c r="F67" i="40"/>
  <c r="E67" i="40"/>
  <c r="D67" i="40"/>
  <c r="C67" i="40"/>
  <c r="B67" i="40"/>
  <c r="H66" i="40"/>
  <c r="G66" i="40"/>
  <c r="F66" i="40"/>
  <c r="E66" i="40"/>
  <c r="D66" i="40"/>
  <c r="C66" i="40"/>
  <c r="B66" i="40"/>
  <c r="H65" i="40"/>
  <c r="G65" i="40"/>
  <c r="F65" i="40"/>
  <c r="E65" i="40"/>
  <c r="D65" i="40"/>
  <c r="C65" i="40"/>
  <c r="B65" i="40"/>
  <c r="H64" i="40"/>
  <c r="G64" i="40"/>
  <c r="F64" i="40"/>
  <c r="E64" i="40"/>
  <c r="D64" i="40"/>
  <c r="C64" i="40"/>
  <c r="B64" i="40"/>
  <c r="H63" i="40"/>
  <c r="G63" i="40"/>
  <c r="F63" i="40"/>
  <c r="E63" i="40"/>
  <c r="D63" i="40"/>
  <c r="C63" i="40"/>
  <c r="B63" i="40"/>
  <c r="H88" i="40"/>
  <c r="G88" i="40"/>
  <c r="F88" i="40"/>
  <c r="E88" i="40"/>
  <c r="D88" i="40"/>
  <c r="C88" i="40"/>
  <c r="B88" i="40"/>
  <c r="H87" i="40"/>
  <c r="G87" i="40"/>
  <c r="F87" i="40"/>
  <c r="E87" i="40"/>
  <c r="D87" i="40"/>
  <c r="C87" i="40"/>
  <c r="B87" i="40"/>
  <c r="H86" i="40"/>
  <c r="G86" i="40"/>
  <c r="F86" i="40"/>
  <c r="E86" i="40"/>
  <c r="D86" i="40"/>
  <c r="C86" i="40"/>
  <c r="B86" i="40"/>
  <c r="H85" i="40"/>
  <c r="G85" i="40"/>
  <c r="F85" i="40"/>
  <c r="E85" i="40"/>
  <c r="D85" i="40"/>
  <c r="C85" i="40"/>
  <c r="B85" i="40"/>
  <c r="H84" i="40"/>
  <c r="G84" i="40"/>
  <c r="F84" i="40"/>
  <c r="E84" i="40"/>
  <c r="D84" i="40"/>
  <c r="C84" i="40"/>
  <c r="B84" i="40"/>
  <c r="H83" i="40"/>
  <c r="G83" i="40"/>
  <c r="F83" i="40"/>
  <c r="E83" i="40"/>
  <c r="D83" i="40"/>
  <c r="C83" i="40"/>
  <c r="B83" i="40"/>
  <c r="H62" i="40"/>
  <c r="G62" i="40"/>
  <c r="F62" i="40"/>
  <c r="E62" i="40"/>
  <c r="D62" i="40"/>
  <c r="C62" i="40"/>
  <c r="B62" i="40"/>
  <c r="H61" i="40"/>
  <c r="G61" i="40"/>
  <c r="F61" i="40"/>
  <c r="E61" i="40"/>
  <c r="D61" i="40"/>
  <c r="C61" i="40"/>
  <c r="B61" i="40"/>
  <c r="H60" i="40"/>
  <c r="G60" i="40"/>
  <c r="F60" i="40"/>
  <c r="E60" i="40"/>
  <c r="D60" i="40"/>
  <c r="C60" i="40"/>
  <c r="B60" i="40"/>
  <c r="H82" i="40"/>
  <c r="G82" i="40"/>
  <c r="F82" i="40"/>
  <c r="E82" i="40"/>
  <c r="D82" i="40"/>
  <c r="C82" i="40"/>
  <c r="B82" i="40"/>
  <c r="H81" i="40"/>
  <c r="G81" i="40"/>
  <c r="F81" i="40"/>
  <c r="E81" i="40"/>
  <c r="D81" i="40"/>
  <c r="C81" i="40"/>
  <c r="B81" i="40"/>
  <c r="H80" i="40"/>
  <c r="G80" i="40"/>
  <c r="F80" i="40"/>
  <c r="E80" i="40"/>
  <c r="D80" i="40"/>
  <c r="C80" i="40"/>
  <c r="B80" i="40"/>
  <c r="H59" i="40"/>
  <c r="G59" i="40"/>
  <c r="F59" i="40"/>
  <c r="E59" i="40"/>
  <c r="D59" i="40"/>
  <c r="C59" i="40"/>
  <c r="B59" i="40"/>
  <c r="H58" i="40"/>
  <c r="G58" i="40"/>
  <c r="F58" i="40"/>
  <c r="E58" i="40"/>
  <c r="D58" i="40"/>
  <c r="C58" i="40"/>
  <c r="B58" i="40"/>
  <c r="H57" i="40"/>
  <c r="G57" i="40"/>
  <c r="F57" i="40"/>
  <c r="E57" i="40"/>
  <c r="D57" i="40"/>
  <c r="C57" i="40"/>
  <c r="B57" i="40"/>
  <c r="H56" i="40"/>
  <c r="G56" i="40"/>
  <c r="F56" i="40"/>
  <c r="E56" i="40"/>
  <c r="D56" i="40"/>
  <c r="C56" i="40"/>
  <c r="B56" i="40"/>
  <c r="H55" i="40"/>
  <c r="G55" i="40"/>
  <c r="F55" i="40"/>
  <c r="E55" i="40"/>
  <c r="D55" i="40"/>
  <c r="C55" i="40"/>
  <c r="B55" i="40"/>
  <c r="H54" i="40"/>
  <c r="G54" i="40"/>
  <c r="F54" i="40"/>
  <c r="E54" i="40"/>
  <c r="D54" i="40"/>
  <c r="C54" i="40"/>
  <c r="B54" i="40"/>
  <c r="H79" i="40"/>
  <c r="G79" i="40"/>
  <c r="F79" i="40"/>
  <c r="E79" i="40"/>
  <c r="D79" i="40"/>
  <c r="C79" i="40"/>
  <c r="B79" i="40"/>
  <c r="H78" i="40"/>
  <c r="G78" i="40"/>
  <c r="F78" i="40"/>
  <c r="E78" i="40"/>
  <c r="D78" i="40"/>
  <c r="C78" i="40"/>
  <c r="B78" i="40"/>
  <c r="H77" i="40"/>
  <c r="G77" i="40"/>
  <c r="F77" i="40"/>
  <c r="E77" i="40"/>
  <c r="D77" i="40"/>
  <c r="C77" i="40"/>
  <c r="B77" i="40"/>
  <c r="H45" i="40"/>
  <c r="G45" i="40"/>
  <c r="F45" i="40"/>
  <c r="E45" i="40"/>
  <c r="D45" i="40"/>
  <c r="C45" i="40"/>
  <c r="B45" i="40"/>
  <c r="H44" i="40"/>
  <c r="G44" i="40"/>
  <c r="F44" i="40"/>
  <c r="E44" i="40"/>
  <c r="D44" i="40"/>
  <c r="C44" i="40"/>
  <c r="B44" i="40"/>
  <c r="H43" i="40"/>
  <c r="G43" i="40"/>
  <c r="F43" i="40"/>
  <c r="E43" i="40"/>
  <c r="D43" i="40"/>
  <c r="C43" i="40"/>
  <c r="B43" i="40"/>
  <c r="H42" i="40"/>
  <c r="G42" i="40"/>
  <c r="F42" i="40"/>
  <c r="E42" i="40"/>
  <c r="D42" i="40"/>
  <c r="C42" i="40"/>
  <c r="B42" i="40"/>
  <c r="H41" i="40"/>
  <c r="G41" i="40"/>
  <c r="F41" i="40"/>
  <c r="E41" i="40"/>
  <c r="D41" i="40"/>
  <c r="C41" i="40"/>
  <c r="B41" i="40"/>
  <c r="H40" i="40"/>
  <c r="G40" i="40"/>
  <c r="F40" i="40"/>
  <c r="E40" i="40"/>
  <c r="D40" i="40"/>
  <c r="C40" i="40"/>
  <c r="B40" i="40"/>
  <c r="H39" i="40"/>
  <c r="G39" i="40"/>
  <c r="F39" i="40"/>
  <c r="E39" i="40"/>
  <c r="D39" i="40"/>
  <c r="C39" i="40"/>
  <c r="B39" i="40"/>
  <c r="H38" i="40"/>
  <c r="G38" i="40"/>
  <c r="F38" i="40"/>
  <c r="E38" i="40"/>
  <c r="D38" i="40"/>
  <c r="C38" i="40"/>
  <c r="B38" i="40"/>
  <c r="H37" i="40"/>
  <c r="G37" i="40"/>
  <c r="F37" i="40"/>
  <c r="E37" i="40"/>
  <c r="D37" i="40"/>
  <c r="C37" i="40"/>
  <c r="B37" i="40"/>
  <c r="H36" i="40"/>
  <c r="G36" i="40"/>
  <c r="F36" i="40"/>
  <c r="E36" i="40"/>
  <c r="D36" i="40"/>
  <c r="C36" i="40"/>
  <c r="B36" i="40"/>
  <c r="H35" i="40"/>
  <c r="G35" i="40"/>
  <c r="F35" i="40"/>
  <c r="E35" i="40"/>
  <c r="D35" i="40"/>
  <c r="C35" i="40"/>
  <c r="B35" i="40"/>
  <c r="H34" i="40"/>
  <c r="G34" i="40"/>
  <c r="F34" i="40"/>
  <c r="E34" i="40"/>
  <c r="D34" i="40"/>
  <c r="C34" i="40"/>
  <c r="B34" i="40"/>
  <c r="H33" i="40"/>
  <c r="G33" i="40"/>
  <c r="F33" i="40"/>
  <c r="E33" i="40"/>
  <c r="D33" i="40"/>
  <c r="C33" i="40"/>
  <c r="B33" i="40"/>
  <c r="H32" i="40"/>
  <c r="G32" i="40"/>
  <c r="F32" i="40"/>
  <c r="E32" i="40"/>
  <c r="D32" i="40"/>
  <c r="C32" i="40"/>
  <c r="B32" i="40"/>
  <c r="H31" i="40"/>
  <c r="G31" i="40"/>
  <c r="F31" i="40"/>
  <c r="E31" i="40"/>
  <c r="D31" i="40"/>
  <c r="C31" i="40"/>
  <c r="B31" i="40"/>
  <c r="H30" i="40"/>
  <c r="G30" i="40"/>
  <c r="F30" i="40"/>
  <c r="E30" i="40"/>
  <c r="D30" i="40"/>
  <c r="C30" i="40"/>
  <c r="B30" i="40"/>
  <c r="H29" i="40"/>
  <c r="G29" i="40"/>
  <c r="F29" i="40"/>
  <c r="E29" i="40"/>
  <c r="D29" i="40"/>
  <c r="C29" i="40"/>
  <c r="B29" i="40"/>
  <c r="H28" i="40"/>
  <c r="G28" i="40"/>
  <c r="F28" i="40"/>
  <c r="E28" i="40"/>
  <c r="D28" i="40"/>
  <c r="C28" i="40"/>
  <c r="B28" i="40"/>
  <c r="H27" i="40"/>
  <c r="G27" i="40"/>
  <c r="F27" i="40"/>
  <c r="E27" i="40"/>
  <c r="D27" i="40"/>
  <c r="C27" i="40"/>
  <c r="B27" i="40"/>
  <c r="H26" i="40"/>
  <c r="G26" i="40"/>
  <c r="F26" i="40"/>
  <c r="E26" i="40"/>
  <c r="D26" i="40"/>
  <c r="C26" i="40"/>
  <c r="B26" i="40"/>
  <c r="H25" i="40"/>
  <c r="G25" i="40"/>
  <c r="F25" i="40"/>
  <c r="E25" i="40"/>
  <c r="D25" i="40"/>
  <c r="C25" i="40"/>
  <c r="B25" i="40"/>
  <c r="H23" i="40"/>
  <c r="G23" i="40"/>
  <c r="F23" i="40"/>
  <c r="E23" i="40"/>
  <c r="D23" i="40"/>
  <c r="C23" i="40"/>
  <c r="B23" i="40"/>
  <c r="H22" i="40"/>
  <c r="G22" i="40"/>
  <c r="F22" i="40"/>
  <c r="E22" i="40"/>
  <c r="D22" i="40"/>
  <c r="C22" i="40"/>
  <c r="B22" i="40"/>
  <c r="H21" i="40"/>
  <c r="G21" i="40"/>
  <c r="F21" i="40"/>
  <c r="E21" i="40"/>
  <c r="D21" i="40"/>
  <c r="C21" i="40"/>
  <c r="B21" i="40"/>
  <c r="H20" i="40"/>
  <c r="G20" i="40"/>
  <c r="F20" i="40"/>
  <c r="E20" i="40"/>
  <c r="D20" i="40"/>
  <c r="C20" i="40"/>
  <c r="B20" i="40"/>
  <c r="H19" i="40"/>
  <c r="G19" i="40"/>
  <c r="F19" i="40"/>
  <c r="E19" i="40"/>
  <c r="D19" i="40"/>
  <c r="C19" i="40"/>
  <c r="B19" i="40"/>
  <c r="H18" i="40"/>
  <c r="G18" i="40"/>
  <c r="F18" i="40"/>
  <c r="E18" i="40"/>
  <c r="D18" i="40"/>
  <c r="C18" i="40"/>
  <c r="B18" i="40"/>
  <c r="H17" i="40"/>
  <c r="G17" i="40"/>
  <c r="F17" i="40"/>
  <c r="E17" i="40"/>
  <c r="D17" i="40"/>
  <c r="C17" i="40"/>
  <c r="B17" i="40"/>
  <c r="H16" i="40"/>
  <c r="G16" i="40"/>
  <c r="F16" i="40"/>
  <c r="E16" i="40"/>
  <c r="D16" i="40"/>
  <c r="C16" i="40"/>
  <c r="B16" i="40"/>
  <c r="H15" i="40"/>
  <c r="G15" i="40"/>
  <c r="F15" i="40"/>
  <c r="E15" i="40"/>
  <c r="D15" i="40"/>
  <c r="C15" i="40"/>
  <c r="B15" i="40"/>
  <c r="H14" i="40"/>
  <c r="G14" i="40"/>
  <c r="F14" i="40"/>
  <c r="E14" i="40"/>
  <c r="D14" i="40"/>
  <c r="C14" i="40"/>
  <c r="B14" i="40"/>
  <c r="H13" i="40"/>
  <c r="G13" i="40"/>
  <c r="F13" i="40"/>
  <c r="E13" i="40"/>
  <c r="D13" i="40"/>
  <c r="C13" i="40"/>
  <c r="B13" i="40"/>
  <c r="H12" i="40"/>
  <c r="G12" i="40"/>
  <c r="F12" i="40"/>
  <c r="E12" i="40"/>
  <c r="D12" i="40"/>
  <c r="C12" i="40"/>
  <c r="B12" i="40"/>
  <c r="H11" i="40"/>
  <c r="G11" i="40"/>
  <c r="F11" i="40"/>
  <c r="E11" i="40"/>
  <c r="D11" i="40"/>
  <c r="C11" i="40"/>
  <c r="B11" i="40"/>
  <c r="H10" i="40"/>
  <c r="G10" i="40"/>
  <c r="F10" i="40"/>
  <c r="E10" i="40"/>
  <c r="D10" i="40"/>
  <c r="C10" i="40"/>
  <c r="B10" i="40"/>
  <c r="I5" i="40"/>
  <c r="H5" i="40"/>
  <c r="G5" i="40"/>
  <c r="F5" i="40"/>
  <c r="D5" i="40"/>
  <c r="C5" i="40"/>
  <c r="B5" i="40"/>
  <c r="E5" i="40"/>
  <c r="EI100" i="40" l="1"/>
  <c r="ES100" i="40"/>
  <c r="EW100" i="40"/>
  <c r="EX100" i="40"/>
  <c r="A168" i="31"/>
  <c r="AH103" i="40" l="1"/>
  <c r="A88" i="38"/>
  <c r="A113" i="38"/>
  <c r="A117" i="38"/>
  <c r="A86" i="38"/>
  <c r="A116" i="38"/>
  <c r="A89" i="38"/>
  <c r="A114" i="38"/>
  <c r="A85" i="38"/>
  <c r="A93" i="38"/>
  <c r="A118" i="38"/>
  <c r="A90" i="38"/>
  <c r="A115" i="38"/>
  <c r="A87" i="38"/>
  <c r="A92" i="38"/>
  <c r="A112" i="38"/>
  <c r="A91" i="38"/>
  <c r="H198" i="49" l="1"/>
  <c r="G198" i="49"/>
  <c r="F198" i="49"/>
  <c r="E198" i="49"/>
  <c r="D198" i="49"/>
  <c r="C198" i="49"/>
  <c r="H195" i="49"/>
  <c r="H196" i="49" s="1"/>
  <c r="H197" i="49" s="1"/>
  <c r="G195" i="49"/>
  <c r="F195" i="49"/>
  <c r="E195" i="49"/>
  <c r="D195" i="49"/>
  <c r="D196" i="49" s="1"/>
  <c r="D197" i="49" s="1"/>
  <c r="C195" i="49"/>
  <c r="C196" i="49" s="1"/>
  <c r="C192" i="49"/>
  <c r="C193" i="49" s="1"/>
  <c r="G192" i="49"/>
  <c r="G193" i="49" s="1"/>
  <c r="G194" i="49" s="1"/>
  <c r="F192" i="49"/>
  <c r="F193" i="49" s="1"/>
  <c r="F194" i="49" s="1"/>
  <c r="E192" i="49"/>
  <c r="D192" i="49"/>
  <c r="D193" i="49" s="1"/>
  <c r="D194" i="49" s="1"/>
  <c r="H192" i="49"/>
  <c r="H193" i="49" s="1"/>
  <c r="H194" i="49" s="1"/>
  <c r="C197" i="49" l="1"/>
  <c r="C194" i="49"/>
  <c r="E196" i="49"/>
  <c r="E193" i="49"/>
  <c r="G196" i="49"/>
  <c r="G197" i="49" s="1"/>
  <c r="F196" i="49"/>
  <c r="F197" i="49" s="1"/>
  <c r="B192" i="49"/>
  <c r="B195" i="49"/>
  <c r="B198" i="49"/>
  <c r="B196" i="49" l="1"/>
  <c r="B193" i="49"/>
  <c r="E194" i="49"/>
  <c r="E197" i="49"/>
  <c r="B197" i="49" l="1"/>
  <c r="B194" i="49"/>
  <c r="C81" i="49" l="1"/>
  <c r="C83" i="49" s="1"/>
  <c r="D81" i="49"/>
  <c r="H5" i="49"/>
  <c r="G5" i="49"/>
  <c r="F5" i="49"/>
  <c r="E5" i="49"/>
  <c r="D5" i="49"/>
  <c r="B5" i="49"/>
  <c r="C5" i="49"/>
  <c r="H5" i="52"/>
  <c r="G5" i="52"/>
  <c r="F5" i="52"/>
  <c r="E5" i="52"/>
  <c r="D5" i="52"/>
  <c r="C5" i="52"/>
  <c r="B5" i="52"/>
  <c r="C82" i="49" l="1"/>
  <c r="C3" i="52" l="1"/>
  <c r="J7" i="52" l="1"/>
  <c r="AT7" i="52" s="1"/>
  <c r="J5" i="52"/>
  <c r="AT5" i="52" l="1"/>
  <c r="BR7" i="40"/>
  <c r="BU7" i="40"/>
  <c r="BT7" i="40"/>
  <c r="BS7" i="40"/>
  <c r="BQ7" i="40"/>
  <c r="BP7" i="40"/>
  <c r="BO7" i="40"/>
  <c r="BL7" i="40"/>
  <c r="BK7" i="40"/>
  <c r="BJ7" i="40"/>
  <c r="BH7" i="40"/>
  <c r="BB7" i="40"/>
  <c r="BA7" i="40"/>
  <c r="AZ7" i="40"/>
  <c r="AY7" i="40"/>
  <c r="AX7" i="40"/>
  <c r="AW7" i="40"/>
  <c r="AV7" i="40"/>
  <c r="BR6" i="40"/>
  <c r="BU6" i="40"/>
  <c r="BT6" i="40"/>
  <c r="BS6" i="40"/>
  <c r="BQ6" i="40"/>
  <c r="BP6" i="40"/>
  <c r="BO6" i="40"/>
  <c r="BL6" i="40"/>
  <c r="BK6" i="40"/>
  <c r="BJ6" i="40"/>
  <c r="BH6" i="40"/>
  <c r="BB6" i="40"/>
  <c r="BA6" i="40"/>
  <c r="AZ6" i="40"/>
  <c r="AY6" i="40"/>
  <c r="AX6" i="40"/>
  <c r="AW6" i="40"/>
  <c r="AV6" i="40"/>
  <c r="AU6" i="40"/>
  <c r="AU7" i="40"/>
  <c r="J4" i="52"/>
  <c r="DQ31" i="52" l="1"/>
  <c r="DQ55" i="52"/>
  <c r="DQ18" i="52"/>
  <c r="DQ69" i="52"/>
  <c r="DQ79" i="52"/>
  <c r="DQ38" i="52"/>
  <c r="DQ86" i="52"/>
  <c r="DQ82" i="52"/>
  <c r="DQ78" i="52"/>
  <c r="DQ26" i="52"/>
  <c r="DQ34" i="52"/>
  <c r="DQ68" i="52"/>
  <c r="DQ81" i="52"/>
  <c r="DQ54" i="52"/>
  <c r="DQ19" i="52"/>
  <c r="DQ13" i="52"/>
  <c r="DQ67" i="52"/>
  <c r="DQ65" i="52"/>
  <c r="DQ80" i="52"/>
  <c r="DQ42" i="52"/>
  <c r="DQ30" i="52"/>
  <c r="DQ10" i="52"/>
  <c r="DQ66" i="52"/>
  <c r="DQ37" i="52"/>
  <c r="DQ85" i="52"/>
  <c r="DQ33" i="52"/>
  <c r="DQ25" i="52"/>
  <c r="DQ71" i="52"/>
  <c r="DQ12" i="52"/>
  <c r="DQ32" i="52"/>
  <c r="DQ77" i="52"/>
  <c r="DQ63" i="52"/>
  <c r="DQ88" i="52"/>
  <c r="DQ36" i="52"/>
  <c r="DQ40" i="52"/>
  <c r="DQ20" i="52"/>
  <c r="DQ84" i="52"/>
  <c r="DQ28" i="52"/>
  <c r="DQ56" i="52"/>
  <c r="DQ17" i="52"/>
  <c r="DQ70" i="52"/>
  <c r="DQ39" i="52"/>
  <c r="DQ87" i="52"/>
  <c r="DQ11" i="52"/>
  <c r="DQ41" i="52"/>
  <c r="DQ64" i="52"/>
  <c r="DQ27" i="52"/>
  <c r="DQ29" i="52"/>
  <c r="DQ35" i="52"/>
  <c r="DQ83" i="52"/>
  <c r="CD5" i="52"/>
  <c r="EC100" i="40"/>
  <c r="DQ47" i="52" l="1"/>
  <c r="DR47" i="52" s="1"/>
  <c r="CD47" i="52"/>
  <c r="DM47" i="52" s="1" a="1"/>
  <c r="DM47" i="52" s="1"/>
  <c r="DN47" i="52" s="1"/>
  <c r="DQ73" i="52"/>
  <c r="DR73" i="52" s="1"/>
  <c r="CD73" i="52"/>
  <c r="DM73" i="52" s="1" a="1"/>
  <c r="DM73" i="52" s="1"/>
  <c r="DN73" i="52" s="1"/>
  <c r="DQ48" i="52"/>
  <c r="DR48" i="52" s="1"/>
  <c r="CD48" i="52"/>
  <c r="DM48" i="52" s="1" a="1"/>
  <c r="DM48" i="52" s="1"/>
  <c r="DN48" i="52" s="1"/>
  <c r="DQ50" i="52"/>
  <c r="DR50" i="52" s="1"/>
  <c r="CD50" i="52"/>
  <c r="DM50" i="52" s="1" a="1"/>
  <c r="DM50" i="52" s="1"/>
  <c r="DN50" i="52" s="1"/>
  <c r="DQ49" i="52"/>
  <c r="DR49" i="52" s="1"/>
  <c r="CD49" i="52"/>
  <c r="DM49" i="52" s="1" a="1"/>
  <c r="DM49" i="52" s="1"/>
  <c r="DN49" i="52" s="1"/>
  <c r="DQ74" i="52"/>
  <c r="DR74" i="52" s="1"/>
  <c r="CD74" i="52"/>
  <c r="DM74" i="52" s="1" a="1"/>
  <c r="DM74" i="52" s="1"/>
  <c r="DN74" i="52" s="1"/>
  <c r="DQ75" i="52"/>
  <c r="DR75" i="52" s="1"/>
  <c r="CD75" i="52"/>
  <c r="DM75" i="52" s="1" a="1"/>
  <c r="DM75" i="52" s="1"/>
  <c r="DN75" i="52" s="1"/>
  <c r="DQ51" i="52"/>
  <c r="DR51" i="52" s="1"/>
  <c r="CD51" i="52"/>
  <c r="DM51" i="52" s="1" a="1"/>
  <c r="DM51" i="52" s="1"/>
  <c r="DN51" i="52" s="1"/>
  <c r="DQ52" i="52"/>
  <c r="DR52" i="52" s="1"/>
  <c r="CD52" i="52"/>
  <c r="DM52" i="52" s="1" a="1"/>
  <c r="DM52" i="52" s="1"/>
  <c r="DN52" i="52" s="1"/>
  <c r="EL100" i="40"/>
  <c r="DV100" i="40"/>
  <c r="DS100" i="40"/>
  <c r="EJ100" i="40"/>
  <c r="EE100" i="40"/>
  <c r="EQ100" i="40"/>
  <c r="DR100" i="40"/>
  <c r="EG100" i="40"/>
  <c r="DU100" i="40"/>
  <c r="EO100" i="40"/>
  <c r="DW100" i="40"/>
  <c r="EH100" i="40"/>
  <c r="DT100" i="40"/>
  <c r="ER100" i="40"/>
  <c r="EB100" i="40"/>
  <c r="DQ100" i="40"/>
  <c r="EK100" i="40"/>
  <c r="ED100" i="40"/>
  <c r="DX100" i="40"/>
  <c r="EF100" i="40"/>
  <c r="EP100" i="40"/>
  <c r="EN100" i="40"/>
  <c r="EA100" i="40"/>
  <c r="B49" i="49" l="1"/>
  <c r="B50" i="49" s="1"/>
  <c r="B51" i="49" s="1"/>
  <c r="B46" i="49"/>
  <c r="B47" i="49" s="1"/>
  <c r="B48" i="49" s="1"/>
  <c r="B43" i="49"/>
  <c r="B44" i="49" s="1"/>
  <c r="B45" i="49" s="1"/>
  <c r="B40" i="49"/>
  <c r="B41" i="49" s="1"/>
  <c r="B42" i="49" s="1"/>
  <c r="B37" i="49"/>
  <c r="B38" i="49" s="1"/>
  <c r="B39" i="49" s="1"/>
  <c r="B34" i="49"/>
  <c r="B35" i="49" s="1"/>
  <c r="B36" i="49" s="1"/>
  <c r="B31" i="49"/>
  <c r="B32" i="49" s="1"/>
  <c r="B33" i="49" s="1"/>
  <c r="B28" i="49"/>
  <c r="B29" i="49" s="1"/>
  <c r="B30" i="49" s="1"/>
  <c r="B25" i="49"/>
  <c r="B26" i="49" s="1"/>
  <c r="B27" i="49" s="1"/>
  <c r="B22" i="49"/>
  <c r="B23" i="49" s="1"/>
  <c r="B24" i="49" s="1"/>
  <c r="B19" i="49"/>
  <c r="B20" i="49" s="1"/>
  <c r="B21" i="49" s="1"/>
  <c r="B16" i="49"/>
  <c r="B17" i="49" s="1"/>
  <c r="B18" i="49" s="1"/>
  <c r="B13" i="49"/>
  <c r="B14" i="49" s="1"/>
  <c r="B15" i="49" s="1"/>
  <c r="B10" i="49"/>
  <c r="B11" i="49" s="1"/>
  <c r="B12" i="49" s="1"/>
  <c r="O5" i="83" l="1"/>
  <c r="K103" i="40" l="1"/>
  <c r="FW222" i="49" l="1"/>
  <c r="DC225" i="49"/>
  <c r="DE7" i="49"/>
  <c r="DK7" i="49"/>
  <c r="DJ7" i="49"/>
  <c r="DI7" i="49"/>
  <c r="DH7" i="49"/>
  <c r="DG7" i="49"/>
  <c r="DF7" i="49"/>
  <c r="DD7" i="49"/>
  <c r="DC7" i="49"/>
  <c r="DB7" i="49"/>
  <c r="CY7" i="49"/>
  <c r="CX7" i="49"/>
  <c r="CW7" i="49"/>
  <c r="CU7" i="49"/>
  <c r="CT7" i="49"/>
  <c r="CS7" i="49"/>
  <c r="CO7" i="49"/>
  <c r="CN7" i="49"/>
  <c r="CH7" i="49"/>
  <c r="DE6" i="49"/>
  <c r="DK6" i="49"/>
  <c r="DJ6" i="49"/>
  <c r="DI6" i="49"/>
  <c r="DH6" i="49"/>
  <c r="DG6" i="49"/>
  <c r="DF6" i="49"/>
  <c r="DD6" i="49"/>
  <c r="DC6" i="49"/>
  <c r="DB6" i="49"/>
  <c r="CY6" i="49"/>
  <c r="CX6" i="49"/>
  <c r="CW6" i="49"/>
  <c r="CU6" i="49"/>
  <c r="CT6" i="49"/>
  <c r="CS6" i="49"/>
  <c r="CO6" i="49"/>
  <c r="CN6" i="49"/>
  <c r="CM6" i="49"/>
  <c r="CL6" i="49"/>
  <c r="CK6" i="49"/>
  <c r="CJ6" i="49"/>
  <c r="CI6" i="49"/>
  <c r="CH6" i="49"/>
  <c r="DK5" i="49"/>
  <c r="DJ5" i="49"/>
  <c r="DI5" i="49"/>
  <c r="CM5" i="49"/>
  <c r="CL5" i="49"/>
  <c r="CK5" i="49"/>
  <c r="CJ5" i="49"/>
  <c r="CI5" i="49"/>
  <c r="FX222" i="49" l="1"/>
  <c r="CN222" i="49"/>
  <c r="DD3" i="32"/>
  <c r="DJ3" i="32"/>
  <c r="DI3" i="32"/>
  <c r="DH3" i="32"/>
  <c r="DG3" i="32"/>
  <c r="DF3" i="32"/>
  <c r="DE3" i="32"/>
  <c r="DC3" i="32"/>
  <c r="DB3" i="32"/>
  <c r="DA3" i="32"/>
  <c r="CW3" i="32"/>
  <c r="CV3" i="32"/>
  <c r="CT3" i="32"/>
  <c r="CS3" i="32"/>
  <c r="CR3" i="32"/>
  <c r="CN3" i="32"/>
  <c r="CM3" i="32"/>
  <c r="CL3" i="32"/>
  <c r="CK3" i="32"/>
  <c r="CJ3" i="32"/>
  <c r="CI3" i="32"/>
  <c r="CH3" i="32"/>
  <c r="CG3" i="32"/>
  <c r="H220" i="49" l="1"/>
  <c r="G220" i="49"/>
  <c r="F220" i="49"/>
  <c r="E220" i="49"/>
  <c r="D220" i="49"/>
  <c r="C220" i="49"/>
  <c r="H217" i="49"/>
  <c r="H219" i="49" s="1"/>
  <c r="G217" i="49"/>
  <c r="F217" i="49"/>
  <c r="E217" i="49"/>
  <c r="D217" i="49"/>
  <c r="D219" i="49" s="1"/>
  <c r="C217" i="49"/>
  <c r="C218" i="49" s="1"/>
  <c r="H214" i="49"/>
  <c r="H215" i="49" s="1"/>
  <c r="H216" i="49" s="1"/>
  <c r="G214" i="49"/>
  <c r="F214" i="49"/>
  <c r="E214" i="49"/>
  <c r="D214" i="49"/>
  <c r="D215" i="49" s="1"/>
  <c r="D216" i="49" s="1"/>
  <c r="C214" i="49"/>
  <c r="C215" i="49" s="1"/>
  <c r="H213" i="49"/>
  <c r="G213" i="49"/>
  <c r="F213" i="49"/>
  <c r="E213" i="49"/>
  <c r="D213" i="49"/>
  <c r="C213" i="49"/>
  <c r="H210" i="49"/>
  <c r="H211" i="49" s="1"/>
  <c r="H212" i="49" s="1"/>
  <c r="G210" i="49"/>
  <c r="F210" i="49"/>
  <c r="E210" i="49"/>
  <c r="D210" i="49"/>
  <c r="D211" i="49" s="1"/>
  <c r="D212" i="49" s="1"/>
  <c r="C210" i="49"/>
  <c r="C211" i="49" s="1"/>
  <c r="H203" i="49"/>
  <c r="H204" i="49" s="1"/>
  <c r="H205" i="49" s="1"/>
  <c r="G203" i="49"/>
  <c r="F203" i="49"/>
  <c r="E203" i="49"/>
  <c r="D203" i="49"/>
  <c r="D204" i="49" s="1"/>
  <c r="D205" i="49" s="1"/>
  <c r="H207" i="49"/>
  <c r="H208" i="49" s="1"/>
  <c r="H209" i="49" s="1"/>
  <c r="G207" i="49"/>
  <c r="F207" i="49"/>
  <c r="E207" i="49"/>
  <c r="D207" i="49"/>
  <c r="D208" i="49" s="1"/>
  <c r="D209" i="49" s="1"/>
  <c r="C207" i="49"/>
  <c r="C208" i="49" s="1"/>
  <c r="H206" i="49"/>
  <c r="G206" i="49"/>
  <c r="F206" i="49"/>
  <c r="E206" i="49"/>
  <c r="D206" i="49"/>
  <c r="C206" i="49"/>
  <c r="C203" i="49"/>
  <c r="C204" i="49" s="1"/>
  <c r="H200" i="49"/>
  <c r="G200" i="49"/>
  <c r="F200" i="49"/>
  <c r="E200" i="49"/>
  <c r="D200" i="49"/>
  <c r="C200" i="49"/>
  <c r="H159" i="49"/>
  <c r="G159" i="49"/>
  <c r="F159" i="49"/>
  <c r="E159" i="49"/>
  <c r="D159" i="49"/>
  <c r="C159" i="49"/>
  <c r="H156" i="49"/>
  <c r="G156" i="49"/>
  <c r="F156" i="49"/>
  <c r="E156" i="49"/>
  <c r="D156" i="49"/>
  <c r="C156" i="49"/>
  <c r="H153" i="49"/>
  <c r="G153" i="49"/>
  <c r="F153" i="49"/>
  <c r="E153" i="49"/>
  <c r="D153" i="49"/>
  <c r="C153" i="49"/>
  <c r="H152" i="49"/>
  <c r="G152" i="49"/>
  <c r="F152" i="49"/>
  <c r="E152" i="49"/>
  <c r="D152" i="49"/>
  <c r="C152" i="49"/>
  <c r="H149" i="49"/>
  <c r="G149" i="49"/>
  <c r="F149" i="49"/>
  <c r="E149" i="49"/>
  <c r="D149" i="49"/>
  <c r="C149" i="49"/>
  <c r="H146" i="49"/>
  <c r="G146" i="49"/>
  <c r="F146" i="49"/>
  <c r="E146" i="49"/>
  <c r="D146" i="49"/>
  <c r="C146" i="49"/>
  <c r="H145" i="49"/>
  <c r="H142" i="49"/>
  <c r="H139" i="49"/>
  <c r="AO7" i="49"/>
  <c r="AN7" i="49"/>
  <c r="AM7" i="49"/>
  <c r="AO6" i="49"/>
  <c r="AN6" i="49"/>
  <c r="AM6" i="49"/>
  <c r="AO5" i="49"/>
  <c r="AN5" i="49"/>
  <c r="AM5" i="49"/>
  <c r="C216" i="49" l="1"/>
  <c r="C212" i="49"/>
  <c r="C205" i="49"/>
  <c r="C209" i="49"/>
  <c r="F208" i="49"/>
  <c r="F204" i="49"/>
  <c r="F219" i="49"/>
  <c r="F211" i="49"/>
  <c r="F215" i="49"/>
  <c r="B146" i="49"/>
  <c r="B152" i="49"/>
  <c r="B156" i="49"/>
  <c r="B217" i="49"/>
  <c r="B206" i="49"/>
  <c r="G204" i="49"/>
  <c r="G219" i="49"/>
  <c r="G211" i="49"/>
  <c r="G215" i="49"/>
  <c r="G208" i="49"/>
  <c r="B207" i="49"/>
  <c r="E204" i="49"/>
  <c r="B203" i="49"/>
  <c r="B213" i="49"/>
  <c r="B149" i="49"/>
  <c r="B153" i="49"/>
  <c r="B159" i="49"/>
  <c r="B200" i="49"/>
  <c r="E211" i="49"/>
  <c r="B210" i="49"/>
  <c r="E215" i="49"/>
  <c r="B214" i="49"/>
  <c r="B220" i="49"/>
  <c r="G218" i="49"/>
  <c r="C219" i="49"/>
  <c r="D218" i="49"/>
  <c r="E218" i="49"/>
  <c r="F218" i="49"/>
  <c r="H218" i="49"/>
  <c r="E219" i="49"/>
  <c r="E208" i="49"/>
  <c r="EO6" i="49"/>
  <c r="FZ6" i="49" s="1"/>
  <c r="EU6" i="49"/>
  <c r="GF6" i="49" s="1"/>
  <c r="EU5" i="49"/>
  <c r="GF5" i="49" s="1"/>
  <c r="ET6" i="49"/>
  <c r="GE6" i="49" s="1"/>
  <c r="ET5" i="49"/>
  <c r="GE5" i="49" s="1"/>
  <c r="DW7" i="49"/>
  <c r="FH7" i="49" s="1"/>
  <c r="DV7" i="49"/>
  <c r="FG7" i="49" s="1"/>
  <c r="DU7" i="49"/>
  <c r="FF7" i="49" s="1"/>
  <c r="DT7" i="49"/>
  <c r="FE7" i="49" s="1"/>
  <c r="DS7" i="49"/>
  <c r="FD7" i="49" s="1"/>
  <c r="ES6" i="49"/>
  <c r="GD6" i="49" s="1"/>
  <c r="ER6" i="49"/>
  <c r="GC6" i="49" s="1"/>
  <c r="EQ6" i="49"/>
  <c r="GB6" i="49" s="1"/>
  <c r="EP6" i="49"/>
  <c r="GA6" i="49" s="1"/>
  <c r="EN6" i="49"/>
  <c r="FY6" i="49" s="1"/>
  <c r="EM6" i="49"/>
  <c r="FX6" i="49" s="1"/>
  <c r="EL6" i="49"/>
  <c r="FW6" i="49" s="1"/>
  <c r="EI6" i="49"/>
  <c r="FT6" i="49" s="1"/>
  <c r="EH6" i="49"/>
  <c r="FS6" i="49" s="1"/>
  <c r="EG6" i="49"/>
  <c r="FR6" i="49" s="1"/>
  <c r="EE6" i="49"/>
  <c r="FP6" i="49" s="1"/>
  <c r="ED6" i="49"/>
  <c r="FO6" i="49" s="1"/>
  <c r="EC6" i="49"/>
  <c r="FN6" i="49" s="1"/>
  <c r="DY6" i="49"/>
  <c r="FJ6" i="49" s="1"/>
  <c r="DX6" i="49"/>
  <c r="FI6" i="49" s="1"/>
  <c r="DW6" i="49"/>
  <c r="FH6" i="49" s="1"/>
  <c r="DV6" i="49"/>
  <c r="FG6" i="49" s="1"/>
  <c r="DU6" i="49"/>
  <c r="FF6" i="49" s="1"/>
  <c r="DT6" i="49"/>
  <c r="FE6" i="49" s="1"/>
  <c r="DS6" i="49"/>
  <c r="FD6" i="49" s="1"/>
  <c r="ES5" i="49"/>
  <c r="GD5" i="49" s="1"/>
  <c r="DW5" i="49"/>
  <c r="FH5" i="49" s="1"/>
  <c r="DV5" i="49"/>
  <c r="FG5" i="49" s="1"/>
  <c r="DU5" i="49"/>
  <c r="FF5" i="49" s="1"/>
  <c r="DT5" i="49"/>
  <c r="FE5" i="49" s="1"/>
  <c r="DS5" i="49"/>
  <c r="FD5" i="49" s="1"/>
  <c r="DR6" i="49"/>
  <c r="FC6" i="49" s="1"/>
  <c r="AI7" i="49"/>
  <c r="AL7" i="49"/>
  <c r="AK7" i="49"/>
  <c r="AJ7" i="49"/>
  <c r="AH7" i="49"/>
  <c r="AG7" i="49"/>
  <c r="AF7" i="49"/>
  <c r="AC7" i="49"/>
  <c r="AB7" i="49"/>
  <c r="AA7" i="49"/>
  <c r="Y7" i="49"/>
  <c r="X7" i="49"/>
  <c r="W7" i="49"/>
  <c r="S7" i="49"/>
  <c r="R7" i="49"/>
  <c r="Q7" i="49"/>
  <c r="P7" i="49"/>
  <c r="O7" i="49"/>
  <c r="N7" i="49"/>
  <c r="M7" i="49"/>
  <c r="AI6" i="49"/>
  <c r="AL6" i="49"/>
  <c r="AK6" i="49"/>
  <c r="AJ6" i="49"/>
  <c r="AH6" i="49"/>
  <c r="AG6" i="49"/>
  <c r="AF6" i="49"/>
  <c r="AC6" i="49"/>
  <c r="AB6" i="49"/>
  <c r="AA6" i="49"/>
  <c r="Y6" i="49"/>
  <c r="X6" i="49"/>
  <c r="W6" i="49"/>
  <c r="S6" i="49"/>
  <c r="R6" i="49"/>
  <c r="Q6" i="49"/>
  <c r="P6" i="49"/>
  <c r="O6" i="49"/>
  <c r="N6" i="49"/>
  <c r="M6" i="49"/>
  <c r="L7" i="49"/>
  <c r="L6" i="49"/>
  <c r="B211" i="49" l="1"/>
  <c r="F209" i="49"/>
  <c r="F212" i="49"/>
  <c r="F205" i="49"/>
  <c r="F216" i="49"/>
  <c r="G209" i="49"/>
  <c r="G216" i="49"/>
  <c r="G212" i="49"/>
  <c r="G205" i="49"/>
  <c r="B219" i="49"/>
  <c r="B218" i="49"/>
  <c r="B208" i="49"/>
  <c r="E212" i="49"/>
  <c r="B215" i="49"/>
  <c r="E216" i="49"/>
  <c r="E205" i="49"/>
  <c r="B204" i="49"/>
  <c r="E209" i="49"/>
  <c r="B205" i="49" l="1"/>
  <c r="B216" i="49"/>
  <c r="B212" i="49"/>
  <c r="B209" i="49"/>
  <c r="DD225" i="49" l="1"/>
  <c r="DC222" i="49"/>
  <c r="DD222" i="49"/>
  <c r="DB222" i="49"/>
  <c r="I5" i="83" l="1"/>
  <c r="C5" i="83" s="1"/>
  <c r="DA69" i="52"/>
  <c r="DA70" i="52"/>
  <c r="DA71" i="52"/>
  <c r="GE7" i="32"/>
  <c r="EU7" i="49" s="1"/>
  <c r="GF7" i="49" s="1"/>
  <c r="GD7" i="32"/>
  <c r="ET7" i="49" s="1"/>
  <c r="GE7" i="49" s="1"/>
  <c r="GC7" i="32"/>
  <c r="ES7" i="49" s="1"/>
  <c r="GD7" i="49" s="1"/>
  <c r="CD71" i="52" l="1"/>
  <c r="DM71" i="52" s="1" a="1"/>
  <c r="DM71" i="52" s="1"/>
  <c r="DN71" i="52" s="1"/>
  <c r="DP71" i="52"/>
  <c r="DR71" i="52" s="1"/>
  <c r="CD69" i="52"/>
  <c r="DM69" i="52" s="1" a="1"/>
  <c r="DM69" i="52" s="1"/>
  <c r="DN69" i="52" s="1"/>
  <c r="DP69" i="52"/>
  <c r="DR69" i="52" s="1"/>
  <c r="CD70" i="52"/>
  <c r="DM70" i="52" s="1" a="1"/>
  <c r="DM70" i="52" s="1"/>
  <c r="DN70" i="52" s="1"/>
  <c r="DP70" i="52"/>
  <c r="DR70" i="52" s="1"/>
  <c r="FX70" i="40"/>
  <c r="FA70" i="40"/>
  <c r="FX71" i="40"/>
  <c r="FA71" i="40"/>
  <c r="FA69" i="40"/>
  <c r="FX69" i="40"/>
  <c r="G145" i="49"/>
  <c r="F145" i="49"/>
  <c r="E145" i="49"/>
  <c r="D145" i="49"/>
  <c r="C145" i="49"/>
  <c r="G142" i="49"/>
  <c r="F142" i="49"/>
  <c r="E142" i="49"/>
  <c r="D142" i="49"/>
  <c r="D143" i="49" s="1"/>
  <c r="D144" i="49" s="1"/>
  <c r="C142" i="49"/>
  <c r="C143" i="49" s="1"/>
  <c r="H143" i="49"/>
  <c r="H144" i="49" s="1"/>
  <c r="G139" i="49"/>
  <c r="F139" i="49"/>
  <c r="E139" i="49"/>
  <c r="D139" i="49"/>
  <c r="D140" i="49" s="1"/>
  <c r="D141" i="49" s="1"/>
  <c r="C139" i="49"/>
  <c r="C140" i="49" s="1"/>
  <c r="H140" i="49"/>
  <c r="H141" i="49" s="1"/>
  <c r="H191" i="49"/>
  <c r="G191" i="49"/>
  <c r="F191" i="49"/>
  <c r="E191" i="49"/>
  <c r="D191" i="49"/>
  <c r="C191" i="49"/>
  <c r="H188" i="49"/>
  <c r="H189" i="49" s="1"/>
  <c r="H190" i="49" s="1"/>
  <c r="G188" i="49"/>
  <c r="F188" i="49"/>
  <c r="E188" i="49"/>
  <c r="D188" i="49"/>
  <c r="D189" i="49" s="1"/>
  <c r="D190" i="49" s="1"/>
  <c r="C188" i="49"/>
  <c r="C189" i="49" s="1"/>
  <c r="H185" i="49"/>
  <c r="H186" i="49" s="1"/>
  <c r="H187" i="49" s="1"/>
  <c r="G185" i="49"/>
  <c r="F185" i="49"/>
  <c r="E185" i="49"/>
  <c r="D185" i="49"/>
  <c r="D186" i="49" s="1"/>
  <c r="D187" i="49" s="1"/>
  <c r="C185" i="49"/>
  <c r="C186" i="49" s="1"/>
  <c r="H138" i="49"/>
  <c r="G138" i="49"/>
  <c r="F138" i="49"/>
  <c r="E138" i="49"/>
  <c r="D138" i="49"/>
  <c r="C138" i="49"/>
  <c r="H135" i="49"/>
  <c r="H136" i="49" s="1"/>
  <c r="H137" i="49" s="1"/>
  <c r="G135" i="49"/>
  <c r="F135" i="49"/>
  <c r="E135" i="49"/>
  <c r="D135" i="49"/>
  <c r="D136" i="49" s="1"/>
  <c r="D137" i="49" s="1"/>
  <c r="C135" i="49"/>
  <c r="C136" i="49" s="1"/>
  <c r="H132" i="49"/>
  <c r="H133" i="49" s="1"/>
  <c r="H134" i="49" s="1"/>
  <c r="G132" i="49"/>
  <c r="F132" i="49"/>
  <c r="E132" i="49"/>
  <c r="D132" i="49"/>
  <c r="D133" i="49" s="1"/>
  <c r="D134" i="49" s="1"/>
  <c r="C132" i="49"/>
  <c r="C133" i="49" s="1"/>
  <c r="H184" i="49"/>
  <c r="G184" i="49"/>
  <c r="F184" i="49"/>
  <c r="E184" i="49"/>
  <c r="D184" i="49"/>
  <c r="C184" i="49"/>
  <c r="H181" i="49"/>
  <c r="H182" i="49" s="1"/>
  <c r="H183" i="49" s="1"/>
  <c r="G181" i="49"/>
  <c r="F181" i="49"/>
  <c r="E181" i="49"/>
  <c r="D181" i="49"/>
  <c r="D182" i="49" s="1"/>
  <c r="D183" i="49" s="1"/>
  <c r="C181" i="49"/>
  <c r="C182" i="49" s="1"/>
  <c r="H178" i="49"/>
  <c r="H179" i="49" s="1"/>
  <c r="H180" i="49" s="1"/>
  <c r="G178" i="49"/>
  <c r="F178" i="49"/>
  <c r="E178" i="49"/>
  <c r="D178" i="49"/>
  <c r="D179" i="49" s="1"/>
  <c r="D180" i="49" s="1"/>
  <c r="C178" i="49"/>
  <c r="C179" i="49" s="1"/>
  <c r="H131" i="49"/>
  <c r="G131" i="49"/>
  <c r="F131" i="49"/>
  <c r="E131" i="49"/>
  <c r="D131" i="49"/>
  <c r="C131" i="49"/>
  <c r="H128" i="49"/>
  <c r="H129" i="49" s="1"/>
  <c r="H130" i="49" s="1"/>
  <c r="G128" i="49"/>
  <c r="F128" i="49"/>
  <c r="E128" i="49"/>
  <c r="D128" i="49"/>
  <c r="D129" i="49" s="1"/>
  <c r="D130" i="49" s="1"/>
  <c r="C128" i="49"/>
  <c r="C129" i="49" s="1"/>
  <c r="H125" i="49"/>
  <c r="H126" i="49" s="1"/>
  <c r="H127" i="49" s="1"/>
  <c r="G125" i="49"/>
  <c r="F125" i="49"/>
  <c r="E125" i="49"/>
  <c r="D125" i="49"/>
  <c r="D126" i="49" s="1"/>
  <c r="D127" i="49" s="1"/>
  <c r="C125" i="49"/>
  <c r="C126" i="49" s="1"/>
  <c r="H101" i="49"/>
  <c r="G101" i="49"/>
  <c r="F101" i="49"/>
  <c r="E101" i="49"/>
  <c r="D101" i="49"/>
  <c r="C101" i="49"/>
  <c r="H98" i="49"/>
  <c r="H99" i="49" s="1"/>
  <c r="H100" i="49" s="1"/>
  <c r="G98" i="49"/>
  <c r="F98" i="49"/>
  <c r="E98" i="49"/>
  <c r="D98" i="49"/>
  <c r="D99" i="49" s="1"/>
  <c r="D100" i="49" s="1"/>
  <c r="C98" i="49"/>
  <c r="C99" i="49" s="1"/>
  <c r="C171" i="49"/>
  <c r="C172" i="49" s="1"/>
  <c r="D171" i="49"/>
  <c r="D172" i="49" s="1"/>
  <c r="D173" i="49" s="1"/>
  <c r="E171" i="49"/>
  <c r="F171" i="49"/>
  <c r="G171" i="49"/>
  <c r="H171" i="49"/>
  <c r="H172" i="49" s="1"/>
  <c r="H173" i="49" s="1"/>
  <c r="H95" i="49"/>
  <c r="H96" i="49" s="1"/>
  <c r="H97" i="49" s="1"/>
  <c r="G95" i="49"/>
  <c r="F95" i="49"/>
  <c r="E95" i="49"/>
  <c r="D95" i="49"/>
  <c r="D96" i="49" s="1"/>
  <c r="D97" i="49" s="1"/>
  <c r="C95" i="49"/>
  <c r="C96" i="49" s="1"/>
  <c r="H94" i="49"/>
  <c r="G94" i="49"/>
  <c r="F94" i="49"/>
  <c r="E94" i="49"/>
  <c r="D94" i="49"/>
  <c r="C94" i="49"/>
  <c r="H91" i="49"/>
  <c r="H92" i="49" s="1"/>
  <c r="H93" i="49" s="1"/>
  <c r="G91" i="49"/>
  <c r="F91" i="49"/>
  <c r="E91" i="49"/>
  <c r="D91" i="49"/>
  <c r="D92" i="49" s="1"/>
  <c r="D93" i="49" s="1"/>
  <c r="C91" i="49"/>
  <c r="C92" i="49" s="1"/>
  <c r="H88" i="49"/>
  <c r="H89" i="49" s="1"/>
  <c r="H90" i="49" s="1"/>
  <c r="G88" i="49"/>
  <c r="F88" i="49"/>
  <c r="E88" i="49"/>
  <c r="D88" i="49"/>
  <c r="D89" i="49" s="1"/>
  <c r="D90" i="49" s="1"/>
  <c r="C88" i="49"/>
  <c r="C89" i="49" s="1"/>
  <c r="H87" i="49"/>
  <c r="G87" i="49"/>
  <c r="F87" i="49"/>
  <c r="E87" i="49"/>
  <c r="D87" i="49"/>
  <c r="H84" i="49"/>
  <c r="H85" i="49" s="1"/>
  <c r="H86" i="49" s="1"/>
  <c r="G84" i="49"/>
  <c r="F84" i="49"/>
  <c r="E84" i="49"/>
  <c r="D84" i="49"/>
  <c r="D85" i="49" s="1"/>
  <c r="D86" i="49" s="1"/>
  <c r="D82" i="49"/>
  <c r="D83" i="49" s="1"/>
  <c r="H81" i="49"/>
  <c r="H82" i="49" s="1"/>
  <c r="H83" i="49" s="1"/>
  <c r="G81" i="49"/>
  <c r="F81" i="49"/>
  <c r="E81" i="49"/>
  <c r="C87" i="49"/>
  <c r="C84" i="49"/>
  <c r="C85" i="49" s="1"/>
  <c r="G201" i="49"/>
  <c r="G157" i="49"/>
  <c r="G154" i="49"/>
  <c r="G150" i="49"/>
  <c r="G147" i="49"/>
  <c r="G124" i="49"/>
  <c r="G121" i="49"/>
  <c r="G118" i="49"/>
  <c r="G177" i="49"/>
  <c r="G174" i="49"/>
  <c r="G80" i="49"/>
  <c r="G77" i="49"/>
  <c r="G74" i="49"/>
  <c r="G73" i="49"/>
  <c r="G72" i="49"/>
  <c r="G71" i="49"/>
  <c r="G68" i="49"/>
  <c r="G65" i="49"/>
  <c r="G62" i="49"/>
  <c r="G59" i="49"/>
  <c r="G56" i="49"/>
  <c r="G53" i="49"/>
  <c r="G49" i="49"/>
  <c r="G50" i="49" s="1"/>
  <c r="G51" i="49" s="1"/>
  <c r="G46" i="49"/>
  <c r="G47" i="49" s="1"/>
  <c r="G48" i="49" s="1"/>
  <c r="G43" i="49"/>
  <c r="G44" i="49" s="1"/>
  <c r="G45" i="49" s="1"/>
  <c r="G40" i="49"/>
  <c r="G37" i="49"/>
  <c r="G38" i="49" s="1"/>
  <c r="G39" i="49" s="1"/>
  <c r="G34" i="49"/>
  <c r="G31" i="49"/>
  <c r="G32" i="49" s="1"/>
  <c r="G28" i="49"/>
  <c r="G29" i="49" s="1"/>
  <c r="G30" i="49" s="1"/>
  <c r="G25" i="49"/>
  <c r="G26" i="49" s="1"/>
  <c r="G27" i="49" s="1"/>
  <c r="G22" i="49"/>
  <c r="G23" i="49" s="1"/>
  <c r="G24" i="49" s="1"/>
  <c r="G19" i="49"/>
  <c r="G16" i="49"/>
  <c r="G13" i="49"/>
  <c r="G10" i="49"/>
  <c r="Q5" i="49"/>
  <c r="P5" i="49"/>
  <c r="O5" i="49"/>
  <c r="N5" i="49"/>
  <c r="M5" i="49"/>
  <c r="BB7" i="32"/>
  <c r="BB7" i="49" s="1"/>
  <c r="BA7" i="32"/>
  <c r="BA7" i="49" s="1"/>
  <c r="AZ7" i="32"/>
  <c r="AZ7" i="49" s="1"/>
  <c r="AY7" i="32"/>
  <c r="AY7" i="49" s="1"/>
  <c r="AX7" i="32"/>
  <c r="AX7" i="49" s="1"/>
  <c r="GJ70" i="40" l="1"/>
  <c r="GJ71" i="40"/>
  <c r="GJ69" i="40"/>
  <c r="CG5" i="40"/>
  <c r="AV5" i="40"/>
  <c r="FB5" i="40" s="1"/>
  <c r="CH5" i="40"/>
  <c r="AW5" i="40"/>
  <c r="FC5" i="40" s="1"/>
  <c r="CI5" i="40"/>
  <c r="AX5" i="40"/>
  <c r="FD5" i="40" s="1"/>
  <c r="CJ5" i="40"/>
  <c r="AY5" i="40"/>
  <c r="FE5" i="40" s="1"/>
  <c r="CK5" i="40"/>
  <c r="AZ5" i="40"/>
  <c r="FF5" i="40" s="1"/>
  <c r="C141" i="49"/>
  <c r="C100" i="49"/>
  <c r="C93" i="49"/>
  <c r="C127" i="49"/>
  <c r="C97" i="49"/>
  <c r="C90" i="49"/>
  <c r="C130" i="49"/>
  <c r="C180" i="49"/>
  <c r="C137" i="49"/>
  <c r="C187" i="49"/>
  <c r="C86" i="49"/>
  <c r="C144" i="49"/>
  <c r="C190" i="49"/>
  <c r="C134" i="49"/>
  <c r="C183" i="49"/>
  <c r="C173" i="49"/>
  <c r="G11" i="49"/>
  <c r="G12" i="49" s="1"/>
  <c r="G14" i="49"/>
  <c r="G15" i="49" s="1"/>
  <c r="G17" i="49"/>
  <c r="G18" i="49" s="1"/>
  <c r="G20" i="49"/>
  <c r="G21" i="49" s="1"/>
  <c r="G35" i="49"/>
  <c r="G36" i="49" s="1"/>
  <c r="G41" i="49"/>
  <c r="G42" i="49" s="1"/>
  <c r="G33" i="49"/>
  <c r="B145" i="49"/>
  <c r="B139" i="49"/>
  <c r="F85" i="49"/>
  <c r="F143" i="49"/>
  <c r="F92" i="49"/>
  <c r="F96" i="49"/>
  <c r="F99" i="49"/>
  <c r="F126" i="49"/>
  <c r="F182" i="49"/>
  <c r="F133" i="49"/>
  <c r="F189" i="49"/>
  <c r="F82" i="49"/>
  <c r="F140" i="49"/>
  <c r="F172" i="49"/>
  <c r="F89" i="49"/>
  <c r="F129" i="49"/>
  <c r="F179" i="49"/>
  <c r="F136" i="49"/>
  <c r="F186" i="49"/>
  <c r="CI7" i="49"/>
  <c r="B101" i="49"/>
  <c r="B128" i="49"/>
  <c r="B178" i="49"/>
  <c r="B184" i="49"/>
  <c r="B135" i="49"/>
  <c r="B185" i="49"/>
  <c r="B81" i="49"/>
  <c r="B88" i="49"/>
  <c r="B94" i="49"/>
  <c r="B191" i="49"/>
  <c r="G69" i="49"/>
  <c r="G151" i="49"/>
  <c r="G122" i="49"/>
  <c r="G155" i="49"/>
  <c r="G92" i="49"/>
  <c r="G96" i="49"/>
  <c r="G99" i="49"/>
  <c r="G126" i="49"/>
  <c r="G182" i="49"/>
  <c r="G133" i="49"/>
  <c r="G189" i="49"/>
  <c r="G158" i="49"/>
  <c r="G82" i="49"/>
  <c r="G140" i="49"/>
  <c r="G75" i="49"/>
  <c r="G78" i="49"/>
  <c r="G172" i="49"/>
  <c r="G148" i="49"/>
  <c r="G64" i="49"/>
  <c r="G54" i="49"/>
  <c r="G175" i="49"/>
  <c r="G57" i="49"/>
  <c r="G89" i="49"/>
  <c r="G129" i="49"/>
  <c r="G179" i="49"/>
  <c r="G136" i="49"/>
  <c r="G186" i="49"/>
  <c r="G61" i="49"/>
  <c r="G119" i="49"/>
  <c r="G202" i="49"/>
  <c r="G85" i="49"/>
  <c r="G143" i="49"/>
  <c r="G66" i="49"/>
  <c r="B87" i="49"/>
  <c r="B91" i="49"/>
  <c r="B95" i="49"/>
  <c r="B98" i="49"/>
  <c r="B125" i="49"/>
  <c r="B131" i="49"/>
  <c r="B181" i="49"/>
  <c r="B132" i="49"/>
  <c r="B138" i="49"/>
  <c r="B188" i="49"/>
  <c r="B84" i="49"/>
  <c r="B171" i="49"/>
  <c r="E143" i="49"/>
  <c r="B142" i="49"/>
  <c r="E82" i="49"/>
  <c r="E140" i="49"/>
  <c r="E89" i="49"/>
  <c r="E129" i="49"/>
  <c r="E179" i="49"/>
  <c r="E136" i="49"/>
  <c r="E186" i="49"/>
  <c r="E85" i="49"/>
  <c r="E172" i="49"/>
  <c r="E92" i="49"/>
  <c r="E96" i="49"/>
  <c r="E99" i="49"/>
  <c r="E126" i="49"/>
  <c r="E182" i="49"/>
  <c r="E133" i="49"/>
  <c r="E189" i="49"/>
  <c r="DQ5" i="40"/>
  <c r="DR5" i="40"/>
  <c r="DS5" i="40"/>
  <c r="DT5" i="40"/>
  <c r="DU5" i="40"/>
  <c r="G58" i="49"/>
  <c r="G60" i="49"/>
  <c r="G55" i="49"/>
  <c r="G63" i="49"/>
  <c r="FG131" i="49" l="1"/>
  <c r="FH131" i="49"/>
  <c r="FF131" i="49"/>
  <c r="FE131" i="49"/>
  <c r="FD131" i="49"/>
  <c r="FF125" i="49"/>
  <c r="FE125" i="49"/>
  <c r="FG125" i="49"/>
  <c r="FH125" i="49"/>
  <c r="FD125" i="49"/>
  <c r="FF135" i="49"/>
  <c r="FE135" i="49"/>
  <c r="FD135" i="49"/>
  <c r="GF135" i="49"/>
  <c r="GD135" i="49"/>
  <c r="FH135" i="49"/>
  <c r="GE135" i="49"/>
  <c r="FG135" i="49"/>
  <c r="GF138" i="49"/>
  <c r="FH138" i="49"/>
  <c r="FG138" i="49"/>
  <c r="GE138" i="49"/>
  <c r="FF138" i="49"/>
  <c r="FE138" i="49"/>
  <c r="FD138" i="49"/>
  <c r="GD138" i="49"/>
  <c r="GF184" i="49"/>
  <c r="GD184" i="49"/>
  <c r="GE184" i="49"/>
  <c r="GF178" i="49"/>
  <c r="GD178" i="49"/>
  <c r="GE178" i="49"/>
  <c r="GF132" i="49"/>
  <c r="FD132" i="49"/>
  <c r="FH132" i="49"/>
  <c r="FG132" i="49"/>
  <c r="FF132" i="49"/>
  <c r="FE132" i="49"/>
  <c r="GE132" i="49"/>
  <c r="GD132" i="49"/>
  <c r="GF181" i="49"/>
  <c r="GE181" i="49"/>
  <c r="GD181" i="49"/>
  <c r="FH128" i="49"/>
  <c r="FF128" i="49"/>
  <c r="FE128" i="49"/>
  <c r="FG128" i="49"/>
  <c r="FD128" i="49"/>
  <c r="EF84" i="49"/>
  <c r="EF87" i="49"/>
  <c r="EF81" i="49"/>
  <c r="F100" i="49"/>
  <c r="F134" i="49"/>
  <c r="B99" i="49"/>
  <c r="B189" i="49"/>
  <c r="B96" i="49"/>
  <c r="B136" i="49"/>
  <c r="B140" i="49"/>
  <c r="B133" i="49"/>
  <c r="B82" i="49"/>
  <c r="B186" i="49"/>
  <c r="B179" i="49"/>
  <c r="B182" i="49"/>
  <c r="B172" i="49"/>
  <c r="B129" i="49"/>
  <c r="B89" i="49"/>
  <c r="B92" i="49"/>
  <c r="B143" i="49"/>
  <c r="B126" i="49"/>
  <c r="B85" i="49"/>
  <c r="F90" i="49"/>
  <c r="F190" i="49"/>
  <c r="F93" i="49"/>
  <c r="F97" i="49"/>
  <c r="F83" i="49"/>
  <c r="F137" i="49"/>
  <c r="F187" i="49"/>
  <c r="F86" i="49"/>
  <c r="F183" i="49"/>
  <c r="F144" i="49"/>
  <c r="F141" i="49"/>
  <c r="F180" i="49"/>
  <c r="F173" i="49"/>
  <c r="F130" i="49"/>
  <c r="F127" i="49"/>
  <c r="CJ7" i="49"/>
  <c r="G183" i="49"/>
  <c r="G180" i="49"/>
  <c r="G79" i="49"/>
  <c r="G83" i="49"/>
  <c r="G67" i="49"/>
  <c r="G120" i="49"/>
  <c r="G127" i="49"/>
  <c r="G130" i="49"/>
  <c r="G100" i="49"/>
  <c r="G90" i="49"/>
  <c r="G144" i="49"/>
  <c r="G97" i="49"/>
  <c r="G123" i="49"/>
  <c r="G176" i="49"/>
  <c r="E144" i="49"/>
  <c r="G86" i="49"/>
  <c r="G76" i="49"/>
  <c r="G190" i="49"/>
  <c r="G93" i="49"/>
  <c r="G187" i="49"/>
  <c r="G173" i="49"/>
  <c r="G70" i="49"/>
  <c r="G134" i="49"/>
  <c r="G137" i="49"/>
  <c r="G141" i="49"/>
  <c r="E100" i="49"/>
  <c r="E130" i="49"/>
  <c r="E83" i="49"/>
  <c r="E97" i="49"/>
  <c r="E127" i="49"/>
  <c r="E183" i="49"/>
  <c r="E137" i="49"/>
  <c r="E90" i="49"/>
  <c r="E180" i="49"/>
  <c r="E190" i="49"/>
  <c r="E187" i="49"/>
  <c r="E173" i="49"/>
  <c r="E141" i="49"/>
  <c r="E86" i="49"/>
  <c r="E134" i="49"/>
  <c r="E93" i="49"/>
  <c r="BZ7" i="32"/>
  <c r="BZ7" i="49" s="1"/>
  <c r="BY7" i="32"/>
  <c r="BY7" i="49" s="1"/>
  <c r="BX7" i="32"/>
  <c r="BX7" i="49" l="1"/>
  <c r="BT7" i="49"/>
  <c r="DL222" i="49"/>
  <c r="DM222" i="49"/>
  <c r="DN222" i="49"/>
  <c r="ET178" i="49"/>
  <c r="ES132" i="49"/>
  <c r="ET184" i="49"/>
  <c r="ES181" i="49"/>
  <c r="ES184" i="49"/>
  <c r="ES135" i="49"/>
  <c r="FE133" i="49"/>
  <c r="GF133" i="49"/>
  <c r="GE133" i="49"/>
  <c r="GD133" i="49"/>
  <c r="FD133" i="49"/>
  <c r="FH133" i="49"/>
  <c r="FG133" i="49"/>
  <c r="FF133" i="49"/>
  <c r="GD179" i="49"/>
  <c r="GF179" i="49"/>
  <c r="GE179" i="49"/>
  <c r="FE129" i="49"/>
  <c r="FF129" i="49"/>
  <c r="FD129" i="49"/>
  <c r="FG129" i="49"/>
  <c r="FH129" i="49"/>
  <c r="ET138" i="49"/>
  <c r="ET135" i="49"/>
  <c r="EU135" i="49"/>
  <c r="ES178" i="49"/>
  <c r="EU184" i="49"/>
  <c r="EU138" i="49"/>
  <c r="FH136" i="49"/>
  <c r="GE136" i="49"/>
  <c r="FG136" i="49"/>
  <c r="GD136" i="49"/>
  <c r="FF136" i="49"/>
  <c r="FE136" i="49"/>
  <c r="FD136" i="49"/>
  <c r="GF136" i="49"/>
  <c r="FH126" i="49"/>
  <c r="FG126" i="49"/>
  <c r="FF126" i="49"/>
  <c r="FD126" i="49"/>
  <c r="FE126" i="49"/>
  <c r="ET181" i="49"/>
  <c r="ET132" i="49"/>
  <c r="EU178" i="49"/>
  <c r="GF182" i="49"/>
  <c r="GE182" i="49"/>
  <c r="GD182" i="49"/>
  <c r="EU181" i="49"/>
  <c r="EU132" i="49"/>
  <c r="ES138" i="49"/>
  <c r="EF82" i="49"/>
  <c r="EF85" i="49"/>
  <c r="CK7" i="49"/>
  <c r="B144" i="49"/>
  <c r="B86" i="49"/>
  <c r="B90" i="49"/>
  <c r="B130" i="49"/>
  <c r="B173" i="49"/>
  <c r="B183" i="49"/>
  <c r="B141" i="49"/>
  <c r="B137" i="49"/>
  <c r="B100" i="49"/>
  <c r="B187" i="49"/>
  <c r="B127" i="49"/>
  <c r="B93" i="49"/>
  <c r="B190" i="49"/>
  <c r="B97" i="49"/>
  <c r="B134" i="49"/>
  <c r="B180" i="49"/>
  <c r="B83" i="49"/>
  <c r="DN225" i="49" l="1"/>
  <c r="DM225" i="49"/>
  <c r="DL225" i="49"/>
  <c r="FH14" i="32"/>
  <c r="FJ15" i="32"/>
  <c r="FH15" i="32"/>
  <c r="FM19" i="32"/>
  <c r="FI19" i="32"/>
  <c r="FH19" i="32"/>
  <c r="FH16" i="32"/>
  <c r="FJ16" i="32"/>
  <c r="FH21" i="32"/>
  <c r="FJ21" i="32"/>
  <c r="FH22" i="32"/>
  <c r="FJ22" i="32"/>
  <c r="FH23" i="32"/>
  <c r="FJ23" i="32"/>
  <c r="EU182" i="49"/>
  <c r="DV136" i="49"/>
  <c r="ET133" i="49"/>
  <c r="ES179" i="49"/>
  <c r="ES133" i="49"/>
  <c r="ET182" i="49"/>
  <c r="ET136" i="49"/>
  <c r="ET179" i="49"/>
  <c r="GD134" i="49"/>
  <c r="FH134" i="49"/>
  <c r="FF134" i="49"/>
  <c r="FG134" i="49"/>
  <c r="GF134" i="49"/>
  <c r="FE134" i="49"/>
  <c r="FD134" i="49"/>
  <c r="GE134" i="49"/>
  <c r="FF137" i="49"/>
  <c r="FE137" i="49"/>
  <c r="FD137" i="49"/>
  <c r="FH137" i="49"/>
  <c r="FG137" i="49"/>
  <c r="GF137" i="49"/>
  <c r="GE137" i="49"/>
  <c r="GD137" i="49"/>
  <c r="GD183" i="49"/>
  <c r="GF183" i="49"/>
  <c r="GE183" i="49"/>
  <c r="FH127" i="49"/>
  <c r="FG127" i="49"/>
  <c r="FD127" i="49"/>
  <c r="FE127" i="49"/>
  <c r="FF127" i="49"/>
  <c r="EU136" i="49"/>
  <c r="GE180" i="49"/>
  <c r="GF180" i="49"/>
  <c r="GD180" i="49"/>
  <c r="FD130" i="49"/>
  <c r="FH130" i="49"/>
  <c r="FG130" i="49"/>
  <c r="FF130" i="49"/>
  <c r="FE130" i="49"/>
  <c r="ES182" i="49"/>
  <c r="EU179" i="49"/>
  <c r="ES136" i="49"/>
  <c r="EU133" i="49"/>
  <c r="EF83" i="49"/>
  <c r="EF86" i="49"/>
  <c r="DS133" i="49"/>
  <c r="EY222" i="49"/>
  <c r="EZ222" i="49"/>
  <c r="GJ21" i="32"/>
  <c r="CL21" i="52"/>
  <c r="DK21" i="52"/>
  <c r="CR21" i="52"/>
  <c r="FN39" i="32"/>
  <c r="FO39" i="32"/>
  <c r="GB56" i="32"/>
  <c r="GA56" i="32"/>
  <c r="GJ22" i="32"/>
  <c r="DK22" i="52"/>
  <c r="CR22" i="52"/>
  <c r="FG57" i="32"/>
  <c r="FF57" i="32"/>
  <c r="FE57" i="32"/>
  <c r="FD57" i="32"/>
  <c r="GJ23" i="32"/>
  <c r="DK23" i="52"/>
  <c r="CL23" i="52"/>
  <c r="CR23" i="52"/>
  <c r="FQ29" i="32"/>
  <c r="FD58" i="32"/>
  <c r="FG58" i="32"/>
  <c r="FF58" i="32"/>
  <c r="FE58" i="32"/>
  <c r="FG59" i="32"/>
  <c r="FF59" i="32"/>
  <c r="FE59" i="32"/>
  <c r="FD59" i="32"/>
  <c r="GE80" i="32"/>
  <c r="GD80" i="32"/>
  <c r="CL14" i="52"/>
  <c r="DK14" i="52"/>
  <c r="CR14" i="52"/>
  <c r="GE81" i="32"/>
  <c r="GD81" i="32"/>
  <c r="GJ15" i="32"/>
  <c r="DK15" i="52"/>
  <c r="CL15" i="52"/>
  <c r="CR15" i="52"/>
  <c r="GE82" i="32"/>
  <c r="GD82" i="32"/>
  <c r="GJ34" i="32"/>
  <c r="CV34" i="52"/>
  <c r="CW34" i="52"/>
  <c r="DK34" i="52"/>
  <c r="DL34" i="52"/>
  <c r="GJ35" i="32"/>
  <c r="FU35" i="32"/>
  <c r="FT35" i="32"/>
  <c r="CV35" i="52"/>
  <c r="CW35" i="52"/>
  <c r="DK35" i="52"/>
  <c r="DL35" i="52"/>
  <c r="GE61" i="32"/>
  <c r="FG61" i="32"/>
  <c r="FF61" i="32"/>
  <c r="FE61" i="32"/>
  <c r="FD61" i="32"/>
  <c r="GD61" i="32"/>
  <c r="GJ16" i="32"/>
  <c r="DK16" i="52"/>
  <c r="CL16" i="52"/>
  <c r="CR16" i="52"/>
  <c r="FU36" i="32"/>
  <c r="FT36" i="32"/>
  <c r="GJ36" i="32"/>
  <c r="CV36" i="52"/>
  <c r="CW36" i="52"/>
  <c r="DK36" i="52"/>
  <c r="DL36" i="52"/>
  <c r="FF62" i="32"/>
  <c r="FE62" i="32"/>
  <c r="FD62" i="32"/>
  <c r="GE62" i="32"/>
  <c r="GD62" i="32"/>
  <c r="FG62" i="32"/>
  <c r="GE60" i="32"/>
  <c r="FD60" i="32"/>
  <c r="GD60" i="32"/>
  <c r="FF60" i="32"/>
  <c r="FG60" i="32"/>
  <c r="FE60" i="32"/>
  <c r="DA19" i="52"/>
  <c r="CJ19" i="52"/>
  <c r="CK20" i="52"/>
  <c r="CJ20" i="52"/>
  <c r="DA20" i="52"/>
  <c r="CJ21" i="52"/>
  <c r="CK10" i="52"/>
  <c r="CJ10" i="52"/>
  <c r="CJ22" i="52"/>
  <c r="CD14" i="52"/>
  <c r="CJ14" i="52"/>
  <c r="CK11" i="52"/>
  <c r="CJ11" i="52"/>
  <c r="CJ23" i="52"/>
  <c r="CK12" i="52"/>
  <c r="CJ12" i="52"/>
  <c r="CJ15" i="52"/>
  <c r="CJ17" i="52"/>
  <c r="DA17" i="52"/>
  <c r="CK17" i="52"/>
  <c r="CJ13" i="52"/>
  <c r="CK13" i="52"/>
  <c r="CJ16" i="52"/>
  <c r="DA18" i="52"/>
  <c r="CK18" i="52"/>
  <c r="CJ18" i="52"/>
  <c r="DG82" i="52"/>
  <c r="DF82" i="52"/>
  <c r="DE82" i="52"/>
  <c r="CT65" i="52"/>
  <c r="DA65" i="52"/>
  <c r="DA25" i="52"/>
  <c r="CQ37" i="52"/>
  <c r="DA37" i="52"/>
  <c r="DD54" i="52"/>
  <c r="DC54" i="52"/>
  <c r="DB54" i="52"/>
  <c r="CT83" i="52"/>
  <c r="DA32" i="52"/>
  <c r="DA33" i="52"/>
  <c r="DA26" i="52"/>
  <c r="DA38" i="52"/>
  <c r="CQ38" i="52"/>
  <c r="DD55" i="52"/>
  <c r="DC55" i="52"/>
  <c r="DB55" i="52"/>
  <c r="CT84" i="52"/>
  <c r="DA27" i="52"/>
  <c r="DA39" i="52"/>
  <c r="CQ39" i="52"/>
  <c r="DC56" i="52"/>
  <c r="DB56" i="52"/>
  <c r="DD56" i="52"/>
  <c r="CT85" i="52"/>
  <c r="DA28" i="52"/>
  <c r="DA40" i="52"/>
  <c r="DA57" i="52"/>
  <c r="CH57" i="52"/>
  <c r="CF57" i="52"/>
  <c r="CI57" i="52"/>
  <c r="CG57" i="52"/>
  <c r="CT86" i="52"/>
  <c r="DG81" i="52"/>
  <c r="DF81" i="52"/>
  <c r="DE81" i="52"/>
  <c r="CT64" i="52"/>
  <c r="DA64" i="52"/>
  <c r="DA29" i="52"/>
  <c r="DA41" i="52"/>
  <c r="DA58" i="52"/>
  <c r="CG58" i="52"/>
  <c r="CI58" i="52"/>
  <c r="CF58" i="52"/>
  <c r="CH58" i="52"/>
  <c r="CT87" i="52"/>
  <c r="DA31" i="52"/>
  <c r="DD77" i="52"/>
  <c r="DC77" i="52"/>
  <c r="DB77" i="52"/>
  <c r="DF60" i="52"/>
  <c r="DE60" i="52"/>
  <c r="DG60" i="52"/>
  <c r="CI60" i="52"/>
  <c r="CF60" i="52"/>
  <c r="CH60" i="52"/>
  <c r="CG60" i="52"/>
  <c r="DA66" i="52"/>
  <c r="CT66" i="52"/>
  <c r="DA30" i="52"/>
  <c r="DA42" i="52"/>
  <c r="DA59" i="52"/>
  <c r="CG59" i="52"/>
  <c r="CF59" i="52"/>
  <c r="CH59" i="52"/>
  <c r="CI59" i="52"/>
  <c r="CT88" i="52"/>
  <c r="DG80" i="52"/>
  <c r="DF80" i="52"/>
  <c r="DE80" i="52"/>
  <c r="CT63" i="52"/>
  <c r="DA63" i="52"/>
  <c r="DC78" i="52"/>
  <c r="DB78" i="52"/>
  <c r="DD78" i="52"/>
  <c r="DG61" i="52"/>
  <c r="DF61" i="52"/>
  <c r="DE61" i="52"/>
  <c r="CF61" i="52"/>
  <c r="CH61" i="52"/>
  <c r="CG61" i="52"/>
  <c r="CI61" i="52"/>
  <c r="DA67" i="52"/>
  <c r="CT67" i="52"/>
  <c r="DD79" i="52"/>
  <c r="DC79" i="52"/>
  <c r="DB79" i="52"/>
  <c r="DG62" i="52"/>
  <c r="DF62" i="52"/>
  <c r="DE62" i="52"/>
  <c r="CI62" i="52"/>
  <c r="CG62" i="52"/>
  <c r="CH62" i="52"/>
  <c r="CF62" i="52"/>
  <c r="DA68" i="52"/>
  <c r="CT68" i="52"/>
  <c r="DV129" i="49"/>
  <c r="DT126" i="49"/>
  <c r="DT136" i="49"/>
  <c r="DV133" i="49"/>
  <c r="DU126" i="49"/>
  <c r="DV131" i="49"/>
  <c r="DU128" i="49"/>
  <c r="DT133" i="49"/>
  <c r="DW126" i="49"/>
  <c r="DS129" i="49"/>
  <c r="DW136" i="49"/>
  <c r="DU129" i="49"/>
  <c r="DU136" i="49"/>
  <c r="DW129" i="49"/>
  <c r="DV126" i="49"/>
  <c r="DT129" i="49"/>
  <c r="CM7" i="49"/>
  <c r="CL7" i="49"/>
  <c r="BR5" i="40"/>
  <c r="FX5" i="40" s="1"/>
  <c r="BU5" i="40"/>
  <c r="GA5" i="40" s="1"/>
  <c r="BT5" i="40"/>
  <c r="FZ5" i="40" s="1"/>
  <c r="BS5" i="40"/>
  <c r="FY5" i="40" s="1"/>
  <c r="CR5" i="40"/>
  <c r="CQ5" i="40"/>
  <c r="AU5" i="40"/>
  <c r="FA5" i="40" s="1"/>
  <c r="AI5" i="49"/>
  <c r="AL5" i="49"/>
  <c r="AK5" i="49"/>
  <c r="AJ5" i="49"/>
  <c r="AH5" i="49"/>
  <c r="AG5" i="49"/>
  <c r="AF5" i="49"/>
  <c r="AC5" i="49"/>
  <c r="AB5" i="49"/>
  <c r="AA5" i="49"/>
  <c r="Y5" i="49"/>
  <c r="X5" i="49"/>
  <c r="W5" i="49"/>
  <c r="S5" i="49"/>
  <c r="R5" i="49"/>
  <c r="L5" i="49"/>
  <c r="FY7" i="32"/>
  <c r="EO7" i="49" s="1"/>
  <c r="FZ7" i="49" s="1"/>
  <c r="GB7" i="32"/>
  <c r="ER7" i="49" s="1"/>
  <c r="GC7" i="49" s="1"/>
  <c r="GA7" i="32"/>
  <c r="EQ7" i="49" s="1"/>
  <c r="GB7" i="49" s="1"/>
  <c r="FZ7" i="32"/>
  <c r="EP7" i="49" s="1"/>
  <c r="GA7" i="49" s="1"/>
  <c r="FX7" i="32"/>
  <c r="EN7" i="49" s="1"/>
  <c r="FY7" i="49" s="1"/>
  <c r="FW7" i="32"/>
  <c r="EM7" i="49" s="1"/>
  <c r="FX7" i="49" s="1"/>
  <c r="FV7" i="32"/>
  <c r="EL7" i="49" s="1"/>
  <c r="FW7" i="49" s="1"/>
  <c r="FS7" i="32"/>
  <c r="EI7" i="49" s="1"/>
  <c r="FT7" i="49" s="1"/>
  <c r="FR7" i="32"/>
  <c r="EH7" i="49" s="1"/>
  <c r="FS7" i="49" s="1"/>
  <c r="FQ7" i="32"/>
  <c r="EG7" i="49" s="1"/>
  <c r="FR7" i="49" s="1"/>
  <c r="FO7" i="32"/>
  <c r="EE7" i="49" s="1"/>
  <c r="FP7" i="49" s="1"/>
  <c r="FN7" i="32"/>
  <c r="ED7" i="49" s="1"/>
  <c r="FO7" i="49" s="1"/>
  <c r="FM7" i="32"/>
  <c r="EC7" i="49" s="1"/>
  <c r="FN7" i="49" s="1"/>
  <c r="FI7" i="32"/>
  <c r="DY7" i="49" s="1"/>
  <c r="FJ7" i="49" s="1"/>
  <c r="FH7" i="32"/>
  <c r="DX7" i="49" s="1"/>
  <c r="FI7" i="49" s="1"/>
  <c r="EO5" i="49"/>
  <c r="FZ5" i="49" s="1"/>
  <c r="ER5" i="49"/>
  <c r="GC5" i="49" s="1"/>
  <c r="EQ5" i="49"/>
  <c r="GB5" i="49" s="1"/>
  <c r="EP5" i="49"/>
  <c r="GA5" i="49" s="1"/>
  <c r="EN5" i="49"/>
  <c r="FY5" i="49" s="1"/>
  <c r="EM5" i="49"/>
  <c r="FX5" i="49" s="1"/>
  <c r="EL5" i="49"/>
  <c r="FW5" i="49" s="1"/>
  <c r="EI5" i="49"/>
  <c r="FT5" i="49" s="1"/>
  <c r="EH5" i="49"/>
  <c r="FS5" i="49" s="1"/>
  <c r="EG5" i="49"/>
  <c r="FR5" i="49" s="1"/>
  <c r="EE5" i="49"/>
  <c r="FP5" i="49" s="1"/>
  <c r="ED5" i="49"/>
  <c r="FO5" i="49" s="1"/>
  <c r="EC5" i="49"/>
  <c r="FN5" i="49" s="1"/>
  <c r="DY5" i="49"/>
  <c r="FJ5" i="49" s="1"/>
  <c r="DX5" i="49"/>
  <c r="FI5" i="49" s="1"/>
  <c r="FB7" i="32"/>
  <c r="DR7" i="49" s="1"/>
  <c r="FC7" i="49" s="1"/>
  <c r="DR5" i="49"/>
  <c r="FC5" i="49" s="1"/>
  <c r="DD5" i="49"/>
  <c r="DC5" i="49"/>
  <c r="DB5" i="49"/>
  <c r="FS36" i="32"/>
  <c r="FR36" i="32"/>
  <c r="CS5" i="49"/>
  <c r="CO5" i="49"/>
  <c r="CN5" i="49"/>
  <c r="BT7" i="32"/>
  <c r="BW7" i="32"/>
  <c r="BW7" i="49" s="1"/>
  <c r="BV7" i="32"/>
  <c r="BV7" i="49" s="1"/>
  <c r="BU7" i="32"/>
  <c r="BU7" i="49" s="1"/>
  <c r="BS7" i="32"/>
  <c r="BS7" i="49" s="1"/>
  <c r="BR7" i="32"/>
  <c r="BR7" i="49" s="1"/>
  <c r="BQ7" i="32"/>
  <c r="BQ7" i="49" s="1"/>
  <c r="BN7" i="32"/>
  <c r="BN7" i="49" s="1"/>
  <c r="BM7" i="32"/>
  <c r="BM7" i="49" s="1"/>
  <c r="BL7" i="32"/>
  <c r="BL7" i="49" s="1"/>
  <c r="BJ7" i="32"/>
  <c r="BJ7" i="49" s="1"/>
  <c r="BD7" i="32"/>
  <c r="BD7" i="49" s="1"/>
  <c r="BC7" i="32"/>
  <c r="BC7" i="49" s="1"/>
  <c r="AW7" i="32"/>
  <c r="AW7" i="49" s="1"/>
  <c r="CS31" i="52" l="1"/>
  <c r="CS27" i="52"/>
  <c r="CS29" i="52"/>
  <c r="CS25" i="52"/>
  <c r="CS26" i="52"/>
  <c r="CS33" i="52"/>
  <c r="CS30" i="52"/>
  <c r="CS28" i="52"/>
  <c r="CS32" i="52"/>
  <c r="CD80" i="52"/>
  <c r="DP80" i="52"/>
  <c r="DR80" i="52" s="1"/>
  <c r="CD87" i="52"/>
  <c r="DA85" i="52"/>
  <c r="CD26" i="52"/>
  <c r="CD54" i="52"/>
  <c r="DM54" i="52" s="1" a="1"/>
  <c r="DM54" i="52" s="1"/>
  <c r="DN54" i="52" s="1"/>
  <c r="DP54" i="52"/>
  <c r="DR54" i="52" s="1"/>
  <c r="CD16" i="52"/>
  <c r="CD11" i="52"/>
  <c r="DA10" i="52"/>
  <c r="CL22" i="52"/>
  <c r="DL21" i="52"/>
  <c r="CO20" i="52"/>
  <c r="CD42" i="52"/>
  <c r="DM42" i="52" s="1" a="1"/>
  <c r="DM42" i="52" s="1"/>
  <c r="DN42" i="52" s="1"/>
  <c r="DP42" i="52"/>
  <c r="DR42" i="52" s="1"/>
  <c r="CE60" i="52"/>
  <c r="DM60" i="52" s="1" a="1"/>
  <c r="DM60" i="52" s="1"/>
  <c r="DN60" i="52" s="1"/>
  <c r="DP60" i="52"/>
  <c r="DR60" i="52" s="1"/>
  <c r="DA87" i="52"/>
  <c r="DP57" i="52"/>
  <c r="DR57" i="52" s="1"/>
  <c r="CD84" i="52"/>
  <c r="CD34" i="52"/>
  <c r="DP34" i="52"/>
  <c r="DR34" i="52" s="1"/>
  <c r="CD21" i="52"/>
  <c r="DP21" i="52"/>
  <c r="DR21" i="52" s="1"/>
  <c r="DP90" i="52"/>
  <c r="DR90" i="52" s="1"/>
  <c r="DL22" i="52"/>
  <c r="CD79" i="52"/>
  <c r="DM79" i="52" s="1" a="1"/>
  <c r="DM79" i="52" s="1"/>
  <c r="DN79" i="52" s="1"/>
  <c r="DP79" i="52"/>
  <c r="DR79" i="52" s="1"/>
  <c r="CD64" i="52"/>
  <c r="DP64" i="52"/>
  <c r="DR64" i="52" s="1"/>
  <c r="CD56" i="52"/>
  <c r="DM56" i="52" s="1" a="1"/>
  <c r="DM56" i="52" s="1"/>
  <c r="DN56" i="52" s="1"/>
  <c r="DP56" i="52"/>
  <c r="DR56" i="52" s="1"/>
  <c r="DP84" i="52"/>
  <c r="DR84" i="52" s="1"/>
  <c r="CD82" i="52"/>
  <c r="DM82" i="52" s="1" a="1"/>
  <c r="DM82" i="52" s="1"/>
  <c r="DN82" i="52" s="1"/>
  <c r="DP82" i="52"/>
  <c r="DR82" i="52" s="1"/>
  <c r="CD15" i="52"/>
  <c r="DA43" i="52"/>
  <c r="DM43" i="52" s="1" a="1"/>
  <c r="DM43" i="52" s="1"/>
  <c r="DN43" i="52" s="1"/>
  <c r="DP43" i="52"/>
  <c r="DR43" i="52" s="1"/>
  <c r="DL23" i="52"/>
  <c r="CD30" i="52"/>
  <c r="CD33" i="52"/>
  <c r="CO13" i="52"/>
  <c r="CD88" i="52"/>
  <c r="CD55" i="52"/>
  <c r="DM55" i="52" s="1" a="1"/>
  <c r="DM55" i="52" s="1"/>
  <c r="DN55" i="52" s="1"/>
  <c r="DP55" i="52"/>
  <c r="DR55" i="52" s="1"/>
  <c r="CD37" i="52"/>
  <c r="DA13" i="52"/>
  <c r="DA12" i="52"/>
  <c r="DA45" i="52"/>
  <c r="DM45" i="52" s="1" a="1"/>
  <c r="DM45" i="52" s="1"/>
  <c r="DN45" i="52" s="1"/>
  <c r="DP45" i="52"/>
  <c r="DR45" i="52" s="1"/>
  <c r="DP15" i="52"/>
  <c r="DR15" i="52" s="1"/>
  <c r="DP91" i="52"/>
  <c r="DR91" i="52" s="1"/>
  <c r="CD77" i="52"/>
  <c r="DM77" i="52" s="1" a="1"/>
  <c r="DM77" i="52" s="1"/>
  <c r="DN77" i="52" s="1"/>
  <c r="DP77" i="52"/>
  <c r="DR77" i="52" s="1"/>
  <c r="DP58" i="52"/>
  <c r="DR58" i="52" s="1"/>
  <c r="CD81" i="52"/>
  <c r="DM81" i="52" s="1" a="1"/>
  <c r="DM81" i="52" s="1"/>
  <c r="DN81" i="52" s="1"/>
  <c r="DP81" i="52"/>
  <c r="DR81" i="52" s="1"/>
  <c r="CD13" i="52"/>
  <c r="CD12" i="52"/>
  <c r="DP96" i="52"/>
  <c r="DR96" i="52" s="1"/>
  <c r="CD68" i="52"/>
  <c r="DM68" i="52" s="1" a="1"/>
  <c r="DM68" i="52" s="1"/>
  <c r="DN68" i="52" s="1"/>
  <c r="DP68" i="52"/>
  <c r="DR68" i="52" s="1"/>
  <c r="DP88" i="52"/>
  <c r="DR88" i="52" s="1"/>
  <c r="CD66" i="52"/>
  <c r="DM66" i="52" s="1" a="1"/>
  <c r="DM66" i="52" s="1"/>
  <c r="DN66" i="52" s="1"/>
  <c r="DP66" i="52"/>
  <c r="DR66" i="52" s="1"/>
  <c r="CD40" i="52"/>
  <c r="DM40" i="52" s="1" a="1"/>
  <c r="DM40" i="52" s="1"/>
  <c r="DN40" i="52" s="1"/>
  <c r="DP40" i="52"/>
  <c r="DR40" i="52" s="1"/>
  <c r="CD39" i="52"/>
  <c r="CD32" i="52"/>
  <c r="CP37" i="52"/>
  <c r="CD36" i="52"/>
  <c r="DM36" i="52" s="1" a="1"/>
  <c r="DM36" i="52" s="1"/>
  <c r="DN36" i="52" s="1"/>
  <c r="DP36" i="52"/>
  <c r="DR36" i="52" s="1"/>
  <c r="CD22" i="52"/>
  <c r="CD20" i="52"/>
  <c r="DP20" i="52"/>
  <c r="DR20" i="52" s="1"/>
  <c r="DA44" i="52"/>
  <c r="DM44" i="52" s="1" a="1"/>
  <c r="DM44" i="52" s="1"/>
  <c r="DN44" i="52" s="1"/>
  <c r="DP44" i="52"/>
  <c r="DR44" i="52" s="1"/>
  <c r="DP92" i="52"/>
  <c r="DR92" i="52" s="1"/>
  <c r="CD78" i="52"/>
  <c r="DM78" i="52" s="1" a="1"/>
  <c r="DM78" i="52" s="1"/>
  <c r="DN78" i="52" s="1"/>
  <c r="DP78" i="52"/>
  <c r="DR78" i="52" s="1"/>
  <c r="DP39" i="52"/>
  <c r="DR39" i="52" s="1"/>
  <c r="CD35" i="52"/>
  <c r="DM35" i="52" s="1" a="1"/>
  <c r="DM35" i="52" s="1"/>
  <c r="DN35" i="52" s="1"/>
  <c r="DP35" i="52"/>
  <c r="DR35" i="52" s="1"/>
  <c r="DL16" i="52"/>
  <c r="DP98" i="52"/>
  <c r="DR98" i="52" s="1"/>
  <c r="DP93" i="52"/>
  <c r="DR93" i="52" s="1"/>
  <c r="CD28" i="52"/>
  <c r="CD38" i="52"/>
  <c r="CD25" i="52"/>
  <c r="CO12" i="52"/>
  <c r="CD10" i="52"/>
  <c r="DP95" i="52"/>
  <c r="DR95" i="52" s="1"/>
  <c r="DP94" i="52"/>
  <c r="DR94" i="52" s="1"/>
  <c r="CD63" i="52"/>
  <c r="DM63" i="52" s="1" a="1"/>
  <c r="DM63" i="52" s="1"/>
  <c r="DN63" i="52" s="1"/>
  <c r="DP63" i="52"/>
  <c r="DR63" i="52" s="1"/>
  <c r="CD31" i="52"/>
  <c r="CD41" i="52"/>
  <c r="DM41" i="52" s="1" a="1"/>
  <c r="DM41" i="52" s="1"/>
  <c r="DN41" i="52" s="1"/>
  <c r="DP41" i="52"/>
  <c r="DR41" i="52" s="1"/>
  <c r="CD86" i="52"/>
  <c r="CD83" i="52"/>
  <c r="CO18" i="52"/>
  <c r="CO17" i="52"/>
  <c r="CD23" i="52"/>
  <c r="CK19" i="52"/>
  <c r="DA86" i="52"/>
  <c r="CD27" i="52"/>
  <c r="DP83" i="52"/>
  <c r="DR83" i="52" s="1"/>
  <c r="CO19" i="52"/>
  <c r="DP97" i="52"/>
  <c r="DR97" i="52" s="1"/>
  <c r="CD67" i="52"/>
  <c r="DM67" i="52" s="1" a="1"/>
  <c r="DM67" i="52" s="1"/>
  <c r="DN67" i="52" s="1"/>
  <c r="DP67" i="52"/>
  <c r="DR67" i="52" s="1"/>
  <c r="CE62" i="52"/>
  <c r="DM62" i="52" s="1" a="1"/>
  <c r="DM62" i="52" s="1"/>
  <c r="DN62" i="52" s="1"/>
  <c r="DP62" i="52"/>
  <c r="DR62" i="52" s="1"/>
  <c r="CE61" i="52"/>
  <c r="DM61" i="52" s="1" a="1"/>
  <c r="DM61" i="52" s="1"/>
  <c r="DN61" i="52" s="1"/>
  <c r="DP61" i="52"/>
  <c r="DR61" i="52" s="1"/>
  <c r="DP59" i="52"/>
  <c r="DR59" i="52" s="1"/>
  <c r="CD29" i="52"/>
  <c r="CD85" i="52"/>
  <c r="DP85" i="52"/>
  <c r="DR85" i="52" s="1"/>
  <c r="CP38" i="52"/>
  <c r="CD65" i="52"/>
  <c r="DM65" i="52" s="1" a="1"/>
  <c r="DM65" i="52" s="1"/>
  <c r="DN65" i="52" s="1"/>
  <c r="DP65" i="52"/>
  <c r="DR65" i="52" s="1"/>
  <c r="CD18" i="52"/>
  <c r="CD17" i="52"/>
  <c r="DA11" i="52"/>
  <c r="CO10" i="52"/>
  <c r="DP14" i="52"/>
  <c r="DR14" i="52" s="1"/>
  <c r="DM80" i="52" a="1"/>
  <c r="DM80" i="52" s="1"/>
  <c r="DN80" i="52" s="1"/>
  <c r="DM34" i="52" a="1"/>
  <c r="DM34" i="52" s="1"/>
  <c r="DN34" i="52" s="1"/>
  <c r="DM64" i="52" a="1"/>
  <c r="DM64" i="52" s="1"/>
  <c r="DN64" i="52" s="1"/>
  <c r="FA17" i="40"/>
  <c r="FA18" i="40"/>
  <c r="FA11" i="40"/>
  <c r="FH222" i="49"/>
  <c r="GF222" i="49"/>
  <c r="DB5" i="40"/>
  <c r="BQ5" i="40"/>
  <c r="FW5" i="40" s="1"/>
  <c r="CM5" i="40"/>
  <c r="BB5" i="40"/>
  <c r="FH5" i="40" s="1"/>
  <c r="CL5" i="40"/>
  <c r="BA5" i="40"/>
  <c r="FG5" i="40" s="1"/>
  <c r="CU5" i="40"/>
  <c r="BJ5" i="40"/>
  <c r="FP5" i="40" s="1"/>
  <c r="CV5" i="40"/>
  <c r="BK5" i="40"/>
  <c r="FQ5" i="40" s="1"/>
  <c r="CW5" i="40"/>
  <c r="BL5" i="40"/>
  <c r="FR5" i="40" s="1"/>
  <c r="CS5" i="40"/>
  <c r="BH5" i="40"/>
  <c r="FN5" i="40" s="1"/>
  <c r="EJ5" i="40"/>
  <c r="BO5" i="40"/>
  <c r="FU5" i="40" s="1"/>
  <c r="EK5" i="40"/>
  <c r="BP5" i="40"/>
  <c r="FV5" i="40" s="1"/>
  <c r="FA10" i="40"/>
  <c r="EM47" i="40"/>
  <c r="EM51" i="40"/>
  <c r="EM52" i="40"/>
  <c r="EM49" i="40"/>
  <c r="EM48" i="40"/>
  <c r="EM50" i="40"/>
  <c r="FA20" i="40"/>
  <c r="FA13" i="40"/>
  <c r="EM74" i="40"/>
  <c r="EM73" i="40"/>
  <c r="EM75" i="40"/>
  <c r="DP75" i="40"/>
  <c r="DP73" i="40"/>
  <c r="DP74" i="40"/>
  <c r="FA12" i="40"/>
  <c r="FA30" i="40"/>
  <c r="FX33" i="40"/>
  <c r="FX32" i="40"/>
  <c r="FA63" i="40"/>
  <c r="FX95" i="40"/>
  <c r="GJ95" i="40" s="1"/>
  <c r="FX42" i="40"/>
  <c r="FX30" i="40"/>
  <c r="FA41" i="40"/>
  <c r="FX63" i="40"/>
  <c r="FA54" i="40"/>
  <c r="FX65" i="40"/>
  <c r="FX94" i="40"/>
  <c r="GJ94" i="40" s="1"/>
  <c r="FX41" i="40"/>
  <c r="FA68" i="40"/>
  <c r="FX37" i="40"/>
  <c r="GC62" i="32"/>
  <c r="FA77" i="40"/>
  <c r="FX45" i="40"/>
  <c r="GJ45" i="40" s="1"/>
  <c r="FA33" i="40"/>
  <c r="FX64" i="40"/>
  <c r="FX12" i="40"/>
  <c r="FX11" i="40"/>
  <c r="FA40" i="40"/>
  <c r="FA32" i="40"/>
  <c r="FA37" i="40"/>
  <c r="FA35" i="40"/>
  <c r="FA34" i="40"/>
  <c r="FA64" i="40"/>
  <c r="FA80" i="40"/>
  <c r="FX88" i="40"/>
  <c r="FA29" i="40"/>
  <c r="FX93" i="40"/>
  <c r="GJ93" i="40" s="1"/>
  <c r="FX40" i="40"/>
  <c r="FX10" i="40"/>
  <c r="FA39" i="40"/>
  <c r="FX20" i="40"/>
  <c r="DW127" i="49"/>
  <c r="FA42" i="40"/>
  <c r="GC60" i="32"/>
  <c r="FC62" i="32"/>
  <c r="FA36" i="40"/>
  <c r="FA67" i="40"/>
  <c r="FA78" i="40"/>
  <c r="FX17" i="40"/>
  <c r="FA81" i="40"/>
  <c r="GC80" i="32"/>
  <c r="FA88" i="40"/>
  <c r="FX87" i="40"/>
  <c r="FX29" i="40"/>
  <c r="FA28" i="40"/>
  <c r="FX39" i="40"/>
  <c r="FX90" i="40"/>
  <c r="GJ90" i="40" s="1"/>
  <c r="FX43" i="40"/>
  <c r="GJ43" i="40" s="1"/>
  <c r="FX59" i="40"/>
  <c r="FA87" i="40"/>
  <c r="FX28" i="40"/>
  <c r="FX92" i="40"/>
  <c r="GJ92" i="40" s="1"/>
  <c r="FX91" i="40"/>
  <c r="GJ91" i="40" s="1"/>
  <c r="FX25" i="40"/>
  <c r="FX67" i="40"/>
  <c r="FA66" i="40"/>
  <c r="FC59" i="32"/>
  <c r="FA55" i="40"/>
  <c r="FC58" i="32"/>
  <c r="FX86" i="40"/>
  <c r="FZ56" i="32"/>
  <c r="FA83" i="40"/>
  <c r="FA25" i="40"/>
  <c r="GC81" i="32"/>
  <c r="FA26" i="40"/>
  <c r="FA86" i="40"/>
  <c r="FA27" i="40"/>
  <c r="FX38" i="40"/>
  <c r="FX83" i="40"/>
  <c r="GC61" i="32"/>
  <c r="FX66" i="40"/>
  <c r="GC82" i="32"/>
  <c r="FX44" i="40"/>
  <c r="GJ44" i="40" s="1"/>
  <c r="FA31" i="40"/>
  <c r="FX26" i="40"/>
  <c r="FX58" i="40"/>
  <c r="FX57" i="40"/>
  <c r="FX85" i="40"/>
  <c r="FX27" i="40"/>
  <c r="FX84" i="40"/>
  <c r="FA65" i="40"/>
  <c r="FA79" i="40"/>
  <c r="FX18" i="40"/>
  <c r="FA82" i="40"/>
  <c r="FX31" i="40"/>
  <c r="FC57" i="32"/>
  <c r="FA85" i="40"/>
  <c r="FA84" i="40"/>
  <c r="FX13" i="40"/>
  <c r="FX68" i="40"/>
  <c r="FA56" i="40"/>
  <c r="FA38" i="40"/>
  <c r="FB67" i="32"/>
  <c r="DS130" i="49"/>
  <c r="ET183" i="49"/>
  <c r="EU137" i="49"/>
  <c r="DT127" i="49"/>
  <c r="EF222" i="49"/>
  <c r="ES180" i="49"/>
  <c r="EU134" i="49"/>
  <c r="DU130" i="49"/>
  <c r="DU127" i="49"/>
  <c r="DV130" i="49"/>
  <c r="EU180" i="49"/>
  <c r="ES137" i="49"/>
  <c r="ET137" i="49"/>
  <c r="EU183" i="49"/>
  <c r="GE222" i="49" s="1"/>
  <c r="ES134" i="49"/>
  <c r="DV127" i="49"/>
  <c r="ET180" i="49"/>
  <c r="ET134" i="49"/>
  <c r="EX21" i="32"/>
  <c r="ES183" i="49"/>
  <c r="EX35" i="32"/>
  <c r="EX15" i="32"/>
  <c r="FY96" i="32"/>
  <c r="GK96" i="32" s="1"/>
  <c r="DS135" i="49"/>
  <c r="DU138" i="49"/>
  <c r="EY22" i="32"/>
  <c r="DW138" i="49"/>
  <c r="DT130" i="49"/>
  <c r="DW134" i="49"/>
  <c r="EX16" i="32"/>
  <c r="EX22" i="32"/>
  <c r="EX34" i="32"/>
  <c r="DW133" i="49"/>
  <c r="DU132" i="49"/>
  <c r="DU135" i="49"/>
  <c r="DU131" i="49"/>
  <c r="DS127" i="49"/>
  <c r="DV134" i="49"/>
  <c r="DS126" i="49"/>
  <c r="DU133" i="49"/>
  <c r="DJ225" i="49"/>
  <c r="DV132" i="49"/>
  <c r="DW137" i="49"/>
  <c r="DS125" i="49"/>
  <c r="DT135" i="49"/>
  <c r="DI225" i="49"/>
  <c r="DT125" i="49"/>
  <c r="DT128" i="49"/>
  <c r="DS131" i="49"/>
  <c r="DK225" i="49"/>
  <c r="DS132" i="49"/>
  <c r="DT132" i="49"/>
  <c r="DT138" i="49"/>
  <c r="FX77" i="40"/>
  <c r="EI35" i="32"/>
  <c r="FX14" i="40"/>
  <c r="DV137" i="49"/>
  <c r="DS134" i="49"/>
  <c r="DT134" i="49"/>
  <c r="DU134" i="49"/>
  <c r="DU125" i="49"/>
  <c r="DV138" i="49"/>
  <c r="DW125" i="49"/>
  <c r="DW135" i="49"/>
  <c r="DV135" i="49"/>
  <c r="DW132" i="49"/>
  <c r="FA59" i="40"/>
  <c r="DT131" i="49"/>
  <c r="DW128" i="49"/>
  <c r="DW131" i="49"/>
  <c r="DS136" i="49"/>
  <c r="DS138" i="49"/>
  <c r="DV125" i="49"/>
  <c r="DS137" i="49"/>
  <c r="DW130" i="49"/>
  <c r="DT137" i="49"/>
  <c r="DU137" i="49"/>
  <c r="DS128" i="49"/>
  <c r="DV128" i="49"/>
  <c r="FB19" i="32"/>
  <c r="FA19" i="40"/>
  <c r="FA58" i="40"/>
  <c r="FB22" i="32"/>
  <c r="FA22" i="40"/>
  <c r="FB16" i="32"/>
  <c r="FA16" i="40"/>
  <c r="FX61" i="40"/>
  <c r="FC61" i="32"/>
  <c r="FA61" i="40"/>
  <c r="FB23" i="32"/>
  <c r="FA23" i="40"/>
  <c r="FB21" i="32"/>
  <c r="FA21" i="40"/>
  <c r="DP68" i="40"/>
  <c r="DP70" i="40"/>
  <c r="DP69" i="40"/>
  <c r="DP71" i="40"/>
  <c r="EM64" i="40"/>
  <c r="EM70" i="40"/>
  <c r="EM69" i="40"/>
  <c r="EM66" i="40"/>
  <c r="EM71" i="40"/>
  <c r="FB14" i="32"/>
  <c r="FA14" i="40"/>
  <c r="FA62" i="40"/>
  <c r="FB15" i="32"/>
  <c r="FA15" i="40"/>
  <c r="FC60" i="32"/>
  <c r="FA60" i="40"/>
  <c r="FA57" i="40"/>
  <c r="FX54" i="40"/>
  <c r="FX79" i="40"/>
  <c r="GI16" i="32"/>
  <c r="FX16" i="40"/>
  <c r="GI34" i="32"/>
  <c r="FX34" i="40"/>
  <c r="GI22" i="32"/>
  <c r="FX22" i="40"/>
  <c r="FX56" i="40"/>
  <c r="FX62" i="40"/>
  <c r="FX80" i="40"/>
  <c r="GI35" i="32"/>
  <c r="FX35" i="40"/>
  <c r="FX82" i="40"/>
  <c r="GI15" i="32"/>
  <c r="FX15" i="40"/>
  <c r="FX81" i="40"/>
  <c r="GI21" i="32"/>
  <c r="FX21" i="40"/>
  <c r="FX60" i="40"/>
  <c r="GI36" i="32"/>
  <c r="FX36" i="40"/>
  <c r="GI23" i="32"/>
  <c r="FX23" i="40"/>
  <c r="FX78" i="40"/>
  <c r="FX55" i="40"/>
  <c r="FY19" i="32"/>
  <c r="FX19" i="40"/>
  <c r="FU34" i="32"/>
  <c r="FU100" i="32" s="1"/>
  <c r="EJ36" i="32"/>
  <c r="DE100" i="32"/>
  <c r="FT34" i="32"/>
  <c r="FT100" i="32" s="1"/>
  <c r="DI100" i="32"/>
  <c r="DJ100" i="32"/>
  <c r="DN100" i="32"/>
  <c r="DH100" i="32"/>
  <c r="DD100" i="32"/>
  <c r="DF100" i="32"/>
  <c r="DG100" i="32"/>
  <c r="DO100" i="32"/>
  <c r="EY16" i="32"/>
  <c r="EY14" i="32"/>
  <c r="DY23" i="32"/>
  <c r="FP23" i="32"/>
  <c r="EY35" i="32"/>
  <c r="EY15" i="32"/>
  <c r="EX14" i="32"/>
  <c r="EX23" i="32"/>
  <c r="DY21" i="32"/>
  <c r="EY36" i="32"/>
  <c r="DY15" i="32"/>
  <c r="FP15" i="32"/>
  <c r="DY14" i="32"/>
  <c r="EY23" i="32"/>
  <c r="EY21" i="32"/>
  <c r="EX36" i="32"/>
  <c r="EJ35" i="32"/>
  <c r="FJ14" i="32"/>
  <c r="FJ100" i="32" s="1"/>
  <c r="GI14" i="32"/>
  <c r="EI36" i="32"/>
  <c r="FF100" i="32"/>
  <c r="EY34" i="32"/>
  <c r="GJ14" i="32"/>
  <c r="GJ100" i="32" s="1"/>
  <c r="FE100" i="32"/>
  <c r="DY22" i="32"/>
  <c r="FP22" i="32"/>
  <c r="EJ34" i="32"/>
  <c r="EI34" i="32"/>
  <c r="DY16" i="32"/>
  <c r="FP16" i="32"/>
  <c r="FD100" i="32"/>
  <c r="FG100" i="32"/>
  <c r="ET61" i="32"/>
  <c r="DR62" i="32"/>
  <c r="DU59" i="32"/>
  <c r="ET81" i="32"/>
  <c r="ES60" i="32"/>
  <c r="DS58" i="32"/>
  <c r="DU57" i="32"/>
  <c r="EO56" i="32"/>
  <c r="ES82" i="32"/>
  <c r="DW16" i="32"/>
  <c r="DQ15" i="32"/>
  <c r="DR58" i="32"/>
  <c r="EP56" i="32"/>
  <c r="ET82" i="32"/>
  <c r="DX16" i="32"/>
  <c r="DW15" i="32"/>
  <c r="DW14" i="32"/>
  <c r="DS62" i="32"/>
  <c r="DQ67" i="32"/>
  <c r="DV58" i="32"/>
  <c r="ER81" i="32"/>
  <c r="EG36" i="32"/>
  <c r="EB16" i="32"/>
  <c r="DX15" i="32"/>
  <c r="DQ23" i="32"/>
  <c r="DX14" i="32"/>
  <c r="DU62" i="32"/>
  <c r="DV59" i="32"/>
  <c r="DT58" i="32"/>
  <c r="ES81" i="32"/>
  <c r="EC39" i="32"/>
  <c r="EH36" i="32"/>
  <c r="EB15" i="32"/>
  <c r="DW23" i="32"/>
  <c r="DQ14" i="32"/>
  <c r="ED39" i="32"/>
  <c r="DX23" i="32"/>
  <c r="EB14" i="32"/>
  <c r="DT62" i="32"/>
  <c r="DV61" i="32"/>
  <c r="DS59" i="32"/>
  <c r="DT60" i="32"/>
  <c r="EB23" i="32"/>
  <c r="DV62" i="32"/>
  <c r="DT61" i="32"/>
  <c r="DT59" i="32"/>
  <c r="DU60" i="32"/>
  <c r="EN96" i="32"/>
  <c r="EZ96" i="32" s="1"/>
  <c r="DX21" i="32"/>
  <c r="DW19" i="32"/>
  <c r="ER62" i="32"/>
  <c r="DR61" i="32"/>
  <c r="DR59" i="32"/>
  <c r="DS60" i="32"/>
  <c r="EB21" i="32"/>
  <c r="EN19" i="32"/>
  <c r="ES62" i="32"/>
  <c r="DU61" i="32"/>
  <c r="DV60" i="32"/>
  <c r="EF29" i="32"/>
  <c r="DT57" i="32"/>
  <c r="DQ22" i="32"/>
  <c r="DX19" i="32"/>
  <c r="ET62" i="32"/>
  <c r="DS61" i="32"/>
  <c r="ER80" i="32"/>
  <c r="DR60" i="32"/>
  <c r="DR57" i="32"/>
  <c r="DW22" i="32"/>
  <c r="DQ21" i="32"/>
  <c r="EB19" i="32"/>
  <c r="ER61" i="32"/>
  <c r="ES80" i="32"/>
  <c r="ET60" i="32"/>
  <c r="DV57" i="32"/>
  <c r="DX22" i="32"/>
  <c r="DW21" i="32"/>
  <c r="DQ19" i="32"/>
  <c r="ES61" i="32"/>
  <c r="ET80" i="32"/>
  <c r="ER60" i="32"/>
  <c r="DU58" i="32"/>
  <c r="DS57" i="32"/>
  <c r="EQ56" i="32"/>
  <c r="ER82" i="32"/>
  <c r="DQ16" i="32"/>
  <c r="EB22" i="32"/>
  <c r="EN38" i="32"/>
  <c r="FB35" i="32"/>
  <c r="FQ32" i="32"/>
  <c r="FQ28" i="32"/>
  <c r="DQ20" i="32"/>
  <c r="FI17" i="32"/>
  <c r="FM11" i="32"/>
  <c r="EN41" i="32"/>
  <c r="FB87" i="32"/>
  <c r="FZ54" i="32"/>
  <c r="FY83" i="32"/>
  <c r="FB38" i="32"/>
  <c r="FR35" i="32"/>
  <c r="DQ32" i="32"/>
  <c r="FB28" i="32"/>
  <c r="FH20" i="32"/>
  <c r="DQ17" i="32"/>
  <c r="FI11" i="32"/>
  <c r="FR64" i="32"/>
  <c r="EN57" i="32"/>
  <c r="FR87" i="32"/>
  <c r="GB54" i="32"/>
  <c r="GA79" i="32"/>
  <c r="FN38" i="32"/>
  <c r="EN27" i="32"/>
  <c r="FI20" i="32"/>
  <c r="EN11" i="32"/>
  <c r="FB64" i="32"/>
  <c r="FY87" i="32"/>
  <c r="GA54" i="32"/>
  <c r="FZ79" i="32"/>
  <c r="FO38" i="32"/>
  <c r="FS35" i="32"/>
  <c r="FQ31" i="32"/>
  <c r="FB27" i="32"/>
  <c r="FM20" i="32"/>
  <c r="FM13" i="32"/>
  <c r="FH11" i="32"/>
  <c r="FY64" i="32"/>
  <c r="DQ40" i="32"/>
  <c r="FZ55" i="32"/>
  <c r="FB68" i="32"/>
  <c r="GB79" i="32"/>
  <c r="GA78" i="32"/>
  <c r="EN37" i="32"/>
  <c r="FR34" i="32"/>
  <c r="DQ31" i="32"/>
  <c r="FQ27" i="32"/>
  <c r="FH18" i="32"/>
  <c r="GA55" i="32"/>
  <c r="FY68" i="32"/>
  <c r="FB79" i="32"/>
  <c r="FZ78" i="32"/>
  <c r="FN37" i="32"/>
  <c r="FS34" i="32"/>
  <c r="FY30" i="32"/>
  <c r="FQ26" i="32"/>
  <c r="FI18" i="32"/>
  <c r="FH13" i="32"/>
  <c r="FH10" i="32"/>
  <c r="FB88" i="32"/>
  <c r="FB55" i="32"/>
  <c r="FR68" i="32"/>
  <c r="GB78" i="32"/>
  <c r="GA77" i="32"/>
  <c r="FO37" i="32"/>
  <c r="FB34" i="32"/>
  <c r="FQ30" i="32"/>
  <c r="EN26" i="32"/>
  <c r="FY18" i="32"/>
  <c r="FI13" i="32"/>
  <c r="FI10" i="32"/>
  <c r="GB55" i="32"/>
  <c r="FB85" i="32"/>
  <c r="FR67" i="32"/>
  <c r="FB78" i="32"/>
  <c r="GB77" i="32"/>
  <c r="FB37" i="32"/>
  <c r="FB30" i="32"/>
  <c r="FB26" i="32"/>
  <c r="FM18" i="32"/>
  <c r="FB12" i="32"/>
  <c r="FM10" i="32"/>
  <c r="EN58" i="32"/>
  <c r="FR88" i="32"/>
  <c r="FB86" i="32"/>
  <c r="FR85" i="32"/>
  <c r="FY67" i="32"/>
  <c r="FR66" i="32"/>
  <c r="FB36" i="32"/>
  <c r="EN33" i="32"/>
  <c r="FY29" i="32"/>
  <c r="FQ25" i="32"/>
  <c r="DQ18" i="32"/>
  <c r="FH12" i="32"/>
  <c r="FB10" i="32"/>
  <c r="FY86" i="32"/>
  <c r="FY85" i="32"/>
  <c r="FB84" i="32"/>
  <c r="FB66" i="32"/>
  <c r="FZ77" i="32"/>
  <c r="FB39" i="32"/>
  <c r="FQ33" i="32"/>
  <c r="FB25" i="32"/>
  <c r="EN17" i="32"/>
  <c r="FI12" i="32"/>
  <c r="FY10" i="32"/>
  <c r="FR86" i="32"/>
  <c r="FR84" i="32"/>
  <c r="FY66" i="32"/>
  <c r="FY65" i="32"/>
  <c r="FY39" i="32"/>
  <c r="FB33" i="32"/>
  <c r="FB29" i="32"/>
  <c r="FH17" i="32"/>
  <c r="FM12" i="32"/>
  <c r="FR63" i="32"/>
  <c r="FB56" i="32"/>
  <c r="FY84" i="32"/>
  <c r="FR83" i="32"/>
  <c r="FR65" i="32"/>
  <c r="FY32" i="32"/>
  <c r="FY28" i="32"/>
  <c r="FY20" i="32"/>
  <c r="FM17" i="32"/>
  <c r="EN12" i="32"/>
  <c r="DQ63" i="32"/>
  <c r="FB41" i="32"/>
  <c r="FB54" i="32"/>
  <c r="FB82" i="32"/>
  <c r="DQ81" i="32"/>
  <c r="FB83" i="32"/>
  <c r="FB65" i="32"/>
  <c r="EM5" i="40"/>
  <c r="DC5" i="40"/>
  <c r="DD5" i="40"/>
  <c r="DF5" i="40"/>
  <c r="CF5" i="40"/>
  <c r="DE5" i="40"/>
  <c r="CT5" i="49"/>
  <c r="DG5" i="49"/>
  <c r="CU5" i="49"/>
  <c r="DH5" i="49"/>
  <c r="CW5" i="49"/>
  <c r="CX5" i="49"/>
  <c r="CY5" i="49"/>
  <c r="DE5" i="49"/>
  <c r="CH5" i="49"/>
  <c r="DF5" i="49"/>
  <c r="CZ5" i="40"/>
  <c r="DA5" i="40"/>
  <c r="DV5" i="40"/>
  <c r="DW5" i="40"/>
  <c r="EA5" i="40"/>
  <c r="EB5" i="40"/>
  <c r="EL5" i="40"/>
  <c r="EC5" i="40"/>
  <c r="EN5" i="40"/>
  <c r="EE5" i="40"/>
  <c r="EO5" i="40"/>
  <c r="EF5" i="40"/>
  <c r="EP5" i="40"/>
  <c r="EG5" i="40"/>
  <c r="DP5" i="40"/>
  <c r="EM29" i="40" l="1"/>
  <c r="DP11" i="40"/>
  <c r="EM32" i="40"/>
  <c r="GJ58" i="40"/>
  <c r="DP17" i="52"/>
  <c r="DR17" i="52" s="1"/>
  <c r="DM16" i="52" a="1"/>
  <c r="DM16" i="52" s="1"/>
  <c r="DN16" i="52" s="1"/>
  <c r="DP23" i="52"/>
  <c r="DR23" i="52" s="1"/>
  <c r="DP30" i="40"/>
  <c r="DP17" i="40"/>
  <c r="EM30" i="40"/>
  <c r="EM84" i="40"/>
  <c r="EM43" i="40"/>
  <c r="EM25" i="40"/>
  <c r="DP56" i="40"/>
  <c r="GJ17" i="40"/>
  <c r="EF49" i="32"/>
  <c r="EZ49" i="32" s="1"/>
  <c r="F71" i="38" s="1"/>
  <c r="FQ49" i="32"/>
  <c r="EB32" i="32"/>
  <c r="EB28" i="32"/>
  <c r="EB26" i="32"/>
  <c r="EB30" i="32"/>
  <c r="EB25" i="32"/>
  <c r="EF50" i="32"/>
  <c r="EZ50" i="32" s="1"/>
  <c r="F72" i="38" s="1"/>
  <c r="FQ50" i="32"/>
  <c r="EB29" i="32"/>
  <c r="EF47" i="32"/>
  <c r="EZ47" i="32" s="1"/>
  <c r="F69" i="38" s="1"/>
  <c r="FQ47" i="32"/>
  <c r="EF51" i="32"/>
  <c r="EZ51" i="32" s="1"/>
  <c r="F73" i="38" s="1"/>
  <c r="FQ51" i="32"/>
  <c r="EB27" i="32"/>
  <c r="EF48" i="32"/>
  <c r="EZ48" i="32" s="1"/>
  <c r="F70" i="38" s="1"/>
  <c r="FQ48" i="32"/>
  <c r="EF52" i="32"/>
  <c r="EZ52" i="32" s="1"/>
  <c r="F74" i="38" s="1"/>
  <c r="FQ52" i="32"/>
  <c r="EB33" i="32"/>
  <c r="EB31" i="32"/>
  <c r="DP28" i="40"/>
  <c r="DP10" i="40"/>
  <c r="DM18" i="52" a="1"/>
  <c r="DM18" i="52" s="1"/>
  <c r="DN18" i="52" s="1"/>
  <c r="DM12" i="52" a="1"/>
  <c r="DM12" i="52" s="1"/>
  <c r="DN12" i="52" s="1"/>
  <c r="DP38" i="52"/>
  <c r="DR38" i="52" s="1"/>
  <c r="DP65" i="40"/>
  <c r="EM59" i="40"/>
  <c r="DP22" i="52"/>
  <c r="DR22" i="52" s="1"/>
  <c r="DM87" i="52" a="1"/>
  <c r="DM87" i="52" s="1"/>
  <c r="DN87" i="52" s="1"/>
  <c r="DP18" i="52"/>
  <c r="DR18" i="52" s="1"/>
  <c r="DP16" i="40"/>
  <c r="EM27" i="40"/>
  <c r="DP36" i="40"/>
  <c r="EM91" i="40"/>
  <c r="EM83" i="40"/>
  <c r="EM42" i="40"/>
  <c r="EM95" i="40"/>
  <c r="EM90" i="40"/>
  <c r="DP77" i="40"/>
  <c r="DP20" i="40"/>
  <c r="EM58" i="40"/>
  <c r="DP82" i="40"/>
  <c r="EM68" i="40"/>
  <c r="EM65" i="40"/>
  <c r="DP64" i="40"/>
  <c r="EM10" i="40"/>
  <c r="DM22" i="52" a="1"/>
  <c r="DM22" i="52" s="1"/>
  <c r="DN22" i="52" s="1"/>
  <c r="DP11" i="52"/>
  <c r="DR11" i="52" s="1"/>
  <c r="DM10" i="52" a="1"/>
  <c r="DM10" i="52" s="1"/>
  <c r="DN10" i="52" s="1"/>
  <c r="DM13" i="52" a="1"/>
  <c r="DM13" i="52" s="1"/>
  <c r="DN13" i="52" s="1"/>
  <c r="DM17" i="52" a="1"/>
  <c r="DM17" i="52" s="1"/>
  <c r="DN17" i="52" s="1"/>
  <c r="DM23" i="52" a="1"/>
  <c r="DM23" i="52" s="1"/>
  <c r="DN23" i="52" s="1"/>
  <c r="DM85" i="52" a="1"/>
  <c r="DM85" i="52" s="1"/>
  <c r="DN85" i="52" s="1"/>
  <c r="DM37" i="52" a="1"/>
  <c r="DM37" i="52" s="1"/>
  <c r="DN37" i="52" s="1"/>
  <c r="DM20" i="52" a="1"/>
  <c r="DM20" i="52" s="1"/>
  <c r="DN20" i="52" s="1"/>
  <c r="DM38" i="52" a="1"/>
  <c r="DM38" i="52" s="1"/>
  <c r="DN38" i="52" s="1"/>
  <c r="DM21" i="52" a="1"/>
  <c r="DM21" i="52" s="1"/>
  <c r="DN21" i="52" s="1"/>
  <c r="DM86" i="52" a="1"/>
  <c r="DM86" i="52" s="1"/>
  <c r="DN86" i="52" s="1"/>
  <c r="DP16" i="52"/>
  <c r="DR16" i="52" s="1"/>
  <c r="CP39" i="52"/>
  <c r="DM39" i="52" s="1" a="1"/>
  <c r="DM39" i="52" s="1"/>
  <c r="DN39" i="52" s="1"/>
  <c r="DA88" i="52"/>
  <c r="DM88" i="52" s="1" a="1"/>
  <c r="DM88" i="52" s="1"/>
  <c r="DN88" i="52" s="1"/>
  <c r="CE58" i="52"/>
  <c r="DM58" i="52" s="1" a="1"/>
  <c r="DM58" i="52" s="1"/>
  <c r="DN58" i="52" s="1"/>
  <c r="DA84" i="52"/>
  <c r="DM84" i="52" s="1" a="1"/>
  <c r="DM84" i="52" s="1"/>
  <c r="DN84" i="52" s="1"/>
  <c r="DP37" i="52"/>
  <c r="DR37" i="52" s="1"/>
  <c r="CE59" i="52"/>
  <c r="DM59" i="52" s="1" a="1"/>
  <c r="DM59" i="52" s="1"/>
  <c r="DN59" i="52" s="1"/>
  <c r="DA83" i="52"/>
  <c r="DM83" i="52" s="1" a="1"/>
  <c r="DM83" i="52" s="1"/>
  <c r="DN83" i="52" s="1"/>
  <c r="DA94" i="52"/>
  <c r="DM94" i="52" s="1" a="1"/>
  <c r="DM94" i="52" s="1"/>
  <c r="DN94" i="52" s="1"/>
  <c r="DA95" i="52"/>
  <c r="DM95" i="52" s="1" a="1"/>
  <c r="DM95" i="52" s="1"/>
  <c r="DN95" i="52" s="1"/>
  <c r="DA93" i="52"/>
  <c r="DM93" i="52" s="1" a="1"/>
  <c r="DM93" i="52" s="1"/>
  <c r="DN93" i="52" s="1"/>
  <c r="DA92" i="52"/>
  <c r="DM92" i="52" s="1" a="1"/>
  <c r="DM92" i="52" s="1"/>
  <c r="DN92" i="52" s="1"/>
  <c r="DA96" i="52"/>
  <c r="DM96" i="52" s="1" a="1"/>
  <c r="DM96" i="52" s="1"/>
  <c r="DN96" i="52" s="1"/>
  <c r="DA91" i="52"/>
  <c r="DM91" i="52" s="1" a="1"/>
  <c r="DM91" i="52" s="1"/>
  <c r="DN91" i="52" s="1"/>
  <c r="DP86" i="52"/>
  <c r="DR86" i="52" s="1"/>
  <c r="DP10" i="52"/>
  <c r="DR10" i="52" s="1"/>
  <c r="DP12" i="52"/>
  <c r="DR12" i="52" s="1"/>
  <c r="DL14" i="52"/>
  <c r="DM14" i="52" s="1" a="1"/>
  <c r="DM14" i="52" s="1"/>
  <c r="DN14" i="52" s="1"/>
  <c r="DA98" i="52"/>
  <c r="DM98" i="52" s="1" a="1"/>
  <c r="DM98" i="52" s="1"/>
  <c r="DN98" i="52" s="1"/>
  <c r="DL15" i="52"/>
  <c r="DM15" i="52" s="1" a="1"/>
  <c r="DM15" i="52" s="1"/>
  <c r="DN15" i="52" s="1"/>
  <c r="CE57" i="52"/>
  <c r="DM57" i="52" s="1" a="1"/>
  <c r="DM57" i="52" s="1"/>
  <c r="DN57" i="52" s="1"/>
  <c r="DP19" i="52"/>
  <c r="DR19" i="52" s="1"/>
  <c r="DP13" i="52"/>
  <c r="DR13" i="52" s="1"/>
  <c r="DP87" i="52"/>
  <c r="DR87" i="52" s="1"/>
  <c r="CD19" i="52"/>
  <c r="DM19" i="52" s="1" a="1"/>
  <c r="DM19" i="52" s="1"/>
  <c r="DN19" i="52" s="1"/>
  <c r="CO11" i="52"/>
  <c r="DM11" i="52" s="1" a="1"/>
  <c r="DM11" i="52" s="1"/>
  <c r="DN11" i="52" s="1"/>
  <c r="DA97" i="52"/>
  <c r="DM97" i="52" s="1" a="1"/>
  <c r="DM97" i="52" s="1"/>
  <c r="DN97" i="52" s="1"/>
  <c r="DA90" i="52"/>
  <c r="DM90" i="52" s="1" a="1"/>
  <c r="DM90" i="52" s="1"/>
  <c r="DN90" i="52" s="1"/>
  <c r="EM86" i="40"/>
  <c r="EM67" i="40"/>
  <c r="EM26" i="40"/>
  <c r="DP78" i="40"/>
  <c r="DP37" i="40"/>
  <c r="EM33" i="40"/>
  <c r="DP41" i="40"/>
  <c r="DP29" i="40"/>
  <c r="GJ59" i="40"/>
  <c r="GJ11" i="40"/>
  <c r="DP83" i="40"/>
  <c r="EM44" i="40"/>
  <c r="EM92" i="40"/>
  <c r="EM85" i="40"/>
  <c r="EM38" i="40"/>
  <c r="EM41" i="40"/>
  <c r="EM87" i="40"/>
  <c r="DP18" i="40"/>
  <c r="GJ18" i="40"/>
  <c r="EM88" i="40"/>
  <c r="EM20" i="40"/>
  <c r="GK61" i="32"/>
  <c r="DP34" i="40"/>
  <c r="EM13" i="40"/>
  <c r="DP81" i="40"/>
  <c r="GJ14" i="40"/>
  <c r="EM39" i="40"/>
  <c r="GJ57" i="40"/>
  <c r="GJ28" i="40"/>
  <c r="GB116" i="49"/>
  <c r="GB109" i="49"/>
  <c r="GB110" i="49"/>
  <c r="EQ103" i="49"/>
  <c r="GB104" i="49"/>
  <c r="GB111" i="49"/>
  <c r="GB112" i="49"/>
  <c r="GB106" i="49"/>
  <c r="GB113" i="49"/>
  <c r="GB107" i="49"/>
  <c r="GB114" i="49"/>
  <c r="GB105" i="49"/>
  <c r="GB108" i="49"/>
  <c r="GB115" i="49"/>
  <c r="GJ32" i="40"/>
  <c r="GJ33" i="40"/>
  <c r="GA113" i="49"/>
  <c r="GA107" i="49"/>
  <c r="GA114" i="49"/>
  <c r="GA108" i="49"/>
  <c r="GA111" i="49"/>
  <c r="GA115" i="49"/>
  <c r="GA105" i="49"/>
  <c r="GA109" i="49"/>
  <c r="GA116" i="49"/>
  <c r="EP103" i="49"/>
  <c r="GA110" i="49"/>
  <c r="GA104" i="49"/>
  <c r="GA112" i="49"/>
  <c r="GA106" i="49"/>
  <c r="GJ64" i="40"/>
  <c r="DP13" i="40"/>
  <c r="GJ42" i="40"/>
  <c r="GJ38" i="40"/>
  <c r="DP40" i="40"/>
  <c r="FC107" i="49"/>
  <c r="FC108" i="49"/>
  <c r="FZ107" i="49"/>
  <c r="FZ108" i="49"/>
  <c r="DP88" i="40"/>
  <c r="EM31" i="40"/>
  <c r="GJ83" i="40"/>
  <c r="EM94" i="40"/>
  <c r="EM45" i="40"/>
  <c r="GJ85" i="40"/>
  <c r="DP39" i="40"/>
  <c r="GJ25" i="40"/>
  <c r="GJ40" i="40"/>
  <c r="GJ84" i="40"/>
  <c r="GJ60" i="40"/>
  <c r="GJ86" i="40"/>
  <c r="GJ15" i="40"/>
  <c r="GJ62" i="40"/>
  <c r="GJ21" i="40"/>
  <c r="GJ61" i="40"/>
  <c r="GJ19" i="40"/>
  <c r="GJ56" i="40"/>
  <c r="GJ79" i="40"/>
  <c r="GJ31" i="40"/>
  <c r="EM97" i="40"/>
  <c r="FX97" i="40"/>
  <c r="GJ97" i="40" s="1"/>
  <c r="GJ66" i="40"/>
  <c r="GJ87" i="40"/>
  <c r="GJ67" i="40"/>
  <c r="GJ30" i="40"/>
  <c r="FA100" i="40"/>
  <c r="GJ10" i="40"/>
  <c r="GJ22" i="40"/>
  <c r="E9" i="82"/>
  <c r="GJ88" i="40"/>
  <c r="GJ81" i="40"/>
  <c r="GJ39" i="40"/>
  <c r="GJ29" i="40"/>
  <c r="GJ80" i="40"/>
  <c r="GJ34" i="40"/>
  <c r="GJ37" i="40"/>
  <c r="GJ68" i="40"/>
  <c r="GJ54" i="40"/>
  <c r="GJ23" i="40"/>
  <c r="GJ65" i="40"/>
  <c r="EM96" i="40"/>
  <c r="FX96" i="40"/>
  <c r="GJ96" i="40" s="1"/>
  <c r="GJ27" i="40"/>
  <c r="GJ26" i="40"/>
  <c r="GJ55" i="40"/>
  <c r="EM98" i="40"/>
  <c r="FX98" i="40"/>
  <c r="GJ98" i="40" s="1"/>
  <c r="GJ78" i="40"/>
  <c r="GJ36" i="40"/>
  <c r="GJ41" i="40"/>
  <c r="GJ63" i="40"/>
  <c r="GJ12" i="40"/>
  <c r="GJ13" i="40"/>
  <c r="GJ16" i="40"/>
  <c r="GJ82" i="40"/>
  <c r="GJ35" i="40"/>
  <c r="GJ77" i="40"/>
  <c r="GJ20" i="40"/>
  <c r="DP32" i="40"/>
  <c r="DP33" i="40"/>
  <c r="DP67" i="40"/>
  <c r="DP31" i="40"/>
  <c r="GD222" i="49"/>
  <c r="FF222" i="49"/>
  <c r="FE222" i="49"/>
  <c r="FD222" i="49"/>
  <c r="GC222" i="49"/>
  <c r="FA136" i="49"/>
  <c r="GL136" i="49"/>
  <c r="FG222" i="49"/>
  <c r="GK19" i="32"/>
  <c r="FC100" i="32"/>
  <c r="DP49" i="40"/>
  <c r="EY49" i="40" s="1"/>
  <c r="FZ110" i="49"/>
  <c r="DP52" i="40"/>
  <c r="EY52" i="40" s="1"/>
  <c r="DP48" i="40"/>
  <c r="EY48" i="40" s="1"/>
  <c r="DP50" i="40"/>
  <c r="EY50" i="40" s="1"/>
  <c r="DP47" i="40"/>
  <c r="EY47" i="40" s="1"/>
  <c r="DP51" i="40"/>
  <c r="EY51" i="40" s="1"/>
  <c r="DP80" i="40"/>
  <c r="DP38" i="40"/>
  <c r="DP25" i="40"/>
  <c r="DP55" i="40"/>
  <c r="DP26" i="40"/>
  <c r="GK62" i="32"/>
  <c r="GK56" i="32"/>
  <c r="EM18" i="40"/>
  <c r="EM57" i="40"/>
  <c r="EM11" i="40"/>
  <c r="EM28" i="40"/>
  <c r="DP54" i="40"/>
  <c r="DP27" i="40"/>
  <c r="EM40" i="40"/>
  <c r="EY75" i="40"/>
  <c r="DP84" i="40"/>
  <c r="GK82" i="32"/>
  <c r="H104" i="38" s="1"/>
  <c r="DP63" i="40"/>
  <c r="EY74" i="40"/>
  <c r="DP12" i="40"/>
  <c r="EY73" i="40"/>
  <c r="DP85" i="40"/>
  <c r="DP59" i="40"/>
  <c r="DP42" i="40"/>
  <c r="EM12" i="40"/>
  <c r="DP87" i="40"/>
  <c r="EM93" i="40"/>
  <c r="EM63" i="40"/>
  <c r="EM17" i="40"/>
  <c r="DP66" i="40"/>
  <c r="EM37" i="40"/>
  <c r="DP86" i="40"/>
  <c r="DP35" i="40"/>
  <c r="DP79" i="40"/>
  <c r="EM61" i="40"/>
  <c r="GK22" i="32"/>
  <c r="EM14" i="40"/>
  <c r="EM77" i="40"/>
  <c r="FA132" i="49"/>
  <c r="GL132" i="49" s="1"/>
  <c r="FS194" i="49"/>
  <c r="FS190" i="49"/>
  <c r="FS144" i="49"/>
  <c r="GK16" i="32"/>
  <c r="GK36" i="32"/>
  <c r="FP81" i="49"/>
  <c r="FO81" i="49"/>
  <c r="GK83" i="32"/>
  <c r="H105" i="38" s="1"/>
  <c r="DP22" i="40"/>
  <c r="FA138" i="49"/>
  <c r="GL138" i="49" s="1"/>
  <c r="FC192" i="49"/>
  <c r="FC196" i="49"/>
  <c r="FC188" i="49"/>
  <c r="FC89" i="49"/>
  <c r="FC141" i="49"/>
  <c r="FA133" i="49"/>
  <c r="GL133" i="49" s="1"/>
  <c r="FA134" i="49"/>
  <c r="GL134" i="49" s="1"/>
  <c r="FA135" i="49"/>
  <c r="GL135" i="49" s="1"/>
  <c r="FA137" i="49"/>
  <c r="GL137" i="49" s="1"/>
  <c r="DP23" i="40"/>
  <c r="GK15" i="32"/>
  <c r="GK60" i="32"/>
  <c r="EM34" i="40"/>
  <c r="DP61" i="40"/>
  <c r="GK23" i="32"/>
  <c r="EM21" i="40"/>
  <c r="EM22" i="40"/>
  <c r="DP14" i="40"/>
  <c r="EM60" i="40"/>
  <c r="EM55" i="40"/>
  <c r="EM82" i="40"/>
  <c r="EM19" i="40"/>
  <c r="EM62" i="40"/>
  <c r="EM35" i="40"/>
  <c r="EM79" i="40"/>
  <c r="DP15" i="40"/>
  <c r="DP21" i="40"/>
  <c r="EM23" i="40"/>
  <c r="EM15" i="40"/>
  <c r="EM56" i="40"/>
  <c r="DP57" i="40"/>
  <c r="DP62" i="40"/>
  <c r="EM16" i="40"/>
  <c r="EM78" i="40"/>
  <c r="EM36" i="40"/>
  <c r="EM80" i="40"/>
  <c r="EM54" i="40"/>
  <c r="DP19" i="40"/>
  <c r="GI100" i="32"/>
  <c r="DP60" i="40"/>
  <c r="EM81" i="40"/>
  <c r="DP58" i="40"/>
  <c r="EX100" i="32"/>
  <c r="EI100" i="32"/>
  <c r="EJ100" i="32"/>
  <c r="FP14" i="32"/>
  <c r="GK14" i="32" s="1"/>
  <c r="EY100" i="32"/>
  <c r="GK67" i="32"/>
  <c r="GK78" i="32"/>
  <c r="H100" i="38" s="1"/>
  <c r="GK39" i="32"/>
  <c r="GK29" i="32"/>
  <c r="GK84" i="32"/>
  <c r="H106" i="38" s="1"/>
  <c r="FP21" i="32"/>
  <c r="GK21" i="32" s="1"/>
  <c r="EE15" i="32"/>
  <c r="EZ15" i="32" s="1"/>
  <c r="EE21" i="32"/>
  <c r="EZ21" i="32" s="1"/>
  <c r="EE23" i="32"/>
  <c r="EZ23" i="32" s="1"/>
  <c r="EE22" i="32"/>
  <c r="EZ22" i="32" s="1"/>
  <c r="DY100" i="32"/>
  <c r="EE14" i="32"/>
  <c r="EE16" i="32"/>
  <c r="EZ16" i="32" s="1"/>
  <c r="GK10" i="32"/>
  <c r="GK35" i="32"/>
  <c r="GK30" i="32"/>
  <c r="GK34" i="32"/>
  <c r="GK28" i="32"/>
  <c r="EZ81" i="32"/>
  <c r="F103" i="38" s="1"/>
  <c r="GK54" i="32"/>
  <c r="GK55" i="32"/>
  <c r="GK79" i="32"/>
  <c r="H101" i="38" s="1"/>
  <c r="GK65" i="32"/>
  <c r="GK87" i="32"/>
  <c r="H109" i="38" s="1"/>
  <c r="GK86" i="32"/>
  <c r="H108" i="38" s="1"/>
  <c r="GK68" i="32"/>
  <c r="GK66" i="32"/>
  <c r="GK85" i="32"/>
  <c r="H107" i="38" s="1"/>
  <c r="GK64" i="32"/>
  <c r="EZ61" i="32"/>
  <c r="EZ62" i="32"/>
  <c r="EZ60" i="32"/>
  <c r="EZ58" i="32"/>
  <c r="F80" i="38" s="1"/>
  <c r="EZ57" i="32"/>
  <c r="EZ19" i="32"/>
  <c r="FY63" i="32"/>
  <c r="EO79" i="32"/>
  <c r="EN18" i="32"/>
  <c r="EB18" i="32"/>
  <c r="EG83" i="32"/>
  <c r="EN83" i="32"/>
  <c r="EN10" i="32"/>
  <c r="DQ41" i="32"/>
  <c r="EZ41" i="32" s="1"/>
  <c r="EN67" i="32"/>
  <c r="EF32" i="32"/>
  <c r="EC37" i="32"/>
  <c r="EN68" i="32"/>
  <c r="DQ37" i="32"/>
  <c r="FB42" i="32"/>
  <c r="FY40" i="32"/>
  <c r="FB71" i="32"/>
  <c r="DQ71" i="32"/>
  <c r="FY97" i="32"/>
  <c r="GK97" i="32" s="1"/>
  <c r="EN97" i="32"/>
  <c r="EZ97" i="32" s="1"/>
  <c r="FB70" i="32"/>
  <c r="DQ70" i="32"/>
  <c r="FB13" i="32"/>
  <c r="FY45" i="32"/>
  <c r="GK45" i="32" s="1"/>
  <c r="EN45" i="32"/>
  <c r="EZ45" i="32" s="1"/>
  <c r="EQ54" i="32"/>
  <c r="DQ68" i="32"/>
  <c r="EG65" i="32"/>
  <c r="EN65" i="32"/>
  <c r="EC38" i="32"/>
  <c r="DX13" i="32"/>
  <c r="EB20" i="32"/>
  <c r="EQ55" i="32"/>
  <c r="DW10" i="32"/>
  <c r="EF33" i="32"/>
  <c r="FB32" i="32"/>
  <c r="GK32" i="32" s="1"/>
  <c r="DQ33" i="32"/>
  <c r="DQ82" i="32"/>
  <c r="EZ82" i="32" s="1"/>
  <c r="F104" i="38" s="1"/>
  <c r="DQ79" i="32"/>
  <c r="EO54" i="32"/>
  <c r="DQ54" i="32"/>
  <c r="EF27" i="32"/>
  <c r="DQ27" i="32"/>
  <c r="DX10" i="32"/>
  <c r="EP55" i="32"/>
  <c r="DX20" i="32"/>
  <c r="EO55" i="32"/>
  <c r="DQ55" i="32"/>
  <c r="FB20" i="32"/>
  <c r="GK20" i="32" s="1"/>
  <c r="EG84" i="32"/>
  <c r="EP54" i="32"/>
  <c r="EF26" i="32"/>
  <c r="DQ26" i="32"/>
  <c r="DQ85" i="32"/>
  <c r="EN28" i="32"/>
  <c r="DQ25" i="32"/>
  <c r="EN40" i="32"/>
  <c r="EZ40" i="32" s="1"/>
  <c r="DQ39" i="32"/>
  <c r="DQ10" i="32"/>
  <c r="DW20" i="32"/>
  <c r="FY93" i="32"/>
  <c r="GK93" i="32" s="1"/>
  <c r="EN93" i="32"/>
  <c r="EZ93" i="32" s="1"/>
  <c r="DQ84" i="32"/>
  <c r="EG86" i="32"/>
  <c r="EN86" i="32"/>
  <c r="EB13" i="32"/>
  <c r="EN32" i="32"/>
  <c r="EN20" i="32"/>
  <c r="EN84" i="32"/>
  <c r="EG85" i="32"/>
  <c r="EN85" i="32"/>
  <c r="DQ29" i="32"/>
  <c r="DQ36" i="32"/>
  <c r="EZ36" i="32" s="1"/>
  <c r="DQ38" i="32"/>
  <c r="EG64" i="32"/>
  <c r="FY98" i="32"/>
  <c r="GK98" i="32" s="1"/>
  <c r="EN98" i="32"/>
  <c r="EZ98" i="32" s="1"/>
  <c r="FY95" i="32"/>
  <c r="GK95" i="32" s="1"/>
  <c r="EN95" i="32"/>
  <c r="EZ95" i="32" s="1"/>
  <c r="FY31" i="32"/>
  <c r="FB80" i="32"/>
  <c r="GK80" i="32" s="1"/>
  <c r="H102" i="38" s="1"/>
  <c r="FB81" i="32"/>
  <c r="GK81" i="32" s="1"/>
  <c r="H103" i="38" s="1"/>
  <c r="FB77" i="32"/>
  <c r="GK77" i="32" s="1"/>
  <c r="H99" i="38" s="1"/>
  <c r="FB31" i="32"/>
  <c r="FY17" i="32"/>
  <c r="EN64" i="32"/>
  <c r="DQ56" i="32"/>
  <c r="EZ56" i="32" s="1"/>
  <c r="EN31" i="32"/>
  <c r="EF31" i="32"/>
  <c r="EF25" i="32"/>
  <c r="EP77" i="32"/>
  <c r="FB63" i="32"/>
  <c r="FY27" i="32"/>
  <c r="GK27" i="32" s="1"/>
  <c r="FB11" i="32"/>
  <c r="FY25" i="32"/>
  <c r="GK25" i="32" s="1"/>
  <c r="FB69" i="32"/>
  <c r="DQ69" i="32"/>
  <c r="FB40" i="32"/>
  <c r="FY42" i="32"/>
  <c r="FY90" i="32"/>
  <c r="GK90" i="32" s="1"/>
  <c r="EN90" i="32"/>
  <c r="EZ90" i="32" s="1"/>
  <c r="FY88" i="32"/>
  <c r="GK88" i="32" s="1"/>
  <c r="H110" i="38" s="1"/>
  <c r="FY91" i="32"/>
  <c r="GK91" i="32" s="1"/>
  <c r="EN91" i="32"/>
  <c r="EZ91" i="32" s="1"/>
  <c r="FY71" i="32"/>
  <c r="EN71" i="32"/>
  <c r="FY70" i="32"/>
  <c r="EN70" i="32"/>
  <c r="FY69" i="32"/>
  <c r="EN69" i="32"/>
  <c r="FB18" i="32"/>
  <c r="GK18" i="32" s="1"/>
  <c r="FY44" i="32"/>
  <c r="GK44" i="32" s="1"/>
  <c r="EN44" i="32"/>
  <c r="EZ44" i="32" s="1"/>
  <c r="FY37" i="32"/>
  <c r="GK37" i="32" s="1"/>
  <c r="FY59" i="32"/>
  <c r="GK59" i="32" s="1"/>
  <c r="FY26" i="32"/>
  <c r="GK26" i="32" s="1"/>
  <c r="FY94" i="32"/>
  <c r="GK94" i="32" s="1"/>
  <c r="EN94" i="32"/>
  <c r="EZ94" i="32" s="1"/>
  <c r="FY38" i="32"/>
  <c r="GK38" i="32" s="1"/>
  <c r="EN29" i="32"/>
  <c r="DQ12" i="32"/>
  <c r="DQ83" i="32"/>
  <c r="EB10" i="32"/>
  <c r="DQ28" i="32"/>
  <c r="EG66" i="32"/>
  <c r="EO77" i="32"/>
  <c r="DQ77" i="32"/>
  <c r="FY11" i="32"/>
  <c r="FY57" i="32"/>
  <c r="GK57" i="32" s="1"/>
  <c r="EB11" i="32"/>
  <c r="DQ64" i="32"/>
  <c r="EN87" i="32"/>
  <c r="DQ11" i="32"/>
  <c r="DQ87" i="32"/>
  <c r="DW17" i="32"/>
  <c r="ED38" i="32"/>
  <c r="DX17" i="32"/>
  <c r="DQ66" i="32"/>
  <c r="DQ35" i="32"/>
  <c r="EF30" i="32"/>
  <c r="EH35" i="32"/>
  <c r="EN30" i="32"/>
  <c r="FY43" i="32"/>
  <c r="GK43" i="32" s="1"/>
  <c r="EN43" i="32"/>
  <c r="EZ43" i="32" s="1"/>
  <c r="FY92" i="32"/>
  <c r="GK92" i="32" s="1"/>
  <c r="EN92" i="32"/>
  <c r="EZ92" i="32" s="1"/>
  <c r="FY13" i="32"/>
  <c r="EG35" i="32"/>
  <c r="DQ30" i="32"/>
  <c r="DX11" i="32"/>
  <c r="EG87" i="32"/>
  <c r="DW11" i="32"/>
  <c r="DW12" i="32"/>
  <c r="DQ13" i="32"/>
  <c r="EG63" i="32"/>
  <c r="EN13" i="32"/>
  <c r="EN63" i="32"/>
  <c r="EN39" i="32"/>
  <c r="EQ77" i="32"/>
  <c r="EB17" i="32"/>
  <c r="EO78" i="32"/>
  <c r="EN88" i="32"/>
  <c r="EG88" i="32"/>
  <c r="DQ88" i="32"/>
  <c r="EB12" i="32"/>
  <c r="DX12" i="32"/>
  <c r="DQ42" i="32"/>
  <c r="EG34" i="32"/>
  <c r="EN59" i="32"/>
  <c r="EZ59" i="32" s="1"/>
  <c r="DX18" i="32"/>
  <c r="DW18" i="32"/>
  <c r="EF28" i="32"/>
  <c r="EN66" i="32"/>
  <c r="EG67" i="32"/>
  <c r="EQ78" i="32"/>
  <c r="DQ78" i="32"/>
  <c r="EP79" i="32"/>
  <c r="FY33" i="32"/>
  <c r="GK33" i="32" s="1"/>
  <c r="FY12" i="32"/>
  <c r="GK12" i="32" s="1"/>
  <c r="FY58" i="32"/>
  <c r="GK58" i="32" s="1"/>
  <c r="FB17" i="32"/>
  <c r="FY41" i="32"/>
  <c r="GK41" i="32" s="1"/>
  <c r="DQ34" i="32"/>
  <c r="EN42" i="32"/>
  <c r="EH34" i="32"/>
  <c r="DW13" i="32"/>
  <c r="DQ80" i="32"/>
  <c r="EZ80" i="32" s="1"/>
  <c r="F102" i="38" s="1"/>
  <c r="DQ65" i="32"/>
  <c r="EN25" i="32"/>
  <c r="DQ86" i="32"/>
  <c r="EP78" i="32"/>
  <c r="ED37" i="32"/>
  <c r="EQ79" i="32"/>
  <c r="EG68" i="32"/>
  <c r="EH144" i="49"/>
  <c r="CJ222" i="49"/>
  <c r="CK222" i="49"/>
  <c r="CM222" i="49"/>
  <c r="DI222" i="49"/>
  <c r="CI222" i="49"/>
  <c r="CL222" i="49"/>
  <c r="DJ222" i="49"/>
  <c r="DK222" i="49"/>
  <c r="C121" i="49"/>
  <c r="CO25" i="52" l="1"/>
  <c r="DM25" i="52" s="1" a="1"/>
  <c r="DM25" i="52" s="1"/>
  <c r="DN25" i="52" s="1"/>
  <c r="DP25" i="52"/>
  <c r="DR25" i="52" s="1"/>
  <c r="CO30" i="52"/>
  <c r="DM30" i="52" s="1" a="1"/>
  <c r="DM30" i="52" s="1"/>
  <c r="DN30" i="52" s="1"/>
  <c r="DP30" i="52"/>
  <c r="DR30" i="52" s="1"/>
  <c r="CO31" i="52"/>
  <c r="DM31" i="52" s="1" a="1"/>
  <c r="DM31" i="52" s="1"/>
  <c r="DN31" i="52" s="1"/>
  <c r="DP31" i="52"/>
  <c r="DR31" i="52" s="1"/>
  <c r="CO26" i="52"/>
  <c r="DM26" i="52" s="1" a="1"/>
  <c r="DM26" i="52" s="1"/>
  <c r="DN26" i="52" s="1"/>
  <c r="DP26" i="52"/>
  <c r="DR26" i="52" s="1"/>
  <c r="CO33" i="52"/>
  <c r="DM33" i="52" s="1" a="1"/>
  <c r="DM33" i="52" s="1"/>
  <c r="DN33" i="52" s="1"/>
  <c r="DP33" i="52"/>
  <c r="DR33" i="52" s="1"/>
  <c r="CO29" i="52"/>
  <c r="DM29" i="52" s="1" a="1"/>
  <c r="DM29" i="52" s="1"/>
  <c r="DN29" i="52" s="1"/>
  <c r="DP29" i="52"/>
  <c r="DR29" i="52" s="1"/>
  <c r="CO28" i="52"/>
  <c r="DM28" i="52" s="1" a="1"/>
  <c r="DM28" i="52" s="1"/>
  <c r="DN28" i="52" s="1"/>
  <c r="DP28" i="52"/>
  <c r="DR28" i="52" s="1"/>
  <c r="CO32" i="52"/>
  <c r="DM32" i="52" s="1" a="1"/>
  <c r="DM32" i="52" s="1"/>
  <c r="DN32" i="52" s="1"/>
  <c r="DP32" i="52"/>
  <c r="DR32" i="52" s="1"/>
  <c r="CO27" i="52"/>
  <c r="DM27" i="52" s="1" a="1"/>
  <c r="DM27" i="52" s="1"/>
  <c r="DN27" i="52" s="1"/>
  <c r="DP27" i="52"/>
  <c r="DR27" i="52" s="1"/>
  <c r="DR196" i="49"/>
  <c r="EQ109" i="49"/>
  <c r="I102" i="38"/>
  <c r="GA48" i="32"/>
  <c r="FZ48" i="32"/>
  <c r="GA51" i="32"/>
  <c r="FZ51" i="32"/>
  <c r="I103" i="38"/>
  <c r="I104" i="38"/>
  <c r="EQ116" i="49"/>
  <c r="DR188" i="49"/>
  <c r="EQ112" i="49"/>
  <c r="EQ115" i="49"/>
  <c r="EP110" i="49"/>
  <c r="EP115" i="49"/>
  <c r="EQ110" i="49"/>
  <c r="EQ106" i="49"/>
  <c r="EP104" i="49"/>
  <c r="EP111" i="49"/>
  <c r="EQ113" i="49"/>
  <c r="EQ111" i="49"/>
  <c r="EP114" i="49"/>
  <c r="EQ104" i="49"/>
  <c r="EP112" i="49"/>
  <c r="EP113" i="49"/>
  <c r="EP116" i="49"/>
  <c r="EP108" i="49"/>
  <c r="EQ107" i="49"/>
  <c r="EP106" i="49"/>
  <c r="EP107" i="49"/>
  <c r="DF225" i="49"/>
  <c r="GA103" i="49"/>
  <c r="GA222" i="49" s="1"/>
  <c r="EQ114" i="49"/>
  <c r="EQ105" i="49"/>
  <c r="DG225" i="49"/>
  <c r="GB103" i="49"/>
  <c r="GB222" i="49" s="1"/>
  <c r="EP105" i="49"/>
  <c r="EP109" i="49"/>
  <c r="EQ108" i="49"/>
  <c r="FX100" i="40"/>
  <c r="DR141" i="49"/>
  <c r="EO110" i="49"/>
  <c r="DR192" i="49"/>
  <c r="EH190" i="49"/>
  <c r="EH194" i="49"/>
  <c r="EO107" i="49"/>
  <c r="EO108" i="49"/>
  <c r="DR107" i="49"/>
  <c r="DR108" i="49"/>
  <c r="GL108" i="49"/>
  <c r="GL107" i="49"/>
  <c r="DR89" i="49"/>
  <c r="B9" i="82"/>
  <c r="P4" i="82" s="1"/>
  <c r="EO187" i="49"/>
  <c r="FZ187" i="49"/>
  <c r="EO127" i="49"/>
  <c r="FA127" i="49" s="1"/>
  <c r="FZ127" i="49"/>
  <c r="GL127" i="49" s="1"/>
  <c r="EO173" i="49"/>
  <c r="FZ173" i="49"/>
  <c r="EO186" i="49"/>
  <c r="FZ186" i="49"/>
  <c r="EO129" i="49"/>
  <c r="FA129" i="49" s="1"/>
  <c r="FZ129" i="49"/>
  <c r="EO140" i="49"/>
  <c r="FZ140" i="49"/>
  <c r="EO172" i="49"/>
  <c r="FZ172" i="49"/>
  <c r="EO101" i="49"/>
  <c r="FA101" i="49" s="1"/>
  <c r="FZ101" i="49"/>
  <c r="EO131" i="49"/>
  <c r="FA131" i="49" s="1"/>
  <c r="FZ131" i="49"/>
  <c r="GL131" i="49" s="1"/>
  <c r="EO191" i="49"/>
  <c r="FZ191" i="49"/>
  <c r="EO188" i="49"/>
  <c r="FZ188" i="49"/>
  <c r="EO209" i="49"/>
  <c r="FA209" i="49" s="1"/>
  <c r="FZ209" i="49"/>
  <c r="EO205" i="49"/>
  <c r="FA205" i="49" s="1"/>
  <c r="FZ205" i="49"/>
  <c r="EO206" i="49"/>
  <c r="FA206" i="49" s="1"/>
  <c r="FZ206" i="49"/>
  <c r="EO217" i="49"/>
  <c r="FA217" i="49" s="1"/>
  <c r="FZ217" i="49"/>
  <c r="EO197" i="49"/>
  <c r="FZ197" i="49"/>
  <c r="EO192" i="49"/>
  <c r="FZ192" i="49"/>
  <c r="DR187" i="49"/>
  <c r="FC187" i="49"/>
  <c r="DR180" i="49"/>
  <c r="FA180" i="49" s="1"/>
  <c r="FC180" i="49"/>
  <c r="DR83" i="49"/>
  <c r="FC83" i="49"/>
  <c r="DR140" i="49"/>
  <c r="FC140" i="49"/>
  <c r="DR172" i="49"/>
  <c r="FC172" i="49"/>
  <c r="DR186" i="49"/>
  <c r="FC186" i="49"/>
  <c r="DR184" i="49"/>
  <c r="FA184" i="49" s="1"/>
  <c r="FC184" i="49"/>
  <c r="DR84" i="49"/>
  <c r="FC84" i="49"/>
  <c r="DR81" i="49"/>
  <c r="FC81" i="49"/>
  <c r="DR88" i="49"/>
  <c r="FC88" i="49"/>
  <c r="DR198" i="49"/>
  <c r="FC198" i="49"/>
  <c r="ED83" i="49"/>
  <c r="FO83" i="49"/>
  <c r="ED84" i="49"/>
  <c r="FO84" i="49"/>
  <c r="EE86" i="49"/>
  <c r="FP86" i="49"/>
  <c r="EE87" i="49"/>
  <c r="FP87" i="49"/>
  <c r="EH141" i="49"/>
  <c r="FS141" i="49"/>
  <c r="EH189" i="49"/>
  <c r="FS189" i="49"/>
  <c r="EH142" i="49"/>
  <c r="FS142" i="49"/>
  <c r="EH191" i="49"/>
  <c r="FS191" i="49"/>
  <c r="EH192" i="49"/>
  <c r="FS192" i="49"/>
  <c r="EH196" i="49"/>
  <c r="FS196" i="49"/>
  <c r="EO169" i="49"/>
  <c r="FZ169" i="49"/>
  <c r="EO166" i="49"/>
  <c r="FZ166" i="49"/>
  <c r="EO164" i="49"/>
  <c r="FZ164" i="49"/>
  <c r="DR169" i="49"/>
  <c r="FC169" i="49"/>
  <c r="DR164" i="49"/>
  <c r="FC164" i="49"/>
  <c r="DR168" i="49"/>
  <c r="FC168" i="49"/>
  <c r="DR111" i="49"/>
  <c r="FC111" i="49"/>
  <c r="DR113" i="49"/>
  <c r="FC113" i="49"/>
  <c r="DR116" i="49"/>
  <c r="FC116" i="49"/>
  <c r="EO111" i="49"/>
  <c r="FZ111" i="49"/>
  <c r="EO103" i="49"/>
  <c r="FZ103" i="49"/>
  <c r="EO104" i="49"/>
  <c r="FZ104" i="49"/>
  <c r="EO86" i="49"/>
  <c r="FZ86" i="49"/>
  <c r="EO141" i="49"/>
  <c r="FZ141" i="49"/>
  <c r="EO97" i="49"/>
  <c r="FA97" i="49" s="1"/>
  <c r="FZ97" i="49"/>
  <c r="GL97" i="49" s="1"/>
  <c r="EO85" i="49"/>
  <c r="FZ85" i="49"/>
  <c r="EO82" i="49"/>
  <c r="FZ82" i="49"/>
  <c r="EO89" i="49"/>
  <c r="FZ89" i="49"/>
  <c r="EO88" i="49"/>
  <c r="FZ88" i="49"/>
  <c r="EO84" i="49"/>
  <c r="FZ84" i="49"/>
  <c r="EO139" i="49"/>
  <c r="FZ139" i="49"/>
  <c r="EO125" i="49"/>
  <c r="FA125" i="49" s="1"/>
  <c r="FZ125" i="49"/>
  <c r="EO95" i="49"/>
  <c r="FA95" i="49" s="1"/>
  <c r="FZ95" i="49"/>
  <c r="EO212" i="49"/>
  <c r="FA212" i="49" s="1"/>
  <c r="FZ212" i="49"/>
  <c r="EO211" i="49"/>
  <c r="FZ211" i="49"/>
  <c r="EO208" i="49"/>
  <c r="FA208" i="49" s="1"/>
  <c r="FZ208" i="49"/>
  <c r="EO207" i="49"/>
  <c r="FA207" i="49" s="1"/>
  <c r="FZ207" i="49"/>
  <c r="EO194" i="49"/>
  <c r="FZ194" i="49"/>
  <c r="EO195" i="49"/>
  <c r="FZ195" i="49"/>
  <c r="DR86" i="49"/>
  <c r="FC86" i="49"/>
  <c r="DR90" i="49"/>
  <c r="FC90" i="49"/>
  <c r="DR189" i="49"/>
  <c r="FC189" i="49"/>
  <c r="DR94" i="49"/>
  <c r="FC94" i="49"/>
  <c r="DR185" i="49"/>
  <c r="FC185" i="49"/>
  <c r="DR139" i="49"/>
  <c r="FC139" i="49"/>
  <c r="DR197" i="49"/>
  <c r="FC197" i="49"/>
  <c r="ED82" i="49"/>
  <c r="FO82" i="49"/>
  <c r="EE82" i="49"/>
  <c r="FP82" i="49"/>
  <c r="EH140" i="49"/>
  <c r="FS140" i="49"/>
  <c r="EH185" i="49"/>
  <c r="FS185" i="49"/>
  <c r="EH188" i="49"/>
  <c r="FS188" i="49"/>
  <c r="EH195" i="49"/>
  <c r="FS195" i="49"/>
  <c r="EO167" i="49"/>
  <c r="FZ167" i="49"/>
  <c r="DR103" i="49"/>
  <c r="FC103" i="49"/>
  <c r="DR104" i="49"/>
  <c r="FC104" i="49"/>
  <c r="EO113" i="49"/>
  <c r="FZ113" i="49"/>
  <c r="EO130" i="49"/>
  <c r="FA130" i="49" s="1"/>
  <c r="FZ130" i="49"/>
  <c r="GL130" i="49" s="1"/>
  <c r="EO93" i="49"/>
  <c r="FZ93" i="49"/>
  <c r="EO83" i="49"/>
  <c r="FZ83" i="49"/>
  <c r="EO189" i="49"/>
  <c r="FZ189" i="49"/>
  <c r="EO92" i="49"/>
  <c r="FZ92" i="49"/>
  <c r="EO96" i="49"/>
  <c r="FA96" i="49" s="1"/>
  <c r="FZ96" i="49"/>
  <c r="EO87" i="49"/>
  <c r="FZ87" i="49"/>
  <c r="EO145" i="49"/>
  <c r="FZ145" i="49"/>
  <c r="EO91" i="49"/>
  <c r="FZ91" i="49"/>
  <c r="EO128" i="49"/>
  <c r="FA128" i="49" s="1"/>
  <c r="FZ128" i="49"/>
  <c r="EO142" i="49"/>
  <c r="FZ142" i="49"/>
  <c r="EO218" i="49"/>
  <c r="FA218" i="49" s="1"/>
  <c r="FZ218" i="49"/>
  <c r="GL218" i="49" s="1"/>
  <c r="EO215" i="49"/>
  <c r="FA215" i="49" s="1"/>
  <c r="FZ215" i="49"/>
  <c r="EO204" i="49"/>
  <c r="FA204" i="49" s="1"/>
  <c r="FZ204" i="49"/>
  <c r="EO220" i="49"/>
  <c r="FA220" i="49" s="1"/>
  <c r="FZ220" i="49"/>
  <c r="EO198" i="49"/>
  <c r="FZ198" i="49"/>
  <c r="EO196" i="49"/>
  <c r="FZ196" i="49"/>
  <c r="DR183" i="49"/>
  <c r="FA183" i="49" s="1"/>
  <c r="FC183" i="49"/>
  <c r="DR190" i="49"/>
  <c r="FC190" i="49"/>
  <c r="DR85" i="49"/>
  <c r="FC85" i="49"/>
  <c r="DR92" i="49"/>
  <c r="FC92" i="49"/>
  <c r="DR179" i="49"/>
  <c r="FA179" i="49" s="1"/>
  <c r="FC179" i="49"/>
  <c r="DR142" i="49"/>
  <c r="FC142" i="49"/>
  <c r="DR181" i="49"/>
  <c r="FA181" i="49" s="1"/>
  <c r="FC181" i="49"/>
  <c r="DR191" i="49"/>
  <c r="FC191" i="49"/>
  <c r="DR171" i="49"/>
  <c r="FC171" i="49"/>
  <c r="DR194" i="49"/>
  <c r="FC194" i="49"/>
  <c r="ED85" i="49"/>
  <c r="FO85" i="49"/>
  <c r="EE85" i="49"/>
  <c r="FP85" i="49"/>
  <c r="EH143" i="49"/>
  <c r="FS143" i="49"/>
  <c r="EH145" i="49"/>
  <c r="FS145" i="49"/>
  <c r="EH193" i="49"/>
  <c r="FS193" i="49"/>
  <c r="EO165" i="49"/>
  <c r="FZ165" i="49"/>
  <c r="EO168" i="49"/>
  <c r="FZ168" i="49"/>
  <c r="EO161" i="49"/>
  <c r="FZ161" i="49"/>
  <c r="DR166" i="49"/>
  <c r="FC166" i="49"/>
  <c r="DR163" i="49"/>
  <c r="FC163" i="49"/>
  <c r="DR162" i="49"/>
  <c r="FC162" i="49"/>
  <c r="DR112" i="49"/>
  <c r="FC112" i="49"/>
  <c r="DR114" i="49"/>
  <c r="FC114" i="49"/>
  <c r="DR110" i="49"/>
  <c r="FC110" i="49"/>
  <c r="EO112" i="49"/>
  <c r="FZ112" i="49"/>
  <c r="EO114" i="49"/>
  <c r="FZ114" i="49"/>
  <c r="EO109" i="49"/>
  <c r="FZ109" i="49"/>
  <c r="O6" i="83"/>
  <c r="GJ100" i="40"/>
  <c r="EO100" i="49"/>
  <c r="FA100" i="49" s="1"/>
  <c r="FZ100" i="49"/>
  <c r="EO144" i="49"/>
  <c r="FZ144" i="49"/>
  <c r="EO190" i="49"/>
  <c r="FZ190" i="49"/>
  <c r="EO90" i="49"/>
  <c r="FZ90" i="49"/>
  <c r="EO99" i="49"/>
  <c r="FA99" i="49" s="1"/>
  <c r="FZ99" i="49"/>
  <c r="EO126" i="49"/>
  <c r="FA126" i="49" s="1"/>
  <c r="FZ126" i="49"/>
  <c r="EO143" i="49"/>
  <c r="FZ143" i="49"/>
  <c r="EO94" i="49"/>
  <c r="FZ94" i="49"/>
  <c r="EO185" i="49"/>
  <c r="FZ185" i="49"/>
  <c r="EO81" i="49"/>
  <c r="FZ81" i="49"/>
  <c r="EO171" i="49"/>
  <c r="FZ171" i="49"/>
  <c r="EO98" i="49"/>
  <c r="FA98" i="49" s="1"/>
  <c r="FZ98" i="49"/>
  <c r="EO216" i="49"/>
  <c r="FA216" i="49" s="1"/>
  <c r="FZ216" i="49"/>
  <c r="EO219" i="49"/>
  <c r="FA219" i="49" s="1"/>
  <c r="FZ219" i="49"/>
  <c r="EO214" i="49"/>
  <c r="FA214" i="49" s="1"/>
  <c r="FZ214" i="49"/>
  <c r="EO213" i="49"/>
  <c r="FA213" i="49" s="1"/>
  <c r="FZ213" i="49"/>
  <c r="EO193" i="49"/>
  <c r="FZ193" i="49"/>
  <c r="DR144" i="49"/>
  <c r="FC144" i="49"/>
  <c r="DR93" i="49"/>
  <c r="FC93" i="49"/>
  <c r="DR173" i="49"/>
  <c r="FC173" i="49"/>
  <c r="DR182" i="49"/>
  <c r="FA182" i="49" s="1"/>
  <c r="FC182" i="49"/>
  <c r="DR82" i="49"/>
  <c r="FC82" i="49"/>
  <c r="DR143" i="49"/>
  <c r="FC143" i="49"/>
  <c r="DR145" i="49"/>
  <c r="FC145" i="49"/>
  <c r="DR178" i="49"/>
  <c r="FA178" i="49" s="1"/>
  <c r="FC178" i="49"/>
  <c r="DR91" i="49"/>
  <c r="FC91" i="49"/>
  <c r="DR87" i="49"/>
  <c r="FC87" i="49"/>
  <c r="DR193" i="49"/>
  <c r="FC193" i="49"/>
  <c r="DR195" i="49"/>
  <c r="FC195" i="49"/>
  <c r="ED86" i="49"/>
  <c r="FO86" i="49"/>
  <c r="ED87" i="49"/>
  <c r="FO87" i="49"/>
  <c r="EE83" i="49"/>
  <c r="FP83" i="49"/>
  <c r="EE84" i="49"/>
  <c r="FP84" i="49"/>
  <c r="EH187" i="49"/>
  <c r="FS187" i="49"/>
  <c r="EH186" i="49"/>
  <c r="FS186" i="49"/>
  <c r="EH139" i="49"/>
  <c r="FS139" i="49"/>
  <c r="EH197" i="49"/>
  <c r="FS197" i="49"/>
  <c r="EH198" i="49"/>
  <c r="FS198" i="49"/>
  <c r="EO163" i="49"/>
  <c r="FZ163" i="49"/>
  <c r="EO162" i="49"/>
  <c r="FZ162" i="49"/>
  <c r="DR165" i="49"/>
  <c r="FC165" i="49"/>
  <c r="DR167" i="49"/>
  <c r="FC167" i="49"/>
  <c r="DR161" i="49"/>
  <c r="FC161" i="49"/>
  <c r="DR115" i="49"/>
  <c r="FC115" i="49"/>
  <c r="DR105" i="49"/>
  <c r="FC105" i="49"/>
  <c r="DR109" i="49"/>
  <c r="FC109" i="49"/>
  <c r="DR106" i="49"/>
  <c r="FC106" i="49"/>
  <c r="EO115" i="49"/>
  <c r="FZ115" i="49"/>
  <c r="EO105" i="49"/>
  <c r="FZ105" i="49"/>
  <c r="EO116" i="49"/>
  <c r="FZ116" i="49"/>
  <c r="EO106" i="49"/>
  <c r="FZ106" i="49"/>
  <c r="EE81" i="49"/>
  <c r="ED81" i="49"/>
  <c r="FA211" i="49"/>
  <c r="EZ42" i="32"/>
  <c r="F64" i="38" s="1"/>
  <c r="EZ32" i="32"/>
  <c r="GK17" i="32"/>
  <c r="GK63" i="32"/>
  <c r="CF103" i="40"/>
  <c r="DC103" i="40"/>
  <c r="EZ67" i="32"/>
  <c r="EZ31" i="32"/>
  <c r="EE100" i="32"/>
  <c r="EZ14" i="32"/>
  <c r="EZ71" i="32"/>
  <c r="F93" i="38" s="1"/>
  <c r="GK71" i="32"/>
  <c r="FP100" i="32"/>
  <c r="EZ65" i="32"/>
  <c r="EZ29" i="32"/>
  <c r="EZ20" i="32"/>
  <c r="GK42" i="32"/>
  <c r="EZ39" i="32"/>
  <c r="F61" i="38" s="1"/>
  <c r="GK11" i="32"/>
  <c r="EZ78" i="32"/>
  <c r="F100" i="38" s="1"/>
  <c r="I100" i="38" s="1"/>
  <c r="EZ35" i="32"/>
  <c r="GK31" i="32"/>
  <c r="EZ85" i="32"/>
  <c r="F107" i="38" s="1"/>
  <c r="I107" i="38" s="1"/>
  <c r="EZ66" i="32"/>
  <c r="EZ26" i="32"/>
  <c r="EZ17" i="32"/>
  <c r="EZ79" i="32"/>
  <c r="F101" i="38" s="1"/>
  <c r="I101" i="38" s="1"/>
  <c r="GK13" i="32"/>
  <c r="EZ18" i="32"/>
  <c r="EZ10" i="32"/>
  <c r="EZ11" i="32"/>
  <c r="EZ13" i="32"/>
  <c r="EZ12" i="32"/>
  <c r="EZ38" i="32"/>
  <c r="F60" i="38" s="1"/>
  <c r="EZ37" i="32"/>
  <c r="EZ34" i="32"/>
  <c r="EZ25" i="32"/>
  <c r="EZ27" i="32"/>
  <c r="EZ30" i="32"/>
  <c r="EZ28" i="32"/>
  <c r="EZ33" i="32"/>
  <c r="GK40" i="32"/>
  <c r="EZ54" i="32"/>
  <c r="F76" i="38" s="1"/>
  <c r="EZ77" i="32"/>
  <c r="F99" i="38" s="1"/>
  <c r="I99" i="38" s="1"/>
  <c r="EZ55" i="32"/>
  <c r="F77" i="38" s="1"/>
  <c r="GK70" i="32"/>
  <c r="EZ69" i="32"/>
  <c r="F91" i="38" s="1"/>
  <c r="GK69" i="32"/>
  <c r="EZ63" i="32"/>
  <c r="EZ70" i="32"/>
  <c r="F92" i="38" s="1"/>
  <c r="EZ86" i="32"/>
  <c r="F108" i="38" s="1"/>
  <c r="I108" i="38" s="1"/>
  <c r="EZ84" i="32"/>
  <c r="F106" i="38" s="1"/>
  <c r="I106" i="38" s="1"/>
  <c r="EZ68" i="32"/>
  <c r="EZ87" i="32"/>
  <c r="F109" i="38" s="1"/>
  <c r="I109" i="38" s="1"/>
  <c r="EZ83" i="32"/>
  <c r="F105" i="38" s="1"/>
  <c r="I105" i="38" s="1"/>
  <c r="EZ64" i="32"/>
  <c r="EZ88" i="32"/>
  <c r="F110" i="38" s="1"/>
  <c r="I110" i="38" s="1"/>
  <c r="DC100" i="40"/>
  <c r="H65" i="38"/>
  <c r="H84" i="38"/>
  <c r="H81" i="38"/>
  <c r="H67" i="38"/>
  <c r="H80" i="38"/>
  <c r="I80" i="38" s="1"/>
  <c r="H79" i="38"/>
  <c r="H66" i="38"/>
  <c r="H83" i="38"/>
  <c r="H82" i="38"/>
  <c r="CT222" i="49"/>
  <c r="CU222" i="49"/>
  <c r="DH222" i="49"/>
  <c r="DG222" i="49"/>
  <c r="DF222" i="49"/>
  <c r="F63" i="38"/>
  <c r="F78" i="38"/>
  <c r="F79" i="38"/>
  <c r="F81" i="38"/>
  <c r="C122" i="49"/>
  <c r="GL164" i="49" l="1"/>
  <c r="FA169" i="49"/>
  <c r="GK48" i="32"/>
  <c r="H70" i="38" s="1"/>
  <c r="I70" i="38" s="1"/>
  <c r="FA88" i="49"/>
  <c r="I79" i="38"/>
  <c r="GK51" i="32"/>
  <c r="H73" i="38" s="1"/>
  <c r="I73" i="38" s="1"/>
  <c r="FA173" i="49"/>
  <c r="FA110" i="49"/>
  <c r="I81" i="38"/>
  <c r="GA52" i="32"/>
  <c r="FZ52" i="32"/>
  <c r="GA49" i="32"/>
  <c r="FZ49" i="32"/>
  <c r="GA50" i="32"/>
  <c r="FZ50" i="32"/>
  <c r="FZ47" i="32"/>
  <c r="GL165" i="49"/>
  <c r="FA111" i="49"/>
  <c r="GL169" i="49"/>
  <c r="GL209" i="49"/>
  <c r="GL173" i="49"/>
  <c r="FA140" i="49"/>
  <c r="GL95" i="49"/>
  <c r="GL205" i="49"/>
  <c r="FP222" i="49"/>
  <c r="FA104" i="49"/>
  <c r="GL208" i="49"/>
  <c r="GL110" i="49"/>
  <c r="GL140" i="49"/>
  <c r="FA195" i="49"/>
  <c r="GL195" i="49" s="1"/>
  <c r="FA143" i="49"/>
  <c r="GL204" i="49"/>
  <c r="FA168" i="49"/>
  <c r="GL180" i="49"/>
  <c r="GL214" i="49"/>
  <c r="FA89" i="49"/>
  <c r="GL89" i="49" s="1"/>
  <c r="FA94" i="49"/>
  <c r="GL220" i="49"/>
  <c r="FA82" i="49"/>
  <c r="GL82" i="49" s="1"/>
  <c r="GL217" i="49"/>
  <c r="FA109" i="49"/>
  <c r="FA115" i="49"/>
  <c r="FA167" i="49"/>
  <c r="FA139" i="49"/>
  <c r="FA86" i="49"/>
  <c r="FA144" i="49"/>
  <c r="FA142" i="49"/>
  <c r="FA196" i="49"/>
  <c r="FA188" i="49"/>
  <c r="GL188" i="49" s="1"/>
  <c r="FA164" i="49"/>
  <c r="FA192" i="49"/>
  <c r="GL192" i="49" s="1"/>
  <c r="GL213" i="49"/>
  <c r="FA165" i="49"/>
  <c r="FA194" i="49"/>
  <c r="FA91" i="49"/>
  <c r="GL207" i="49"/>
  <c r="GL109" i="49"/>
  <c r="FA112" i="49"/>
  <c r="GL112" i="49" s="1"/>
  <c r="FA106" i="49"/>
  <c r="GL106" i="49" s="1"/>
  <c r="FA105" i="49"/>
  <c r="FA163" i="49"/>
  <c r="GL163" i="49" s="1"/>
  <c r="FA87" i="49"/>
  <c r="GL87" i="49" s="1"/>
  <c r="FA185" i="49"/>
  <c r="GL185" i="49" s="1"/>
  <c r="FA190" i="49"/>
  <c r="GL190" i="49" s="1"/>
  <c r="FA114" i="49"/>
  <c r="GL114" i="49" s="1"/>
  <c r="FA193" i="49"/>
  <c r="GL193" i="49" s="1"/>
  <c r="FA85" i="49"/>
  <c r="GL85" i="49" s="1"/>
  <c r="FA93" i="49"/>
  <c r="FA189" i="49"/>
  <c r="GL189" i="49" s="1"/>
  <c r="FA141" i="49"/>
  <c r="GL141" i="49" s="1"/>
  <c r="FA113" i="49"/>
  <c r="FA198" i="49"/>
  <c r="FA197" i="49"/>
  <c r="FA107" i="49"/>
  <c r="GL145" i="49"/>
  <c r="GL212" i="49"/>
  <c r="GL216" i="49"/>
  <c r="GL100" i="49"/>
  <c r="GL219" i="49"/>
  <c r="GL206" i="49"/>
  <c r="FA145" i="49"/>
  <c r="GL142" i="49"/>
  <c r="GL196" i="49"/>
  <c r="FA108" i="49"/>
  <c r="GL93" i="49"/>
  <c r="GL113" i="49"/>
  <c r="GL197" i="49"/>
  <c r="FA186" i="49"/>
  <c r="GL88" i="49"/>
  <c r="GL115" i="49"/>
  <c r="GL86" i="49"/>
  <c r="FA187" i="49"/>
  <c r="GL186" i="49"/>
  <c r="N6" i="83"/>
  <c r="GL211" i="49"/>
  <c r="GL167" i="49"/>
  <c r="GL144" i="49"/>
  <c r="GL139" i="49"/>
  <c r="GL98" i="49"/>
  <c r="GL94" i="49"/>
  <c r="GL215" i="49"/>
  <c r="GL143" i="49"/>
  <c r="FA162" i="49"/>
  <c r="GL162" i="49" s="1"/>
  <c r="GL194" i="49"/>
  <c r="FA92" i="49"/>
  <c r="GL92" i="49" s="1"/>
  <c r="FA83" i="49"/>
  <c r="GL83" i="49" s="1"/>
  <c r="FA103" i="49"/>
  <c r="GL103" i="49" s="1"/>
  <c r="FA116" i="49"/>
  <c r="GL116" i="49" s="1"/>
  <c r="GL168" i="49"/>
  <c r="GL99" i="49"/>
  <c r="FA191" i="49"/>
  <c r="GL191" i="49" s="1"/>
  <c r="FA90" i="49"/>
  <c r="GL90" i="49" s="1"/>
  <c r="GL91" i="49"/>
  <c r="GL111" i="49"/>
  <c r="FA161" i="49"/>
  <c r="GL161" i="49" s="1"/>
  <c r="FA166" i="49"/>
  <c r="GL166" i="49" s="1"/>
  <c r="GL181" i="49"/>
  <c r="GL183" i="49"/>
  <c r="GL96" i="49"/>
  <c r="GL101" i="49"/>
  <c r="FA84" i="49"/>
  <c r="GL84" i="49" s="1"/>
  <c r="GL104" i="49"/>
  <c r="GL179" i="49"/>
  <c r="GL184" i="49"/>
  <c r="GL187" i="49"/>
  <c r="GL198" i="49"/>
  <c r="FO222" i="49"/>
  <c r="I6" i="83"/>
  <c r="GL105" i="49"/>
  <c r="GL178" i="49"/>
  <c r="GL182" i="49"/>
  <c r="GL129" i="49"/>
  <c r="GL128" i="49"/>
  <c r="FN222" i="49"/>
  <c r="GL125" i="49"/>
  <c r="GL126" i="49"/>
  <c r="C123" i="49"/>
  <c r="FA81" i="49"/>
  <c r="GL81" i="49" s="1"/>
  <c r="DP100" i="40"/>
  <c r="H87" i="38"/>
  <c r="H60" i="38"/>
  <c r="I60" i="38" s="1"/>
  <c r="H86" i="38"/>
  <c r="H59" i="38"/>
  <c r="H93" i="38"/>
  <c r="I93" i="38" s="1"/>
  <c r="H63" i="38"/>
  <c r="I63" i="38" s="1"/>
  <c r="H62" i="38"/>
  <c r="H64" i="38"/>
  <c r="I64" i="38" s="1"/>
  <c r="H88" i="38"/>
  <c r="H85" i="38"/>
  <c r="H61" i="38"/>
  <c r="I61" i="38" s="1"/>
  <c r="H89" i="38"/>
  <c r="H91" i="38"/>
  <c r="I91" i="38" s="1"/>
  <c r="H92" i="38"/>
  <c r="I92" i="38" s="1"/>
  <c r="H90" i="38"/>
  <c r="E124" i="49"/>
  <c r="E121" i="49"/>
  <c r="E118" i="49"/>
  <c r="E177" i="49"/>
  <c r="E174" i="49"/>
  <c r="E80" i="49"/>
  <c r="E77" i="49"/>
  <c r="E74" i="49"/>
  <c r="E73" i="49"/>
  <c r="E72" i="49"/>
  <c r="E71" i="49"/>
  <c r="E68" i="49"/>
  <c r="E65" i="49"/>
  <c r="E62" i="49"/>
  <c r="E59" i="49"/>
  <c r="E56" i="49"/>
  <c r="E53" i="49"/>
  <c r="E49" i="49"/>
  <c r="E46" i="49"/>
  <c r="E43" i="49"/>
  <c r="E40" i="49"/>
  <c r="E37" i="49"/>
  <c r="E34" i="49"/>
  <c r="E31" i="49"/>
  <c r="E28" i="49"/>
  <c r="E25" i="49"/>
  <c r="E22" i="49"/>
  <c r="E19" i="49"/>
  <c r="E16" i="49"/>
  <c r="E13" i="49"/>
  <c r="E10" i="49"/>
  <c r="GK49" i="32" l="1"/>
  <c r="H71" i="38" s="1"/>
  <c r="I71" i="38" s="1"/>
  <c r="GK52" i="32"/>
  <c r="H74" i="38" s="1"/>
  <c r="I74" i="38" s="1"/>
  <c r="GA47" i="32"/>
  <c r="GK47" i="32" s="1"/>
  <c r="H69" i="38" s="1"/>
  <c r="I69" i="38" s="1"/>
  <c r="GK50" i="32"/>
  <c r="H72" i="38" s="1"/>
  <c r="I72" i="38" s="1"/>
  <c r="C6" i="83"/>
  <c r="E44" i="49"/>
  <c r="E47" i="49"/>
  <c r="E48" i="49" s="1"/>
  <c r="E50" i="49"/>
  <c r="E38" i="49"/>
  <c r="E23" i="49"/>
  <c r="E24" i="49" s="1"/>
  <c r="E26" i="49"/>
  <c r="E29" i="49"/>
  <c r="E41" i="49"/>
  <c r="E35" i="49"/>
  <c r="E32" i="49"/>
  <c r="E20" i="49"/>
  <c r="E17" i="49"/>
  <c r="E14" i="49"/>
  <c r="E11" i="49"/>
  <c r="E147" i="49"/>
  <c r="E150" i="49"/>
  <c r="E75" i="49"/>
  <c r="E157" i="49"/>
  <c r="E78" i="49"/>
  <c r="E119" i="49"/>
  <c r="E69" i="49"/>
  <c r="E122" i="49"/>
  <c r="E175" i="49"/>
  <c r="E66" i="49"/>
  <c r="E201" i="49"/>
  <c r="E154" i="49"/>
  <c r="E55" i="49"/>
  <c r="E54" i="49"/>
  <c r="E58" i="49"/>
  <c r="E57" i="49"/>
  <c r="E61" i="49"/>
  <c r="E60" i="49"/>
  <c r="E64" i="49"/>
  <c r="E63" i="49"/>
  <c r="E39" i="49" l="1"/>
  <c r="E45" i="49"/>
  <c r="E51" i="49"/>
  <c r="E27" i="49"/>
  <c r="E30" i="49"/>
  <c r="E42" i="49"/>
  <c r="E36" i="49"/>
  <c r="E33" i="49"/>
  <c r="E21" i="49"/>
  <c r="E18" i="49"/>
  <c r="E12" i="49"/>
  <c r="E15" i="49"/>
  <c r="FR171" i="49"/>
  <c r="E148" i="49"/>
  <c r="E176" i="49"/>
  <c r="E158" i="49"/>
  <c r="E202" i="49"/>
  <c r="E120" i="49"/>
  <c r="E79" i="49"/>
  <c r="E155" i="49"/>
  <c r="E123" i="49"/>
  <c r="E76" i="49"/>
  <c r="E151" i="49"/>
  <c r="E70" i="49"/>
  <c r="E67" i="49"/>
  <c r="EG172" i="49" l="1"/>
  <c r="FA172" i="49" s="1"/>
  <c r="FR172" i="49"/>
  <c r="GL172" i="49" s="1"/>
  <c r="EG171" i="49"/>
  <c r="F112" i="38"/>
  <c r="FA171" i="49" l="1"/>
  <c r="GL171" i="49"/>
  <c r="F113" i="38"/>
  <c r="F89" i="38"/>
  <c r="I89" i="38" s="1"/>
  <c r="F88" i="38"/>
  <c r="I88" i="38" s="1"/>
  <c r="F85" i="38"/>
  <c r="I85" i="38" s="1"/>
  <c r="F86" i="38"/>
  <c r="I86" i="38" s="1"/>
  <c r="F87" i="38"/>
  <c r="I87" i="38" s="1"/>
  <c r="F90" i="38"/>
  <c r="I90" i="38" s="1"/>
  <c r="I168" i="31"/>
  <c r="I149" i="31"/>
  <c r="F114" i="38" l="1"/>
  <c r="GE100" i="32"/>
  <c r="GD100" i="32"/>
  <c r="GC100" i="32"/>
  <c r="ES100" i="32"/>
  <c r="ER100" i="32"/>
  <c r="F62" i="38"/>
  <c r="I62" i="38" s="1"/>
  <c r="F59" i="38"/>
  <c r="I59" i="38" s="1"/>
  <c r="F66" i="38"/>
  <c r="I66" i="38" s="1"/>
  <c r="F65" i="38"/>
  <c r="I65" i="38" s="1"/>
  <c r="F67" i="38"/>
  <c r="I67" i="38" s="1"/>
  <c r="DV100" i="32" l="1"/>
  <c r="DS100" i="32"/>
  <c r="DT100" i="32"/>
  <c r="DU100" i="32"/>
  <c r="F84" i="38"/>
  <c r="I84" i="38" s="1"/>
  <c r="DR100" i="32"/>
  <c r="F82" i="38"/>
  <c r="I82" i="38" s="1"/>
  <c r="F83" i="38"/>
  <c r="I83" i="38" s="1"/>
  <c r="F115" i="38"/>
  <c r="G35" i="31"/>
  <c r="F35" i="31"/>
  <c r="E35" i="31"/>
  <c r="D35" i="31"/>
  <c r="C35" i="31"/>
  <c r="B35" i="31"/>
  <c r="M168" i="31"/>
  <c r="L168" i="31"/>
  <c r="K168" i="31"/>
  <c r="J168" i="31"/>
  <c r="M163" i="31"/>
  <c r="L163" i="31"/>
  <c r="K163" i="31"/>
  <c r="J163" i="31"/>
  <c r="I163" i="31"/>
  <c r="M149" i="31"/>
  <c r="L149" i="31"/>
  <c r="K149" i="31"/>
  <c r="J149" i="31"/>
  <c r="M145" i="31"/>
  <c r="L145" i="31"/>
  <c r="K145" i="31"/>
  <c r="J145" i="31"/>
  <c r="I145" i="31"/>
  <c r="M124" i="31"/>
  <c r="L124" i="31"/>
  <c r="K124" i="31"/>
  <c r="J124" i="31"/>
  <c r="I124" i="31"/>
  <c r="M104" i="31"/>
  <c r="L104" i="31"/>
  <c r="K104" i="31"/>
  <c r="J104" i="31"/>
  <c r="I104" i="31"/>
  <c r="M35" i="31"/>
  <c r="L35" i="31"/>
  <c r="K35" i="31"/>
  <c r="J35" i="31"/>
  <c r="I35" i="31"/>
  <c r="F23" i="31"/>
  <c r="F22" i="31"/>
  <c r="G42" i="31" s="1"/>
  <c r="G62" i="31" l="1"/>
  <c r="G43" i="31"/>
  <c r="G78" i="31" s="1"/>
  <c r="F25" i="31"/>
  <c r="F26" i="31" s="1"/>
  <c r="F27" i="31" s="1"/>
  <c r="I51" i="31"/>
  <c r="F116" i="38"/>
  <c r="C41" i="37" l="1"/>
  <c r="D55" i="37"/>
  <c r="C18" i="79" s="1"/>
  <c r="D48" i="44"/>
  <c r="D45" i="48"/>
  <c r="C39" i="79" s="1"/>
  <c r="B11" i="79"/>
  <c r="B10" i="79"/>
  <c r="F117" i="38"/>
  <c r="C60" i="79" l="1"/>
  <c r="D54" i="44"/>
  <c r="C64" i="79" s="1"/>
  <c r="B9" i="79"/>
  <c r="B16" i="79" s="1"/>
  <c r="C40" i="37"/>
  <c r="F118" i="38"/>
  <c r="F120" i="38" l="1"/>
  <c r="F119" i="38"/>
  <c r="CS222" i="49" l="1"/>
  <c r="ET100" i="32"/>
  <c r="H10" i="49" l="1"/>
  <c r="H13" i="49"/>
  <c r="H16" i="49"/>
  <c r="H19" i="49"/>
  <c r="H22" i="49"/>
  <c r="H23" i="49" s="1"/>
  <c r="H25" i="49"/>
  <c r="H26" i="49" s="1"/>
  <c r="H28" i="49"/>
  <c r="H29" i="49" s="1"/>
  <c r="H31" i="49"/>
  <c r="H32" i="49" s="1"/>
  <c r="H34" i="49"/>
  <c r="H37" i="49"/>
  <c r="H38" i="49" s="1"/>
  <c r="H40" i="49"/>
  <c r="H43" i="49"/>
  <c r="H44" i="49" s="1"/>
  <c r="H46" i="49"/>
  <c r="H47" i="49" s="1"/>
  <c r="H49" i="49"/>
  <c r="H50" i="49" s="1"/>
  <c r="H53" i="49"/>
  <c r="H56" i="49"/>
  <c r="H59" i="49"/>
  <c r="H62" i="49"/>
  <c r="H65" i="49"/>
  <c r="H68" i="49"/>
  <c r="H71" i="49"/>
  <c r="H72" i="49"/>
  <c r="B72" i="49" s="1"/>
  <c r="H73" i="49"/>
  <c r="B73" i="49" s="1"/>
  <c r="H74" i="49"/>
  <c r="H77" i="49"/>
  <c r="H80" i="49"/>
  <c r="B80" i="49" s="1"/>
  <c r="H174" i="49"/>
  <c r="H177" i="49"/>
  <c r="B177" i="49" s="1"/>
  <c r="H118" i="49"/>
  <c r="H121" i="49"/>
  <c r="H124" i="49"/>
  <c r="B124" i="49" s="1"/>
  <c r="F147" i="49"/>
  <c r="F150" i="49"/>
  <c r="F154" i="49"/>
  <c r="F157" i="49"/>
  <c r="F201" i="49"/>
  <c r="F10" i="49"/>
  <c r="F11" i="49" s="1"/>
  <c r="F13" i="49"/>
  <c r="F16" i="49"/>
  <c r="F19" i="49"/>
  <c r="F22" i="49"/>
  <c r="F25" i="49"/>
  <c r="F28" i="49"/>
  <c r="F31" i="49"/>
  <c r="F34" i="49"/>
  <c r="F37" i="49"/>
  <c r="F40" i="49"/>
  <c r="F43" i="49"/>
  <c r="F46" i="49"/>
  <c r="F49" i="49"/>
  <c r="F53" i="49"/>
  <c r="F56" i="49"/>
  <c r="F59" i="49"/>
  <c r="F62" i="49"/>
  <c r="F65" i="49"/>
  <c r="F68" i="49"/>
  <c r="F71" i="49"/>
  <c r="F72" i="49"/>
  <c r="F73" i="49"/>
  <c r="F74" i="49"/>
  <c r="F77" i="49"/>
  <c r="F80" i="49"/>
  <c r="F174" i="49"/>
  <c r="F177" i="49"/>
  <c r="F118" i="49"/>
  <c r="F121" i="49"/>
  <c r="F124" i="49"/>
  <c r="C201" i="49"/>
  <c r="C147" i="49"/>
  <c r="C150" i="49"/>
  <c r="C154" i="49"/>
  <c r="C157" i="49"/>
  <c r="C10" i="49"/>
  <c r="C11" i="49" s="1"/>
  <c r="C13" i="49"/>
  <c r="C14" i="49" s="1"/>
  <c r="C16" i="49"/>
  <c r="C17" i="49" s="1"/>
  <c r="C19" i="49"/>
  <c r="C20" i="49" s="1"/>
  <c r="C22" i="49"/>
  <c r="C23" i="49" s="1"/>
  <c r="C25" i="49"/>
  <c r="C26" i="49" s="1"/>
  <c r="C28" i="49"/>
  <c r="C29" i="49" s="1"/>
  <c r="C31" i="49"/>
  <c r="C32" i="49" s="1"/>
  <c r="C34" i="49"/>
  <c r="C35" i="49" s="1"/>
  <c r="C37" i="49"/>
  <c r="C38" i="49" s="1"/>
  <c r="C40" i="49"/>
  <c r="C41" i="49" s="1"/>
  <c r="C43" i="49"/>
  <c r="C44" i="49" s="1"/>
  <c r="C46" i="49"/>
  <c r="C47" i="49" s="1"/>
  <c r="C49" i="49"/>
  <c r="C50" i="49" s="1"/>
  <c r="C53" i="49"/>
  <c r="C56" i="49"/>
  <c r="C59" i="49"/>
  <c r="C62" i="49"/>
  <c r="C65" i="49"/>
  <c r="C66" i="49" s="1"/>
  <c r="C68" i="49"/>
  <c r="C69" i="49" s="1"/>
  <c r="C71" i="49"/>
  <c r="C72" i="49" s="1"/>
  <c r="C74" i="49"/>
  <c r="C75" i="49" s="1"/>
  <c r="C77" i="49"/>
  <c r="C78" i="49" s="1"/>
  <c r="C80" i="49"/>
  <c r="C174" i="49"/>
  <c r="C175" i="49" s="1"/>
  <c r="C177" i="49"/>
  <c r="C118" i="49"/>
  <c r="C119" i="49" s="1"/>
  <c r="C124" i="49"/>
  <c r="C76" i="49" l="1"/>
  <c r="C18" i="49"/>
  <c r="C15" i="49"/>
  <c r="C12" i="49"/>
  <c r="C158" i="49"/>
  <c r="C155" i="49"/>
  <c r="C39" i="49"/>
  <c r="C151" i="49"/>
  <c r="C36" i="49"/>
  <c r="C148" i="49"/>
  <c r="C21" i="49"/>
  <c r="C67" i="49"/>
  <c r="C48" i="49"/>
  <c r="C45" i="49"/>
  <c r="C42" i="49"/>
  <c r="C120" i="49"/>
  <c r="C176" i="49"/>
  <c r="C33" i="49"/>
  <c r="C202" i="49"/>
  <c r="C79" i="49"/>
  <c r="C24" i="49"/>
  <c r="C73" i="49"/>
  <c r="C51" i="49"/>
  <c r="C30" i="49"/>
  <c r="C27" i="49"/>
  <c r="C70" i="49"/>
  <c r="F35" i="49"/>
  <c r="F36" i="49" s="1"/>
  <c r="F32" i="49"/>
  <c r="F33" i="49" s="1"/>
  <c r="F26" i="49"/>
  <c r="F27" i="49" s="1"/>
  <c r="H20" i="49"/>
  <c r="F38" i="49"/>
  <c r="F29" i="49"/>
  <c r="F30" i="49" s="1"/>
  <c r="F23" i="49"/>
  <c r="H17" i="49"/>
  <c r="F20" i="49"/>
  <c r="F21" i="49" s="1"/>
  <c r="H14" i="49"/>
  <c r="F17" i="49"/>
  <c r="F18" i="49" s="1"/>
  <c r="F50" i="49"/>
  <c r="F14" i="49"/>
  <c r="F47" i="49"/>
  <c r="F48" i="49" s="1"/>
  <c r="H41" i="49"/>
  <c r="F44" i="49"/>
  <c r="F45" i="49" s="1"/>
  <c r="F41" i="49"/>
  <c r="F42" i="49" s="1"/>
  <c r="H35" i="49"/>
  <c r="F12" i="49"/>
  <c r="H51" i="49"/>
  <c r="H48" i="49"/>
  <c r="H45" i="49"/>
  <c r="H39" i="49"/>
  <c r="H33" i="49"/>
  <c r="H30" i="49"/>
  <c r="H27" i="49"/>
  <c r="H24" i="49"/>
  <c r="H11" i="49"/>
  <c r="F69" i="49"/>
  <c r="F66" i="49"/>
  <c r="F122" i="49"/>
  <c r="F119" i="49"/>
  <c r="F175" i="49"/>
  <c r="F78" i="49"/>
  <c r="F75" i="49"/>
  <c r="F155" i="49"/>
  <c r="F151" i="49"/>
  <c r="F148" i="49"/>
  <c r="F202" i="49"/>
  <c r="F158" i="49"/>
  <c r="B174" i="49"/>
  <c r="B77" i="49"/>
  <c r="B74" i="49"/>
  <c r="B68" i="49"/>
  <c r="B65" i="49"/>
  <c r="B121" i="49"/>
  <c r="B118" i="49"/>
  <c r="B71" i="49"/>
  <c r="B62" i="49"/>
  <c r="B59" i="49"/>
  <c r="B56" i="49"/>
  <c r="B53" i="49"/>
  <c r="H78" i="49"/>
  <c r="H75" i="49"/>
  <c r="H157" i="49"/>
  <c r="H69" i="49"/>
  <c r="H154" i="49"/>
  <c r="H66" i="49"/>
  <c r="H150" i="49"/>
  <c r="H147" i="49"/>
  <c r="H201" i="49"/>
  <c r="H122" i="49"/>
  <c r="H119" i="49"/>
  <c r="H175" i="49"/>
  <c r="F54" i="49"/>
  <c r="F55" i="49"/>
  <c r="C60" i="49"/>
  <c r="C61" i="49"/>
  <c r="C58" i="49"/>
  <c r="C57" i="49"/>
  <c r="C55" i="49"/>
  <c r="C54" i="49"/>
  <c r="F63" i="49"/>
  <c r="F64" i="49"/>
  <c r="F61" i="49"/>
  <c r="F60" i="49"/>
  <c r="F58" i="49"/>
  <c r="F57" i="49"/>
  <c r="H64" i="49"/>
  <c r="H63" i="49"/>
  <c r="H61" i="49"/>
  <c r="H60" i="49"/>
  <c r="H54" i="49"/>
  <c r="H55" i="49"/>
  <c r="H57" i="49"/>
  <c r="H58" i="49"/>
  <c r="C64" i="49"/>
  <c r="C63" i="49"/>
  <c r="FZ177" i="49" l="1"/>
  <c r="FC177" i="49"/>
  <c r="FC152" i="49"/>
  <c r="FZ152" i="49"/>
  <c r="FS152" i="49"/>
  <c r="FZ74" i="49"/>
  <c r="FV74" i="49"/>
  <c r="FU74" i="49"/>
  <c r="FC74" i="49"/>
  <c r="FR62" i="49"/>
  <c r="FZ62" i="49"/>
  <c r="FC62" i="49"/>
  <c r="FC16" i="49"/>
  <c r="FJ16" i="49"/>
  <c r="FZ16" i="49"/>
  <c r="FJ45" i="49"/>
  <c r="FZ45" i="49"/>
  <c r="FC45" i="49"/>
  <c r="FZ118" i="49"/>
  <c r="FC118" i="49"/>
  <c r="FC77" i="49"/>
  <c r="FZ77" i="49"/>
  <c r="FU77" i="49"/>
  <c r="FV77" i="49"/>
  <c r="FC71" i="49"/>
  <c r="FZ71" i="49"/>
  <c r="FR71" i="49"/>
  <c r="FC19" i="49"/>
  <c r="FJ19" i="49"/>
  <c r="FZ19" i="49"/>
  <c r="FJ24" i="49"/>
  <c r="FZ24" i="49"/>
  <c r="FC24" i="49"/>
  <c r="FZ48" i="49"/>
  <c r="FJ48" i="49"/>
  <c r="FC48" i="49"/>
  <c r="FZ47" i="49"/>
  <c r="FC47" i="49"/>
  <c r="FJ47" i="49"/>
  <c r="FZ25" i="49"/>
  <c r="FC25" i="49"/>
  <c r="FJ25" i="49"/>
  <c r="FC50" i="49"/>
  <c r="FJ50" i="49"/>
  <c r="FZ50" i="49"/>
  <c r="FR73" i="49"/>
  <c r="FZ73" i="49"/>
  <c r="FC73" i="49"/>
  <c r="FC40" i="49"/>
  <c r="FJ40" i="49"/>
  <c r="FZ40" i="49"/>
  <c r="FJ22" i="49"/>
  <c r="FZ22" i="49"/>
  <c r="FC22" i="49"/>
  <c r="FC27" i="49"/>
  <c r="FJ27" i="49"/>
  <c r="FZ27" i="49"/>
  <c r="FC51" i="49"/>
  <c r="FJ51" i="49"/>
  <c r="FZ51" i="49"/>
  <c r="FZ65" i="49"/>
  <c r="FR65" i="49"/>
  <c r="FC65" i="49"/>
  <c r="FZ124" i="49"/>
  <c r="FC124" i="49"/>
  <c r="FZ37" i="49"/>
  <c r="FC37" i="49"/>
  <c r="FJ37" i="49"/>
  <c r="FZ26" i="49"/>
  <c r="FC26" i="49"/>
  <c r="FJ26" i="49"/>
  <c r="FZ159" i="49"/>
  <c r="FC159" i="49"/>
  <c r="FZ200" i="49"/>
  <c r="FZ72" i="49"/>
  <c r="FC72" i="49"/>
  <c r="FR72" i="49"/>
  <c r="FC53" i="49"/>
  <c r="FZ53" i="49"/>
  <c r="FR53" i="49"/>
  <c r="FZ29" i="49"/>
  <c r="FC29" i="49"/>
  <c r="FJ29" i="49"/>
  <c r="FZ153" i="49"/>
  <c r="FC153" i="49"/>
  <c r="FC28" i="49"/>
  <c r="FJ28" i="49"/>
  <c r="FZ28" i="49"/>
  <c r="FC30" i="49"/>
  <c r="FJ30" i="49"/>
  <c r="FZ30" i="49"/>
  <c r="FS146" i="49"/>
  <c r="FZ146" i="49"/>
  <c r="FC146" i="49"/>
  <c r="FC10" i="49"/>
  <c r="FJ10" i="49"/>
  <c r="FZ10" i="49"/>
  <c r="FC31" i="49"/>
  <c r="FJ31" i="49"/>
  <c r="FZ31" i="49"/>
  <c r="FC32" i="49"/>
  <c r="FJ32" i="49"/>
  <c r="FZ32" i="49"/>
  <c r="FZ68" i="49"/>
  <c r="FR68" i="49"/>
  <c r="FC68" i="49"/>
  <c r="FZ56" i="49"/>
  <c r="FR56" i="49"/>
  <c r="FC56" i="49"/>
  <c r="FJ46" i="49"/>
  <c r="FZ46" i="49"/>
  <c r="FC46" i="49"/>
  <c r="FJ23" i="49"/>
  <c r="FZ23" i="49"/>
  <c r="FC23" i="49"/>
  <c r="FZ80" i="49"/>
  <c r="FC80" i="49"/>
  <c r="FU80" i="49"/>
  <c r="FV80" i="49"/>
  <c r="FJ34" i="49"/>
  <c r="FZ34" i="49"/>
  <c r="FC34" i="49"/>
  <c r="FC38" i="49"/>
  <c r="FJ38" i="49"/>
  <c r="FZ38" i="49"/>
  <c r="FC149" i="49"/>
  <c r="FS149" i="49"/>
  <c r="FZ149" i="49"/>
  <c r="FZ156" i="49"/>
  <c r="FC156" i="49"/>
  <c r="FC59" i="49"/>
  <c r="FZ59" i="49"/>
  <c r="FR59" i="49"/>
  <c r="FC49" i="49"/>
  <c r="FJ49" i="49"/>
  <c r="FZ49" i="49"/>
  <c r="FC39" i="49"/>
  <c r="FJ39" i="49"/>
  <c r="FZ39" i="49"/>
  <c r="FC121" i="49"/>
  <c r="FZ121" i="49"/>
  <c r="FZ203" i="49"/>
  <c r="FZ13" i="49"/>
  <c r="FC13" i="49"/>
  <c r="FJ13" i="49"/>
  <c r="FC174" i="49"/>
  <c r="FZ174" i="49"/>
  <c r="FC43" i="49"/>
  <c r="FJ43" i="49"/>
  <c r="FZ43" i="49"/>
  <c r="FJ44" i="49"/>
  <c r="FZ44" i="49"/>
  <c r="FC44" i="49"/>
  <c r="EO73" i="49"/>
  <c r="EO74" i="49"/>
  <c r="DZ16" i="49"/>
  <c r="DZ19" i="49"/>
  <c r="DZ32" i="49"/>
  <c r="DZ13" i="49"/>
  <c r="DZ34" i="49"/>
  <c r="DZ40" i="49"/>
  <c r="DZ31" i="49"/>
  <c r="H18" i="49"/>
  <c r="H42" i="49"/>
  <c r="F51" i="49"/>
  <c r="H21" i="49"/>
  <c r="H15" i="49"/>
  <c r="F24" i="49"/>
  <c r="F15" i="49"/>
  <c r="F39" i="49"/>
  <c r="H36" i="49"/>
  <c r="H12" i="49"/>
  <c r="F79" i="49"/>
  <c r="F123" i="49"/>
  <c r="F67" i="49"/>
  <c r="F70" i="49"/>
  <c r="F120" i="49"/>
  <c r="F176" i="49"/>
  <c r="F76" i="49"/>
  <c r="B147" i="49"/>
  <c r="B150" i="49"/>
  <c r="B154" i="49"/>
  <c r="B66" i="49"/>
  <c r="B157" i="49"/>
  <c r="B78" i="49"/>
  <c r="B175" i="49"/>
  <c r="B69" i="49"/>
  <c r="B201" i="49"/>
  <c r="B119" i="49"/>
  <c r="B75" i="49"/>
  <c r="B122" i="49"/>
  <c r="B61" i="49"/>
  <c r="B64" i="49"/>
  <c r="B63" i="49"/>
  <c r="B58" i="49"/>
  <c r="B57" i="49"/>
  <c r="B55" i="49"/>
  <c r="B54" i="49"/>
  <c r="B60" i="49"/>
  <c r="H202" i="49"/>
  <c r="H155" i="49"/>
  <c r="H120" i="49"/>
  <c r="H148" i="49"/>
  <c r="H70" i="49"/>
  <c r="H79" i="49"/>
  <c r="H123" i="49"/>
  <c r="H158" i="49"/>
  <c r="H176" i="49"/>
  <c r="H151" i="49"/>
  <c r="H76" i="49"/>
  <c r="H67" i="49"/>
  <c r="EC71" i="49" l="1"/>
  <c r="EC56" i="49"/>
  <c r="EC68" i="49"/>
  <c r="EC72" i="49"/>
  <c r="EC59" i="49"/>
  <c r="EC62" i="49"/>
  <c r="EC65" i="49"/>
  <c r="EC73" i="49"/>
  <c r="DR19" i="49"/>
  <c r="EO62" i="49"/>
  <c r="EC53" i="49"/>
  <c r="DR16" i="49"/>
  <c r="FC157" i="49"/>
  <c r="EO72" i="49"/>
  <c r="EO65" i="49"/>
  <c r="EO71" i="49"/>
  <c r="EO59" i="49"/>
  <c r="EJ80" i="49"/>
  <c r="EO80" i="49"/>
  <c r="EO53" i="49"/>
  <c r="EK77" i="49"/>
  <c r="EO68" i="49"/>
  <c r="DR23" i="49"/>
  <c r="DR156" i="49"/>
  <c r="DR31" i="49"/>
  <c r="EK80" i="49"/>
  <c r="EO10" i="49"/>
  <c r="EO56" i="49"/>
  <c r="DR39" i="49"/>
  <c r="EO152" i="49"/>
  <c r="EO77" i="49"/>
  <c r="EO43" i="49"/>
  <c r="EO19" i="49"/>
  <c r="DY24" i="49"/>
  <c r="EO149" i="49"/>
  <c r="EO153" i="49"/>
  <c r="DY46" i="49"/>
  <c r="DY43" i="49"/>
  <c r="EO159" i="49"/>
  <c r="DY37" i="49"/>
  <c r="EO44" i="49"/>
  <c r="EO28" i="49"/>
  <c r="DY51" i="49"/>
  <c r="EO24" i="49"/>
  <c r="DR45" i="49"/>
  <c r="EO49" i="49"/>
  <c r="DR30" i="49"/>
  <c r="EO13" i="49"/>
  <c r="DR38" i="49"/>
  <c r="EO27" i="49"/>
  <c r="EJ77" i="49"/>
  <c r="EO156" i="49"/>
  <c r="EO30" i="49"/>
  <c r="DY29" i="49"/>
  <c r="DR37" i="49"/>
  <c r="EO25" i="49"/>
  <c r="EO48" i="49"/>
  <c r="EO118" i="49"/>
  <c r="EO34" i="49"/>
  <c r="EO146" i="49"/>
  <c r="EO29" i="49"/>
  <c r="EO51" i="49"/>
  <c r="DR22" i="49"/>
  <c r="DR50" i="49"/>
  <c r="DY45" i="49"/>
  <c r="DR26" i="49"/>
  <c r="EO47" i="49"/>
  <c r="DY44" i="49"/>
  <c r="EO31" i="49"/>
  <c r="DY28" i="49"/>
  <c r="DR27" i="49"/>
  <c r="DY47" i="49"/>
  <c r="FZ201" i="49"/>
  <c r="FZ17" i="49"/>
  <c r="FC17" i="49"/>
  <c r="FJ17" i="49"/>
  <c r="DR44" i="49"/>
  <c r="DY49" i="49"/>
  <c r="EO32" i="49"/>
  <c r="DY30" i="49"/>
  <c r="EO124" i="49"/>
  <c r="EO50" i="49"/>
  <c r="DR24" i="49"/>
  <c r="FV78" i="49"/>
  <c r="FC78" i="49"/>
  <c r="FZ78" i="49"/>
  <c r="FU78" i="49"/>
  <c r="FR63" i="49"/>
  <c r="FC63" i="49"/>
  <c r="FZ63" i="49"/>
  <c r="FC11" i="49"/>
  <c r="FJ11" i="49"/>
  <c r="FZ11" i="49"/>
  <c r="EO46" i="49"/>
  <c r="EO26" i="49"/>
  <c r="DY50" i="49"/>
  <c r="DR47" i="49"/>
  <c r="FC58" i="49"/>
  <c r="FR58" i="49"/>
  <c r="FZ58" i="49"/>
  <c r="FC66" i="49"/>
  <c r="FZ66" i="49"/>
  <c r="FR66" i="49"/>
  <c r="FZ210" i="49"/>
  <c r="DY26" i="49"/>
  <c r="FC154" i="49"/>
  <c r="FZ154" i="49"/>
  <c r="FR64" i="49"/>
  <c r="FC64" i="49"/>
  <c r="FZ64" i="49"/>
  <c r="FC20" i="49"/>
  <c r="FJ20" i="49"/>
  <c r="FZ20" i="49"/>
  <c r="DR46" i="49"/>
  <c r="DY27" i="49"/>
  <c r="EO40" i="49"/>
  <c r="FU75" i="49"/>
  <c r="FZ75" i="49"/>
  <c r="FC75" i="49"/>
  <c r="FV75" i="49"/>
  <c r="FC21" i="49"/>
  <c r="FJ21" i="49"/>
  <c r="FZ21" i="49"/>
  <c r="FS150" i="49"/>
  <c r="FC150" i="49"/>
  <c r="FZ150" i="49"/>
  <c r="FC147" i="49"/>
  <c r="FZ147" i="49"/>
  <c r="FS147" i="49"/>
  <c r="FR54" i="49"/>
  <c r="FC54" i="49"/>
  <c r="FZ54" i="49"/>
  <c r="FR61" i="49"/>
  <c r="FZ61" i="49"/>
  <c r="FC61" i="49"/>
  <c r="DR43" i="49"/>
  <c r="EO39" i="49"/>
  <c r="DR29" i="49"/>
  <c r="EO200" i="49"/>
  <c r="DR51" i="49"/>
  <c r="DY25" i="49"/>
  <c r="DY48" i="49"/>
  <c r="EO16" i="49"/>
  <c r="FR60" i="49"/>
  <c r="FZ60" i="49"/>
  <c r="FC60" i="49"/>
  <c r="FC42" i="49"/>
  <c r="FJ42" i="49"/>
  <c r="FZ42" i="49"/>
  <c r="DY39" i="49"/>
  <c r="EO38" i="49"/>
  <c r="DR28" i="49"/>
  <c r="EO22" i="49"/>
  <c r="DR48" i="49"/>
  <c r="FR57" i="49"/>
  <c r="FC57" i="49"/>
  <c r="FZ57" i="49"/>
  <c r="FC69" i="49"/>
  <c r="FR69" i="49"/>
  <c r="FZ69" i="49"/>
  <c r="FJ33" i="49"/>
  <c r="FZ33" i="49"/>
  <c r="FC33" i="49"/>
  <c r="FC175" i="49"/>
  <c r="FZ175" i="49"/>
  <c r="FZ55" i="49"/>
  <c r="FC55" i="49"/>
  <c r="FR55" i="49"/>
  <c r="FZ36" i="49"/>
  <c r="FC36" i="49"/>
  <c r="FJ36" i="49"/>
  <c r="FJ18" i="49"/>
  <c r="FZ18" i="49"/>
  <c r="FC18" i="49"/>
  <c r="EO203" i="49"/>
  <c r="DY38" i="49"/>
  <c r="EO23" i="49"/>
  <c r="EO37" i="49"/>
  <c r="DY22" i="49"/>
  <c r="DR25" i="49"/>
  <c r="FZ119" i="49"/>
  <c r="FC119" i="49"/>
  <c r="FJ35" i="49"/>
  <c r="FZ35" i="49"/>
  <c r="FC35" i="49"/>
  <c r="FC41" i="49"/>
  <c r="FJ41" i="49"/>
  <c r="FZ41" i="49"/>
  <c r="DR49" i="49"/>
  <c r="DY23" i="49"/>
  <c r="EO45" i="49"/>
  <c r="FZ157" i="49"/>
  <c r="EO177" i="49"/>
  <c r="FC122" i="49"/>
  <c r="FZ122" i="49"/>
  <c r="FZ14" i="49"/>
  <c r="FC14" i="49"/>
  <c r="FJ14" i="49"/>
  <c r="EO174" i="49"/>
  <c r="EO121" i="49"/>
  <c r="DR124" i="49"/>
  <c r="EH77" i="49"/>
  <c r="DR121" i="49"/>
  <c r="EG71" i="49"/>
  <c r="DR13" i="49"/>
  <c r="DR71" i="49"/>
  <c r="DR177" i="49"/>
  <c r="DR32" i="49"/>
  <c r="DR10" i="49"/>
  <c r="DR73" i="49"/>
  <c r="DR72" i="49"/>
  <c r="DR174" i="49"/>
  <c r="DZ11" i="49"/>
  <c r="EH74" i="49"/>
  <c r="EI74" i="49"/>
  <c r="EG56" i="49"/>
  <c r="EH80" i="49"/>
  <c r="DZ36" i="49"/>
  <c r="EG68" i="49"/>
  <c r="DZ18" i="49"/>
  <c r="EG62" i="49"/>
  <c r="DR80" i="49"/>
  <c r="DZ33" i="49"/>
  <c r="DR118" i="49"/>
  <c r="DR152" i="49"/>
  <c r="EG65" i="49"/>
  <c r="DR153" i="49"/>
  <c r="DR53" i="49"/>
  <c r="EJ74" i="49"/>
  <c r="EG53" i="49"/>
  <c r="EK74" i="49"/>
  <c r="DZ10" i="49"/>
  <c r="DZ21" i="49"/>
  <c r="DR146" i="49"/>
  <c r="EG73" i="49"/>
  <c r="DR59" i="49"/>
  <c r="DY31" i="49"/>
  <c r="EG59" i="49"/>
  <c r="EI77" i="49"/>
  <c r="DR40" i="49"/>
  <c r="DY32" i="49"/>
  <c r="DR74" i="49"/>
  <c r="EH146" i="49"/>
  <c r="DY34" i="49"/>
  <c r="DR77" i="49"/>
  <c r="DR65" i="49"/>
  <c r="EH152" i="49"/>
  <c r="EI80" i="49"/>
  <c r="DY10" i="49"/>
  <c r="DY19" i="49"/>
  <c r="DR34" i="49"/>
  <c r="DY13" i="49"/>
  <c r="EH149" i="49"/>
  <c r="EG72" i="49"/>
  <c r="DY16" i="49"/>
  <c r="DR159" i="49"/>
  <c r="DR62" i="49"/>
  <c r="DR68" i="49"/>
  <c r="DR56" i="49"/>
  <c r="DR149" i="49"/>
  <c r="DY40" i="49"/>
  <c r="DZ14" i="49"/>
  <c r="DZ41" i="49"/>
  <c r="DZ17" i="49"/>
  <c r="DZ20" i="49"/>
  <c r="DZ42" i="49"/>
  <c r="DZ35" i="49"/>
  <c r="B158" i="49"/>
  <c r="B76" i="49"/>
  <c r="B79" i="49"/>
  <c r="B155" i="49"/>
  <c r="B176" i="49"/>
  <c r="B70" i="49"/>
  <c r="B202" i="49"/>
  <c r="B151" i="49"/>
  <c r="B67" i="49"/>
  <c r="B148" i="49"/>
  <c r="B123" i="49"/>
  <c r="B120" i="49"/>
  <c r="F44" i="38"/>
  <c r="F41" i="38"/>
  <c r="EC61" i="49" l="1"/>
  <c r="EC63" i="49"/>
  <c r="EC64" i="49"/>
  <c r="EC58" i="49"/>
  <c r="EC60" i="49"/>
  <c r="EC57" i="49"/>
  <c r="EC66" i="49"/>
  <c r="EC54" i="49"/>
  <c r="EC69" i="49"/>
  <c r="EC55" i="49"/>
  <c r="GL28" i="49"/>
  <c r="FA203" i="49"/>
  <c r="GL203" i="49"/>
  <c r="GL56" i="49"/>
  <c r="FA200" i="49"/>
  <c r="FA19" i="49"/>
  <c r="GL43" i="49"/>
  <c r="FC120" i="49"/>
  <c r="FA43" i="49"/>
  <c r="FA31" i="49"/>
  <c r="FA156" i="49"/>
  <c r="GL156" i="49" s="1"/>
  <c r="DR20" i="49"/>
  <c r="EJ78" i="49"/>
  <c r="FA37" i="49"/>
  <c r="GL37" i="49" s="1"/>
  <c r="FA45" i="49"/>
  <c r="GL45" i="49" s="1"/>
  <c r="FA16" i="49"/>
  <c r="GL16" i="49" s="1"/>
  <c r="FA51" i="49"/>
  <c r="GL51" i="49" s="1"/>
  <c r="FA26" i="49"/>
  <c r="GL26" i="49" s="1"/>
  <c r="FA50" i="49"/>
  <c r="GL50" i="49" s="1"/>
  <c r="DR42" i="49"/>
  <c r="EO78" i="49"/>
  <c r="DR14" i="49"/>
  <c r="FA22" i="49"/>
  <c r="GL22" i="49" s="1"/>
  <c r="DR36" i="49"/>
  <c r="DR33" i="49"/>
  <c r="FA28" i="49"/>
  <c r="EJ75" i="49"/>
  <c r="EO63" i="49"/>
  <c r="FA27" i="49"/>
  <c r="GL27" i="49" s="1"/>
  <c r="EO57" i="49"/>
  <c r="DR75" i="49"/>
  <c r="EO64" i="49"/>
  <c r="FA24" i="49"/>
  <c r="GL24" i="49" s="1"/>
  <c r="EO60" i="49"/>
  <c r="EO54" i="49"/>
  <c r="EO75" i="49"/>
  <c r="EO58" i="49"/>
  <c r="EO69" i="49"/>
  <c r="DR35" i="49"/>
  <c r="EO66" i="49"/>
  <c r="EO36" i="49"/>
  <c r="EO33" i="49"/>
  <c r="FA38" i="49"/>
  <c r="GL38" i="49" s="1"/>
  <c r="EK75" i="49"/>
  <c r="FA29" i="49"/>
  <c r="GL29" i="49" s="1"/>
  <c r="EK78" i="49"/>
  <c r="EO201" i="49"/>
  <c r="FA201" i="49" s="1"/>
  <c r="EO150" i="49"/>
  <c r="EO18" i="49"/>
  <c r="FA121" i="49"/>
  <c r="GL121" i="49" s="1"/>
  <c r="EO55" i="49"/>
  <c r="FA46" i="49"/>
  <c r="GL46" i="49" s="1"/>
  <c r="DR18" i="49"/>
  <c r="EO21" i="49"/>
  <c r="FA62" i="49"/>
  <c r="GL62" i="49" s="1"/>
  <c r="EO210" i="49"/>
  <c r="EO42" i="49"/>
  <c r="EO20" i="49"/>
  <c r="FA48" i="49"/>
  <c r="GL48" i="49" s="1"/>
  <c r="FA30" i="49"/>
  <c r="GL30" i="49" s="1"/>
  <c r="FA56" i="49"/>
  <c r="FA118" i="49"/>
  <c r="GL118" i="49" s="1"/>
  <c r="FA47" i="49"/>
  <c r="GL47" i="49" s="1"/>
  <c r="FA44" i="49"/>
  <c r="GL44" i="49" s="1"/>
  <c r="FA39" i="49"/>
  <c r="GL39" i="49" s="1"/>
  <c r="FA23" i="49"/>
  <c r="GL23" i="49" s="1"/>
  <c r="FA65" i="49"/>
  <c r="GL65" i="49" s="1"/>
  <c r="EO122" i="49"/>
  <c r="FA49" i="49"/>
  <c r="GL49" i="49" s="1"/>
  <c r="EO17" i="49"/>
  <c r="EO11" i="49"/>
  <c r="EO119" i="49"/>
  <c r="FA34" i="49"/>
  <c r="GL34" i="49" s="1"/>
  <c r="DR41" i="49"/>
  <c r="FA25" i="49"/>
  <c r="GL25" i="49" s="1"/>
  <c r="EO14" i="49"/>
  <c r="FA40" i="49"/>
  <c r="GL40" i="49" s="1"/>
  <c r="FZ67" i="49"/>
  <c r="FR67" i="49"/>
  <c r="FC67" i="49"/>
  <c r="FC151" i="49"/>
  <c r="FS151" i="49"/>
  <c r="FZ151" i="49"/>
  <c r="FV76" i="49"/>
  <c r="FU76" i="49"/>
  <c r="FZ76" i="49"/>
  <c r="FC76" i="49"/>
  <c r="FC15" i="49"/>
  <c r="FJ15" i="49"/>
  <c r="FZ15" i="49"/>
  <c r="FZ120" i="49"/>
  <c r="FU79" i="49"/>
  <c r="FV79" i="49"/>
  <c r="FZ79" i="49"/>
  <c r="FC79" i="49"/>
  <c r="EO175" i="49"/>
  <c r="EO147" i="49"/>
  <c r="FZ202" i="49"/>
  <c r="FC158" i="49"/>
  <c r="FZ158" i="49"/>
  <c r="EO157" i="49"/>
  <c r="EO61" i="49"/>
  <c r="EO41" i="49"/>
  <c r="FC123" i="49"/>
  <c r="FZ123" i="49"/>
  <c r="FC176" i="49"/>
  <c r="FZ176" i="49"/>
  <c r="EO35" i="49"/>
  <c r="FR70" i="49"/>
  <c r="FZ70" i="49"/>
  <c r="FC70" i="49"/>
  <c r="FZ148" i="49"/>
  <c r="FC148" i="49"/>
  <c r="FS148" i="49"/>
  <c r="FC155" i="49"/>
  <c r="FZ155" i="49"/>
  <c r="FJ12" i="49"/>
  <c r="FZ12" i="49"/>
  <c r="FC12" i="49"/>
  <c r="EO154" i="49"/>
  <c r="FA74" i="49"/>
  <c r="GL74" i="49" s="1"/>
  <c r="FA68" i="49"/>
  <c r="GL68" i="49" s="1"/>
  <c r="FA10" i="49"/>
  <c r="FA32" i="49"/>
  <c r="GL32" i="49" s="1"/>
  <c r="FA13" i="49"/>
  <c r="GL13" i="49" s="1"/>
  <c r="FA174" i="49"/>
  <c r="GL174" i="49" s="1"/>
  <c r="FA177" i="49"/>
  <c r="FA124" i="49"/>
  <c r="FA153" i="49"/>
  <c r="GL153" i="49" s="1"/>
  <c r="FA159" i="49"/>
  <c r="GL159" i="49" s="1"/>
  <c r="FA149" i="49"/>
  <c r="GL149" i="49" s="1"/>
  <c r="FA146" i="49"/>
  <c r="GL146" i="49" s="1"/>
  <c r="FA152" i="49"/>
  <c r="GL152" i="49" s="1"/>
  <c r="FA71" i="49"/>
  <c r="FA77" i="49"/>
  <c r="GL77" i="49" s="1"/>
  <c r="FA80" i="49"/>
  <c r="GL80" i="49" s="1"/>
  <c r="FA53" i="49"/>
  <c r="GL53" i="49" s="1"/>
  <c r="FA59" i="49"/>
  <c r="GL59" i="49" s="1"/>
  <c r="FA72" i="49"/>
  <c r="GL72" i="49" s="1"/>
  <c r="FA73" i="49"/>
  <c r="GL73" i="49" s="1"/>
  <c r="DR54" i="49"/>
  <c r="DR154" i="49"/>
  <c r="DR63" i="49"/>
  <c r="DR61" i="49"/>
  <c r="EH150" i="49"/>
  <c r="EG54" i="49"/>
  <c r="EG66" i="49"/>
  <c r="DR66" i="49"/>
  <c r="DR147" i="49"/>
  <c r="DY11" i="49"/>
  <c r="EH75" i="49"/>
  <c r="EG61" i="49"/>
  <c r="DR150" i="49"/>
  <c r="EI75" i="49"/>
  <c r="EG63" i="49"/>
  <c r="EG64" i="49"/>
  <c r="DY36" i="49"/>
  <c r="DR69" i="49"/>
  <c r="EG69" i="49"/>
  <c r="DR64" i="49"/>
  <c r="DY35" i="49"/>
  <c r="DY21" i="49"/>
  <c r="DY14" i="49"/>
  <c r="EG60" i="49"/>
  <c r="DY33" i="49"/>
  <c r="DR157" i="49"/>
  <c r="DR21" i="49"/>
  <c r="DY42" i="49"/>
  <c r="DR119" i="49"/>
  <c r="EH147" i="49"/>
  <c r="DR11" i="49"/>
  <c r="DR17" i="49"/>
  <c r="EG55" i="49"/>
  <c r="DR78" i="49"/>
  <c r="DR58" i="49"/>
  <c r="DR57" i="49"/>
  <c r="DY17" i="49"/>
  <c r="DR55" i="49"/>
  <c r="EH78" i="49"/>
  <c r="DR122" i="49"/>
  <c r="EG58" i="49"/>
  <c r="DY18" i="49"/>
  <c r="EG57" i="49"/>
  <c r="DY41" i="49"/>
  <c r="DR175" i="49"/>
  <c r="EI78" i="49"/>
  <c r="DR60" i="49"/>
  <c r="DY20" i="49"/>
  <c r="DZ15" i="49"/>
  <c r="H41" i="38"/>
  <c r="I41" i="38" s="1"/>
  <c r="H38" i="38"/>
  <c r="H44" i="38"/>
  <c r="I44" i="38" s="1"/>
  <c r="H37" i="38"/>
  <c r="D177" i="49"/>
  <c r="D56" i="49"/>
  <c r="D157" i="49"/>
  <c r="D158" i="49" s="1"/>
  <c r="D77" i="49"/>
  <c r="D78" i="49" s="1"/>
  <c r="D79" i="49" s="1"/>
  <c r="D74" i="49"/>
  <c r="D75" i="49" s="1"/>
  <c r="D76" i="49" s="1"/>
  <c r="D53" i="49"/>
  <c r="D80" i="49"/>
  <c r="D154" i="49"/>
  <c r="D155" i="49" s="1"/>
  <c r="D150" i="49"/>
  <c r="D151" i="49" s="1"/>
  <c r="D124" i="49"/>
  <c r="D68" i="49"/>
  <c r="D69" i="49" s="1"/>
  <c r="D70" i="49" s="1"/>
  <c r="D59" i="49"/>
  <c r="D201" i="49"/>
  <c r="D202" i="49" s="1"/>
  <c r="D71" i="49"/>
  <c r="D72" i="49" s="1"/>
  <c r="D73" i="49" s="1"/>
  <c r="D121" i="49"/>
  <c r="D122" i="49" s="1"/>
  <c r="D123" i="49" s="1"/>
  <c r="D65" i="49"/>
  <c r="D66" i="49" s="1"/>
  <c r="D67" i="49" s="1"/>
  <c r="D174" i="49"/>
  <c r="D175" i="49" s="1"/>
  <c r="D176" i="49" s="1"/>
  <c r="D147" i="49"/>
  <c r="D148" i="49" s="1"/>
  <c r="D118" i="49"/>
  <c r="D119" i="49" s="1"/>
  <c r="D120" i="49" s="1"/>
  <c r="D62" i="49"/>
  <c r="EC67" i="49" l="1"/>
  <c r="EC70" i="49"/>
  <c r="FA175" i="49"/>
  <c r="FA157" i="49"/>
  <c r="FA119" i="49"/>
  <c r="EK79" i="49"/>
  <c r="EG67" i="49"/>
  <c r="GL71" i="49"/>
  <c r="GL31" i="49"/>
  <c r="GL124" i="49"/>
  <c r="GL177" i="49"/>
  <c r="EK76" i="49"/>
  <c r="CO222" i="49"/>
  <c r="FZ222" i="49"/>
  <c r="FA122" i="49"/>
  <c r="FV222" i="49"/>
  <c r="DR155" i="49"/>
  <c r="GL10" i="49"/>
  <c r="FU222" i="49"/>
  <c r="FA33" i="49"/>
  <c r="GL33" i="49"/>
  <c r="FA14" i="49"/>
  <c r="GL119" i="49"/>
  <c r="GL19" i="49"/>
  <c r="GL154" i="49"/>
  <c r="GL201" i="49"/>
  <c r="FA18" i="49"/>
  <c r="GL175" i="49"/>
  <c r="GL122" i="49"/>
  <c r="FA210" i="49"/>
  <c r="GL210" i="49"/>
  <c r="GL200" i="49"/>
  <c r="FA41" i="49"/>
  <c r="GL41" i="49"/>
  <c r="GL157" i="49"/>
  <c r="FA42" i="49"/>
  <c r="GL42" i="49" s="1"/>
  <c r="FA11" i="49"/>
  <c r="GL11" i="49" s="1"/>
  <c r="FA36" i="49"/>
  <c r="GL36" i="49" s="1"/>
  <c r="EJ76" i="49"/>
  <c r="EO67" i="49"/>
  <c r="FA20" i="49"/>
  <c r="GL20" i="49" s="1"/>
  <c r="FA60" i="49"/>
  <c r="GL60" i="49" s="1"/>
  <c r="EJ79" i="49"/>
  <c r="FA17" i="49"/>
  <c r="GL17" i="49" s="1"/>
  <c r="FA35" i="49"/>
  <c r="GL35" i="49" s="1"/>
  <c r="EO148" i="49"/>
  <c r="EO70" i="49"/>
  <c r="EO76" i="49"/>
  <c r="EO151" i="49"/>
  <c r="EO79" i="49"/>
  <c r="EO158" i="49"/>
  <c r="EO176" i="49"/>
  <c r="EO120" i="49"/>
  <c r="EO202" i="49"/>
  <c r="EO123" i="49"/>
  <c r="EO15" i="49"/>
  <c r="EO12" i="49"/>
  <c r="FA64" i="49"/>
  <c r="GL64" i="49" s="1"/>
  <c r="EO155" i="49"/>
  <c r="FA21" i="49"/>
  <c r="GL21" i="49" s="1"/>
  <c r="FA154" i="49"/>
  <c r="FA147" i="49"/>
  <c r="GL147" i="49" s="1"/>
  <c r="FA150" i="49"/>
  <c r="GL150" i="49" s="1"/>
  <c r="FA66" i="49"/>
  <c r="GL66" i="49" s="1"/>
  <c r="FA54" i="49"/>
  <c r="GL54" i="49" s="1"/>
  <c r="FA55" i="49"/>
  <c r="GL55" i="49" s="1"/>
  <c r="FA75" i="49"/>
  <c r="GL75" i="49" s="1"/>
  <c r="FA78" i="49"/>
  <c r="GL78" i="49" s="1"/>
  <c r="FA57" i="49"/>
  <c r="GL57" i="49" s="1"/>
  <c r="FA58" i="49"/>
  <c r="GL58" i="49" s="1"/>
  <c r="FA69" i="49"/>
  <c r="GL69" i="49" s="1"/>
  <c r="FA61" i="49"/>
  <c r="GL61" i="49" s="1"/>
  <c r="FA63" i="49"/>
  <c r="GL63" i="49" s="1"/>
  <c r="EH76" i="49"/>
  <c r="DR70" i="49"/>
  <c r="DR79" i="49"/>
  <c r="DR76" i="49"/>
  <c r="DE225" i="49"/>
  <c r="EH148" i="49"/>
  <c r="DR120" i="49"/>
  <c r="DZ12" i="49"/>
  <c r="DR176" i="49"/>
  <c r="EI79" i="49"/>
  <c r="DR123" i="49"/>
  <c r="DR12" i="49"/>
  <c r="EI76" i="49"/>
  <c r="FS222" i="49" s="1"/>
  <c r="EH79" i="49"/>
  <c r="EG70" i="49"/>
  <c r="FQ222" i="49" s="1"/>
  <c r="DR148" i="49"/>
  <c r="DR67" i="49"/>
  <c r="DR15" i="49"/>
  <c r="DR158" i="49"/>
  <c r="EH151" i="49"/>
  <c r="DY15" i="49"/>
  <c r="DR151" i="49"/>
  <c r="DY12" i="49"/>
  <c r="DE222" i="49"/>
  <c r="CX222" i="49"/>
  <c r="CY222" i="49"/>
  <c r="CW222" i="49"/>
  <c r="D64" i="49"/>
  <c r="D63" i="49"/>
  <c r="D58" i="49"/>
  <c r="D57" i="49"/>
  <c r="D54" i="49"/>
  <c r="D55" i="49"/>
  <c r="D61" i="49"/>
  <c r="D60" i="49"/>
  <c r="D31" i="49"/>
  <c r="D32" i="49" s="1"/>
  <c r="D33" i="49" s="1"/>
  <c r="D25" i="49"/>
  <c r="D26" i="49" s="1"/>
  <c r="D27" i="49" s="1"/>
  <c r="D19" i="49"/>
  <c r="D20" i="49" s="1"/>
  <c r="D21" i="49" s="1"/>
  <c r="D22" i="49"/>
  <c r="D23" i="49" s="1"/>
  <c r="D24" i="49" s="1"/>
  <c r="D16" i="49"/>
  <c r="D17" i="49" s="1"/>
  <c r="D18" i="49" s="1"/>
  <c r="D49" i="49"/>
  <c r="D50" i="49" s="1"/>
  <c r="D51" i="49" s="1"/>
  <c r="D13" i="49"/>
  <c r="D14" i="49" s="1"/>
  <c r="D15" i="49" s="1"/>
  <c r="D46" i="49"/>
  <c r="D47" i="49" s="1"/>
  <c r="D48" i="49" s="1"/>
  <c r="D43" i="49"/>
  <c r="D44" i="49" s="1"/>
  <c r="D45" i="49" s="1"/>
  <c r="D40" i="49"/>
  <c r="D41" i="49" s="1"/>
  <c r="D42" i="49" s="1"/>
  <c r="D34" i="49"/>
  <c r="D35" i="49" s="1"/>
  <c r="D36" i="49" s="1"/>
  <c r="D28" i="49"/>
  <c r="D29" i="49" s="1"/>
  <c r="D30" i="49" s="1"/>
  <c r="D10" i="49"/>
  <c r="D11" i="49" s="1"/>
  <c r="D12" i="49" s="1"/>
  <c r="D37" i="49"/>
  <c r="D38" i="49" s="1"/>
  <c r="D39" i="49" s="1"/>
  <c r="FA120" i="49" l="1"/>
  <c r="EK222" i="49"/>
  <c r="GL18" i="49"/>
  <c r="FR222" i="49"/>
  <c r="FT222" i="49"/>
  <c r="GL14" i="49"/>
  <c r="FA155" i="49"/>
  <c r="GL70" i="49"/>
  <c r="DZ222" i="49"/>
  <c r="FJ222" i="49"/>
  <c r="FA202" i="49"/>
  <c r="GL202" i="49"/>
  <c r="GL120" i="49"/>
  <c r="FI222" i="49"/>
  <c r="EJ222" i="49"/>
  <c r="FA15" i="49"/>
  <c r="GL15" i="49" s="1"/>
  <c r="FA70" i="49"/>
  <c r="FA151" i="49"/>
  <c r="GL151" i="49" s="1"/>
  <c r="FA12" i="49"/>
  <c r="FA176" i="49"/>
  <c r="GL176" i="49" s="1"/>
  <c r="FA123" i="49"/>
  <c r="GL123" i="49" s="1"/>
  <c r="FA158" i="49"/>
  <c r="GL158" i="49" s="1"/>
  <c r="FA148" i="49"/>
  <c r="GL148" i="49" s="1"/>
  <c r="FA67" i="49"/>
  <c r="GL67" i="49" s="1"/>
  <c r="FA76" i="49"/>
  <c r="GL76" i="49" s="1"/>
  <c r="FA79" i="49"/>
  <c r="GL79" i="49" s="1"/>
  <c r="A76" i="38"/>
  <c r="A38" i="38"/>
  <c r="A79" i="38"/>
  <c r="A64" i="38"/>
  <c r="A56" i="38"/>
  <c r="A48" i="38"/>
  <c r="A40" i="38"/>
  <c r="A33" i="38"/>
  <c r="A83" i="38"/>
  <c r="A62" i="38"/>
  <c r="A54" i="38"/>
  <c r="A80" i="38"/>
  <c r="A61" i="38"/>
  <c r="A44" i="38"/>
  <c r="A52" i="38"/>
  <c r="A60" i="38"/>
  <c r="A84" i="38"/>
  <c r="A77" i="38"/>
  <c r="A57" i="38"/>
  <c r="A53" i="38"/>
  <c r="A81" i="38"/>
  <c r="A78" i="38"/>
  <c r="A41" i="38"/>
  <c r="A45" i="38"/>
  <c r="A37" i="38"/>
  <c r="A82" i="38"/>
  <c r="A63" i="38"/>
  <c r="A55" i="38"/>
  <c r="A47" i="38"/>
  <c r="A39" i="38"/>
  <c r="A32" i="38"/>
  <c r="A65" i="38"/>
  <c r="A49" i="38"/>
  <c r="A34" i="38"/>
  <c r="A66" i="38"/>
  <c r="A51" i="38"/>
  <c r="A36" i="38"/>
  <c r="A50" i="38"/>
  <c r="A67" i="38"/>
  <c r="A42" i="38"/>
  <c r="A59" i="38"/>
  <c r="A43" i="38"/>
  <c r="A58" i="38"/>
  <c r="A35" i="38"/>
  <c r="K6" i="83" l="1"/>
  <c r="GL12" i="49"/>
  <c r="P6" i="83" s="1"/>
  <c r="Q6" i="83" s="1"/>
  <c r="GL155" i="49"/>
  <c r="FY222" i="49"/>
  <c r="E6" i="83" l="1"/>
  <c r="F145" i="31" l="1"/>
  <c r="E145" i="31"/>
  <c r="B145" i="31"/>
  <c r="E149" i="31"/>
  <c r="D149" i="31"/>
  <c r="C149" i="31"/>
  <c r="B149" i="31"/>
  <c r="C145" i="31"/>
  <c r="F168" i="31"/>
  <c r="E168" i="31"/>
  <c r="D168" i="31"/>
  <c r="C168" i="31"/>
  <c r="B168" i="31"/>
  <c r="D163" i="31" l="1"/>
  <c r="E163" i="31"/>
  <c r="G163" i="31"/>
  <c r="C163" i="31"/>
  <c r="G145" i="31"/>
  <c r="D145" i="31"/>
  <c r="B163" i="31"/>
  <c r="F163" i="31"/>
  <c r="G24" i="38" l="1"/>
  <c r="D24" i="38" l="1"/>
  <c r="G124" i="31" l="1"/>
  <c r="F124" i="31"/>
  <c r="E124" i="31"/>
  <c r="D124" i="31"/>
  <c r="C124" i="31"/>
  <c r="B124" i="31"/>
  <c r="G104" i="31"/>
  <c r="F104" i="31"/>
  <c r="E104" i="31"/>
  <c r="C104" i="31"/>
  <c r="E135" i="31" s="1"/>
  <c r="D104" i="31"/>
  <c r="F135" i="31" s="1"/>
  <c r="E130" i="31" l="1"/>
  <c r="E131" i="31" s="1"/>
  <c r="E115" i="31"/>
  <c r="E116" i="31" s="1"/>
  <c r="G135" i="31" s="1"/>
  <c r="C34" i="48" s="1"/>
  <c r="F115" i="31"/>
  <c r="F116" i="31" s="1"/>
  <c r="F130" i="31"/>
  <c r="F131" i="31" s="1"/>
  <c r="EL222" i="49"/>
  <c r="C33" i="48" l="1"/>
  <c r="B34" i="79"/>
  <c r="G115" i="31"/>
  <c r="G116" i="31" s="1"/>
  <c r="G130" i="31"/>
  <c r="D33" i="48"/>
  <c r="D38" i="48" s="1"/>
  <c r="G131" i="31" l="1"/>
  <c r="B33" i="79"/>
  <c r="B37" i="79" s="1"/>
  <c r="C38" i="48"/>
  <c r="D50" i="48"/>
  <c r="F17" i="31"/>
  <c r="D51" i="48" l="1"/>
  <c r="C43" i="79" s="1"/>
  <c r="C42" i="79"/>
  <c r="B7" i="31"/>
  <c r="B3" i="28"/>
  <c r="C4" i="37"/>
  <c r="C8" i="37" s="1"/>
  <c r="CD4" i="52"/>
  <c r="AT4" i="52"/>
  <c r="EM222" i="49"/>
  <c r="A31" i="31"/>
  <c r="B31" i="31" s="1"/>
  <c r="EN222" i="49"/>
  <c r="L4" i="49"/>
  <c r="C3" i="49"/>
  <c r="DR4" i="49"/>
  <c r="CH4" i="49"/>
  <c r="E19" i="38"/>
  <c r="F28" i="38"/>
  <c r="C3" i="40"/>
  <c r="DP4" i="40"/>
  <c r="CF4" i="40"/>
  <c r="B9" i="38"/>
  <c r="B8" i="38"/>
  <c r="B3" i="38"/>
  <c r="F24" i="38"/>
  <c r="E24" i="38"/>
  <c r="DQ4" i="32"/>
  <c r="CG4" i="32"/>
  <c r="L4" i="32"/>
  <c r="C3" i="32"/>
  <c r="C1" i="52"/>
  <c r="B1" i="28"/>
  <c r="C1" i="49"/>
  <c r="C1" i="40"/>
  <c r="B1" i="38"/>
  <c r="C1" i="32"/>
  <c r="F7" i="100" l="1"/>
  <c r="E8" i="100"/>
  <c r="E6" i="100"/>
  <c r="F8" i="100"/>
  <c r="E9" i="100"/>
  <c r="F15" i="100"/>
  <c r="F9" i="100"/>
  <c r="E10" i="100"/>
  <c r="F10" i="100"/>
  <c r="E11" i="100"/>
  <c r="E12" i="100"/>
  <c r="E13" i="100"/>
  <c r="E15" i="100"/>
  <c r="E16" i="100"/>
  <c r="F11" i="100"/>
  <c r="F13" i="100"/>
  <c r="F6" i="100"/>
  <c r="F12" i="100"/>
  <c r="F16" i="100"/>
  <c r="E14" i="100"/>
  <c r="F14" i="100"/>
  <c r="E7" i="100"/>
  <c r="O27" i="87"/>
  <c r="C22" i="37"/>
  <c r="E28" i="48"/>
  <c r="E44" i="48" s="1"/>
  <c r="E35" i="37"/>
  <c r="E54" i="37" s="1"/>
  <c r="E29" i="44"/>
  <c r="E47" i="44" s="1"/>
  <c r="O60" i="87"/>
  <c r="O50" i="87"/>
  <c r="Q50" i="87" s="1"/>
  <c r="O33" i="87"/>
  <c r="O11" i="87"/>
  <c r="O10" i="87"/>
  <c r="O18" i="87"/>
  <c r="Q18" i="87" s="1"/>
  <c r="O6" i="87"/>
  <c r="O39" i="87"/>
  <c r="O35" i="87"/>
  <c r="O53" i="87"/>
  <c r="O22" i="87"/>
  <c r="O9" i="87"/>
  <c r="O17" i="87"/>
  <c r="Q17" i="87" s="1"/>
  <c r="O40" i="87"/>
  <c r="Q40" i="87" s="1"/>
  <c r="O38" i="87"/>
  <c r="Q38" i="87" s="1"/>
  <c r="O34" i="87"/>
  <c r="K337" i="28"/>
  <c r="K318" i="28"/>
  <c r="L303" i="28"/>
  <c r="L291" i="28"/>
  <c r="L279" i="28"/>
  <c r="L267" i="28"/>
  <c r="L255" i="28"/>
  <c r="L243" i="28"/>
  <c r="L231" i="28"/>
  <c r="L219" i="28"/>
  <c r="L211" i="28"/>
  <c r="L199" i="28"/>
  <c r="L187" i="28"/>
  <c r="L175" i="28"/>
  <c r="L163" i="28"/>
  <c r="L151" i="28"/>
  <c r="L139" i="28"/>
  <c r="L127" i="28"/>
  <c r="L115" i="28"/>
  <c r="L103" i="28"/>
  <c r="L91" i="28"/>
  <c r="L79" i="28"/>
  <c r="L67" i="28"/>
  <c r="L55" i="28"/>
  <c r="L43" i="28"/>
  <c r="L31" i="28"/>
  <c r="L19" i="28"/>
  <c r="L7" i="28"/>
  <c r="D4" i="89"/>
  <c r="K331" i="28"/>
  <c r="K316" i="28"/>
  <c r="L289" i="28"/>
  <c r="L265" i="28"/>
  <c r="L253" i="28"/>
  <c r="L241" i="28"/>
  <c r="L209" i="28"/>
  <c r="L185" i="28"/>
  <c r="L161" i="28"/>
  <c r="L149" i="28"/>
  <c r="L125" i="28"/>
  <c r="L101" i="28"/>
  <c r="L65" i="28"/>
  <c r="L41" i="28"/>
  <c r="L17" i="28"/>
  <c r="K330" i="28"/>
  <c r="L300" i="28"/>
  <c r="L276" i="28"/>
  <c r="L264" i="28"/>
  <c r="L240" i="28"/>
  <c r="L196" i="28"/>
  <c r="L160" i="28"/>
  <c r="L136" i="28"/>
  <c r="L112" i="28"/>
  <c r="L100" i="28"/>
  <c r="L88" i="28"/>
  <c r="L64" i="28"/>
  <c r="L52" i="28"/>
  <c r="L28" i="28"/>
  <c r="L16" i="28"/>
  <c r="K329" i="28"/>
  <c r="L311" i="28"/>
  <c r="L299" i="28"/>
  <c r="L287" i="28"/>
  <c r="L263" i="28"/>
  <c r="L251" i="28"/>
  <c r="L227" i="28"/>
  <c r="L195" i="28"/>
  <c r="L183" i="28"/>
  <c r="L159" i="28"/>
  <c r="L135" i="28"/>
  <c r="L123" i="28"/>
  <c r="L99" i="28"/>
  <c r="L87" i="28"/>
  <c r="L75" i="28"/>
  <c r="L51" i="28"/>
  <c r="L39" i="28"/>
  <c r="L27" i="28"/>
  <c r="K336" i="28"/>
  <c r="K317" i="28"/>
  <c r="L302" i="28"/>
  <c r="L290" i="28"/>
  <c r="L278" i="28"/>
  <c r="L266" i="28"/>
  <c r="L254" i="28"/>
  <c r="L242" i="28"/>
  <c r="L230" i="28"/>
  <c r="L218" i="28"/>
  <c r="L210" i="28"/>
  <c r="L198" i="28"/>
  <c r="L186" i="28"/>
  <c r="L174" i="28"/>
  <c r="L162" i="28"/>
  <c r="L150" i="28"/>
  <c r="L138" i="28"/>
  <c r="L126" i="28"/>
  <c r="L114" i="28"/>
  <c r="L102" i="28"/>
  <c r="L90" i="28"/>
  <c r="L78" i="28"/>
  <c r="L66" i="28"/>
  <c r="L54" i="28"/>
  <c r="L42" i="28"/>
  <c r="L30" i="28"/>
  <c r="L18" i="28"/>
  <c r="L6" i="28"/>
  <c r="L301" i="28"/>
  <c r="L277" i="28"/>
  <c r="L229" i="28"/>
  <c r="L197" i="28"/>
  <c r="L173" i="28"/>
  <c r="L137" i="28"/>
  <c r="L113" i="28"/>
  <c r="L89" i="28"/>
  <c r="L77" i="28"/>
  <c r="L53" i="28"/>
  <c r="L29" i="28"/>
  <c r="K315" i="28"/>
  <c r="L288" i="28"/>
  <c r="L252" i="28"/>
  <c r="L228" i="28"/>
  <c r="L208" i="28"/>
  <c r="L184" i="28"/>
  <c r="L172" i="28"/>
  <c r="L148" i="28"/>
  <c r="L124" i="28"/>
  <c r="L76" i="28"/>
  <c r="L40" i="28"/>
  <c r="L275" i="28"/>
  <c r="L239" i="28"/>
  <c r="L207" i="28"/>
  <c r="L171" i="28"/>
  <c r="L147" i="28"/>
  <c r="L111" i="28"/>
  <c r="L63" i="28"/>
  <c r="K327" i="28"/>
  <c r="L309" i="28"/>
  <c r="L297" i="28"/>
  <c r="L285" i="28"/>
  <c r="L273" i="28"/>
  <c r="L261" i="28"/>
  <c r="L249" i="28"/>
  <c r="L237" i="28"/>
  <c r="L225" i="28"/>
  <c r="L217" i="28"/>
  <c r="L205" i="28"/>
  <c r="L193" i="28"/>
  <c r="L181" i="28"/>
  <c r="L169" i="28"/>
  <c r="L157" i="28"/>
  <c r="L145" i="28"/>
  <c r="L133" i="28"/>
  <c r="L121" i="28"/>
  <c r="L109" i="28"/>
  <c r="L97" i="28"/>
  <c r="L85" i="28"/>
  <c r="L73" i="28"/>
  <c r="L61" i="28"/>
  <c r="L49" i="28"/>
  <c r="L37" i="28"/>
  <c r="L25" i="28"/>
  <c r="L13" i="28"/>
  <c r="J347" i="28"/>
  <c r="K326" i="28"/>
  <c r="L308" i="28"/>
  <c r="L296" i="28"/>
  <c r="L284" i="28"/>
  <c r="L272" i="28"/>
  <c r="L260" i="28"/>
  <c r="L248" i="28"/>
  <c r="L236" i="28"/>
  <c r="L224" i="28"/>
  <c r="L216" i="28"/>
  <c r="L204" i="28"/>
  <c r="L192" i="28"/>
  <c r="L180" i="28"/>
  <c r="L168" i="28"/>
  <c r="L156" i="28"/>
  <c r="L144" i="28"/>
  <c r="L132" i="28"/>
  <c r="L120" i="28"/>
  <c r="L108" i="28"/>
  <c r="L96" i="28"/>
  <c r="L84" i="28"/>
  <c r="L72" i="28"/>
  <c r="L60" i="28"/>
  <c r="L48" i="28"/>
  <c r="L36" i="28"/>
  <c r="L24" i="28"/>
  <c r="L12" i="28"/>
  <c r="J346" i="28"/>
  <c r="K325" i="28"/>
  <c r="L307" i="28"/>
  <c r="L295" i="28"/>
  <c r="L283" i="28"/>
  <c r="L271" i="28"/>
  <c r="L259" i="28"/>
  <c r="L247" i="28"/>
  <c r="L235" i="28"/>
  <c r="L223" i="28"/>
  <c r="L215" i="28"/>
  <c r="L203" i="28"/>
  <c r="L191" i="28"/>
  <c r="L179" i="28"/>
  <c r="L167" i="28"/>
  <c r="L155" i="28"/>
  <c r="L143" i="28"/>
  <c r="L131" i="28"/>
  <c r="L119" i="28"/>
  <c r="L107" i="28"/>
  <c r="L95" i="28"/>
  <c r="L83" i="28"/>
  <c r="L71" i="28"/>
  <c r="L59" i="28"/>
  <c r="L47" i="28"/>
  <c r="L35" i="28"/>
  <c r="L23" i="28"/>
  <c r="L11" i="28"/>
  <c r="J345" i="28"/>
  <c r="K324" i="28"/>
  <c r="L305" i="28"/>
  <c r="L269" i="28"/>
  <c r="L233" i="28"/>
  <c r="L201" i="28"/>
  <c r="L165" i="28"/>
  <c r="L129" i="28"/>
  <c r="L93" i="28"/>
  <c r="L57" i="28"/>
  <c r="L21" i="28"/>
  <c r="L128" i="28"/>
  <c r="L56" i="28"/>
  <c r="L20" i="28"/>
  <c r="L298" i="28"/>
  <c r="L226" i="28"/>
  <c r="L194" i="28"/>
  <c r="L122" i="28"/>
  <c r="L15" i="28"/>
  <c r="L294" i="28"/>
  <c r="L222" i="28"/>
  <c r="L190" i="28"/>
  <c r="L118" i="28"/>
  <c r="L82" i="28"/>
  <c r="L14" i="28"/>
  <c r="L257" i="28"/>
  <c r="L221" i="28"/>
  <c r="L189" i="28"/>
  <c r="L117" i="28"/>
  <c r="L81" i="28"/>
  <c r="L10" i="28"/>
  <c r="L146" i="28"/>
  <c r="L38" i="28"/>
  <c r="L246" i="28"/>
  <c r="L178" i="28"/>
  <c r="L70" i="28"/>
  <c r="L281" i="28"/>
  <c r="L177" i="28"/>
  <c r="L69" i="28"/>
  <c r="L244" i="28"/>
  <c r="L104" i="28"/>
  <c r="L32" i="28"/>
  <c r="L238" i="28"/>
  <c r="L170" i="28"/>
  <c r="L62" i="28"/>
  <c r="L306" i="28"/>
  <c r="L202" i="28"/>
  <c r="L130" i="28"/>
  <c r="L58" i="28"/>
  <c r="L304" i="28"/>
  <c r="L268" i="28"/>
  <c r="L232" i="28"/>
  <c r="L200" i="28"/>
  <c r="L164" i="28"/>
  <c r="L92" i="28"/>
  <c r="L262" i="28"/>
  <c r="L158" i="28"/>
  <c r="L50" i="28"/>
  <c r="L258" i="28"/>
  <c r="L154" i="28"/>
  <c r="L46" i="28"/>
  <c r="L293" i="28"/>
  <c r="L153" i="28"/>
  <c r="L45" i="28"/>
  <c r="L110" i="28"/>
  <c r="K328" i="28"/>
  <c r="L213" i="28"/>
  <c r="L105" i="28"/>
  <c r="L280" i="28"/>
  <c r="L176" i="28"/>
  <c r="L274" i="28"/>
  <c r="L98" i="28"/>
  <c r="L86" i="28"/>
  <c r="L142" i="28"/>
  <c r="L245" i="28"/>
  <c r="L140" i="28"/>
  <c r="L310" i="28"/>
  <c r="L26" i="28"/>
  <c r="J344" i="28"/>
  <c r="L292" i="28"/>
  <c r="L256" i="28"/>
  <c r="L220" i="28"/>
  <c r="L188" i="28"/>
  <c r="L152" i="28"/>
  <c r="L116" i="28"/>
  <c r="L80" i="28"/>
  <c r="L44" i="28"/>
  <c r="L9" i="28"/>
  <c r="J343" i="28"/>
  <c r="L286" i="28"/>
  <c r="L250" i="28"/>
  <c r="L182" i="28"/>
  <c r="L74" i="28"/>
  <c r="L8" i="28"/>
  <c r="L282" i="28"/>
  <c r="L214" i="28"/>
  <c r="L106" i="28"/>
  <c r="L34" i="28"/>
  <c r="K320" i="28"/>
  <c r="L141" i="28"/>
  <c r="L33" i="28"/>
  <c r="K319" i="28"/>
  <c r="L212" i="28"/>
  <c r="L68" i="28"/>
  <c r="L206" i="28"/>
  <c r="L134" i="28"/>
  <c r="L270" i="28"/>
  <c r="L234" i="28"/>
  <c r="L166" i="28"/>
  <c r="L94" i="28"/>
  <c r="L22" i="28"/>
  <c r="J341" i="28"/>
  <c r="K313" i="28"/>
  <c r="K322" i="28"/>
  <c r="L4" i="28"/>
  <c r="C8" i="38"/>
  <c r="D5" i="81" s="1"/>
  <c r="E57" i="37"/>
  <c r="E36" i="44"/>
  <c r="D55" i="79" s="1"/>
  <c r="C13" i="37"/>
  <c r="C27" i="37"/>
  <c r="C20" i="37"/>
  <c r="E35" i="48"/>
  <c r="D35" i="79" s="1"/>
  <c r="E36" i="48"/>
  <c r="D36" i="79" s="1"/>
  <c r="C4" i="48"/>
  <c r="C6" i="44"/>
  <c r="B8" i="31"/>
  <c r="Q10" i="87" l="1"/>
  <c r="Q11" i="87"/>
  <c r="Q27" i="87"/>
  <c r="Q22" i="87"/>
  <c r="Q33" i="87"/>
  <c r="Q53" i="87"/>
  <c r="Q35" i="87"/>
  <c r="Q60" i="87"/>
  <c r="Q34" i="87"/>
  <c r="Q39" i="87"/>
  <c r="Q9" i="87"/>
  <c r="Q6" i="87"/>
  <c r="O36" i="87"/>
  <c r="Q36" i="87" s="1"/>
  <c r="O28" i="87"/>
  <c r="O37" i="87"/>
  <c r="O16" i="87"/>
  <c r="Q16" i="87" s="1"/>
  <c r="O48" i="87"/>
  <c r="O24" i="87"/>
  <c r="O41" i="87"/>
  <c r="O29" i="87"/>
  <c r="O52" i="87"/>
  <c r="Q52" i="87" s="1"/>
  <c r="O42" i="87"/>
  <c r="O26" i="87"/>
  <c r="O43" i="87"/>
  <c r="O32" i="87"/>
  <c r="O54" i="87"/>
  <c r="Q54" i="87" s="1"/>
  <c r="D28" i="48"/>
  <c r="D44" i="48" s="1"/>
  <c r="D29" i="44"/>
  <c r="D47" i="44" s="1"/>
  <c r="O44" i="87"/>
  <c r="O49" i="87"/>
  <c r="O45" i="87"/>
  <c r="O12" i="87"/>
  <c r="Q12" i="87" s="1"/>
  <c r="O56" i="87"/>
  <c r="O46" i="87"/>
  <c r="O51" i="87"/>
  <c r="O47" i="87"/>
  <c r="O8" i="87"/>
  <c r="O58" i="87"/>
  <c r="O55" i="87"/>
  <c r="O31" i="87"/>
  <c r="O21" i="87"/>
  <c r="O30" i="87"/>
  <c r="O57" i="87"/>
  <c r="O20" i="87"/>
  <c r="Q20" i="87" s="1"/>
  <c r="O23" i="87"/>
  <c r="O13" i="87"/>
  <c r="Q13" i="87" s="1"/>
  <c r="O59" i="87"/>
  <c r="O14" i="87"/>
  <c r="Q14" i="87" s="1"/>
  <c r="O25" i="87"/>
  <c r="O19" i="87"/>
  <c r="Q19" i="87" s="1"/>
  <c r="O61" i="87"/>
  <c r="O7" i="87"/>
  <c r="C6" i="78"/>
  <c r="C25" i="37"/>
  <c r="FA4" i="40"/>
  <c r="AU4" i="40"/>
  <c r="AW4" i="49"/>
  <c r="FC4" i="49"/>
  <c r="J313" i="28"/>
  <c r="I341" i="28"/>
  <c r="J4" i="28"/>
  <c r="E47" i="48"/>
  <c r="E55" i="37"/>
  <c r="D18" i="79" s="1"/>
  <c r="D35" i="37"/>
  <c r="D54" i="37" s="1"/>
  <c r="D19" i="38"/>
  <c r="G168" i="31"/>
  <c r="E44" i="37"/>
  <c r="D13" i="79" s="1"/>
  <c r="E34" i="48"/>
  <c r="C22" i="48"/>
  <c r="C14" i="48" s="1"/>
  <c r="C5" i="37"/>
  <c r="H28" i="38"/>
  <c r="J322" i="28"/>
  <c r="B9" i="31"/>
  <c r="C5" i="48"/>
  <c r="AW4" i="32"/>
  <c r="C7" i="44"/>
  <c r="A30" i="31"/>
  <c r="B30" i="31" s="1"/>
  <c r="C4" i="89" s="1"/>
  <c r="FB4" i="32"/>
  <c r="Q7" i="87" l="1"/>
  <c r="Q29" i="87"/>
  <c r="Q61" i="87"/>
  <c r="Q41" i="87"/>
  <c r="Q57" i="87"/>
  <c r="Q25" i="87"/>
  <c r="Q21" i="87"/>
  <c r="Q56" i="87"/>
  <c r="Q32" i="87"/>
  <c r="Q48" i="87"/>
  <c r="Q47" i="87"/>
  <c r="Q59" i="87"/>
  <c r="Q55" i="87"/>
  <c r="Q45" i="87"/>
  <c r="Q26" i="87"/>
  <c r="Q37" i="87"/>
  <c r="Q51" i="87"/>
  <c r="Q30" i="87"/>
  <c r="Q24" i="87"/>
  <c r="Q31" i="87"/>
  <c r="Q58" i="87"/>
  <c r="Q49" i="87"/>
  <c r="Q42" i="87"/>
  <c r="Q28" i="87"/>
  <c r="Q46" i="87"/>
  <c r="Q43" i="87"/>
  <c r="Q23" i="87"/>
  <c r="Q8" i="87"/>
  <c r="Q44" i="87"/>
  <c r="E33" i="48"/>
  <c r="D34" i="79"/>
  <c r="D33" i="79" s="1"/>
  <c r="B10" i="31"/>
  <c r="B11" i="31" s="1"/>
  <c r="C6" i="37"/>
  <c r="A29" i="31"/>
  <c r="B29" i="31" s="1"/>
  <c r="C29" i="44"/>
  <c r="C47" i="44" s="1"/>
  <c r="C28" i="48"/>
  <c r="C44" i="48" s="1"/>
  <c r="C6" i="48"/>
  <c r="C35" i="37"/>
  <c r="C54" i="37" s="1"/>
  <c r="C8" i="44"/>
  <c r="C23" i="44" l="1"/>
  <c r="E37" i="44"/>
  <c r="D56" i="79" s="1"/>
  <c r="D54" i="79" s="1"/>
  <c r="C16" i="44" l="1"/>
  <c r="C18" i="44" s="1"/>
  <c r="E35" i="44"/>
  <c r="E33" i="44" s="1"/>
  <c r="C35" i="44"/>
  <c r="C33" i="44" s="1"/>
  <c r="C31" i="44" s="1"/>
  <c r="C12" i="44" l="1"/>
  <c r="B7" i="77"/>
  <c r="D9" i="89"/>
  <c r="G9" i="89" s="1"/>
  <c r="E9" i="89" s="1"/>
  <c r="C41" i="44"/>
  <c r="C53" i="44" s="1"/>
  <c r="B63" i="79" s="1"/>
  <c r="B53" i="79"/>
  <c r="B58" i="79" s="1"/>
  <c r="C50" i="48"/>
  <c r="C54" i="44" l="1"/>
  <c r="B64" i="79" s="1"/>
  <c r="B65" i="79" s="1"/>
  <c r="C51" i="48"/>
  <c r="B43" i="79" s="1"/>
  <c r="B42" i="79"/>
  <c r="C55" i="44" l="1"/>
  <c r="D51" i="44" s="1"/>
  <c r="C61" i="79" s="1"/>
  <c r="C52" i="48"/>
  <c r="D48" i="48" s="1"/>
  <c r="D49" i="48" s="1"/>
  <c r="B44" i="79"/>
  <c r="FX100" i="32"/>
  <c r="FW100" i="32"/>
  <c r="FV100" i="32"/>
  <c r="FO100" i="32"/>
  <c r="EM100" i="32"/>
  <c r="EL100" i="32"/>
  <c r="EK100" i="32"/>
  <c r="ED100" i="32"/>
  <c r="D52" i="44" l="1"/>
  <c r="C62" i="79" s="1"/>
  <c r="C65" i="79" s="1"/>
  <c r="C40" i="79"/>
  <c r="D52" i="48"/>
  <c r="E48" i="48" s="1"/>
  <c r="C41" i="79"/>
  <c r="D40" i="79" l="1"/>
  <c r="D55" i="44"/>
  <c r="E51" i="44" s="1"/>
  <c r="C44" i="79"/>
  <c r="E49" i="48"/>
  <c r="D41" i="79" s="1"/>
  <c r="E52" i="48" l="1"/>
  <c r="D61" i="79"/>
  <c r="E52" i="44"/>
  <c r="D62" i="79" s="1"/>
  <c r="FC222" i="49"/>
  <c r="ES222" i="49"/>
  <c r="ET222" i="49"/>
  <c r="EH222" i="49"/>
  <c r="EQ222" i="49"/>
  <c r="ER222" i="49"/>
  <c r="EP222" i="49"/>
  <c r="EE222" i="49"/>
  <c r="EI222" i="49"/>
  <c r="ED222" i="49"/>
  <c r="EC222" i="49"/>
  <c r="DY222" i="49"/>
  <c r="DX222" i="49"/>
  <c r="DW222" i="49"/>
  <c r="DV222" i="49"/>
  <c r="DU222" i="49"/>
  <c r="DT222" i="49"/>
  <c r="EU222" i="49"/>
  <c r="GK222" i="49" l="1"/>
  <c r="EO222" i="49"/>
  <c r="DS222" i="49"/>
  <c r="DR222" i="49" l="1"/>
  <c r="K5" i="83"/>
  <c r="GL222" i="49"/>
  <c r="P5" i="83"/>
  <c r="C47" i="37"/>
  <c r="Q5" i="83" l="1"/>
  <c r="E5" i="83"/>
  <c r="C60" i="37" l="1"/>
  <c r="B21" i="79" s="1"/>
  <c r="C61" i="37" l="1"/>
  <c r="C62" i="37" l="1"/>
  <c r="D58" i="37" s="1"/>
  <c r="B22" i="79"/>
  <c r="B23" i="79" s="1"/>
  <c r="D59" i="37" l="1"/>
  <c r="C20" i="79" s="1"/>
  <c r="C19" i="79"/>
  <c r="H118" i="38"/>
  <c r="I118" i="38" s="1"/>
  <c r="H120" i="38"/>
  <c r="I120" i="38" s="1"/>
  <c r="H119" i="38"/>
  <c r="I119" i="38" s="1"/>
  <c r="H115" i="38" l="1"/>
  <c r="I115" i="38" s="1"/>
  <c r="H116" i="38"/>
  <c r="I116" i="38" s="1"/>
  <c r="H112" i="38"/>
  <c r="I112" i="38" s="1"/>
  <c r="H113" i="38"/>
  <c r="I113" i="38" s="1"/>
  <c r="H117" i="38" l="1"/>
  <c r="I117" i="38" s="1"/>
  <c r="H114" i="38"/>
  <c r="I114" i="38" s="1"/>
  <c r="E21" i="38" l="1"/>
  <c r="C7" i="98" l="1"/>
  <c r="C5" i="80"/>
  <c r="GB100" i="32" l="1"/>
  <c r="FZ100" i="32"/>
  <c r="GA100" i="32"/>
  <c r="H77" i="38" l="1"/>
  <c r="I77" i="38" s="1"/>
  <c r="H78" i="38"/>
  <c r="I78" i="38" s="1"/>
  <c r="H76" i="38"/>
  <c r="I76" i="38" s="1"/>
  <c r="EO100" i="32"/>
  <c r="EQ100" i="32"/>
  <c r="EP100" i="32"/>
  <c r="F55" i="38" l="1"/>
  <c r="H55" i="38" l="1"/>
  <c r="I55" i="38" s="1"/>
  <c r="H57" i="38"/>
  <c r="H50" i="38"/>
  <c r="F54" i="38"/>
  <c r="CH222" i="49"/>
  <c r="EH100" i="32"/>
  <c r="F57" i="38"/>
  <c r="EG100" i="32"/>
  <c r="FR100" i="32"/>
  <c r="FS100" i="32"/>
  <c r="F58" i="38"/>
  <c r="F49" i="38"/>
  <c r="F48" i="38"/>
  <c r="F52" i="38"/>
  <c r="F56" i="38"/>
  <c r="F51" i="38"/>
  <c r="I57" i="38" l="1"/>
  <c r="F50" i="38"/>
  <c r="I50" i="38" s="1"/>
  <c r="F53" i="38"/>
  <c r="F47" i="38"/>
  <c r="H58" i="38"/>
  <c r="I58" i="38" s="1"/>
  <c r="H52" i="38"/>
  <c r="I52" i="38" s="1"/>
  <c r="H47" i="38"/>
  <c r="H51" i="38"/>
  <c r="I51" i="38" s="1"/>
  <c r="H53" i="38"/>
  <c r="H56" i="38"/>
  <c r="I56" i="38" s="1"/>
  <c r="H54" i="38"/>
  <c r="I54" i="38" s="1"/>
  <c r="H49" i="38"/>
  <c r="I49" i="38" s="1"/>
  <c r="FA222" i="49"/>
  <c r="C9" i="48" s="1"/>
  <c r="E30" i="48" s="1"/>
  <c r="FQ100" i="32"/>
  <c r="EF100" i="32"/>
  <c r="I53" i="38" l="1"/>
  <c r="I47" i="38"/>
  <c r="E23" i="38"/>
  <c r="D23" i="38"/>
  <c r="B7" i="80" s="1"/>
  <c r="H48" i="38"/>
  <c r="I48" i="38" s="1"/>
  <c r="C5" i="98" l="1"/>
  <c r="C7" i="80"/>
  <c r="D7" i="80" s="1"/>
  <c r="H7" i="81" s="1"/>
  <c r="H39" i="38"/>
  <c r="H35" i="38"/>
  <c r="H34" i="38"/>
  <c r="H33" i="38"/>
  <c r="H32" i="38"/>
  <c r="H42" i="38"/>
  <c r="H40" i="38"/>
  <c r="FH100" i="32"/>
  <c r="DW100" i="32"/>
  <c r="FN100" i="32"/>
  <c r="EC100" i="32"/>
  <c r="H43" i="38" l="1"/>
  <c r="H45" i="38"/>
  <c r="H36" i="38" l="1"/>
  <c r="F42" i="38"/>
  <c r="I42" i="38" s="1"/>
  <c r="F43" i="38"/>
  <c r="I43" i="38" s="1"/>
  <c r="F40" i="38"/>
  <c r="I40" i="38" s="1"/>
  <c r="F45" i="38"/>
  <c r="I45" i="38" s="1"/>
  <c r="D22" i="38" l="1"/>
  <c r="B6" i="80" s="1"/>
  <c r="F39" i="38"/>
  <c r="I39" i="38" s="1"/>
  <c r="DX100" i="32" l="1"/>
  <c r="F37" i="38"/>
  <c r="I37" i="38" s="1"/>
  <c r="F38" i="38"/>
  <c r="I38" i="38" s="1"/>
  <c r="F33" i="38"/>
  <c r="I33" i="38" s="1"/>
  <c r="F35" i="38"/>
  <c r="I35" i="38" s="1"/>
  <c r="F34" i="38"/>
  <c r="I34" i="38" s="1"/>
  <c r="F36" i="38"/>
  <c r="I36" i="38" s="1"/>
  <c r="EB100" i="32"/>
  <c r="EN100" i="32"/>
  <c r="DQ100" i="32"/>
  <c r="EZ100" i="32" l="1"/>
  <c r="F123" i="38" s="1"/>
  <c r="F32" i="38"/>
  <c r="I32" i="38" s="1"/>
  <c r="E22" i="38" l="1"/>
  <c r="C6" i="80" s="1"/>
  <c r="F122" i="38"/>
  <c r="C9" i="37"/>
  <c r="F6" i="99" l="1"/>
  <c r="G6" i="99" s="1"/>
  <c r="D6" i="80"/>
  <c r="H6" i="81" s="1"/>
  <c r="C8" i="80"/>
  <c r="C6" i="98"/>
  <c r="C14" i="78"/>
  <c r="E25" i="38"/>
  <c r="E26" i="38"/>
  <c r="F25" i="99" l="1"/>
  <c r="F24" i="99"/>
  <c r="F19" i="99"/>
  <c r="F26" i="99"/>
  <c r="F12" i="99"/>
  <c r="F18" i="99"/>
  <c r="I6" i="99"/>
  <c r="F11" i="99"/>
  <c r="F22" i="99"/>
  <c r="F15" i="99"/>
  <c r="F10" i="99"/>
  <c r="F20" i="99"/>
  <c r="F14" i="99"/>
  <c r="F13" i="99"/>
  <c r="F9" i="99"/>
  <c r="F23" i="99"/>
  <c r="F21" i="99"/>
  <c r="FY100" i="32" l="1"/>
  <c r="FI100" i="32"/>
  <c r="FM100" i="32"/>
  <c r="FB100" i="32"/>
  <c r="GK100" i="32" l="1"/>
  <c r="H123" i="38" s="1"/>
  <c r="H122" i="38" l="1"/>
  <c r="C11" i="38"/>
  <c r="D8" i="81" s="1"/>
  <c r="D21" i="38"/>
  <c r="B5" i="80" s="1"/>
  <c r="F22" i="38"/>
  <c r="F23" i="38"/>
  <c r="B8" i="80" l="1"/>
  <c r="D8" i="80" s="1"/>
  <c r="D5" i="80"/>
  <c r="H5" i="81" s="1"/>
  <c r="D25" i="38"/>
  <c r="F21" i="38"/>
  <c r="D26" i="38"/>
  <c r="EG222" i="49" l="1"/>
  <c r="J42" i="31" l="1"/>
  <c r="J62" i="31" l="1"/>
  <c r="E41" i="37"/>
  <c r="D11" i="79"/>
  <c r="D6" i="89"/>
  <c r="C9" i="78"/>
  <c r="D40" i="37" l="1"/>
  <c r="D47" i="37" s="1"/>
  <c r="D60" i="37" s="1"/>
  <c r="C21" i="79" s="1"/>
  <c r="C10" i="79"/>
  <c r="C9" i="79" s="1"/>
  <c r="C16" i="79" s="1"/>
  <c r="E40" i="37"/>
  <c r="D10" i="79"/>
  <c r="D9" i="79" s="1"/>
  <c r="C14" i="37"/>
  <c r="D61" i="37" l="1"/>
  <c r="D62" i="37" s="1"/>
  <c r="E58" i="37" s="1"/>
  <c r="C28" i="37" s="1"/>
  <c r="D19" i="79" l="1"/>
  <c r="C22" i="79"/>
  <c r="C23" i="79" s="1"/>
  <c r="E59" i="37"/>
  <c r="EY92" i="40"/>
  <c r="EY91" i="40"/>
  <c r="EY90" i="40"/>
  <c r="EY54" i="40"/>
  <c r="EY79" i="40"/>
  <c r="EY77" i="40"/>
  <c r="EY55" i="40"/>
  <c r="EY78" i="40"/>
  <c r="EY96" i="40"/>
  <c r="EY63" i="40"/>
  <c r="EY59" i="40"/>
  <c r="EY65" i="40"/>
  <c r="EY84" i="40"/>
  <c r="EY17" i="40"/>
  <c r="EY35" i="40"/>
  <c r="EY81" i="40"/>
  <c r="EY62" i="40"/>
  <c r="EY68" i="40"/>
  <c r="EY67" i="40"/>
  <c r="EY10" i="40"/>
  <c r="EY88" i="40"/>
  <c r="EY71" i="40"/>
  <c r="EY70" i="40"/>
  <c r="EY43" i="40"/>
  <c r="EY13" i="40"/>
  <c r="EY18" i="40"/>
  <c r="EY86" i="40"/>
  <c r="EY64" i="40"/>
  <c r="EY95" i="40"/>
  <c r="EY57" i="40"/>
  <c r="EY83" i="40"/>
  <c r="EY32" i="40"/>
  <c r="EY61" i="40"/>
  <c r="EY66" i="40"/>
  <c r="EY12" i="40"/>
  <c r="EY56" i="40"/>
  <c r="EY85" i="40"/>
  <c r="EY41" i="40"/>
  <c r="EY28" i="40"/>
  <c r="EY31" i="40"/>
  <c r="EY69" i="40"/>
  <c r="EY80" i="40"/>
  <c r="EY87" i="40"/>
  <c r="EY20" i="40"/>
  <c r="EY94" i="40"/>
  <c r="EY45" i="40"/>
  <c r="EY30" i="40"/>
  <c r="EY60" i="40"/>
  <c r="EY29" i="40"/>
  <c r="EY82" i="40"/>
  <c r="EY27" i="40"/>
  <c r="EY25" i="40"/>
  <c r="EY33" i="40"/>
  <c r="EY36" i="40"/>
  <c r="EY40" i="40"/>
  <c r="EY26" i="40"/>
  <c r="EY44" i="40"/>
  <c r="EY58" i="40"/>
  <c r="EY39" i="40"/>
  <c r="EY37" i="40"/>
  <c r="EY42" i="40"/>
  <c r="EY11" i="40"/>
  <c r="EY93" i="40"/>
  <c r="EY38" i="40"/>
  <c r="EY98" i="40"/>
  <c r="EY19" i="40"/>
  <c r="EY97" i="40"/>
  <c r="EY22" i="40"/>
  <c r="EY14" i="40"/>
  <c r="EY21" i="40"/>
  <c r="EY23" i="40"/>
  <c r="EY15" i="40"/>
  <c r="EY16" i="40"/>
  <c r="J6" i="83" l="1"/>
  <c r="D6" i="83" s="1"/>
  <c r="D20" i="79"/>
  <c r="EY34" i="40"/>
  <c r="L6" i="83" l="1"/>
  <c r="F6" i="83" s="1"/>
  <c r="EM100" i="40"/>
  <c r="EY100" i="40"/>
  <c r="C11" i="44" s="1"/>
  <c r="C13" i="44" l="1"/>
  <c r="E31" i="44"/>
  <c r="J5" i="83"/>
  <c r="L5" i="83" s="1"/>
  <c r="F5" i="83" s="1"/>
  <c r="D5" i="83" l="1"/>
  <c r="C29" i="37" l="1"/>
  <c r="D7" i="89" s="1"/>
  <c r="C12" i="38"/>
  <c r="D9" i="81" s="1"/>
  <c r="D11" i="81" s="1"/>
  <c r="I5" i="81" l="1"/>
  <c r="I7" i="81"/>
  <c r="I6" i="81"/>
  <c r="C17" i="37"/>
  <c r="C18" i="37" s="1"/>
  <c r="C15" i="38"/>
  <c r="C11" i="78"/>
  <c r="D8" i="89" l="1"/>
  <c r="G8" i="89" s="1"/>
  <c r="E8" i="89" s="1"/>
  <c r="C10" i="37"/>
  <c r="B5" i="77"/>
  <c r="G23" i="38"/>
  <c r="G21" i="38"/>
  <c r="G22" i="38"/>
  <c r="C13" i="78"/>
  <c r="C15" i="78" s="1"/>
  <c r="C9" i="98" l="1"/>
  <c r="E37" i="37"/>
  <c r="C11" i="37"/>
  <c r="E47" i="37" l="1"/>
  <c r="E60" i="37" s="1"/>
  <c r="D8" i="79"/>
  <c r="D16" i="79" s="1"/>
  <c r="D32" i="79"/>
  <c r="D37" i="79" s="1"/>
  <c r="D21" i="79" l="1"/>
  <c r="E61" i="37"/>
  <c r="D22" i="79" s="1"/>
  <c r="E38" i="48"/>
  <c r="E62" i="37" l="1"/>
  <c r="C16" i="48"/>
  <c r="B6" i="77" s="1"/>
  <c r="B8" i="77" s="1"/>
  <c r="E50" i="48"/>
  <c r="D23" i="79"/>
  <c r="C10" i="48"/>
  <c r="D10" i="89"/>
  <c r="G10" i="89" s="1"/>
  <c r="E10" i="89" s="1"/>
  <c r="E51" i="48" l="1"/>
  <c r="D43" i="79" s="1"/>
  <c r="D42" i="79"/>
  <c r="D44" i="79" s="1"/>
  <c r="C11" i="48"/>
  <c r="I46" i="99" l="1"/>
  <c r="I54" i="99" l="1"/>
  <c r="I50" i="99"/>
  <c r="I36" i="99" l="1"/>
  <c r="H46" i="99"/>
  <c r="I31" i="99"/>
  <c r="H50" i="99"/>
  <c r="H54" i="99" l="1"/>
  <c r="I32" i="99"/>
  <c r="I34" i="99"/>
  <c r="I39" i="99"/>
  <c r="I37" i="99"/>
  <c r="I13" i="99" l="1"/>
  <c r="D53" i="79" l="1"/>
  <c r="D58" i="79" s="1"/>
  <c r="E41" i="44" l="1"/>
  <c r="E53" i="44" s="1"/>
  <c r="E54" i="44" l="1"/>
  <c r="D63" i="79"/>
  <c r="I33" i="99"/>
  <c r="D64" i="79" l="1"/>
  <c r="D65" i="79" s="1"/>
  <c r="E55" i="44"/>
  <c r="I26" i="99"/>
  <c r="I25" i="99"/>
  <c r="I24" i="99"/>
  <c r="I23" i="99"/>
  <c r="I20" i="99"/>
  <c r="I15" i="99"/>
  <c r="I12" i="99"/>
  <c r="I18" i="99" l="1"/>
  <c r="I11" i="99"/>
  <c r="I14" i="99" l="1"/>
  <c r="I9" i="99"/>
  <c r="I10" i="99"/>
  <c r="I22" i="99" l="1"/>
  <c r="I38" i="99" l="1"/>
  <c r="I21" i="99"/>
  <c r="I19" i="9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tc={D84C3C95-CB81-4603-B812-13BAB013124F}</author>
    <author>tc={A51670D0-8BFF-4B2A-86BA-1685859B6FCD}</author>
  </authors>
  <commentList>
    <comment ref="F18" authorId="0" shapeId="0" xr:uid="{D84C3C95-CB81-4603-B812-13BAB013124F}">
      <text>
        <t>[Threaded comment]
Your version of Excel allows you to read this threaded comment; however, any edits to it will get removed if the file is opened in a newer version of Excel. Learn more: https://go.microsoft.com/fwlink/?linkid=870924
Comment:
    Override formula to reflect CPI applied in control mechanism for 2015-16 as per draft AER decision and what was included in 2015-16 PP</t>
      </text>
    </comment>
    <comment ref="D135" authorId="1" shapeId="0" xr:uid="{A51670D0-8BFF-4B2A-86BA-1685859B6FCD}">
      <text>
        <t>[Threaded comment]
Your version of Excel allows you to read this threaded comment; however, any edits to it will get removed if the file is opened in a newer version of Excel. Learn more: https://go.microsoft.com/fwlink/?linkid=870924
Comment:
    Adjustment to account for incorrect 2013-14 Avoided TUOS amount.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gdempsey</author>
  </authors>
  <commentList>
    <comment ref="O125" authorId="0" shapeId="0" xr:uid="{70A11302-D47A-43A5-9FCD-0F33E1CF0F08}">
      <text>
        <r>
          <rPr>
            <b/>
            <sz val="9"/>
            <color indexed="81"/>
            <rFont val="Tahoma"/>
            <family val="2"/>
          </rPr>
          <t>gdempsey:</t>
        </r>
        <r>
          <rPr>
            <sz val="9"/>
            <color indexed="81"/>
            <rFont val="Tahoma"/>
            <family val="2"/>
          </rPr>
          <t xml:space="preserve">
Tue 3 Sep 2019
Zero cross boundary jurisdictional is correct, due to solar grant revenue in FY1819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6" authorId="0" shapeId="0" xr:uid="{38F3F3E4-22A7-403A-AD10-A64DD2CC14B2}">
      <text>
        <r>
          <rPr>
            <b/>
            <sz val="9"/>
            <color indexed="81"/>
            <rFont val="Tahoma"/>
            <family val="2"/>
          </rPr>
          <t xml:space="preserve">AER: </t>
        </r>
        <r>
          <rPr>
            <sz val="9"/>
            <color indexed="81"/>
            <rFont val="Tahoma"/>
            <family val="2"/>
          </rPr>
          <t>Green indicates hard-coded from revised proposal
Orange indicates AER substitution of labour rate or calculation to replace hard-coded value</t>
        </r>
        <r>
          <rPr>
            <sz val="9"/>
            <color indexed="81"/>
            <rFont val="Tahoma"/>
            <family val="2"/>
          </rPr>
          <t xml:space="preserve">
</t>
        </r>
      </text>
    </comment>
    <comment ref="M6" authorId="0" shapeId="0" xr:uid="{3B2A075C-B9C5-4573-A31C-4A8FA0CCE2E3}">
      <text>
        <r>
          <rPr>
            <b/>
            <sz val="9"/>
            <color indexed="81"/>
            <rFont val="Tahoma"/>
            <family val="2"/>
          </rPr>
          <t xml:space="preserve">AER: </t>
        </r>
        <r>
          <rPr>
            <sz val="9"/>
            <color indexed="81"/>
            <rFont val="Tahoma"/>
            <family val="2"/>
          </rPr>
          <t xml:space="preserve">Green indicates hard-coded from revised proposal
Orange indicates AER substitution of labour rate or calculation to replace hard-coded value
</t>
        </r>
      </text>
    </comment>
    <comment ref="E34" authorId="0" shapeId="0" xr:uid="{35E6A61E-3F8C-4DA0-8170-536EB89B03E8}">
      <text>
        <r>
          <rPr>
            <b/>
            <sz val="9"/>
            <color indexed="81"/>
            <rFont val="Tahoma"/>
            <family val="2"/>
          </rPr>
          <t>AER</t>
        </r>
        <r>
          <rPr>
            <sz val="9"/>
            <color indexed="81"/>
            <rFont val="Tahoma"/>
            <family val="2"/>
          </rPr>
          <t xml:space="preserve">: Green indicates hard-coded from revised proposal
Orange indicates AER substitution of labour rate or calculation to replace hard-coded value
</t>
        </r>
      </text>
    </comment>
    <comment ref="M34" authorId="0" shapeId="0" xr:uid="{6D6E3EAF-85E3-4B0D-9DFC-759A7DB5A2FA}">
      <text>
        <r>
          <rPr>
            <b/>
            <sz val="9"/>
            <color indexed="81"/>
            <rFont val="Tahoma"/>
            <family val="2"/>
          </rPr>
          <t xml:space="preserve">AER: </t>
        </r>
        <r>
          <rPr>
            <sz val="9"/>
            <color indexed="81"/>
            <rFont val="Tahoma"/>
            <family val="2"/>
          </rPr>
          <t xml:space="preserve">Green indicates hard-coded from revised proposal
Orange indicates AER substitution of labour rate or calculation to replace hard-coded value
</t>
        </r>
      </text>
    </comment>
  </commentList>
</comments>
</file>

<file path=xl/sharedStrings.xml><?xml version="1.0" encoding="utf-8"?>
<sst xmlns="http://schemas.openxmlformats.org/spreadsheetml/2006/main" count="8536" uniqueCount="1909">
  <si>
    <t>t = 1,2,…,5</t>
  </si>
  <si>
    <t>where;</t>
  </si>
  <si>
    <t>is the price of component 'j' of tariff 'i' in year t.</t>
  </si>
  <si>
    <t>is the forecast quantity of component 'j' of tariff 'i' in year t.</t>
  </si>
  <si>
    <t>where each tariff class has "n" tariffs, with each up to "m" components, and where:</t>
  </si>
  <si>
    <t>is the price charged for component ‘j’ of tariff 'i' in year t–1.</t>
  </si>
  <si>
    <t>(actual)</t>
  </si>
  <si>
    <t>Year t</t>
  </si>
  <si>
    <t>(forecast)</t>
  </si>
  <si>
    <t>(B) Less TAR for regulatory year =</t>
  </si>
  <si>
    <t>(A minus B) Under/over recovery of revenue for regulatory year</t>
  </si>
  <si>
    <t>Opening balance</t>
  </si>
  <si>
    <t>Under/over recovery of revenue for regulatory year</t>
  </si>
  <si>
    <t>Closing balance</t>
  </si>
  <si>
    <t>Notes:</t>
  </si>
  <si>
    <t>(A) Revenue from designated pricing proposal charges (DPPC)</t>
  </si>
  <si>
    <t>(B) Less DPPC related payments for regulatory year =</t>
  </si>
  <si>
    <t>DPPC unders and overs account</t>
  </si>
  <si>
    <t>(A) Revenue from jurisdictional schemes</t>
  </si>
  <si>
    <t>(B) Less jurisdictional scheme payments for regulatory year =</t>
  </si>
  <si>
    <t>Jurisdictional scheme amount unders and overs account</t>
  </si>
  <si>
    <t xml:space="preserve">Tariff Approval Template for </t>
  </si>
  <si>
    <t>t</t>
  </si>
  <si>
    <t>t-1</t>
  </si>
  <si>
    <t>t-2</t>
  </si>
  <si>
    <t>Please fill in yellow highlighted cells where appropriate</t>
  </si>
  <si>
    <t>CPI</t>
  </si>
  <si>
    <t>Table 1- Compliance with AER Final Determination Total Annual Revenue</t>
  </si>
  <si>
    <t>B factor for year t</t>
  </si>
  <si>
    <t>CPI for period t</t>
  </si>
  <si>
    <t>X factor for period t</t>
  </si>
  <si>
    <t>DUoS revenue under/over recovery approved</t>
  </si>
  <si>
    <t>Table 3 -  Adjusted Annual Revenue for year t (AARt)</t>
  </si>
  <si>
    <t>Table 2 - Total Annual Revenue for year t (TARt)</t>
  </si>
  <si>
    <t>Revenue from DUoS charges for year t</t>
  </si>
  <si>
    <t>Total Annual Revenue for year t</t>
  </si>
  <si>
    <t>Adjusted Annual Smoothed Revenue for year t</t>
  </si>
  <si>
    <t>Total</t>
  </si>
  <si>
    <t>Proposed tariff</t>
  </si>
  <si>
    <t>Existing tariff</t>
  </si>
  <si>
    <t>PropRev
Total</t>
  </si>
  <si>
    <t>ExistRev
Total</t>
  </si>
  <si>
    <t>CPI 2014</t>
  </si>
  <si>
    <t>CPI 2015</t>
  </si>
  <si>
    <t>CPI 2016</t>
  </si>
  <si>
    <t>CPI 2017</t>
  </si>
  <si>
    <t>CPI 2018</t>
  </si>
  <si>
    <t>CPI 2019</t>
  </si>
  <si>
    <t>Distribution tariff rebalancing control</t>
  </si>
  <si>
    <t>Rebalancing control summary</t>
  </si>
  <si>
    <t>Tariff Class (Input Class Name)</t>
  </si>
  <si>
    <t>Existing ($)</t>
  </si>
  <si>
    <t>Proposed ($)</t>
  </si>
  <si>
    <t>Movement</t>
  </si>
  <si>
    <t>Check Total</t>
  </si>
  <si>
    <t>New Tariff Test</t>
  </si>
  <si>
    <t xml:space="preserve">(A) Revenue from DUoS Charges </t>
  </si>
  <si>
    <t>Year t-2</t>
  </si>
  <si>
    <t>Year (t)</t>
  </si>
  <si>
    <t>Calendar year</t>
  </si>
  <si>
    <t>Closing balance of DUoS overs/ (unders) account</t>
  </si>
  <si>
    <t>Avoided TUoS payments</t>
  </si>
  <si>
    <t xml:space="preserve"> DUoS</t>
  </si>
  <si>
    <t>Table 3 - Transmission charges for year t</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</si>
  <si>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</si>
  <si>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</si>
  <si>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</si>
  <si>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</si>
  <si>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</si>
  <si>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</si>
  <si>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</si>
  <si>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</si>
  <si>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Total DPPC related payments for year t</t>
  </si>
  <si>
    <t>(A) Revenue from designated pricing proposal charges</t>
  </si>
  <si>
    <t>Revenue from designated pricing proposal charges for year t</t>
  </si>
  <si>
    <t>Table 1- Compliance with DPPC Revenue Formula</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</si>
  <si>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</si>
  <si>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</si>
  <si>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</si>
  <si>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</si>
  <si>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</si>
  <si>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Table 2 - Total JSA related payments for year t</t>
  </si>
  <si>
    <t>Table 3 - PFIT &amp; TFIT charges for year t</t>
  </si>
  <si>
    <t>Table 4 - JSA Recovery Arrangements</t>
  </si>
  <si>
    <t>(A) Revenue from JSA proposal charges</t>
  </si>
  <si>
    <t>(B) Less Total JSA related payments =</t>
  </si>
  <si>
    <t>Table 5 - JSA Unders and Overs Account</t>
  </si>
  <si>
    <t>PropTar
$/Cust/year</t>
  </si>
  <si>
    <t>(t-1)</t>
  </si>
  <si>
    <t>(t-2)</t>
  </si>
  <si>
    <t>Closing balance of DPPC overs/ (unders) account</t>
  </si>
  <si>
    <t>Closing balance of JSA overs/ (unders) account</t>
  </si>
  <si>
    <t>(t)</t>
  </si>
  <si>
    <t>Table 4- B factor for year t</t>
  </si>
  <si>
    <t>S factor Scheme</t>
  </si>
  <si>
    <t>Interest on under/over recovery for regulatory year</t>
  </si>
  <si>
    <t>DMIA Carryover adjustment</t>
  </si>
  <si>
    <t>Revenue Cap Formulae</t>
  </si>
  <si>
    <t>is the total annual revenue in year t.</t>
  </si>
  <si>
    <t xml:space="preserve">[1] </t>
  </si>
  <si>
    <t>If the ABS does not, or ceases to, publish the index, then CPI will mean an index which the AER considers is the best available alternative index.</t>
  </si>
  <si>
    <t xml:space="preserve">1.    </t>
  </si>
  <si>
    <t>Side Constraints</t>
  </si>
  <si>
    <t>Interest on under/over recovery for 2 regulatory years</t>
  </si>
  <si>
    <t>CPI Index Dec 2014</t>
  </si>
  <si>
    <t>CPI Index Dec 2015</t>
  </si>
  <si>
    <t>CPI Index Dec 2016</t>
  </si>
  <si>
    <t>CPI Index Dec 2018</t>
  </si>
  <si>
    <t>CPI Index Dec 2019</t>
  </si>
  <si>
    <t>Energex</t>
  </si>
  <si>
    <t>N/A</t>
  </si>
  <si>
    <t>C factor for year t (Solar FiT 2014/15 + Other Passthroughs)</t>
  </si>
  <si>
    <t>Table 5 - DUoS Recovery Arrangements</t>
  </si>
  <si>
    <t>Capital Contribution Under Recoveries</t>
  </si>
  <si>
    <t>Table 6 - DUoS Unders and Overs Account</t>
  </si>
  <si>
    <t>Financial year commencing</t>
  </si>
  <si>
    <r>
      <t>·</t>
    </r>
    <r>
      <rPr>
        <sz val="7"/>
        <color theme="1"/>
        <rFont val="Times New Roman"/>
        <family val="1"/>
      </rPr>
      <t xml:space="preserve">        </t>
    </r>
    <r>
      <rPr>
        <sz val="11"/>
        <color theme="1"/>
        <rFont val="Arial"/>
        <family val="2"/>
      </rPr>
      <t>any under or over recovery of actual revenue collected through DUoS charges in regulatory year t–2 as calculated using the method in appendix A.</t>
    </r>
  </si>
  <si>
    <t>SBS</t>
  </si>
  <si>
    <t>AEMC</t>
  </si>
  <si>
    <t>AEMC Levy</t>
  </si>
  <si>
    <t>SBS &amp; AEMC Levy</t>
  </si>
  <si>
    <t>SBS &amp; AEMC charges</t>
  </si>
  <si>
    <t>Financial Year Commencing</t>
  </si>
  <si>
    <t xml:space="preserve">+ JSA revenue under/over recovery </t>
  </si>
  <si>
    <t>JSA charges  =</t>
  </si>
  <si>
    <t>+SBS amount</t>
  </si>
  <si>
    <t>+AEMC amount</t>
  </si>
  <si>
    <t>DPPC charges paid to TNSP</t>
  </si>
  <si>
    <t>DPPC charges to be paid to TNSP</t>
  </si>
  <si>
    <t>Where:</t>
  </si>
  <si>
    <t>is the cap on the price of service i in year t</t>
  </si>
  <si>
    <t>is the cap on the price of service i in year t-1</t>
  </si>
  <si>
    <t>Quoted Services Formula</t>
  </si>
  <si>
    <t>Labour</t>
  </si>
  <si>
    <t>Contractor Services</t>
  </si>
  <si>
    <t>reflect all costs associated with the use of external labour including overheads and any direct costs incurred. The contracted services charge applies the rates under existing contractual arrangements. Direct costs incurred are passed on to the customer.</t>
  </si>
  <si>
    <t>Materials</t>
  </si>
  <si>
    <t>reflect the cost of materials directly incurred in the provision of the service, material storage and logistics on costs and overheads.</t>
  </si>
  <si>
    <t>Public Lighting, Fee based ancillary network services and Metering Services formula</t>
  </si>
  <si>
    <t>2016-17</t>
  </si>
  <si>
    <t>CPI 2015-16</t>
  </si>
  <si>
    <t>CPI 2016-17</t>
  </si>
  <si>
    <t>CPI 2017-18</t>
  </si>
  <si>
    <t>CPI 2018-19</t>
  </si>
  <si>
    <t>CPI 2019-20</t>
  </si>
  <si>
    <t>CPI Index Dec 2013</t>
  </si>
  <si>
    <t>CPI 2013</t>
  </si>
  <si>
    <t>CPI 2014-15</t>
  </si>
  <si>
    <t>CPI Index Dec 2012</t>
  </si>
  <si>
    <t>2015-16</t>
  </si>
  <si>
    <t>2017-18</t>
  </si>
  <si>
    <t>2018-19</t>
  </si>
  <si>
    <t>2019-20</t>
  </si>
  <si>
    <t>2014-15</t>
  </si>
  <si>
    <t xml:space="preserve">Financial Year </t>
  </si>
  <si>
    <t>Xt</t>
  </si>
  <si>
    <t>WACC</t>
  </si>
  <si>
    <t>Nominal WACC (per cent):</t>
  </si>
  <si>
    <t>Year (t-1)</t>
  </si>
  <si>
    <t>Materiality threshold</t>
  </si>
  <si>
    <t>Explanation required?</t>
  </si>
  <si>
    <t>Year (t-2)</t>
  </si>
  <si>
    <t>Annual Revenue for year t-1</t>
  </si>
  <si>
    <t>Metering X-factor (capital)</t>
  </si>
  <si>
    <t>Metering X-factor (non-capital)</t>
  </si>
  <si>
    <t>Permutation</t>
  </si>
  <si>
    <t>Capital</t>
  </si>
  <si>
    <t>X-factor applied</t>
  </si>
  <si>
    <t>Category</t>
  </si>
  <si>
    <t>Service description</t>
  </si>
  <si>
    <t>Fee Based</t>
  </si>
  <si>
    <t>Transitional (Cap cons unders/overs)</t>
  </si>
  <si>
    <t>Primary</t>
  </si>
  <si>
    <t>Non Capital</t>
  </si>
  <si>
    <t>Load Control</t>
  </si>
  <si>
    <t>Solar PV</t>
  </si>
  <si>
    <t>PropTar
$/Day</t>
  </si>
  <si>
    <t>MSC Non-capital</t>
  </si>
  <si>
    <t>MSC Capital</t>
  </si>
  <si>
    <t>Ergon Energy</t>
  </si>
  <si>
    <t>Metering Services Charges</t>
  </si>
  <si>
    <t>DPPC Revenue to be Recovered in t</t>
  </si>
  <si>
    <r>
      <t xml:space="preserve">DPPC revenue under/over recovery in </t>
    </r>
    <r>
      <rPr>
        <b/>
        <sz val="10"/>
        <color theme="1"/>
        <rFont val="Arial"/>
        <family val="2"/>
      </rPr>
      <t>t-2</t>
    </r>
  </si>
  <si>
    <t>B factor for year t (under/over recoveries)</t>
  </si>
  <si>
    <t>EDLT</t>
  </si>
  <si>
    <t>EDMT</t>
  </si>
  <si>
    <t>EDST</t>
  </si>
  <si>
    <t>WDLT</t>
  </si>
  <si>
    <t>WDMT</t>
  </si>
  <si>
    <t>WDST</t>
  </si>
  <si>
    <t>MDLT</t>
  </si>
  <si>
    <t>MDMT</t>
  </si>
  <si>
    <t>MDST</t>
  </si>
  <si>
    <t>ERIB</t>
  </si>
  <si>
    <t>WRIB</t>
  </si>
  <si>
    <t>MRIB</t>
  </si>
  <si>
    <t>EBIB</t>
  </si>
  <si>
    <t>WBIB</t>
  </si>
  <si>
    <t>MBIB</t>
  </si>
  <si>
    <t>EVN</t>
  </si>
  <si>
    <t>WVN</t>
  </si>
  <si>
    <t>MVN</t>
  </si>
  <si>
    <t>EVC</t>
  </si>
  <si>
    <t>WVC</t>
  </si>
  <si>
    <t>MVC</t>
  </si>
  <si>
    <t>EVU</t>
  </si>
  <si>
    <t>WVU</t>
  </si>
  <si>
    <t>MVU</t>
  </si>
  <si>
    <t>EC66</t>
  </si>
  <si>
    <t>WC66</t>
  </si>
  <si>
    <t>EC33</t>
  </si>
  <si>
    <t>EC22B</t>
  </si>
  <si>
    <t>EC22L</t>
  </si>
  <si>
    <t>EC66TOU</t>
  </si>
  <si>
    <t>EC22BTOU</t>
  </si>
  <si>
    <t>EC22LTOU</t>
  </si>
  <si>
    <t>WC33</t>
  </si>
  <si>
    <t>WC22B</t>
  </si>
  <si>
    <t>WC22L</t>
  </si>
  <si>
    <t>WC66TOU</t>
  </si>
  <si>
    <t>WC22BTOU</t>
  </si>
  <si>
    <t>WC22LTOU</t>
  </si>
  <si>
    <t>CPI Index Dec 2017</t>
  </si>
  <si>
    <t>Solar Bonus Scheme payments</t>
  </si>
  <si>
    <t>Solar Bonus Scheme</t>
  </si>
  <si>
    <t>Rocklea</t>
  </si>
  <si>
    <t>DLF</t>
  </si>
  <si>
    <t>Jurisdictional Scheme amounts to be recovered in t</t>
  </si>
  <si>
    <r>
      <t xml:space="preserve">Jurisdictional scheme revenue under/over recovery in </t>
    </r>
    <r>
      <rPr>
        <b/>
        <sz val="10"/>
        <color theme="1"/>
        <rFont val="Arial"/>
        <family val="2"/>
      </rPr>
      <t>t-2</t>
    </r>
  </si>
  <si>
    <t>v</t>
  </si>
  <si>
    <t/>
  </si>
  <si>
    <t>Total
$</t>
  </si>
  <si>
    <t xml:space="preserve"> Site Specific </t>
  </si>
  <si>
    <t>Explanation provided</t>
  </si>
  <si>
    <t>MtIsa SAC&gt;100MWhpa STOUD</t>
  </si>
  <si>
    <t>West SAC&gt;100MWhpa STOUD</t>
  </si>
  <si>
    <t>East SAC&gt;100MWhpa STOUD</t>
  </si>
  <si>
    <t>MtIsa SAC&gt;100MWhpa DemandSmall</t>
  </si>
  <si>
    <t>MtIsa SAC&gt;100MWhpa DemandMedium</t>
  </si>
  <si>
    <t>MtIsa SAC&gt;100MWhpa DemandLarge</t>
  </si>
  <si>
    <t>West SAC&gt;100MWhpa DemandSmall</t>
  </si>
  <si>
    <t>West SAC&gt;100MWhpa DemandMedium</t>
  </si>
  <si>
    <t>West SAC&gt;100MWhpa DemandLarge</t>
  </si>
  <si>
    <t>East SAC&gt;100MWhpa DemandSmall</t>
  </si>
  <si>
    <t>East SAC&gt;100MWhpa DemandMedium</t>
  </si>
  <si>
    <t>East SAC&gt;100MWhpa DemandLarge</t>
  </si>
  <si>
    <t>West SAC&lt;100MWhpa Residential IBT</t>
  </si>
  <si>
    <t>MtIsa SAC&lt;100MWhpa Residential IBT</t>
  </si>
  <si>
    <t>East SAC&lt;100MWhpa Residential TOU Energy</t>
  </si>
  <si>
    <t>West SAC&lt;100MWhpa Residential TOU Energy</t>
  </si>
  <si>
    <t>MtIsa SAC&lt;100MWhpa Residential TOU Energy</t>
  </si>
  <si>
    <t>East SAC&lt;100MWhpa Business TOU Energy</t>
  </si>
  <si>
    <t>West SAC&lt;100MWhpa Business TOU Energy</t>
  </si>
  <si>
    <t>MtIsa SAC&lt;100MWhpa Business TOU Energy</t>
  </si>
  <si>
    <t>East SAC&lt;100MWhpa Residential TOU Demand</t>
  </si>
  <si>
    <t>West SAC&lt;100MWhpa Residential TOU Demand</t>
  </si>
  <si>
    <t>MtIsa SAC&lt;100MWhpa Residential TOU Demand</t>
  </si>
  <si>
    <t>East SAC&lt;100MWhpa Business TOU Demand</t>
  </si>
  <si>
    <t>West SAC&lt;100MWhpa Business TOU Demand</t>
  </si>
  <si>
    <t>MtIsa SAC&lt;100MWhpa Business TOU Demand</t>
  </si>
  <si>
    <t>East SAC&lt;100MWhpa Volume Night Controlled</t>
  </si>
  <si>
    <t>West SAC&lt;100MWhpa VolumeNightControlled</t>
  </si>
  <si>
    <t>MtIsa SAC&lt;100MWhpa VolumeNightControlled</t>
  </si>
  <si>
    <t>East SAC&lt;100MWhpa VolumeControlled</t>
  </si>
  <si>
    <t>West SAC&lt;100MWhpa VolumeControlled</t>
  </si>
  <si>
    <t>MtIsa SAC&lt;100MWhpa VolumeControlled</t>
  </si>
  <si>
    <t>East SAC&lt;100MWhpa VolumeUnmetered</t>
  </si>
  <si>
    <t>West SAC&lt;100MWhpa VolumeUnmetered</t>
  </si>
  <si>
    <t>MtIsa SAC&lt;100MWhpa VolumeUnmetered</t>
  </si>
  <si>
    <t>East CAC66kV Anytime</t>
  </si>
  <si>
    <t>East CAC33kV Anytime</t>
  </si>
  <si>
    <t>East CAC22/11kVBus Anytime</t>
  </si>
  <si>
    <t>East CAC22/11kVLine Anytime</t>
  </si>
  <si>
    <t>East CACHigherVoltage STOUD</t>
  </si>
  <si>
    <t>East CAC22/11kVBus STOUD</t>
  </si>
  <si>
    <t>East CAC22/11kVLine STOUD</t>
  </si>
  <si>
    <t>West CAC66kV Anytime</t>
  </si>
  <si>
    <t>West CAC33kV Anytime</t>
  </si>
  <si>
    <t>West CAC22/11kVBus Anytime</t>
  </si>
  <si>
    <t>West CAC22/11kVLine Anytime</t>
  </si>
  <si>
    <t>West CACHigherVoltage STOUD</t>
  </si>
  <si>
    <t>West CAC22/11kVBus STOUD</t>
  </si>
  <si>
    <t>West CAC22/11kVLine STOUD</t>
  </si>
  <si>
    <t>East SAC&lt;100MWhpa Residential IBT</t>
  </si>
  <si>
    <t>is the sum of annual adjustments factors for year t and includes the true-up for any under or over recovery of actual revenue collected through DUoS charges calculated using the method in Attachment 13 of the AER's Final Decision</t>
  </si>
  <si>
    <t>is the sum of approved cost pass through amounts (positive or negative) with respect to regulatory year t, as determined by the AER. It will aslo include any end-of-period adjustmnets in regulatory year t.</t>
  </si>
  <si>
    <t>is the annual percentage change in the ABS CPI All Groups, Weighted Average of Eight Capital Cities[1] from the December quarter in year t–2 to the December quarter in year t–1, calculated using the following method:
The ABS CPI All Groups, Weighted Average of Eight Capital Cities for the December quarter in regulatory year t–1 divided by The ABS CPI All Groups, Weighted Average of Eight Capital Cities for the December quarter in regulatory year t–2 minus one.
For example, for the 2020–21 year, t–2 is December quarter 2018 and t–1 is December quarter 2019.</t>
  </si>
  <si>
    <t>is the annual smoothed revenue requirement in the PTRM for year t.</t>
  </si>
  <si>
    <t>is the X factor for each year of the 2020–25 regulatory control period as determined in the PTRM, and annually revised for the return on debt update in accordance with the formula specified in the rate of return attachment 3—rate of return—calculated for the relevant year.</t>
  </si>
  <si>
    <t>Example calculation of DUoS unders and overs account ($'000, nominal)</t>
  </si>
  <si>
    <t>Example calculation of designated pricing proposal charges unders and overs account ($'000, nominal)</t>
  </si>
  <si>
    <r>
      <t>Is the annual percentage change in the ABS CPI All Groups, Weighted Average of Eight Capital Cities</t>
    </r>
    <r>
      <rPr>
        <vertAlign val="superscript"/>
        <sz val="10"/>
        <color theme="1"/>
        <rFont val="Arial"/>
        <family val="2"/>
      </rPr>
      <t xml:space="preserve">[1] </t>
    </r>
    <r>
      <rPr>
        <sz val="10"/>
        <color theme="1"/>
        <rFont val="Arial"/>
        <family val="2"/>
      </rPr>
      <t xml:space="preserve">from the December quarter in year t–2 to the December quarter in year t–1, calculated using the following method:
The ABS CPI All Groups, Weighted Average of Eight Capital Cities for the December quarter in regulatory year t–1 divided by The ABS CPI All Groups, Weighted Average of Eight Capital Cities for the December quarter in regulatory year t–2 minus one.
</t>
    </r>
  </si>
  <si>
    <t>Please note that separate X factors exist for 
* Annual Public Lighting charges 
* Annual Metering Charge (non-capital component) 
* Annual Metering Charge (capital component)</t>
  </si>
  <si>
    <t>consists of all labour costs directly incurred in the provision of the service which may include labour on-costs, fleet on-costs and overheads. From 2021–22, base labour is escalated annually by (1+∆CPIt)(1–Xt)</t>
  </si>
  <si>
    <t>2020-21</t>
  </si>
  <si>
    <t>CPI Index Dec 2020</t>
  </si>
  <si>
    <t>CPI Index Dec 2021</t>
  </si>
  <si>
    <t>CPI Index Dec 2022</t>
  </si>
  <si>
    <t>CPI Index Dec 2023</t>
  </si>
  <si>
    <t>CPI 2020</t>
  </si>
  <si>
    <t>CPI 2021</t>
  </si>
  <si>
    <t>CPI 2022</t>
  </si>
  <si>
    <t>CPI 2023</t>
  </si>
  <si>
    <t>CPI 2020-21</t>
  </si>
  <si>
    <t>CPI 2021-22</t>
  </si>
  <si>
    <t>CPI 2022-23</t>
  </si>
  <si>
    <t>CPI 2023-24</t>
  </si>
  <si>
    <t>CPI 2024-25</t>
  </si>
  <si>
    <t>2020-25 regulatory control period</t>
  </si>
  <si>
    <t>2021-22</t>
  </si>
  <si>
    <t>2022-23</t>
  </si>
  <si>
    <t>2023-24</t>
  </si>
  <si>
    <t>2024-25</t>
  </si>
  <si>
    <t>2015-20 regulatory control period</t>
  </si>
  <si>
    <t>EE_1</t>
  </si>
  <si>
    <t>EE_2</t>
  </si>
  <si>
    <t>EE_3</t>
  </si>
  <si>
    <t>EE_4</t>
  </si>
  <si>
    <t>EE_5</t>
  </si>
  <si>
    <t>EE_6</t>
  </si>
  <si>
    <t>EE_7</t>
  </si>
  <si>
    <t>EE_8</t>
  </si>
  <si>
    <t>EE_9</t>
  </si>
  <si>
    <t>EE_10</t>
  </si>
  <si>
    <t>EE_11</t>
  </si>
  <si>
    <t>EE_12</t>
  </si>
  <si>
    <t>EE_13</t>
  </si>
  <si>
    <t>EE_14</t>
  </si>
  <si>
    <t>EE_15</t>
  </si>
  <si>
    <t>EE_16</t>
  </si>
  <si>
    <t>EE_21</t>
  </si>
  <si>
    <t>EE_22</t>
  </si>
  <si>
    <t>EE_25</t>
  </si>
  <si>
    <t>EE_26</t>
  </si>
  <si>
    <t>EE_27</t>
  </si>
  <si>
    <t>EE_28</t>
  </si>
  <si>
    <t>EE_29</t>
  </si>
  <si>
    <t>EE_30</t>
  </si>
  <si>
    <t>EE_31</t>
  </si>
  <si>
    <t>EE_32</t>
  </si>
  <si>
    <t>EE_33</t>
  </si>
  <si>
    <t>EE_34</t>
  </si>
  <si>
    <t>EE_35</t>
  </si>
  <si>
    <t>EE_36</t>
  </si>
  <si>
    <t>EE_37</t>
  </si>
  <si>
    <t>EE_38</t>
  </si>
  <si>
    <t>EE_39</t>
  </si>
  <si>
    <t>EE_40</t>
  </si>
  <si>
    <t>EE_41</t>
  </si>
  <si>
    <t>EE_42</t>
  </si>
  <si>
    <t>EE_43</t>
  </si>
  <si>
    <t>EE_49</t>
  </si>
  <si>
    <t>EE_50</t>
  </si>
  <si>
    <t>EE_53</t>
  </si>
  <si>
    <t>EE_54</t>
  </si>
  <si>
    <t>EE_55</t>
  </si>
  <si>
    <t>EE_56</t>
  </si>
  <si>
    <t>EE_57</t>
  </si>
  <si>
    <t>EE_58</t>
  </si>
  <si>
    <t>EE_59</t>
  </si>
  <si>
    <t>EE_60</t>
  </si>
  <si>
    <t>EE_61</t>
  </si>
  <si>
    <t>EE_62</t>
  </si>
  <si>
    <t>EE_63</t>
  </si>
  <si>
    <t>EE_64</t>
  </si>
  <si>
    <t>EE_65</t>
  </si>
  <si>
    <t>EE_66</t>
  </si>
  <si>
    <t>EE_67</t>
  </si>
  <si>
    <t>EE_68</t>
  </si>
  <si>
    <t>EE_69</t>
  </si>
  <si>
    <t>EE_70</t>
  </si>
  <si>
    <t>EE_71</t>
  </si>
  <si>
    <t>EE_72</t>
  </si>
  <si>
    <t>EE_73</t>
  </si>
  <si>
    <t>EE_74</t>
  </si>
  <si>
    <t>EE_75</t>
  </si>
  <si>
    <t>EE_76</t>
  </si>
  <si>
    <t>EE_77</t>
  </si>
  <si>
    <t>EE_78</t>
  </si>
  <si>
    <t>EE_79</t>
  </si>
  <si>
    <t>EE_80</t>
  </si>
  <si>
    <t>EE_81</t>
  </si>
  <si>
    <t>EE_82</t>
  </si>
  <si>
    <t>EE_85</t>
  </si>
  <si>
    <t>EE_86</t>
  </si>
  <si>
    <t>EE_87</t>
  </si>
  <si>
    <t>EE_88</t>
  </si>
  <si>
    <t>EE_89</t>
  </si>
  <si>
    <t>EE_90</t>
  </si>
  <si>
    <t>EE_91</t>
  </si>
  <si>
    <t>EE_92</t>
  </si>
  <si>
    <t>EE_93</t>
  </si>
  <si>
    <t>EE_94</t>
  </si>
  <si>
    <t>EE_95</t>
  </si>
  <si>
    <t>EE_96</t>
  </si>
  <si>
    <t>EE_97</t>
  </si>
  <si>
    <t>EE_98</t>
  </si>
  <si>
    <t>EE_99</t>
  </si>
  <si>
    <t>EE_100</t>
  </si>
  <si>
    <t>EE_109</t>
  </si>
  <si>
    <t>EE_110</t>
  </si>
  <si>
    <t>EE_111</t>
  </si>
  <si>
    <t>EE_112</t>
  </si>
  <si>
    <t>EE_113</t>
  </si>
  <si>
    <t>EE_114</t>
  </si>
  <si>
    <t>EE_115</t>
  </si>
  <si>
    <t>EE_116</t>
  </si>
  <si>
    <t>EE_117</t>
  </si>
  <si>
    <t>EE_118</t>
  </si>
  <si>
    <t>EE_119</t>
  </si>
  <si>
    <t>EE_120</t>
  </si>
  <si>
    <t>EE_121</t>
  </si>
  <si>
    <t>EE_122</t>
  </si>
  <si>
    <t>EE_123</t>
  </si>
  <si>
    <t>EE_124</t>
  </si>
  <si>
    <t>EE_125</t>
  </si>
  <si>
    <t>EE_126</t>
  </si>
  <si>
    <t>EE_127</t>
  </si>
  <si>
    <t>EE_128</t>
  </si>
  <si>
    <t>EE_129</t>
  </si>
  <si>
    <t>EE_130</t>
  </si>
  <si>
    <t>EE_131</t>
  </si>
  <si>
    <t>EE_132</t>
  </si>
  <si>
    <t>EE_133</t>
  </si>
  <si>
    <t>EE_134</t>
  </si>
  <si>
    <t>EE_135</t>
  </si>
  <si>
    <t>EE_136</t>
  </si>
  <si>
    <t>EE_137</t>
  </si>
  <si>
    <t>EE_138</t>
  </si>
  <si>
    <t>EE_139</t>
  </si>
  <si>
    <t>EE_140</t>
  </si>
  <si>
    <t>EE_141</t>
  </si>
  <si>
    <t>EE_142</t>
  </si>
  <si>
    <t>EE_143</t>
  </si>
  <si>
    <t>EE_144</t>
  </si>
  <si>
    <t>EE_145</t>
  </si>
  <si>
    <t>EE_146</t>
  </si>
  <si>
    <t>EE_147</t>
  </si>
  <si>
    <t>NEW1</t>
  </si>
  <si>
    <t>NEW2</t>
  </si>
  <si>
    <t>NEW3</t>
  </si>
  <si>
    <t>NEW4</t>
  </si>
  <si>
    <t>NEW5</t>
  </si>
  <si>
    <t>NEW6</t>
  </si>
  <si>
    <t>NEW7</t>
  </si>
  <si>
    <t>NEW8</t>
  </si>
  <si>
    <t>EE_148</t>
  </si>
  <si>
    <t>EE_149</t>
  </si>
  <si>
    <t>EE_150</t>
  </si>
  <si>
    <t>EE_151</t>
  </si>
  <si>
    <t>EE_152</t>
  </si>
  <si>
    <t>EE_153</t>
  </si>
  <si>
    <t>EE_154</t>
  </si>
  <si>
    <t>EE_155</t>
  </si>
  <si>
    <t>EE_156</t>
  </si>
  <si>
    <t>EE_157</t>
  </si>
  <si>
    <t>EE_158</t>
  </si>
  <si>
    <t>EE_159</t>
  </si>
  <si>
    <t>EE_160</t>
  </si>
  <si>
    <t>EE_161</t>
  </si>
  <si>
    <t>EE_162</t>
  </si>
  <si>
    <t>EE_163</t>
  </si>
  <si>
    <t>EE_164</t>
  </si>
  <si>
    <t>EE_165</t>
  </si>
  <si>
    <t>EE_166</t>
  </si>
  <si>
    <t>EE_167</t>
  </si>
  <si>
    <t>EE_168</t>
  </si>
  <si>
    <t>EE_169</t>
  </si>
  <si>
    <t>EE_170</t>
  </si>
  <si>
    <t>EE_171</t>
  </si>
  <si>
    <t>EE_172</t>
  </si>
  <si>
    <t>EE_173</t>
  </si>
  <si>
    <t>EE_174</t>
  </si>
  <si>
    <t>EE_175</t>
  </si>
  <si>
    <t>EE_176</t>
  </si>
  <si>
    <t>EE_177</t>
  </si>
  <si>
    <t>EE_178</t>
  </si>
  <si>
    <t>EE_179</t>
  </si>
  <si>
    <t>EE_180</t>
  </si>
  <si>
    <t>EE_181</t>
  </si>
  <si>
    <t>EE_182</t>
  </si>
  <si>
    <t>EE_183</t>
  </si>
  <si>
    <t>EE_184</t>
  </si>
  <si>
    <t>EE_185</t>
  </si>
  <si>
    <t>EE_186</t>
  </si>
  <si>
    <t>EE_187</t>
  </si>
  <si>
    <t>EE_188</t>
  </si>
  <si>
    <t>EE_189</t>
  </si>
  <si>
    <t>EE_190</t>
  </si>
  <si>
    <t>EE_191</t>
  </si>
  <si>
    <t>EE_192</t>
  </si>
  <si>
    <t>EE_193</t>
  </si>
  <si>
    <t>EE_194</t>
  </si>
  <si>
    <t>EE_195</t>
  </si>
  <si>
    <t>EE_196</t>
  </si>
  <si>
    <t>EE_197</t>
  </si>
  <si>
    <t>EE_198</t>
  </si>
  <si>
    <t>EE_199</t>
  </si>
  <si>
    <t>EE_200</t>
  </si>
  <si>
    <t>EE_201</t>
  </si>
  <si>
    <t>EE_202</t>
  </si>
  <si>
    <t>EE_203</t>
  </si>
  <si>
    <t>EE_204</t>
  </si>
  <si>
    <t>EE_205</t>
  </si>
  <si>
    <t>EE_206</t>
  </si>
  <si>
    <t>EE_207</t>
  </si>
  <si>
    <t>EE_208</t>
  </si>
  <si>
    <t>EE_209</t>
  </si>
  <si>
    <t>EE_210</t>
  </si>
  <si>
    <t>EE_211</t>
  </si>
  <si>
    <t>EE_212</t>
  </si>
  <si>
    <t>EE_213</t>
  </si>
  <si>
    <t>EE_214</t>
  </si>
  <si>
    <t>EE_215</t>
  </si>
  <si>
    <t>EE_216</t>
  </si>
  <si>
    <t>EE_217</t>
  </si>
  <si>
    <t>EE_218</t>
  </si>
  <si>
    <t>EE_219</t>
  </si>
  <si>
    <t>EE_220</t>
  </si>
  <si>
    <t>EE_221</t>
  </si>
  <si>
    <t>EE_222</t>
  </si>
  <si>
    <t>EE_223</t>
  </si>
  <si>
    <t>EE_224</t>
  </si>
  <si>
    <t>EE_225</t>
  </si>
  <si>
    <t>EE_226</t>
  </si>
  <si>
    <t>EE_227</t>
  </si>
  <si>
    <t>EE_228</t>
  </si>
  <si>
    <t>EE_229</t>
  </si>
  <si>
    <t>EE_230</t>
  </si>
  <si>
    <t>EE_231</t>
  </si>
  <si>
    <t>EE_232</t>
  </si>
  <si>
    <t>EE_233</t>
  </si>
  <si>
    <t>EE_234</t>
  </si>
  <si>
    <t>EE_235</t>
  </si>
  <si>
    <t>EE_236</t>
  </si>
  <si>
    <t>EE_237</t>
  </si>
  <si>
    <t>EE_238</t>
  </si>
  <si>
    <t>EE_239</t>
  </si>
  <si>
    <t>EE_240</t>
  </si>
  <si>
    <t>EE_241</t>
  </si>
  <si>
    <t>EE_242</t>
  </si>
  <si>
    <t>EE_243</t>
  </si>
  <si>
    <t>EE_244</t>
  </si>
  <si>
    <t>EE_245</t>
  </si>
  <si>
    <t>EE_246</t>
  </si>
  <si>
    <t>EE_247</t>
  </si>
  <si>
    <t>EE_248</t>
  </si>
  <si>
    <t>EE_249</t>
  </si>
  <si>
    <t>EE_250</t>
  </si>
  <si>
    <t>EE_251</t>
  </si>
  <si>
    <t>EE_252</t>
  </si>
  <si>
    <t>EE_253</t>
  </si>
  <si>
    <t>EE_254</t>
  </si>
  <si>
    <t>EE_255</t>
  </si>
  <si>
    <t>EE_257</t>
  </si>
  <si>
    <t>EE_258</t>
  </si>
  <si>
    <t>EE_259</t>
  </si>
  <si>
    <t>EE_260a</t>
  </si>
  <si>
    <t>EE_261a</t>
  </si>
  <si>
    <t>EE_262a</t>
  </si>
  <si>
    <t>EE_263a</t>
  </si>
  <si>
    <t>EE_260</t>
  </si>
  <si>
    <t>EE_261</t>
  </si>
  <si>
    <t>EE_262</t>
  </si>
  <si>
    <t>EE_263</t>
  </si>
  <si>
    <t>EE_264</t>
  </si>
  <si>
    <t>EE_265</t>
  </si>
  <si>
    <t>EE_266</t>
  </si>
  <si>
    <t>EE_267</t>
  </si>
  <si>
    <t>EE_268</t>
  </si>
  <si>
    <t>EE_269</t>
  </si>
  <si>
    <t>EE_270</t>
  </si>
  <si>
    <t>EE_271</t>
  </si>
  <si>
    <t>EE_272</t>
  </si>
  <si>
    <t>EE_273</t>
  </si>
  <si>
    <t>EE_274</t>
  </si>
  <si>
    <t>EE_275</t>
  </si>
  <si>
    <t>EE_276</t>
  </si>
  <si>
    <t>EE_277</t>
  </si>
  <si>
    <t>EE_278</t>
  </si>
  <si>
    <t>EE_279</t>
  </si>
  <si>
    <t>EE_280</t>
  </si>
  <si>
    <t>EE_281</t>
  </si>
  <si>
    <t>EE_282</t>
  </si>
  <si>
    <t>EE_283</t>
  </si>
  <si>
    <t>EE_284</t>
  </si>
  <si>
    <t>EE_285</t>
  </si>
  <si>
    <t>EE_286</t>
  </si>
  <si>
    <t>EE_287</t>
  </si>
  <si>
    <t>EE_288</t>
  </si>
  <si>
    <t>EE_289</t>
  </si>
  <si>
    <t>EE_290</t>
  </si>
  <si>
    <t>EE_291</t>
  </si>
  <si>
    <t>EE_292</t>
  </si>
  <si>
    <t>EE_293</t>
  </si>
  <si>
    <t>EE_294</t>
  </si>
  <si>
    <t>EE_295</t>
  </si>
  <si>
    <t>EE_296</t>
  </si>
  <si>
    <t>EE_297</t>
  </si>
  <si>
    <t>EE_298</t>
  </si>
  <si>
    <t>EE_299</t>
  </si>
  <si>
    <t>EE_300</t>
  </si>
  <si>
    <t>EE_301</t>
  </si>
  <si>
    <t>EE_302</t>
  </si>
  <si>
    <t>EE_303</t>
  </si>
  <si>
    <t>EE_304</t>
  </si>
  <si>
    <t>EE_305</t>
  </si>
  <si>
    <t>EE_306</t>
  </si>
  <si>
    <t>EE_307</t>
  </si>
  <si>
    <t>EE_308</t>
  </si>
  <si>
    <t>EE_309</t>
  </si>
  <si>
    <t>EE_310</t>
  </si>
  <si>
    <t>EE_311</t>
  </si>
  <si>
    <t>EE_312</t>
  </si>
  <si>
    <t>EE_313</t>
  </si>
  <si>
    <t>EE_314</t>
  </si>
  <si>
    <t>EE_315</t>
  </si>
  <si>
    <t>EE_316</t>
  </si>
  <si>
    <t>EE_317</t>
  </si>
  <si>
    <t>EE_318</t>
  </si>
  <si>
    <t>EE_319</t>
  </si>
  <si>
    <t>EE_320</t>
  </si>
  <si>
    <t>EE_321</t>
  </si>
  <si>
    <t>Feeder type</t>
  </si>
  <si>
    <t>Connection application and management services</t>
  </si>
  <si>
    <t>Retailer requested de-energisation of the customer's premises where the de-energisation can be performed at the premises ie by a method other than main switch seal (eg pole, pillar, transformer or meter isolation link)</t>
  </si>
  <si>
    <t>BUSINESS HOURS - NO CT</t>
  </si>
  <si>
    <t>Urban/Short Rural</t>
  </si>
  <si>
    <t>Long rural/Isolated</t>
  </si>
  <si>
    <t>AFTER HOURS - NO CT</t>
  </si>
  <si>
    <t>BUSINESS HOURS - CT</t>
  </si>
  <si>
    <t>Long rural/isolated</t>
  </si>
  <si>
    <t>AFTER HOURS - CT</t>
  </si>
  <si>
    <t>NON PAYMENT - NO CT</t>
  </si>
  <si>
    <t>NON PAYMENT - CT</t>
  </si>
  <si>
    <t>Retailer requested de-energisation (MSS)</t>
  </si>
  <si>
    <t>BUSINESS HOURS</t>
  </si>
  <si>
    <t>AFTER HOURS</t>
  </si>
  <si>
    <t>NON PAYMENT</t>
  </si>
  <si>
    <t>Retailer or third party requested remote de-energisation via the meter for non payment (PoC Exempt locations only)</t>
  </si>
  <si>
    <t>All other remote de-energisation requests (PoC Exempt locations only)</t>
  </si>
  <si>
    <t>Retailer requests a re-energisation of the customer's premises where the customer has not paid their electricity account. No visual required</t>
  </si>
  <si>
    <t>ANYTIME - NO CT</t>
  </si>
  <si>
    <t>ANYTIME - CT</t>
  </si>
  <si>
    <t>Retailer requests a re-energisation for the customer's premises following a main switch seal (no visual required)</t>
  </si>
  <si>
    <t>ANYTIME</t>
  </si>
  <si>
    <t>Retailer or metering coordinator/provider requests a visual examination upon re-energisation (physical or remote) of the customer’s premises.</t>
  </si>
  <si>
    <t>Retailer or metering coordinator/provider requests a visual examination upon re-energisation (physical) of the customer’s premises where the customer has not paid their electricity account. NMI de-energised &gt; 30 days.</t>
  </si>
  <si>
    <t>Retailer or third party requested remote re-energisation via the meter after remote de-energisation non payment (PoC Exempt locations only)</t>
  </si>
  <si>
    <t>Retailer or third party requested remote re-energisation via the meter after remote de-energisation (PoC Exempt locations only)</t>
  </si>
  <si>
    <t>Temporary de-energisation and re-energisation of supply to allow customer or contractor to work close - the supply will be disconnected</t>
  </si>
  <si>
    <t>No Dismantling - BUSINESS HOURS</t>
  </si>
  <si>
    <t>No Dismantling - AFTER HOURS</t>
  </si>
  <si>
    <t>Temporary de-energisation and re-energisation of supply to allow customer or contractor to work close - the service may be physically dismantled or disconnected (e.g. overhead service dropped). This services includes switching if required.</t>
  </si>
  <si>
    <t>Dismantling - SINGLE PHASE - BUSINESS HOURS</t>
  </si>
  <si>
    <t>Dismantling - MULTIPHASE - BUSINESS HOURS</t>
  </si>
  <si>
    <t>Dismantling - SINGLE PHASE - BUSINESS HOURS - Traffic Control</t>
  </si>
  <si>
    <t>Dismantling - MULTIPHASE - BUSINESS HOURS - Traffic Control</t>
  </si>
  <si>
    <t>Dismantling - SINGLE PHASE - AFTER HOURS</t>
  </si>
  <si>
    <t>Dismantling - MULTIPHASE - AFTER HOURS</t>
  </si>
  <si>
    <t>Dismantling - SINGLE PHASE - AFTER HOURS - Traffic Control</t>
  </si>
  <si>
    <t>Dismantling - MULTIPHASE - AFTER HOURS - Traffic Control</t>
  </si>
  <si>
    <t>Work on metering equipment for temporary connection, not in permanent position - single phase or multi phase metered.
Note:  this service is only available for non-grid connected areas of our network (isolated feeders and the Mount Isa-Cloncurry supply network).</t>
  </si>
  <si>
    <t>Customer requested temporary connection (short term) and the recovery of the temporary builders supply. Excludes work on metering equipment.</t>
  </si>
  <si>
    <t>Retailer requests Ergon Energy to abolish supply at a connection point and decommission a NMI.  May be used where a property is to be demolished; supply is no longer required; an alternative connection point is to be used; or a redundant supply is to be removed.  Overhead or Underground</t>
  </si>
  <si>
    <t>SERVICE ONLY - BUSINESS HOURS - CT (Complex)</t>
  </si>
  <si>
    <t>SERVICE ONLY - BUSINESS HOURS - CT (Complex) - Traffic control</t>
  </si>
  <si>
    <t>SERVICE ONLY - BUSINESS HOURS - NO CT (Simple)</t>
  </si>
  <si>
    <t>SERVICE ONLY - BUSINESS HOURS - NO CT (Simple) - Traffic control</t>
  </si>
  <si>
    <t>SERVICE ONLY - AFTER HOURS - CT (Complex)</t>
  </si>
  <si>
    <t>SERVICE ONLY - AFTER HOURS - CT (Complex) - Traffic control</t>
  </si>
  <si>
    <t>SERVICE ONLY- AFTER HOURS - NO CT (Simple)</t>
  </si>
  <si>
    <t>SERVICE ONLY- AFTER HOURS - NO CT (Simple) - Traffic control</t>
  </si>
  <si>
    <t>SERVICE ONLY - ANYTIME - CT (Complex)</t>
  </si>
  <si>
    <t>SERVICE ONLY - ANYTIME - CT (Complex) - Traffic control</t>
  </si>
  <si>
    <t>SERVICE ONLY - ANYTIME - NO CT (Simple)</t>
  </si>
  <si>
    <t>SERVICE ONLY - ANYTIME - NO CT (Simple) - Traffic control</t>
  </si>
  <si>
    <t>Retailer requests Ergon Energy to abolish supply at a connection point and decommission a NMI.  May be used where a property is to be demolished; supply is no longer required; an alternative connection point is to be used; or a redundant supply is to be removed.  Overhead or Underground (No travel time)</t>
  </si>
  <si>
    <t xml:space="preserve">METER ONLY (Per NMI) - BUSINESS HOURS - CT </t>
  </si>
  <si>
    <t xml:space="preserve">METER ONLY (Per NMI) - BUSINESS HOURS - NO CT </t>
  </si>
  <si>
    <t xml:space="preserve">Retailer requests Ergon Energy to abolish supply at a connection point and decommission a NMI.  May be used where a property is to be demolished; supply is no longer required; an alternative connection point is to be used; or a redundant supply is to be removed.  Overhead or Underground (No travel time)  </t>
  </si>
  <si>
    <t xml:space="preserve">METER ONLY (Per NMI) - AFTER HOURS- CT </t>
  </si>
  <si>
    <t>METER ONLY (Per NMI) - AFTER HOURS - NO CT</t>
  </si>
  <si>
    <t xml:space="preserve">METER ONLY (Per NMI) - ANYTIME - CT </t>
  </si>
  <si>
    <t xml:space="preserve">METER ONLY (Per NMI) - ANYTIME - NO CT </t>
  </si>
  <si>
    <t>Request to de-energise an unmetered supply point.</t>
  </si>
  <si>
    <t>BUSINESS HOURS - TRAFFIC CONTROL</t>
  </si>
  <si>
    <t>AFTER HOURS - TRAFFIC CONTROL</t>
  </si>
  <si>
    <t>Service upgrade. For example, an upgrade from single phase to multi phase and/or increase capacity. Excludes work on metering equipment (if required). Overhead</t>
  </si>
  <si>
    <t xml:space="preserve">BUSINESS HOURS - SINGLE TO MULTI PHASE </t>
  </si>
  <si>
    <t>BUSINESS HOURS - SINGLE TO MULTI PHASE - Traffic control</t>
  </si>
  <si>
    <t xml:space="preserve">BUSINESS HOURS - MULTIPHASE INCREASE CAPACITY </t>
  </si>
  <si>
    <t>BUSINESS HOURS - MULTIPHASE INCREASE CAPACITY - Traffic control</t>
  </si>
  <si>
    <t xml:space="preserve">AFTER HOURS - SINGLE TO MULTI PHASE </t>
  </si>
  <si>
    <t>AFTER HOURS - SINGLE TO MULTI PHASE - Traffic control</t>
  </si>
  <si>
    <t>AFTER HOURS - MULTIPHASE INCREASE CAPACITY</t>
  </si>
  <si>
    <t>AFTER HOURS - MULTIPHASE INCREASE CAPACITY - Traffic control</t>
  </si>
  <si>
    <t>Service upgrade. For example, an upgrade from single phase to multi phase and/or increase capacity. Excludes work on metering equipment (if required). Underground</t>
  </si>
  <si>
    <t>Customer requests their existing overhead service to be replaced or relocated, e.g.as a result of point of attachment relocation. No material change to load. This includes De-energisation, followed by physical dismantling then reattachment of service and re-energisation. Excludes work on metering equipment (if required)</t>
  </si>
  <si>
    <t>BUSINESS HOURS - SINGLE PHASE</t>
  </si>
  <si>
    <t>BUSINESS HOURS - SINGLE PHASE - Traffic Control</t>
  </si>
  <si>
    <t xml:space="preserve">AFTER HOURS - SINGLE PHASE  </t>
  </si>
  <si>
    <t>AFTER HOURS - SINGLE PHASE  - Traffic Control</t>
  </si>
  <si>
    <t>BUSINESS HOURS - MULTI PHASE</t>
  </si>
  <si>
    <t>BUSINESS HOURS - MULTI PHASE - Traffic Control</t>
  </si>
  <si>
    <t xml:space="preserve">AFTER HOURS - MULTIPHASE  </t>
  </si>
  <si>
    <t>AFTER HOURS - MULTIPHASE - Traffic Control</t>
  </si>
  <si>
    <t>Network Ancillary services</t>
  </si>
  <si>
    <t>Rearrange connection assets at customer's request - simple (upgrade from overhead to underground where main connection point is in existence).
Recovery of the overhead service and connection of the consumer mains to the pre-existing pillar for a customer requested conversion of existing overhead service to underground service</t>
  </si>
  <si>
    <t>Customer requested temporary connection (short term) and recovery of the temporary builders supply. Note:  this service is only available for non-grid connected areas of our network (isolated feeders and the Mount Isa-Cloncurry supply network)</t>
  </si>
  <si>
    <t>Attending loss of Supply - customer fault</t>
  </si>
  <si>
    <t xml:space="preserve"> Crews attend site at the customers request and is unable to perform job due to customers fault/fault of a third party.  TECHNICAL. Wasted travel time and wasted time at customer's premises.</t>
  </si>
  <si>
    <t>BUSINESS HOURS - 1 crew</t>
  </si>
  <si>
    <t>BUSINESS HOURS - 2 crews</t>
  </si>
  <si>
    <t>AFTER HOURS - 1 crew</t>
  </si>
  <si>
    <t>AFTER HOURS - 2 crews</t>
  </si>
  <si>
    <t xml:space="preserve"> Crews attend site at the customers request and is unable to perform job due to customers fault/fault of a third party.  NON TECHNICAL. Wasted travel time.</t>
  </si>
  <si>
    <t>Auxiliary metering services</t>
  </si>
  <si>
    <t xml:space="preserve">Install new meter (Type 5 and 6) – Single phase </t>
  </si>
  <si>
    <t xml:space="preserve">Install new meter (Type 5 and 6) – Dual element </t>
  </si>
  <si>
    <t>Install new meter (Type 5 and 6) – Polyphase</t>
  </si>
  <si>
    <t xml:space="preserve">Install new meter (CT) </t>
  </si>
  <si>
    <t xml:space="preserve">Install additional/replacement meter (Type 5 and 6) – Single phase </t>
  </si>
  <si>
    <t xml:space="preserve">Install additional/replacement meter (Type 5 and 6) – Dual element </t>
  </si>
  <si>
    <t xml:space="preserve">Install addiitional/replacement meter (Type 5 and 6) – Dual element </t>
  </si>
  <si>
    <t>Install addiitional/replacement meter (Type 5 and 6) – Polyphase</t>
  </si>
  <si>
    <t xml:space="preserve">Install additonal/replacement meter (CT) </t>
  </si>
  <si>
    <t>Removal of Meter</t>
  </si>
  <si>
    <t>Customer requested Meter Accuracy Testing of type 5-6 meter (physically test meter)</t>
  </si>
  <si>
    <t>Inspection required to check reported or suspected fault and no fault in meter is found. (no physical meter test)</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</si>
  <si>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 First Unit</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</si>
  <si>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 Additional Units</t>
  </si>
  <si>
    <t>A request to make a change from one tariff to another tariff (Controlled Load)</t>
  </si>
  <si>
    <t>A request to make a change from one tariff to another tariff</t>
  </si>
  <si>
    <t>Change load control equipment (inc. time switch and relay install, modify and removal)</t>
  </si>
  <si>
    <t>Meter alteration – meter is being relocated or meter wiring altered and requires DNSP to visit site to verify the integrity of the metering equipment</t>
  </si>
  <si>
    <t>Customer requests a check read, transfer read or validation of an estimated read on the meter, may be due to reported error in the meter reading. This is only used to check the accuracy of the meter reading</t>
  </si>
  <si>
    <t>Site remains active and reading undertaken upon customer move in. Retail requested</t>
  </si>
  <si>
    <t>Provision of load profile data where available – Retailer requested</t>
  </si>
  <si>
    <t>Reseal and inspection of meter after customer initated work</t>
  </si>
  <si>
    <t>Tariff class</t>
  </si>
  <si>
    <t>Public Lighting Services charges</t>
  </si>
  <si>
    <t>-</t>
  </si>
  <si>
    <t>ICC</t>
  </si>
  <si>
    <t>DUOS</t>
  </si>
  <si>
    <t>Fixed Charge</t>
  </si>
  <si>
    <t>No.</t>
  </si>
  <si>
    <t>Capacity Charge</t>
  </si>
  <si>
    <t>Demand Charge kVA</t>
  </si>
  <si>
    <t>Volume Off Peak Charge</t>
  </si>
  <si>
    <t>kWh/annum</t>
  </si>
  <si>
    <t>Volume Peak Charge</t>
  </si>
  <si>
    <t>T2</t>
  </si>
  <si>
    <t>Rate</t>
  </si>
  <si>
    <t>$/customer/day</t>
  </si>
  <si>
    <t>$/kVA/month</t>
  </si>
  <si>
    <t>$/kWh</t>
  </si>
  <si>
    <t>$</t>
  </si>
  <si>
    <t>Volume Charge</t>
  </si>
  <si>
    <t>T3</t>
  </si>
  <si>
    <t xml:space="preserve">
$/kW/Mth</t>
  </si>
  <si>
    <t>T4</t>
  </si>
  <si>
    <t>CAC</t>
  </si>
  <si>
    <t>Peak Demand Charge kVA</t>
  </si>
  <si>
    <t>Excess Demand Charge</t>
  </si>
  <si>
    <t>SAC</t>
  </si>
  <si>
    <t>SACL</t>
  </si>
  <si>
    <t>Demand Large</t>
  </si>
  <si>
    <t>Demand Small</t>
  </si>
  <si>
    <t>Large Business Primary Load Control</t>
  </si>
  <si>
    <t>SACS Bus</t>
  </si>
  <si>
    <t>Small Business ToU Energy</t>
  </si>
  <si>
    <t>Volume Evening Charge</t>
  </si>
  <si>
    <t>Volume Overnight Charge</t>
  </si>
  <si>
    <t>Volume Day Charge</t>
  </si>
  <si>
    <t>Band1 Charge</t>
  </si>
  <si>
    <t>Band2 Charge</t>
  </si>
  <si>
    <t>Band3 Charge</t>
  </si>
  <si>
    <t>Band4 Charge</t>
  </si>
  <si>
    <t>Band5 Charge</t>
  </si>
  <si>
    <t>Small Business Transitional Demand</t>
  </si>
  <si>
    <t>Peak Demand Charge kW</t>
  </si>
  <si>
    <t>Small Business Demand</t>
  </si>
  <si>
    <t>Demand Charge kW</t>
  </si>
  <si>
    <t>SACS Res</t>
  </si>
  <si>
    <t>Residential ToU Energy</t>
  </si>
  <si>
    <t>Residential Transitional Demand</t>
  </si>
  <si>
    <t>Residential Demand</t>
  </si>
  <si>
    <t>SACS CL</t>
  </si>
  <si>
    <t>East</t>
  </si>
  <si>
    <t>West</t>
  </si>
  <si>
    <t>Mt Isa</t>
  </si>
  <si>
    <t>CAC 66kV</t>
  </si>
  <si>
    <t>Connection Unit Charge</t>
  </si>
  <si>
    <t>CAC 33kV</t>
  </si>
  <si>
    <t>CAC 22/11kV Bus</t>
  </si>
  <si>
    <t>CAC 22/11kV Line</t>
  </si>
  <si>
    <t>kW</t>
  </si>
  <si>
    <t>T1</t>
  </si>
  <si>
    <t>Demand Medium</t>
  </si>
  <si>
    <t>ESTOUD</t>
  </si>
  <si>
    <t>Seasonal TOU Demand</t>
  </si>
  <si>
    <t>Off Peak Demand Charge kW</t>
  </si>
  <si>
    <t>ELTOUD</t>
  </si>
  <si>
    <t>ELPLC</t>
  </si>
  <si>
    <t>ELSLC</t>
  </si>
  <si>
    <t>WSTOUD</t>
  </si>
  <si>
    <t>WLTOUD</t>
  </si>
  <si>
    <t>WLPLC</t>
  </si>
  <si>
    <t>WLSLC</t>
  </si>
  <si>
    <t>MSTOUD</t>
  </si>
  <si>
    <t>MLTOUD</t>
  </si>
  <si>
    <t>MLPLC</t>
  </si>
  <si>
    <t>MLSLC</t>
  </si>
  <si>
    <t>Volume Block 1 Charge</t>
  </si>
  <si>
    <t>Volume Block 2 Charge</t>
  </si>
  <si>
    <t>Volume Block 3 Charge</t>
  </si>
  <si>
    <t>EBTOUE</t>
  </si>
  <si>
    <t>EBWIF</t>
  </si>
  <si>
    <t>EBTDEM</t>
  </si>
  <si>
    <t>EBDEM</t>
  </si>
  <si>
    <t>EBPLC</t>
  </si>
  <si>
    <t>Volume Peak Charge (over 10,000)</t>
  </si>
  <si>
    <t>Minimum Capacity Charge</t>
  </si>
  <si>
    <t>Remaining Capacity Charge</t>
  </si>
  <si>
    <t>WBTOUE</t>
  </si>
  <si>
    <t>WBWIF</t>
  </si>
  <si>
    <t>WBTDEM</t>
  </si>
  <si>
    <t>WBDEM</t>
  </si>
  <si>
    <t>WBPLC</t>
  </si>
  <si>
    <t>MBTOUE</t>
  </si>
  <si>
    <t>MBWIF</t>
  </si>
  <si>
    <t>MBTDEM</t>
  </si>
  <si>
    <t>MBDEM</t>
  </si>
  <si>
    <t>MBPLC</t>
  </si>
  <si>
    <t>ERTOUE</t>
  </si>
  <si>
    <t>ERTDEM</t>
  </si>
  <si>
    <t>ERDEM</t>
  </si>
  <si>
    <t>WRTOUE</t>
  </si>
  <si>
    <t>WRTDEM</t>
  </si>
  <si>
    <t>WRDEM</t>
  </si>
  <si>
    <t>MRTOUE</t>
  </si>
  <si>
    <t>MRTDEM</t>
  </si>
  <si>
    <t>MRDEM</t>
  </si>
  <si>
    <t>Securitylighting</t>
  </si>
  <si>
    <t>Rates</t>
  </si>
  <si>
    <t xml:space="preserve">Tariff class </t>
  </si>
  <si>
    <t>Service grouping</t>
  </si>
  <si>
    <t>De-energisation</t>
  </si>
  <si>
    <t>Re-energisation</t>
  </si>
  <si>
    <t>Temporary disconnections and reconnections (which may involve a line drop)</t>
  </si>
  <si>
    <t>Temporary connection</t>
  </si>
  <si>
    <t>Supply Abolishment</t>
  </si>
  <si>
    <t>Supply enhancement</t>
  </si>
  <si>
    <t>Point of attachment relocation</t>
  </si>
  <si>
    <t>Re-arrange connection assets at customer's request</t>
  </si>
  <si>
    <t>Request for Temporary Connection for short term supply</t>
  </si>
  <si>
    <t>Faults/Emergency response</t>
  </si>
  <si>
    <t>Call out fee</t>
  </si>
  <si>
    <t xml:space="preserve">Install new meter (Type 5 and 6) </t>
  </si>
  <si>
    <t xml:space="preserve">Removal of a meter (Type 5 &amp; 6)
</t>
  </si>
  <si>
    <t>Meter test</t>
  </si>
  <si>
    <t>Meter inspection and investigation on request</t>
  </si>
  <si>
    <t>Meter reconfiguration</t>
  </si>
  <si>
    <t>Load control time switch</t>
  </si>
  <si>
    <t>Metering alteration</t>
  </si>
  <si>
    <t>Meter reading</t>
  </si>
  <si>
    <t>Type 6 non standard metering data services</t>
  </si>
  <si>
    <t>Reseal</t>
  </si>
  <si>
    <t>NPL1</t>
  </si>
  <si>
    <t>NPL2</t>
  </si>
  <si>
    <t>NPL3</t>
  </si>
  <si>
    <t>NPL4</t>
  </si>
  <si>
    <t>Permutation 1</t>
  </si>
  <si>
    <t>Permutation 2</t>
  </si>
  <si>
    <t>Conventional</t>
  </si>
  <si>
    <t>LED</t>
  </si>
  <si>
    <t>Standard Control Services</t>
  </si>
  <si>
    <t>Alternative Control Services</t>
  </si>
  <si>
    <t>Tariff Class/tariff/zone description</t>
  </si>
  <si>
    <t>East SAC&gt;100MWhpa TOUD</t>
  </si>
  <si>
    <t>West SAC&gt;100MWhpa TOUD</t>
  </si>
  <si>
    <t>MtIsa SAC&gt;100MWhpa TOUD</t>
  </si>
  <si>
    <t>East SAC&gt;100MWhpa Business Primary LC</t>
  </si>
  <si>
    <t>West SAC&gt;100MWhpa Business Primary LC</t>
  </si>
  <si>
    <t>MtIsa SAC&gt;100MWhpa Business Primary LC</t>
  </si>
  <si>
    <t>Transmission zone</t>
  </si>
  <si>
    <t>East SAC&lt;20MWhpa Business IBT</t>
  </si>
  <si>
    <t>West SAC&lt;20MWhpa Business IBT</t>
  </si>
  <si>
    <t>MtIsa SAC&lt;20MWhpa Business IBT</t>
  </si>
  <si>
    <t>East SAC&lt;100MWhpa Residential TOU Transitional Demand</t>
  </si>
  <si>
    <t>West SAC&lt;100MWhpa Residential TOU Transitional Demand</t>
  </si>
  <si>
    <t>MtIsa SAC&lt;100MWhpa Residential TOU Transitional Demand</t>
  </si>
  <si>
    <t>East SAC&lt;100MWhpa Business TOU Transitional Demand</t>
  </si>
  <si>
    <t>West SAC&lt;100MWhpa Business TOU Transitional Demand</t>
  </si>
  <si>
    <t>MtIsa SAC&lt;100MWhpa Business TOU Transitional Demand</t>
  </si>
  <si>
    <t>East SAC&gt;100MWhpa Business Secondary LC</t>
  </si>
  <si>
    <t>West SAC&gt;100MWhpa Business Secondary LC</t>
  </si>
  <si>
    <t>MtIsa SAC&gt;100MWhpa Business Secondary LC</t>
  </si>
  <si>
    <t xml:space="preserve"> Location
</t>
  </si>
  <si>
    <t xml:space="preserve">$/kW/Mth </t>
  </si>
  <si>
    <t>Common</t>
  </si>
  <si>
    <t>Customer numbers</t>
  </si>
  <si>
    <t>Region</t>
  </si>
  <si>
    <t>kVA</t>
  </si>
  <si>
    <t>$/year</t>
  </si>
  <si>
    <t xml:space="preserve">East Wide Inclining Fixed </t>
  </si>
  <si>
    <t>West Wide Inclining Fixed</t>
  </si>
  <si>
    <t>MtIsa Wide Inclining Fixed</t>
  </si>
  <si>
    <t>Number of days in a year</t>
  </si>
  <si>
    <t>Year</t>
  </si>
  <si>
    <t>Days in year</t>
  </si>
  <si>
    <t>General Charge</t>
  </si>
  <si>
    <t>SACS Unm</t>
  </si>
  <si>
    <t xml:space="preserve">East SAC&lt;100MWhpa Small Business Primary Load Control </t>
  </si>
  <si>
    <t xml:space="preserve">West SAC&lt;100MWhpa Small Business Primary Load Control </t>
  </si>
  <si>
    <t xml:space="preserve">Mt Isa SAC&lt;100MWhpa Small Business Primary Load Control </t>
  </si>
  <si>
    <t>Please note that the following changes ocurrring in 2020-21</t>
  </si>
  <si>
    <t>Changes to the Tariff Approval Model</t>
  </si>
  <si>
    <t>Type</t>
  </si>
  <si>
    <t>Value</t>
  </si>
  <si>
    <t>$/day</t>
  </si>
  <si>
    <t xml:space="preserve"> </t>
  </si>
  <si>
    <t>t-3</t>
  </si>
  <si>
    <t>t-4</t>
  </si>
  <si>
    <t>NMIs</t>
  </si>
  <si>
    <t>Tariff name</t>
  </si>
  <si>
    <t>Customer class in year t</t>
  </si>
  <si>
    <t>Total JSA revenue for year t</t>
  </si>
  <si>
    <t>I factor for year t (Sum of STPIS, EBSS and DMIS carryover amounts)</t>
  </si>
  <si>
    <t>Min (X,0))</t>
  </si>
  <si>
    <t>Pricing zone</t>
  </si>
  <si>
    <t>Revenue</t>
  </si>
  <si>
    <t>Quantity</t>
  </si>
  <si>
    <t>TUOS</t>
  </si>
  <si>
    <t>JS</t>
  </si>
  <si>
    <t>Charge</t>
  </si>
  <si>
    <t>$/kW</t>
  </si>
  <si>
    <t>Other</t>
  </si>
  <si>
    <t>Cust #</t>
  </si>
  <si>
    <t>S factor for period t</t>
  </si>
  <si>
    <t>Version</t>
  </si>
  <si>
    <t>Date</t>
  </si>
  <si>
    <t>Details</t>
  </si>
  <si>
    <t>v1</t>
  </si>
  <si>
    <t>Changes to SCS tariffs</t>
  </si>
  <si>
    <t>Year  t-1</t>
  </si>
  <si>
    <t>(estimate)</t>
  </si>
  <si>
    <t>Year t-1</t>
  </si>
  <si>
    <t>Interest on opening balance</t>
  </si>
  <si>
    <t>Unders /overs</t>
  </si>
  <si>
    <t>Actual DUoS Revenue  Recovered</t>
  </si>
  <si>
    <t>Ergon Energy (WACC Nominal)</t>
  </si>
  <si>
    <t>Ergon Energy (WACC Real)</t>
  </si>
  <si>
    <t>Real WACC (per cent)</t>
  </si>
  <si>
    <t>CPI (per cent)</t>
  </si>
  <si>
    <t>(C) Revenue deliberately under-recoered in year</t>
  </si>
  <si>
    <t>v2</t>
  </si>
  <si>
    <t>(A minus B plus C) Under/over recovery of revenue for regulatory year</t>
  </si>
  <si>
    <t>Nominal WACC (per cent)</t>
  </si>
  <si>
    <t>Real WACC (per cent) in Year t</t>
  </si>
  <si>
    <t>CPI (per cent) in Year t</t>
  </si>
  <si>
    <t>Pass through Amounts (C factor)</t>
  </si>
  <si>
    <t>DPPC related payments in t-2 (actual)</t>
  </si>
  <si>
    <t>Actual</t>
  </si>
  <si>
    <t>Estimate</t>
  </si>
  <si>
    <t>Cross boundary expenditure</t>
  </si>
  <si>
    <t>(C) Revenue deliberately under-recovered in year</t>
  </si>
  <si>
    <t>Actual Jurisdictional scheme revenue recovered</t>
  </si>
  <si>
    <t>Actual Jurisdictional scheme amounts payments</t>
  </si>
  <si>
    <t>+ Distribution revenue</t>
  </si>
  <si>
    <t>+ Distribution cross boundary revenue</t>
  </si>
  <si>
    <t>+ Adjusted annual smoothed revenues (AARt)</t>
  </si>
  <si>
    <t xml:space="preserve">+ Cost pass through amount (Ct) </t>
  </si>
  <si>
    <t>+ DPPC revenue</t>
  </si>
  <si>
    <t>+ DPPC cross boundary revenue</t>
  </si>
  <si>
    <t>+ DPPC to be paid to Transmission Network Service Provider</t>
  </si>
  <si>
    <t>+ Avoided TUoS/DPPC payments</t>
  </si>
  <si>
    <t>+ Inter-distributor payments</t>
  </si>
  <si>
    <t>+ Annual adjustments</t>
  </si>
  <si>
    <t>Inclusion on 1 July 2021 of new network tariffs to align with the Ergon Energy 2020-25 TSS, namely:</t>
  </si>
  <si>
    <t xml:space="preserve">SAC Large Residential Basic </t>
  </si>
  <si>
    <t xml:space="preserve">SAC Large Business Basic </t>
  </si>
  <si>
    <t>3 SAC Small Transitional tariffs (East Zone only)</t>
  </si>
  <si>
    <t>Updated Service ref</t>
  </si>
  <si>
    <t>Product codes</t>
  </si>
  <si>
    <t>Services</t>
  </si>
  <si>
    <t>Permutations</t>
  </si>
  <si>
    <t>Base (2020-21)</t>
  </si>
  <si>
    <t>DNV1MBU</t>
  </si>
  <si>
    <t>DNV1MBL
DNV1MBI</t>
  </si>
  <si>
    <t>DNV1MAU</t>
  </si>
  <si>
    <t>DNV1MAL
DNV1MAI</t>
  </si>
  <si>
    <t>DNV2MBU</t>
  </si>
  <si>
    <t>DNV2MBL
DNV2MBI</t>
  </si>
  <si>
    <t>DNV2MAU</t>
  </si>
  <si>
    <t>DNV2MAL
DNV2MAI</t>
  </si>
  <si>
    <t>DN$1MBU</t>
  </si>
  <si>
    <t>DN$1MBL
DN$1MBI</t>
  </si>
  <si>
    <t>DN$2MBU</t>
  </si>
  <si>
    <t>DN$2MBL
DN$2MBI</t>
  </si>
  <si>
    <t>DNMS1MBU</t>
  </si>
  <si>
    <t>DNMS1MBL
DNMS1MBI</t>
  </si>
  <si>
    <t>DNMS1MAU</t>
  </si>
  <si>
    <t>DNMS1MAL
DNMS1MAI</t>
  </si>
  <si>
    <t>DNS$1MBU</t>
  </si>
  <si>
    <t>DNS$1MBL
DNS$1MBI</t>
  </si>
  <si>
    <t>DNR$BU</t>
  </si>
  <si>
    <t>DNR$AU</t>
  </si>
  <si>
    <t>DNRVBU</t>
  </si>
  <si>
    <t>DNRVAU</t>
  </si>
  <si>
    <t>RN$1MBU</t>
  </si>
  <si>
    <t>RN$1MBL
RN$1MBI</t>
  </si>
  <si>
    <t>RN$2MBU</t>
  </si>
  <si>
    <t>RN$2MBL
RN$2MBI</t>
  </si>
  <si>
    <t>RN$1MAU</t>
  </si>
  <si>
    <t>RN$1MAL
RN$1MAI</t>
  </si>
  <si>
    <t>RN$1MTU</t>
  </si>
  <si>
    <t>RN$2MAU</t>
  </si>
  <si>
    <t>RN$2MAL
RN$2MAI</t>
  </si>
  <si>
    <t>RN$2MTU</t>
  </si>
  <si>
    <t>RNS1MBU</t>
  </si>
  <si>
    <t>RNS1MBL
RNS1MBI</t>
  </si>
  <si>
    <t>RNS1MAU</t>
  </si>
  <si>
    <t>RNS1MAL
RNS1MAI</t>
  </si>
  <si>
    <t>RNS1MTU</t>
  </si>
  <si>
    <t>RNS$1MBU</t>
  </si>
  <si>
    <t>RNS$1MBL
RNS$1MBI</t>
  </si>
  <si>
    <t>RNV1MBU</t>
  </si>
  <si>
    <t>RNV1MBL
RNV1MBI</t>
  </si>
  <si>
    <t>RNV2MBU</t>
  </si>
  <si>
    <t>RNV2MBL
RNV2MBI</t>
  </si>
  <si>
    <t>RNV1MAU</t>
  </si>
  <si>
    <t>RNV1MAL
RNV1MAI</t>
  </si>
  <si>
    <t>RNV2MAU</t>
  </si>
  <si>
    <t>RNV2MAL
RNV2MAI</t>
  </si>
  <si>
    <t>RNV1MTU</t>
  </si>
  <si>
    <t>RNV2MTU</t>
  </si>
  <si>
    <t>RN$V1MBU</t>
  </si>
  <si>
    <t>RN$V1MBL
RN$V1MBI</t>
  </si>
  <si>
    <t>RN$V1MAU</t>
  </si>
  <si>
    <t>RN$V1MAL
RN$V1MAI</t>
  </si>
  <si>
    <t>RN$V1MTU</t>
  </si>
  <si>
    <t>RN$V2MBU</t>
  </si>
  <si>
    <t>RN$V2MBL
RN$V2MBI</t>
  </si>
  <si>
    <t>RN$V2MAU</t>
  </si>
  <si>
    <t>RN$V2MAL
RN$V2MAI</t>
  </si>
  <si>
    <t>RN$V2MTU</t>
  </si>
  <si>
    <t>RNR$B</t>
  </si>
  <si>
    <t>RNR$A</t>
  </si>
  <si>
    <t>RNR$T</t>
  </si>
  <si>
    <t>RNRVB</t>
  </si>
  <si>
    <t>RNRVA</t>
  </si>
  <si>
    <t>RNRVT</t>
  </si>
  <si>
    <t>TDNNDBU</t>
  </si>
  <si>
    <t>TDNNDBL
TDNNDBI</t>
  </si>
  <si>
    <t>TDNNDAU</t>
  </si>
  <si>
    <t>TDNNDAL
TDNNDAI</t>
  </si>
  <si>
    <t>TDNSPBU</t>
  </si>
  <si>
    <t>TDNSPBL
TDNSPBI</t>
  </si>
  <si>
    <t>TDNMPBU</t>
  </si>
  <si>
    <t>TDNMPBL
TDNMPBI</t>
  </si>
  <si>
    <t>TDNSPTCBU</t>
  </si>
  <si>
    <t>TDNSPTCBL
TDNSPTCBI</t>
  </si>
  <si>
    <t>TDNMPTCBU</t>
  </si>
  <si>
    <t>TDNMPTCBL
TDNMPTCBI</t>
  </si>
  <si>
    <t>TDNSPAU</t>
  </si>
  <si>
    <t>TDNSPAL
TDNSPAI</t>
  </si>
  <si>
    <t>TDNMPAU</t>
  </si>
  <si>
    <t>TDNMPAL
TDNMPAI</t>
  </si>
  <si>
    <t>TDNSPTCAU</t>
  </si>
  <si>
    <t>TDNSPTCAL
TDNSPTCAI</t>
  </si>
  <si>
    <t>TDNMPTCAU</t>
  </si>
  <si>
    <t>TDNMPTCAL
TDNMPTCAI</t>
  </si>
  <si>
    <t>NCTMTRBU
NCTMTRBL
NCTMTRBI</t>
  </si>
  <si>
    <t>NCT1MBU</t>
  </si>
  <si>
    <t>NCT1MBL
NCT1MBI</t>
  </si>
  <si>
    <t>NCT1MAU</t>
  </si>
  <si>
    <t>NCT1MAL
NCT1MAI</t>
  </si>
  <si>
    <t>NCT2MBU</t>
  </si>
  <si>
    <t>NCT2MBL
NCT2MBI</t>
  </si>
  <si>
    <t>NCT2MAU</t>
  </si>
  <si>
    <t>NCT2MAL
NCT2MAI</t>
  </si>
  <si>
    <t>SA2BU</t>
  </si>
  <si>
    <t>SA2BL
SA2BI</t>
  </si>
  <si>
    <t>SA2TCBU</t>
  </si>
  <si>
    <t>SA2TCBL
SA2TCBI</t>
  </si>
  <si>
    <t>SA1BU</t>
  </si>
  <si>
    <t>SA1BL
SA1BI</t>
  </si>
  <si>
    <t>SA1TCBU</t>
  </si>
  <si>
    <t>SA1TCBL
SA1TCBI</t>
  </si>
  <si>
    <t>SA2AU</t>
  </si>
  <si>
    <t>SA2AL
SA2AI</t>
  </si>
  <si>
    <t>SA2TCAU</t>
  </si>
  <si>
    <t>SA2TCAL
SA2TCAI</t>
  </si>
  <si>
    <t>SA1AU</t>
  </si>
  <si>
    <t>SA1AL
SA1AI</t>
  </si>
  <si>
    <t>SA1TCAU</t>
  </si>
  <si>
    <t>SA1TCAL
SA1TCAI</t>
  </si>
  <si>
    <t>SA2TU</t>
  </si>
  <si>
    <t>SA2TCTU</t>
  </si>
  <si>
    <t>SA1TU</t>
  </si>
  <si>
    <t>SA1TCTU</t>
  </si>
  <si>
    <t>SA4BU</t>
  </si>
  <si>
    <t>SA4BL
SA4BI</t>
  </si>
  <si>
    <t>SA3BU</t>
  </si>
  <si>
    <t>SA3BL
SA3BI</t>
  </si>
  <si>
    <t>SA4AU</t>
  </si>
  <si>
    <t>SA4AL
SA4AI</t>
  </si>
  <si>
    <t>SA3AU</t>
  </si>
  <si>
    <t>SA3AL
SA3AI</t>
  </si>
  <si>
    <t>SA4TU</t>
  </si>
  <si>
    <t>SA3TU</t>
  </si>
  <si>
    <t>DNUMSBU</t>
  </si>
  <si>
    <t>DNUMSAU</t>
  </si>
  <si>
    <t>DNUMSTCBU</t>
  </si>
  <si>
    <t>DNUMSTCAU</t>
  </si>
  <si>
    <t>DNUMSBL
DNUMSBI</t>
  </si>
  <si>
    <t>DNUMSAL
DNUMSAI</t>
  </si>
  <si>
    <t>DNUMSTCBL
DNUMSTCBI</t>
  </si>
  <si>
    <t>DNUMSTCAL
DNUMSTCAI</t>
  </si>
  <si>
    <t>SEOMPBU</t>
  </si>
  <si>
    <t>SEOMPBL
SEOMPBI</t>
  </si>
  <si>
    <t>SEOMPTCBU</t>
  </si>
  <si>
    <t>SEOMPTCBL
SEOMPTCBI</t>
  </si>
  <si>
    <t>SEOCAPBU</t>
  </si>
  <si>
    <t>SEOCAPBL
SEOCAPBI</t>
  </si>
  <si>
    <t>SEOCAPTCBU</t>
  </si>
  <si>
    <t>SEOCAPTCBL
SEOCAPTCBI</t>
  </si>
  <si>
    <t>SEOMPAU</t>
  </si>
  <si>
    <t>SEOMPAL
SEOMPAI</t>
  </si>
  <si>
    <t>SEOMPTCAU</t>
  </si>
  <si>
    <t>SEOMPTCAL
SEOMPTCAI</t>
  </si>
  <si>
    <t>SEOCAPAU</t>
  </si>
  <si>
    <t>SEOCAPAL
SEOCAPAI</t>
  </si>
  <si>
    <t>SEOCAPTCAU</t>
  </si>
  <si>
    <t>SEUMPBU</t>
  </si>
  <si>
    <t>SEUMPBL
SEUMPBI</t>
  </si>
  <si>
    <t>SEUMPTCBU</t>
  </si>
  <si>
    <t>SEUMPTCBL
SEUMPTCBI</t>
  </si>
  <si>
    <t>SEUCAPBU</t>
  </si>
  <si>
    <t>SEUCAPBL
SEUCAPBI</t>
  </si>
  <si>
    <t>SEUCAPTCBU</t>
  </si>
  <si>
    <t>SEUMPAU</t>
  </si>
  <si>
    <t>SEUMPAL
SEUMPAI</t>
  </si>
  <si>
    <t>SEUMPTCAU</t>
  </si>
  <si>
    <t>SEUMPTCAL
SEUMPTCAI</t>
  </si>
  <si>
    <t>SEUCAPAU</t>
  </si>
  <si>
    <t>SEUCAPAL
SEUCAPAI</t>
  </si>
  <si>
    <t>SEUCAPTCAU</t>
  </si>
  <si>
    <t>POASPBU</t>
  </si>
  <si>
    <t>POASPBL
POASPBI</t>
  </si>
  <si>
    <t>POASPTCBU</t>
  </si>
  <si>
    <t>POASPTCBL
POASPTCBI</t>
  </si>
  <si>
    <t>POASPAU</t>
  </si>
  <si>
    <t>POASPAL
POASPAI</t>
  </si>
  <si>
    <t>POASPTCAU</t>
  </si>
  <si>
    <t>POASPTCAL
POASPTCAI</t>
  </si>
  <si>
    <t>POAMPBU</t>
  </si>
  <si>
    <t>POAMPTCBU</t>
  </si>
  <si>
    <t>POAMPTCBL
POAMPTCBI</t>
  </si>
  <si>
    <t>POAMPAU</t>
  </si>
  <si>
    <t>POAMPAL
POAMPAI</t>
  </si>
  <si>
    <t>POAMPTCAU</t>
  </si>
  <si>
    <t>POAMPTCAL
POAMPTCAI</t>
  </si>
  <si>
    <t>OH2UGSPBU</t>
  </si>
  <si>
    <t>OH2UGSPBL
OH2UGSPBI</t>
  </si>
  <si>
    <t>OH2UGSPTBU</t>
  </si>
  <si>
    <t>OH2UGSPTBL
OH2UGSPTBI</t>
  </si>
  <si>
    <t>OH2UGSPAU</t>
  </si>
  <si>
    <t>OH2UGSPAL
OH2UGSPAI</t>
  </si>
  <si>
    <t>OH2UGSPTAU</t>
  </si>
  <si>
    <t>OH2UGSPTAL
OH2UGSPTAI</t>
  </si>
  <si>
    <t>OH2UGMPBU</t>
  </si>
  <si>
    <t>OH2UGMPBL
OH2UGMPBI</t>
  </si>
  <si>
    <t>OH2UGMPTBU</t>
  </si>
  <si>
    <t>OH2UGMPTBL
OH2UGMPTBI</t>
  </si>
  <si>
    <t>OH2UGMPAU</t>
  </si>
  <si>
    <t>OH2UGMPAL
OH2UGMPAI</t>
  </si>
  <si>
    <t>OH2UGMPTAU</t>
  </si>
  <si>
    <t>OH2UGMPTAL
OH2UGMPTAI</t>
  </si>
  <si>
    <t>NCTPESPBU</t>
  </si>
  <si>
    <t>NCTPESPBL
NCTPESPBI</t>
  </si>
  <si>
    <t>NCTPESPTBU</t>
  </si>
  <si>
    <t>NCTPESPTBL
NCTPESPTBI</t>
  </si>
  <si>
    <t>NCTPEMPBU</t>
  </si>
  <si>
    <t>NCTPEMPBL
NCTPEMPBI</t>
  </si>
  <si>
    <t>NCTPEMPTBU</t>
  </si>
  <si>
    <t>NCTPEMPTBL
NCTPEMPTBI</t>
  </si>
  <si>
    <t>NCTPESPAU</t>
  </si>
  <si>
    <t>NCTPESPAL
NCTPESPAI</t>
  </si>
  <si>
    <t>NCTPESPTAU</t>
  </si>
  <si>
    <t>NCTPESPTAL
NCTPESPTAI</t>
  </si>
  <si>
    <t>NCTPEMPAU</t>
  </si>
  <si>
    <t>NCTPEMPAL
NCTPEMPAI</t>
  </si>
  <si>
    <t>NCTPEMPTAU</t>
  </si>
  <si>
    <t>NCTPEMPTAL
NCTPEMPTAI</t>
  </si>
  <si>
    <t>LOSBU</t>
  </si>
  <si>
    <t>LOSBL
LOSBI</t>
  </si>
  <si>
    <t>LOSAU</t>
  </si>
  <si>
    <t>LOSAL
LOSAI</t>
  </si>
  <si>
    <t>USV1MBU</t>
  </si>
  <si>
    <t>USV1MBL
USV1MBI</t>
  </si>
  <si>
    <t>USV2MBU</t>
  </si>
  <si>
    <t>USV2MBL
USV2MBI</t>
  </si>
  <si>
    <t>USV1MAU</t>
  </si>
  <si>
    <t>USV1MAL
USV1MAI</t>
  </si>
  <si>
    <t>USV2MAU</t>
  </si>
  <si>
    <t>USV2MAL
USV2MAI</t>
  </si>
  <si>
    <t>USVNTBU</t>
  </si>
  <si>
    <t>USVNTBL
USVNTBI</t>
  </si>
  <si>
    <t>USVNTAU</t>
  </si>
  <si>
    <t>USVNTAL
USVNTAI</t>
  </si>
  <si>
    <t>NMSPBU</t>
  </si>
  <si>
    <t>NMSPBL
NMSPBI</t>
  </si>
  <si>
    <t>NMDEBU</t>
  </si>
  <si>
    <t>NMDEBL
NMDEBI</t>
  </si>
  <si>
    <t>NMPPBU</t>
  </si>
  <si>
    <t>NMPPBL
NMPPBI</t>
  </si>
  <si>
    <t>NMCTBU</t>
  </si>
  <si>
    <t>NMCTBL
NMCTBI</t>
  </si>
  <si>
    <t>ADSPBU</t>
  </si>
  <si>
    <t>ADSPBL
ADSPBI</t>
  </si>
  <si>
    <t>ADDEBU</t>
  </si>
  <si>
    <t>ADDEBL
ADDEBI</t>
  </si>
  <si>
    <t>ADPPBU</t>
  </si>
  <si>
    <t>ADCTBU</t>
  </si>
  <si>
    <t>ADCTBL
ADCTBI</t>
  </si>
  <si>
    <t>RM1MBU</t>
  </si>
  <si>
    <t>RM1MBL
RM1MBI</t>
  </si>
  <si>
    <t>RM2MBU</t>
  </si>
  <si>
    <t>RM2MBL
RM2MBI</t>
  </si>
  <si>
    <t>RM1MAU</t>
  </si>
  <si>
    <t>RM1MAL
RM1MAI</t>
  </si>
  <si>
    <t>RM2MAU</t>
  </si>
  <si>
    <t>RM2MAL
RM2MAI</t>
  </si>
  <si>
    <t>MIMT1MBU</t>
  </si>
  <si>
    <t>MIMT1MBL
MIMT1MBI</t>
  </si>
  <si>
    <t>MIMT2MBU</t>
  </si>
  <si>
    <t>MIMT2MBL
MIMT2MBI</t>
  </si>
  <si>
    <t>MINS1MBU</t>
  </si>
  <si>
    <t>MINS1MBL
MINS1MBI</t>
  </si>
  <si>
    <t>MINS1MAU</t>
  </si>
  <si>
    <t>MINS1MAL
MINS1MAI</t>
  </si>
  <si>
    <t>MINS2MBU</t>
  </si>
  <si>
    <t>MINS2MBL
MINS2MBI</t>
  </si>
  <si>
    <t>MINS2MAU</t>
  </si>
  <si>
    <t>MINS2MAL
MINS2MAI</t>
  </si>
  <si>
    <t>MINSSUBU</t>
  </si>
  <si>
    <t>MINSSUBL
MINSSUBI</t>
  </si>
  <si>
    <t>MINSSUAU</t>
  </si>
  <si>
    <t>MINSSUAL
MINSSUAI</t>
  </si>
  <si>
    <t>MINSMUBU</t>
  </si>
  <si>
    <t>MINSMUBL
MINSMUBI</t>
  </si>
  <si>
    <t>MINSMUAU</t>
  </si>
  <si>
    <t>MINSMUAL
MINSMUAI</t>
  </si>
  <si>
    <t>MRCLT1MBU</t>
  </si>
  <si>
    <t>MRCLT1MBL
MRCLT1MBI</t>
  </si>
  <si>
    <t>MRCLT1MAU</t>
  </si>
  <si>
    <t>MRCLT1MAL
MRCLT1MAI</t>
  </si>
  <si>
    <t>MRCLT2MBU</t>
  </si>
  <si>
    <t>MRCLT2MBL
MRCLT2MBI</t>
  </si>
  <si>
    <t>MRCLT2MAU</t>
  </si>
  <si>
    <t>MRCLT2MAL
MRCLT2MAI</t>
  </si>
  <si>
    <t>MRCT1MBU</t>
  </si>
  <si>
    <t>MRCT1MBL
MRCT1MBI</t>
  </si>
  <si>
    <t>MRCT1MAU</t>
  </si>
  <si>
    <t>MRCT1MAL
MRCT1MAI</t>
  </si>
  <si>
    <t>MRCT2MBU</t>
  </si>
  <si>
    <t>MRCT2MBL
MRCT2MBI</t>
  </si>
  <si>
    <t>MRCT2MAU</t>
  </si>
  <si>
    <t>MRCT2MAL
MRCT2MAI</t>
  </si>
  <si>
    <t>MRCL1MBU</t>
  </si>
  <si>
    <t>MRCL1MBL
MRCL1MBI</t>
  </si>
  <si>
    <t>MRCL2MBU</t>
  </si>
  <si>
    <t>MRCL2MBL
MRCL2MBI</t>
  </si>
  <si>
    <t>MM1MBU</t>
  </si>
  <si>
    <t>MM1MBL
MM1MBI</t>
  </si>
  <si>
    <t>MM1MAU</t>
  </si>
  <si>
    <t>MM1MAL
MM1MAI</t>
  </si>
  <si>
    <t>MM2MBU</t>
  </si>
  <si>
    <t>MM2MBL
MM2MBI</t>
  </si>
  <si>
    <t>MM2MAU</t>
  </si>
  <si>
    <t>MM2MAL
MM2MAI</t>
  </si>
  <si>
    <t>SRCRBU</t>
  </si>
  <si>
    <t>SRCRBL
SRCRBI</t>
  </si>
  <si>
    <t>RNRRBU</t>
  </si>
  <si>
    <t>RNRRBL
RNRRBI</t>
  </si>
  <si>
    <t>LPDBU</t>
  </si>
  <si>
    <t>LPDBL
LPDBI</t>
  </si>
  <si>
    <t>AAMRBU</t>
  </si>
  <si>
    <t>AAMRBL
AAMRBI</t>
  </si>
  <si>
    <t>AER Final Determination Approved Prices</t>
  </si>
  <si>
    <t>Ancillary Network Services</t>
  </si>
  <si>
    <t>Type 6 metering - urban/short rural</t>
  </si>
  <si>
    <t>Type 6 metering installation - long rural/remote</t>
  </si>
  <si>
    <t xml:space="preserve">
$/Cust/year</t>
  </si>
  <si>
    <t xml:space="preserve">EE_256 </t>
  </si>
  <si>
    <t>Applies to service references:</t>
  </si>
  <si>
    <t>%</t>
  </si>
  <si>
    <t>This worksheet contains the 2020-21 ACS fee-based services and rates approved by the AER as part of the 2020-21 pricing proposal process</t>
  </si>
  <si>
    <t>Source: ERG Attachment 1 - Network Tariff Tables 2020-21 Final.xlsx</t>
  </si>
  <si>
    <t>Product Code</t>
  </si>
  <si>
    <t>$/day/light</t>
  </si>
  <si>
    <t>NPL1 (Ergon Owned &amp; Operated)</t>
  </si>
  <si>
    <t>ACSEOOMA</t>
  </si>
  <si>
    <t>ACSEOOMI</t>
  </si>
  <si>
    <t>Minor</t>
  </si>
  <si>
    <t>ACSEOOMAL</t>
  </si>
  <si>
    <t>Major</t>
  </si>
  <si>
    <t>ACSEOOMIL</t>
  </si>
  <si>
    <t>NPL2 (Gifted &amp; Ergon Operated)</t>
  </si>
  <si>
    <t>ACSGEOMA</t>
  </si>
  <si>
    <t>ACSGEOMI</t>
  </si>
  <si>
    <t>ACSGEOMAL</t>
  </si>
  <si>
    <t>ACSGEOMIL</t>
  </si>
  <si>
    <t>ACSLEDMA</t>
  </si>
  <si>
    <t>ACSLEDMI</t>
  </si>
  <si>
    <t>ACSMNCC</t>
  </si>
  <si>
    <t>Non-capital</t>
  </si>
  <si>
    <t>ACSMCC</t>
  </si>
  <si>
    <t>Daily maintenance, operation and replacement charge/ unit</t>
  </si>
  <si>
    <t>UWLSLED</t>
  </si>
  <si>
    <t xml:space="preserve">Small LED </t>
  </si>
  <si>
    <t>UWLMLED</t>
  </si>
  <si>
    <t xml:space="preserve">Medium LED </t>
  </si>
  <si>
    <t>UWLSCON</t>
  </si>
  <si>
    <t xml:space="preserve">Small conventional </t>
  </si>
  <si>
    <t>UWLMCON</t>
  </si>
  <si>
    <t xml:space="preserve">Medium conventional </t>
  </si>
  <si>
    <t>UWLLCON</t>
  </si>
  <si>
    <t xml:space="preserve">Large conventional </t>
  </si>
  <si>
    <t>This worksheet contains the 2020-21 public lighting services and rates approved by the AER as part of the 2020-21 pricing proposal</t>
  </si>
  <si>
    <t xml:space="preserve">Nil </t>
  </si>
  <si>
    <t>This worksheet contains the 2020-21 Type 6 metering services and rates approved by the AER as part of the 2020-21 pricing proposal</t>
  </si>
  <si>
    <t>This worksheet contains the 2020-21 security lighting services and rates approved by the AER as part of the 2020-21 pricing proposal</t>
  </si>
  <si>
    <t>Security Lighting Charges</t>
  </si>
  <si>
    <t xml:space="preserve">Permutation </t>
  </si>
  <si>
    <t>PropTar
$/light/day</t>
  </si>
  <si>
    <t>Tariff reference</t>
  </si>
  <si>
    <t>ARt</t>
  </si>
  <si>
    <t>REGULATORY REPORTING STATEMENT</t>
  </si>
  <si>
    <t>Annual Reporting RIN Response 2015-16</t>
  </si>
  <si>
    <t>8.1 - INCOME</t>
  </si>
  <si>
    <t>8.1.1 - INCOME STATEMENT</t>
  </si>
  <si>
    <t>Description</t>
  </si>
  <si>
    <t>Audited Statutory Accounts</t>
  </si>
  <si>
    <t>Adjustments</t>
  </si>
  <si>
    <t>Distribution business</t>
  </si>
  <si>
    <t>Negotiated Services</t>
  </si>
  <si>
    <t>Public Lighting</t>
  </si>
  <si>
    <t>Connection services</t>
  </si>
  <si>
    <t>Metering services</t>
  </si>
  <si>
    <t>Ancillary network services</t>
  </si>
  <si>
    <t>$0's, nominal</t>
  </si>
  <si>
    <t>8.1.1.1 - REVENUE</t>
  </si>
  <si>
    <t>Distribution revenue</t>
  </si>
  <si>
    <t>Cross boundary revenue</t>
  </si>
  <si>
    <t>Contributions</t>
  </si>
  <si>
    <t>Interest income</t>
  </si>
  <si>
    <t>Jurisdictional scheme amounts</t>
  </si>
  <si>
    <t>Profit from sale of fixed assets</t>
  </si>
  <si>
    <t>TUOS revenue</t>
  </si>
  <si>
    <t>Pass through revenue (F-factor)</t>
  </si>
  <si>
    <t xml:space="preserve">Other Revenue </t>
  </si>
  <si>
    <t>Total revenue</t>
  </si>
  <si>
    <t>8.1.1.2 - EXPENDITURE</t>
  </si>
  <si>
    <t>TUOS expenditure</t>
  </si>
  <si>
    <t>Avoided TUOS expenditure</t>
  </si>
  <si>
    <t xml:space="preserve">Depreciation </t>
  </si>
  <si>
    <t>Finance charges</t>
  </si>
  <si>
    <t>Impairment losses</t>
  </si>
  <si>
    <t>Loss from sale of fixed assets</t>
  </si>
  <si>
    <t>Maintenance expenditure</t>
  </si>
  <si>
    <t>Operating expenditure excluding maintenance expenditure</t>
  </si>
  <si>
    <t xml:space="preserve">Other </t>
  </si>
  <si>
    <t>Annual Reporting RIN Response 2016-17</t>
  </si>
  <si>
    <t>ANNUAL REPORTING STATEMENT</t>
  </si>
  <si>
    <t>Annual Reporting RIN Response 2017-18</t>
  </si>
  <si>
    <t xml:space="preserve"> Distribution business </t>
  </si>
  <si>
    <t xml:space="preserve"> Standard Control Services </t>
  </si>
  <si>
    <t xml:space="preserve"> Negotiated Services </t>
  </si>
  <si>
    <t xml:space="preserve"> Metering services </t>
  </si>
  <si>
    <t xml:space="preserve"> Ancillary network services </t>
  </si>
  <si>
    <t xml:space="preserve">                      -   </t>
  </si>
  <si>
    <t>Total expenditure</t>
  </si>
  <si>
    <t>Annual Reporting RIN Response 2018-19</t>
  </si>
  <si>
    <t>Annual Reporting RIN Response 2019-20</t>
  </si>
  <si>
    <t>Other Revenue</t>
  </si>
  <si>
    <t>Depreciation</t>
  </si>
  <si>
    <t>TAR</t>
  </si>
  <si>
    <t>Table 3:  Breakdown of Cross boundary revenue in table 8.1.1.1</t>
  </si>
  <si>
    <t>Revenue component</t>
  </si>
  <si>
    <t>Jurisdicitonal scheme amounts</t>
  </si>
  <si>
    <t xml:space="preserve">Total Cross boundary revenue </t>
  </si>
  <si>
    <t>Table 5:  Breakdown of TUOS expenditure in table 8.1.1.2</t>
  </si>
  <si>
    <t>Expenditure type</t>
  </si>
  <si>
    <t>Regulated charges to Powerlink</t>
  </si>
  <si>
    <t>Unregulated charges to Powerlink</t>
  </si>
  <si>
    <t xml:space="preserve">Total TUOS expenditure </t>
  </si>
  <si>
    <t xml:space="preserve">Actual Total DUoS Revenue Recovered </t>
  </si>
  <si>
    <t>Cross boundary DUoS revenue</t>
  </si>
  <si>
    <t>+ Annual adjustments (Bt)</t>
  </si>
  <si>
    <t>+ Incentive scheme amounts (It)</t>
  </si>
  <si>
    <t xml:space="preserve">% applied to revenue cap in year t excl of STPIS </t>
  </si>
  <si>
    <t>% applied to revenue cap in year t-1 incl of STPIS</t>
  </si>
  <si>
    <t>Applicable STPIS $ for year t</t>
  </si>
  <si>
    <t>ARt (excl STPIS t-1)</t>
  </si>
  <si>
    <t>ARt (incl STPIS t-1)</t>
  </si>
  <si>
    <t>Final decision checks</t>
  </si>
  <si>
    <t>Nominal Vanilla WACC</t>
  </si>
  <si>
    <t>Varying</t>
  </si>
  <si>
    <t>Real Vanilla WACC</t>
  </si>
  <si>
    <t xml:space="preserve">Post-tax Nominal WACC </t>
  </si>
  <si>
    <t xml:space="preserve">Post-tax Real WACC </t>
  </si>
  <si>
    <t xml:space="preserve">Pre-tax Nominal WACC </t>
  </si>
  <si>
    <t xml:space="preserve">Pre-tax Real WACC </t>
  </si>
  <si>
    <t>Nominal Tax Allowance</t>
  </si>
  <si>
    <t>Real Tax Allowance</t>
  </si>
  <si>
    <t>Ergon Energy's 2020-25 PTRM</t>
  </si>
  <si>
    <t>Source</t>
  </si>
  <si>
    <t>X Factors</t>
  </si>
  <si>
    <t>P_0</t>
  </si>
  <si>
    <t>X_02</t>
  </si>
  <si>
    <t>X_03</t>
  </si>
  <si>
    <t>X_04</t>
  </si>
  <si>
    <t>X_05</t>
  </si>
  <si>
    <t>positive P0, X imply real decrease in price/ revenue constraint</t>
  </si>
  <si>
    <t>Tariff Approval - Ergon Energy</t>
  </si>
  <si>
    <t>DUoS REVENUE CAP FORMULA COMPLIANT</t>
  </si>
  <si>
    <t>Not required in year t</t>
  </si>
  <si>
    <t>+ Incentive scheme amounts (It) a</t>
  </si>
  <si>
    <t>+ Annual adjustments (Bt) b</t>
  </si>
  <si>
    <t>Source: ERG Attachment 4 - Confidential Tariff Approval Model 2020-21 FINAL.xlsx, Tab "2020_DisRevCapForm"</t>
  </si>
  <si>
    <t>Ergon Energy's Annual RINs</t>
  </si>
  <si>
    <t>Releases from t-2</t>
  </si>
  <si>
    <t>DPPC REVENUE FORMULA COMPLIANT</t>
  </si>
  <si>
    <t>Source: ERG Attachment 4 - Confidential Tariff Approval Model 2020-21 FINAL.xlsx, Tab "2020_TransRevCont"</t>
  </si>
  <si>
    <t>Inputs used for the calculation of the DPPC  unders/overs amounts in "2021_TUOSRevCap" worksheet</t>
  </si>
  <si>
    <t>Inputs used for the calculation of the DUoS  unders/overs amounts in "2021_DUOSRevCap"</t>
  </si>
  <si>
    <t>Inputs used for the calculation of the Jurisdictional Scheme  unders/overs amounts in "2021_JSRevCap" worksheet</t>
  </si>
  <si>
    <t>DPP cross-boundary</t>
  </si>
  <si>
    <t>Actual DPPC revenue</t>
  </si>
  <si>
    <t>JS REVENUE FORMULA COMPLIANT</t>
  </si>
  <si>
    <t>Source: ERG Attachment 4 - Confidential Tariff Approval Model 2020-21 FINAL.xlsx, Tab "2020_JSRevCont"</t>
  </si>
  <si>
    <t>Distribution use of system (DUOS)</t>
  </si>
  <si>
    <t>Transmission use of system (TUOS)</t>
  </si>
  <si>
    <t xml:space="preserve">Jurisdictional schemes </t>
  </si>
  <si>
    <t>Total Network use of system (NUOS)</t>
  </si>
  <si>
    <t xml:space="preserve">Component </t>
  </si>
  <si>
    <t xml:space="preserve">Formula </t>
  </si>
  <si>
    <t>2021-22 Value</t>
  </si>
  <si>
    <t>Adjusted annual smoothed revenue requirement (t-1)</t>
  </si>
  <si>
    <t>X-factor</t>
  </si>
  <si>
    <t>S-Factor</t>
  </si>
  <si>
    <t>Adjusted annual smoothed revenue requirement (t)</t>
  </si>
  <si>
    <t>DMIS and DIMIA adjustments</t>
  </si>
  <si>
    <t>Annual adjustment factors</t>
  </si>
  <si>
    <t>Cost pass through amounts</t>
  </si>
  <si>
    <t>Total Allowable Revenue</t>
  </si>
  <si>
    <t>Proposed revenue</t>
  </si>
  <si>
    <t>Compliance with revenue cap</t>
  </si>
  <si>
    <t>TAR&gt;= Proposed revenue</t>
  </si>
  <si>
    <t>Unders/overs account component</t>
  </si>
  <si>
    <t>(A) Revenue from DUOS charges</t>
  </si>
  <si>
    <t>DUOS unders and overs account</t>
  </si>
  <si>
    <t xml:space="preserve">Opening balance </t>
  </si>
  <si>
    <t>Unders/overs account element</t>
  </si>
  <si>
    <t>2020-21 Weighted average revenue</t>
  </si>
  <si>
    <t>2021-22 Weighted average revenue</t>
  </si>
  <si>
    <t>% Change</t>
  </si>
  <si>
    <r>
      <t xml:space="preserve">Note: </t>
    </r>
    <r>
      <rPr>
        <sz val="8"/>
        <color theme="1"/>
        <rFont val="Arial"/>
        <family val="2"/>
      </rPr>
      <t>All amounts are GST exclusive</t>
    </r>
  </si>
  <si>
    <t>TABLE:  DUOS compliance with side constraint formula</t>
  </si>
  <si>
    <t>Calculated % change between 2020-21 and 2021-22</t>
  </si>
  <si>
    <t>Permissible % change</t>
  </si>
  <si>
    <t>Side constraint limit</t>
  </si>
  <si>
    <r>
      <rPr>
        <b/>
        <sz val="9"/>
        <color theme="1"/>
        <rFont val="Arial"/>
        <family val="2"/>
      </rPr>
      <t>Note:</t>
    </r>
    <r>
      <rPr>
        <sz val="9"/>
        <color theme="1"/>
        <rFont val="Arial"/>
        <family val="2"/>
      </rPr>
      <t xml:space="preserve"> If X&gt;0, then X will be set equal to zero for the purposes of the side constraint formula.</t>
    </r>
  </si>
  <si>
    <t>2021-22 Forecast</t>
  </si>
  <si>
    <t>2019-20 Actual</t>
  </si>
  <si>
    <t>Number of customers</t>
  </si>
  <si>
    <t>Ergon</t>
  </si>
  <si>
    <t>Tariff Class</t>
  </si>
  <si>
    <t>Impact</t>
  </si>
  <si>
    <t>DUOS annual impact (%)</t>
  </si>
  <si>
    <t>Jurisdictional schemes annual impact (%)</t>
  </si>
  <si>
    <t>DPPC annual impact (%)</t>
  </si>
  <si>
    <t>NUOS annual impact (%)</t>
  </si>
  <si>
    <t>Average Impact</t>
  </si>
  <si>
    <t>Notes:
Impacts based on forecast quantities t applied to rates t-1 and t.</t>
  </si>
  <si>
    <t>Don’t think these need to be shown?</t>
  </si>
  <si>
    <t>Tariff group</t>
  </si>
  <si>
    <t>NTC</t>
  </si>
  <si>
    <t>LRMC Voltage Level</t>
  </si>
  <si>
    <t>Demand in peak period (within PZ and tariff group)</t>
  </si>
  <si>
    <t>Volume in peak period (within PZ and tariff group)</t>
  </si>
  <si>
    <t>100% LRMC charge</t>
  </si>
  <si>
    <t>Percentage of LRMC applied</t>
  </si>
  <si>
    <t xml:space="preserve">2021-22 Charge </t>
  </si>
  <si>
    <t xml:space="preserve">2022-23 Charge </t>
  </si>
  <si>
    <t xml:space="preserve">2023-24 Charge </t>
  </si>
  <si>
    <t xml:space="preserve">2024-25 Charge </t>
  </si>
  <si>
    <t>Voltage</t>
  </si>
  <si>
    <t>$/kVA</t>
  </si>
  <si>
    <t>$/kW, kVA, kWh</t>
  </si>
  <si>
    <t>Actual Demand Peak kVA</t>
  </si>
  <si>
    <t>Low Voltage</t>
  </si>
  <si>
    <t>Actual Demand kVA</t>
  </si>
  <si>
    <t>Peak Demand  kW</t>
  </si>
  <si>
    <t>Volume Evening kWh</t>
  </si>
  <si>
    <t>Sub-Transmission</t>
  </si>
  <si>
    <t>Seasonal TOU Demand CAC Higher Voltage (33-66kV)</t>
  </si>
  <si>
    <t>Actual Demand Charge Peak</t>
  </si>
  <si>
    <t>Seasonal TOU Demand CAC 22/11kV Bus</t>
  </si>
  <si>
    <t>Seasonal TOU Demand CAC 22/11kV Line</t>
  </si>
  <si>
    <t>EastToU Demand</t>
  </si>
  <si>
    <t>Large ToU Demand</t>
  </si>
  <si>
    <t>Actual Demand kW</t>
  </si>
  <si>
    <t>Seasonal ToU Demand</t>
  </si>
  <si>
    <t>ESTOUDC</t>
  </si>
  <si>
    <t>Actual Demand Peak kW</t>
  </si>
  <si>
    <t>Peak Demand kW</t>
  </si>
  <si>
    <t>WestToU Demand</t>
  </si>
  <si>
    <t>WSTOUDC</t>
  </si>
  <si>
    <t>Mt IsaToU Demand</t>
  </si>
  <si>
    <t>MSTOUDC</t>
  </si>
  <si>
    <t>Annual charge in TAR</t>
  </si>
  <si>
    <t>Target level of revenue relative to change in TAR</t>
  </si>
  <si>
    <t>2021-22 target revenue</t>
  </si>
  <si>
    <t xml:space="preserve">1% higher </t>
  </si>
  <si>
    <t xml:space="preserve">WIFT </t>
  </si>
  <si>
    <t>1% higher</t>
  </si>
  <si>
    <t xml:space="preserve">same </t>
  </si>
  <si>
    <t>1% lower</t>
  </si>
  <si>
    <t>2020-21 rate</t>
  </si>
  <si>
    <t>2021-22 proposed rate</t>
  </si>
  <si>
    <t>Change in rate</t>
  </si>
  <si>
    <t>SAC Large</t>
  </si>
  <si>
    <t>Demand TOU</t>
  </si>
  <si>
    <t>Unit</t>
  </si>
  <si>
    <t>2020-21 
values</t>
  </si>
  <si>
    <t>2021-22 values</t>
  </si>
  <si>
    <t>Reason for change</t>
  </si>
  <si>
    <t xml:space="preserve">CPI </t>
  </si>
  <si>
    <t>X Factor</t>
  </si>
  <si>
    <t xml:space="preserve"> X-factor updated in PTRM </t>
  </si>
  <si>
    <t>STPIS</t>
  </si>
  <si>
    <t>$m</t>
  </si>
  <si>
    <t>&lt;&lt; Calculation for table</t>
  </si>
  <si>
    <t>DUOS under/over recovery</t>
  </si>
  <si>
    <t xml:space="preserve">DUOS </t>
  </si>
  <si>
    <t>Jurisdictional schemes</t>
  </si>
  <si>
    <t>DPPC (TUOS)</t>
  </si>
  <si>
    <t>Note:</t>
  </si>
  <si>
    <t>Above figures represented to 2 decimals places for presentation purposes.</t>
  </si>
  <si>
    <t>STPIS data reporting</t>
  </si>
  <si>
    <t>S-Factor calculation</t>
  </si>
  <si>
    <t>LAST Regulatory Control Period 2010-15</t>
  </si>
  <si>
    <t>CURRENT Regulatory Control Period 2015-20</t>
  </si>
  <si>
    <t>Year t-2 (actual)</t>
  </si>
  <si>
    <t>2010-11</t>
  </si>
  <si>
    <t>2011-12</t>
  </si>
  <si>
    <t>2012-13</t>
  </si>
  <si>
    <t>2013-14</t>
  </si>
  <si>
    <t>S-factors</t>
  </si>
  <si>
    <t>NEXT</t>
  </si>
  <si>
    <t>Regulatory tariff year</t>
  </si>
  <si>
    <t xml:space="preserve">Year t </t>
  </si>
  <si>
    <t>Parameter</t>
  </si>
  <si>
    <t>Unplanned SAIDI - CBD</t>
  </si>
  <si>
    <t>Unplanned SAIDI - urban</t>
  </si>
  <si>
    <t>Unplanned SAIDI - short rural</t>
  </si>
  <si>
    <t>Unplanned SAIDI - long rural</t>
  </si>
  <si>
    <t>Unplanned SAIFI - CBD</t>
  </si>
  <si>
    <t>Unplanned SAIFI - urban</t>
  </si>
  <si>
    <t>Unplanned SAIFI - short rural</t>
  </si>
  <si>
    <t>Unplanned SAIFI - long rural</t>
  </si>
  <si>
    <t>Telephone answering parameter</t>
  </si>
  <si>
    <t>equation (5B)</t>
  </si>
  <si>
    <t>sum of the raw s-factors for the relaibility of supply parameters</t>
  </si>
  <si>
    <t>equation (5A)</t>
  </si>
  <si>
    <t>sum of the s-factors for the customer service parameters</t>
  </si>
  <si>
    <t>equation (4B)</t>
  </si>
  <si>
    <t>sum of the s-factors for all parameters</t>
  </si>
  <si>
    <t>equation (4A)</t>
  </si>
  <si>
    <t>S-bank mechanism</t>
  </si>
  <si>
    <t>S-factor after banking</t>
  </si>
  <si>
    <t>equation (3)</t>
  </si>
  <si>
    <t>Final s-factor
(after accounting for overlap between regulatory control periods)</t>
  </si>
  <si>
    <t>equation (6)</t>
  </si>
  <si>
    <t>S-factor applied to revenues or prices</t>
  </si>
  <si>
    <t>equation (2)</t>
  </si>
  <si>
    <t>S-Bank</t>
  </si>
  <si>
    <t xml:space="preserve">Proposed S-Bank </t>
  </si>
  <si>
    <t>AER's STPIS compliance model</t>
  </si>
  <si>
    <t>The worksheet in this section demonstrates that the ACS services and rates in the Pricing Proposal comply with the 2020-25 TSS and formulae</t>
  </si>
  <si>
    <t>The following worsheets include:</t>
  </si>
  <si>
    <t>* The unders/overs tables for DUOS, TUOS and JS comply with the AER's Control Mechanism Determination for 2020-25 regulatory control period</t>
  </si>
  <si>
    <t>* Demonstration that the weighted average revenue from each tariff class complies with the side-constraint requirements</t>
  </si>
  <si>
    <t>* Demonstration that the revenue to be recovered complies with the revenue cap formula</t>
  </si>
  <si>
    <t>* Comparison between the proposed and indicative prices</t>
  </si>
  <si>
    <t>Source: AER's model "FINAL Ergon Energy - STPIS Compliance Model 201920 - 16 Dec 2020.xlsx", Tab "S-factor"</t>
  </si>
  <si>
    <t>Non Summer Capacity Charge</t>
  </si>
  <si>
    <t>Summer Demand Charge kVA</t>
  </si>
  <si>
    <t>Volume Non Summer Charge</t>
  </si>
  <si>
    <t>Volume Summer No Charge</t>
  </si>
  <si>
    <t>EICCKB18</t>
  </si>
  <si>
    <t>Non Summer Demand Charge kW</t>
  </si>
  <si>
    <t>Summer Demand Charge kW</t>
  </si>
  <si>
    <t>ToUE Band 1 Charge</t>
  </si>
  <si>
    <t>ToUE Band 2 Charge</t>
  </si>
  <si>
    <t>ToUE Band 3 Charge</t>
  </si>
  <si>
    <t>ToUE Band 4 Charge</t>
  </si>
  <si>
    <t>ToUE Band 5 Charge</t>
  </si>
  <si>
    <t>Exceptions</t>
  </si>
  <si>
    <t>East Transitional Network Dual Rate Demand Tariff 3</t>
  </si>
  <si>
    <t>East Transitional Network ToU Energy Tariff 1</t>
  </si>
  <si>
    <t>East Transitional Network ToU Energy Tariff 2</t>
  </si>
  <si>
    <t>EBPMP</t>
  </si>
  <si>
    <t>EBIRR</t>
  </si>
  <si>
    <t>EBFRM</t>
  </si>
  <si>
    <t>West SAC&gt;100MWhpa Large Business Energy</t>
  </si>
  <si>
    <t>East SAC&gt;100MWhpa Large Business Energy</t>
  </si>
  <si>
    <t>East SAC&gt;100MWhpa Large Residential Energy</t>
  </si>
  <si>
    <t>West SAC&gt;100MWhpa Large Residential Energy</t>
  </si>
  <si>
    <t>MtIsa SAC&gt;100MWhpa Large Business Energy</t>
  </si>
  <si>
    <t>MtIsa SAC&gt;100MWhpa Large Residential Energy</t>
  </si>
  <si>
    <t>EBEST</t>
  </si>
  <si>
    <t>WBEST</t>
  </si>
  <si>
    <t>EREST</t>
  </si>
  <si>
    <t>WREST</t>
  </si>
  <si>
    <t>MBEST</t>
  </si>
  <si>
    <t>MREST</t>
  </si>
  <si>
    <t>Figure 13.1, Attachment 13 - Control mechanisms, June 2020</t>
  </si>
  <si>
    <t>i=1,..,n and j=1,..,m and t=1,2,...,5</t>
  </si>
  <si>
    <t>2</t>
  </si>
  <si>
    <t>3.</t>
  </si>
  <si>
    <t>t=1</t>
  </si>
  <si>
    <t>4.</t>
  </si>
  <si>
    <t>t=2</t>
  </si>
  <si>
    <t>5.</t>
  </si>
  <si>
    <t>t=3,4,5</t>
  </si>
  <si>
    <t>is the adjusted annual smoothed revenue requirement for year t</t>
  </si>
  <si>
    <t xml:space="preserve">is the sum of the STPIS (from year t=3 onwards), demand management incentive scheme, and any other related incentive schemes as they relate to year t-2 applied in year t. </t>
  </si>
  <si>
    <t>is the s-factor applicable to regulatory year t. This s-factor reflects performance in year t-2 against STPIS targets set in this decision. This factor will only apply in years t=1 and 2, with new STPIS guidelines providing for a change in the application from year t=3 onwards.</t>
  </si>
  <si>
    <t>Figure 13.2, Attachment 13 - Control mechanisms, June 2020</t>
  </si>
  <si>
    <t>For  t=1,2</t>
  </si>
  <si>
    <t xml:space="preserve">For t=3,4,5 </t>
  </si>
  <si>
    <t>is the price of component ‘j’ of tariff 'i' for year t.</t>
  </si>
  <si>
    <t>is the annual percentage change in the ABS CPI All Groups, Weighted Average of Eight Capital Cities[1] from the December quarter in year t–2 to the December quarter in year t–1, calculated using the following method:
The ABS CPI All Groups, Weighted Average of Eight Capital Cities for the December quarter in regulatory year t–1 divided by the ABS CPI All Groups, Weighted Average of Eight Capital Cities for the December quarter in regulatory year t–2 minus one.
For example, for the 2020–21 year, t–2 is December quarter 2018 and t–1 is December quarter 2019</t>
  </si>
  <si>
    <t>is the X factor for each year of the 2020–25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</si>
  <si>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 xml:space="preserve">is the s‑factor applicable to regulatory year t. This s-factor reflects performance in year t-2 against STPIS targets set in this decision.  This factor will only apply in years t-1 and 2, with new STPIS guidelines providing for a change in the application from year t=3 onwards.  </t>
  </si>
  <si>
    <t>is the annual percentage change in the sum of the STPIS (from year t=3 onwards), demand management incentive scheme, and any other related incentive schemes as they relate to year t-2, applied in year t. This percentage can be calculated by dividing the incremental revenues (the difference between the I-factor used in the total annual revenue formula for t and t-1) by the expected revenues for regulatory year t-1 (based on prices in year t-1 multiplied by teh forecast quantities for year t).</t>
  </si>
  <si>
    <t>is the annual percentage change from the sum of annual adjustment factors for year t and includes true-up for any under or over recovery of actual revenue collected through DUoS charges calculated using the method in Figure 13.1. This percentage can be calculated by dividing the incremenal revenues (the difference between teh B-factor used in the total annual revenue formula for t and t-1) by the expected revenues for regulatory year t-1 (based on the prices in year t-1 multiplied by the forecast quantities for year t).</t>
  </si>
  <si>
    <t>is the annual percentage change from the sum of approved cost pass through amounts (positive or negative) with respect to regulatory year t, as determined by the AER. It will also include any end-of-period ajdustments in regulatory year t. This percentage can be calculated by dividing the incremental revenues (the difference between teh C-factor used in the total annual revenue formula for t and t-1) by the expected revenues for regulatory year t-1 (based on the prices in year t-1 multiplied by the forecast quantities for year t).</t>
  </si>
  <si>
    <t>Source: Attachment 13, Control Mechanisms, June 2020</t>
  </si>
  <si>
    <t>(a) Includes incentive schemes as set out in the AER's determination with the exception of those schemes that are calculated and applied through the AER's regulatory determination (eg. CESS and EBSS).</t>
  </si>
  <si>
    <t>(b) Bt parameter calculations in the DUoS unders and overs account exclude the true-up for DUoS revenue under/over recovery for regulatory year and are therefore expected to be 0.</t>
  </si>
  <si>
    <t>(c) Approved DUoS revenue under/over recovery for regulatory year t</t>
  </si>
  <si>
    <t>(d) Opening balance is the previous year's closing balance</t>
  </si>
  <si>
    <t>(e) The business is expected to achieve a closing balance as close to zero as practicable in its DUoS unders and overs account in each forecast year in its annual pricing proposals in the 2020–25 regulatory control period.</t>
  </si>
  <si>
    <t>(a) Approved DPPC revenue under/over recovery for regulatory year t</t>
  </si>
  <si>
    <t>(b) Opening balance is the previous year's closing balance</t>
  </si>
  <si>
    <t>(c) The business is expected to achieve a closing balance as close to zero as practicable in its DPPC unders and overs account in each forecast year in its annual pricing proposals in the regulatory control period.</t>
  </si>
  <si>
    <t>Table 14.3 Example calculation of jurisdictional scheme amounts unders and overs account ($'000, nominal)</t>
  </si>
  <si>
    <t>(a) Approved jurisdictional scheme amount revenue under/over recovery for regulatory year t.</t>
  </si>
  <si>
    <t xml:space="preserve">(c) In addition to complying with clause 6.18.7A(b) of the NER, the business is expected </t>
  </si>
  <si>
    <t>Figure 13.3  (Attachment 13, Control Mechanisms, June 2020)</t>
  </si>
  <si>
    <t>i=1,….,n and t=,2,….5</t>
  </si>
  <si>
    <t>is the price of service 1 in year t. For the first year of the regulatory control period, the cap on the price of service will be as per the schedule of approved charges set out in Attachment 15 - Alternative Control Services.</t>
  </si>
  <si>
    <t>is the cap on the price of service of service I in year t-1</t>
  </si>
  <si>
    <r>
      <t>Is the annual percentage change in the ABS CPI All Groups, Weighted Average of Eight Capital Cities</t>
    </r>
    <r>
      <rPr>
        <vertAlign val="superscript"/>
        <sz val="10"/>
        <color theme="1"/>
        <rFont val="Arial"/>
        <family val="2"/>
      </rPr>
      <t xml:space="preserve">[1] </t>
    </r>
    <r>
      <rPr>
        <sz val="10"/>
        <color theme="1"/>
        <rFont val="Arial"/>
        <family val="2"/>
      </rPr>
      <t xml:space="preserve">from the December quarter in year t–2 to the December quarter in year t–1, calculated using the following method:
The ABS CPI All Groups, Weighted Average of Eight Capital Cities for the December quarter in regulatory year t–1 divided by The ABS CPI All Groups, Weighted Average of Eight Capital Cities for the December quarter in regulatory year t–2 minus one.
</t>
    </r>
  </si>
  <si>
    <t>is the X factor for service i in year t. The value of this factor is as specified in Attachment 15 - Alternative Control Services</t>
  </si>
  <si>
    <t>is the sum of any adjustments for service I in year t. Likely to include, but not limited to adjustments for any approved cost pass through amounts (postive or negative) with respect to regulatory year t, as determined by the AER.</t>
  </si>
  <si>
    <t>Figure 13.4 (Attachment 13, Control Mechanisms, June 2020)</t>
  </si>
  <si>
    <t xml:space="preserve">is the X factor for service i in year t. The value </t>
  </si>
  <si>
    <t>2020-21 DISTRIBUTION TARIFF REBALANCING CONTROL</t>
  </si>
  <si>
    <t>X 2020-21</t>
  </si>
  <si>
    <t>Bt 2020-21</t>
  </si>
  <si>
    <t>Is the annual percentage change from the sum of annual adjustment factors for year t and includes true-up for any under or over recovery of actual revenue collected through DUoS charges in regulatory year t–2 as calculated using the method in Fig 13..</t>
  </si>
  <si>
    <t>Pt-1*(Qt 2019-20)</t>
  </si>
  <si>
    <t>Pt*(Qt 2020-21)</t>
  </si>
  <si>
    <t>Inputs used for the calculation of the ACS prices in "2021_ACS prices" worksheet</t>
  </si>
  <si>
    <t>X factors</t>
  </si>
  <si>
    <t>Fee-based services</t>
  </si>
  <si>
    <t>Security lighting X-factor</t>
  </si>
  <si>
    <t>Fee-based services:</t>
  </si>
  <si>
    <t>+ Adjusted annual smoothed revenue (AARt)</t>
  </si>
  <si>
    <t>Source documents for some of the inputs used in the Model Update tab</t>
  </si>
  <si>
    <t>Adjutments (At)</t>
  </si>
  <si>
    <t>Adjustment as per information published by the ABS – CPI All Groups, Average of Eight Capital Cities from the December 2019 quarter to the December 2020 quarter.</t>
  </si>
  <si>
    <t>DUOS over recovery to be returned to customers in 2021-22</t>
  </si>
  <si>
    <t>DUoS revenue under/over recovery</t>
  </si>
  <si>
    <t>Forecast revenue required for 2021-22</t>
  </si>
  <si>
    <t>Avoidable cost</t>
  </si>
  <si>
    <t xml:space="preserve">2021-22 Forecast DUOS revenue </t>
  </si>
  <si>
    <t>Stand Alone cost</t>
  </si>
  <si>
    <t>East, West, Mt Isa</t>
  </si>
  <si>
    <t>Check</t>
  </si>
  <si>
    <t>Revenue Pt*Qt</t>
  </si>
  <si>
    <t>Revenue Pt-1*Qt</t>
  </si>
  <si>
    <t>DUOS annual impact ($)</t>
  </si>
  <si>
    <t>Jurisdictional schemes annual impact ($)</t>
  </si>
  <si>
    <t>DPPC annual impact ($)</t>
  </si>
  <si>
    <t>NUOS annual impact (4)</t>
  </si>
  <si>
    <t>NUOS annual impact ($)</t>
  </si>
  <si>
    <t>Energy volume (GWh)</t>
  </si>
  <si>
    <t>2020-21 Pricing proposal</t>
  </si>
  <si>
    <t>1. 2020-21  Forecast represents forecast volumes and customer numbers used for 2020-21 Pricing Proposal</t>
  </si>
  <si>
    <t xml:space="preserve">2. 2019-20 Actual numbers represent numbers reported in 2019-20 EB RIN </t>
  </si>
  <si>
    <t>3. Customer numbers in the table exclude unmetered customer numbers as these are not used for price setting</t>
  </si>
  <si>
    <t>Residential customers energy deliveries</t>
  </si>
  <si>
    <t>GWh</t>
  </si>
  <si>
    <t>Non residential customers not on demand tariffs energy deliveries</t>
  </si>
  <si>
    <t>Other Customer Class Energy Deliveries</t>
  </si>
  <si>
    <t xml:space="preserve"> 3.4.1.4 - Energy grouping  - customer type or class</t>
  </si>
  <si>
    <t xml:space="preserve">2019-20 EB RIN Data </t>
  </si>
  <si>
    <r>
      <t>Non-residential l</t>
    </r>
    <r>
      <rPr>
        <sz val="9"/>
        <color rgb="FF000000"/>
        <rFont val="Calibri"/>
        <family val="2"/>
      </rPr>
      <t>ow voltage demand tariff customers energy deliveries</t>
    </r>
  </si>
  <si>
    <r>
      <t>Non-residential h</t>
    </r>
    <r>
      <rPr>
        <sz val="9"/>
        <color rgb="FF000000"/>
        <rFont val="Calibri"/>
        <family val="2"/>
      </rPr>
      <t>igh voltage demand tariff customers energy deliveries</t>
    </r>
  </si>
  <si>
    <t>2020-21
TAR</t>
  </si>
  <si>
    <t>2021-22
TAR</t>
  </si>
  <si>
    <t>CI Overriding Ceiling</t>
  </si>
  <si>
    <t>Targeted Change</t>
  </si>
  <si>
    <t>2020-21 adjusted revenue</t>
  </si>
  <si>
    <t>Change in revenue</t>
  </si>
  <si>
    <t>same</t>
  </si>
  <si>
    <t>Large Residential Energy</t>
  </si>
  <si>
    <t>Large Business Energy</t>
  </si>
  <si>
    <t>SAC Small</t>
  </si>
  <si>
    <t xml:space="preserve">Residential IBT </t>
  </si>
  <si>
    <t>Small Business IBT</t>
  </si>
  <si>
    <t>SAC Small - IBT</t>
  </si>
  <si>
    <t>Target change in rates</t>
  </si>
  <si>
    <t>Residential</t>
  </si>
  <si>
    <t>Fixed charge</t>
  </si>
  <si>
    <t>Up to 5%</t>
  </si>
  <si>
    <t>Block 1 charge</t>
  </si>
  <si>
    <t>Increase by CPI</t>
  </si>
  <si>
    <t>Block 2 charge</t>
  </si>
  <si>
    <t>Balance as per revenue target</t>
  </si>
  <si>
    <t>Block 3 charge</t>
  </si>
  <si>
    <t>Maintain 2020-21 level</t>
  </si>
  <si>
    <t>Business</t>
  </si>
  <si>
    <t>Target proportion relative to Demand charge</t>
  </si>
  <si>
    <t>Permissible portion</t>
  </si>
  <si>
    <t>Demand TOU - Demand charge</t>
  </si>
  <si>
    <t>Demand TOU - Excess demand charge</t>
  </si>
  <si>
    <t>Not exceed 30% of the applicable LRMC</t>
  </si>
  <si>
    <t>Excess demand charge proportion of demand charge</t>
  </si>
  <si>
    <t>+ SBS amount</t>
  </si>
  <si>
    <t>+ AEMC amount</t>
  </si>
  <si>
    <t>Units</t>
  </si>
  <si>
    <t>2017-18 
Actual</t>
  </si>
  <si>
    <t>2018-19  Actual</t>
  </si>
  <si>
    <t>2019-20  
Actual</t>
  </si>
  <si>
    <t>2020-21 
Pricing Proposal Forecast</t>
  </si>
  <si>
    <t xml:space="preserve">2021-22 Forecast </t>
  </si>
  <si>
    <t xml:space="preserve">2022-23 Forecast </t>
  </si>
  <si>
    <t xml:space="preserve">2023-24 Forecast </t>
  </si>
  <si>
    <t xml:space="preserve">2024-25 Forecast </t>
  </si>
  <si>
    <t>Total energy delivered</t>
  </si>
  <si>
    <t>SEOCAPTCAL
SEOCAPTCAI</t>
  </si>
  <si>
    <t>SEUCAPTCBL
SEUCAPTCBI</t>
  </si>
  <si>
    <t>SEUCAPTCAL
SEUCAPTCAI</t>
  </si>
  <si>
    <t>POAMPBL
POAMPBI</t>
  </si>
  <si>
    <t>ADPPBL
ADPPBI</t>
  </si>
  <si>
    <t>Special meter reading excluding final read. Retailer or customer requested</t>
  </si>
  <si>
    <t>SRTRBU</t>
  </si>
  <si>
    <t>SRTRBL
SRTRBI</t>
  </si>
  <si>
    <t>I factor for year t (DMIS carryover amount)</t>
  </si>
  <si>
    <t>C factor for year t (Passthrough amounts)</t>
  </si>
  <si>
    <t>CACDUOSEC66Demand Charge kVARate</t>
  </si>
  <si>
    <t>CACDUOSEC33Demand Charge kVARate</t>
  </si>
  <si>
    <t>CACDUOSEC22BDemand Charge kVARate</t>
  </si>
  <si>
    <t>CACDUOSEC22LDemand Charge kVARate</t>
  </si>
  <si>
    <t>CACDUOSEC66TOUSummer Demand Charge kVARate</t>
  </si>
  <si>
    <t>CACDUOSEC22BTOUSummer Demand Charge kVARate</t>
  </si>
  <si>
    <t>CACDUOSEC22LTOUSummer Demand Charge kVARate</t>
  </si>
  <si>
    <t>SACDUOSELTOUDPeak Demand Charge kVARate</t>
  </si>
  <si>
    <t>SACDUOSEDLTDemand Charge kWRate</t>
  </si>
  <si>
    <t>SACDUOSEDMTDemand Charge kWRate</t>
  </si>
  <si>
    <t>SACDUOSEDSTDemand Charge kWRate</t>
  </si>
  <si>
    <t>SACDUOSESTOUDSummer Demand Charge kWRate</t>
  </si>
  <si>
    <t>SACDUOSEBDEMPeak Demand Charge kWRate</t>
  </si>
  <si>
    <t>SACDUOSEBTDEMPeak Demand Charge kWRate</t>
  </si>
  <si>
    <t>SACDUOSEBTOUEVolume Evening ChargeRate</t>
  </si>
  <si>
    <t>SACDUOSERDEMPeak Demand Charge kWRate</t>
  </si>
  <si>
    <t>SACDUOSERTDEMPeak Demand Charge kWRate</t>
  </si>
  <si>
    <t>SACDUOSERTOUEVolume Evening ChargeRate</t>
  </si>
  <si>
    <t>CACDUOSWC66Demand Charge kVARate</t>
  </si>
  <si>
    <t>SACDUOSMBDEMPeak Demand Charge kWRate</t>
  </si>
  <si>
    <t>SACDUOSMBTDEMPeak Demand Charge kWRate</t>
  </si>
  <si>
    <t>SACDUOSMRDEMPeak Demand Charge kWRate</t>
  </si>
  <si>
    <t>SACDUOSMRTDEMPeak Demand Charge kWRate</t>
  </si>
  <si>
    <t>CACDUOSWC33Demand Charge kVARate</t>
  </si>
  <si>
    <t>CACDUOSWC22BDemand Charge kVARate</t>
  </si>
  <si>
    <t>CACDUOSWC22LDemand Charge kVARate</t>
  </si>
  <si>
    <t>CACDUOSWC66TOUSummer Demand Charge kVARate</t>
  </si>
  <si>
    <t>CACDUOSWC22BTOUSummer Demand Charge kVARate</t>
  </si>
  <si>
    <t>CACDUOSWC22LTOUSummer Demand Charge kVARate</t>
  </si>
  <si>
    <t>SACDUOSWLTOUDPeak Demand Charge kVARate</t>
  </si>
  <si>
    <t>SACDUOSWDLTDemand Charge kWRate</t>
  </si>
  <si>
    <t>SACDUOSWDMTDemand Charge kWRate</t>
  </si>
  <si>
    <t>SACDUOSWDSTDemand Charge kWRate</t>
  </si>
  <si>
    <t>SACDUOSMDLTDemand Charge kWRate</t>
  </si>
  <si>
    <t>SACDUOSMDMTDemand Charge kWRate</t>
  </si>
  <si>
    <t>SACDUOSMDSTDemand Charge kWRate</t>
  </si>
  <si>
    <t>SACDUOSWSTOUDSummer Demand Charge kWRate</t>
  </si>
  <si>
    <t>SACDUOSMSTOUDSummer Demand Charge kWRate</t>
  </si>
  <si>
    <t>SACDUOSWBDEMPeak Demand Charge kWRate</t>
  </si>
  <si>
    <t>SACDUOSWBTDEMPeak Demand Charge kWRate</t>
  </si>
  <si>
    <t>SACDUOSWBTOUEVolume Evening ChargeRate</t>
  </si>
  <si>
    <t>SACDUOSMRTOUEVolume Evening ChargeRate</t>
  </si>
  <si>
    <t>SACDUOSWRDEMPeak Demand Charge kWRate</t>
  </si>
  <si>
    <t>SACDUOSWRTDEMPeak Demand Charge kWRate</t>
  </si>
  <si>
    <t>SACDUOSWRTOUEVolume Evening ChargeRate</t>
  </si>
  <si>
    <t>SACDUOSMBTOUEVolume Evening ChargeRate</t>
  </si>
  <si>
    <t>SACDUOSMLTOUDPeak Demand Charge kVARate</t>
  </si>
  <si>
    <t>EDSTDemand Charge kVADUOSRate</t>
  </si>
  <si>
    <t>EDLTDemand Charge kVADUOSRate</t>
  </si>
  <si>
    <t>WDLTDemand Charge kVADUOSRate</t>
  </si>
  <si>
    <t>EDMTDemand Charge kVADUOSRate</t>
  </si>
  <si>
    <t>WDMTDemand Charge kVADUOSRate</t>
  </si>
  <si>
    <t>WDSTDemand Charge kVADUOSRate</t>
  </si>
  <si>
    <t>MDLTDemand Charge kVADUOSRate</t>
  </si>
  <si>
    <t>MDMTDemand Charge kVADUOSRate</t>
  </si>
  <si>
    <t>MDSTDemand Charge kVADUOSRate</t>
  </si>
  <si>
    <t>Unrounded</t>
  </si>
  <si>
    <t>Maximum hourly rates including on-costs and overheads</t>
  </si>
  <si>
    <t>AER Labour Category</t>
  </si>
  <si>
    <t>2020-21 Approved rate 
Ordinary Time ($/hour)</t>
  </si>
  <si>
    <t>2020-21 Approved rate 
Overtime ($/hour)</t>
  </si>
  <si>
    <t>2021-22 Ordinary rate 
($/hour)</t>
  </si>
  <si>
    <t>2021-22 Overtime rate
($/hour)</t>
  </si>
  <si>
    <t>Admin Employee</t>
  </si>
  <si>
    <t>Admin</t>
  </si>
  <si>
    <t>Professional Managerial</t>
  </si>
  <si>
    <t>Project manager</t>
  </si>
  <si>
    <t>Power worker</t>
  </si>
  <si>
    <t>Field worker</t>
  </si>
  <si>
    <t>Technical services person</t>
  </si>
  <si>
    <t>Technical specialist</t>
  </si>
  <si>
    <t>Electrical systems designer</t>
  </si>
  <si>
    <t>Engineer</t>
  </si>
  <si>
    <t>Supervisor</t>
  </si>
  <si>
    <t>Para-professional</t>
  </si>
  <si>
    <t>Engineer/field worker</t>
  </si>
  <si>
    <t>Apprentice</t>
  </si>
  <si>
    <t>System operator</t>
  </si>
  <si>
    <t>Senior Engineer</t>
  </si>
  <si>
    <t>Tech/Power worker</t>
  </si>
  <si>
    <t>Technical specialist/Field worker</t>
  </si>
  <si>
    <t>Tech/Power worker/Admin</t>
  </si>
  <si>
    <t>Technical specialist/Field worker/ Admin</t>
  </si>
  <si>
    <t>Ergon Energy Labour Category</t>
  </si>
  <si>
    <t>Ordinary time</t>
  </si>
  <si>
    <t>Overtime</t>
  </si>
  <si>
    <t>Labour (incl on-cost and overheads)</t>
  </si>
  <si>
    <t>Power Worker</t>
  </si>
  <si>
    <t>Technical Service Person</t>
  </si>
  <si>
    <t>Electrical System Designer</t>
  </si>
  <si>
    <t>Para-Professional</t>
  </si>
  <si>
    <t>System Operator</t>
  </si>
  <si>
    <t>Tech/PW</t>
  </si>
  <si>
    <t>Tech/PW/Admin</t>
  </si>
  <si>
    <t>Labour (incl on-cost)</t>
  </si>
  <si>
    <t>AER approved labour rates for ACS fee-based and quoted services submitted to the AER as part of the Ergon Energy 2020-25 revised TSS</t>
  </si>
  <si>
    <t>https://www.aer.gov.au/system/files/AER%20-%20Final%20Decision%20-%20Ergon%20Energy%20Distribution%20Determination%202020-25%20-%20Fee-based%20and%20quoted%20services%20model%20-%20ACS%20-%20June%202020.xlsx</t>
  </si>
  <si>
    <t>Source: AER's website</t>
  </si>
  <si>
    <t>Extracts from Ergon Energy's Annual RINS</t>
  </si>
  <si>
    <t>https://www.aer.gov.au/node/27172</t>
  </si>
  <si>
    <t>Extract from PTRM from AER dated 17/03/2021</t>
  </si>
  <si>
    <t>Source: AER</t>
  </si>
  <si>
    <t>Annual RINs</t>
  </si>
  <si>
    <t>TABLE 9:  Calculation of side constraint limit</t>
  </si>
  <si>
    <t>TABLE 8:  Expected weighted average DUOS revenue by tariff class</t>
  </si>
  <si>
    <t>TABLE 7: DUOS Unders and overs account ($)</t>
  </si>
  <si>
    <t>TABLE 10: DPPC Unders and overs account ($)</t>
  </si>
  <si>
    <t>TABLE 11: Jurisdictional scheme amounts Unders and overs account ($)</t>
  </si>
  <si>
    <t>TABLE 12: Energy and customer number forecasts</t>
  </si>
  <si>
    <t xml:space="preserve">TABLE 20: 2021-22 Transition towards LRMC </t>
  </si>
  <si>
    <t>Table 22: Average customer impacts for the ICC and CAC tariff classes</t>
  </si>
  <si>
    <t>TABLE 23: Consistency with the TSS annual price constraints</t>
  </si>
  <si>
    <t>TABLE 6:  DUOS Total Allowable Revenue for 2021-22</t>
  </si>
  <si>
    <t>Public lighting X-factor</t>
  </si>
  <si>
    <t>Public lighting Services Charges</t>
  </si>
  <si>
    <t>Public lighting</t>
  </si>
  <si>
    <t>Table 18: Summary of revenue adjustments</t>
  </si>
  <si>
    <t xml:space="preserve"> Distribution Use of System (DUoS)</t>
  </si>
  <si>
    <t>The tables inluded in this section are used in the Ergon Energy 2021-22 Pricing Proposal</t>
  </si>
  <si>
    <t>Ergon Energy - Cost of Capital Parameters - DNSP PTRM - version 4</t>
  </si>
  <si>
    <t>2025-26</t>
  </si>
  <si>
    <t>2026-27</t>
  </si>
  <si>
    <t>2027-28</t>
  </si>
  <si>
    <t>2028-29</t>
  </si>
  <si>
    <t>2029-30</t>
  </si>
  <si>
    <t xml:space="preserve">+ Incentive scheme amounts (It) </t>
  </si>
  <si>
    <t xml:space="preserve">+ Annual adjustments (Bt) </t>
  </si>
  <si>
    <t>`</t>
  </si>
  <si>
    <t xml:space="preserve">TABLE 19: Comparison of 2021-22 Expected DUOS revenue vs Avoidable and Standalone costs </t>
  </si>
  <si>
    <t>TABLE 5: Forecast NUOS revenue requirement for 2021-22 ($)</t>
  </si>
  <si>
    <t>Annual LRMC
2020-21
TSS</t>
  </si>
  <si>
    <t>Annual LRMC
2021-22</t>
  </si>
  <si>
    <t>High Voltage Line</t>
  </si>
  <si>
    <t>High Voltage Bus</t>
  </si>
  <si>
    <t>Confidential version submitted to the AER</t>
  </si>
  <si>
    <t>Updated confidential version submitted to the AER following feedback</t>
  </si>
  <si>
    <t>v3</t>
  </si>
  <si>
    <t>Site Specific</t>
  </si>
  <si>
    <t>EICCKB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</si>
</sst>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4">
    <numFmt numFmtId="6" formatCode="&quot;$&quot;#,##0;[Red]\-&quot;$&quot;#,##0"/>
    <numFmt numFmtId="7" formatCode="&quot;$&quot;#,##0.00;\-&quot;$&quot;#,##0.00"/>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
    <numFmt numFmtId="176" formatCode="&quot;$&quot;#,##0"/>
    <numFmt numFmtId="177" formatCode="_(&quot;$&quot;* #,##0.00_);_(&quot;$&quot;* \(#,##0.00\);_(&quot;$&quot;* &quot;-&quot;??_);_(@_)"/>
    <numFmt numFmtId="178" formatCode="[$-C09]dd\-mmm\-yy;@"/>
    <numFmt numFmtId="179" formatCode="_-[$€-2]* #,##0.00_-;\-[$€-2]* #,##0.00_-;_-[$€-2]* &quot;-&quot;??_-"/>
    <numFmt numFmtId="180" formatCode="[$-F800]dddd\,\ mmmm\ dd\,\ yyyy"/>
    <numFmt numFmtId="181" formatCode="_(* #,##0_);_(* \(#,##0\);_(* &quot;-&quot;_);_(@_)"/>
    <numFmt numFmtId="182" formatCode="&quot;$&quot;#,##0_);[Red]\(&quot;$&quot;#,##0\)"/>
    <numFmt numFmtId="183" formatCode="_-* #,##0_-;[Red]\(* #,##0\)_-;_-* &quot;-&quot;_-;_-@_-"/>
    <numFmt numFmtId="184" formatCode="_(&quot;$&quot;* #,##0_);_(&quot;$&quot;* \(#,##0\);_(&quot;$&quot;* &quot;-&quot;_);_(@_)"/>
    <numFmt numFmtId="185" formatCode="d\-mmm\-yyyy"/>
    <numFmt numFmtId="186" formatCode="_(* #,##0.0_%_);_(* \(#,##0.0_%\);_(* &quot; - &quot;_%_);_(@_)"/>
    <numFmt numFmtId="187" formatCode="_(* #,##0.0%_);_(* \(#,##0.0%\);_(* &quot; - &quot;\%_);_(@_)"/>
    <numFmt numFmtId="188" formatCode="_(* #,##0_);_(* \(#,##0\);_(* &quot; - &quot;_);_(@_)"/>
    <numFmt numFmtId="189" formatCode="_(* #,##0.0_);_(* \(#,##0.0\);_(* &quot; - &quot;_);_(@_)"/>
    <numFmt numFmtId="190" formatCode="_(* #,##0.00_);_(* \(#,##0.00\);_(* &quot; - &quot;_);_(@_)"/>
    <numFmt numFmtId="191" formatCode="_(* #,##0.000_);_(* \(#,##0.000\);_(* &quot; - &quot;_);_(@_)"/>
    <numFmt numFmtId="192" formatCode="#,##0;\(#,##0\);&quot;-&quot;"/>
    <numFmt numFmtId="193" formatCode="0;\-0;0;* @"/>
    <numFmt numFmtId="194" formatCode="_(* #,##0_);_(* \(#,##0\);_(* &quot;-&quot;?_);_(@_)"/>
    <numFmt numFmtId="195" formatCode="#,###;\(#,###\)"/>
    <numFmt numFmtId="196" formatCode="0.00_ ;[Red]\(0\)"/>
    <numFmt numFmtId="197" formatCode="0.00_)"/>
    <numFmt numFmtId="198" formatCode="_-* ###0_-;\-* ###0_-;_-* &quot;-&quot;_-;_-@_-"/>
    <numFmt numFmtId="199" formatCode="0.00;[Red]0.00"/>
    <numFmt numFmtId="200" formatCode="0_ ;[Red]\(0\)"/>
    <numFmt numFmtId="201" formatCode="#,##0_);\(#,##0\);\-;@"/>
    <numFmt numFmtId="202" formatCode="_-&quot;$&quot;* #,##0_-;\-&quot;$&quot;* #,##0_-;_-&quot;$&quot;* &quot;-&quot;??_-;_-@_-"/>
    <numFmt numFmtId="203" formatCode="#,##0.0000000000"/>
    <numFmt numFmtId="204" formatCode="_-* #,##0.00_-;[Red]\(#,##0.00\)_-;_-* &quot;-&quot;??_-;_-@_-"/>
    <numFmt numFmtId="205" formatCode="0_);[Red]\(0\)"/>
    <numFmt numFmtId="206" formatCode="#,##0.0_);\(#,##0.0\)"/>
    <numFmt numFmtId="207" formatCode="#,##0_ ;[Red]\(#,##0\)\ "/>
    <numFmt numFmtId="208" formatCode="#,##0.00;\(#,##0.00\)"/>
    <numFmt numFmtId="209" formatCode="_)d\-mmm\-yy_)"/>
    <numFmt numFmtId="210" formatCode="_(#,##0.0_);\(#,##0.0\);_(&quot;-&quot;_)"/>
    <numFmt numFmtId="211" formatCode="_(###0_);\(###0\);_(###0_)"/>
    <numFmt numFmtId="212" formatCode="#,##0.0000_);[Red]\(#,##0.0000\)"/>
    <numFmt numFmtId="213" formatCode="0.00000%"/>
    <numFmt numFmtId="214" formatCode="0.00000"/>
    <numFmt numFmtId="215" formatCode="_-* #,##0.00000_-;\-* #,##0.00000_-;_-* &quot;-&quot;??_-;_-@_-"/>
    <numFmt numFmtId="216" formatCode="0.000%"/>
    <numFmt numFmtId="217" formatCode="&quot;$&quot;#,##0.0;[Red]&quot;$&quot;#,##0.0"/>
    <numFmt numFmtId="218" formatCode="0.0000%"/>
    <numFmt numFmtId="219" formatCode="_-* #,##0.0000000_-;\-* #,##0.0000000_-;_-* &quot;-&quot;??_-;_-@_-"/>
    <numFmt numFmtId="220" formatCode="#,##0_ ;[Red]\-#,##0\ "/>
    <numFmt numFmtId="221" formatCode="_-&quot;$&quot;* #,##0.0_-;\-&quot;$&quot;* #,##0.0_-;_-&quot;$&quot;* &quot;-&quot;??_-;_-@_-"/>
    <numFmt numFmtId="222" formatCode="0.000000000000000000%"/>
    <numFmt numFmtId="223" formatCode="&quot;$&quot;#,##0.00000;[Red]\-&quot;$&quot;#,##0.00000"/>
    <numFmt numFmtId="224" formatCode="#,##0.00000000000"/>
    <numFmt numFmtId="225" formatCode="#,##0.0000000"/>
    <numFmt numFmtId="226" formatCode="#,##0.00000000"/>
    <numFmt numFmtId="227" formatCode="_-&quot;$&quot;* #,##0.000_-;\-&quot;$&quot;* #,##0.000_-;_-&quot;$&quot;* &quot;-&quot;??_-;_-@_-"/>
    <numFmt numFmtId="228" formatCode="_-&quot;$&quot;* #,##0.00000_-;\-&quot;$&quot;* #,##0.00000_-;_-&quot;$&quot;* &quot;-&quot;??_-;_-@_-"/>
    <numFmt numFmtId="229" formatCode="&quot;$&quot;#,##0.0000"/>
    <numFmt numFmtId="230" formatCode="0.0000"/>
    <numFmt numFmtId="231" formatCode="_([$€-2]* #,##0.00_);_([$€-2]* \(#,##0.00\);_([$€-2]* &quot;-&quot;??_)"/>
    <numFmt numFmtId="232" formatCode="_(* #,##0.0_);_(* \(#,##0.0\);_(* &quot;-&quot;?_);_(@_)"/>
    <numFmt numFmtId="233" formatCode="mm/dd/yy"/>
    <numFmt numFmtId="234" formatCode="#,##0_ ;\-#,##0\ "/>
    <numFmt numFmtId="235" formatCode="#,##0;[Red]\(#,##0.0\)"/>
    <numFmt numFmtId="236" formatCode="#,##0.000_ ;[Red]\-#,##0.000\ "/>
    <numFmt numFmtId="237" formatCode="0.000000"/>
    <numFmt numFmtId="238" formatCode="0.00000000000%"/>
    <numFmt numFmtId="239" formatCode="&quot;$&quot;#,##0;\(&quot;$&quot;#,##0\)"/>
    <numFmt numFmtId="240" formatCode="&quot;$&quot;#,##0.00;\(&quot;$&quot;#,##0.00\)"/>
    <numFmt numFmtId="241" formatCode="&quot;$&quot;#,##0.000;[Red]\-&quot;$&quot;#,##0.000"/>
    <numFmt numFmtId="242" formatCode="#,##0.00000_ ;[Red]\-#,##0.00000\ "/>
    <numFmt numFmtId="243" formatCode="_-* #,##0_-;[Red]\(#,##0\)_-;_-* &quot;-&quot;??_-;_-@_-"/>
    <numFmt numFmtId="244" formatCode="0.0000000000"/>
    <numFmt numFmtId="245" formatCode="0.0000000"/>
    <numFmt numFmtId="246" formatCode="&quot;$&quot;#,##0.00_);[Red]\(&quot;$&quot;#,##0.00\)"/>
    <numFmt numFmtId="247" formatCode="_-&quot;$&quot;* #,##0.0000000_-;\-&quot;$&quot;* #,##0.0000000_-;_-&quot;$&quot;* &quot;-&quot;??_-;_-@_-"/>
    <numFmt numFmtId="248" formatCode="#,##0.0000000000000000000"/>
    <numFmt numFmtId="249" formatCode="#,##0.000000000000000000000000000000000"/>
    <numFmt numFmtId="250" formatCode="&quot;$&quot;#,##0.000000000000;[Red]\-&quot;$&quot;#,##0.000000000000"/>
  </numFmts>
  <fonts count="25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11"/>
      <color rgb="FF0000FF"/>
      <name val="Arial"/>
      <family val="2"/>
    </font>
    <font>
      <b/>
      <sz val="10"/>
      <color theme="1"/>
      <name val="Arial"/>
      <family val="2"/>
    </font>
    <font>
      <b/>
      <u/>
      <sz val="11"/>
      <name val="Verdana"/>
      <family val="2"/>
    </font>
    <font>
      <b/>
      <sz val="10"/>
      <name val="Verdana"/>
      <family val="2"/>
    </font>
    <font>
      <b/>
      <sz val="11"/>
      <color theme="1"/>
      <name val="Calibri"/>
      <family val="2"/>
      <scheme val="minor"/>
    </font>
    <font>
      <sz val="11"/>
      <color rgb="FFFF0000"/>
      <name val="Calibri"/>
      <family val="2"/>
      <scheme val="minor"/>
    </font>
    <font>
      <b/>
      <sz val="10"/>
      <color rgb="FF076A9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b/>
      <sz val="12"/>
      <name val="Arial"/>
      <family val="2"/>
    </font>
    <font>
      <b/>
      <i/>
      <sz val="10"/>
      <name val="Arial"/>
      <family val="2"/>
    </font>
    <font>
      <sz val="10"/>
      <name val="Helv"/>
      <family val="2"/>
    </font>
    <font>
      <sz val="10"/>
      <name val="Geneva"/>
      <family val="2"/>
    </font>
    <font>
      <sz val="10"/>
      <color theme="1"/>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36"/>
      <name val="Calibri"/>
      <family val="2"/>
      <scheme val="minor"/>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0"/>
      <color theme="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1"/>
      <color indexed="8"/>
      <name val="Arial"/>
      <family val="2"/>
    </font>
    <font>
      <sz val="10"/>
      <name val="MS Sans Serif"/>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b/>
      <sz val="14"/>
      <color indexed="12"/>
      <name val="Arial"/>
      <family val="2"/>
    </font>
    <font>
      <b/>
      <sz val="15"/>
      <color indexed="56"/>
      <name val="Calibri"/>
      <family val="2"/>
    </font>
    <font>
      <b/>
      <sz val="15"/>
      <color indexed="62"/>
      <name val="Calibri"/>
      <family val="2"/>
    </font>
    <font>
      <b/>
      <sz val="15"/>
      <color theme="3"/>
      <name val="Calibri"/>
      <family val="2"/>
    </font>
    <font>
      <b/>
      <sz val="13"/>
      <color indexed="56"/>
      <name val="Calibri"/>
      <family val="2"/>
    </font>
    <font>
      <b/>
      <sz val="13"/>
      <color indexed="62"/>
      <name val="Calibri"/>
      <family val="2"/>
    </font>
    <font>
      <b/>
      <sz val="12"/>
      <color indexed="18"/>
      <name val="Arial"/>
      <family val="2"/>
    </font>
    <font>
      <b/>
      <sz val="11"/>
      <color indexed="56"/>
      <name val="Calibri"/>
      <family val="2"/>
    </font>
    <font>
      <b/>
      <sz val="11"/>
      <color indexed="62"/>
      <name val="Calibri"/>
      <family val="2"/>
    </font>
    <font>
      <u/>
      <sz val="10"/>
      <color theme="10"/>
      <name val="Arial"/>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scheme val="minor"/>
    </font>
    <font>
      <u/>
      <sz val="11"/>
      <color theme="10"/>
      <name val="Calibri"/>
      <family val="2"/>
    </font>
    <font>
      <sz val="8"/>
      <color indexed="12"/>
      <name val="Arial"/>
      <family val="2"/>
    </font>
    <font>
      <sz val="11"/>
      <color indexed="62"/>
      <name val="Calibri"/>
      <family val="2"/>
    </font>
    <font>
      <sz val="10"/>
      <color rgb="FF3F3F76"/>
      <name val="Calibri"/>
      <family val="2"/>
    </font>
    <font>
      <b/>
      <sz val="9"/>
      <color indexed="16"/>
      <name val="Arial"/>
      <family val="2"/>
    </font>
    <font>
      <sz val="11"/>
      <color indexed="52"/>
      <name val="Calibri"/>
      <family val="2"/>
    </font>
    <font>
      <sz val="11"/>
      <color indexed="10"/>
      <name val="Calibri"/>
      <family val="2"/>
    </font>
    <font>
      <b/>
      <sz val="18"/>
      <name val="Arial"/>
      <family val="2"/>
    </font>
    <font>
      <sz val="10"/>
      <color rgb="FF9C6500"/>
      <name val="Calibri"/>
      <family val="2"/>
    </font>
    <font>
      <sz val="11"/>
      <color indexed="60"/>
      <name val="Calibri"/>
      <family val="2"/>
    </font>
    <font>
      <sz val="11"/>
      <color indexed="19"/>
      <name val="Calibri"/>
      <family val="2"/>
    </font>
    <font>
      <sz val="7"/>
      <name val="Small Fonts"/>
      <family val="2"/>
    </font>
    <font>
      <b/>
      <i/>
      <sz val="16"/>
      <name val="Helv"/>
    </font>
    <font>
      <sz val="10"/>
      <color theme="1"/>
      <name val="Calibri"/>
      <family val="2"/>
      <scheme val="minor"/>
    </font>
    <font>
      <sz val="10"/>
      <name val="Times"/>
      <family val="1"/>
    </font>
    <font>
      <sz val="10"/>
      <name val="Times"/>
      <family val="1"/>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sz val="10"/>
      <color rgb="FFFF0000"/>
      <name val="Calibri"/>
      <family val="2"/>
    </font>
    <font>
      <sz val="11"/>
      <name val="돋움"/>
      <family val="3"/>
      <charset val="129"/>
    </font>
    <font>
      <sz val="11"/>
      <color theme="1"/>
      <name val="Symbol"/>
      <family val="1"/>
      <charset val="2"/>
    </font>
    <font>
      <sz val="7"/>
      <color theme="1"/>
      <name val="Times New Roman"/>
      <family val="1"/>
    </font>
    <font>
      <vertAlign val="superscript"/>
      <sz val="10"/>
      <color theme="1"/>
      <name val="Arial"/>
      <family val="2"/>
    </font>
    <font>
      <b/>
      <i/>
      <sz val="10"/>
      <color indexed="12"/>
      <name val="Arial"/>
      <family val="2"/>
    </font>
    <font>
      <i/>
      <sz val="10"/>
      <color indexed="12"/>
      <name val="Arial"/>
      <family val="2"/>
    </font>
    <font>
      <b/>
      <sz val="10"/>
      <color indexed="17"/>
      <name val="Arial"/>
      <family val="2"/>
    </font>
    <font>
      <b/>
      <sz val="10"/>
      <color indexed="8"/>
      <name val="Arial"/>
      <family val="2"/>
    </font>
    <font>
      <sz val="10"/>
      <name val="Arial"/>
      <family val="2"/>
    </font>
    <font>
      <b/>
      <u/>
      <sz val="10"/>
      <color rgb="FF0000FF"/>
      <name val="Arial"/>
      <family val="2"/>
    </font>
    <font>
      <b/>
      <sz val="11"/>
      <color rgb="FF0000FF"/>
      <name val="Arial"/>
      <family val="2"/>
    </font>
    <font>
      <sz val="9"/>
      <name val="AGaramond"/>
    </font>
    <font>
      <sz val="10"/>
      <name val="Helvetica"/>
      <family val="2"/>
    </font>
    <font>
      <sz val="10"/>
      <color indexed="12"/>
      <name val="Helvetica"/>
      <family val="2"/>
    </font>
    <font>
      <sz val="10"/>
      <color indexed="24"/>
      <name val="Arial"/>
      <family val="2"/>
    </font>
    <font>
      <sz val="9"/>
      <name val="GillSans"/>
      <family val="2"/>
    </font>
    <font>
      <sz val="9"/>
      <name val="GillSans Light"/>
      <family val="2"/>
    </font>
    <font>
      <b/>
      <sz val="8.5"/>
      <name val="Univers 65"/>
      <family val="2"/>
    </font>
    <font>
      <u/>
      <sz val="10"/>
      <color indexed="12"/>
      <name val="MS Sans Serif"/>
      <family val="2"/>
    </font>
    <font>
      <b/>
      <sz val="10"/>
      <color indexed="56"/>
      <name val="Wingdings"/>
      <charset val="2"/>
    </font>
    <font>
      <b/>
      <u/>
      <sz val="8"/>
      <color indexed="56"/>
      <name val="Arial"/>
      <family val="2"/>
    </font>
    <font>
      <sz val="12"/>
      <color indexed="14"/>
      <name val="Arial"/>
      <family val="2"/>
    </font>
    <font>
      <sz val="8.5"/>
      <name val="Univers 55"/>
      <family val="2"/>
    </font>
    <font>
      <b/>
      <sz val="8"/>
      <name val="Arial"/>
      <family val="2"/>
    </font>
    <font>
      <sz val="10"/>
      <color indexed="18"/>
      <name val="Times New Roman"/>
      <family val="1"/>
    </font>
    <font>
      <b/>
      <sz val="14"/>
      <name val="Arial"/>
      <family val="2"/>
    </font>
    <font>
      <sz val="9"/>
      <color indexed="21"/>
      <name val="Helvetica-Black"/>
      <family val="2"/>
    </font>
    <font>
      <b/>
      <sz val="9"/>
      <name val="Palatino"/>
      <family val="1"/>
    </font>
    <font>
      <sz val="7"/>
      <name val="Palatino"/>
      <family val="1"/>
    </font>
    <font>
      <sz val="12"/>
      <name val="Palatino"/>
      <family val="1"/>
    </font>
    <font>
      <sz val="11"/>
      <name val="Helvetica-Black"/>
      <family val="2"/>
    </font>
    <font>
      <sz val="12"/>
      <color indexed="12"/>
      <name val="Arial MT"/>
    </font>
    <font>
      <b/>
      <u/>
      <sz val="9.5"/>
      <color indexed="56"/>
      <name val="Arial"/>
      <family val="2"/>
    </font>
    <font>
      <u/>
      <sz val="8"/>
      <color indexed="56"/>
      <name val="Arial"/>
      <family val="2"/>
    </font>
    <font>
      <b/>
      <i/>
      <sz val="10"/>
      <color rgb="FFFF0000"/>
      <name val="Arial"/>
      <family val="2"/>
    </font>
    <font>
      <sz val="10"/>
      <color rgb="FFC00000"/>
      <name val="Arial"/>
      <family val="2"/>
    </font>
    <font>
      <b/>
      <i/>
      <sz val="11"/>
      <color theme="1"/>
      <name val="Arial"/>
      <family val="2"/>
    </font>
    <font>
      <b/>
      <sz val="16"/>
      <color theme="0"/>
      <name val="Arial"/>
      <family val="2"/>
    </font>
    <font>
      <b/>
      <sz val="10"/>
      <color rgb="FF0000FF"/>
      <name val="Arial"/>
      <family val="2"/>
    </font>
    <font>
      <i/>
      <sz val="9"/>
      <color rgb="FF000000"/>
      <name val="Arial"/>
      <family val="2"/>
    </font>
    <font>
      <b/>
      <sz val="10"/>
      <color theme="0"/>
      <name val="Arial"/>
      <family val="2"/>
    </font>
    <font>
      <b/>
      <sz val="9"/>
      <color theme="0"/>
      <name val="Arial"/>
      <family val="2"/>
    </font>
    <font>
      <b/>
      <sz val="9"/>
      <name val="Arial"/>
      <family val="2"/>
    </font>
    <font>
      <b/>
      <sz val="10"/>
      <color rgb="FF000000"/>
      <name val="Arial"/>
      <family val="2"/>
    </font>
    <font>
      <sz val="10"/>
      <color rgb="FF000000"/>
      <name val="Arial"/>
      <family val="2"/>
    </font>
    <font>
      <sz val="9"/>
      <color theme="1"/>
      <name val="Arial"/>
      <family val="2"/>
    </font>
    <font>
      <b/>
      <sz val="9"/>
      <color theme="1"/>
      <name val="Arial"/>
      <family val="2"/>
    </font>
    <font>
      <sz val="10"/>
      <color theme="2" tint="-0.499984740745262"/>
      <name val="Arial"/>
      <family val="2"/>
    </font>
    <font>
      <sz val="10"/>
      <color theme="0" tint="-4.9989318521683403E-2"/>
      <name val="Arial"/>
      <family val="2"/>
    </font>
    <font>
      <sz val="10"/>
      <color theme="0" tint="-0.34998626667073579"/>
      <name val="Arial"/>
      <family val="2"/>
    </font>
    <font>
      <b/>
      <sz val="12"/>
      <color theme="0"/>
      <name val="Arial"/>
      <family val="2"/>
    </font>
    <font>
      <b/>
      <sz val="16"/>
      <color rgb="FFFFFFFF"/>
      <name val="Arial"/>
      <family val="2"/>
    </font>
    <font>
      <sz val="10"/>
      <name val="Arial"/>
      <family val="2"/>
    </font>
    <font>
      <b/>
      <sz val="12"/>
      <color rgb="FFFFFFFF"/>
      <name val="Arial"/>
      <family val="2"/>
    </font>
    <font>
      <sz val="10"/>
      <name val="Helv"/>
      <charset val="204"/>
    </font>
    <font>
      <sz val="14"/>
      <name val="System"/>
      <family val="2"/>
    </font>
    <font>
      <sz val="8"/>
      <name val="Palatino"/>
      <family val="1"/>
    </font>
    <font>
      <sz val="9"/>
      <color indexed="21"/>
      <name val="Helvetica-Black"/>
    </font>
    <font>
      <sz val="11"/>
      <name val="Helvetica-Black"/>
    </font>
    <font>
      <b/>
      <sz val="9"/>
      <color indexed="9"/>
      <name val="Arial"/>
      <family val="2"/>
    </font>
    <font>
      <b/>
      <sz val="11"/>
      <name val="Calibri"/>
      <family val="2"/>
      <scheme val="minor"/>
    </font>
    <font>
      <sz val="10"/>
      <color theme="1"/>
      <name val="Verdana"/>
      <family val="2"/>
    </font>
    <font>
      <b/>
      <sz val="11"/>
      <color rgb="FF000000"/>
      <name val="Arial"/>
      <family val="2"/>
    </font>
    <font>
      <b/>
      <sz val="12"/>
      <color rgb="FF000000"/>
      <name val="Arial"/>
      <family val="2"/>
    </font>
    <font>
      <sz val="11"/>
      <color rgb="FF000000"/>
      <name val="Calibri"/>
      <family val="2"/>
    </font>
    <font>
      <sz val="10"/>
      <color theme="2"/>
      <name val="Arial"/>
      <family val="2"/>
    </font>
    <font>
      <i/>
      <sz val="10"/>
      <name val="Arial"/>
      <family val="2"/>
    </font>
    <font>
      <b/>
      <sz val="9"/>
      <color rgb="FFFFFFFF"/>
      <name val="Arial"/>
      <family val="2"/>
    </font>
    <font>
      <b/>
      <sz val="9"/>
      <color rgb="FF000000"/>
      <name val="Arial"/>
      <family val="2"/>
    </font>
    <font>
      <sz val="9"/>
      <color rgb="FF000000"/>
      <name val="Arial"/>
      <family val="2"/>
    </font>
    <font>
      <i/>
      <sz val="9"/>
      <name val="Arial"/>
      <family val="2"/>
    </font>
    <font>
      <b/>
      <u/>
      <sz val="9"/>
      <color rgb="FF000000"/>
      <name val="Arial"/>
      <family val="2"/>
    </font>
    <font>
      <sz val="9"/>
      <color theme="0" tint="-0.34998626667073579"/>
      <name val="Arial"/>
      <family val="2"/>
    </font>
    <font>
      <sz val="14"/>
      <color rgb="FFC00000"/>
      <name val="Arial"/>
      <family val="2"/>
    </font>
    <font>
      <sz val="11"/>
      <color theme="0" tint="-0.34998626667073579"/>
      <name val="Arial"/>
      <family val="2"/>
    </font>
    <font>
      <sz val="8"/>
      <color rgb="FFFF0000"/>
      <name val="Arial"/>
      <family val="2"/>
    </font>
    <font>
      <b/>
      <sz val="14"/>
      <color theme="9" tint="-0.249977111117893"/>
      <name val="Arial"/>
      <family val="2"/>
    </font>
    <font>
      <sz val="8"/>
      <color rgb="FF002060"/>
      <name val="Arial"/>
      <family val="2"/>
    </font>
    <font>
      <b/>
      <sz val="8"/>
      <color theme="0"/>
      <name val="Arial"/>
      <family val="2"/>
    </font>
    <font>
      <sz val="8"/>
      <color indexed="23"/>
      <name val="Arial"/>
      <family val="2"/>
    </font>
    <font>
      <b/>
      <sz val="8"/>
      <color indexed="23"/>
      <name val="Arial"/>
      <family val="2"/>
    </font>
    <font>
      <sz val="10"/>
      <color theme="9" tint="-0.499984740745262"/>
      <name val="Arial"/>
      <family val="2"/>
    </font>
    <font>
      <b/>
      <sz val="11"/>
      <color rgb="FFFF0066"/>
      <name val="Arial"/>
      <family val="2"/>
    </font>
    <font>
      <sz val="8"/>
      <color rgb="FF0000FF"/>
      <name val="Arial"/>
      <family val="2"/>
    </font>
    <font>
      <i/>
      <sz val="10"/>
      <color theme="1"/>
      <name val="Arial"/>
      <family val="2"/>
    </font>
    <font>
      <b/>
      <sz val="11"/>
      <color rgb="FFFF0000"/>
      <name val="Arial"/>
      <family val="2"/>
    </font>
    <font>
      <i/>
      <u/>
      <sz val="10"/>
      <name val="Arial"/>
      <family val="2"/>
    </font>
    <font>
      <b/>
      <sz val="9"/>
      <color rgb="FF000000"/>
      <name val="Calibri"/>
      <family val="2"/>
    </font>
    <font>
      <sz val="9"/>
      <color rgb="FF000000"/>
      <name val="Calibri"/>
      <family val="2"/>
    </font>
    <font>
      <sz val="9"/>
      <color rgb="FFFF0000"/>
      <name val="Arial"/>
      <family val="2"/>
    </font>
    <font>
      <b/>
      <sz val="9"/>
      <color rgb="FFFF0000"/>
      <name val="Arial"/>
      <family val="2"/>
    </font>
    <font>
      <i/>
      <sz val="9"/>
      <color theme="1"/>
      <name val="Arial"/>
      <family val="2"/>
    </font>
    <font>
      <b/>
      <i/>
      <sz val="9"/>
      <color theme="1"/>
      <name val="Arial"/>
      <family val="2"/>
    </font>
    <font>
      <b/>
      <sz val="9"/>
      <color theme="0"/>
      <name val="Calibri"/>
      <family val="2"/>
      <scheme val="minor"/>
    </font>
    <font>
      <b/>
      <sz val="9"/>
      <color theme="1"/>
      <name val="Calibri"/>
      <family val="2"/>
      <scheme val="minor"/>
    </font>
    <font>
      <sz val="9"/>
      <color theme="1"/>
      <name val="Calibri"/>
      <family val="2"/>
      <scheme val="minor"/>
    </font>
    <font>
      <sz val="9"/>
      <color theme="0"/>
      <name val="Arial"/>
      <family val="2"/>
    </font>
    <font>
      <b/>
      <sz val="14"/>
      <color theme="0"/>
      <name val="Arial"/>
      <family val="2"/>
    </font>
    <font>
      <sz val="10"/>
      <color rgb="FF00B050"/>
      <name val="Arial"/>
      <family val="2"/>
    </font>
    <font>
      <sz val="10"/>
      <color theme="5"/>
      <name val="Arial"/>
      <family val="2"/>
    </font>
  </fonts>
  <fills count="13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bgColor indexed="64"/>
      </patternFill>
    </fill>
    <fill>
      <patternFill patternType="solid">
        <fgColor indexed="47"/>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61"/>
      </patternFill>
    </fill>
    <fill>
      <patternFill patternType="solid">
        <fgColor indexed="9"/>
      </patternFill>
    </fill>
    <fill>
      <patternFill patternType="solid">
        <fgColor indexed="22"/>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8"/>
        <bgColor indexed="64"/>
      </patternFill>
    </fill>
    <fill>
      <patternFill patternType="solid">
        <fgColor indexed="44"/>
        <bgColor indexed="64"/>
      </patternFill>
    </fill>
    <fill>
      <patternFill patternType="gray0625">
        <bgColor indexed="44"/>
      </patternFill>
    </fill>
    <fill>
      <patternFill patternType="mediumGray">
        <fgColor indexed="22"/>
      </patternFill>
    </fill>
    <fill>
      <patternFill patternType="solid">
        <fgColor indexed="40"/>
        <bgColor indexed="64"/>
      </patternFill>
    </fill>
    <fill>
      <patternFill patternType="solid">
        <fgColor theme="4" tint="-0.499984740745262"/>
        <bgColor indexed="64"/>
      </patternFill>
    </fill>
    <fill>
      <patternFill patternType="solid">
        <fgColor indexed="51"/>
        <bgColor indexed="64"/>
      </patternFill>
    </fill>
    <fill>
      <patternFill patternType="solid">
        <fgColor theme="0" tint="-0.499984740745262"/>
        <bgColor indexed="64"/>
      </patternFill>
    </fill>
    <fill>
      <patternFill patternType="solid">
        <fgColor theme="1"/>
        <bgColor indexed="64"/>
      </patternFill>
    </fill>
    <fill>
      <patternFill patternType="solid">
        <fgColor rgb="FFFFFFFF"/>
        <bgColor indexed="64"/>
      </patternFill>
    </fill>
    <fill>
      <patternFill patternType="solid">
        <fgColor rgb="FF92D050"/>
        <bgColor indexed="64"/>
      </patternFill>
    </fill>
    <fill>
      <patternFill patternType="solid">
        <fgColor theme="0" tint="-0.34998626667073579"/>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0" tint="-0.14999847407452621"/>
        <bgColor indexed="64"/>
      </patternFill>
    </fill>
    <fill>
      <patternFill patternType="solid">
        <fgColor rgb="FFFFC000"/>
        <bgColor indexed="64"/>
      </patternFill>
    </fill>
    <fill>
      <patternFill patternType="solid">
        <fgColor rgb="FF00FFFF"/>
        <bgColor indexed="64"/>
      </patternFill>
    </fill>
    <fill>
      <patternFill patternType="solid">
        <fgColor rgb="FF3A828E"/>
        <bgColor indexed="64"/>
      </patternFill>
    </fill>
    <fill>
      <patternFill patternType="solid">
        <fgColor theme="0" tint="-4.9989318521683403E-2"/>
        <bgColor indexed="64"/>
      </patternFill>
    </fill>
    <fill>
      <patternFill patternType="solid">
        <fgColor rgb="FF00B1C3"/>
        <bgColor indexed="64"/>
      </patternFill>
    </fill>
    <fill>
      <patternFill patternType="solid">
        <fgColor rgb="FF233C64"/>
        <bgColor indexed="64"/>
      </patternFill>
    </fill>
    <fill>
      <patternFill patternType="solid">
        <fgColor rgb="FFCEE0E3"/>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0000"/>
        <bgColor rgb="FFFFFFFF"/>
      </patternFill>
    </fill>
    <fill>
      <patternFill patternType="solid">
        <fgColor indexed="38"/>
      </patternFill>
    </fill>
    <fill>
      <patternFill patternType="solid">
        <fgColor rgb="FFFFFFCC"/>
        <bgColor rgb="FF000000"/>
      </patternFill>
    </fill>
    <fill>
      <patternFill patternType="solid">
        <fgColor indexed="62"/>
        <bgColor indexed="64"/>
      </patternFill>
    </fill>
    <fill>
      <patternFill patternType="solid">
        <fgColor rgb="FF7F7F7F"/>
        <bgColor rgb="FFFFFFFF"/>
      </patternFill>
    </fill>
    <fill>
      <patternFill patternType="solid">
        <fgColor rgb="FF95B3D7"/>
        <bgColor rgb="FFFFFFFF"/>
      </patternFill>
    </fill>
    <fill>
      <patternFill patternType="solid">
        <fgColor rgb="FFB8CCE4"/>
        <bgColor rgb="FFFFFFFF"/>
      </patternFill>
    </fill>
    <fill>
      <patternFill patternType="solid">
        <fgColor rgb="FF808080"/>
        <bgColor rgb="FF000000"/>
      </patternFill>
    </fill>
    <fill>
      <patternFill patternType="solid">
        <fgColor rgb="FFD8D8D8"/>
        <bgColor rgb="FFFFFFFF"/>
      </patternFill>
    </fill>
    <fill>
      <patternFill patternType="solid">
        <fgColor theme="0" tint="-0.24994659260841701"/>
        <bgColor indexed="64"/>
      </patternFill>
    </fill>
    <fill>
      <patternFill patternType="solid">
        <fgColor rgb="FF023864"/>
        <bgColor rgb="FF000000"/>
      </patternFill>
    </fill>
    <fill>
      <patternFill patternType="solid">
        <fgColor rgb="FF023864"/>
        <bgColor indexed="64"/>
      </patternFill>
    </fill>
    <fill>
      <patternFill patternType="solid">
        <fgColor rgb="FFF2F2F2"/>
        <bgColor rgb="FF000000"/>
      </patternFill>
    </fill>
    <fill>
      <patternFill patternType="solid">
        <fgColor rgb="FFFFFFFF"/>
        <bgColor rgb="FF000000"/>
      </patternFill>
    </fill>
    <fill>
      <patternFill patternType="solid">
        <fgColor rgb="FFF2F2F2"/>
        <bgColor indexed="64"/>
      </patternFill>
    </fill>
    <fill>
      <patternFill patternType="solid">
        <fgColor theme="0"/>
        <bgColor rgb="FF000000"/>
      </patternFill>
    </fill>
    <fill>
      <patternFill patternType="solid">
        <fgColor rgb="FF0070C0"/>
        <bgColor indexed="64"/>
      </patternFill>
    </fill>
    <fill>
      <patternFill patternType="solid">
        <fgColor rgb="FF00B0F0"/>
        <bgColor indexed="64"/>
      </patternFill>
    </fill>
    <fill>
      <patternFill patternType="solid">
        <fgColor rgb="FF7030A0"/>
        <bgColor indexed="64"/>
      </patternFill>
    </fill>
    <fill>
      <patternFill patternType="solid">
        <fgColor rgb="FFCCFF99"/>
        <bgColor indexed="64"/>
      </patternFill>
    </fill>
    <fill>
      <patternFill patternType="solid">
        <fgColor rgb="FFCCFFCC"/>
        <bgColor indexed="64"/>
      </patternFill>
    </fill>
    <fill>
      <patternFill patternType="solid">
        <fgColor rgb="FFFFFF66"/>
        <bgColor indexed="64"/>
      </patternFill>
    </fill>
    <fill>
      <patternFill patternType="solid">
        <fgColor theme="7" tint="0.79998168889431442"/>
        <bgColor indexed="64"/>
      </patternFill>
    </fill>
    <fill>
      <patternFill patternType="solid">
        <fgColor rgb="FF660066"/>
        <bgColor indexed="64"/>
      </patternFill>
    </fill>
    <fill>
      <patternFill patternType="solid">
        <fgColor rgb="FFFFFFCC"/>
        <bgColor rgb="FFFFFFFF"/>
      </patternFill>
    </fill>
    <fill>
      <patternFill patternType="solid">
        <fgColor rgb="FFBFBFBF"/>
        <bgColor rgb="FFFFFFFF"/>
      </patternFill>
    </fill>
    <fill>
      <patternFill patternType="solid">
        <fgColor theme="8" tint="-0.499984740745262"/>
        <bgColor indexed="64"/>
      </patternFill>
    </fill>
    <fill>
      <patternFill patternType="solid">
        <fgColor rgb="FFFFCC00"/>
        <bgColor rgb="FF000000"/>
      </patternFill>
    </fill>
  </fills>
  <borders count="216">
    <border>
      <left/>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medium">
        <color indexed="64"/>
      </top>
      <bottom style="thin">
        <color indexed="6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bottom style="thick">
        <color indexed="62"/>
      </bottom>
      <diagonal/>
    </border>
    <border>
      <left/>
      <right/>
      <top/>
      <bottom style="thick">
        <color indexed="56"/>
      </bottom>
      <diagonal/>
    </border>
    <border>
      <left/>
      <right/>
      <top/>
      <bottom style="thick">
        <color indexed="49"/>
      </bottom>
      <diagonal/>
    </border>
    <border>
      <left/>
      <right/>
      <top/>
      <bottom style="thick">
        <color indexed="22"/>
      </bottom>
      <diagonal/>
    </border>
    <border>
      <left/>
      <right/>
      <top/>
      <bottom style="thick">
        <color indexed="27"/>
      </bottom>
      <diagonal/>
    </border>
    <border>
      <left/>
      <right/>
      <top/>
      <bottom style="medium">
        <color indexed="30"/>
      </bottom>
      <diagonal/>
    </border>
    <border>
      <left/>
      <right/>
      <top/>
      <bottom style="medium">
        <color indexed="27"/>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medium">
        <color indexed="64"/>
      </top>
      <bottom style="medium">
        <color indexed="64"/>
      </bottom>
      <diagonal/>
    </border>
    <border>
      <left/>
      <right/>
      <top style="thin">
        <color indexed="62"/>
      </top>
      <bottom style="double">
        <color indexed="62"/>
      </bottom>
      <diagonal/>
    </border>
    <border>
      <left/>
      <right/>
      <top style="thin">
        <color indexed="56"/>
      </top>
      <bottom style="double">
        <color indexed="56"/>
      </bottom>
      <diagonal/>
    </border>
    <border>
      <left/>
      <right style="thin">
        <color indexed="64"/>
      </right>
      <top style="medium">
        <color indexed="64"/>
      </top>
      <bottom style="thick">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style="thin">
        <color indexed="64"/>
      </bottom>
      <diagonal/>
    </border>
    <border>
      <left/>
      <right/>
      <top/>
      <bottom style="medium">
        <color indexed="49"/>
      </bottom>
      <diagonal/>
    </border>
    <border>
      <left/>
      <right/>
      <top style="thin">
        <color indexed="49"/>
      </top>
      <bottom style="double">
        <color indexed="49"/>
      </bottom>
      <diagonal/>
    </border>
    <border>
      <left style="thin">
        <color auto="1"/>
      </left>
      <right style="thin">
        <color auto="1"/>
      </right>
      <top style="thin">
        <color auto="1"/>
      </top>
      <bottom/>
      <diagonal/>
    </border>
    <border>
      <left style="thin">
        <color indexed="23"/>
      </left>
      <right style="thin">
        <color indexed="23"/>
      </right>
      <top style="thin">
        <color indexed="23"/>
      </top>
      <bottom style="thin">
        <color indexed="23"/>
      </bottom>
      <diagonal/>
    </border>
    <border>
      <left/>
      <right/>
      <top style="thin">
        <color auto="1"/>
      </top>
      <bottom/>
      <diagonal/>
    </border>
    <border>
      <left/>
      <right style="thin">
        <color indexed="64"/>
      </right>
      <top style="thin">
        <color indexed="64"/>
      </top>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style="thin">
        <color theme="0" tint="-0.34998626667073579"/>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medium">
        <color indexed="64"/>
      </left>
      <right style="thin">
        <color theme="0" tint="-0.34998626667073579"/>
      </right>
      <top style="medium">
        <color indexed="64"/>
      </top>
      <bottom style="medium">
        <color indexed="64"/>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style="medium">
        <color indexed="64"/>
      </left>
      <right style="thin">
        <color theme="0" tint="-0.34998626667073579"/>
      </right>
      <top style="thin">
        <color theme="0" tint="-0.34998626667073579"/>
      </top>
      <bottom style="medium">
        <color auto="1"/>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top/>
      <bottom style="thick">
        <color indexed="38"/>
      </bottom>
      <diagonal/>
    </border>
    <border>
      <left/>
      <right/>
      <top/>
      <bottom style="medium">
        <color indexed="38"/>
      </bottom>
      <diagonal/>
    </border>
    <border>
      <left/>
      <right/>
      <top/>
      <bottom style="medium">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thin">
        <color theme="0" tint="-0.34998626667073579"/>
      </top>
      <bottom style="thin">
        <color theme="0" tint="-0.34998626667073579"/>
      </bottom>
      <diagonal/>
    </border>
    <border>
      <left style="medium">
        <color indexed="64"/>
      </left>
      <right style="medium">
        <color indexed="64"/>
      </right>
      <top style="thin">
        <color indexed="64"/>
      </top>
      <bottom style="medium">
        <color indexed="64"/>
      </bottom>
      <diagonal/>
    </border>
    <border>
      <left style="medium">
        <color indexed="64"/>
      </left>
      <right style="thin">
        <color theme="0" tint="-0.34998626667073579"/>
      </right>
      <top style="medium">
        <color indexed="64"/>
      </top>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rgb="FFBFBFBF"/>
      </right>
      <top style="medium">
        <color rgb="FF000000"/>
      </top>
      <bottom style="thin">
        <color rgb="FFBFBFBF"/>
      </bottom>
      <diagonal/>
    </border>
    <border>
      <left style="medium">
        <color rgb="FF000000"/>
      </left>
      <right style="thin">
        <color rgb="FFBFBFBF"/>
      </right>
      <top style="medium">
        <color rgb="FF000000"/>
      </top>
      <bottom style="thin">
        <color rgb="FFBFBFBF"/>
      </bottom>
      <diagonal/>
    </border>
    <border>
      <left style="medium">
        <color rgb="FF000000"/>
      </left>
      <right style="medium">
        <color rgb="FF000000"/>
      </right>
      <top style="medium">
        <color rgb="FF000000"/>
      </top>
      <bottom style="thin">
        <color rgb="FFBFBFBF"/>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medium">
        <color rgb="FF000000"/>
      </right>
      <top/>
      <bottom style="thin">
        <color rgb="FFBFBFBF"/>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diagonal/>
    </border>
    <border>
      <left/>
      <right style="medium">
        <color rgb="FF000000"/>
      </right>
      <top/>
      <bottom style="medium">
        <color rgb="FF000000"/>
      </bottom>
      <diagonal/>
    </border>
    <border>
      <left style="medium">
        <color rgb="FF000000"/>
      </left>
      <right style="thin">
        <color rgb="FFBFBFBF"/>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A5A5A5"/>
      </right>
      <top style="medium">
        <color rgb="FF000000"/>
      </top>
      <bottom style="thin">
        <color rgb="FFA5A5A5"/>
      </bottom>
      <diagonal/>
    </border>
    <border>
      <left style="thin">
        <color rgb="FFA5A5A5"/>
      </left>
      <right style="thin">
        <color rgb="FFA5A5A5"/>
      </right>
      <top style="medium">
        <color rgb="FF000000"/>
      </top>
      <bottom style="thin">
        <color rgb="FFA5A5A5"/>
      </bottom>
      <diagonal/>
    </border>
    <border>
      <left style="thin">
        <color rgb="FFA5A5A5"/>
      </left>
      <right style="medium">
        <color rgb="FF000000"/>
      </right>
      <top style="medium">
        <color rgb="FF000000"/>
      </top>
      <bottom style="thin">
        <color rgb="FFA5A5A5"/>
      </bottom>
      <diagonal/>
    </border>
    <border>
      <left style="medium">
        <color rgb="FF000000"/>
      </left>
      <right style="thin">
        <color rgb="FFA5A5A5"/>
      </right>
      <top style="thin">
        <color rgb="FFA5A5A5"/>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style="medium">
        <color rgb="FF000000"/>
      </right>
      <top style="thin">
        <color rgb="FFA5A5A5"/>
      </top>
      <bottom style="thin">
        <color rgb="FFA5A5A5"/>
      </bottom>
      <diagonal/>
    </border>
    <border>
      <left style="medium">
        <color rgb="FF000000"/>
      </left>
      <right style="thin">
        <color rgb="FFA5A5A5"/>
      </right>
      <top style="thin">
        <color rgb="FFA5A5A5"/>
      </top>
      <bottom/>
      <diagonal/>
    </border>
    <border>
      <left style="thin">
        <color rgb="FFA5A5A5"/>
      </left>
      <right style="thin">
        <color rgb="FFA5A5A5"/>
      </right>
      <top style="thin">
        <color rgb="FFA5A5A5"/>
      </top>
      <bottom/>
      <diagonal/>
    </border>
    <border>
      <left style="thin">
        <color rgb="FFA5A5A5"/>
      </left>
      <right style="medium">
        <color rgb="FF000000"/>
      </right>
      <top style="thin">
        <color rgb="FFA5A5A5"/>
      </top>
      <bottom/>
      <diagonal/>
    </border>
    <border>
      <left style="medium">
        <color rgb="FF000000"/>
      </left>
      <right style="thin">
        <color rgb="FFA5A5A5"/>
      </right>
      <top style="medium">
        <color rgb="FF000000"/>
      </top>
      <bottom style="medium">
        <color rgb="FF000000"/>
      </bottom>
      <diagonal/>
    </border>
    <border>
      <left style="thin">
        <color rgb="FFA5A5A5"/>
      </left>
      <right style="thin">
        <color rgb="FFA5A5A5"/>
      </right>
      <top style="medium">
        <color rgb="FF000000"/>
      </top>
      <bottom style="medium">
        <color rgb="FF000000"/>
      </bottom>
      <diagonal/>
    </border>
    <border>
      <left style="thin">
        <color rgb="FFA5A5A5"/>
      </left>
      <right style="medium">
        <color rgb="FF000000"/>
      </right>
      <top style="medium">
        <color rgb="FF000000"/>
      </top>
      <bottom style="medium">
        <color rgb="FF000000"/>
      </bottom>
      <diagonal/>
    </border>
    <border>
      <left style="medium">
        <color rgb="FF000000"/>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medium">
        <color rgb="FF000000"/>
      </right>
      <top/>
      <bottom style="thin">
        <color rgb="FFA5A5A5"/>
      </bottom>
      <diagonal/>
    </border>
    <border>
      <left style="medium">
        <color rgb="FF000000"/>
      </left>
      <right style="thin">
        <color rgb="FFA5A5A5"/>
      </right>
      <top style="thin">
        <color rgb="FFA5A5A5"/>
      </top>
      <bottom style="medium">
        <color rgb="FF000000"/>
      </bottom>
      <diagonal/>
    </border>
    <border>
      <left style="thin">
        <color rgb="FFA5A5A5"/>
      </left>
      <right style="thin">
        <color rgb="FFA5A5A5"/>
      </right>
      <top style="thin">
        <color rgb="FFA5A5A5"/>
      </top>
      <bottom style="medium">
        <color rgb="FF000000"/>
      </bottom>
      <diagonal/>
    </border>
    <border>
      <left style="thin">
        <color rgb="FFA5A5A5"/>
      </left>
      <right style="medium">
        <color rgb="FF000000"/>
      </right>
      <top style="thin">
        <color rgb="FFA5A5A5"/>
      </top>
      <bottom style="medium">
        <color rgb="FF000000"/>
      </bottom>
      <diagonal/>
    </border>
    <border>
      <left style="thin">
        <color theme="0" tint="-0.34998626667073579"/>
      </left>
      <right style="thin">
        <color theme="0" tint="-0.34998626667073579"/>
      </right>
      <top style="medium">
        <color indexed="64"/>
      </top>
      <bottom/>
      <diagonal/>
    </border>
    <border>
      <left style="thin">
        <color theme="0" tint="-0.34998626667073579"/>
      </left>
      <right style="medium">
        <color indexed="64"/>
      </right>
      <top style="medium">
        <color indexed="64"/>
      </top>
      <bottom/>
      <diagonal/>
    </border>
    <border>
      <left style="medium">
        <color indexed="64"/>
      </left>
      <right style="thin">
        <color theme="0" tint="-0.34998626667073579"/>
      </right>
      <top/>
      <bottom/>
      <diagonal/>
    </border>
    <border>
      <left style="thin">
        <color theme="0" tint="-0.34998626667073579"/>
      </left>
      <right style="medium">
        <color indexed="64"/>
      </right>
      <top/>
      <bottom/>
      <diagonal/>
    </border>
    <border>
      <left style="thin">
        <color indexed="23"/>
      </left>
      <right/>
      <top style="thin">
        <color indexed="23"/>
      </top>
      <bottom/>
      <diagonal/>
    </border>
    <border>
      <left/>
      <right/>
      <top style="thin">
        <color indexed="23"/>
      </top>
      <bottom/>
      <diagonal/>
    </border>
    <border>
      <left style="thin">
        <color indexed="64"/>
      </left>
      <right style="thin">
        <color indexed="64"/>
      </right>
      <top style="thin">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medium">
        <color rgb="FFFFFFFF"/>
      </left>
      <right/>
      <top/>
      <bottom/>
      <diagonal/>
    </border>
    <border>
      <left/>
      <right style="medium">
        <color rgb="FFFFFFFF"/>
      </right>
      <top/>
      <bottom/>
      <diagonal/>
    </border>
    <border>
      <left/>
      <right/>
      <top style="thin">
        <color rgb="FF233C64"/>
      </top>
      <bottom style="thin">
        <color rgb="FF233C64"/>
      </bottom>
      <diagonal/>
    </border>
    <border>
      <left/>
      <right/>
      <top style="medium">
        <color rgb="FF233C64"/>
      </top>
      <bottom style="medium">
        <color rgb="FF233C64"/>
      </bottom>
      <diagonal/>
    </border>
    <border>
      <left/>
      <right/>
      <top/>
      <bottom style="medium">
        <color rgb="FF233C64"/>
      </bottom>
      <diagonal/>
    </border>
    <border>
      <left/>
      <right/>
      <top style="thin">
        <color rgb="FF002060"/>
      </top>
      <bottom style="thin">
        <color rgb="FF002060"/>
      </bottom>
      <diagonal/>
    </border>
    <border>
      <left style="thin">
        <color theme="2"/>
      </left>
      <right style="thin">
        <color theme="2"/>
      </right>
      <top/>
      <bottom style="thin">
        <color theme="2"/>
      </bottom>
      <diagonal/>
    </border>
    <border>
      <left style="thin">
        <color theme="2"/>
      </left>
      <right style="thin">
        <color indexed="64"/>
      </right>
      <top/>
      <bottom style="thin">
        <color theme="2"/>
      </bottom>
      <diagonal/>
    </border>
    <border>
      <left/>
      <right style="thin">
        <color theme="2"/>
      </right>
      <top/>
      <bottom style="thin">
        <color theme="2"/>
      </bottom>
      <diagonal/>
    </border>
    <border>
      <left style="thin">
        <color theme="2"/>
      </left>
      <right style="thin">
        <color theme="2"/>
      </right>
      <top style="thin">
        <color theme="2"/>
      </top>
      <bottom style="thin">
        <color theme="2"/>
      </bottom>
      <diagonal/>
    </border>
    <border>
      <left style="thin">
        <color theme="2"/>
      </left>
      <right style="thin">
        <color indexed="64"/>
      </right>
      <top style="thin">
        <color theme="2"/>
      </top>
      <bottom style="thin">
        <color theme="2"/>
      </bottom>
      <diagonal/>
    </border>
    <border>
      <left/>
      <right style="thin">
        <color theme="2"/>
      </right>
      <top style="thin">
        <color theme="2"/>
      </top>
      <bottom style="thin">
        <color theme="2"/>
      </bottom>
      <diagonal/>
    </border>
    <border>
      <left style="thin">
        <color theme="2"/>
      </left>
      <right style="thin">
        <color theme="2"/>
      </right>
      <top style="thin">
        <color theme="2"/>
      </top>
      <bottom/>
      <diagonal/>
    </border>
    <border>
      <left style="thin">
        <color theme="2"/>
      </left>
      <right style="thin">
        <color indexed="64"/>
      </right>
      <top style="thin">
        <color theme="2"/>
      </top>
      <bottom/>
      <diagonal/>
    </border>
    <border>
      <left/>
      <right style="thin">
        <color theme="2"/>
      </right>
      <top style="thin">
        <color theme="2"/>
      </top>
      <bottom/>
      <diagonal/>
    </border>
    <border>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thin">
        <color indexed="64"/>
      </right>
      <top/>
      <bottom style="hair">
        <color indexed="64"/>
      </bottom>
      <diagonal/>
    </border>
    <border>
      <left/>
      <right style="thin">
        <color indexed="64"/>
      </right>
      <top style="hair">
        <color indexed="64"/>
      </top>
      <bottom/>
      <diagonal/>
    </border>
    <border>
      <left/>
      <right style="thin">
        <color indexed="64"/>
      </right>
      <top style="hair">
        <color indexed="64"/>
      </top>
      <bottom style="hair">
        <color indexed="64"/>
      </bottom>
      <diagonal/>
    </border>
    <border>
      <left style="medium">
        <color rgb="FF000000"/>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000000"/>
      </right>
      <top style="thin">
        <color rgb="FFBFBFBF"/>
      </top>
      <bottom style="thin">
        <color rgb="FFBFBFBF"/>
      </bottom>
      <diagonal/>
    </border>
    <border>
      <left style="medium">
        <color rgb="FF000000"/>
      </left>
      <right style="thin">
        <color rgb="FFBFBFBF"/>
      </right>
      <top style="thin">
        <color rgb="FFBFBFBF"/>
      </top>
      <bottom style="medium">
        <color rgb="FF000000"/>
      </bottom>
      <diagonal/>
    </border>
    <border>
      <left style="thin">
        <color rgb="FFBFBFBF"/>
      </left>
      <right style="thin">
        <color rgb="FFBFBFBF"/>
      </right>
      <top style="thin">
        <color rgb="FFBFBFBF"/>
      </top>
      <bottom style="medium">
        <color rgb="FF000000"/>
      </bottom>
      <diagonal/>
    </border>
    <border>
      <left style="thin">
        <color rgb="FFBFBFBF"/>
      </left>
      <right style="thin">
        <color rgb="FF000000"/>
      </right>
      <top style="thin">
        <color rgb="FFBFBFBF"/>
      </top>
      <bottom style="medium">
        <color rgb="FF000000"/>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diagonal/>
    </border>
  </borders>
  <cellStyleXfs count="42400">
    <xf numFmtId="0" fontId="0" fillId="0" borderId="0"/>
    <xf numFmtId="0" fontId="21" fillId="0" borderId="0"/>
    <xf numFmtId="0" fontId="22" fillId="0" borderId="0"/>
    <xf numFmtId="9" fontId="21" fillId="0" borderId="0" applyFont="0" applyFill="0" applyBorder="0" applyAlignment="0" applyProtection="0"/>
    <xf numFmtId="0" fontId="23" fillId="0" borderId="0"/>
    <xf numFmtId="43" fontId="12" fillId="0" borderId="0" applyFont="0" applyFill="0" applyBorder="0" applyAlignment="0" applyProtection="0"/>
    <xf numFmtId="9" fontId="12" fillId="0" borderId="0" applyFont="0" applyFill="0" applyBorder="0" applyAlignment="0" applyProtection="0"/>
    <xf numFmtId="0" fontId="22" fillId="0" borderId="0"/>
    <xf numFmtId="3" fontId="22" fillId="9" borderId="0" applyNumberFormat="0" applyFont="0" applyBorder="0" applyAlignment="0">
      <alignment horizontal="right"/>
      <protection locked="0"/>
    </xf>
    <xf numFmtId="0" fontId="22" fillId="0" borderId="0"/>
    <xf numFmtId="0" fontId="22" fillId="0" borderId="0"/>
    <xf numFmtId="0" fontId="22" fillId="0" borderId="0"/>
    <xf numFmtId="0" fontId="22" fillId="0" borderId="0"/>
    <xf numFmtId="0" fontId="22" fillId="0" borderId="0"/>
    <xf numFmtId="0" fontId="24" fillId="12" borderId="0" applyNumberFormat="0" applyBorder="0" applyAlignment="0" applyProtection="0"/>
    <xf numFmtId="172" fontId="21" fillId="0" borderId="0" applyFont="0" applyFill="0" applyBorder="0" applyAlignment="0" applyProtection="0"/>
    <xf numFmtId="0" fontId="21" fillId="0" borderId="0"/>
    <xf numFmtId="0" fontId="22" fillId="0" borderId="0"/>
    <xf numFmtId="0" fontId="69" fillId="0" borderId="0" applyNumberFormat="0" applyFont="0" applyFill="0" applyBorder="0" applyAlignment="0" applyProtection="0"/>
    <xf numFmtId="172" fontId="22" fillId="0" borderId="0" applyFont="0" applyFill="0" applyBorder="0" applyAlignment="0" applyProtection="0"/>
    <xf numFmtId="9" fontId="22" fillId="0" borderId="0" applyFont="0" applyFill="0" applyBorder="0" applyAlignment="0" applyProtection="0"/>
    <xf numFmtId="177" fontId="22" fillId="0" borderId="0" applyFont="0" applyFill="0" applyBorder="0" applyAlignment="0" applyProtection="0"/>
    <xf numFmtId="179" fontId="22" fillId="0" borderId="0"/>
    <xf numFmtId="179" fontId="22" fillId="0" borderId="0"/>
    <xf numFmtId="179" fontId="22" fillId="0" borderId="0"/>
    <xf numFmtId="179" fontId="72" fillId="0" borderId="0"/>
    <xf numFmtId="179" fontId="72" fillId="0" borderId="0"/>
    <xf numFmtId="0" fontId="72" fillId="0" borderId="0"/>
    <xf numFmtId="0" fontId="72" fillId="0" borderId="0"/>
    <xf numFmtId="179" fontId="72" fillId="0" borderId="0"/>
    <xf numFmtId="179" fontId="72" fillId="0" borderId="0"/>
    <xf numFmtId="178" fontId="72" fillId="0" borderId="0"/>
    <xf numFmtId="0" fontId="72" fillId="0" borderId="0"/>
    <xf numFmtId="178" fontId="72" fillId="0" borderId="0"/>
    <xf numFmtId="0" fontId="72" fillId="0" borderId="0"/>
    <xf numFmtId="178" fontId="72" fillId="0" borderId="0"/>
    <xf numFmtId="179" fontId="72" fillId="0" borderId="0"/>
    <xf numFmtId="0" fontId="22" fillId="0" borderId="0"/>
    <xf numFmtId="178" fontId="22" fillId="0" borderId="0"/>
    <xf numFmtId="179" fontId="72" fillId="0" borderId="0"/>
    <xf numFmtId="179" fontId="73" fillId="0" borderId="0"/>
    <xf numFmtId="179" fontId="73" fillId="0" borderId="0"/>
    <xf numFmtId="179" fontId="72" fillId="0" borderId="0"/>
    <xf numFmtId="0" fontId="73" fillId="0" borderId="0"/>
    <xf numFmtId="179" fontId="73" fillId="0" borderId="0"/>
    <xf numFmtId="179" fontId="73" fillId="0" borderId="0"/>
    <xf numFmtId="0" fontId="73" fillId="0" borderId="0"/>
    <xf numFmtId="178" fontId="73" fillId="0" borderId="0"/>
    <xf numFmtId="180" fontId="73" fillId="0" borderId="0"/>
    <xf numFmtId="178" fontId="73" fillId="0" borderId="0"/>
    <xf numFmtId="180" fontId="73" fillId="0" borderId="0"/>
    <xf numFmtId="178" fontId="73" fillId="0" borderId="0"/>
    <xf numFmtId="179" fontId="72" fillId="0" borderId="0"/>
    <xf numFmtId="179" fontId="72" fillId="0" borderId="0"/>
    <xf numFmtId="0" fontId="73" fillId="0" borderId="0"/>
    <xf numFmtId="178" fontId="73" fillId="0" borderId="0"/>
    <xf numFmtId="0" fontId="73" fillId="0" borderId="0"/>
    <xf numFmtId="178" fontId="73" fillId="0" borderId="0"/>
    <xf numFmtId="179" fontId="73" fillId="0" borderId="0"/>
    <xf numFmtId="179" fontId="72" fillId="0" borderId="0"/>
    <xf numFmtId="179" fontId="72" fillId="0" borderId="0"/>
    <xf numFmtId="0" fontId="22" fillId="0" borderId="0"/>
    <xf numFmtId="0" fontId="22" fillId="0" borderId="0"/>
    <xf numFmtId="178" fontId="22" fillId="0" borderId="0"/>
    <xf numFmtId="178" fontId="22" fillId="0" borderId="0"/>
    <xf numFmtId="179" fontId="73" fillId="0" borderId="0"/>
    <xf numFmtId="179" fontId="72" fillId="0" borderId="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179" fontId="24" fillId="49" borderId="0" applyNumberFormat="0" applyBorder="0" applyAlignment="0" applyProtection="0"/>
    <xf numFmtId="179" fontId="24" fillId="49" borderId="0" applyNumberFormat="0" applyBorder="0" applyAlignment="0" applyProtection="0"/>
    <xf numFmtId="178" fontId="24" fillId="49" borderId="0" applyNumberFormat="0" applyBorder="0" applyAlignment="0" applyProtection="0"/>
    <xf numFmtId="0" fontId="24" fillId="49"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180" fontId="24" fillId="49"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24" fillId="50"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180" fontId="24" fillId="49"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178" fontId="24" fillId="50"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24" fillId="50"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0" fontId="24" fillId="50" borderId="0" applyNumberFormat="0" applyBorder="0" applyAlignment="0" applyProtection="0"/>
    <xf numFmtId="0" fontId="24" fillId="49" borderId="0" applyNumberFormat="0" applyBorder="0" applyAlignment="0" applyProtection="0"/>
    <xf numFmtId="178" fontId="24" fillId="49"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180" fontId="24" fillId="49"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0"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179" fontId="11" fillId="24" borderId="0" applyNumberFormat="0" applyBorder="0" applyAlignment="0" applyProtection="0"/>
    <xf numFmtId="0" fontId="24" fillId="49" borderId="0" applyNumberFormat="0" applyBorder="0" applyAlignment="0" applyProtection="0"/>
    <xf numFmtId="178" fontId="24" fillId="50" borderId="0" applyNumberFormat="0" applyBorder="0" applyAlignment="0" applyProtection="0"/>
    <xf numFmtId="180" fontId="24" fillId="49"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178" fontId="11" fillId="24"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179" fontId="24" fillId="51" borderId="0" applyNumberFormat="0" applyBorder="0" applyAlignment="0" applyProtection="0"/>
    <xf numFmtId="179" fontId="24" fillId="51" borderId="0" applyNumberFormat="0" applyBorder="0" applyAlignment="0" applyProtection="0"/>
    <xf numFmtId="178" fontId="24" fillId="51" borderId="0" applyNumberFormat="0" applyBorder="0" applyAlignment="0" applyProtection="0"/>
    <xf numFmtId="0" fontId="24" fillId="51"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180" fontId="24" fillId="51"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24" fillId="52" borderId="0" applyNumberFormat="0" applyBorder="0" applyAlignment="0" applyProtection="0"/>
    <xf numFmtId="0" fontId="24" fillId="51" borderId="0" applyNumberFormat="0" applyBorder="0" applyAlignment="0" applyProtection="0"/>
    <xf numFmtId="0" fontId="24" fillId="52" borderId="0" applyNumberFormat="0" applyBorder="0" applyAlignment="0" applyProtection="0"/>
    <xf numFmtId="180" fontId="24" fillId="51"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178" fontId="24" fillId="52"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24" fillId="52"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0" fontId="24" fillId="52" borderId="0" applyNumberFormat="0" applyBorder="0" applyAlignment="0" applyProtection="0"/>
    <xf numFmtId="0" fontId="24" fillId="51" borderId="0" applyNumberFormat="0" applyBorder="0" applyAlignment="0" applyProtection="0"/>
    <xf numFmtId="178" fontId="24" fillId="51"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180" fontId="24" fillId="51"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0"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179" fontId="11" fillId="28" borderId="0" applyNumberFormat="0" applyBorder="0" applyAlignment="0" applyProtection="0"/>
    <xf numFmtId="0" fontId="24" fillId="51" borderId="0" applyNumberFormat="0" applyBorder="0" applyAlignment="0" applyProtection="0"/>
    <xf numFmtId="178" fontId="24" fillId="52" borderId="0" applyNumberFormat="0" applyBorder="0" applyAlignment="0" applyProtection="0"/>
    <xf numFmtId="180" fontId="24" fillId="51"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178" fontId="11" fillId="28"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179" fontId="24" fillId="53" borderId="0" applyNumberFormat="0" applyBorder="0" applyAlignment="0" applyProtection="0"/>
    <xf numFmtId="179" fontId="24" fillId="53" borderId="0" applyNumberFormat="0" applyBorder="0" applyAlignment="0" applyProtection="0"/>
    <xf numFmtId="178" fontId="24" fillId="53" borderId="0" applyNumberFormat="0" applyBorder="0" applyAlignment="0" applyProtection="0"/>
    <xf numFmtId="0" fontId="24" fillId="53"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180" fontId="24" fillId="53"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24" fillId="54"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180" fontId="24" fillId="53"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178" fontId="24" fillId="54"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53"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0" fontId="24" fillId="54" borderId="0" applyNumberFormat="0" applyBorder="0" applyAlignment="0" applyProtection="0"/>
    <xf numFmtId="0" fontId="24" fillId="53" borderId="0" applyNumberFormat="0" applyBorder="0" applyAlignment="0" applyProtection="0"/>
    <xf numFmtId="178" fontId="11" fillId="53" borderId="0" applyNumberFormat="0" applyBorder="0" applyAlignment="0" applyProtection="0"/>
    <xf numFmtId="178" fontId="11" fillId="53" borderId="0" applyNumberFormat="0" applyBorder="0" applyAlignment="0" applyProtection="0"/>
    <xf numFmtId="178" fontId="11" fillId="53" borderId="0" applyNumberFormat="0" applyBorder="0" applyAlignment="0" applyProtection="0"/>
    <xf numFmtId="178" fontId="11" fillId="53" borderId="0" applyNumberFormat="0" applyBorder="0" applyAlignment="0" applyProtection="0"/>
    <xf numFmtId="178"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180" fontId="24" fillId="53"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0" fontId="11" fillId="32" borderId="0" applyNumberFormat="0" applyBorder="0" applyAlignment="0" applyProtection="0"/>
    <xf numFmtId="178" fontId="24" fillId="53"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179" fontId="11" fillId="32" borderId="0" applyNumberFormat="0" applyBorder="0" applyAlignment="0" applyProtection="0"/>
    <xf numFmtId="0" fontId="24" fillId="53"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24" fillId="54" borderId="0" applyNumberFormat="0" applyBorder="0" applyAlignment="0" applyProtection="0"/>
    <xf numFmtId="180" fontId="24" fillId="53"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178" fontId="11" fillId="32" borderId="0" applyNumberFormat="0" applyBorder="0" applyAlignment="0" applyProtection="0"/>
    <xf numFmtId="0" fontId="74" fillId="36" borderId="0" applyNumberFormat="0" applyBorder="0" applyAlignment="0" applyProtection="0"/>
    <xf numFmtId="0" fontId="74" fillId="36" borderId="0" applyNumberFormat="0" applyBorder="0" applyAlignment="0" applyProtection="0"/>
    <xf numFmtId="179" fontId="24" fillId="55" borderId="0" applyNumberFormat="0" applyBorder="0" applyAlignment="0" applyProtection="0"/>
    <xf numFmtId="178" fontId="24" fillId="55" borderId="0" applyNumberFormat="0" applyBorder="0" applyAlignment="0" applyProtection="0"/>
    <xf numFmtId="0" fontId="24" fillId="55" borderId="0" applyNumberFormat="0" applyBorder="0" applyAlignment="0" applyProtection="0"/>
    <xf numFmtId="0" fontId="74"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180" fontId="24" fillId="55"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24" fillId="56" borderId="0" applyNumberFormat="0" applyBorder="0" applyAlignment="0" applyProtection="0"/>
    <xf numFmtId="0" fontId="24" fillId="55" borderId="0" applyNumberFormat="0" applyBorder="0" applyAlignment="0" applyProtection="0"/>
    <xf numFmtId="0" fontId="24" fillId="56" borderId="0" applyNumberFormat="0" applyBorder="0" applyAlignment="0" applyProtection="0"/>
    <xf numFmtId="180" fontId="24" fillId="55" borderId="0" applyNumberFormat="0" applyBorder="0" applyAlignment="0" applyProtection="0"/>
    <xf numFmtId="178" fontId="24" fillId="56" borderId="0" applyNumberFormat="0" applyBorder="0" applyAlignment="0" applyProtection="0"/>
    <xf numFmtId="0"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0" fontId="24" fillId="5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24" fillId="55"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178" fontId="24" fillId="55"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74"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180" fontId="24" fillId="55"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11" fillId="36" borderId="0" applyNumberFormat="0" applyBorder="0" applyAlignment="0" applyProtection="0"/>
    <xf numFmtId="0" fontId="74"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179" fontId="11" fillId="36" borderId="0" applyNumberFormat="0" applyBorder="0" applyAlignment="0" applyProtection="0"/>
    <xf numFmtId="0" fontId="24" fillId="55" borderId="0" applyNumberFormat="0" applyBorder="0" applyAlignment="0" applyProtection="0"/>
    <xf numFmtId="178" fontId="24" fillId="56" borderId="0" applyNumberFormat="0" applyBorder="0" applyAlignment="0" applyProtection="0"/>
    <xf numFmtId="180" fontId="24" fillId="55"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178" fontId="11" fillId="36"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179" fontId="24" fillId="12"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180" fontId="24" fillId="12"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24" fillId="12" borderId="0" applyNumberFormat="0" applyBorder="0" applyAlignment="0" applyProtection="0"/>
    <xf numFmtId="180" fontId="24" fillId="12"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178" fontId="24" fillId="12"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178" fontId="24" fillId="12"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24" fillId="12"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0"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80" fontId="24" fillId="12"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9" fontId="11" fillId="40" borderId="0" applyNumberFormat="0" applyBorder="0" applyAlignment="0" applyProtection="0"/>
    <xf numFmtId="178" fontId="24" fillId="12"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80" fontId="24" fillId="12"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178" fontId="11" fillId="40"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179" fontId="24" fillId="56" borderId="0" applyNumberFormat="0" applyBorder="0" applyAlignment="0" applyProtection="0"/>
    <xf numFmtId="179" fontId="24" fillId="56" borderId="0" applyNumberFormat="0" applyBorder="0" applyAlignment="0" applyProtection="0"/>
    <xf numFmtId="178" fontId="24" fillId="56" borderId="0" applyNumberFormat="0" applyBorder="0" applyAlignment="0" applyProtection="0"/>
    <xf numFmtId="0" fontId="24" fillId="56"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180" fontId="24" fillId="56"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24" fillId="54" borderId="0" applyNumberFormat="0" applyBorder="0" applyAlignment="0" applyProtection="0"/>
    <xf numFmtId="0" fontId="24" fillId="56" borderId="0" applyNumberFormat="0" applyBorder="0" applyAlignment="0" applyProtection="0"/>
    <xf numFmtId="0" fontId="24" fillId="54" borderId="0" applyNumberFormat="0" applyBorder="0" applyAlignment="0" applyProtection="0"/>
    <xf numFmtId="180" fontId="24" fillId="56"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178" fontId="24" fillId="5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24" fillId="5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0" fontId="24" fillId="54" borderId="0" applyNumberFormat="0" applyBorder="0" applyAlignment="0" applyProtection="0"/>
    <xf numFmtId="0" fontId="24" fillId="56" borderId="0" applyNumberFormat="0" applyBorder="0" applyAlignment="0" applyProtection="0"/>
    <xf numFmtId="178" fontId="24" fillId="56"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180" fontId="24" fillId="56"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0"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179" fontId="11" fillId="44" borderId="0" applyNumberFormat="0" applyBorder="0" applyAlignment="0" applyProtection="0"/>
    <xf numFmtId="0" fontId="24" fillId="56" borderId="0" applyNumberFormat="0" applyBorder="0" applyAlignment="0" applyProtection="0"/>
    <xf numFmtId="178" fontId="24" fillId="54" borderId="0" applyNumberFormat="0" applyBorder="0" applyAlignment="0" applyProtection="0"/>
    <xf numFmtId="180" fontId="24" fillId="56"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178" fontId="11" fillId="44"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179" fontId="24" fillId="50" borderId="0" applyNumberFormat="0" applyBorder="0" applyAlignment="0" applyProtection="0"/>
    <xf numFmtId="179" fontId="24" fillId="50" borderId="0" applyNumberFormat="0" applyBorder="0" applyAlignment="0" applyProtection="0"/>
    <xf numFmtId="178" fontId="24" fillId="50" borderId="0" applyNumberFormat="0" applyBorder="0" applyAlignment="0" applyProtection="0"/>
    <xf numFmtId="0" fontId="24" fillId="50"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180" fontId="24" fillId="50"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24" fillId="12" borderId="0" applyNumberFormat="0" applyBorder="0" applyAlignment="0" applyProtection="0"/>
    <xf numFmtId="0" fontId="24" fillId="50" borderId="0" applyNumberFormat="0" applyBorder="0" applyAlignment="0" applyProtection="0"/>
    <xf numFmtId="0" fontId="24" fillId="12" borderId="0" applyNumberFormat="0" applyBorder="0" applyAlignment="0" applyProtection="0"/>
    <xf numFmtId="180" fontId="24" fillId="50"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178" fontId="24" fillId="12"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24" fillId="12"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0" fontId="24" fillId="12" borderId="0" applyNumberFormat="0" applyBorder="0" applyAlignment="0" applyProtection="0"/>
    <xf numFmtId="0" fontId="24" fillId="50" borderId="0" applyNumberFormat="0" applyBorder="0" applyAlignment="0" applyProtection="0"/>
    <xf numFmtId="178" fontId="24" fillId="50"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180" fontId="24" fillId="50"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179" fontId="11" fillId="25" borderId="0" applyNumberFormat="0" applyBorder="0" applyAlignment="0" applyProtection="0"/>
    <xf numFmtId="0" fontId="24" fillId="50" borderId="0" applyNumberFormat="0" applyBorder="0" applyAlignment="0" applyProtection="0"/>
    <xf numFmtId="178" fontId="24" fillId="12" borderId="0" applyNumberFormat="0" applyBorder="0" applyAlignment="0" applyProtection="0"/>
    <xf numFmtId="180" fontId="24" fillId="50"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178" fontId="11" fillId="25"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179" fontId="24" fillId="52" borderId="0" applyNumberFormat="0" applyBorder="0" applyAlignment="0" applyProtection="0"/>
    <xf numFmtId="0" fontId="24" fillId="52"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180" fontId="24" fillId="52"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24" fillId="52" borderId="0" applyNumberFormat="0" applyBorder="0" applyAlignment="0" applyProtection="0"/>
    <xf numFmtId="180" fontId="24" fillId="52"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178" fontId="24" fillId="52"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178" fontId="24" fillId="52"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24" fillId="52"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0"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80" fontId="24" fillId="52"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9" fontId="11" fillId="29" borderId="0" applyNumberFormat="0" applyBorder="0" applyAlignment="0" applyProtection="0"/>
    <xf numFmtId="178" fontId="24" fillId="52"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80" fontId="24" fillId="52"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178" fontId="11" fillId="29"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179" fontId="24" fillId="57" borderId="0" applyNumberFormat="0" applyBorder="0" applyAlignment="0" applyProtection="0"/>
    <xf numFmtId="179" fontId="24" fillId="57" borderId="0" applyNumberFormat="0" applyBorder="0" applyAlignment="0" applyProtection="0"/>
    <xf numFmtId="178" fontId="24" fillId="57" borderId="0" applyNumberFormat="0" applyBorder="0" applyAlignment="0" applyProtection="0"/>
    <xf numFmtId="0" fontId="24" fillId="57"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180" fontId="24" fillId="57"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24" fillId="58" borderId="0" applyNumberFormat="0" applyBorder="0" applyAlignment="0" applyProtection="0"/>
    <xf numFmtId="0" fontId="24" fillId="57" borderId="0" applyNumberFormat="0" applyBorder="0" applyAlignment="0" applyProtection="0"/>
    <xf numFmtId="0" fontId="24" fillId="58" borderId="0" applyNumberFormat="0" applyBorder="0" applyAlignment="0" applyProtection="0"/>
    <xf numFmtId="180" fontId="24" fillId="57"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178" fontId="24" fillId="58"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24" fillId="58"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0" fontId="24" fillId="58" borderId="0" applyNumberFormat="0" applyBorder="0" applyAlignment="0" applyProtection="0"/>
    <xf numFmtId="0" fontId="24" fillId="57" borderId="0" applyNumberFormat="0" applyBorder="0" applyAlignment="0" applyProtection="0"/>
    <xf numFmtId="178" fontId="24" fillId="57"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180" fontId="24" fillId="57"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0"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179" fontId="11" fillId="33" borderId="0" applyNumberFormat="0" applyBorder="0" applyAlignment="0" applyProtection="0"/>
    <xf numFmtId="0" fontId="24" fillId="57" borderId="0" applyNumberFormat="0" applyBorder="0" applyAlignment="0" applyProtection="0"/>
    <xf numFmtId="178" fontId="24" fillId="58" borderId="0" applyNumberFormat="0" applyBorder="0" applyAlignment="0" applyProtection="0"/>
    <xf numFmtId="180" fontId="24" fillId="57"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178" fontId="11" fillId="33" borderId="0" applyNumberFormat="0" applyBorder="0" applyAlignment="0" applyProtection="0"/>
    <xf numFmtId="0" fontId="74" fillId="37" borderId="0" applyNumberFormat="0" applyBorder="0" applyAlignment="0" applyProtection="0"/>
    <xf numFmtId="0" fontId="74" fillId="37" borderId="0" applyNumberFormat="0" applyBorder="0" applyAlignment="0" applyProtection="0"/>
    <xf numFmtId="179" fontId="24" fillId="55" borderId="0" applyNumberFormat="0" applyBorder="0" applyAlignment="0" applyProtection="0"/>
    <xf numFmtId="178" fontId="24" fillId="55" borderId="0" applyNumberFormat="0" applyBorder="0" applyAlignment="0" applyProtection="0"/>
    <xf numFmtId="0" fontId="24" fillId="55" borderId="0" applyNumberFormat="0" applyBorder="0" applyAlignment="0" applyProtection="0"/>
    <xf numFmtId="0" fontId="74"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180" fontId="24" fillId="55"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24" fillId="51" borderId="0" applyNumberFormat="0" applyBorder="0" applyAlignment="0" applyProtection="0"/>
    <xf numFmtId="0" fontId="24" fillId="55" borderId="0" applyNumberFormat="0" applyBorder="0" applyAlignment="0" applyProtection="0"/>
    <xf numFmtId="0" fontId="24" fillId="51" borderId="0" applyNumberFormat="0" applyBorder="0" applyAlignment="0" applyProtection="0"/>
    <xf numFmtId="180" fontId="24" fillId="55" borderId="0" applyNumberFormat="0" applyBorder="0" applyAlignment="0" applyProtection="0"/>
    <xf numFmtId="178" fontId="24" fillId="51" borderId="0" applyNumberFormat="0" applyBorder="0" applyAlignment="0" applyProtection="0"/>
    <xf numFmtId="0"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0" fontId="24" fillId="51"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24" fillId="55"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178" fontId="24" fillId="55"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74"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180" fontId="24" fillId="55"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11" fillId="37" borderId="0" applyNumberFormat="0" applyBorder="0" applyAlignment="0" applyProtection="0"/>
    <xf numFmtId="0" fontId="74"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179" fontId="11" fillId="37" borderId="0" applyNumberFormat="0" applyBorder="0" applyAlignment="0" applyProtection="0"/>
    <xf numFmtId="0" fontId="24" fillId="55" borderId="0" applyNumberFormat="0" applyBorder="0" applyAlignment="0" applyProtection="0"/>
    <xf numFmtId="178" fontId="24" fillId="51" borderId="0" applyNumberFormat="0" applyBorder="0" applyAlignment="0" applyProtection="0"/>
    <xf numFmtId="180" fontId="24" fillId="55"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178" fontId="11" fillId="37" borderId="0" applyNumberFormat="0" applyBorder="0" applyAlignment="0" applyProtection="0"/>
    <xf numFmtId="0" fontId="74" fillId="41" borderId="0" applyNumberFormat="0" applyBorder="0" applyAlignment="0" applyProtection="0"/>
    <xf numFmtId="0" fontId="74" fillId="41" borderId="0" applyNumberFormat="0" applyBorder="0" applyAlignment="0" applyProtection="0"/>
    <xf numFmtId="179" fontId="24" fillId="50" borderId="0" applyNumberFormat="0" applyBorder="0" applyAlignment="0" applyProtection="0"/>
    <xf numFmtId="178" fontId="24" fillId="50" borderId="0" applyNumberFormat="0" applyBorder="0" applyAlignment="0" applyProtection="0"/>
    <xf numFmtId="0" fontId="24" fillId="50" borderId="0" applyNumberFormat="0" applyBorder="0" applyAlignment="0" applyProtection="0"/>
    <xf numFmtId="0" fontId="74"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180" fontId="24" fillId="50"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24" fillId="12" borderId="0" applyNumberFormat="0" applyBorder="0" applyAlignment="0" applyProtection="0"/>
    <xf numFmtId="0" fontId="24" fillId="50" borderId="0" applyNumberFormat="0" applyBorder="0" applyAlignment="0" applyProtection="0"/>
    <xf numFmtId="0" fontId="24" fillId="12" borderId="0" applyNumberFormat="0" applyBorder="0" applyAlignment="0" applyProtection="0"/>
    <xf numFmtId="180" fontId="24" fillId="50" borderId="0" applyNumberFormat="0" applyBorder="0" applyAlignment="0" applyProtection="0"/>
    <xf numFmtId="178" fontId="24" fillId="12" borderId="0" applyNumberFormat="0" applyBorder="0" applyAlignment="0" applyProtection="0"/>
    <xf numFmtId="0"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0" fontId="24" fillId="12"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24" fillId="50"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178" fontId="24" fillId="50"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74"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180" fontId="24" fillId="50"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11" fillId="41" borderId="0" applyNumberFormat="0" applyBorder="0" applyAlignment="0" applyProtection="0"/>
    <xf numFmtId="0" fontId="74"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179" fontId="11" fillId="41" borderId="0" applyNumberFormat="0" applyBorder="0" applyAlignment="0" applyProtection="0"/>
    <xf numFmtId="0" fontId="24" fillId="50" borderId="0" applyNumberFormat="0" applyBorder="0" applyAlignment="0" applyProtection="0"/>
    <xf numFmtId="178" fontId="24" fillId="12" borderId="0" applyNumberFormat="0" applyBorder="0" applyAlignment="0" applyProtection="0"/>
    <xf numFmtId="180" fontId="24" fillId="50"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178" fontId="11" fillId="41"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179" fontId="24" fillId="59" borderId="0" applyNumberFormat="0" applyBorder="0" applyAlignment="0" applyProtection="0"/>
    <xf numFmtId="179" fontId="24" fillId="59" borderId="0" applyNumberFormat="0" applyBorder="0" applyAlignment="0" applyProtection="0"/>
    <xf numFmtId="178" fontId="24" fillId="59" borderId="0" applyNumberFormat="0" applyBorder="0" applyAlignment="0" applyProtection="0"/>
    <xf numFmtId="0" fontId="24" fillId="59"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180" fontId="24" fillId="59"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24" fillId="54" borderId="0" applyNumberFormat="0" applyBorder="0" applyAlignment="0" applyProtection="0"/>
    <xf numFmtId="0" fontId="24" fillId="59" borderId="0" applyNumberFormat="0" applyBorder="0" applyAlignment="0" applyProtection="0"/>
    <xf numFmtId="0" fontId="24" fillId="54" borderId="0" applyNumberFormat="0" applyBorder="0" applyAlignment="0" applyProtection="0"/>
    <xf numFmtId="180" fontId="24" fillId="59"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178" fontId="24" fillId="54"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24" fillId="54"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0" fontId="24" fillId="54" borderId="0" applyNumberFormat="0" applyBorder="0" applyAlignment="0" applyProtection="0"/>
    <xf numFmtId="0" fontId="24" fillId="59" borderId="0" applyNumberFormat="0" applyBorder="0" applyAlignment="0" applyProtection="0"/>
    <xf numFmtId="178" fontId="24" fillId="59"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180" fontId="24" fillId="59"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0"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179" fontId="11" fillId="45" borderId="0" applyNumberFormat="0" applyBorder="0" applyAlignment="0" applyProtection="0"/>
    <xf numFmtId="0" fontId="24" fillId="59" borderId="0" applyNumberFormat="0" applyBorder="0" applyAlignment="0" applyProtection="0"/>
    <xf numFmtId="178" fontId="24" fillId="54" borderId="0" applyNumberFormat="0" applyBorder="0" applyAlignment="0" applyProtection="0"/>
    <xf numFmtId="180" fontId="24" fillId="59"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178" fontId="11" fillId="45" borderId="0" applyNumberFormat="0" applyBorder="0" applyAlignment="0" applyProtection="0"/>
    <xf numFmtId="0" fontId="68" fillId="26" borderId="0" applyNumberFormat="0" applyBorder="0" applyAlignment="0" applyProtection="0"/>
    <xf numFmtId="179" fontId="75" fillId="60" borderId="0" applyNumberFormat="0" applyBorder="0" applyAlignment="0" applyProtection="0"/>
    <xf numFmtId="179" fontId="75" fillId="60" borderId="0" applyNumberFormat="0" applyBorder="0" applyAlignment="0" applyProtection="0"/>
    <xf numFmtId="178" fontId="75" fillId="60" borderId="0" applyNumberFormat="0" applyBorder="0" applyAlignment="0" applyProtection="0"/>
    <xf numFmtId="0" fontId="75" fillId="60" borderId="0" applyNumberFormat="0" applyBorder="0" applyAlignment="0" applyProtection="0"/>
    <xf numFmtId="0" fontId="68" fillId="26" borderId="0" applyNumberFormat="0" applyBorder="0" applyAlignment="0" applyProtection="0"/>
    <xf numFmtId="180" fontId="75" fillId="60" borderId="0" applyNumberFormat="0" applyBorder="0" applyAlignment="0" applyProtection="0"/>
    <xf numFmtId="0" fontId="75" fillId="12" borderId="0" applyNumberFormat="0" applyBorder="0" applyAlignment="0" applyProtection="0"/>
    <xf numFmtId="0" fontId="75" fillId="60" borderId="0" applyNumberFormat="0" applyBorder="0" applyAlignment="0" applyProtection="0"/>
    <xf numFmtId="0" fontId="75" fillId="12" borderId="0" applyNumberFormat="0" applyBorder="0" applyAlignment="0" applyProtection="0"/>
    <xf numFmtId="180" fontId="75" fillId="60" borderId="0" applyNumberFormat="0" applyBorder="0" applyAlignment="0" applyProtection="0"/>
    <xf numFmtId="178" fontId="75" fillId="12" borderId="0" applyNumberFormat="0" applyBorder="0" applyAlignment="0" applyProtection="0"/>
    <xf numFmtId="0" fontId="75" fillId="12" borderId="0" applyNumberFormat="0" applyBorder="0" applyAlignment="0" applyProtection="0"/>
    <xf numFmtId="0" fontId="75" fillId="12" borderId="0" applyNumberFormat="0" applyBorder="0" applyAlignment="0" applyProtection="0"/>
    <xf numFmtId="0" fontId="75" fillId="60" borderId="0" applyNumberFormat="0" applyBorder="0" applyAlignment="0" applyProtection="0"/>
    <xf numFmtId="178" fontId="75" fillId="60" borderId="0" applyNumberFormat="0" applyBorder="0" applyAlignment="0" applyProtection="0"/>
    <xf numFmtId="179" fontId="68" fillId="26" borderId="0" applyNumberFormat="0" applyBorder="0" applyAlignment="0" applyProtection="0"/>
    <xf numFmtId="180" fontId="75" fillId="60" borderId="0" applyNumberFormat="0" applyBorder="0" applyAlignment="0" applyProtection="0"/>
    <xf numFmtId="178" fontId="68" fillId="26" borderId="0" applyNumberFormat="0" applyBorder="0" applyAlignment="0" applyProtection="0"/>
    <xf numFmtId="0" fontId="75" fillId="60" borderId="0" applyNumberFormat="0" applyBorder="0" applyAlignment="0" applyProtection="0"/>
    <xf numFmtId="178" fontId="75" fillId="12" borderId="0" applyNumberFormat="0" applyBorder="0" applyAlignment="0" applyProtection="0"/>
    <xf numFmtId="180" fontId="75" fillId="60" borderId="0" applyNumberFormat="0" applyBorder="0" applyAlignment="0" applyProtection="0"/>
    <xf numFmtId="178" fontId="68" fillId="26" borderId="0" applyNumberFormat="0" applyBorder="0" applyAlignment="0" applyProtection="0"/>
    <xf numFmtId="0" fontId="68" fillId="30" borderId="0" applyNumberFormat="0" applyBorder="0" applyAlignment="0" applyProtection="0"/>
    <xf numFmtId="179" fontId="75" fillId="52" borderId="0" applyNumberFormat="0" applyBorder="0" applyAlignment="0" applyProtection="0"/>
    <xf numFmtId="179" fontId="75" fillId="52" borderId="0" applyNumberFormat="0" applyBorder="0" applyAlignment="0" applyProtection="0"/>
    <xf numFmtId="178" fontId="75" fillId="52" borderId="0" applyNumberFormat="0" applyBorder="0" applyAlignment="0" applyProtection="0"/>
    <xf numFmtId="0" fontId="75" fillId="52" borderId="0" applyNumberFormat="0" applyBorder="0" applyAlignment="0" applyProtection="0"/>
    <xf numFmtId="0" fontId="68" fillId="30" borderId="0" applyNumberFormat="0" applyBorder="0" applyAlignment="0" applyProtection="0"/>
    <xf numFmtId="180" fontId="75" fillId="52" borderId="0" applyNumberFormat="0" applyBorder="0" applyAlignment="0" applyProtection="0"/>
    <xf numFmtId="0" fontId="75" fillId="61" borderId="0" applyNumberFormat="0" applyBorder="0" applyAlignment="0" applyProtection="0"/>
    <xf numFmtId="0" fontId="75" fillId="52" borderId="0" applyNumberFormat="0" applyBorder="0" applyAlignment="0" applyProtection="0"/>
    <xf numFmtId="0" fontId="75" fillId="61" borderId="0" applyNumberFormat="0" applyBorder="0" applyAlignment="0" applyProtection="0"/>
    <xf numFmtId="180" fontId="75" fillId="52" borderId="0" applyNumberFormat="0" applyBorder="0" applyAlignment="0" applyProtection="0"/>
    <xf numFmtId="178" fontId="75" fillId="61" borderId="0" applyNumberFormat="0" applyBorder="0" applyAlignment="0" applyProtection="0"/>
    <xf numFmtId="0" fontId="75" fillId="61" borderId="0" applyNumberFormat="0" applyBorder="0" applyAlignment="0" applyProtection="0"/>
    <xf numFmtId="0" fontId="75" fillId="61" borderId="0" applyNumberFormat="0" applyBorder="0" applyAlignment="0" applyProtection="0"/>
    <xf numFmtId="0" fontId="75" fillId="52" borderId="0" applyNumberFormat="0" applyBorder="0" applyAlignment="0" applyProtection="0"/>
    <xf numFmtId="178" fontId="75" fillId="52" borderId="0" applyNumberFormat="0" applyBorder="0" applyAlignment="0" applyProtection="0"/>
    <xf numFmtId="179" fontId="68" fillId="30" borderId="0" applyNumberFormat="0" applyBorder="0" applyAlignment="0" applyProtection="0"/>
    <xf numFmtId="180" fontId="75" fillId="52" borderId="0" applyNumberFormat="0" applyBorder="0" applyAlignment="0" applyProtection="0"/>
    <xf numFmtId="178" fontId="68" fillId="30" borderId="0" applyNumberFormat="0" applyBorder="0" applyAlignment="0" applyProtection="0"/>
    <xf numFmtId="0" fontId="75" fillId="52" borderId="0" applyNumberFormat="0" applyBorder="0" applyAlignment="0" applyProtection="0"/>
    <xf numFmtId="178" fontId="75" fillId="61" borderId="0" applyNumberFormat="0" applyBorder="0" applyAlignment="0" applyProtection="0"/>
    <xf numFmtId="180" fontId="75" fillId="52" borderId="0" applyNumberFormat="0" applyBorder="0" applyAlignment="0" applyProtection="0"/>
    <xf numFmtId="178" fontId="68" fillId="30" borderId="0" applyNumberFormat="0" applyBorder="0" applyAlignment="0" applyProtection="0"/>
    <xf numFmtId="0" fontId="68" fillId="34" borderId="0" applyNumberFormat="0" applyBorder="0" applyAlignment="0" applyProtection="0"/>
    <xf numFmtId="179" fontId="75" fillId="57" borderId="0" applyNumberFormat="0" applyBorder="0" applyAlignment="0" applyProtection="0"/>
    <xf numFmtId="179" fontId="75" fillId="57" borderId="0" applyNumberFormat="0" applyBorder="0" applyAlignment="0" applyProtection="0"/>
    <xf numFmtId="178" fontId="75" fillId="57" borderId="0" applyNumberFormat="0" applyBorder="0" applyAlignment="0" applyProtection="0"/>
    <xf numFmtId="0" fontId="75" fillId="57" borderId="0" applyNumberFormat="0" applyBorder="0" applyAlignment="0" applyProtection="0"/>
    <xf numFmtId="0" fontId="68" fillId="34" borderId="0" applyNumberFormat="0" applyBorder="0" applyAlignment="0" applyProtection="0"/>
    <xf numFmtId="180" fontId="75" fillId="57" borderId="0" applyNumberFormat="0" applyBorder="0" applyAlignment="0" applyProtection="0"/>
    <xf numFmtId="0" fontId="75" fillId="59" borderId="0" applyNumberFormat="0" applyBorder="0" applyAlignment="0" applyProtection="0"/>
    <xf numFmtId="0" fontId="75" fillId="57" borderId="0" applyNumberFormat="0" applyBorder="0" applyAlignment="0" applyProtection="0"/>
    <xf numFmtId="0" fontId="75" fillId="59" borderId="0" applyNumberFormat="0" applyBorder="0" applyAlignment="0" applyProtection="0"/>
    <xf numFmtId="180" fontId="75" fillId="57" borderId="0" applyNumberFormat="0" applyBorder="0" applyAlignment="0" applyProtection="0"/>
    <xf numFmtId="178" fontId="75" fillId="59" borderId="0" applyNumberFormat="0" applyBorder="0" applyAlignment="0" applyProtection="0"/>
    <xf numFmtId="0" fontId="75" fillId="59" borderId="0" applyNumberFormat="0" applyBorder="0" applyAlignment="0" applyProtection="0"/>
    <xf numFmtId="0" fontId="75" fillId="59" borderId="0" applyNumberFormat="0" applyBorder="0" applyAlignment="0" applyProtection="0"/>
    <xf numFmtId="0" fontId="75" fillId="57" borderId="0" applyNumberFormat="0" applyBorder="0" applyAlignment="0" applyProtection="0"/>
    <xf numFmtId="178" fontId="75" fillId="57" borderId="0" applyNumberFormat="0" applyBorder="0" applyAlignment="0" applyProtection="0"/>
    <xf numFmtId="179" fontId="68" fillId="34" borderId="0" applyNumberFormat="0" applyBorder="0" applyAlignment="0" applyProtection="0"/>
    <xf numFmtId="180" fontId="75" fillId="57" borderId="0" applyNumberFormat="0" applyBorder="0" applyAlignment="0" applyProtection="0"/>
    <xf numFmtId="178" fontId="68" fillId="34" borderId="0" applyNumberFormat="0" applyBorder="0" applyAlignment="0" applyProtection="0"/>
    <xf numFmtId="0" fontId="75" fillId="57" borderId="0" applyNumberFormat="0" applyBorder="0" applyAlignment="0" applyProtection="0"/>
    <xf numFmtId="178" fontId="75" fillId="59" borderId="0" applyNumberFormat="0" applyBorder="0" applyAlignment="0" applyProtection="0"/>
    <xf numFmtId="180" fontId="75" fillId="57" borderId="0" applyNumberFormat="0" applyBorder="0" applyAlignment="0" applyProtection="0"/>
    <xf numFmtId="178" fontId="68" fillId="34" borderId="0" applyNumberFormat="0" applyBorder="0" applyAlignment="0" applyProtection="0"/>
    <xf numFmtId="0" fontId="68" fillId="62" borderId="0" applyNumberFormat="0" applyBorder="0" applyAlignment="0" applyProtection="0"/>
    <xf numFmtId="179" fontId="75" fillId="62" borderId="0" applyNumberFormat="0" applyBorder="0" applyAlignment="0" applyProtection="0"/>
    <xf numFmtId="179" fontId="75" fillId="62" borderId="0" applyNumberFormat="0" applyBorder="0" applyAlignment="0" applyProtection="0"/>
    <xf numFmtId="178" fontId="75" fillId="62" borderId="0" applyNumberFormat="0" applyBorder="0" applyAlignment="0" applyProtection="0"/>
    <xf numFmtId="0" fontId="75" fillId="62" borderId="0" applyNumberFormat="0" applyBorder="0" applyAlignment="0" applyProtection="0"/>
    <xf numFmtId="0" fontId="68" fillId="38" borderId="0" applyNumberFormat="0" applyBorder="0" applyAlignment="0" applyProtection="0"/>
    <xf numFmtId="180" fontId="75" fillId="62" borderId="0" applyNumberFormat="0" applyBorder="0" applyAlignment="0" applyProtection="0"/>
    <xf numFmtId="0" fontId="75" fillId="51" borderId="0" applyNumberFormat="0" applyBorder="0" applyAlignment="0" applyProtection="0"/>
    <xf numFmtId="0" fontId="75" fillId="62" borderId="0" applyNumberFormat="0" applyBorder="0" applyAlignment="0" applyProtection="0"/>
    <xf numFmtId="0" fontId="75" fillId="51" borderId="0" applyNumberFormat="0" applyBorder="0" applyAlignment="0" applyProtection="0"/>
    <xf numFmtId="180" fontId="75" fillId="62" borderId="0" applyNumberFormat="0" applyBorder="0" applyAlignment="0" applyProtection="0"/>
    <xf numFmtId="178" fontId="68" fillId="62" borderId="0" applyNumberFormat="0" applyBorder="0" applyAlignment="0" applyProtection="0"/>
    <xf numFmtId="0" fontId="68" fillId="62" borderId="0" applyNumberFormat="0" applyBorder="0" applyAlignment="0" applyProtection="0"/>
    <xf numFmtId="0" fontId="75" fillId="51" borderId="0" applyNumberFormat="0" applyBorder="0" applyAlignment="0" applyProtection="0"/>
    <xf numFmtId="0" fontId="75" fillId="62" borderId="0" applyNumberFormat="0" applyBorder="0" applyAlignment="0" applyProtection="0"/>
    <xf numFmtId="178" fontId="75" fillId="51" borderId="0" applyNumberFormat="0" applyBorder="0" applyAlignment="0" applyProtection="0"/>
    <xf numFmtId="179" fontId="68" fillId="38" borderId="0" applyNumberFormat="0" applyBorder="0" applyAlignment="0" applyProtection="0"/>
    <xf numFmtId="179" fontId="68" fillId="38" borderId="0" applyNumberFormat="0" applyBorder="0" applyAlignment="0" applyProtection="0"/>
    <xf numFmtId="180" fontId="75" fillId="62" borderId="0" applyNumberFormat="0" applyBorder="0" applyAlignment="0" applyProtection="0"/>
    <xf numFmtId="178" fontId="75" fillId="62" borderId="0" applyNumberFormat="0" applyBorder="0" applyAlignment="0" applyProtection="0"/>
    <xf numFmtId="0" fontId="75" fillId="62" borderId="0" applyNumberFormat="0" applyBorder="0" applyAlignment="0" applyProtection="0"/>
    <xf numFmtId="178" fontId="68" fillId="38" borderId="0" applyNumberFormat="0" applyBorder="0" applyAlignment="0" applyProtection="0"/>
    <xf numFmtId="178" fontId="75" fillId="51" borderId="0" applyNumberFormat="0" applyBorder="0" applyAlignment="0" applyProtection="0"/>
    <xf numFmtId="180" fontId="75" fillId="62" borderId="0" applyNumberFormat="0" applyBorder="0" applyAlignment="0" applyProtection="0"/>
    <xf numFmtId="178" fontId="68" fillId="38" borderId="0" applyNumberFormat="0" applyBorder="0" applyAlignment="0" applyProtection="0"/>
    <xf numFmtId="0" fontId="68" fillId="42" borderId="0" applyNumberFormat="0" applyBorder="0" applyAlignment="0" applyProtection="0"/>
    <xf numFmtId="179" fontId="75" fillId="63" borderId="0" applyNumberFormat="0" applyBorder="0" applyAlignment="0" applyProtection="0"/>
    <xf numFmtId="179" fontId="75" fillId="63" borderId="0" applyNumberFormat="0" applyBorder="0" applyAlignment="0" applyProtection="0"/>
    <xf numFmtId="178" fontId="75" fillId="63" borderId="0" applyNumberFormat="0" applyBorder="0" applyAlignment="0" applyProtection="0"/>
    <xf numFmtId="0" fontId="75" fillId="63" borderId="0" applyNumberFormat="0" applyBorder="0" applyAlignment="0" applyProtection="0"/>
    <xf numFmtId="0" fontId="68" fillId="42" borderId="0" applyNumberFormat="0" applyBorder="0" applyAlignment="0" applyProtection="0"/>
    <xf numFmtId="180" fontId="75" fillId="63" borderId="0" applyNumberFormat="0" applyBorder="0" applyAlignment="0" applyProtection="0"/>
    <xf numFmtId="0" fontId="75" fillId="12" borderId="0" applyNumberFormat="0" applyBorder="0" applyAlignment="0" applyProtection="0"/>
    <xf numFmtId="0" fontId="75" fillId="63" borderId="0" applyNumberFormat="0" applyBorder="0" applyAlignment="0" applyProtection="0"/>
    <xf numFmtId="0" fontId="75" fillId="12" borderId="0" applyNumberFormat="0" applyBorder="0" applyAlignment="0" applyProtection="0"/>
    <xf numFmtId="180" fontId="75" fillId="63" borderId="0" applyNumberFormat="0" applyBorder="0" applyAlignment="0" applyProtection="0"/>
    <xf numFmtId="178" fontId="75" fillId="12" borderId="0" applyNumberFormat="0" applyBorder="0" applyAlignment="0" applyProtection="0"/>
    <xf numFmtId="0" fontId="75" fillId="12" borderId="0" applyNumberFormat="0" applyBorder="0" applyAlignment="0" applyProtection="0"/>
    <xf numFmtId="0" fontId="75" fillId="12" borderId="0" applyNumberFormat="0" applyBorder="0" applyAlignment="0" applyProtection="0"/>
    <xf numFmtId="0" fontId="75" fillId="63" borderId="0" applyNumberFormat="0" applyBorder="0" applyAlignment="0" applyProtection="0"/>
    <xf numFmtId="178" fontId="75" fillId="63" borderId="0" applyNumberFormat="0" applyBorder="0" applyAlignment="0" applyProtection="0"/>
    <xf numFmtId="179" fontId="68" fillId="42" borderId="0" applyNumberFormat="0" applyBorder="0" applyAlignment="0" applyProtection="0"/>
    <xf numFmtId="180" fontId="75" fillId="63" borderId="0" applyNumberFormat="0" applyBorder="0" applyAlignment="0" applyProtection="0"/>
    <xf numFmtId="178" fontId="68" fillId="42" borderId="0" applyNumberFormat="0" applyBorder="0" applyAlignment="0" applyProtection="0"/>
    <xf numFmtId="0" fontId="75" fillId="63" borderId="0" applyNumberFormat="0" applyBorder="0" applyAlignment="0" applyProtection="0"/>
    <xf numFmtId="178" fontId="75" fillId="12" borderId="0" applyNumberFormat="0" applyBorder="0" applyAlignment="0" applyProtection="0"/>
    <xf numFmtId="180" fontId="75" fillId="63" borderId="0" applyNumberFormat="0" applyBorder="0" applyAlignment="0" applyProtection="0"/>
    <xf numFmtId="178" fontId="68" fillId="42" borderId="0" applyNumberFormat="0" applyBorder="0" applyAlignment="0" applyProtection="0"/>
    <xf numFmtId="0" fontId="68" fillId="46" borderId="0" applyNumberFormat="0" applyBorder="0" applyAlignment="0" applyProtection="0"/>
    <xf numFmtId="179" fontId="75" fillId="64" borderId="0" applyNumberFormat="0" applyBorder="0" applyAlignment="0" applyProtection="0"/>
    <xf numFmtId="179" fontId="75" fillId="64" borderId="0" applyNumberFormat="0" applyBorder="0" applyAlignment="0" applyProtection="0"/>
    <xf numFmtId="178" fontId="75" fillId="64" borderId="0" applyNumberFormat="0" applyBorder="0" applyAlignment="0" applyProtection="0"/>
    <xf numFmtId="0" fontId="75" fillId="64" borderId="0" applyNumberFormat="0" applyBorder="0" applyAlignment="0" applyProtection="0"/>
    <xf numFmtId="0" fontId="68" fillId="46" borderId="0" applyNumberFormat="0" applyBorder="0" applyAlignment="0" applyProtection="0"/>
    <xf numFmtId="180" fontId="75" fillId="64" borderId="0" applyNumberFormat="0" applyBorder="0" applyAlignment="0" applyProtection="0"/>
    <xf numFmtId="0" fontId="75" fillId="52" borderId="0" applyNumberFormat="0" applyBorder="0" applyAlignment="0" applyProtection="0"/>
    <xf numFmtId="0" fontId="75" fillId="64" borderId="0" applyNumberFormat="0" applyBorder="0" applyAlignment="0" applyProtection="0"/>
    <xf numFmtId="0" fontId="75" fillId="52" borderId="0" applyNumberFormat="0" applyBorder="0" applyAlignment="0" applyProtection="0"/>
    <xf numFmtId="180" fontId="75" fillId="64" borderId="0" applyNumberFormat="0" applyBorder="0" applyAlignment="0" applyProtection="0"/>
    <xf numFmtId="178"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64" borderId="0" applyNumberFormat="0" applyBorder="0" applyAlignment="0" applyProtection="0"/>
    <xf numFmtId="178" fontId="75" fillId="64" borderId="0" applyNumberFormat="0" applyBorder="0" applyAlignment="0" applyProtection="0"/>
    <xf numFmtId="179" fontId="68" fillId="46" borderId="0" applyNumberFormat="0" applyBorder="0" applyAlignment="0" applyProtection="0"/>
    <xf numFmtId="180" fontId="75" fillId="64" borderId="0" applyNumberFormat="0" applyBorder="0" applyAlignment="0" applyProtection="0"/>
    <xf numFmtId="178" fontId="68" fillId="46" borderId="0" applyNumberFormat="0" applyBorder="0" applyAlignment="0" applyProtection="0"/>
    <xf numFmtId="0" fontId="75" fillId="64" borderId="0" applyNumberFormat="0" applyBorder="0" applyAlignment="0" applyProtection="0"/>
    <xf numFmtId="178" fontId="75" fillId="52" borderId="0" applyNumberFormat="0" applyBorder="0" applyAlignment="0" applyProtection="0"/>
    <xf numFmtId="180" fontId="75" fillId="64" borderId="0" applyNumberFormat="0" applyBorder="0" applyAlignment="0" applyProtection="0"/>
    <xf numFmtId="178" fontId="68" fillId="46" borderId="0" applyNumberFormat="0" applyBorder="0" applyAlignment="0" applyProtection="0"/>
    <xf numFmtId="0" fontId="68" fillId="65" borderId="0" applyNumberFormat="0" applyBorder="0" applyAlignment="0" applyProtection="0"/>
    <xf numFmtId="179" fontId="75" fillId="66" borderId="0" applyNumberFormat="0" applyBorder="0" applyAlignment="0" applyProtection="0"/>
    <xf numFmtId="179" fontId="75" fillId="66" borderId="0" applyNumberFormat="0" applyBorder="0" applyAlignment="0" applyProtection="0"/>
    <xf numFmtId="178" fontId="75" fillId="66" borderId="0" applyNumberFormat="0" applyBorder="0" applyAlignment="0" applyProtection="0"/>
    <xf numFmtId="0" fontId="75" fillId="66" borderId="0" applyNumberFormat="0" applyBorder="0" applyAlignment="0" applyProtection="0"/>
    <xf numFmtId="0" fontId="68" fillId="23" borderId="0" applyNumberFormat="0" applyBorder="0" applyAlignment="0" applyProtection="0"/>
    <xf numFmtId="180" fontId="75" fillId="66" borderId="0" applyNumberFormat="0" applyBorder="0" applyAlignment="0" applyProtection="0"/>
    <xf numFmtId="0" fontId="75" fillId="65" borderId="0" applyNumberFormat="0" applyBorder="0" applyAlignment="0" applyProtection="0"/>
    <xf numFmtId="0" fontId="75" fillId="66" borderId="0" applyNumberFormat="0" applyBorder="0" applyAlignment="0" applyProtection="0"/>
    <xf numFmtId="0" fontId="75" fillId="65" borderId="0" applyNumberFormat="0" applyBorder="0" applyAlignment="0" applyProtection="0"/>
    <xf numFmtId="180" fontId="75" fillId="66" borderId="0" applyNumberFormat="0" applyBorder="0" applyAlignment="0" applyProtection="0"/>
    <xf numFmtId="178" fontId="75" fillId="65" borderId="0" applyNumberFormat="0" applyBorder="0" applyAlignment="0" applyProtection="0"/>
    <xf numFmtId="0" fontId="75" fillId="65" borderId="0" applyNumberFormat="0" applyBorder="0" applyAlignment="0" applyProtection="0"/>
    <xf numFmtId="0" fontId="76" fillId="23" borderId="0" applyNumberFormat="0" applyBorder="0" applyAlignment="0" applyProtection="0"/>
    <xf numFmtId="0" fontId="75" fillId="65" borderId="0" applyNumberFormat="0" applyBorder="0" applyAlignment="0" applyProtection="0"/>
    <xf numFmtId="0" fontId="75" fillId="66" borderId="0" applyNumberFormat="0" applyBorder="0" applyAlignment="0" applyProtection="0"/>
    <xf numFmtId="178" fontId="75" fillId="66" borderId="0" applyNumberFormat="0" applyBorder="0" applyAlignment="0" applyProtection="0"/>
    <xf numFmtId="179" fontId="68" fillId="23" borderId="0" applyNumberFormat="0" applyBorder="0" applyAlignment="0" applyProtection="0"/>
    <xf numFmtId="180" fontId="75" fillId="66" borderId="0" applyNumberFormat="0" applyBorder="0" applyAlignment="0" applyProtection="0"/>
    <xf numFmtId="178" fontId="68" fillId="23" borderId="0" applyNumberFormat="0" applyBorder="0" applyAlignment="0" applyProtection="0"/>
    <xf numFmtId="0" fontId="75" fillId="66" borderId="0" applyNumberFormat="0" applyBorder="0" applyAlignment="0" applyProtection="0"/>
    <xf numFmtId="178" fontId="75" fillId="65" borderId="0" applyNumberFormat="0" applyBorder="0" applyAlignment="0" applyProtection="0"/>
    <xf numFmtId="0" fontId="77" fillId="23" borderId="0" applyNumberFormat="0" applyBorder="0" applyAlignment="0" applyProtection="0"/>
    <xf numFmtId="180" fontId="75" fillId="66" borderId="0" applyNumberFormat="0" applyBorder="0" applyAlignment="0" applyProtection="0"/>
    <xf numFmtId="178" fontId="68" fillId="23" borderId="0" applyNumberFormat="0" applyBorder="0" applyAlignment="0" applyProtection="0"/>
    <xf numFmtId="0" fontId="68" fillId="27" borderId="0" applyNumberFormat="0" applyBorder="0" applyAlignment="0" applyProtection="0"/>
    <xf numFmtId="179" fontId="75" fillId="67" borderId="0" applyNumberFormat="0" applyBorder="0" applyAlignment="0" applyProtection="0"/>
    <xf numFmtId="179" fontId="75" fillId="67" borderId="0" applyNumberFormat="0" applyBorder="0" applyAlignment="0" applyProtection="0"/>
    <xf numFmtId="178" fontId="75" fillId="67" borderId="0" applyNumberFormat="0" applyBorder="0" applyAlignment="0" applyProtection="0"/>
    <xf numFmtId="0" fontId="75" fillId="67" borderId="0" applyNumberFormat="0" applyBorder="0" applyAlignment="0" applyProtection="0"/>
    <xf numFmtId="0" fontId="68" fillId="27" borderId="0" applyNumberFormat="0" applyBorder="0" applyAlignment="0" applyProtection="0"/>
    <xf numFmtId="180" fontId="75" fillId="67" borderId="0" applyNumberFormat="0" applyBorder="0" applyAlignment="0" applyProtection="0"/>
    <xf numFmtId="0" fontId="75" fillId="61" borderId="0" applyNumberFormat="0" applyBorder="0" applyAlignment="0" applyProtection="0"/>
    <xf numFmtId="0" fontId="75" fillId="67" borderId="0" applyNumberFormat="0" applyBorder="0" applyAlignment="0" applyProtection="0"/>
    <xf numFmtId="0" fontId="75" fillId="61" borderId="0" applyNumberFormat="0" applyBorder="0" applyAlignment="0" applyProtection="0"/>
    <xf numFmtId="180" fontId="75" fillId="67" borderId="0" applyNumberFormat="0" applyBorder="0" applyAlignment="0" applyProtection="0"/>
    <xf numFmtId="178" fontId="75" fillId="61" borderId="0" applyNumberFormat="0" applyBorder="0" applyAlignment="0" applyProtection="0"/>
    <xf numFmtId="0" fontId="75" fillId="61" borderId="0" applyNumberFormat="0" applyBorder="0" applyAlignment="0" applyProtection="0"/>
    <xf numFmtId="0" fontId="75" fillId="61" borderId="0" applyNumberFormat="0" applyBorder="0" applyAlignment="0" applyProtection="0"/>
    <xf numFmtId="0" fontId="75" fillId="67" borderId="0" applyNumberFormat="0" applyBorder="0" applyAlignment="0" applyProtection="0"/>
    <xf numFmtId="178" fontId="75" fillId="67" borderId="0" applyNumberFormat="0" applyBorder="0" applyAlignment="0" applyProtection="0"/>
    <xf numFmtId="179" fontId="68" fillId="27" borderId="0" applyNumberFormat="0" applyBorder="0" applyAlignment="0" applyProtection="0"/>
    <xf numFmtId="180" fontId="75" fillId="67" borderId="0" applyNumberFormat="0" applyBorder="0" applyAlignment="0" applyProtection="0"/>
    <xf numFmtId="178" fontId="68" fillId="27" borderId="0" applyNumberFormat="0" applyBorder="0" applyAlignment="0" applyProtection="0"/>
    <xf numFmtId="0" fontId="75" fillId="67" borderId="0" applyNumberFormat="0" applyBorder="0" applyAlignment="0" applyProtection="0"/>
    <xf numFmtId="178" fontId="75" fillId="61" borderId="0" applyNumberFormat="0" applyBorder="0" applyAlignment="0" applyProtection="0"/>
    <xf numFmtId="0" fontId="77" fillId="27" borderId="0" applyNumberFormat="0" applyBorder="0" applyAlignment="0" applyProtection="0"/>
    <xf numFmtId="180" fontId="75" fillId="67" borderId="0" applyNumberFormat="0" applyBorder="0" applyAlignment="0" applyProtection="0"/>
    <xf numFmtId="178" fontId="68" fillId="27" borderId="0" applyNumberFormat="0" applyBorder="0" applyAlignment="0" applyProtection="0"/>
    <xf numFmtId="0" fontId="68" fillId="31" borderId="0" applyNumberFormat="0" applyBorder="0" applyAlignment="0" applyProtection="0"/>
    <xf numFmtId="179" fontId="75" fillId="68" borderId="0" applyNumberFormat="0" applyBorder="0" applyAlignment="0" applyProtection="0"/>
    <xf numFmtId="179" fontId="75" fillId="68" borderId="0" applyNumberFormat="0" applyBorder="0" applyAlignment="0" applyProtection="0"/>
    <xf numFmtId="178" fontId="75" fillId="68" borderId="0" applyNumberFormat="0" applyBorder="0" applyAlignment="0" applyProtection="0"/>
    <xf numFmtId="0" fontId="75" fillId="68" borderId="0" applyNumberFormat="0" applyBorder="0" applyAlignment="0" applyProtection="0"/>
    <xf numFmtId="0" fontId="68" fillId="31" borderId="0" applyNumberFormat="0" applyBorder="0" applyAlignment="0" applyProtection="0"/>
    <xf numFmtId="180" fontId="75" fillId="68" borderId="0" applyNumberFormat="0" applyBorder="0" applyAlignment="0" applyProtection="0"/>
    <xf numFmtId="0" fontId="75" fillId="59" borderId="0" applyNumberFormat="0" applyBorder="0" applyAlignment="0" applyProtection="0"/>
    <xf numFmtId="0" fontId="75" fillId="68" borderId="0" applyNumberFormat="0" applyBorder="0" applyAlignment="0" applyProtection="0"/>
    <xf numFmtId="0" fontId="75" fillId="59" borderId="0" applyNumberFormat="0" applyBorder="0" applyAlignment="0" applyProtection="0"/>
    <xf numFmtId="180" fontId="75" fillId="68" borderId="0" applyNumberFormat="0" applyBorder="0" applyAlignment="0" applyProtection="0"/>
    <xf numFmtId="178" fontId="75" fillId="59" borderId="0" applyNumberFormat="0" applyBorder="0" applyAlignment="0" applyProtection="0"/>
    <xf numFmtId="0" fontId="75" fillId="59" borderId="0" applyNumberFormat="0" applyBorder="0" applyAlignment="0" applyProtection="0"/>
    <xf numFmtId="0" fontId="75" fillId="59" borderId="0" applyNumberFormat="0" applyBorder="0" applyAlignment="0" applyProtection="0"/>
    <xf numFmtId="0" fontId="75" fillId="68" borderId="0" applyNumberFormat="0" applyBorder="0" applyAlignment="0" applyProtection="0"/>
    <xf numFmtId="178" fontId="75" fillId="68" borderId="0" applyNumberFormat="0" applyBorder="0" applyAlignment="0" applyProtection="0"/>
    <xf numFmtId="179" fontId="68" fillId="31" borderId="0" applyNumberFormat="0" applyBorder="0" applyAlignment="0" applyProtection="0"/>
    <xf numFmtId="180" fontId="75" fillId="68" borderId="0" applyNumberFormat="0" applyBorder="0" applyAlignment="0" applyProtection="0"/>
    <xf numFmtId="178" fontId="68" fillId="31" borderId="0" applyNumberFormat="0" applyBorder="0" applyAlignment="0" applyProtection="0"/>
    <xf numFmtId="0" fontId="75" fillId="68" borderId="0" applyNumberFormat="0" applyBorder="0" applyAlignment="0" applyProtection="0"/>
    <xf numFmtId="178" fontId="75" fillId="59" borderId="0" applyNumberFormat="0" applyBorder="0" applyAlignment="0" applyProtection="0"/>
    <xf numFmtId="180" fontId="75" fillId="68" borderId="0" applyNumberFormat="0" applyBorder="0" applyAlignment="0" applyProtection="0"/>
    <xf numFmtId="178" fontId="68" fillId="31" borderId="0" applyNumberFormat="0" applyBorder="0" applyAlignment="0" applyProtection="0"/>
    <xf numFmtId="0" fontId="68" fillId="35" borderId="0" applyNumberFormat="0" applyBorder="0" applyAlignment="0" applyProtection="0"/>
    <xf numFmtId="179" fontId="75" fillId="62" borderId="0" applyNumberFormat="0" applyBorder="0" applyAlignment="0" applyProtection="0"/>
    <xf numFmtId="179" fontId="75" fillId="62" borderId="0" applyNumberFormat="0" applyBorder="0" applyAlignment="0" applyProtection="0"/>
    <xf numFmtId="178" fontId="75" fillId="62" borderId="0" applyNumberFormat="0" applyBorder="0" applyAlignment="0" applyProtection="0"/>
    <xf numFmtId="0" fontId="75" fillId="62" borderId="0" applyNumberFormat="0" applyBorder="0" applyAlignment="0" applyProtection="0"/>
    <xf numFmtId="0" fontId="68" fillId="35" borderId="0" applyNumberFormat="0" applyBorder="0" applyAlignment="0" applyProtection="0"/>
    <xf numFmtId="180" fontId="75" fillId="62" borderId="0" applyNumberFormat="0" applyBorder="0" applyAlignment="0" applyProtection="0"/>
    <xf numFmtId="0" fontId="75" fillId="69" borderId="0" applyNumberFormat="0" applyBorder="0" applyAlignment="0" applyProtection="0"/>
    <xf numFmtId="0" fontId="75" fillId="62" borderId="0" applyNumberFormat="0" applyBorder="0" applyAlignment="0" applyProtection="0"/>
    <xf numFmtId="0" fontId="75" fillId="69" borderId="0" applyNumberFormat="0" applyBorder="0" applyAlignment="0" applyProtection="0"/>
    <xf numFmtId="180" fontId="75" fillId="62" borderId="0" applyNumberFormat="0" applyBorder="0" applyAlignment="0" applyProtection="0"/>
    <xf numFmtId="178" fontId="75" fillId="69" borderId="0" applyNumberFormat="0" applyBorder="0" applyAlignment="0" applyProtection="0"/>
    <xf numFmtId="0" fontId="75" fillId="69" borderId="0" applyNumberFormat="0" applyBorder="0" applyAlignment="0" applyProtection="0"/>
    <xf numFmtId="0" fontId="75" fillId="69" borderId="0" applyNumberFormat="0" applyBorder="0" applyAlignment="0" applyProtection="0"/>
    <xf numFmtId="0" fontId="75" fillId="62" borderId="0" applyNumberFormat="0" applyBorder="0" applyAlignment="0" applyProtection="0"/>
    <xf numFmtId="178" fontId="75" fillId="62" borderId="0" applyNumberFormat="0" applyBorder="0" applyAlignment="0" applyProtection="0"/>
    <xf numFmtId="179" fontId="68" fillId="35" borderId="0" applyNumberFormat="0" applyBorder="0" applyAlignment="0" applyProtection="0"/>
    <xf numFmtId="180" fontId="75" fillId="62" borderId="0" applyNumberFormat="0" applyBorder="0" applyAlignment="0" applyProtection="0"/>
    <xf numFmtId="178" fontId="68" fillId="35" borderId="0" applyNumberFormat="0" applyBorder="0" applyAlignment="0" applyProtection="0"/>
    <xf numFmtId="0" fontId="75" fillId="62" borderId="0" applyNumberFormat="0" applyBorder="0" applyAlignment="0" applyProtection="0"/>
    <xf numFmtId="178" fontId="75" fillId="69" borderId="0" applyNumberFormat="0" applyBorder="0" applyAlignment="0" applyProtection="0"/>
    <xf numFmtId="180" fontId="75" fillId="62" borderId="0" applyNumberFormat="0" applyBorder="0" applyAlignment="0" applyProtection="0"/>
    <xf numFmtId="178" fontId="68" fillId="35" borderId="0" applyNumberFormat="0" applyBorder="0" applyAlignment="0" applyProtection="0"/>
    <xf numFmtId="0" fontId="68" fillId="39" borderId="0" applyNumberFormat="0" applyBorder="0" applyAlignment="0" applyProtection="0"/>
    <xf numFmtId="179" fontId="75" fillId="63" borderId="0" applyNumberFormat="0" applyBorder="0" applyAlignment="0" applyProtection="0"/>
    <xf numFmtId="0" fontId="75" fillId="63" borderId="0" applyNumberFormat="0" applyBorder="0" applyAlignment="0" applyProtection="0"/>
    <xf numFmtId="0" fontId="68" fillId="39" borderId="0" applyNumberFormat="0" applyBorder="0" applyAlignment="0" applyProtection="0"/>
    <xf numFmtId="180" fontId="75" fillId="63" borderId="0" applyNumberFormat="0" applyBorder="0" applyAlignment="0" applyProtection="0"/>
    <xf numFmtId="0" fontId="75" fillId="63" borderId="0" applyNumberFormat="0" applyBorder="0" applyAlignment="0" applyProtection="0"/>
    <xf numFmtId="180" fontId="75" fillId="63" borderId="0" applyNumberFormat="0" applyBorder="0" applyAlignment="0" applyProtection="0"/>
    <xf numFmtId="178" fontId="75" fillId="63" borderId="0" applyNumberFormat="0" applyBorder="0" applyAlignment="0" applyProtection="0"/>
    <xf numFmtId="179" fontId="68" fillId="39" borderId="0" applyNumberFormat="0" applyBorder="0" applyAlignment="0" applyProtection="0"/>
    <xf numFmtId="179" fontId="68" fillId="39" borderId="0" applyNumberFormat="0" applyBorder="0" applyAlignment="0" applyProtection="0"/>
    <xf numFmtId="0" fontId="75" fillId="63" borderId="0" applyNumberFormat="0" applyBorder="0" applyAlignment="0" applyProtection="0"/>
    <xf numFmtId="178" fontId="75" fillId="63" borderId="0" applyNumberFormat="0" applyBorder="0" applyAlignment="0" applyProtection="0"/>
    <xf numFmtId="178" fontId="75" fillId="63" borderId="0" applyNumberFormat="0" applyBorder="0" applyAlignment="0" applyProtection="0"/>
    <xf numFmtId="180" fontId="75" fillId="63" borderId="0" applyNumberFormat="0" applyBorder="0" applyAlignment="0" applyProtection="0"/>
    <xf numFmtId="178" fontId="68" fillId="39" borderId="0" applyNumberFormat="0" applyBorder="0" applyAlignment="0" applyProtection="0"/>
    <xf numFmtId="180" fontId="75" fillId="63" borderId="0" applyNumberFormat="0" applyBorder="0" applyAlignment="0" applyProtection="0"/>
    <xf numFmtId="178" fontId="68" fillId="39" borderId="0" applyNumberFormat="0" applyBorder="0" applyAlignment="0" applyProtection="0"/>
    <xf numFmtId="0" fontId="68" fillId="43" borderId="0" applyNumberFormat="0" applyBorder="0" applyAlignment="0" applyProtection="0"/>
    <xf numFmtId="179" fontId="75" fillId="61" borderId="0" applyNumberFormat="0" applyBorder="0" applyAlignment="0" applyProtection="0"/>
    <xf numFmtId="179" fontId="75" fillId="61" borderId="0" applyNumberFormat="0" applyBorder="0" applyAlignment="0" applyProtection="0"/>
    <xf numFmtId="178" fontId="75" fillId="61" borderId="0" applyNumberFormat="0" applyBorder="0" applyAlignment="0" applyProtection="0"/>
    <xf numFmtId="0" fontId="75" fillId="61" borderId="0" applyNumberFormat="0" applyBorder="0" applyAlignment="0" applyProtection="0"/>
    <xf numFmtId="0" fontId="68" fillId="43" borderId="0" applyNumberFormat="0" applyBorder="0" applyAlignment="0" applyProtection="0"/>
    <xf numFmtId="180" fontId="75" fillId="61" borderId="0" applyNumberFormat="0" applyBorder="0" applyAlignment="0" applyProtection="0"/>
    <xf numFmtId="0" fontId="75" fillId="67" borderId="0" applyNumberFormat="0" applyBorder="0" applyAlignment="0" applyProtection="0"/>
    <xf numFmtId="0" fontId="75" fillId="61" borderId="0" applyNumberFormat="0" applyBorder="0" applyAlignment="0" applyProtection="0"/>
    <xf numFmtId="0" fontId="75" fillId="67" borderId="0" applyNumberFormat="0" applyBorder="0" applyAlignment="0" applyProtection="0"/>
    <xf numFmtId="180" fontId="75" fillId="61" borderId="0" applyNumberFormat="0" applyBorder="0" applyAlignment="0" applyProtection="0"/>
    <xf numFmtId="178" fontId="75" fillId="67" borderId="0" applyNumberFormat="0" applyBorder="0" applyAlignment="0" applyProtection="0"/>
    <xf numFmtId="0" fontId="75" fillId="67" borderId="0" applyNumberFormat="0" applyBorder="0" applyAlignment="0" applyProtection="0"/>
    <xf numFmtId="0" fontId="75" fillId="67" borderId="0" applyNumberFormat="0" applyBorder="0" applyAlignment="0" applyProtection="0"/>
    <xf numFmtId="0" fontId="75" fillId="61" borderId="0" applyNumberFormat="0" applyBorder="0" applyAlignment="0" applyProtection="0"/>
    <xf numFmtId="178" fontId="75" fillId="61" borderId="0" applyNumberFormat="0" applyBorder="0" applyAlignment="0" applyProtection="0"/>
    <xf numFmtId="179" fontId="68" fillId="43" borderId="0" applyNumberFormat="0" applyBorder="0" applyAlignment="0" applyProtection="0"/>
    <xf numFmtId="180" fontId="75" fillId="61" borderId="0" applyNumberFormat="0" applyBorder="0" applyAlignment="0" applyProtection="0"/>
    <xf numFmtId="178" fontId="68" fillId="43" borderId="0" applyNumberFormat="0" applyBorder="0" applyAlignment="0" applyProtection="0"/>
    <xf numFmtId="0" fontId="75" fillId="61" borderId="0" applyNumberFormat="0" applyBorder="0" applyAlignment="0" applyProtection="0"/>
    <xf numFmtId="178" fontId="75" fillId="67" borderId="0" applyNumberFormat="0" applyBorder="0" applyAlignment="0" applyProtection="0"/>
    <xf numFmtId="180" fontId="75" fillId="61" borderId="0" applyNumberFormat="0" applyBorder="0" applyAlignment="0" applyProtection="0"/>
    <xf numFmtId="178" fontId="68" fillId="43" borderId="0" applyNumberFormat="0" applyBorder="0" applyAlignment="0" applyProtection="0"/>
    <xf numFmtId="172" fontId="78" fillId="0" borderId="64">
      <alignment vertical="center" wrapText="1"/>
    </xf>
    <xf numFmtId="179" fontId="79" fillId="0" borderId="0"/>
    <xf numFmtId="179" fontId="79" fillId="0" borderId="0"/>
    <xf numFmtId="178" fontId="79" fillId="0" borderId="0"/>
    <xf numFmtId="0" fontId="79" fillId="0" borderId="0"/>
    <xf numFmtId="0" fontId="80" fillId="70" borderId="0" applyNumberFormat="0" applyBorder="0" applyAlignment="0" applyProtection="0"/>
    <xf numFmtId="179" fontId="81" fillId="51" borderId="0" applyNumberFormat="0" applyBorder="0" applyAlignment="0" applyProtection="0"/>
    <xf numFmtId="179" fontId="81" fillId="51" borderId="0" applyNumberFormat="0" applyBorder="0" applyAlignment="0" applyProtection="0"/>
    <xf numFmtId="178" fontId="81" fillId="51" borderId="0" applyNumberFormat="0" applyBorder="0" applyAlignment="0" applyProtection="0"/>
    <xf numFmtId="0" fontId="81" fillId="51" borderId="0" applyNumberFormat="0" applyBorder="0" applyAlignment="0" applyProtection="0"/>
    <xf numFmtId="0" fontId="60" fillId="17" borderId="0" applyNumberFormat="0" applyBorder="0" applyAlignment="0" applyProtection="0"/>
    <xf numFmtId="180" fontId="81" fillId="51" borderId="0" applyNumberFormat="0" applyBorder="0" applyAlignment="0" applyProtection="0"/>
    <xf numFmtId="0" fontId="81" fillId="55" borderId="0" applyNumberFormat="0" applyBorder="0" applyAlignment="0" applyProtection="0"/>
    <xf numFmtId="0" fontId="81" fillId="51" borderId="0" applyNumberFormat="0" applyBorder="0" applyAlignment="0" applyProtection="0"/>
    <xf numFmtId="0" fontId="81" fillId="55" borderId="0" applyNumberFormat="0" applyBorder="0" applyAlignment="0" applyProtection="0"/>
    <xf numFmtId="180" fontId="81" fillId="51" borderId="0" applyNumberFormat="0" applyBorder="0" applyAlignment="0" applyProtection="0"/>
    <xf numFmtId="178" fontId="60" fillId="17" borderId="0" applyNumberFormat="0" applyBorder="0" applyAlignment="0" applyProtection="0"/>
    <xf numFmtId="0" fontId="82" fillId="17" borderId="0" applyNumberFormat="0" applyBorder="0" applyAlignment="0" applyProtection="0"/>
    <xf numFmtId="0" fontId="60" fillId="17" borderId="0" applyNumberFormat="0" applyBorder="0" applyAlignment="0" applyProtection="0"/>
    <xf numFmtId="0" fontId="81" fillId="55" borderId="0" applyNumberFormat="0" applyBorder="0" applyAlignment="0" applyProtection="0"/>
    <xf numFmtId="0" fontId="81" fillId="51" borderId="0" applyNumberFormat="0" applyBorder="0" applyAlignment="0" applyProtection="0"/>
    <xf numFmtId="178" fontId="81" fillId="55" borderId="0" applyNumberFormat="0" applyBorder="0" applyAlignment="0" applyProtection="0"/>
    <xf numFmtId="179" fontId="60" fillId="17" borderId="0" applyNumberFormat="0" applyBorder="0" applyAlignment="0" applyProtection="0"/>
    <xf numFmtId="179" fontId="60" fillId="17" borderId="0" applyNumberFormat="0" applyBorder="0" applyAlignment="0" applyProtection="0"/>
    <xf numFmtId="180" fontId="81" fillId="51" borderId="0" applyNumberFormat="0" applyBorder="0" applyAlignment="0" applyProtection="0"/>
    <xf numFmtId="178" fontId="81" fillId="51" borderId="0" applyNumberFormat="0" applyBorder="0" applyAlignment="0" applyProtection="0"/>
    <xf numFmtId="0" fontId="81" fillId="51" borderId="0" applyNumberFormat="0" applyBorder="0" applyAlignment="0" applyProtection="0"/>
    <xf numFmtId="178" fontId="60" fillId="17" borderId="0" applyNumberFormat="0" applyBorder="0" applyAlignment="0" applyProtection="0"/>
    <xf numFmtId="178" fontId="81" fillId="55" borderId="0" applyNumberFormat="0" applyBorder="0" applyAlignment="0" applyProtection="0"/>
    <xf numFmtId="0" fontId="82" fillId="17" borderId="0" applyNumberFormat="0" applyBorder="0" applyAlignment="0" applyProtection="0"/>
    <xf numFmtId="180" fontId="81" fillId="51" borderId="0" applyNumberFormat="0" applyBorder="0" applyAlignment="0" applyProtection="0"/>
    <xf numFmtId="178" fontId="60" fillId="17" borderId="0" applyNumberFormat="0" applyBorder="0" applyAlignment="0" applyProtection="0"/>
    <xf numFmtId="181" fontId="22" fillId="14" borderId="0" applyNumberFormat="0" applyFont="0" applyBorder="0" applyAlignment="0">
      <alignment horizontal="right"/>
    </xf>
    <xf numFmtId="179" fontId="83" fillId="0" borderId="0" applyNumberFormat="0" applyFill="0" applyBorder="0" applyAlignment="0" applyProtection="0"/>
    <xf numFmtId="10"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182"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6"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6" fontId="22" fillId="2" borderId="9">
      <alignment horizontal="right"/>
    </xf>
    <xf numFmtId="6"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178" fontId="64" fillId="20" borderId="57" applyNumberFormat="0" applyAlignment="0" applyProtection="0"/>
    <xf numFmtId="0" fontId="64" fillId="71" borderId="57" applyNumberFormat="0" applyAlignment="0" applyProtection="0"/>
    <xf numFmtId="179"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9"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9" fontId="84" fillId="72" borderId="65" applyNumberFormat="0" applyAlignment="0" applyProtection="0"/>
    <xf numFmtId="179" fontId="84" fillId="72" borderId="65" applyNumberFormat="0" applyAlignment="0" applyProtection="0"/>
    <xf numFmtId="179" fontId="84" fillId="72" borderId="65" applyNumberFormat="0" applyAlignment="0" applyProtection="0"/>
    <xf numFmtId="179"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64" fillId="20" borderId="57"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64" fillId="20" borderId="57"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0" fontId="85" fillId="71"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4" fillId="72" borderId="65" applyNumberFormat="0" applyAlignment="0" applyProtection="0"/>
    <xf numFmtId="0" fontId="84" fillId="72" borderId="65" applyNumberFormat="0" applyAlignment="0" applyProtection="0"/>
    <xf numFmtId="0" fontId="85" fillId="71"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178" fontId="64" fillId="20" borderId="57"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9" fontId="64" fillId="20" borderId="57"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79" fontId="64" fillId="20" borderId="57"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5" fillId="71"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5" fillId="71"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5" fillId="71"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178" fontId="64" fillId="20" borderId="57" applyNumberFormat="0" applyAlignment="0" applyProtection="0"/>
    <xf numFmtId="178" fontId="84" fillId="72" borderId="65" applyNumberFormat="0" applyAlignment="0" applyProtection="0"/>
    <xf numFmtId="178" fontId="84" fillId="72" borderId="65" applyNumberFormat="0" applyAlignment="0" applyProtection="0"/>
    <xf numFmtId="178" fontId="84" fillId="72" borderId="65" applyNumberFormat="0" applyAlignment="0" applyProtection="0"/>
    <xf numFmtId="0" fontId="86" fillId="20" borderId="57"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180" fontId="84" fillId="72" borderId="65" applyNumberFormat="0" applyAlignment="0" applyProtection="0"/>
    <xf numFmtId="0" fontId="87" fillId="21" borderId="60" applyNumberFormat="0" applyAlignment="0" applyProtection="0"/>
    <xf numFmtId="179" fontId="88" fillId="73" borderId="66" applyNumberFormat="0" applyAlignment="0" applyProtection="0"/>
    <xf numFmtId="179" fontId="88" fillId="73" borderId="66" applyNumberFormat="0" applyAlignment="0" applyProtection="0"/>
    <xf numFmtId="178" fontId="88" fillId="73" borderId="66" applyNumberFormat="0" applyAlignment="0" applyProtection="0"/>
    <xf numFmtId="0" fontId="88" fillId="73" borderId="66" applyNumberFormat="0" applyAlignment="0" applyProtection="0"/>
    <xf numFmtId="0" fontId="66" fillId="21" borderId="60" applyNumberFormat="0" applyAlignment="0" applyProtection="0"/>
    <xf numFmtId="180" fontId="88" fillId="73" borderId="66" applyNumberFormat="0" applyAlignment="0" applyProtection="0"/>
    <xf numFmtId="0" fontId="88" fillId="73" borderId="66" applyNumberFormat="0" applyAlignment="0" applyProtection="0"/>
    <xf numFmtId="180" fontId="88" fillId="73" borderId="66" applyNumberFormat="0" applyAlignment="0" applyProtection="0"/>
    <xf numFmtId="178" fontId="66" fillId="21" borderId="60" applyNumberFormat="0" applyAlignment="0" applyProtection="0"/>
    <xf numFmtId="0" fontId="66" fillId="21" borderId="60" applyNumberFormat="0" applyAlignment="0" applyProtection="0"/>
    <xf numFmtId="179" fontId="66" fillId="21" borderId="60" applyNumberFormat="0" applyAlignment="0" applyProtection="0"/>
    <xf numFmtId="178" fontId="88" fillId="73" borderId="66" applyNumberFormat="0" applyAlignment="0" applyProtection="0"/>
    <xf numFmtId="0" fontId="88" fillId="73" borderId="66" applyNumberFormat="0" applyAlignment="0" applyProtection="0"/>
    <xf numFmtId="178" fontId="88" fillId="73" borderId="66" applyNumberFormat="0" applyAlignment="0" applyProtection="0"/>
    <xf numFmtId="180" fontId="88" fillId="73" borderId="66" applyNumberFormat="0" applyAlignment="0" applyProtection="0"/>
    <xf numFmtId="180" fontId="88" fillId="73" borderId="66" applyNumberFormat="0" applyAlignment="0" applyProtection="0"/>
    <xf numFmtId="178" fontId="66" fillId="21" borderId="60" applyNumberFormat="0" applyAlignment="0" applyProtection="0"/>
    <xf numFmtId="178" fontId="66" fillId="21" borderId="60" applyNumberFormat="0" applyAlignment="0" applyProtection="0"/>
    <xf numFmtId="0"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178"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0" fontId="89" fillId="74" borderId="67" applyBorder="0">
      <alignment horizontal="center" vertical="center" wrapText="1"/>
    </xf>
    <xf numFmtId="183" fontId="22" fillId="0" borderId="0" applyFont="0" applyFill="0" applyBorder="0" applyAlignment="0" applyProtection="0"/>
    <xf numFmtId="183" fontId="22" fillId="0" borderId="0" applyFont="0" applyFill="0" applyBorder="0" applyAlignment="0" applyProtection="0"/>
    <xf numFmtId="172" fontId="90"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90"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90"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90"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4" fillId="0" borderId="0" applyFont="0" applyFill="0" applyBorder="0" applyAlignment="0" applyProtection="0"/>
    <xf numFmtId="172" fontId="2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72" fontId="90"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72" fontId="90"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43" fontId="22" fillId="0" borderId="0" applyFont="0" applyFill="0" applyBorder="0" applyAlignment="0" applyProtection="0"/>
    <xf numFmtId="43" fontId="9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79" fontId="71" fillId="0" borderId="0" applyFont="0" applyFill="0" applyBorder="0" applyAlignment="0" applyProtection="0"/>
    <xf numFmtId="179" fontId="7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4"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71" fillId="0" borderId="0" applyFont="0" applyFill="0" applyBorder="0" applyAlignment="0" applyProtection="0"/>
    <xf numFmtId="172" fontId="22" fillId="0" borderId="0" applyFont="0" applyFill="0" applyBorder="0" applyAlignment="0" applyProtection="0"/>
    <xf numFmtId="43" fontId="24" fillId="0" borderId="0" applyFont="0" applyFill="0" applyBorder="0" applyAlignment="0" applyProtection="0"/>
    <xf numFmtId="172" fontId="90"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90"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9" fontId="71" fillId="0" borderId="0" applyFont="0" applyFill="0" applyBorder="0" applyAlignment="0" applyProtection="0"/>
    <xf numFmtId="179" fontId="7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7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90"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172" fontId="92" fillId="0" borderId="0" applyFont="0" applyFill="0" applyBorder="0" applyAlignment="0" applyProtection="0"/>
    <xf numFmtId="43" fontId="74" fillId="0" borderId="0" applyFont="0" applyFill="0" applyBorder="0" applyAlignment="0" applyProtection="0"/>
    <xf numFmtId="172" fontId="92" fillId="0" borderId="0" applyFont="0" applyFill="0" applyBorder="0" applyAlignment="0" applyProtection="0"/>
    <xf numFmtId="43" fontId="22" fillId="0" borderId="0" applyFont="0" applyFill="0" applyBorder="0" applyAlignment="0" applyProtection="0"/>
    <xf numFmtId="43" fontId="74" fillId="0" borderId="0" applyFont="0" applyFill="0" applyBorder="0" applyAlignment="0" applyProtection="0"/>
    <xf numFmtId="172" fontId="22" fillId="0" borderId="0" applyFont="0" applyFill="0" applyBorder="0" applyAlignment="0" applyProtection="0"/>
    <xf numFmtId="43" fontId="74"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84" fontId="90" fillId="0" borderId="0"/>
    <xf numFmtId="172" fontId="9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74" fillId="0" borderId="0" applyFont="0" applyFill="0" applyBorder="0" applyAlignment="0" applyProtection="0"/>
    <xf numFmtId="43" fontId="11" fillId="0" borderId="0" applyFont="0" applyFill="0" applyBorder="0" applyAlignment="0" applyProtection="0"/>
    <xf numFmtId="172" fontId="9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74" fillId="0" borderId="0" applyFont="0" applyFill="0" applyBorder="0" applyAlignment="0" applyProtection="0"/>
    <xf numFmtId="172" fontId="9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172" fontId="92" fillId="0" borderId="0" applyFont="0" applyFill="0" applyBorder="0" applyAlignment="0" applyProtection="0"/>
    <xf numFmtId="43"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84" fontId="22" fillId="0" borderId="0" applyFont="0" applyFill="0" applyBorder="0" applyAlignment="0" applyProtection="0"/>
    <xf numFmtId="184" fontId="22" fillId="0" borderId="0" applyFont="0" applyFill="0" applyBorder="0" applyAlignment="0" applyProtection="0"/>
    <xf numFmtId="177" fontId="90"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90"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90"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177" fontId="90"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22" fillId="0" borderId="0" applyFont="0" applyFill="0" applyBorder="0" applyAlignment="0" applyProtection="0"/>
    <xf numFmtId="44" fontId="24"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44" fontId="22" fillId="0" borderId="0" applyFont="0" applyFill="0" applyBorder="0" applyAlignment="0" applyProtection="0"/>
    <xf numFmtId="44" fontId="24" fillId="0" borderId="0" applyFont="0" applyFill="0" applyBorder="0" applyAlignment="0" applyProtection="0"/>
    <xf numFmtId="177" fontId="22"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71" fillId="0" borderId="0" applyFont="0" applyFill="0" applyBorder="0" applyAlignment="0" applyProtection="0"/>
    <xf numFmtId="177" fontId="71" fillId="0" borderId="0" applyFont="0" applyFill="0" applyBorder="0" applyAlignment="0" applyProtection="0"/>
    <xf numFmtId="177" fontId="22" fillId="0" borderId="0" applyFont="0" applyFill="0" applyBorder="0" applyAlignment="0" applyProtection="0"/>
    <xf numFmtId="44" fontId="24"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90"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90" fillId="0" borderId="0" applyFont="0" applyFill="0" applyBorder="0" applyAlignment="0" applyProtection="0"/>
    <xf numFmtId="177" fontId="7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7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90"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7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7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7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7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7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7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7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90"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90" fillId="0" borderId="0" applyFont="0" applyFill="0" applyBorder="0" applyAlignment="0" applyProtection="0">
      <alignment vertical="top"/>
    </xf>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90"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177" fontId="90"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71"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177" fontId="7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90"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44" fontId="11" fillId="0" borderId="0" applyFont="0" applyFill="0" applyBorder="0" applyAlignment="0" applyProtection="0"/>
    <xf numFmtId="177" fontId="9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7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93" fillId="0" borderId="0" applyFont="0" applyFill="0" applyBorder="0" applyAlignment="0" applyProtection="0"/>
    <xf numFmtId="177" fontId="9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90" fillId="0" borderId="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74"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74"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77" fontId="22" fillId="0" borderId="0" applyFont="0" applyFill="0" applyBorder="0" applyAlignment="0" applyProtection="0"/>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 fontId="94" fillId="75" borderId="9"/>
    <xf numFmtId="185" fontId="22" fillId="0" borderId="0" applyFill="0" applyBorder="0"/>
    <xf numFmtId="185" fontId="22" fillId="0" borderId="0" applyFill="0" applyBorder="0"/>
    <xf numFmtId="185" fontId="22" fillId="0" borderId="0" applyFill="0" applyBorder="0"/>
    <xf numFmtId="185" fontId="22" fillId="0" borderId="0" applyFill="0" applyBorder="0"/>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179" fontId="22" fillId="0" borderId="0" applyFont="0" applyFill="0" applyBorder="0" applyAlignment="0" applyProtection="0"/>
    <xf numFmtId="0" fontId="67" fillId="0" borderId="0" applyNumberFormat="0" applyFill="0" applyBorder="0" applyAlignment="0" applyProtection="0"/>
    <xf numFmtId="179" fontId="95" fillId="0" borderId="0" applyNumberFormat="0" applyFill="0" applyBorder="0" applyAlignment="0" applyProtection="0"/>
    <xf numFmtId="0" fontId="95" fillId="0" borderId="0" applyNumberFormat="0" applyFill="0" applyBorder="0" applyAlignment="0" applyProtection="0"/>
    <xf numFmtId="0" fontId="67" fillId="0" borderId="0" applyNumberFormat="0" applyFill="0" applyBorder="0" applyAlignment="0" applyProtection="0"/>
    <xf numFmtId="180" fontId="95" fillId="0" borderId="0" applyNumberFormat="0" applyFill="0" applyBorder="0" applyAlignment="0" applyProtection="0"/>
    <xf numFmtId="0" fontId="95" fillId="0" borderId="0" applyNumberFormat="0" applyFill="0" applyBorder="0" applyAlignment="0" applyProtection="0"/>
    <xf numFmtId="180" fontId="95" fillId="0" borderId="0" applyNumberFormat="0" applyFill="0" applyBorder="0" applyAlignment="0" applyProtection="0"/>
    <xf numFmtId="178" fontId="95" fillId="0" borderId="0" applyNumberFormat="0" applyFill="0" applyBorder="0" applyAlignment="0" applyProtection="0"/>
    <xf numFmtId="179" fontId="67" fillId="0" borderId="0" applyNumberFormat="0" applyFill="0" applyBorder="0" applyAlignment="0" applyProtection="0"/>
    <xf numFmtId="179" fontId="67" fillId="0" borderId="0" applyNumberFormat="0" applyFill="0" applyBorder="0" applyAlignment="0" applyProtection="0"/>
    <xf numFmtId="0" fontId="95" fillId="0" borderId="0" applyNumberFormat="0" applyFill="0" applyBorder="0" applyAlignment="0" applyProtection="0"/>
    <xf numFmtId="178" fontId="95" fillId="0" borderId="0" applyNumberFormat="0" applyFill="0" applyBorder="0" applyAlignment="0" applyProtection="0"/>
    <xf numFmtId="178" fontId="95" fillId="0" borderId="0" applyNumberFormat="0" applyFill="0" applyBorder="0" applyAlignment="0" applyProtection="0"/>
    <xf numFmtId="180" fontId="95" fillId="0" borderId="0" applyNumberFormat="0" applyFill="0" applyBorder="0" applyAlignment="0" applyProtection="0"/>
    <xf numFmtId="178" fontId="67" fillId="0" borderId="0" applyNumberFormat="0" applyFill="0" applyBorder="0" applyAlignment="0" applyProtection="0"/>
    <xf numFmtId="180" fontId="95" fillId="0" borderId="0" applyNumberFormat="0" applyFill="0" applyBorder="0" applyAlignment="0" applyProtection="0"/>
    <xf numFmtId="178" fontId="67" fillId="0" borderId="0" applyNumberFormat="0" applyFill="0" applyBorder="0" applyAlignment="0" applyProtection="0"/>
    <xf numFmtId="186" fontId="96" fillId="0" borderId="0">
      <alignment horizontal="right" vertical="top"/>
    </xf>
    <xf numFmtId="187" fontId="79" fillId="0" borderId="0">
      <alignment horizontal="right" vertical="top"/>
    </xf>
    <xf numFmtId="187" fontId="96" fillId="0" borderId="0">
      <alignment horizontal="right" vertical="top"/>
    </xf>
    <xf numFmtId="188" fontId="97" fillId="0" borderId="0" applyFill="0" applyBorder="0">
      <alignment horizontal="right" vertical="top"/>
    </xf>
    <xf numFmtId="189" fontId="97" fillId="0" borderId="0" applyFill="0" applyBorder="0">
      <alignment horizontal="right" vertical="top"/>
    </xf>
    <xf numFmtId="190" fontId="97" fillId="0" borderId="0" applyFill="0" applyBorder="0">
      <alignment horizontal="right" vertical="top"/>
    </xf>
    <xf numFmtId="191" fontId="97" fillId="0" borderId="0" applyFill="0" applyBorder="0">
      <alignment horizontal="right" vertical="top"/>
    </xf>
    <xf numFmtId="0" fontId="98" fillId="0" borderId="0">
      <alignment horizontal="center" wrapText="1"/>
    </xf>
    <xf numFmtId="179" fontId="98" fillId="0" borderId="0">
      <alignment horizontal="center" wrapText="1"/>
    </xf>
    <xf numFmtId="179" fontId="98" fillId="0" borderId="0">
      <alignment horizontal="center" wrapText="1"/>
    </xf>
    <xf numFmtId="0" fontId="98" fillId="0" borderId="0">
      <alignment horizontal="center" wrapText="1"/>
    </xf>
    <xf numFmtId="178" fontId="98" fillId="0" borderId="0">
      <alignment horizontal="center" wrapText="1"/>
    </xf>
    <xf numFmtId="178" fontId="98" fillId="0" borderId="0">
      <alignment horizontal="center" wrapText="1"/>
    </xf>
    <xf numFmtId="180" fontId="98" fillId="0" borderId="0">
      <alignment horizontal="center" wrapText="1"/>
    </xf>
    <xf numFmtId="180" fontId="98" fillId="0" borderId="0">
      <alignment horizontal="center" wrapText="1"/>
    </xf>
    <xf numFmtId="178" fontId="98" fillId="0" borderId="0">
      <alignment horizontal="center" wrapText="1"/>
    </xf>
    <xf numFmtId="192" fontId="99" fillId="0" borderId="0" applyFill="0" applyBorder="0">
      <alignment vertical="top"/>
    </xf>
    <xf numFmtId="192" fontId="100" fillId="0" borderId="0" applyFill="0" applyBorder="0" applyProtection="0">
      <alignment vertical="top"/>
    </xf>
    <xf numFmtId="192" fontId="101" fillId="0" borderId="0">
      <alignment vertical="top"/>
    </xf>
    <xf numFmtId="41" fontId="97" fillId="0" borderId="0" applyFill="0" applyBorder="0" applyAlignment="0" applyProtection="0">
      <alignment horizontal="right" vertical="top"/>
    </xf>
    <xf numFmtId="41" fontId="97" fillId="0" borderId="0" applyFill="0" applyBorder="0" applyAlignment="0" applyProtection="0">
      <alignment horizontal="right" vertical="top"/>
    </xf>
    <xf numFmtId="181" fontId="97" fillId="0" borderId="0" applyFill="0" applyBorder="0" applyAlignment="0" applyProtection="0">
      <alignment horizontal="right" vertical="top"/>
    </xf>
    <xf numFmtId="192" fontId="102" fillId="0" borderId="0"/>
    <xf numFmtId="0" fontId="97" fillId="0" borderId="0" applyFill="0" applyBorder="0">
      <alignment horizontal="left" vertical="top"/>
    </xf>
    <xf numFmtId="179" fontId="97" fillId="0" borderId="0" applyFill="0" applyBorder="0">
      <alignment horizontal="left" vertical="top"/>
    </xf>
    <xf numFmtId="179" fontId="97" fillId="0" borderId="0" applyFill="0" applyBorder="0">
      <alignment horizontal="left" vertical="top"/>
    </xf>
    <xf numFmtId="0" fontId="97" fillId="0" borderId="0" applyFill="0" applyBorder="0">
      <alignment horizontal="left" vertical="top"/>
    </xf>
    <xf numFmtId="178" fontId="97" fillId="0" borderId="0" applyFill="0" applyBorder="0">
      <alignment horizontal="left" vertical="top"/>
    </xf>
    <xf numFmtId="178" fontId="97" fillId="0" borderId="0" applyFill="0" applyBorder="0">
      <alignment horizontal="left" vertical="top"/>
    </xf>
    <xf numFmtId="180" fontId="97" fillId="0" borderId="0" applyFill="0" applyBorder="0">
      <alignment horizontal="left" vertical="top"/>
    </xf>
    <xf numFmtId="180" fontId="97" fillId="0" borderId="0" applyFill="0" applyBorder="0">
      <alignment horizontal="left" vertical="top"/>
    </xf>
    <xf numFmtId="178" fontId="97" fillId="0" borderId="0" applyFill="0" applyBorder="0">
      <alignment horizontal="left" vertical="top"/>
    </xf>
    <xf numFmtId="2" fontId="22" fillId="0" borderId="0" applyFont="0" applyFill="0" applyBorder="0" applyAlignment="0" applyProtection="0">
      <alignment vertical="top"/>
    </xf>
    <xf numFmtId="0" fontId="59" fillId="63" borderId="0" applyNumberFormat="0" applyBorder="0" applyAlignment="0" applyProtection="0"/>
    <xf numFmtId="179" fontId="103" fillId="53" borderId="0" applyNumberFormat="0" applyBorder="0" applyAlignment="0" applyProtection="0"/>
    <xf numFmtId="179" fontId="103" fillId="53" borderId="0" applyNumberFormat="0" applyBorder="0" applyAlignment="0" applyProtection="0"/>
    <xf numFmtId="178" fontId="103" fillId="53" borderId="0" applyNumberFormat="0" applyBorder="0" applyAlignment="0" applyProtection="0"/>
    <xf numFmtId="0" fontId="103" fillId="53" borderId="0" applyNumberFormat="0" applyBorder="0" applyAlignment="0" applyProtection="0"/>
    <xf numFmtId="0" fontId="59" fillId="16" borderId="0" applyNumberFormat="0" applyBorder="0" applyAlignment="0" applyProtection="0"/>
    <xf numFmtId="180" fontId="103" fillId="53" borderId="0" applyNumberFormat="0" applyBorder="0" applyAlignment="0" applyProtection="0"/>
    <xf numFmtId="0" fontId="103" fillId="12" borderId="0" applyNumberFormat="0" applyBorder="0" applyAlignment="0" applyProtection="0"/>
    <xf numFmtId="0" fontId="103" fillId="53" borderId="0" applyNumberFormat="0" applyBorder="0" applyAlignment="0" applyProtection="0"/>
    <xf numFmtId="0" fontId="103" fillId="12" borderId="0" applyNumberFormat="0" applyBorder="0" applyAlignment="0" applyProtection="0"/>
    <xf numFmtId="180" fontId="103" fillId="53" borderId="0" applyNumberFormat="0" applyBorder="0" applyAlignment="0" applyProtection="0"/>
    <xf numFmtId="178" fontId="103" fillId="12" borderId="0" applyNumberFormat="0" applyBorder="0" applyAlignment="0" applyProtection="0"/>
    <xf numFmtId="0" fontId="104" fillId="16" borderId="0" applyNumberFormat="0" applyBorder="0" applyAlignment="0" applyProtection="0"/>
    <xf numFmtId="0" fontId="59" fillId="16" borderId="0" applyNumberFormat="0" applyBorder="0" applyAlignment="0" applyProtection="0"/>
    <xf numFmtId="0" fontId="103" fillId="12" borderId="0" applyNumberFormat="0" applyBorder="0" applyAlignment="0" applyProtection="0"/>
    <xf numFmtId="0" fontId="103" fillId="53" borderId="0" applyNumberFormat="0" applyBorder="0" applyAlignment="0" applyProtection="0"/>
    <xf numFmtId="178" fontId="103" fillId="53" borderId="0" applyNumberFormat="0" applyBorder="0" applyAlignment="0" applyProtection="0"/>
    <xf numFmtId="0" fontId="104" fillId="16" borderId="0" applyNumberFormat="0" applyBorder="0" applyAlignment="0" applyProtection="0"/>
    <xf numFmtId="179" fontId="59" fillId="16" borderId="0" applyNumberFormat="0" applyBorder="0" applyAlignment="0" applyProtection="0"/>
    <xf numFmtId="180" fontId="103" fillId="53" borderId="0" applyNumberFormat="0" applyBorder="0" applyAlignment="0" applyProtection="0"/>
    <xf numFmtId="178" fontId="59" fillId="16" borderId="0" applyNumberFormat="0" applyBorder="0" applyAlignment="0" applyProtection="0"/>
    <xf numFmtId="0" fontId="103" fillId="53" borderId="0" applyNumberFormat="0" applyBorder="0" applyAlignment="0" applyProtection="0"/>
    <xf numFmtId="178" fontId="103" fillId="12" borderId="0" applyNumberFormat="0" applyBorder="0" applyAlignment="0" applyProtection="0"/>
    <xf numFmtId="0" fontId="104" fillId="16" borderId="0" applyNumberFormat="0" applyBorder="0" applyAlignment="0" applyProtection="0"/>
    <xf numFmtId="180" fontId="103" fillId="53" borderId="0" applyNumberFormat="0" applyBorder="0" applyAlignment="0" applyProtection="0"/>
    <xf numFmtId="178" fontId="59" fillId="16" borderId="0" applyNumberFormat="0" applyBorder="0" applyAlignment="0" applyProtection="0"/>
    <xf numFmtId="38" fontId="36" fillId="14" borderId="0" applyNumberFormat="0" applyBorder="0" applyAlignment="0" applyProtection="0"/>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0"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178" fontId="22" fillId="14" borderId="6" applyBorder="0">
      <alignment horizontal="center"/>
    </xf>
    <xf numFmtId="0" fontId="22" fillId="14" borderId="6" applyBorder="0">
      <alignment horizont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52" applyNumberFormat="0" applyAlignment="0" applyProtection="0">
      <alignment horizontal="left" vertical="center"/>
    </xf>
    <xf numFmtId="179" fontId="70" fillId="0" borderId="17">
      <alignment horizontal="left" vertical="center"/>
    </xf>
    <xf numFmtId="0" fontId="105" fillId="7" borderId="0">
      <alignment vertical="center"/>
    </xf>
    <xf numFmtId="0" fontId="56" fillId="0" borderId="54" applyNumberFormat="0" applyFill="0" applyAlignment="0" applyProtection="0"/>
    <xf numFmtId="179" fontId="106" fillId="0" borderId="68" applyNumberFormat="0" applyFill="0" applyAlignment="0" applyProtection="0"/>
    <xf numFmtId="179" fontId="106" fillId="0" borderId="68" applyNumberFormat="0" applyFill="0" applyAlignment="0" applyProtection="0"/>
    <xf numFmtId="178" fontId="106" fillId="0" borderId="68" applyNumberFormat="0" applyFill="0" applyAlignment="0" applyProtection="0"/>
    <xf numFmtId="0" fontId="106" fillId="0" borderId="68" applyNumberFormat="0" applyFill="0" applyAlignment="0" applyProtection="0"/>
    <xf numFmtId="0" fontId="56" fillId="0" borderId="54" applyNumberFormat="0" applyFill="0" applyAlignment="0" applyProtection="0"/>
    <xf numFmtId="180" fontId="106" fillId="0" borderId="68" applyNumberFormat="0" applyFill="0" applyAlignment="0" applyProtection="0"/>
    <xf numFmtId="0" fontId="107" fillId="0" borderId="69" applyNumberFormat="0" applyFill="0" applyAlignment="0" applyProtection="0"/>
    <xf numFmtId="0" fontId="106" fillId="0" borderId="68" applyNumberFormat="0" applyFill="0" applyAlignment="0" applyProtection="0"/>
    <xf numFmtId="0" fontId="107" fillId="0" borderId="69" applyNumberFormat="0" applyFill="0" applyAlignment="0" applyProtection="0"/>
    <xf numFmtId="180" fontId="106" fillId="0" borderId="68" applyNumberFormat="0" applyFill="0" applyAlignment="0" applyProtection="0"/>
    <xf numFmtId="178" fontId="107" fillId="0" borderId="69" applyNumberFormat="0" applyFill="0" applyAlignment="0" applyProtection="0"/>
    <xf numFmtId="0" fontId="108" fillId="0" borderId="54" applyNumberFormat="0" applyFill="0" applyAlignment="0" applyProtection="0"/>
    <xf numFmtId="0" fontId="107" fillId="0" borderId="69" applyNumberFormat="0" applyFill="0" applyAlignment="0" applyProtection="0"/>
    <xf numFmtId="0" fontId="106" fillId="0" borderId="68" applyNumberFormat="0" applyFill="0" applyAlignment="0" applyProtection="0"/>
    <xf numFmtId="178" fontId="106" fillId="0" borderId="68" applyNumberFormat="0" applyFill="0" applyAlignment="0" applyProtection="0"/>
    <xf numFmtId="179" fontId="56" fillId="0" borderId="54" applyNumberFormat="0" applyFill="0" applyAlignment="0" applyProtection="0"/>
    <xf numFmtId="180" fontId="106" fillId="0" borderId="68" applyNumberFormat="0" applyFill="0" applyAlignment="0" applyProtection="0"/>
    <xf numFmtId="178" fontId="56" fillId="0" borderId="54" applyNumberFormat="0" applyFill="0" applyAlignment="0" applyProtection="0"/>
    <xf numFmtId="0" fontId="106" fillId="0" borderId="68" applyNumberFormat="0" applyFill="0" applyAlignment="0" applyProtection="0"/>
    <xf numFmtId="178" fontId="107" fillId="0" borderId="69" applyNumberFormat="0" applyFill="0" applyAlignment="0" applyProtection="0"/>
    <xf numFmtId="0" fontId="108" fillId="0" borderId="54" applyNumberFormat="0" applyFill="0" applyAlignment="0" applyProtection="0"/>
    <xf numFmtId="180" fontId="106" fillId="0" borderId="68" applyNumberFormat="0" applyFill="0" applyAlignment="0" applyProtection="0"/>
    <xf numFmtId="178" fontId="56" fillId="0" borderId="54" applyNumberFormat="0" applyFill="0" applyAlignment="0" applyProtection="0"/>
    <xf numFmtId="0" fontId="57" fillId="0" borderId="70" applyNumberFormat="0" applyFill="0" applyAlignment="0" applyProtection="0"/>
    <xf numFmtId="179" fontId="109" fillId="0" borderId="71" applyNumberFormat="0" applyFill="0" applyAlignment="0" applyProtection="0"/>
    <xf numFmtId="179" fontId="109" fillId="0" borderId="71" applyNumberFormat="0" applyFill="0" applyAlignment="0" applyProtection="0"/>
    <xf numFmtId="178" fontId="109" fillId="0" borderId="71" applyNumberFormat="0" applyFill="0" applyAlignment="0" applyProtection="0"/>
    <xf numFmtId="0" fontId="109" fillId="0" borderId="71" applyNumberFormat="0" applyFill="0" applyAlignment="0" applyProtection="0"/>
    <xf numFmtId="0" fontId="57" fillId="0" borderId="55" applyNumberFormat="0" applyFill="0" applyAlignment="0" applyProtection="0"/>
    <xf numFmtId="180" fontId="109" fillId="0" borderId="71" applyNumberFormat="0" applyFill="0" applyAlignment="0" applyProtection="0"/>
    <xf numFmtId="178" fontId="57" fillId="0" borderId="55" applyNumberFormat="0" applyFill="0" applyAlignment="0" applyProtection="0"/>
    <xf numFmtId="0" fontId="110" fillId="0" borderId="72" applyNumberFormat="0" applyFill="0" applyAlignment="0" applyProtection="0"/>
    <xf numFmtId="0" fontId="110" fillId="0" borderId="72" applyNumberFormat="0" applyFill="0" applyAlignment="0" applyProtection="0"/>
    <xf numFmtId="0" fontId="111" fillId="0" borderId="0" applyNumberFormat="0" applyFill="0" applyBorder="0"/>
    <xf numFmtId="0" fontId="111" fillId="0" borderId="0" applyNumberFormat="0" applyFill="0" applyBorder="0"/>
    <xf numFmtId="0" fontId="109" fillId="0" borderId="71" applyNumberFormat="0" applyFill="0" applyAlignment="0" applyProtection="0"/>
    <xf numFmtId="0" fontId="110" fillId="0" borderId="72" applyNumberFormat="0" applyFill="0" applyAlignment="0" applyProtection="0"/>
    <xf numFmtId="180" fontId="109" fillId="0" borderId="71" applyNumberFormat="0" applyFill="0" applyAlignment="0" applyProtection="0"/>
    <xf numFmtId="178" fontId="111" fillId="0" borderId="0" applyNumberFormat="0" applyFill="0" applyBorder="0"/>
    <xf numFmtId="0" fontId="110" fillId="0" borderId="72" applyNumberFormat="0" applyFill="0" applyAlignment="0" applyProtection="0"/>
    <xf numFmtId="0" fontId="109" fillId="0" borderId="71" applyNumberFormat="0" applyFill="0" applyAlignment="0" applyProtection="0"/>
    <xf numFmtId="178" fontId="110" fillId="0" borderId="72" applyNumberFormat="0" applyFill="0" applyAlignment="0" applyProtection="0"/>
    <xf numFmtId="179" fontId="57" fillId="0" borderId="55" applyNumberFormat="0" applyFill="0" applyAlignment="0" applyProtection="0"/>
    <xf numFmtId="179" fontId="57" fillId="0" borderId="55" applyNumberFormat="0" applyFill="0" applyAlignment="0" applyProtection="0"/>
    <xf numFmtId="180" fontId="109" fillId="0" borderId="71" applyNumberFormat="0" applyFill="0" applyAlignment="0" applyProtection="0"/>
    <xf numFmtId="178" fontId="111" fillId="0" borderId="0" applyNumberFormat="0" applyFill="0" applyBorder="0"/>
    <xf numFmtId="0" fontId="111" fillId="0" borderId="0" applyNumberFormat="0" applyFill="0" applyBorder="0"/>
    <xf numFmtId="178" fontId="111" fillId="0" borderId="0" applyNumberFormat="0" applyFill="0" applyBorder="0"/>
    <xf numFmtId="0" fontId="109" fillId="0" borderId="71" applyNumberFormat="0" applyFill="0" applyAlignment="0" applyProtection="0"/>
    <xf numFmtId="178" fontId="57" fillId="0" borderId="55" applyNumberFormat="0" applyFill="0" applyAlignment="0" applyProtection="0"/>
    <xf numFmtId="178" fontId="110" fillId="0" borderId="72" applyNumberFormat="0" applyFill="0" applyAlignment="0" applyProtection="0"/>
    <xf numFmtId="0" fontId="111" fillId="0" borderId="0" applyNumberFormat="0" applyFill="0" applyBorder="0"/>
    <xf numFmtId="180" fontId="109" fillId="0" borderId="71" applyNumberFormat="0" applyFill="0" applyAlignment="0" applyProtection="0"/>
    <xf numFmtId="0" fontId="111" fillId="0" borderId="0" applyNumberFormat="0" applyFill="0" applyBorder="0"/>
    <xf numFmtId="0" fontId="58" fillId="0" borderId="56" applyNumberFormat="0" applyFill="0" applyAlignment="0" applyProtection="0"/>
    <xf numFmtId="179" fontId="112" fillId="0" borderId="73" applyNumberFormat="0" applyFill="0" applyAlignment="0" applyProtection="0"/>
    <xf numFmtId="179" fontId="112" fillId="0" borderId="73" applyNumberFormat="0" applyFill="0" applyAlignment="0" applyProtection="0"/>
    <xf numFmtId="179" fontId="112" fillId="0" borderId="73" applyNumberFormat="0" applyFill="0" applyAlignment="0" applyProtection="0"/>
    <xf numFmtId="179" fontId="112" fillId="0" borderId="73" applyNumberFormat="0" applyFill="0" applyAlignment="0" applyProtection="0"/>
    <xf numFmtId="179" fontId="112" fillId="0" borderId="73"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0" fontId="112" fillId="0" borderId="73" applyNumberFormat="0" applyFill="0" applyAlignment="0" applyProtection="0"/>
    <xf numFmtId="0" fontId="58" fillId="0" borderId="56" applyNumberFormat="0" applyFill="0" applyAlignment="0" applyProtection="0"/>
    <xf numFmtId="180" fontId="112" fillId="0" borderId="73" applyNumberFormat="0" applyFill="0" applyAlignment="0" applyProtection="0"/>
    <xf numFmtId="180" fontId="112" fillId="0" borderId="73"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0" fontId="113" fillId="0" borderId="74" applyNumberFormat="0" applyFill="0" applyAlignment="0" applyProtection="0"/>
    <xf numFmtId="180" fontId="112" fillId="0" borderId="73" applyNumberFormat="0" applyFill="0" applyAlignment="0" applyProtection="0"/>
    <xf numFmtId="178" fontId="113" fillId="0" borderId="74" applyNumberFormat="0" applyFill="0" applyAlignment="0" applyProtection="0"/>
    <xf numFmtId="178" fontId="113" fillId="0" borderId="74" applyNumberFormat="0" applyFill="0" applyAlignment="0" applyProtection="0"/>
    <xf numFmtId="178" fontId="113" fillId="0" borderId="74" applyNumberFormat="0" applyFill="0" applyAlignment="0" applyProtection="0"/>
    <xf numFmtId="178" fontId="113" fillId="0" borderId="74"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178" fontId="112" fillId="0" borderId="73" applyNumberFormat="0" applyFill="0" applyAlignment="0" applyProtection="0"/>
    <xf numFmtId="179" fontId="58" fillId="0" borderId="56" applyNumberFormat="0" applyFill="0" applyAlignment="0" applyProtection="0"/>
    <xf numFmtId="180" fontId="112" fillId="0" borderId="73" applyNumberFormat="0" applyFill="0" applyAlignment="0" applyProtection="0"/>
    <xf numFmtId="180" fontId="112" fillId="0" borderId="73" applyNumberFormat="0" applyFill="0" applyAlignment="0" applyProtection="0"/>
    <xf numFmtId="178" fontId="58" fillId="0" borderId="56"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178" fontId="113" fillId="0" borderId="74" applyNumberFormat="0" applyFill="0" applyAlignment="0" applyProtection="0"/>
    <xf numFmtId="178" fontId="113" fillId="0" borderId="74" applyNumberFormat="0" applyFill="0" applyAlignment="0" applyProtection="0"/>
    <xf numFmtId="180" fontId="112" fillId="0" borderId="73" applyNumberFormat="0" applyFill="0" applyAlignment="0" applyProtection="0"/>
    <xf numFmtId="180" fontId="112" fillId="0" borderId="73" applyNumberFormat="0" applyFill="0" applyAlignment="0" applyProtection="0"/>
    <xf numFmtId="0" fontId="112" fillId="0" borderId="73" applyNumberFormat="0" applyFill="0" applyAlignment="0" applyProtection="0"/>
    <xf numFmtId="0" fontId="112" fillId="0" borderId="73" applyNumberFormat="0" applyFill="0" applyAlignment="0" applyProtection="0"/>
    <xf numFmtId="178" fontId="58" fillId="0" borderId="56" applyNumberFormat="0" applyFill="0" applyAlignment="0" applyProtection="0"/>
    <xf numFmtId="0" fontId="58" fillId="0" borderId="0" applyNumberFormat="0" applyFill="0" applyBorder="0" applyAlignment="0" applyProtection="0"/>
    <xf numFmtId="179" fontId="112" fillId="0" borderId="0" applyNumberFormat="0" applyFill="0" applyBorder="0" applyAlignment="0" applyProtection="0"/>
    <xf numFmtId="179" fontId="112" fillId="0" borderId="0" applyNumberFormat="0" applyFill="0" applyBorder="0" applyAlignment="0" applyProtection="0"/>
    <xf numFmtId="178" fontId="112" fillId="0" borderId="0" applyNumberFormat="0" applyFill="0" applyBorder="0" applyAlignment="0" applyProtection="0"/>
    <xf numFmtId="0" fontId="112" fillId="0" borderId="0" applyNumberFormat="0" applyFill="0" applyBorder="0" applyAlignment="0" applyProtection="0"/>
    <xf numFmtId="0" fontId="58" fillId="0" borderId="0" applyNumberFormat="0" applyFill="0" applyBorder="0" applyAlignment="0" applyProtection="0"/>
    <xf numFmtId="180" fontId="112" fillId="0" borderId="0" applyNumberFormat="0" applyFill="0" applyBorder="0" applyAlignment="0" applyProtection="0"/>
    <xf numFmtId="0" fontId="113" fillId="0" borderId="0" applyNumberFormat="0" applyFill="0" applyBorder="0" applyAlignment="0" applyProtection="0"/>
    <xf numFmtId="0" fontId="112" fillId="0" borderId="0" applyNumberFormat="0" applyFill="0" applyBorder="0" applyAlignment="0" applyProtection="0"/>
    <xf numFmtId="0" fontId="113" fillId="0" borderId="0" applyNumberFormat="0" applyFill="0" applyBorder="0" applyAlignment="0" applyProtection="0"/>
    <xf numFmtId="180" fontId="112" fillId="0" borderId="0" applyNumberFormat="0" applyFill="0" applyBorder="0" applyAlignment="0" applyProtection="0"/>
    <xf numFmtId="178" fontId="113"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12" fillId="0" borderId="0" applyNumberFormat="0" applyFill="0" applyBorder="0" applyAlignment="0" applyProtection="0"/>
    <xf numFmtId="178" fontId="112" fillId="0" borderId="0" applyNumberFormat="0" applyFill="0" applyBorder="0" applyAlignment="0" applyProtection="0"/>
    <xf numFmtId="179" fontId="58" fillId="0" borderId="0" applyNumberFormat="0" applyFill="0" applyBorder="0" applyAlignment="0" applyProtection="0"/>
    <xf numFmtId="180" fontId="112" fillId="0" borderId="0" applyNumberFormat="0" applyFill="0" applyBorder="0" applyAlignment="0" applyProtection="0"/>
    <xf numFmtId="178" fontId="58" fillId="0" borderId="0" applyNumberFormat="0" applyFill="0" applyBorder="0" applyAlignment="0" applyProtection="0"/>
    <xf numFmtId="0" fontId="112" fillId="0" borderId="0" applyNumberFormat="0" applyFill="0" applyBorder="0" applyAlignment="0" applyProtection="0"/>
    <xf numFmtId="178" fontId="113" fillId="0" borderId="0" applyNumberFormat="0" applyFill="0" applyBorder="0" applyAlignment="0" applyProtection="0"/>
    <xf numFmtId="180" fontId="112" fillId="0" borderId="0" applyNumberFormat="0" applyFill="0" applyBorder="0" applyAlignment="0" applyProtection="0"/>
    <xf numFmtId="178" fontId="58" fillId="0" borderId="0" applyNumberFormat="0" applyFill="0" applyBorder="0" applyAlignment="0" applyProtection="0"/>
    <xf numFmtId="178" fontId="105" fillId="7" borderId="0">
      <alignment vertical="center"/>
    </xf>
    <xf numFmtId="178" fontId="105" fillId="7" borderId="0">
      <alignment vertical="center"/>
    </xf>
    <xf numFmtId="178" fontId="105" fillId="7" borderId="0">
      <alignment vertical="center"/>
    </xf>
    <xf numFmtId="0" fontId="88" fillId="76" borderId="0"/>
    <xf numFmtId="178" fontId="88" fillId="76" borderId="0"/>
    <xf numFmtId="0" fontId="114" fillId="0" borderId="0" applyNumberFormat="0" applyFill="0" applyBorder="0" applyAlignment="0" applyProtection="0"/>
    <xf numFmtId="179" fontId="115" fillId="0" borderId="0" applyNumberFormat="0" applyFill="0" applyBorder="0" applyAlignment="0" applyProtection="0">
      <alignment vertical="top"/>
      <protection locked="0"/>
    </xf>
    <xf numFmtId="0" fontId="116"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18" fillId="0" borderId="0" applyNumberFormat="0" applyFill="0" applyBorder="0" applyAlignment="0" applyProtection="0"/>
    <xf numFmtId="180" fontId="117" fillId="0" borderId="0" applyNumberFormat="0" applyFill="0" applyBorder="0" applyAlignment="0" applyProtection="0">
      <alignment vertical="top"/>
      <protection locked="0"/>
    </xf>
    <xf numFmtId="0" fontId="119" fillId="0" borderId="0" applyNumberFormat="0" applyFill="0" applyBorder="0" applyAlignment="0" applyProtection="0">
      <alignment vertical="top"/>
      <protection locked="0"/>
    </xf>
    <xf numFmtId="180" fontId="117" fillId="0" borderId="0" applyNumberFormat="0" applyFill="0" applyBorder="0" applyAlignment="0" applyProtection="0">
      <alignment vertical="top"/>
      <protection locked="0"/>
    </xf>
    <xf numFmtId="193" fontId="120" fillId="0" borderId="0" applyFill="0" applyBorder="0">
      <alignment vertical="top"/>
      <protection locked="0"/>
    </xf>
    <xf numFmtId="41" fontId="78" fillId="14" borderId="0" applyFont="0" applyBorder="0" applyAlignment="0"/>
    <xf numFmtId="175" fontId="78" fillId="14" borderId="0" applyFont="0" applyBorder="0" applyAlignment="0"/>
    <xf numFmtId="10" fontId="36" fillId="7" borderId="9" applyNumberFormat="0" applyBorder="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2" fillId="19" borderId="57"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9"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9"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9" fontId="121" fillId="56" borderId="65" applyNumberFormat="0" applyAlignment="0" applyProtection="0"/>
    <xf numFmtId="179" fontId="121" fillId="56" borderId="65" applyNumberFormat="0" applyAlignment="0" applyProtection="0"/>
    <xf numFmtId="179" fontId="121" fillId="56" borderId="65" applyNumberFormat="0" applyAlignment="0" applyProtection="0"/>
    <xf numFmtId="179"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62" fillId="19" borderId="57"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62" fillId="19" borderId="57"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62" fillId="19" borderId="57"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79" fontId="62" fillId="19" borderId="57"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9" fontId="62" fillId="19" borderId="57"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79" fontId="62" fillId="19" borderId="57"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9" fontId="62" fillId="19" borderId="57"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178"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8" borderId="65"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18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9" fontId="62" fillId="19" borderId="57"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8" fontId="121" fillId="56" borderId="65" applyNumberFormat="0" applyAlignment="0" applyProtection="0"/>
    <xf numFmtId="179" fontId="62" fillId="19" borderId="57" applyNumberFormat="0" applyAlignment="0" applyProtection="0"/>
    <xf numFmtId="178" fontId="62" fillId="19" borderId="57" applyNumberFormat="0" applyAlignment="0" applyProtection="0"/>
    <xf numFmtId="178"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62" fillId="19" borderId="57" applyNumberFormat="0" applyAlignment="0" applyProtection="0"/>
    <xf numFmtId="178" fontId="62" fillId="19" borderId="57" applyNumberFormat="0" applyAlignment="0" applyProtection="0"/>
    <xf numFmtId="178" fontId="62" fillId="19" borderId="57" applyNumberFormat="0" applyAlignment="0" applyProtection="0"/>
    <xf numFmtId="179" fontId="62" fillId="19" borderId="57"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81" fontId="22" fillId="77" borderId="0" applyFont="0" applyBorder="0" applyAlignment="0">
      <alignment horizontal="right"/>
      <protection locked="0"/>
    </xf>
    <xf numFmtId="181" fontId="22" fillId="77" borderId="0" applyFont="0" applyBorder="0" applyAlignment="0">
      <alignment horizontal="right"/>
      <protection locked="0"/>
    </xf>
    <xf numFmtId="181" fontId="22" fillId="11" borderId="0" applyFont="0" applyBorder="0" applyAlignment="0">
      <alignment horizontal="right"/>
      <protection locked="0"/>
    </xf>
    <xf numFmtId="181" fontId="22" fillId="11" borderId="0" applyFont="0" applyBorder="0" applyAlignment="0">
      <alignment horizontal="right"/>
      <protection locked="0"/>
    </xf>
    <xf numFmtId="181" fontId="22" fillId="11" borderId="0" applyFont="0" applyBorder="0" applyAlignment="0">
      <alignment horizontal="right"/>
      <protection locked="0"/>
    </xf>
    <xf numFmtId="181" fontId="22" fillId="11" borderId="0" applyFont="0" applyBorder="0" applyAlignment="0">
      <alignment horizontal="right"/>
      <protection locked="0"/>
    </xf>
    <xf numFmtId="181" fontId="22" fillId="11" borderId="0" applyFont="0" applyBorder="0" applyAlignment="0">
      <alignment horizontal="right"/>
      <protection locked="0"/>
    </xf>
    <xf numFmtId="181" fontId="22" fillId="77" borderId="0" applyFont="0" applyBorder="0" applyAlignment="0">
      <alignment horizontal="right"/>
      <protection locked="0"/>
    </xf>
    <xf numFmtId="181" fontId="22" fillId="77" borderId="0" applyFont="0" applyBorder="0" applyAlignment="0">
      <alignment horizontal="right"/>
      <protection locked="0"/>
    </xf>
    <xf numFmtId="181" fontId="22" fillId="77" borderId="0" applyFont="0" applyBorder="0" applyAlignment="0">
      <alignment horizontal="right"/>
      <protection locked="0"/>
    </xf>
    <xf numFmtId="10" fontId="22" fillId="11" borderId="0" applyFont="0" applyBorder="0">
      <alignment horizontal="right"/>
      <protection locked="0"/>
    </xf>
    <xf numFmtId="10" fontId="78" fillId="78" borderId="0" applyBorder="0" applyAlignment="0">
      <protection locked="0"/>
    </xf>
    <xf numFmtId="194" fontId="22" fillId="47" borderId="0" applyFont="0" applyBorder="0">
      <alignment horizontal="right"/>
      <protection locked="0"/>
    </xf>
    <xf numFmtId="10" fontId="35" fillId="47" borderId="0" applyFont="0" applyBorder="0" applyAlignment="0">
      <alignment horizontal="left"/>
      <protection locked="0"/>
    </xf>
    <xf numFmtId="181" fontId="22" fillId="7" borderId="0" applyFont="0" applyBorder="0">
      <alignment horizontal="right"/>
      <protection locked="0"/>
    </xf>
    <xf numFmtId="181" fontId="22" fillId="7" borderId="0" applyFont="0" applyBorder="0">
      <alignment horizontal="right"/>
      <protection locked="0"/>
    </xf>
    <xf numFmtId="181" fontId="22" fillId="7" borderId="0" applyFont="0" applyBorder="0">
      <alignment horizontal="right"/>
      <protection locked="0"/>
    </xf>
    <xf numFmtId="181" fontId="22" fillId="7" borderId="0" applyFont="0" applyBorder="0">
      <alignment horizontal="right"/>
      <protection locked="0"/>
    </xf>
    <xf numFmtId="181" fontId="22" fillId="7" borderId="0" applyFont="0" applyBorder="0">
      <alignment horizontal="right"/>
      <protection locked="0"/>
    </xf>
    <xf numFmtId="9" fontId="35" fillId="7" borderId="0" applyFont="0" applyBorder="0">
      <alignment horizontal="right"/>
      <protection locked="0"/>
    </xf>
    <xf numFmtId="0" fontId="35" fillId="77" borderId="1" applyBorder="0">
      <alignment horizontal="center"/>
    </xf>
    <xf numFmtId="178" fontId="35" fillId="77" borderId="1" applyBorder="0">
      <alignment horizontal="center"/>
    </xf>
    <xf numFmtId="178" fontId="35" fillId="77" borderId="1" applyBorder="0">
      <alignment horizontal="center"/>
    </xf>
    <xf numFmtId="178" fontId="35" fillId="77" borderId="1" applyBorder="0">
      <alignment horizontal="center"/>
    </xf>
    <xf numFmtId="0"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0" fontId="123" fillId="7" borderId="9">
      <alignment horizontal="left" indent="2"/>
    </xf>
    <xf numFmtId="178" fontId="123" fillId="7" borderId="9">
      <alignment horizontal="left" indent="2"/>
    </xf>
    <xf numFmtId="0"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178"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178"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0" fontId="123" fillId="7" borderId="9">
      <alignment horizontal="left" indent="2"/>
    </xf>
    <xf numFmtId="178" fontId="123" fillId="7" borderId="9">
      <alignment horizontal="left" indent="2"/>
    </xf>
    <xf numFmtId="0" fontId="123" fillId="7" borderId="9">
      <alignment horizontal="left" indent="2"/>
    </xf>
    <xf numFmtId="178" fontId="123" fillId="7" borderId="9">
      <alignment horizontal="left" indent="2"/>
    </xf>
    <xf numFmtId="0" fontId="65" fillId="0" borderId="59" applyNumberFormat="0" applyFill="0" applyAlignment="0" applyProtection="0"/>
    <xf numFmtId="179" fontId="124" fillId="0" borderId="75" applyNumberFormat="0" applyFill="0" applyAlignment="0" applyProtection="0"/>
    <xf numFmtId="179" fontId="124" fillId="0" borderId="75" applyNumberFormat="0" applyFill="0" applyAlignment="0" applyProtection="0"/>
    <xf numFmtId="178" fontId="124" fillId="0" borderId="75" applyNumberFormat="0" applyFill="0" applyAlignment="0" applyProtection="0"/>
    <xf numFmtId="0" fontId="124" fillId="0" borderId="75" applyNumberFormat="0" applyFill="0" applyAlignment="0" applyProtection="0"/>
    <xf numFmtId="0" fontId="65" fillId="0" borderId="59" applyNumberFormat="0" applyFill="0" applyAlignment="0" applyProtection="0"/>
    <xf numFmtId="180" fontId="124" fillId="0" borderId="75" applyNumberFormat="0" applyFill="0" applyAlignment="0" applyProtection="0"/>
    <xf numFmtId="0" fontId="125" fillId="0" borderId="76" applyNumberFormat="0" applyFill="0" applyAlignment="0" applyProtection="0"/>
    <xf numFmtId="0" fontId="124" fillId="0" borderId="75" applyNumberFormat="0" applyFill="0" applyAlignment="0" applyProtection="0"/>
    <xf numFmtId="0" fontId="125" fillId="0" borderId="76" applyNumberFormat="0" applyFill="0" applyAlignment="0" applyProtection="0"/>
    <xf numFmtId="180" fontId="124" fillId="0" borderId="75" applyNumberFormat="0" applyFill="0" applyAlignment="0" applyProtection="0"/>
    <xf numFmtId="178" fontId="125" fillId="0" borderId="76" applyNumberFormat="0" applyFill="0" applyAlignment="0" applyProtection="0"/>
    <xf numFmtId="0" fontId="125" fillId="0" borderId="76" applyNumberFormat="0" applyFill="0" applyAlignment="0" applyProtection="0"/>
    <xf numFmtId="0" fontId="125" fillId="0" borderId="76" applyNumberFormat="0" applyFill="0" applyAlignment="0" applyProtection="0"/>
    <xf numFmtId="0" fontId="124" fillId="0" borderId="75" applyNumberFormat="0" applyFill="0" applyAlignment="0" applyProtection="0"/>
    <xf numFmtId="178" fontId="124" fillId="0" borderId="75" applyNumberFormat="0" applyFill="0" applyAlignment="0" applyProtection="0"/>
    <xf numFmtId="179" fontId="65" fillId="0" borderId="59" applyNumberFormat="0" applyFill="0" applyAlignment="0" applyProtection="0"/>
    <xf numFmtId="180" fontId="124" fillId="0" borderId="75" applyNumberFormat="0" applyFill="0" applyAlignment="0" applyProtection="0"/>
    <xf numFmtId="178" fontId="65" fillId="0" borderId="59" applyNumberFormat="0" applyFill="0" applyAlignment="0" applyProtection="0"/>
    <xf numFmtId="0" fontId="124" fillId="0" borderId="75" applyNumberFormat="0" applyFill="0" applyAlignment="0" applyProtection="0"/>
    <xf numFmtId="178" fontId="125" fillId="0" borderId="76" applyNumberFormat="0" applyFill="0" applyAlignment="0" applyProtection="0"/>
    <xf numFmtId="180" fontId="124" fillId="0" borderId="75" applyNumberFormat="0" applyFill="0" applyAlignment="0" applyProtection="0"/>
    <xf numFmtId="178" fontId="65" fillId="0" borderId="59" applyNumberFormat="0" applyFill="0" applyAlignment="0" applyProtection="0"/>
    <xf numFmtId="0" fontId="126" fillId="2" borderId="0"/>
    <xf numFmtId="178" fontId="126" fillId="2" borderId="0"/>
    <xf numFmtId="178" fontId="126" fillId="2" borderId="0"/>
    <xf numFmtId="178" fontId="126" fillId="2" borderId="0"/>
    <xf numFmtId="0" fontId="70" fillId="2" borderId="0"/>
    <xf numFmtId="178" fontId="70" fillId="2" borderId="0"/>
    <xf numFmtId="178" fontId="70" fillId="2" borderId="0"/>
    <xf numFmtId="178" fontId="70" fillId="2" borderId="0"/>
    <xf numFmtId="181" fontId="22" fillId="0" borderId="0" applyFont="0" applyFill="0" applyBorder="0" applyAlignment="0" applyProtection="0"/>
    <xf numFmtId="172" fontId="22" fillId="0" borderId="0" applyFont="0" applyFill="0" applyBorder="0" applyAlignment="0" applyProtection="0"/>
    <xf numFmtId="0" fontId="22" fillId="0" borderId="0">
      <alignment horizontal="left"/>
    </xf>
    <xf numFmtId="0" fontId="22" fillId="0" borderId="0">
      <alignment horizontal="left"/>
    </xf>
    <xf numFmtId="0" fontId="22" fillId="0" borderId="0">
      <alignment horizontal="left"/>
    </xf>
    <xf numFmtId="0" fontId="22" fillId="0" borderId="0">
      <alignment horizontal="left"/>
    </xf>
    <xf numFmtId="0" fontId="22" fillId="0" borderId="0">
      <alignment horizontal="left"/>
    </xf>
    <xf numFmtId="178" fontId="22" fillId="0" borderId="0">
      <alignment horizontal="left"/>
    </xf>
    <xf numFmtId="0" fontId="22" fillId="0" borderId="0">
      <alignment horizontal="left"/>
    </xf>
    <xf numFmtId="0" fontId="22" fillId="0" borderId="0">
      <alignment horizontal="left"/>
    </xf>
    <xf numFmtId="178" fontId="22" fillId="0" borderId="0">
      <alignment horizontal="left"/>
    </xf>
    <xf numFmtId="178" fontId="22" fillId="0" borderId="0">
      <alignment horizontal="left"/>
    </xf>
    <xf numFmtId="195" fontId="22" fillId="0" borderId="0" applyFont="0" applyFill="0" applyBorder="0" applyAlignment="0" applyProtection="0"/>
    <xf numFmtId="196" fontId="22" fillId="0" borderId="0" applyFont="0" applyFill="0" applyBorder="0" applyAlignment="0" applyProtection="0"/>
    <xf numFmtId="0" fontId="127" fillId="18" borderId="0" applyNumberFormat="0" applyBorder="0" applyAlignment="0" applyProtection="0"/>
    <xf numFmtId="179" fontId="128" fillId="58" borderId="0" applyNumberFormat="0" applyBorder="0" applyAlignment="0" applyProtection="0"/>
    <xf numFmtId="179" fontId="128" fillId="58" borderId="0" applyNumberFormat="0" applyBorder="0" applyAlignment="0" applyProtection="0"/>
    <xf numFmtId="178" fontId="128" fillId="58" borderId="0" applyNumberFormat="0" applyBorder="0" applyAlignment="0" applyProtection="0"/>
    <xf numFmtId="0" fontId="128" fillId="58" borderId="0" applyNumberFormat="0" applyBorder="0" applyAlignment="0" applyProtection="0"/>
    <xf numFmtId="0" fontId="61" fillId="18" borderId="0" applyNumberFormat="0" applyBorder="0" applyAlignment="0" applyProtection="0"/>
    <xf numFmtId="180" fontId="128" fillId="58" borderId="0" applyNumberFormat="0" applyBorder="0" applyAlignment="0" applyProtection="0"/>
    <xf numFmtId="0" fontId="129" fillId="58" borderId="0" applyNumberFormat="0" applyBorder="0" applyAlignment="0" applyProtection="0"/>
    <xf numFmtId="0" fontId="128" fillId="58" borderId="0" applyNumberFormat="0" applyBorder="0" applyAlignment="0" applyProtection="0"/>
    <xf numFmtId="0" fontId="129" fillId="58" borderId="0" applyNumberFormat="0" applyBorder="0" applyAlignment="0" applyProtection="0"/>
    <xf numFmtId="180" fontId="128" fillId="58" borderId="0" applyNumberFormat="0" applyBorder="0" applyAlignment="0" applyProtection="0"/>
    <xf numFmtId="178" fontId="61" fillId="18" borderId="0" applyNumberFormat="0" applyBorder="0" applyAlignment="0" applyProtection="0"/>
    <xf numFmtId="0" fontId="61" fillId="18" borderId="0" applyNumberFormat="0" applyBorder="0" applyAlignment="0" applyProtection="0"/>
    <xf numFmtId="0" fontId="129" fillId="58" borderId="0" applyNumberFormat="0" applyBorder="0" applyAlignment="0" applyProtection="0"/>
    <xf numFmtId="0" fontId="128" fillId="58" borderId="0" applyNumberFormat="0" applyBorder="0" applyAlignment="0" applyProtection="0"/>
    <xf numFmtId="178" fontId="129" fillId="58" borderId="0" applyNumberFormat="0" applyBorder="0" applyAlignment="0" applyProtection="0"/>
    <xf numFmtId="0" fontId="127" fillId="18" borderId="0" applyNumberFormat="0" applyBorder="0" applyAlignment="0" applyProtection="0"/>
    <xf numFmtId="179" fontId="61" fillId="18" borderId="0" applyNumberFormat="0" applyBorder="0" applyAlignment="0" applyProtection="0"/>
    <xf numFmtId="180" fontId="128" fillId="58" borderId="0" applyNumberFormat="0" applyBorder="0" applyAlignment="0" applyProtection="0"/>
    <xf numFmtId="178" fontId="128" fillId="58" borderId="0" applyNumberFormat="0" applyBorder="0" applyAlignment="0" applyProtection="0"/>
    <xf numFmtId="0" fontId="128" fillId="58" borderId="0" applyNumberFormat="0" applyBorder="0" applyAlignment="0" applyProtection="0"/>
    <xf numFmtId="178" fontId="61" fillId="18" borderId="0" applyNumberFormat="0" applyBorder="0" applyAlignment="0" applyProtection="0"/>
    <xf numFmtId="178" fontId="129" fillId="58" borderId="0" applyNumberFormat="0" applyBorder="0" applyAlignment="0" applyProtection="0"/>
    <xf numFmtId="0" fontId="127" fillId="18" borderId="0" applyNumberFormat="0" applyBorder="0" applyAlignment="0" applyProtection="0"/>
    <xf numFmtId="180" fontId="128" fillId="58" borderId="0" applyNumberFormat="0" applyBorder="0" applyAlignment="0" applyProtection="0"/>
    <xf numFmtId="178" fontId="61" fillId="18" borderId="0" applyNumberFormat="0" applyBorder="0" applyAlignment="0" applyProtection="0"/>
    <xf numFmtId="37" fontId="130" fillId="0" borderId="0"/>
    <xf numFmtId="197" fontId="131"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applyNumberFormat="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93" fillId="0" borderId="0"/>
    <xf numFmtId="0" fontId="93"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applyFill="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93" fillId="0" borderId="0"/>
    <xf numFmtId="0" fontId="93"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90" fillId="0" borderId="0"/>
    <xf numFmtId="0" fontId="90" fillId="0" borderId="0"/>
    <xf numFmtId="0" fontId="90" fillId="0" borderId="0"/>
    <xf numFmtId="0" fontId="90"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74"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90" fillId="0" borderId="0"/>
    <xf numFmtId="0" fontId="9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4" fillId="0" borderId="0"/>
    <xf numFmtId="0"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90" fillId="0" borderId="0"/>
    <xf numFmtId="0" fontId="90" fillId="0" borderId="0"/>
    <xf numFmtId="0" fontId="90" fillId="0" borderId="0"/>
    <xf numFmtId="0" fontId="90"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11" fillId="0" borderId="0"/>
    <xf numFmtId="172" fontId="22" fillId="0" borderId="0"/>
    <xf numFmtId="172"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172" fontId="22" fillId="0" borderId="0"/>
    <xf numFmtId="172"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172" fontId="22" fillId="0" borderId="0"/>
    <xf numFmtId="172"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80" fontId="22" fillId="0" borderId="0"/>
    <xf numFmtId="0" fontId="11" fillId="0" borderId="0"/>
    <xf numFmtId="0" fontId="11" fillId="0" borderId="0"/>
    <xf numFmtId="0" fontId="11" fillId="0" borderId="0"/>
    <xf numFmtId="0" fontId="11" fillId="0" borderId="0"/>
    <xf numFmtId="0" fontId="11" fillId="0" borderId="0"/>
    <xf numFmtId="0" fontId="90" fillId="0" borderId="0"/>
    <xf numFmtId="0" fontId="22" fillId="0" borderId="0"/>
    <xf numFmtId="0" fontId="11" fillId="0" borderId="0"/>
    <xf numFmtId="0" fontId="22" fillId="0" borderId="0"/>
    <xf numFmtId="180" fontId="22" fillId="0" borderId="0"/>
    <xf numFmtId="0" fontId="11" fillId="0" borderId="0"/>
    <xf numFmtId="179" fontId="22" fillId="0" borderId="0"/>
    <xf numFmtId="179" fontId="22" fillId="0" borderId="0"/>
    <xf numFmtId="0" fontId="22" fillId="0" borderId="0"/>
    <xf numFmtId="0" fontId="22" fillId="0" borderId="0"/>
    <xf numFmtId="180" fontId="22" fillId="0" borderId="0"/>
    <xf numFmtId="178" fontId="22" fillId="0" borderId="0"/>
    <xf numFmtId="179" fontId="22" fillId="0" borderId="0"/>
    <xf numFmtId="179" fontId="22" fillId="0" borderId="0"/>
    <xf numFmtId="0" fontId="22" fillId="0" borderId="0"/>
    <xf numFmtId="178" fontId="22" fillId="0" borderId="0"/>
    <xf numFmtId="0" fontId="22" fillId="0" borderId="0"/>
    <xf numFmtId="179" fontId="22" fillId="0" borderId="0"/>
    <xf numFmtId="179" fontId="22" fillId="0" borderId="0"/>
    <xf numFmtId="0" fontId="22" fillId="0" borderId="0"/>
    <xf numFmtId="178" fontId="22" fillId="0" borderId="0" applyNumberFormat="0" applyFont="0" applyFill="0" applyBorder="0" applyAlignment="0" applyProtection="0"/>
    <xf numFmtId="0" fontId="22" fillId="0" borderId="0" applyNumberFormat="0" applyFont="0" applyFill="0" applyBorder="0" applyAlignment="0" applyProtection="0"/>
    <xf numFmtId="179" fontId="24" fillId="0" borderId="0"/>
    <xf numFmtId="0" fontId="22" fillId="0" borderId="0"/>
    <xf numFmtId="178" fontId="22" fillId="0" borderId="0"/>
    <xf numFmtId="198" fontId="22" fillId="0" borderId="0"/>
    <xf numFmtId="198" fontId="22" fillId="0" borderId="0"/>
    <xf numFmtId="0" fontId="22" fillId="0" borderId="0"/>
    <xf numFmtId="0" fontId="132" fillId="0" borderId="0"/>
    <xf numFmtId="0" fontId="22" fillId="0" borderId="0"/>
    <xf numFmtId="0" fontId="22" fillId="0" borderId="0"/>
    <xf numFmtId="0" fontId="22" fillId="0" borderId="0"/>
    <xf numFmtId="0" fontId="90" fillId="0" borderId="0"/>
    <xf numFmtId="0" fontId="22" fillId="0" borderId="0"/>
    <xf numFmtId="172" fontId="22" fillId="0" borderId="0"/>
    <xf numFmtId="172"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90" fillId="0" borderId="0"/>
    <xf numFmtId="0" fontId="91" fillId="0" borderId="0"/>
    <xf numFmtId="0" fontId="16"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xf numFmtId="0" fontId="22" fillId="0" borderId="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9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78" fontId="22" fillId="0" borderId="0"/>
    <xf numFmtId="178"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4" fillId="0" borderId="0"/>
    <xf numFmtId="0" fontId="11" fillId="0" borderId="0"/>
    <xf numFmtId="0" fontId="11" fillId="0" borderId="0"/>
    <xf numFmtId="0" fontId="11" fillId="0" borderId="0"/>
    <xf numFmtId="0" fontId="11"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80" fontId="22" fillId="0" borderId="0"/>
    <xf numFmtId="0" fontId="11" fillId="0" borderId="0"/>
    <xf numFmtId="0" fontId="11" fillId="0" borderId="0"/>
    <xf numFmtId="0" fontId="11" fillId="0" borderId="0"/>
    <xf numFmtId="0" fontId="11" fillId="0" borderId="0"/>
    <xf numFmtId="0" fontId="22" fillId="0" borderId="0"/>
    <xf numFmtId="0" fontId="22" fillId="0" borderId="0"/>
    <xf numFmtId="0" fontId="90" fillId="0" borderId="0">
      <alignment vertical="top"/>
    </xf>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91" fillId="0" borderId="0"/>
    <xf numFmtId="0" fontId="22" fillId="0" borderId="0"/>
    <xf numFmtId="0" fontId="91" fillId="0" borderId="0"/>
    <xf numFmtId="0" fontId="22" fillId="0" borderId="0"/>
    <xf numFmtId="0" fontId="91" fillId="0" borderId="0"/>
    <xf numFmtId="0" fontId="22" fillId="0" borderId="0"/>
    <xf numFmtId="0" fontId="91" fillId="0" borderId="0"/>
    <xf numFmtId="0" fontId="22" fillId="0" borderId="0"/>
    <xf numFmtId="0" fontId="91" fillId="0" borderId="0"/>
    <xf numFmtId="0" fontId="22" fillId="0" borderId="0"/>
    <xf numFmtId="0" fontId="91" fillId="0" borderId="0"/>
    <xf numFmtId="0" fontId="22" fillId="0" borderId="0"/>
    <xf numFmtId="0" fontId="22" fillId="0" borderId="0"/>
    <xf numFmtId="0" fontId="22" fillId="0" borderId="0"/>
    <xf numFmtId="0" fontId="9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alignment vertical="top"/>
    </xf>
    <xf numFmtId="0" fontId="22" fillId="0" borderId="0">
      <alignment vertical="top"/>
    </xf>
    <xf numFmtId="0" fontId="90" fillId="0" borderId="0"/>
    <xf numFmtId="0" fontId="22" fillId="0" borderId="0"/>
    <xf numFmtId="180" fontId="22" fillId="0" borderId="0"/>
    <xf numFmtId="0" fontId="36" fillId="0" borderId="0"/>
    <xf numFmtId="178"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80" fontId="22"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22"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8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0" fillId="0" borderId="0"/>
    <xf numFmtId="180" fontId="22" fillId="0" borderId="0"/>
    <xf numFmtId="180" fontId="22" fillId="0" borderId="0"/>
    <xf numFmtId="178" fontId="22"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22"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90"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90" fillId="0" borderId="0"/>
    <xf numFmtId="0" fontId="2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22" fillId="0" borderId="0"/>
    <xf numFmtId="0" fontId="22" fillId="0" borderId="0"/>
    <xf numFmtId="0" fontId="9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2" fillId="0" borderId="0"/>
    <xf numFmtId="0" fontId="11" fillId="0" borderId="0"/>
    <xf numFmtId="0" fontId="22"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22"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24" fillId="0" borderId="0"/>
    <xf numFmtId="179" fontId="11" fillId="0" borderId="0"/>
    <xf numFmtId="179" fontId="11" fillId="0" borderId="0"/>
    <xf numFmtId="179" fontId="11" fillId="0" borderId="0"/>
    <xf numFmtId="179" fontId="11" fillId="0" borderId="0"/>
    <xf numFmtId="179" fontId="11" fillId="0" borderId="0"/>
    <xf numFmtId="178" fontId="22" fillId="0" borderId="0"/>
    <xf numFmtId="179" fontId="11" fillId="0" borderId="0"/>
    <xf numFmtId="179" fontId="11" fillId="0" borderId="0"/>
    <xf numFmtId="179" fontId="11" fillId="0" borderId="0"/>
    <xf numFmtId="179" fontId="11" fillId="0" borderId="0"/>
    <xf numFmtId="179" fontId="90" fillId="0" borderId="0"/>
    <xf numFmtId="179" fontId="90" fillId="0" borderId="0"/>
    <xf numFmtId="0" fontId="11" fillId="0" borderId="0"/>
    <xf numFmtId="0" fontId="11" fillId="0" borderId="0"/>
    <xf numFmtId="0" fontId="11" fillId="0" borderId="0"/>
    <xf numFmtId="0" fontId="11" fillId="0" borderId="0"/>
    <xf numFmtId="0" fontId="11" fillId="0" borderId="0"/>
    <xf numFmtId="180" fontId="24"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11" fillId="0" borderId="0"/>
    <xf numFmtId="0" fontId="11" fillId="0" borderId="0"/>
    <xf numFmtId="0" fontId="11" fillId="0" borderId="0"/>
    <xf numFmtId="0" fontId="11" fillId="0" borderId="0"/>
    <xf numFmtId="0"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179" fontId="11"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180" fontId="24" fillId="0" borderId="0"/>
    <xf numFmtId="178" fontId="1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179" fontId="22" fillId="0" borderId="0"/>
    <xf numFmtId="179" fontId="22"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2" fillId="0" borderId="0"/>
    <xf numFmtId="0" fontId="22" fillId="0" borderId="0"/>
    <xf numFmtId="0" fontId="22" fillId="0" borderId="0"/>
    <xf numFmtId="0" fontId="22" fillId="0" borderId="0"/>
    <xf numFmtId="0" fontId="11" fillId="0" borderId="0"/>
    <xf numFmtId="0" fontId="11" fillId="0" borderId="0"/>
    <xf numFmtId="0" fontId="11" fillId="0" borderId="0"/>
    <xf numFmtId="179" fontId="92"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2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0"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xf numFmtId="0" fontId="22" fillId="0" borderId="0"/>
    <xf numFmtId="0" fontId="11" fillId="0" borderId="0"/>
    <xf numFmtId="0"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90"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4" fillId="0" borderId="0"/>
    <xf numFmtId="0" fontId="74" fillId="0" borderId="0"/>
    <xf numFmtId="0" fontId="74" fillId="0" borderId="0"/>
    <xf numFmtId="0" fontId="11" fillId="0" borderId="0"/>
    <xf numFmtId="0" fontId="11" fillId="0" borderId="0"/>
    <xf numFmtId="0" fontId="11" fillId="0" borderId="0"/>
    <xf numFmtId="0" fontId="11" fillId="0" borderId="0"/>
    <xf numFmtId="0" fontId="11" fillId="0" borderId="0"/>
    <xf numFmtId="0" fontId="74" fillId="0" borderId="0"/>
    <xf numFmtId="0" fontId="11" fillId="0" borderId="0"/>
    <xf numFmtId="0" fontId="11" fillId="0" borderId="0"/>
    <xf numFmtId="0" fontId="11" fillId="0" borderId="0"/>
    <xf numFmtId="0" fontId="11" fillId="0" borderId="0"/>
    <xf numFmtId="0" fontId="11" fillId="0" borderId="0"/>
    <xf numFmtId="0" fontId="12"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7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22" fillId="0" borderId="0" applyNumberFormat="0" applyFont="0" applyFill="0" applyBorder="0" applyAlignment="0" applyProtection="0"/>
    <xf numFmtId="0" fontId="22" fillId="0" borderId="0" applyNumberFormat="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93"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93" fillId="0" borderId="0"/>
    <xf numFmtId="0" fontId="93"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9" fontId="9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8" fontId="11" fillId="0" borderId="0"/>
    <xf numFmtId="178" fontId="11" fillId="0" borderId="0"/>
    <xf numFmtId="178" fontId="11" fillId="0" borderId="0"/>
    <xf numFmtId="178" fontId="11" fillId="0" borderId="0"/>
    <xf numFmtId="178" fontId="1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0" fontId="24" fillId="22" borderId="61"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80" fontId="22"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78" fontId="24"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79" fontId="24"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9" fontId="24" fillId="22" borderId="61" applyNumberFormat="0" applyFont="0" applyAlignment="0" applyProtection="0"/>
    <xf numFmtId="180" fontId="22" fillId="54" borderId="77" applyNumberFormat="0" applyFont="0" applyAlignment="0" applyProtection="0"/>
    <xf numFmtId="180" fontId="22"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78"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2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80" fontId="22"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179" fontId="22"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0" fontId="24" fillId="54" borderId="77" applyNumberFormat="0" applyFont="0" applyAlignment="0" applyProtection="0"/>
    <xf numFmtId="179" fontId="22"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178"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9" fontId="22" fillId="54" borderId="77" applyNumberFormat="0" applyFont="0" applyAlignment="0" applyProtection="0"/>
    <xf numFmtId="179"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24"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24"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24"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24"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24"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80" fontId="22"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24" fillId="54" borderId="77"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179"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1" fillId="22" borderId="61"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180" fontId="22" fillId="54" borderId="77" applyNumberFormat="0" applyFont="0" applyAlignment="0" applyProtection="0"/>
    <xf numFmtId="180" fontId="22"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178" fontId="133" fillId="54" borderId="77" applyNumberFormat="0" applyFont="0" applyAlignment="0" applyProtection="0"/>
    <xf numFmtId="0" fontId="133" fillId="54" borderId="77" applyNumberFormat="0" applyFont="0" applyAlignment="0" applyProtection="0"/>
    <xf numFmtId="178" fontId="22"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133" fillId="54" borderId="77" applyNumberFormat="0" applyFont="0" applyAlignment="0" applyProtection="0"/>
    <xf numFmtId="178" fontId="22" fillId="54" borderId="77" applyNumberFormat="0" applyFont="0" applyAlignment="0" applyProtection="0"/>
    <xf numFmtId="178" fontId="133" fillId="54" borderId="77" applyNumberFormat="0" applyFont="0" applyAlignment="0" applyProtection="0"/>
    <xf numFmtId="178" fontId="134"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134" fillId="54" borderId="77" applyNumberFormat="0" applyFont="0" applyAlignment="0" applyProtection="0"/>
    <xf numFmtId="178" fontId="134"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22" fillId="54" borderId="77"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22" fillId="54" borderId="77" applyNumberFormat="0" applyFont="0" applyAlignment="0" applyProtection="0"/>
    <xf numFmtId="180" fontId="22" fillId="54" borderId="77"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78" fontId="11" fillId="22" borderId="61" applyNumberFormat="0" applyFont="0" applyAlignment="0" applyProtection="0"/>
    <xf numFmtId="180" fontId="22" fillId="54" borderId="77" applyNumberFormat="0" applyFont="0" applyAlignment="0" applyProtection="0"/>
    <xf numFmtId="179" fontId="22" fillId="14" borderId="16"/>
    <xf numFmtId="0" fontId="22" fillId="14" borderId="16"/>
    <xf numFmtId="0" fontId="22" fillId="14" borderId="16"/>
    <xf numFmtId="179" fontId="22" fillId="14" borderId="16"/>
    <xf numFmtId="178" fontId="22" fillId="14" borderId="16"/>
    <xf numFmtId="178" fontId="63" fillId="20" borderId="58" applyNumberFormat="0" applyAlignment="0" applyProtection="0"/>
    <xf numFmtId="0" fontId="63" fillId="71" borderId="58" applyNumberFormat="0" applyAlignment="0" applyProtection="0"/>
    <xf numFmtId="179"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9" fontId="135" fillId="72" borderId="78" applyNumberFormat="0" applyAlignment="0" applyProtection="0"/>
    <xf numFmtId="179" fontId="135" fillId="72" borderId="78" applyNumberFormat="0" applyAlignment="0" applyProtection="0"/>
    <xf numFmtId="179"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63" fillId="20" borderId="5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63" fillId="20" borderId="58" applyNumberFormat="0" applyAlignment="0" applyProtection="0"/>
    <xf numFmtId="180" fontId="135" fillId="72" borderId="78" applyNumberFormat="0" applyAlignment="0" applyProtection="0"/>
    <xf numFmtId="180" fontId="135" fillId="72" borderId="78" applyNumberFormat="0" applyAlignment="0" applyProtection="0"/>
    <xf numFmtId="180" fontId="135" fillId="72" borderId="78" applyNumberFormat="0" applyAlignment="0" applyProtection="0"/>
    <xf numFmtId="0" fontId="135" fillId="71"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80" fontId="135" fillId="72" borderId="78" applyNumberFormat="0" applyAlignment="0" applyProtection="0"/>
    <xf numFmtId="180" fontId="135" fillId="72" borderId="78" applyNumberFormat="0" applyAlignment="0" applyProtection="0"/>
    <xf numFmtId="180" fontId="135" fillId="72" borderId="78" applyNumberFormat="0" applyAlignment="0" applyProtection="0"/>
    <xf numFmtId="178" fontId="63" fillId="20" borderId="5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9" fontId="63" fillId="20" borderId="5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9" fontId="63" fillId="20" borderId="58" applyNumberFormat="0" applyAlignment="0" applyProtection="0"/>
    <xf numFmtId="180" fontId="135" fillId="72" borderId="78" applyNumberFormat="0" applyAlignment="0" applyProtection="0"/>
    <xf numFmtId="180" fontId="135" fillId="72" borderId="78" applyNumberFormat="0" applyAlignment="0" applyProtection="0"/>
    <xf numFmtId="180" fontId="135" fillId="72"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1"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1"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63" fillId="20" borderId="5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80" fontId="135" fillId="72" borderId="78" applyNumberFormat="0" applyAlignment="0" applyProtection="0"/>
    <xf numFmtId="180" fontId="135" fillId="72" borderId="78" applyNumberFormat="0" applyAlignment="0" applyProtection="0"/>
    <xf numFmtId="180" fontId="135" fillId="72" borderId="78" applyNumberFormat="0" applyAlignment="0" applyProtection="0"/>
    <xf numFmtId="40" fontId="136" fillId="2" borderId="0">
      <alignment horizontal="right"/>
    </xf>
    <xf numFmtId="0" fontId="137" fillId="2" borderId="0">
      <alignment horizontal="right"/>
    </xf>
    <xf numFmtId="179" fontId="137" fillId="2" borderId="0">
      <alignment horizontal="right"/>
    </xf>
    <xf numFmtId="179" fontId="137" fillId="2" borderId="0">
      <alignment horizontal="right"/>
    </xf>
    <xf numFmtId="0" fontId="137" fillId="2" borderId="0">
      <alignment horizontal="right"/>
    </xf>
    <xf numFmtId="178" fontId="137" fillId="2" borderId="0">
      <alignment horizontal="right"/>
    </xf>
    <xf numFmtId="180" fontId="137" fillId="2" borderId="0">
      <alignment horizontal="right"/>
    </xf>
    <xf numFmtId="178" fontId="137" fillId="2" borderId="0">
      <alignment horizontal="right"/>
    </xf>
    <xf numFmtId="180" fontId="137" fillId="2" borderId="0">
      <alignment horizontal="right"/>
    </xf>
    <xf numFmtId="178" fontId="137" fillId="2" borderId="0">
      <alignment horizontal="right"/>
    </xf>
    <xf numFmtId="0" fontId="138" fillId="2" borderId="18"/>
    <xf numFmtId="179" fontId="138" fillId="2" borderId="18"/>
    <xf numFmtId="179" fontId="138" fillId="2" borderId="18"/>
    <xf numFmtId="0" fontId="138" fillId="2" borderId="18"/>
    <xf numFmtId="178" fontId="138" fillId="2" borderId="18"/>
    <xf numFmtId="180" fontId="138" fillId="2" borderId="18"/>
    <xf numFmtId="178" fontId="138" fillId="2" borderId="18"/>
    <xf numFmtId="180" fontId="138" fillId="2" borderId="18"/>
    <xf numFmtId="178" fontId="138" fillId="2" borderId="18"/>
    <xf numFmtId="0" fontId="138" fillId="0" borderId="0" applyBorder="0">
      <alignment horizontal="centerContinuous"/>
    </xf>
    <xf numFmtId="179" fontId="138" fillId="0" borderId="0" applyBorder="0">
      <alignment horizontal="centerContinuous"/>
    </xf>
    <xf numFmtId="179" fontId="138" fillId="0" borderId="0" applyBorder="0">
      <alignment horizontal="centerContinuous"/>
    </xf>
    <xf numFmtId="0" fontId="138" fillId="0" borderId="0" applyBorder="0">
      <alignment horizontal="centerContinuous"/>
    </xf>
    <xf numFmtId="178" fontId="138" fillId="0" borderId="0" applyBorder="0">
      <alignment horizontal="centerContinuous"/>
    </xf>
    <xf numFmtId="180" fontId="138" fillId="0" borderId="0" applyBorder="0">
      <alignment horizontal="centerContinuous"/>
    </xf>
    <xf numFmtId="178" fontId="138" fillId="0" borderId="0" applyBorder="0">
      <alignment horizontal="centerContinuous"/>
    </xf>
    <xf numFmtId="180" fontId="138" fillId="0" borderId="0" applyBorder="0">
      <alignment horizontal="centerContinuous"/>
    </xf>
    <xf numFmtId="178" fontId="138" fillId="0" borderId="0" applyBorder="0">
      <alignment horizontal="centerContinuous"/>
    </xf>
    <xf numFmtId="0" fontId="139" fillId="0" borderId="0" applyBorder="0">
      <alignment horizontal="centerContinuous"/>
    </xf>
    <xf numFmtId="179" fontId="139" fillId="0" borderId="0" applyBorder="0">
      <alignment horizontal="centerContinuous"/>
    </xf>
    <xf numFmtId="179" fontId="139" fillId="0" borderId="0" applyBorder="0">
      <alignment horizontal="centerContinuous"/>
    </xf>
    <xf numFmtId="0" fontId="139" fillId="0" borderId="0" applyBorder="0">
      <alignment horizontal="centerContinuous"/>
    </xf>
    <xf numFmtId="178" fontId="139" fillId="0" borderId="0" applyBorder="0">
      <alignment horizontal="centerContinuous"/>
    </xf>
    <xf numFmtId="180" fontId="139" fillId="0" borderId="0" applyBorder="0">
      <alignment horizontal="centerContinuous"/>
    </xf>
    <xf numFmtId="178" fontId="139" fillId="0" borderId="0" applyBorder="0">
      <alignment horizontal="centerContinuous"/>
    </xf>
    <xf numFmtId="180" fontId="139" fillId="0" borderId="0" applyBorder="0">
      <alignment horizontal="centerContinuous"/>
    </xf>
    <xf numFmtId="178" fontId="139" fillId="0" borderId="0" applyBorder="0">
      <alignment horizontal="centerContinuous"/>
    </xf>
    <xf numFmtId="10" fontId="22" fillId="0" borderId="0" applyFont="0" applyFill="0" applyBorder="0" applyAlignment="0" applyProtection="0"/>
    <xf numFmtId="10"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92" fillId="0" borderId="0" applyFont="0" applyFill="0" applyBorder="0" applyAlignment="0" applyProtection="0"/>
    <xf numFmtId="9" fontId="2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9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9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9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2" fillId="0" borderId="0" applyFont="0" applyFill="0" applyBorder="0" applyAlignment="0" applyProtection="0"/>
    <xf numFmtId="9" fontId="9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7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4" fillId="0" borderId="0" applyFont="0" applyFill="0" applyBorder="0" applyAlignment="0" applyProtection="0"/>
    <xf numFmtId="9" fontId="92" fillId="0" borderId="0" applyFont="0" applyFill="0" applyBorder="0" applyAlignment="0" applyProtection="0"/>
    <xf numFmtId="9" fontId="9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1" fillId="0" borderId="0" applyFont="0" applyFill="0" applyBorder="0" applyAlignment="0" applyProtection="0"/>
    <xf numFmtId="9" fontId="90" fillId="0" borderId="0" applyFont="0" applyFill="0" applyBorder="0" applyAlignment="0" applyProtection="0"/>
    <xf numFmtId="9" fontId="22" fillId="0" borderId="0" applyFont="0" applyFill="0" applyBorder="0" applyAlignment="0" applyProtection="0"/>
    <xf numFmtId="9" fontId="16" fillId="0" borderId="0" applyFont="0" applyFill="0" applyBorder="0" applyAlignment="0" applyProtection="0"/>
    <xf numFmtId="9" fontId="24" fillId="0" borderId="0" applyFont="0" applyFill="0" applyBorder="0" applyAlignment="0" applyProtection="0"/>
    <xf numFmtId="9" fontId="93"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0" fillId="0" borderId="0"/>
    <xf numFmtId="9" fontId="9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74"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9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74" fillId="0" borderId="0" applyFont="0" applyFill="0" applyBorder="0" applyAlignment="0" applyProtection="0"/>
    <xf numFmtId="9" fontId="9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1" fillId="0" borderId="0" applyFont="0" applyFill="0" applyBorder="0" applyAlignment="0" applyProtection="0"/>
    <xf numFmtId="9" fontId="9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9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93" fillId="0" borderId="0" applyNumberFormat="0" applyFont="0" applyFill="0" applyBorder="0" applyAlignment="0" applyProtection="0">
      <alignment horizontal="left"/>
    </xf>
    <xf numFmtId="179" fontId="93" fillId="0" borderId="0" applyNumberFormat="0" applyFont="0" applyFill="0" applyBorder="0" applyAlignment="0" applyProtection="0">
      <alignment horizontal="left"/>
    </xf>
    <xf numFmtId="179" fontId="93" fillId="0" borderId="0" applyNumberFormat="0" applyFont="0" applyFill="0" applyBorder="0" applyAlignment="0" applyProtection="0">
      <alignment horizontal="left"/>
    </xf>
    <xf numFmtId="178" fontId="93" fillId="0" borderId="0" applyNumberFormat="0" applyFont="0" applyFill="0" applyBorder="0" applyAlignment="0" applyProtection="0">
      <alignment horizontal="left"/>
    </xf>
    <xf numFmtId="0" fontId="93" fillId="0" borderId="0" applyNumberFormat="0" applyFont="0" applyFill="0" applyBorder="0" applyAlignment="0" applyProtection="0">
      <alignment horizontal="left"/>
    </xf>
    <xf numFmtId="179" fontId="93" fillId="0" borderId="0" applyNumberFormat="0" applyFont="0" applyFill="0" applyBorder="0" applyAlignment="0" applyProtection="0">
      <alignment horizontal="left"/>
    </xf>
    <xf numFmtId="179" fontId="93" fillId="0" borderId="0" applyNumberFormat="0" applyFont="0" applyFill="0" applyBorder="0" applyAlignment="0" applyProtection="0">
      <alignment horizontal="left"/>
    </xf>
    <xf numFmtId="180" fontId="93" fillId="0" borderId="0" applyNumberFormat="0" applyFont="0" applyFill="0" applyBorder="0" applyAlignment="0" applyProtection="0">
      <alignment horizontal="left"/>
    </xf>
    <xf numFmtId="178" fontId="93" fillId="0" borderId="0" applyNumberFormat="0" applyFont="0" applyFill="0" applyBorder="0" applyAlignment="0" applyProtection="0">
      <alignment horizontal="left"/>
    </xf>
    <xf numFmtId="179" fontId="93" fillId="0" borderId="0" applyNumberFormat="0" applyFont="0" applyFill="0" applyBorder="0" applyAlignment="0" applyProtection="0">
      <alignment horizontal="left"/>
    </xf>
    <xf numFmtId="178" fontId="93" fillId="0" borderId="0" applyNumberFormat="0" applyFont="0" applyFill="0" applyBorder="0" applyAlignment="0" applyProtection="0">
      <alignment horizontal="left"/>
    </xf>
    <xf numFmtId="179" fontId="93" fillId="0" borderId="0" applyNumberFormat="0" applyFont="0" applyFill="0" applyBorder="0" applyAlignment="0" applyProtection="0">
      <alignment horizontal="left"/>
    </xf>
    <xf numFmtId="178" fontId="93" fillId="0" borderId="0" applyNumberFormat="0" applyFont="0" applyFill="0" applyBorder="0" applyAlignment="0" applyProtection="0">
      <alignment horizontal="left"/>
    </xf>
    <xf numFmtId="0" fontId="93" fillId="0" borderId="0" applyNumberFormat="0" applyFont="0" applyFill="0" applyBorder="0" applyAlignment="0" applyProtection="0">
      <alignment horizontal="left"/>
    </xf>
    <xf numFmtId="0" fontId="93" fillId="0" borderId="0" applyNumberFormat="0" applyFont="0" applyFill="0" applyBorder="0" applyAlignment="0" applyProtection="0">
      <alignment horizontal="left"/>
    </xf>
    <xf numFmtId="0" fontId="93" fillId="0" borderId="0" applyNumberFormat="0" applyFont="0" applyFill="0" applyBorder="0" applyAlignment="0" applyProtection="0">
      <alignment horizontal="left"/>
    </xf>
    <xf numFmtId="0" fontId="93" fillId="0" borderId="0" applyNumberFormat="0" applyFont="0" applyFill="0" applyBorder="0" applyAlignment="0" applyProtection="0">
      <alignment horizontal="left"/>
    </xf>
    <xf numFmtId="178" fontId="93" fillId="0" borderId="0" applyNumberFormat="0" applyFont="0" applyFill="0" applyBorder="0" applyAlignment="0" applyProtection="0">
      <alignment horizontal="left"/>
    </xf>
    <xf numFmtId="180" fontId="93" fillId="0" borderId="0" applyNumberFormat="0" applyFont="0" applyFill="0" applyBorder="0" applyAlignment="0" applyProtection="0">
      <alignment horizontal="left"/>
    </xf>
    <xf numFmtId="15" fontId="93" fillId="0" borderId="0" applyFont="0" applyFill="0" applyBorder="0" applyAlignment="0" applyProtection="0"/>
    <xf numFmtId="15" fontId="93" fillId="0" borderId="0" applyFont="0" applyFill="0" applyBorder="0" applyAlignment="0" applyProtection="0"/>
    <xf numFmtId="15" fontId="93" fillId="0" borderId="0" applyFont="0" applyFill="0" applyBorder="0" applyAlignment="0" applyProtection="0"/>
    <xf numFmtId="15" fontId="93" fillId="0" borderId="0" applyFont="0" applyFill="0" applyBorder="0" applyAlignment="0" applyProtection="0"/>
    <xf numFmtId="15" fontId="93" fillId="0" borderId="0" applyFont="0" applyFill="0" applyBorder="0" applyAlignment="0" applyProtection="0"/>
    <xf numFmtId="15" fontId="93" fillId="0" borderId="0" applyFont="0" applyFill="0" applyBorder="0" applyAlignment="0" applyProtection="0"/>
    <xf numFmtId="15" fontId="93" fillId="0" borderId="0" applyFont="0" applyFill="0" applyBorder="0" applyAlignment="0" applyProtection="0"/>
    <xf numFmtId="15"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4" fontId="93" fillId="0" borderId="0" applyFont="0" applyFill="0" applyBorder="0" applyAlignment="0" applyProtection="0"/>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0"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0" fontId="140" fillId="0" borderId="14">
      <alignment horizontal="center"/>
    </xf>
    <xf numFmtId="0"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9" fontId="140" fillId="0" borderId="14">
      <alignment horizontal="center"/>
    </xf>
    <xf numFmtId="180" fontId="140" fillId="0" borderId="14">
      <alignment horizontal="center"/>
    </xf>
    <xf numFmtId="180" fontId="140" fillId="0" borderId="14">
      <alignment horizontal="center"/>
    </xf>
    <xf numFmtId="179" fontId="140" fillId="0" borderId="14">
      <alignment horizontal="center"/>
    </xf>
    <xf numFmtId="179"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179"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0"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78" fontId="140" fillId="0" borderId="14">
      <alignment horizontal="center"/>
    </xf>
    <xf numFmtId="180" fontId="140" fillId="0" borderId="14">
      <alignment horizontal="center"/>
    </xf>
    <xf numFmtId="180" fontId="140" fillId="0" borderId="14">
      <alignment horizontal="center"/>
    </xf>
    <xf numFmtId="179" fontId="140" fillId="0" borderId="14">
      <alignment horizontal="center"/>
    </xf>
    <xf numFmtId="3" fontId="93" fillId="0" borderId="0" applyFont="0" applyFill="0" applyBorder="0" applyAlignment="0" applyProtection="0"/>
    <xf numFmtId="3" fontId="93" fillId="0" borderId="0" applyFont="0" applyFill="0" applyBorder="0" applyAlignment="0" applyProtection="0"/>
    <xf numFmtId="3" fontId="93" fillId="0" borderId="0" applyFont="0" applyFill="0" applyBorder="0" applyAlignment="0" applyProtection="0"/>
    <xf numFmtId="3" fontId="93" fillId="0" borderId="0" applyFont="0" applyFill="0" applyBorder="0" applyAlignment="0" applyProtection="0"/>
    <xf numFmtId="3" fontId="93" fillId="0" borderId="0" applyFont="0" applyFill="0" applyBorder="0" applyAlignment="0" applyProtection="0"/>
    <xf numFmtId="3" fontId="93" fillId="0" borderId="0" applyFont="0" applyFill="0" applyBorder="0" applyAlignment="0" applyProtection="0"/>
    <xf numFmtId="3" fontId="93" fillId="0" borderId="0" applyFont="0" applyFill="0" applyBorder="0" applyAlignment="0" applyProtection="0"/>
    <xf numFmtId="3" fontId="93" fillId="0" borderId="0" applyFont="0" applyFill="0" applyBorder="0" applyAlignment="0" applyProtection="0"/>
    <xf numFmtId="0" fontId="93" fillId="79" borderId="0" applyNumberFormat="0" applyFont="0" applyBorder="0" applyAlignment="0" applyProtection="0"/>
    <xf numFmtId="179" fontId="93" fillId="79" borderId="0" applyNumberFormat="0" applyFont="0" applyBorder="0" applyAlignment="0" applyProtection="0"/>
    <xf numFmtId="179" fontId="93" fillId="79" borderId="0" applyNumberFormat="0" applyFont="0" applyBorder="0" applyAlignment="0" applyProtection="0"/>
    <xf numFmtId="0" fontId="93" fillId="79" borderId="0" applyNumberFormat="0" applyFont="0" applyBorder="0" applyAlignment="0" applyProtection="0"/>
    <xf numFmtId="178" fontId="93" fillId="79" borderId="0" applyNumberFormat="0" applyFont="0" applyBorder="0" applyAlignment="0" applyProtection="0"/>
    <xf numFmtId="179" fontId="93" fillId="79" borderId="0" applyNumberFormat="0" applyFont="0" applyBorder="0" applyAlignment="0" applyProtection="0"/>
    <xf numFmtId="180" fontId="93" fillId="79" borderId="0" applyNumberFormat="0" applyFont="0" applyBorder="0" applyAlignment="0" applyProtection="0"/>
    <xf numFmtId="178" fontId="93" fillId="79" borderId="0" applyNumberFormat="0" applyFont="0" applyBorder="0" applyAlignment="0" applyProtection="0"/>
    <xf numFmtId="179" fontId="93" fillId="79" borderId="0" applyNumberFormat="0" applyFont="0" applyBorder="0" applyAlignment="0" applyProtection="0"/>
    <xf numFmtId="178" fontId="93" fillId="79" borderId="0" applyNumberFormat="0" applyFont="0" applyBorder="0" applyAlignment="0" applyProtection="0"/>
    <xf numFmtId="179" fontId="93" fillId="79" borderId="0" applyNumberFormat="0" applyFont="0" applyBorder="0" applyAlignment="0" applyProtection="0"/>
    <xf numFmtId="0" fontId="93" fillId="79" borderId="0" applyNumberFormat="0" applyFont="0" applyBorder="0" applyAlignment="0" applyProtection="0"/>
    <xf numFmtId="0" fontId="93" fillId="79" borderId="0" applyNumberFormat="0" applyFont="0" applyBorder="0" applyAlignment="0" applyProtection="0"/>
    <xf numFmtId="0" fontId="93" fillId="79" borderId="0" applyNumberFormat="0" applyFont="0" applyBorder="0" applyAlignment="0" applyProtection="0"/>
    <xf numFmtId="0" fontId="93" fillId="79" borderId="0" applyNumberFormat="0" applyFont="0" applyBorder="0" applyAlignment="0" applyProtection="0"/>
    <xf numFmtId="178" fontId="93" fillId="79" borderId="0" applyNumberFormat="0" applyFont="0" applyBorder="0" applyAlignment="0" applyProtection="0"/>
    <xf numFmtId="180" fontId="93" fillId="79" borderId="0" applyNumberFormat="0" applyFont="0" applyBorder="0" applyAlignment="0" applyProtection="0"/>
    <xf numFmtId="0" fontId="141" fillId="0" borderId="0">
      <alignment horizontal="left" indent="1"/>
    </xf>
    <xf numFmtId="178" fontId="141" fillId="0" borderId="0">
      <alignment horizontal="left" indent="1"/>
    </xf>
    <xf numFmtId="178" fontId="141" fillId="0" borderId="0">
      <alignment horizontal="left" indent="1"/>
    </xf>
    <xf numFmtId="178" fontId="141" fillId="0" borderId="0">
      <alignment horizontal="left" indent="1"/>
    </xf>
    <xf numFmtId="0" fontId="90" fillId="7" borderId="79">
      <alignment horizontal="left"/>
    </xf>
    <xf numFmtId="0" fontId="90" fillId="7" borderId="79">
      <alignment horizontal="left"/>
    </xf>
    <xf numFmtId="178" fontId="90" fillId="7" borderId="79">
      <alignment horizontal="left"/>
    </xf>
    <xf numFmtId="178" fontId="90" fillId="7" borderId="79">
      <alignment horizontal="left"/>
    </xf>
    <xf numFmtId="178" fontId="90" fillId="7" borderId="79">
      <alignment horizontal="left"/>
    </xf>
    <xf numFmtId="0" fontId="90" fillId="7" borderId="79">
      <alignment horizontal="left"/>
    </xf>
    <xf numFmtId="178" fontId="90" fillId="7" borderId="79">
      <alignment horizontal="left"/>
    </xf>
    <xf numFmtId="0" fontId="90" fillId="7" borderId="79">
      <alignment horizontal="left"/>
    </xf>
    <xf numFmtId="0" fontId="90" fillId="7" borderId="79">
      <alignment horizontal="left"/>
    </xf>
    <xf numFmtId="0" fontId="90" fillId="7" borderId="79">
      <alignment horizontal="left"/>
    </xf>
    <xf numFmtId="178" fontId="90" fillId="7" borderId="79">
      <alignment horizontal="left"/>
    </xf>
    <xf numFmtId="178" fontId="90" fillId="7" borderId="79">
      <alignment horizontal="left"/>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80" fontId="35" fillId="80" borderId="80" applyNumberFormat="0" applyProtection="0">
      <alignment horizontal="left" vertical="center" indent="1"/>
    </xf>
    <xf numFmtId="180" fontId="35" fillId="80" borderId="80" applyNumberFormat="0" applyProtection="0">
      <alignment horizontal="left" vertical="center" indent="1"/>
    </xf>
    <xf numFmtId="180" fontId="35" fillId="80" borderId="80" applyNumberFormat="0" applyProtection="0">
      <alignment horizontal="left" vertical="center" indent="1"/>
    </xf>
    <xf numFmtId="18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179"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9"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9" fontId="35" fillId="80" borderId="80" applyNumberFormat="0" applyProtection="0">
      <alignment horizontal="left" vertical="center" indent="1"/>
    </xf>
    <xf numFmtId="179" fontId="35" fillId="80" borderId="80" applyNumberFormat="0" applyProtection="0">
      <alignment horizontal="left" vertical="center" indent="1"/>
    </xf>
    <xf numFmtId="179" fontId="35" fillId="80" borderId="80" applyNumberFormat="0" applyProtection="0">
      <alignment horizontal="left" vertical="center" indent="1"/>
    </xf>
    <xf numFmtId="179" fontId="35" fillId="80" borderId="80" applyNumberFormat="0" applyProtection="0">
      <alignment horizontal="left" vertical="center" indent="1"/>
    </xf>
    <xf numFmtId="180" fontId="35" fillId="80" borderId="80" applyNumberFormat="0" applyProtection="0">
      <alignment horizontal="left" vertical="center" indent="1"/>
    </xf>
    <xf numFmtId="180" fontId="35" fillId="80" borderId="80" applyNumberFormat="0" applyProtection="0">
      <alignment horizontal="left" vertical="center" indent="1"/>
    </xf>
    <xf numFmtId="180" fontId="35" fillId="80" borderId="80" applyNumberFormat="0" applyProtection="0">
      <alignment horizontal="left" vertical="center" indent="1"/>
    </xf>
    <xf numFmtId="18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178" fontId="35" fillId="80" borderId="80" applyNumberFormat="0" applyProtection="0">
      <alignment horizontal="left" vertical="center" indent="1"/>
    </xf>
    <xf numFmtId="0" fontId="35" fillId="80" borderId="80" applyNumberFormat="0" applyProtection="0">
      <alignment horizontal="left" vertical="center" indent="1"/>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199" fontId="90" fillId="9" borderId="80" applyProtection="0">
      <alignment horizontal="right" vertical="center"/>
    </xf>
    <xf numFmtId="0" fontId="142" fillId="81" borderId="0"/>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 fontId="70" fillId="82" borderId="52">
      <alignment horizontal="center"/>
    </xf>
    <xf numFmtId="37" fontId="22" fillId="0" borderId="9">
      <alignment horizontal="center" wrapText="1"/>
      <protection locked="0"/>
    </xf>
    <xf numFmtId="37" fontId="22" fillId="0" borderId="9">
      <alignment horizontal="center" wrapText="1"/>
      <protection locked="0"/>
    </xf>
    <xf numFmtId="37" fontId="35" fillId="14" borderId="9">
      <alignment horizontal="center" wrapText="1"/>
    </xf>
    <xf numFmtId="200" fontId="22" fillId="14" borderId="9" applyBorder="0">
      <alignment horizontal="center" wrapText="1"/>
    </xf>
    <xf numFmtId="200" fontId="22" fillId="14" borderId="9" applyBorder="0">
      <alignment horizontal="center" wrapText="1"/>
    </xf>
    <xf numFmtId="37" fontId="22" fillId="14" borderId="0"/>
    <xf numFmtId="37" fontId="22" fillId="14" borderId="0"/>
    <xf numFmtId="0" fontId="22" fillId="0" borderId="0"/>
    <xf numFmtId="0" fontId="22" fillId="0" borderId="0"/>
    <xf numFmtId="180" fontId="72" fillId="0" borderId="0"/>
    <xf numFmtId="178" fontId="72" fillId="0" borderId="0"/>
    <xf numFmtId="0" fontId="72" fillId="0" borderId="0"/>
    <xf numFmtId="0" fontId="72" fillId="0" borderId="0"/>
    <xf numFmtId="178" fontId="22" fillId="0" borderId="0"/>
    <xf numFmtId="0" fontId="22" fillId="0" borderId="0"/>
    <xf numFmtId="0" fontId="22" fillId="0" borderId="0"/>
    <xf numFmtId="0" fontId="22" fillId="0" borderId="0"/>
    <xf numFmtId="0" fontId="22" fillId="0" borderId="0"/>
    <xf numFmtId="0" fontId="22" fillId="0" borderId="0"/>
    <xf numFmtId="180" fontId="72" fillId="0" borderId="0"/>
    <xf numFmtId="178" fontId="22" fillId="0" borderId="0"/>
    <xf numFmtId="179" fontId="72" fillId="0" borderId="0"/>
    <xf numFmtId="179" fontId="72" fillId="0" borderId="0"/>
    <xf numFmtId="178" fontId="72" fillId="0" borderId="0"/>
    <xf numFmtId="0" fontId="72" fillId="0" borderId="0"/>
    <xf numFmtId="0" fontId="22" fillId="0" borderId="0"/>
    <xf numFmtId="0" fontId="22" fillId="0" borderId="0"/>
    <xf numFmtId="0" fontId="22" fillId="0" borderId="0"/>
    <xf numFmtId="0" fontId="22" fillId="0" borderId="0"/>
    <xf numFmtId="178" fontId="22" fillId="0" borderId="0"/>
    <xf numFmtId="0" fontId="22" fillId="0" borderId="0"/>
    <xf numFmtId="0" fontId="22" fillId="0" borderId="0"/>
    <xf numFmtId="0" fontId="22" fillId="0" borderId="0"/>
    <xf numFmtId="0" fontId="22" fillId="0" borderId="0"/>
    <xf numFmtId="178" fontId="7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78" fontId="22" fillId="0" borderId="0"/>
    <xf numFmtId="178" fontId="22" fillId="0" borderId="0"/>
    <xf numFmtId="0" fontId="143" fillId="2" borderId="0"/>
    <xf numFmtId="178" fontId="143" fillId="2" borderId="0"/>
    <xf numFmtId="178" fontId="143" fillId="2" borderId="0"/>
    <xf numFmtId="178" fontId="143" fillId="2" borderId="0"/>
    <xf numFmtId="0" fontId="144" fillId="5" borderId="0">
      <alignment horizontal="left"/>
    </xf>
    <xf numFmtId="178" fontId="144" fillId="5" borderId="0">
      <alignment horizontal="left"/>
    </xf>
    <xf numFmtId="178" fontId="144" fillId="5" borderId="0">
      <alignment horizontal="left"/>
    </xf>
    <xf numFmtId="178" fontId="144" fillId="5" borderId="0">
      <alignment horizontal="left"/>
    </xf>
    <xf numFmtId="0" fontId="30" fillId="7" borderId="11">
      <alignment horizontal="left"/>
    </xf>
    <xf numFmtId="0"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0"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178"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48" borderId="52">
      <alignment vertical="center"/>
    </xf>
    <xf numFmtId="0"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0" fontId="35" fillId="2" borderId="81" applyNumberFormat="0">
      <alignment horizontal="center"/>
    </xf>
    <xf numFmtId="0" fontId="35" fillId="2" borderId="81" applyNumberFormat="0">
      <alignment horizontal="center"/>
    </xf>
    <xf numFmtId="0" fontId="35" fillId="2" borderId="81" applyNumberFormat="0">
      <alignment horizontal="center"/>
    </xf>
    <xf numFmtId="0" fontId="35" fillId="2" borderId="81" applyNumberFormat="0">
      <alignment horizontal="center"/>
    </xf>
    <xf numFmtId="0"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0" fontId="35" fillId="2" borderId="81" applyNumberFormat="0">
      <alignment horizontal="center"/>
    </xf>
    <xf numFmtId="0" fontId="35" fillId="2" borderId="81" applyNumberFormat="0">
      <alignment horizontal="center"/>
    </xf>
    <xf numFmtId="0"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178" fontId="35" fillId="2" borderId="81" applyNumberFormat="0">
      <alignment horizontal="center"/>
    </xf>
    <xf numFmtId="201" fontId="22" fillId="0" borderId="77"/>
    <xf numFmtId="201" fontId="22" fillId="0" borderId="77"/>
    <xf numFmtId="201" fontId="22" fillId="0" borderId="77"/>
    <xf numFmtId="201" fontId="22" fillId="0" borderId="77"/>
    <xf numFmtId="201" fontId="22" fillId="0" borderId="77"/>
    <xf numFmtId="201" fontId="22" fillId="0" borderId="77"/>
    <xf numFmtId="201" fontId="22" fillId="0" borderId="77"/>
    <xf numFmtId="201" fontId="22" fillId="0" borderId="77"/>
    <xf numFmtId="201" fontId="22" fillId="0" borderId="77"/>
    <xf numFmtId="0" fontId="142" fillId="83" borderId="0">
      <alignment horizontal="left" vertical="center"/>
      <protection locked="0"/>
    </xf>
    <xf numFmtId="0" fontId="145" fillId="84" borderId="0">
      <alignment vertical="center"/>
      <protection locked="0"/>
    </xf>
    <xf numFmtId="40" fontId="99" fillId="0" borderId="0"/>
    <xf numFmtId="0" fontId="146" fillId="0" borderId="0" applyNumberFormat="0" applyFill="0" applyBorder="0" applyAlignment="0" applyProtection="0"/>
    <xf numFmtId="179" fontId="147" fillId="0" borderId="0" applyNumberFormat="0" applyFill="0" applyBorder="0" applyAlignment="0" applyProtection="0"/>
    <xf numFmtId="179" fontId="147" fillId="0" borderId="0" applyNumberFormat="0" applyFill="0" applyBorder="0" applyAlignment="0" applyProtection="0"/>
    <xf numFmtId="178" fontId="147" fillId="0" borderId="0" applyNumberFormat="0" applyFill="0" applyBorder="0" applyAlignment="0" applyProtection="0"/>
    <xf numFmtId="0" fontId="147" fillId="0" borderId="0" applyNumberFormat="0" applyFill="0" applyBorder="0" applyAlignment="0" applyProtection="0"/>
    <xf numFmtId="0" fontId="55" fillId="0" borderId="0" applyNumberFormat="0" applyFill="0" applyBorder="0" applyAlignment="0" applyProtection="0"/>
    <xf numFmtId="180" fontId="147" fillId="0" borderId="0" applyNumberFormat="0" applyFill="0" applyBorder="0" applyAlignment="0" applyProtection="0"/>
    <xf numFmtId="0" fontId="146" fillId="0" borderId="0" applyNumberFormat="0" applyFill="0" applyBorder="0" applyAlignment="0" applyProtection="0"/>
    <xf numFmtId="0" fontId="147" fillId="0" borderId="0" applyNumberFormat="0" applyFill="0" applyBorder="0" applyAlignment="0" applyProtection="0"/>
    <xf numFmtId="180" fontId="147" fillId="0" borderId="0" applyNumberFormat="0" applyFill="0" applyBorder="0" applyAlignment="0" applyProtection="0"/>
    <xf numFmtId="178" fontId="146" fillId="0" borderId="0" applyNumberFormat="0" applyFill="0" applyBorder="0" applyAlignment="0" applyProtection="0"/>
    <xf numFmtId="0" fontId="146" fillId="0" borderId="0" applyNumberFormat="0" applyFill="0" applyBorder="0" applyAlignment="0" applyProtection="0"/>
    <xf numFmtId="0" fontId="146" fillId="0" borderId="0" applyNumberFormat="0" applyFill="0" applyBorder="0" applyAlignment="0" applyProtection="0"/>
    <xf numFmtId="0" fontId="147" fillId="0" borderId="0" applyNumberFormat="0" applyFill="0" applyBorder="0" applyAlignment="0" applyProtection="0"/>
    <xf numFmtId="178" fontId="147" fillId="0" borderId="0" applyNumberFormat="0" applyFill="0" applyBorder="0" applyAlignment="0" applyProtection="0"/>
    <xf numFmtId="179" fontId="55" fillId="0" borderId="0" applyNumberFormat="0" applyFill="0" applyBorder="0" applyAlignment="0" applyProtection="0"/>
    <xf numFmtId="180" fontId="147" fillId="0" borderId="0" applyNumberFormat="0" applyFill="0" applyBorder="0" applyAlignment="0" applyProtection="0"/>
    <xf numFmtId="178" fontId="55" fillId="0" borderId="0" applyNumberFormat="0" applyFill="0" applyBorder="0" applyAlignment="0" applyProtection="0"/>
    <xf numFmtId="0" fontId="147" fillId="0" borderId="0" applyNumberFormat="0" applyFill="0" applyBorder="0" applyAlignment="0" applyProtection="0"/>
    <xf numFmtId="178" fontId="146" fillId="0" borderId="0" applyNumberFormat="0" applyFill="0" applyBorder="0" applyAlignment="0" applyProtection="0"/>
    <xf numFmtId="180" fontId="147" fillId="0" borderId="0" applyNumberFormat="0" applyFill="0" applyBorder="0" applyAlignment="0" applyProtection="0"/>
    <xf numFmtId="178" fontId="55" fillId="0" borderId="0" applyNumberFormat="0" applyFill="0" applyBorder="0" applyAlignment="0" applyProtection="0"/>
    <xf numFmtId="0" fontId="55" fillId="0" borderId="0" applyNumberFormat="0" applyFill="0" applyBorder="0" applyAlignment="0" applyProtection="0"/>
    <xf numFmtId="0" fontId="148" fillId="76" borderId="0"/>
    <xf numFmtId="178" fontId="148" fillId="76" borderId="0"/>
    <xf numFmtId="0" fontId="52" fillId="0" borderId="6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79"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9"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9" fontId="149" fillId="0" borderId="82" applyNumberFormat="0" applyFill="0" applyAlignment="0" applyProtection="0"/>
    <xf numFmtId="179" fontId="149" fillId="0" borderId="82" applyNumberFormat="0" applyFill="0" applyAlignment="0" applyProtection="0"/>
    <xf numFmtId="179" fontId="149" fillId="0" borderId="82" applyNumberFormat="0" applyFill="0" applyAlignment="0" applyProtection="0"/>
    <xf numFmtId="179"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0" fontId="52" fillId="0" borderId="6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178"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52" fillId="0" borderId="6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3" applyNumberFormat="0" applyFill="0" applyAlignment="0" applyProtection="0"/>
    <xf numFmtId="176" fontId="28" fillId="2" borderId="84">
      <alignment horizontal="center"/>
    </xf>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176" fontId="28" fillId="2" borderId="84">
      <alignment horizontal="center"/>
    </xf>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2"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2" applyNumberFormat="0" applyFill="0" applyAlignment="0" applyProtection="0"/>
    <xf numFmtId="0" fontId="149" fillId="0" borderId="83" applyNumberFormat="0" applyFill="0" applyAlignment="0" applyProtection="0"/>
    <xf numFmtId="176" fontId="28" fillId="2" borderId="84">
      <alignment horizontal="center"/>
    </xf>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0" fontId="149" fillId="0" borderId="83" applyNumberFormat="0" applyFill="0" applyAlignment="0" applyProtection="0"/>
    <xf numFmtId="179" fontId="52" fillId="0" borderId="62" applyNumberFormat="0" applyFill="0" applyAlignment="0" applyProtection="0"/>
    <xf numFmtId="179" fontId="52" fillId="0" borderId="6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176" fontId="28" fillId="2" borderId="84">
      <alignment horizontal="center"/>
    </xf>
    <xf numFmtId="176" fontId="28" fillId="2" borderId="84">
      <alignment horizontal="center"/>
    </xf>
    <xf numFmtId="178" fontId="52" fillId="0" borderId="62" applyNumberFormat="0" applyFill="0" applyAlignment="0" applyProtection="0"/>
    <xf numFmtId="0" fontId="149" fillId="0" borderId="82" applyNumberFormat="0" applyFill="0" applyAlignment="0" applyProtection="0"/>
    <xf numFmtId="178" fontId="52" fillId="0" borderId="6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8" fontId="149" fillId="0" borderId="83" applyNumberFormat="0" applyFill="0" applyAlignment="0" applyProtection="0"/>
    <xf numFmtId="176" fontId="28" fillId="2" borderId="84">
      <alignment horizontal="center"/>
    </xf>
    <xf numFmtId="180" fontId="149" fillId="0" borderId="82" applyNumberFormat="0" applyFill="0" applyAlignment="0" applyProtection="0"/>
    <xf numFmtId="180" fontId="149" fillId="0" borderId="82" applyNumberFormat="0" applyFill="0" applyAlignment="0" applyProtection="0"/>
    <xf numFmtId="176" fontId="28" fillId="2" borderId="84">
      <alignment horizontal="center"/>
    </xf>
    <xf numFmtId="0" fontId="150" fillId="0" borderId="0" applyNumberFormat="0" applyFill="0" applyBorder="0" applyAlignment="0" applyProtection="0"/>
    <xf numFmtId="179" fontId="125" fillId="0" borderId="0" applyNumberFormat="0" applyFill="0" applyBorder="0" applyAlignment="0" applyProtection="0"/>
    <xf numFmtId="0" fontId="125" fillId="0" borderId="0" applyNumberFormat="0" applyFill="0" applyBorder="0" applyAlignment="0" applyProtection="0"/>
    <xf numFmtId="0" fontId="53" fillId="0" borderId="0" applyNumberFormat="0" applyFill="0" applyBorder="0" applyAlignment="0" applyProtection="0"/>
    <xf numFmtId="180" fontId="125" fillId="0" borderId="0" applyNumberFormat="0" applyFill="0" applyBorder="0" applyAlignment="0" applyProtection="0"/>
    <xf numFmtId="0" fontId="125" fillId="0" borderId="0" applyNumberFormat="0" applyFill="0" applyBorder="0" applyAlignment="0" applyProtection="0"/>
    <xf numFmtId="180" fontId="125" fillId="0" borderId="0" applyNumberFormat="0" applyFill="0" applyBorder="0" applyAlignment="0" applyProtection="0"/>
    <xf numFmtId="178" fontId="125" fillId="0" borderId="0" applyNumberFormat="0" applyFill="0" applyBorder="0" applyAlignment="0" applyProtection="0"/>
    <xf numFmtId="0" fontId="53" fillId="0" borderId="0" applyNumberFormat="0" applyFill="0" applyBorder="0" applyAlignment="0" applyProtection="0"/>
    <xf numFmtId="179" fontId="53" fillId="0" borderId="0" applyNumberFormat="0" applyFill="0" applyBorder="0" applyAlignment="0" applyProtection="0"/>
    <xf numFmtId="0" fontId="125" fillId="0" borderId="0" applyNumberFormat="0" applyFill="0" applyBorder="0" applyAlignment="0" applyProtection="0"/>
    <xf numFmtId="178" fontId="125" fillId="0" borderId="0" applyNumberFormat="0" applyFill="0" applyBorder="0" applyAlignment="0" applyProtection="0"/>
    <xf numFmtId="0" fontId="150" fillId="0" borderId="0" applyNumberFormat="0" applyFill="0" applyBorder="0" applyAlignment="0" applyProtection="0"/>
    <xf numFmtId="178" fontId="125" fillId="0" borderId="0" applyNumberFormat="0" applyFill="0" applyBorder="0" applyAlignment="0" applyProtection="0"/>
    <xf numFmtId="180" fontId="125" fillId="0" borderId="0" applyNumberFormat="0" applyFill="0" applyBorder="0" applyAlignment="0" applyProtection="0"/>
    <xf numFmtId="178" fontId="53" fillId="0" borderId="0" applyNumberFormat="0" applyFill="0" applyBorder="0" applyAlignment="0" applyProtection="0"/>
    <xf numFmtId="0" fontId="150" fillId="0" borderId="0" applyNumberFormat="0" applyFill="0" applyBorder="0" applyAlignment="0" applyProtection="0"/>
    <xf numFmtId="180" fontId="125" fillId="0" borderId="0" applyNumberFormat="0" applyFill="0" applyBorder="0" applyAlignment="0" applyProtection="0"/>
    <xf numFmtId="178" fontId="53" fillId="0" borderId="0" applyNumberFormat="0" applyFill="0" applyBorder="0" applyAlignment="0" applyProtection="0"/>
    <xf numFmtId="0" fontId="151" fillId="0" borderId="0"/>
    <xf numFmtId="0" fontId="159" fillId="0" borderId="0"/>
    <xf numFmtId="178" fontId="73" fillId="0" borderId="0"/>
    <xf numFmtId="178" fontId="73" fillId="0" borderId="0"/>
    <xf numFmtId="178" fontId="22" fillId="0" borderId="0"/>
    <xf numFmtId="178" fontId="22" fillId="0" borderId="0"/>
    <xf numFmtId="178" fontId="22" fillId="0" borderId="0"/>
    <xf numFmtId="43" fontId="22" fillId="0" borderId="0" applyFont="0" applyFill="0" applyBorder="0" applyAlignment="0" applyProtection="0"/>
    <xf numFmtId="44" fontId="22" fillId="0" borderId="0" applyFont="0" applyFill="0" applyBorder="0" applyAlignment="0" applyProtection="0"/>
    <xf numFmtId="178" fontId="22" fillId="14" borderId="87" applyBorder="0">
      <alignment horizontal="center"/>
    </xf>
    <xf numFmtId="178" fontId="121" fillId="56" borderId="65" applyNumberFormat="0" applyAlignment="0" applyProtection="0"/>
    <xf numFmtId="9" fontId="22" fillId="0" borderId="0" applyFont="0" applyFill="0" applyBorder="0" applyAlignment="0" applyProtection="0"/>
    <xf numFmtId="0" fontId="73" fillId="0" borderId="0"/>
    <xf numFmtId="0" fontId="73" fillId="0" borderId="0"/>
    <xf numFmtId="0" fontId="22" fillId="0" borderId="0"/>
    <xf numFmtId="0" fontId="22" fillId="0" borderId="0"/>
    <xf numFmtId="0" fontId="22" fillId="0" borderId="0"/>
    <xf numFmtId="0" fontId="73" fillId="0" borderId="0"/>
    <xf numFmtId="0" fontId="73" fillId="0" borderId="0"/>
    <xf numFmtId="0" fontId="22" fillId="0" borderId="0"/>
    <xf numFmtId="0" fontId="22" fillId="0" borderId="0"/>
    <xf numFmtId="0" fontId="22" fillId="0" borderId="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9" fillId="0" borderId="0"/>
    <xf numFmtId="0" fontId="9" fillId="0" borderId="0"/>
    <xf numFmtId="0" fontId="9" fillId="0" borderId="0"/>
    <xf numFmtId="0" fontId="9" fillId="0" borderId="0"/>
    <xf numFmtId="0" fontId="8" fillId="0" borderId="0"/>
    <xf numFmtId="44" fontId="12" fillId="0" borderId="0" applyFont="0" applyFill="0" applyBorder="0" applyAlignment="0" applyProtection="0"/>
    <xf numFmtId="0" fontId="7" fillId="0" borderId="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22" fillId="0" borderId="0"/>
    <xf numFmtId="178" fontId="22" fillId="0" borderId="0"/>
    <xf numFmtId="178" fontId="72" fillId="0" borderId="0"/>
    <xf numFmtId="178" fontId="22" fillId="0" borderId="0"/>
    <xf numFmtId="178" fontId="22" fillId="0" borderId="0"/>
    <xf numFmtId="178" fontId="22" fillId="0" borderId="0"/>
    <xf numFmtId="178" fontId="22" fillId="0" borderId="0"/>
    <xf numFmtId="179" fontId="73" fillId="0" borderId="0"/>
    <xf numFmtId="179" fontId="73" fillId="0" borderId="0"/>
    <xf numFmtId="179" fontId="73" fillId="0" borderId="0"/>
    <xf numFmtId="179" fontId="73" fillId="0" borderId="0"/>
    <xf numFmtId="179" fontId="73"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72" fillId="0" borderId="0"/>
    <xf numFmtId="0" fontId="22" fillId="0" borderId="0"/>
    <xf numFmtId="179" fontId="73" fillId="0" borderId="0"/>
    <xf numFmtId="178" fontId="73" fillId="0" borderId="0"/>
    <xf numFmtId="178" fontId="73" fillId="0" borderId="0"/>
    <xf numFmtId="179" fontId="72" fillId="0" borderId="0"/>
    <xf numFmtId="178" fontId="22" fillId="0" borderId="0"/>
    <xf numFmtId="178" fontId="22" fillId="0" borderId="0"/>
    <xf numFmtId="178" fontId="22" fillId="0" borderId="0"/>
    <xf numFmtId="178" fontId="22" fillId="0" borderId="0"/>
    <xf numFmtId="178" fontId="72" fillId="0" borderId="0"/>
    <xf numFmtId="178" fontId="72" fillId="0" borderId="0"/>
    <xf numFmtId="178" fontId="72" fillId="0" borderId="0"/>
    <xf numFmtId="0" fontId="22" fillId="0" borderId="0"/>
    <xf numFmtId="179" fontId="22" fillId="0" borderId="0"/>
    <xf numFmtId="0" fontId="22" fillId="0" borderId="0"/>
    <xf numFmtId="0" fontId="22" fillId="0" borderId="0"/>
    <xf numFmtId="179" fontId="22" fillId="0" borderId="0"/>
    <xf numFmtId="179" fontId="72" fillId="0" borderId="0"/>
    <xf numFmtId="179" fontId="22" fillId="0" borderId="0"/>
    <xf numFmtId="0" fontId="22" fillId="0" borderId="0"/>
    <xf numFmtId="0" fontId="22" fillId="0" borderId="0"/>
    <xf numFmtId="0" fontId="22" fillId="0" borderId="0"/>
    <xf numFmtId="178" fontId="22" fillId="0" borderId="0"/>
    <xf numFmtId="179" fontId="22" fillId="0" borderId="0"/>
    <xf numFmtId="0" fontId="22" fillId="0" borderId="0"/>
    <xf numFmtId="179" fontId="22" fillId="0" borderId="0"/>
    <xf numFmtId="0" fontId="22" fillId="0" borderId="0"/>
    <xf numFmtId="0" fontId="22" fillId="0" borderId="0"/>
    <xf numFmtId="179" fontId="22" fillId="0" borderId="0"/>
    <xf numFmtId="179" fontId="72" fillId="0" borderId="0"/>
    <xf numFmtId="178" fontId="72" fillId="0" borderId="0"/>
    <xf numFmtId="178" fontId="72" fillId="0" borderId="0"/>
    <xf numFmtId="178" fontId="72" fillId="0" borderId="0"/>
    <xf numFmtId="178" fontId="22" fillId="0" borderId="0"/>
    <xf numFmtId="178" fontId="22" fillId="0" borderId="0"/>
    <xf numFmtId="178" fontId="72" fillId="0" borderId="0"/>
    <xf numFmtId="178" fontId="22" fillId="0" borderId="0"/>
    <xf numFmtId="178" fontId="22" fillId="0" borderId="0"/>
    <xf numFmtId="179" fontId="22" fillId="0" borderId="0"/>
    <xf numFmtId="0" fontId="22" fillId="0" borderId="0"/>
    <xf numFmtId="0" fontId="22" fillId="0" borderId="0"/>
    <xf numFmtId="0" fontId="22" fillId="0" borderId="0"/>
    <xf numFmtId="178" fontId="22" fillId="0" borderId="0"/>
    <xf numFmtId="179" fontId="22" fillId="0" borderId="0"/>
    <xf numFmtId="179" fontId="22" fillId="0" borderId="0"/>
    <xf numFmtId="0" fontId="22" fillId="0" borderId="0"/>
    <xf numFmtId="0" fontId="22" fillId="0" borderId="0"/>
    <xf numFmtId="0" fontId="22" fillId="0" borderId="0"/>
    <xf numFmtId="178" fontId="22" fillId="0" borderId="0"/>
    <xf numFmtId="179" fontId="22" fillId="0" borderId="0"/>
    <xf numFmtId="204" fontId="36" fillId="0" borderId="0"/>
    <xf numFmtId="204" fontId="36" fillId="0" borderId="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178" fontId="24" fillId="50"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178" fontId="24" fillId="52"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178" fontId="24" fillId="54" borderId="0" applyNumberFormat="0" applyBorder="0" applyAlignment="0" applyProtection="0"/>
    <xf numFmtId="178" fontId="24" fillId="53"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178" fontId="24" fillId="5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178" fontId="24" fillId="12"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178" fontId="24" fillId="5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178" fontId="24" fillId="12"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178" fontId="24" fillId="52"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178" fontId="24" fillId="58"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178" fontId="24" fillId="51"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178" fontId="24" fillId="12"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178" fontId="24" fillId="54"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8" fontId="75" fillId="12" borderId="0" applyNumberFormat="0" applyBorder="0" applyAlignment="0" applyProtection="0"/>
    <xf numFmtId="178" fontId="75" fillId="61" borderId="0" applyNumberFormat="0" applyBorder="0" applyAlignment="0" applyProtection="0"/>
    <xf numFmtId="178" fontId="75" fillId="59" borderId="0" applyNumberFormat="0" applyBorder="0" applyAlignment="0" applyProtection="0"/>
    <xf numFmtId="178" fontId="75" fillId="51" borderId="0" applyNumberFormat="0" applyBorder="0" applyAlignment="0" applyProtection="0"/>
    <xf numFmtId="178" fontId="75" fillId="62" borderId="0" applyNumberFormat="0" applyBorder="0" applyAlignment="0" applyProtection="0"/>
    <xf numFmtId="178" fontId="75" fillId="12" borderId="0" applyNumberFormat="0" applyBorder="0" applyAlignment="0" applyProtection="0"/>
    <xf numFmtId="178" fontId="75" fillId="52" borderId="0" applyNumberFormat="0" applyBorder="0" applyAlignment="0" applyProtection="0"/>
    <xf numFmtId="0" fontId="24" fillId="88" borderId="0" applyNumberFormat="0" applyBorder="0" applyAlignment="0" applyProtection="0"/>
    <xf numFmtId="0" fontId="24" fillId="88" borderId="0" applyNumberFormat="0" applyBorder="0" applyAlignment="0" applyProtection="0"/>
    <xf numFmtId="0" fontId="75" fillId="89" borderId="0" applyNumberFormat="0" applyBorder="0" applyAlignment="0" applyProtection="0"/>
    <xf numFmtId="178" fontId="75" fillId="65" borderId="0" applyNumberFormat="0" applyBorder="0" applyAlignment="0" applyProtection="0"/>
    <xf numFmtId="0" fontId="24" fillId="90" borderId="0" applyNumberFormat="0" applyBorder="0" applyAlignment="0" applyProtection="0"/>
    <xf numFmtId="0" fontId="24" fillId="91" borderId="0" applyNumberFormat="0" applyBorder="0" applyAlignment="0" applyProtection="0"/>
    <xf numFmtId="0" fontId="75" fillId="92" borderId="0" applyNumberFormat="0" applyBorder="0" applyAlignment="0" applyProtection="0"/>
    <xf numFmtId="178" fontId="75" fillId="61" borderId="0" applyNumberFormat="0" applyBorder="0" applyAlignment="0" applyProtection="0"/>
    <xf numFmtId="0" fontId="24" fillId="90" borderId="0" applyNumberFormat="0" applyBorder="0" applyAlignment="0" applyProtection="0"/>
    <xf numFmtId="0" fontId="24" fillId="93" borderId="0" applyNumberFormat="0" applyBorder="0" applyAlignment="0" applyProtection="0"/>
    <xf numFmtId="0" fontId="75" fillId="91" borderId="0" applyNumberFormat="0" applyBorder="0" applyAlignment="0" applyProtection="0"/>
    <xf numFmtId="178" fontId="75" fillId="59" borderId="0" applyNumberFormat="0" applyBorder="0" applyAlignment="0" applyProtection="0"/>
    <xf numFmtId="0" fontId="24" fillId="88" borderId="0" applyNumberFormat="0" applyBorder="0" applyAlignment="0" applyProtection="0"/>
    <xf numFmtId="0" fontId="24" fillId="91" borderId="0" applyNumberFormat="0" applyBorder="0" applyAlignment="0" applyProtection="0"/>
    <xf numFmtId="0" fontId="75" fillId="91" borderId="0" applyNumberFormat="0" applyBorder="0" applyAlignment="0" applyProtection="0"/>
    <xf numFmtId="178" fontId="75" fillId="69" borderId="0" applyNumberFormat="0" applyBorder="0" applyAlignment="0" applyProtection="0"/>
    <xf numFmtId="0" fontId="24" fillId="94" borderId="0" applyNumberFormat="0" applyBorder="0" applyAlignment="0" applyProtection="0"/>
    <xf numFmtId="0" fontId="24" fillId="88" borderId="0" applyNumberFormat="0" applyBorder="0" applyAlignment="0" applyProtection="0"/>
    <xf numFmtId="0" fontId="75" fillId="89" borderId="0" applyNumberFormat="0" applyBorder="0" applyAlignment="0" applyProtection="0"/>
    <xf numFmtId="178" fontId="75" fillId="63" borderId="0" applyNumberFormat="0" applyBorder="0" applyAlignment="0" applyProtection="0"/>
    <xf numFmtId="0" fontId="24" fillId="90" borderId="0" applyNumberFormat="0" applyBorder="0" applyAlignment="0" applyProtection="0"/>
    <xf numFmtId="0" fontId="24" fillId="95" borderId="0" applyNumberFormat="0" applyBorder="0" applyAlignment="0" applyProtection="0"/>
    <xf numFmtId="0" fontId="75" fillId="95" borderId="0" applyNumberFormat="0" applyBorder="0" applyAlignment="0" applyProtection="0"/>
    <xf numFmtId="178" fontId="75" fillId="67" borderId="0" applyNumberFormat="0" applyBorder="0" applyAlignment="0" applyProtection="0"/>
    <xf numFmtId="0" fontId="162" fillId="0" borderId="0"/>
    <xf numFmtId="42" fontId="97" fillId="0" borderId="0" applyFont="0" applyFill="0" applyBorder="0" applyAlignment="0" applyProtection="0"/>
    <xf numFmtId="178" fontId="81" fillId="55" borderId="0" applyNumberFormat="0" applyBorder="0" applyAlignment="0" applyProtection="0"/>
    <xf numFmtId="178" fontId="81" fillId="51" borderId="0" applyNumberFormat="0" applyBorder="0" applyAlignment="0" applyProtection="0"/>
    <xf numFmtId="0" fontId="163" fillId="0" borderId="0" applyNumberFormat="0" applyFill="0" applyBorder="0" applyAlignment="0"/>
    <xf numFmtId="181" fontId="22" fillId="14" borderId="0" applyNumberFormat="0" applyFont="0" applyBorder="0" applyAlignment="0">
      <alignment horizontal="right"/>
    </xf>
    <xf numFmtId="0" fontId="164" fillId="0" borderId="0" applyNumberFormat="0" applyFill="0" applyBorder="0" applyAlignment="0">
      <protection locked="0"/>
    </xf>
    <xf numFmtId="178" fontId="85"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178" fontId="84" fillId="72"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178" fontId="64" fillId="20" borderId="57"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178" fontId="85"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178" fontId="84" fillId="72"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0" fontId="84" fillId="71" borderId="65" applyNumberFormat="0" applyAlignment="0" applyProtection="0"/>
    <xf numFmtId="178" fontId="84" fillId="72" borderId="65" applyNumberFormat="0" applyAlignment="0" applyProtection="0"/>
    <xf numFmtId="0" fontId="88" fillId="73" borderId="66" applyNumberFormat="0" applyAlignment="0" applyProtection="0"/>
    <xf numFmtId="0" fontId="88" fillId="73" borderId="66" applyNumberFormat="0" applyAlignment="0" applyProtection="0"/>
    <xf numFmtId="178" fontId="88" fillId="73" borderId="66" applyNumberFormat="0" applyAlignment="0" applyProtection="0"/>
    <xf numFmtId="41" fontId="22" fillId="0" borderId="0" applyFont="0" applyFill="0" applyBorder="0" applyAlignment="0" applyProtection="0"/>
    <xf numFmtId="0" fontId="93" fillId="0" borderId="0" applyFont="0" applyFill="0" applyBorder="0" applyAlignment="0" applyProtection="0"/>
    <xf numFmtId="0" fontId="22"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3" fontId="165" fillId="0" borderId="0" applyFont="0" applyFill="0" applyBorder="0" applyAlignment="0" applyProtection="0"/>
    <xf numFmtId="177" fontId="90"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77" fontId="22" fillId="0" borderId="0" applyFont="0" applyFill="0" applyBorder="0" applyAlignment="0" applyProtection="0"/>
    <xf numFmtId="44"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44" fontId="22" fillId="0" borderId="0" applyFont="0" applyFill="0" applyBorder="0" applyAlignment="0" applyProtection="0"/>
    <xf numFmtId="44"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42" fontId="22" fillId="0" borderId="0" applyFont="0" applyFill="0" applyBorder="0" applyAlignment="0" applyProtection="0"/>
    <xf numFmtId="0" fontId="149" fillId="96" borderId="0" applyNumberFormat="0" applyBorder="0" applyAlignment="0" applyProtection="0"/>
    <xf numFmtId="0" fontId="149" fillId="97" borderId="0" applyNumberFormat="0" applyBorder="0" applyAlignment="0" applyProtection="0"/>
    <xf numFmtId="0" fontId="149" fillId="98" borderId="0" applyNumberFormat="0" applyBorder="0" applyAlignment="0" applyProtection="0"/>
    <xf numFmtId="178" fontId="22" fillId="0" borderId="0" applyFont="0" applyFill="0" applyBorder="0" applyAlignment="0" applyProtection="0"/>
    <xf numFmtId="178" fontId="95" fillId="0" borderId="0" applyNumberFormat="0" applyFill="0" applyBorder="0" applyAlignment="0" applyProtection="0"/>
    <xf numFmtId="205" fontId="22" fillId="0" borderId="0" applyFont="0" applyFill="0" applyBorder="0" applyAlignment="0" applyProtection="0"/>
    <xf numFmtId="0" fontId="166" fillId="0" borderId="0"/>
    <xf numFmtId="0" fontId="167" fillId="0" borderId="0"/>
    <xf numFmtId="178" fontId="103" fillId="12" borderId="0" applyNumberFormat="0" applyBorder="0" applyAlignment="0" applyProtection="0"/>
    <xf numFmtId="178" fontId="22" fillId="14" borderId="87" applyBorder="0">
      <alignment horizontal="center"/>
    </xf>
    <xf numFmtId="0" fontId="22" fillId="14" borderId="87" applyBorder="0">
      <alignment horizontal="center"/>
    </xf>
    <xf numFmtId="178" fontId="22" fillId="14" borderId="87" applyBorder="0">
      <alignment horizontal="center"/>
    </xf>
    <xf numFmtId="0" fontId="22" fillId="14" borderId="87" applyBorder="0">
      <alignment horizontal="center"/>
    </xf>
    <xf numFmtId="0" fontId="22" fillId="14" borderId="87" applyBorder="0">
      <alignment horizontal="center"/>
    </xf>
    <xf numFmtId="0" fontId="22" fillId="14" borderId="87" applyBorder="0">
      <alignment horizontal="center"/>
    </xf>
    <xf numFmtId="178" fontId="22" fillId="14" borderId="87" applyBorder="0">
      <alignment horizontal="center"/>
    </xf>
    <xf numFmtId="0" fontId="22" fillId="14" borderId="87" applyBorder="0">
      <alignment horizontal="center"/>
    </xf>
    <xf numFmtId="178" fontId="22" fillId="14" borderId="87" applyBorder="0">
      <alignment horizontal="center"/>
    </xf>
    <xf numFmtId="178" fontId="22" fillId="14" borderId="87" applyBorder="0">
      <alignment horizontal="center"/>
    </xf>
    <xf numFmtId="0" fontId="22" fillId="14" borderId="87" applyBorder="0">
      <alignment horizontal="center"/>
    </xf>
    <xf numFmtId="0" fontId="22" fillId="14" borderId="87" applyBorder="0">
      <alignment horizontal="center"/>
    </xf>
    <xf numFmtId="178" fontId="22" fillId="14" borderId="87" applyBorder="0">
      <alignment horizontal="center"/>
    </xf>
    <xf numFmtId="178" fontId="22" fillId="14" borderId="87" applyBorder="0">
      <alignment horizontal="center"/>
    </xf>
    <xf numFmtId="0" fontId="22" fillId="14" borderId="87" applyBorder="0">
      <alignment horizontal="center"/>
    </xf>
    <xf numFmtId="0" fontId="22" fillId="14" borderId="87" applyBorder="0">
      <alignment horizontal="center"/>
    </xf>
    <xf numFmtId="178" fontId="22" fillId="14" borderId="87" applyBorder="0">
      <alignment horizontal="center"/>
    </xf>
    <xf numFmtId="178" fontId="22" fillId="14" borderId="87" applyBorder="0">
      <alignment horizontal="center"/>
    </xf>
    <xf numFmtId="0" fontId="22" fillId="14" borderId="87" applyBorder="0">
      <alignment horizontal="center"/>
    </xf>
    <xf numFmtId="0" fontId="22" fillId="14" borderId="87" applyBorder="0">
      <alignment horizontal="center"/>
    </xf>
    <xf numFmtId="178" fontId="22" fillId="14" borderId="87" applyBorder="0">
      <alignment horizontal="center"/>
    </xf>
    <xf numFmtId="178" fontId="22" fillId="14" borderId="87" applyBorder="0">
      <alignment horizontal="center"/>
    </xf>
    <xf numFmtId="0" fontId="22" fillId="14" borderId="87" applyBorder="0">
      <alignment horizontal="center"/>
    </xf>
    <xf numFmtId="0" fontId="22" fillId="14" borderId="87" applyBorder="0">
      <alignment horizontal="center"/>
    </xf>
    <xf numFmtId="178" fontId="22" fillId="14" borderId="87" applyBorder="0">
      <alignment horizontal="center"/>
    </xf>
    <xf numFmtId="178" fontId="22" fillId="14" borderId="87" applyBorder="0">
      <alignment horizontal="center"/>
    </xf>
    <xf numFmtId="0" fontId="22" fillId="14" borderId="87" applyBorder="0">
      <alignment horizontal="center"/>
    </xf>
    <xf numFmtId="0" fontId="22" fillId="14" borderId="87" applyBorder="0">
      <alignment horizontal="center"/>
    </xf>
    <xf numFmtId="178" fontId="22" fillId="14" borderId="87" applyBorder="0">
      <alignment horizontal="center"/>
    </xf>
    <xf numFmtId="178" fontId="22" fillId="14" borderId="87" applyBorder="0">
      <alignment horizontal="center"/>
    </xf>
    <xf numFmtId="178" fontId="22" fillId="14" borderId="87" applyBorder="0">
      <alignment horizontal="center"/>
    </xf>
    <xf numFmtId="178" fontId="22" fillId="14" borderId="87" applyBorder="0">
      <alignment horizontal="center"/>
    </xf>
    <xf numFmtId="178" fontId="22" fillId="14" borderId="87" applyBorder="0">
      <alignment horizontal="center"/>
    </xf>
    <xf numFmtId="178" fontId="22" fillId="14" borderId="87" applyBorder="0">
      <alignment horizontal="center"/>
    </xf>
    <xf numFmtId="178" fontId="22" fillId="14" borderId="87" applyBorder="0">
      <alignment horizontal="center"/>
    </xf>
    <xf numFmtId="0" fontId="22" fillId="14" borderId="87" applyBorder="0">
      <alignment horizontal="center"/>
    </xf>
    <xf numFmtId="178" fontId="107" fillId="0" borderId="69" applyNumberFormat="0" applyFill="0" applyAlignment="0" applyProtection="0"/>
    <xf numFmtId="178" fontId="107" fillId="0" borderId="69" applyNumberFormat="0" applyFill="0" applyAlignment="0" applyProtection="0"/>
    <xf numFmtId="178" fontId="110" fillId="0" borderId="72" applyNumberFormat="0" applyFill="0" applyAlignment="0" applyProtection="0"/>
    <xf numFmtId="178" fontId="111" fillId="0" borderId="0" applyNumberFormat="0" applyFill="0" applyBorder="0"/>
    <xf numFmtId="178" fontId="110" fillId="0" borderId="72"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178" fontId="58" fillId="0" borderId="56" applyNumberFormat="0" applyFill="0" applyAlignment="0" applyProtection="0"/>
    <xf numFmtId="0" fontId="113" fillId="0" borderId="91" applyNumberFormat="0" applyFill="0" applyAlignment="0" applyProtection="0"/>
    <xf numFmtId="178" fontId="113" fillId="0" borderId="74" applyNumberFormat="0" applyFill="0" applyAlignment="0" applyProtection="0"/>
    <xf numFmtId="178" fontId="113" fillId="0" borderId="74" applyNumberFormat="0" applyFill="0" applyAlignment="0" applyProtection="0"/>
    <xf numFmtId="178" fontId="113" fillId="0" borderId="74" applyNumberFormat="0" applyFill="0" applyAlignment="0" applyProtection="0"/>
    <xf numFmtId="178" fontId="113" fillId="0" borderId="0" applyNumberFormat="0" applyFill="0" applyBorder="0" applyAlignment="0" applyProtection="0"/>
    <xf numFmtId="178" fontId="113" fillId="0" borderId="0" applyNumberFormat="0" applyFill="0" applyBorder="0" applyAlignment="0" applyProtection="0"/>
    <xf numFmtId="175" fontId="168" fillId="0" borderId="0"/>
    <xf numFmtId="178" fontId="115" fillId="0" borderId="0" applyNumberFormat="0" applyFill="0" applyBorder="0" applyAlignment="0" applyProtection="0">
      <alignment vertical="top"/>
      <protection locked="0"/>
    </xf>
    <xf numFmtId="0" fontId="169" fillId="0" borderId="0" applyNumberFormat="0" applyFill="0" applyBorder="0" applyAlignment="0" applyProtection="0"/>
    <xf numFmtId="0" fontId="170" fillId="0" borderId="0" applyFill="0" applyBorder="0">
      <alignment horizontal="center" vertical="center"/>
      <protection locked="0"/>
    </xf>
    <xf numFmtId="0" fontId="171" fillId="0" borderId="0" applyFill="0" applyBorder="0">
      <alignment horizontal="left" vertical="center"/>
      <protection locked="0"/>
    </xf>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62" fillId="19" borderId="57"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178" fontId="121" fillId="56" borderId="65" applyNumberFormat="0" applyAlignment="0" applyProtection="0"/>
    <xf numFmtId="181" fontId="22" fillId="77" borderId="0" applyFont="0" applyBorder="0" applyAlignment="0">
      <alignment horizontal="right"/>
      <protection locked="0"/>
    </xf>
    <xf numFmtId="0" fontId="36" fillId="14" borderId="0"/>
    <xf numFmtId="178" fontId="125" fillId="0" borderId="76" applyNumberFormat="0" applyFill="0" applyAlignment="0" applyProtection="0"/>
    <xf numFmtId="206" fontId="172" fillId="0" borderId="0"/>
    <xf numFmtId="0" fontId="70" fillId="0" borderId="0" applyFill="0" applyBorder="0">
      <alignment horizontal="left" vertical="center"/>
    </xf>
    <xf numFmtId="178" fontId="129" fillId="58" borderId="0" applyNumberFormat="0" applyBorder="0" applyAlignment="0" applyProtection="0"/>
    <xf numFmtId="178" fontId="128" fillId="58" borderId="0" applyNumberFormat="0" applyBorder="0" applyAlignment="0" applyProtection="0"/>
    <xf numFmtId="197" fontId="131" fillId="0" borderId="0"/>
    <xf numFmtId="178" fontId="92" fillId="0" borderId="0"/>
    <xf numFmtId="178" fontId="92" fillId="0" borderId="0"/>
    <xf numFmtId="178" fontId="22" fillId="0" borderId="0"/>
    <xf numFmtId="0" fontId="22" fillId="0" borderId="0" applyFill="0"/>
    <xf numFmtId="178" fontId="92" fillId="0" borderId="0"/>
    <xf numFmtId="0" fontId="22" fillId="0" borderId="0"/>
    <xf numFmtId="178" fontId="92" fillId="0" borderId="0"/>
    <xf numFmtId="0" fontId="7" fillId="0" borderId="0"/>
    <xf numFmtId="0" fontId="7" fillId="0" borderId="0"/>
    <xf numFmtId="178" fontId="92" fillId="0" borderId="0"/>
    <xf numFmtId="178" fontId="90" fillId="0" borderId="0"/>
    <xf numFmtId="178" fontId="90" fillId="0" borderId="0"/>
    <xf numFmtId="178" fontId="90" fillId="0" borderId="0"/>
    <xf numFmtId="178" fontId="90" fillId="0" borderId="0"/>
    <xf numFmtId="178" fontId="90" fillId="0" borderId="0"/>
    <xf numFmtId="178" fontId="22" fillId="0" borderId="0"/>
    <xf numFmtId="178" fontId="22" fillId="0" borderId="0"/>
    <xf numFmtId="178" fontId="22" fillId="0" borderId="0"/>
    <xf numFmtId="178" fontId="90" fillId="0" borderId="0"/>
    <xf numFmtId="178" fontId="90" fillId="0" borderId="0"/>
    <xf numFmtId="178" fontId="22" fillId="0" borderId="0"/>
    <xf numFmtId="178" fontId="22" fillId="0" borderId="0"/>
    <xf numFmtId="178" fontId="22" fillId="0" borderId="0"/>
    <xf numFmtId="178" fontId="90" fillId="0" borderId="0"/>
    <xf numFmtId="178" fontId="90" fillId="0" borderId="0"/>
    <xf numFmtId="178" fontId="90" fillId="0" borderId="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xf numFmtId="178" fontId="22" fillId="0" borderId="0"/>
    <xf numFmtId="178" fontId="22" fillId="0" borderId="0"/>
    <xf numFmtId="178" fontId="22" fillId="0" borderId="0"/>
    <xf numFmtId="178" fontId="22" fillId="0" borderId="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178" fontId="22" fillId="0" borderId="0" applyNumberFormat="0" applyFont="0" applyFill="0" applyBorder="0" applyAlignment="0" applyProtection="0"/>
    <xf numFmtId="0" fontId="7" fillId="0" borderId="0"/>
    <xf numFmtId="0" fontId="7"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22" fillId="0" borderId="0"/>
    <xf numFmtId="178" fontId="7" fillId="0" borderId="0"/>
    <xf numFmtId="0" fontId="7" fillId="0" borderId="0"/>
    <xf numFmtId="0" fontId="22" fillId="0" borderId="0" applyNumberFormat="0" applyFont="0" applyFill="0" applyBorder="0" applyAlignment="0" applyProtection="0"/>
    <xf numFmtId="0" fontId="7" fillId="0" borderId="0"/>
    <xf numFmtId="0" fontId="7" fillId="0" borderId="0"/>
    <xf numFmtId="178" fontId="90"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22" fillId="0" borderId="0"/>
    <xf numFmtId="178" fontId="22" fillId="0" borderId="0"/>
    <xf numFmtId="178" fontId="22" fillId="0" borderId="0"/>
    <xf numFmtId="0"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8"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8"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8" fontId="22" fillId="0" borderId="0"/>
    <xf numFmtId="178" fontId="2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2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90" fillId="0" borderId="0"/>
    <xf numFmtId="0" fontId="22" fillId="0" borderId="0"/>
    <xf numFmtId="178" fontId="92" fillId="0" borderId="0"/>
    <xf numFmtId="0" fontId="7" fillId="0" borderId="0"/>
    <xf numFmtId="0" fontId="7" fillId="0" borderId="0"/>
    <xf numFmtId="178" fontId="92" fillId="0" borderId="0"/>
    <xf numFmtId="0" fontId="7" fillId="0" borderId="0"/>
    <xf numFmtId="178" fontId="92" fillId="0" borderId="0"/>
    <xf numFmtId="178" fontId="7" fillId="22" borderId="61" applyNumberFormat="0" applyFont="0" applyAlignment="0" applyProtection="0"/>
    <xf numFmtId="0" fontId="22" fillId="54" borderId="77" applyNumberFormat="0" applyFont="0" applyAlignment="0" applyProtection="0"/>
    <xf numFmtId="178" fontId="134" fillId="54" borderId="77" applyNumberFormat="0" applyFont="0" applyAlignment="0" applyProtection="0"/>
    <xf numFmtId="178" fontId="22" fillId="54" borderId="77" applyNumberFormat="0" applyFont="0" applyAlignment="0" applyProtection="0"/>
    <xf numFmtId="178" fontId="134" fillId="54" borderId="77"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24"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178" fontId="7" fillId="22" borderId="61"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22" fillId="54" borderId="77"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179"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7" fillId="22" borderId="61"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178" fontId="7" fillId="22" borderId="61" applyNumberFormat="0" applyFont="0" applyAlignment="0" applyProtection="0"/>
    <xf numFmtId="0" fontId="22" fillId="54" borderId="77" applyNumberFormat="0" applyFont="0" applyAlignment="0" applyProtection="0"/>
    <xf numFmtId="178" fontId="134" fillId="54" borderId="77" applyNumberFormat="0" applyFont="0" applyAlignment="0" applyProtection="0"/>
    <xf numFmtId="178" fontId="22" fillId="54" borderId="77" applyNumberFormat="0" applyFont="0" applyAlignment="0" applyProtection="0"/>
    <xf numFmtId="178" fontId="134" fillId="54" borderId="77" applyNumberFormat="0" applyFont="0" applyAlignment="0" applyProtection="0"/>
    <xf numFmtId="178" fontId="134" fillId="54" borderId="77" applyNumberFormat="0" applyFont="0" applyAlignment="0" applyProtection="0"/>
    <xf numFmtId="178" fontId="134"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7" fillId="22" borderId="61" applyNumberFormat="0" applyFont="0" applyAlignment="0" applyProtection="0"/>
    <xf numFmtId="178" fontId="7" fillId="22" borderId="61" applyNumberFormat="0" applyFon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63" fillId="20" borderId="58"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2"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78" fontId="135" fillId="72"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9" fontId="121" fillId="56" borderId="94" applyNumberFormat="0" applyAlignment="0" applyProtection="0"/>
    <xf numFmtId="178"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90"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2" fillId="0" borderId="0" applyFont="0" applyFill="0" applyBorder="0" applyAlignment="0" applyProtection="0"/>
    <xf numFmtId="175" fontId="173" fillId="0" borderId="0"/>
    <xf numFmtId="0" fontId="174" fillId="0" borderId="0" applyFill="0" applyBorder="0">
      <alignment vertical="center"/>
    </xf>
    <xf numFmtId="178" fontId="93" fillId="0" borderId="0" applyNumberFormat="0" applyFont="0" applyFill="0" applyBorder="0" applyAlignment="0" applyProtection="0">
      <alignment horizontal="left"/>
    </xf>
    <xf numFmtId="207" fontId="175" fillId="0" borderId="16"/>
    <xf numFmtId="207" fontId="175" fillId="0" borderId="16"/>
    <xf numFmtId="0" fontId="140" fillId="0" borderId="14">
      <alignment horizontal="center"/>
    </xf>
    <xf numFmtId="0" fontId="140" fillId="0" borderId="14">
      <alignment horizontal="center"/>
    </xf>
    <xf numFmtId="178" fontId="140" fillId="0" borderId="14">
      <alignment horizontal="center"/>
    </xf>
    <xf numFmtId="0" fontId="140" fillId="0" borderId="14">
      <alignment horizontal="center"/>
    </xf>
    <xf numFmtId="178" fontId="140" fillId="0" borderId="14">
      <alignment horizontal="center"/>
    </xf>
    <xf numFmtId="178" fontId="140" fillId="0" borderId="14">
      <alignment horizontal="center"/>
    </xf>
    <xf numFmtId="178" fontId="93" fillId="79" borderId="0" applyNumberFormat="0" applyFont="0" applyBorder="0" applyAlignment="0" applyProtection="0"/>
    <xf numFmtId="208" fontId="22" fillId="0" borderId="0"/>
    <xf numFmtId="209" fontId="36" fillId="0" borderId="0" applyFill="0" applyBorder="0">
      <alignment horizontal="right" vertical="center"/>
    </xf>
    <xf numFmtId="210" fontId="36" fillId="0" borderId="0" applyFill="0" applyBorder="0">
      <alignment horizontal="right" vertical="center"/>
    </xf>
    <xf numFmtId="211" fontId="36" fillId="0" borderId="0" applyFill="0" applyBorder="0">
      <alignment horizontal="right" vertical="center"/>
    </xf>
    <xf numFmtId="178" fontId="84" fillId="72"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22" fillId="54" borderId="0" applyNumberFormat="0" applyFont="0" applyBorder="0" applyAlignment="0" applyProtection="0"/>
    <xf numFmtId="0" fontId="22" fillId="71" borderId="0" applyNumberFormat="0" applyFont="0" applyBorder="0" applyAlignment="0" applyProtection="0"/>
    <xf numFmtId="0" fontId="22" fillId="72" borderId="0" applyNumberFormat="0" applyFont="0" applyBorder="0" applyAlignment="0" applyProtection="0"/>
    <xf numFmtId="0" fontId="22" fillId="0" borderId="0" applyNumberFormat="0" applyFont="0" applyFill="0" applyBorder="0" applyAlignment="0" applyProtection="0"/>
    <xf numFmtId="0" fontId="22" fillId="72" borderId="0" applyNumberFormat="0" applyFont="0" applyBorder="0" applyAlignment="0" applyProtection="0"/>
    <xf numFmtId="0" fontId="22" fillId="0" borderId="0" applyNumberFormat="0" applyFont="0" applyFill="0" applyBorder="0" applyAlignment="0" applyProtection="0"/>
    <xf numFmtId="0" fontId="22" fillId="0" borderId="0" applyNumberFormat="0" applyFont="0" applyBorder="0" applyAlignment="0" applyProtection="0"/>
    <xf numFmtId="0" fontId="146" fillId="0" borderId="0" applyNumberFormat="0" applyFill="0" applyBorder="0" applyAlignment="0" applyProtection="0"/>
    <xf numFmtId="178" fontId="22" fillId="0" borderId="0"/>
    <xf numFmtId="178" fontId="72" fillId="0" borderId="0"/>
    <xf numFmtId="0" fontId="70" fillId="0" borderId="0"/>
    <xf numFmtId="0" fontId="176" fillId="0" borderId="0"/>
    <xf numFmtId="15" fontId="22" fillId="0" borderId="0"/>
    <xf numFmtId="10" fontId="22" fillId="0" borderId="0"/>
    <xf numFmtId="0" fontId="177" fillId="76" borderId="12" applyBorder="0" applyProtection="0">
      <alignment horizontal="centerContinuous" vertical="center"/>
    </xf>
    <xf numFmtId="0" fontId="177" fillId="76" borderId="12" applyBorder="0" applyProtection="0">
      <alignment horizontal="centerContinuous" vertical="center"/>
    </xf>
    <xf numFmtId="0" fontId="177" fillId="76" borderId="12" applyBorder="0" applyProtection="0">
      <alignment horizontal="centerContinuous" vertical="center"/>
    </xf>
    <xf numFmtId="0" fontId="177" fillId="76" borderId="12" applyBorder="0" applyProtection="0">
      <alignment horizontal="centerContinuous" vertical="center"/>
    </xf>
    <xf numFmtId="0" fontId="178" fillId="0" borderId="0" applyBorder="0" applyProtection="0">
      <alignment vertical="center"/>
    </xf>
    <xf numFmtId="0" fontId="179" fillId="0" borderId="0">
      <alignment horizontal="left"/>
    </xf>
    <xf numFmtId="0" fontId="179" fillId="0" borderId="8" applyFill="0" applyBorder="0" applyProtection="0">
      <alignment horizontal="left" vertical="top"/>
    </xf>
    <xf numFmtId="0" fontId="179" fillId="0" borderId="8" applyFill="0" applyBorder="0" applyProtection="0">
      <alignment horizontal="left" vertical="top"/>
    </xf>
    <xf numFmtId="49" fontId="22" fillId="0" borderId="0" applyFont="0" applyFill="0" applyBorder="0" applyAlignment="0" applyProtection="0"/>
    <xf numFmtId="0" fontId="180" fillId="0" borderId="0"/>
    <xf numFmtId="0" fontId="181" fillId="0" borderId="0"/>
    <xf numFmtId="0" fontId="181" fillId="0" borderId="0"/>
    <xf numFmtId="0" fontId="180" fillId="0" borderId="0"/>
    <xf numFmtId="206" fontId="182" fillId="0" borderId="0"/>
    <xf numFmtId="178" fontId="146" fillId="0" borderId="0" applyNumberFormat="0" applyFill="0" applyBorder="0" applyAlignment="0" applyProtection="0"/>
    <xf numFmtId="0" fontId="183" fillId="0" borderId="0" applyFill="0" applyBorder="0">
      <alignment horizontal="left" vertical="center"/>
      <protection locked="0"/>
    </xf>
    <xf numFmtId="0" fontId="180" fillId="0" borderId="0"/>
    <xf numFmtId="0" fontId="184" fillId="0" borderId="0" applyFill="0" applyBorder="0">
      <alignment horizontal="left" vertical="center"/>
      <protection locked="0"/>
    </xf>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178" fontId="149" fillId="0" borderId="83"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178" fontId="52" fillId="0" borderId="6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178" fontId="149" fillId="0" borderId="83"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176" fontId="28" fillId="2" borderId="84">
      <alignment horizontal="center"/>
    </xf>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178" fontId="149" fillId="0" borderId="8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0" fontId="149" fillId="0" borderId="92" applyNumberFormat="0" applyFill="0" applyAlignment="0" applyProtection="0"/>
    <xf numFmtId="176" fontId="28" fillId="2" borderId="84">
      <alignment horizontal="center"/>
    </xf>
    <xf numFmtId="178" fontId="125" fillId="0" borderId="0" applyNumberFormat="0" applyFill="0" applyBorder="0" applyAlignment="0" applyProtection="0"/>
    <xf numFmtId="212" fontId="22" fillId="0" borderId="12" applyBorder="0" applyProtection="0">
      <alignment horizontal="right"/>
    </xf>
    <xf numFmtId="212" fontId="22" fillId="0" borderId="12" applyBorder="0" applyProtection="0">
      <alignment horizontal="right"/>
    </xf>
    <xf numFmtId="212" fontId="22" fillId="0" borderId="12" applyBorder="0" applyProtection="0">
      <alignment horizontal="right"/>
    </xf>
    <xf numFmtId="212" fontId="22" fillId="0" borderId="12" applyBorder="0" applyProtection="0">
      <alignment horizontal="right"/>
    </xf>
    <xf numFmtId="178" fontId="22" fillId="0" borderId="0"/>
    <xf numFmtId="178" fontId="72" fillId="0" borderId="0"/>
    <xf numFmtId="178" fontId="22" fillId="0" borderId="0"/>
    <xf numFmtId="178" fontId="22" fillId="0" borderId="0"/>
    <xf numFmtId="178" fontId="22" fillId="0" borderId="0"/>
    <xf numFmtId="178" fontId="22" fillId="0" borderId="0"/>
    <xf numFmtId="179" fontId="73" fillId="0" borderId="0"/>
    <xf numFmtId="0" fontId="73" fillId="0" borderId="0"/>
    <xf numFmtId="178" fontId="73" fillId="0" borderId="0"/>
    <xf numFmtId="178" fontId="73" fillId="0" borderId="0"/>
    <xf numFmtId="178" fontId="73" fillId="0" borderId="0"/>
    <xf numFmtId="178" fontId="73" fillId="0" borderId="0"/>
    <xf numFmtId="178" fontId="73" fillId="0" borderId="0"/>
    <xf numFmtId="178" fontId="73" fillId="0" borderId="0"/>
    <xf numFmtId="180" fontId="73" fillId="0" borderId="0"/>
    <xf numFmtId="178" fontId="73" fillId="0" borderId="0"/>
    <xf numFmtId="178" fontId="73" fillId="0" borderId="0"/>
    <xf numFmtId="180" fontId="73"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9" fontId="22" fillId="0" borderId="0"/>
    <xf numFmtId="178" fontId="73" fillId="0" borderId="0"/>
    <xf numFmtId="178" fontId="73" fillId="0" borderId="0"/>
    <xf numFmtId="179" fontId="73" fillId="0" borderId="0"/>
    <xf numFmtId="0" fontId="73" fillId="0" borderId="0"/>
    <xf numFmtId="178" fontId="73" fillId="0" borderId="0"/>
    <xf numFmtId="178" fontId="73" fillId="0" borderId="0"/>
    <xf numFmtId="178" fontId="73" fillId="0" borderId="0"/>
    <xf numFmtId="178" fontId="73" fillId="0" borderId="0"/>
    <xf numFmtId="178" fontId="73" fillId="0" borderId="0"/>
    <xf numFmtId="178" fontId="22" fillId="0" borderId="0"/>
    <xf numFmtId="178" fontId="22" fillId="0" borderId="0"/>
    <xf numFmtId="178" fontId="22" fillId="0" borderId="0"/>
    <xf numFmtId="178" fontId="22" fillId="0" borderId="0"/>
    <xf numFmtId="178" fontId="72" fillId="0" borderId="0"/>
    <xf numFmtId="178" fontId="72" fillId="0" borderId="0"/>
    <xf numFmtId="178" fontId="72" fillId="0" borderId="0"/>
    <xf numFmtId="179" fontId="22" fillId="0" borderId="0"/>
    <xf numFmtId="180" fontId="22" fillId="0" borderId="0"/>
    <xf numFmtId="0" fontId="22" fillId="0" borderId="0"/>
    <xf numFmtId="180" fontId="22" fillId="0" borderId="0"/>
    <xf numFmtId="178" fontId="22" fillId="0" borderId="0"/>
    <xf numFmtId="0" fontId="22" fillId="0" borderId="0"/>
    <xf numFmtId="0" fontId="22" fillId="0" borderId="0"/>
    <xf numFmtId="178" fontId="22" fillId="0" borderId="0"/>
    <xf numFmtId="0" fontId="22" fillId="0" borderId="0"/>
    <xf numFmtId="180" fontId="22" fillId="0" borderId="0"/>
    <xf numFmtId="178" fontId="22" fillId="0" borderId="0"/>
    <xf numFmtId="0" fontId="22" fillId="0" borderId="0"/>
    <xf numFmtId="0" fontId="22" fillId="0" borderId="0"/>
    <xf numFmtId="0" fontId="22" fillId="0" borderId="0"/>
    <xf numFmtId="0" fontId="22" fillId="0" borderId="0"/>
    <xf numFmtId="179" fontId="22" fillId="0" borderId="0"/>
    <xf numFmtId="180" fontId="22" fillId="0" borderId="0"/>
    <xf numFmtId="180" fontId="22" fillId="0" borderId="0"/>
    <xf numFmtId="0" fontId="22" fillId="0" borderId="0"/>
    <xf numFmtId="0" fontId="22" fillId="0" borderId="0"/>
    <xf numFmtId="0" fontId="22" fillId="0" borderId="0"/>
    <xf numFmtId="0" fontId="22" fillId="0" borderId="0"/>
    <xf numFmtId="180" fontId="22" fillId="0" borderId="0"/>
    <xf numFmtId="179" fontId="22" fillId="0" borderId="0"/>
    <xf numFmtId="0" fontId="22" fillId="0" borderId="0"/>
    <xf numFmtId="180" fontId="22" fillId="0" borderId="0"/>
    <xf numFmtId="178" fontId="22" fillId="0" borderId="0"/>
    <xf numFmtId="0" fontId="22" fillId="0" borderId="0"/>
    <xf numFmtId="0" fontId="22" fillId="0" borderId="0"/>
    <xf numFmtId="178" fontId="22" fillId="0" borderId="0"/>
    <xf numFmtId="180" fontId="22" fillId="0" borderId="0"/>
    <xf numFmtId="178" fontId="22" fillId="0" borderId="0"/>
    <xf numFmtId="0" fontId="22" fillId="0" borderId="0"/>
    <xf numFmtId="0" fontId="22" fillId="0" borderId="0"/>
    <xf numFmtId="0" fontId="22" fillId="0" borderId="0"/>
    <xf numFmtId="0" fontId="22" fillId="0" borderId="0"/>
    <xf numFmtId="179" fontId="22" fillId="0" borderId="0"/>
    <xf numFmtId="180" fontId="22" fillId="0" borderId="0"/>
    <xf numFmtId="180" fontId="22" fillId="0" borderId="0"/>
    <xf numFmtId="0" fontId="22" fillId="0" borderId="0"/>
    <xf numFmtId="178" fontId="22" fillId="0" borderId="0"/>
    <xf numFmtId="178" fontId="22" fillId="0" borderId="0"/>
    <xf numFmtId="0" fontId="22" fillId="0" borderId="0"/>
    <xf numFmtId="0" fontId="22" fillId="0" borderId="0"/>
    <xf numFmtId="179" fontId="22" fillId="0" borderId="0"/>
    <xf numFmtId="180" fontId="22" fillId="0" borderId="0"/>
    <xf numFmtId="0" fontId="22" fillId="0" borderId="0"/>
    <xf numFmtId="180" fontId="22" fillId="0" borderId="0"/>
    <xf numFmtId="178" fontId="22" fillId="0" borderId="0"/>
    <xf numFmtId="0" fontId="22" fillId="0" borderId="0"/>
    <xf numFmtId="0" fontId="22" fillId="0" borderId="0"/>
    <xf numFmtId="178" fontId="22" fillId="0" borderId="0"/>
    <xf numFmtId="0" fontId="22" fillId="0" borderId="0"/>
    <xf numFmtId="180" fontId="22" fillId="0" borderId="0"/>
    <xf numFmtId="178" fontId="22" fillId="0" borderId="0"/>
    <xf numFmtId="0" fontId="22" fillId="0" borderId="0"/>
    <xf numFmtId="0" fontId="22" fillId="0" borderId="0"/>
    <xf numFmtId="0" fontId="22" fillId="0" borderId="0"/>
    <xf numFmtId="0" fontId="22" fillId="0" borderId="0"/>
    <xf numFmtId="179" fontId="22" fillId="0" borderId="0"/>
    <xf numFmtId="180" fontId="22" fillId="0" borderId="0"/>
    <xf numFmtId="180" fontId="22" fillId="0" borderId="0"/>
    <xf numFmtId="0" fontId="22" fillId="0" borderId="0"/>
    <xf numFmtId="0" fontId="22" fillId="0" borderId="0"/>
    <xf numFmtId="0" fontId="22" fillId="0" borderId="0"/>
    <xf numFmtId="178" fontId="72" fillId="0" borderId="0"/>
    <xf numFmtId="178" fontId="72" fillId="0" borderId="0"/>
    <xf numFmtId="178" fontId="72" fillId="0" borderId="0"/>
    <xf numFmtId="178" fontId="22" fillId="0" borderId="0"/>
    <xf numFmtId="178" fontId="22" fillId="0" borderId="0"/>
    <xf numFmtId="178" fontId="72" fillId="0" borderId="0"/>
    <xf numFmtId="178" fontId="22" fillId="0" borderId="0"/>
    <xf numFmtId="178" fontId="22" fillId="0" borderId="0"/>
    <xf numFmtId="0" fontId="22" fillId="0" borderId="0"/>
    <xf numFmtId="180" fontId="22" fillId="0" borderId="0"/>
    <xf numFmtId="179" fontId="22" fillId="0" borderId="0"/>
    <xf numFmtId="0" fontId="22" fillId="0" borderId="0"/>
    <xf numFmtId="180" fontId="22" fillId="0" borderId="0"/>
    <xf numFmtId="178" fontId="22" fillId="0" borderId="0"/>
    <xf numFmtId="0" fontId="22" fillId="0" borderId="0"/>
    <xf numFmtId="0" fontId="22" fillId="0" borderId="0"/>
    <xf numFmtId="178" fontId="22" fillId="0" borderId="0"/>
    <xf numFmtId="180" fontId="22" fillId="0" borderId="0"/>
    <xf numFmtId="178" fontId="22" fillId="0" borderId="0"/>
    <xf numFmtId="0" fontId="22" fillId="0" borderId="0"/>
    <xf numFmtId="0" fontId="22" fillId="0" borderId="0"/>
    <xf numFmtId="0" fontId="22" fillId="0" borderId="0"/>
    <xf numFmtId="0" fontId="22" fillId="0" borderId="0"/>
    <xf numFmtId="179" fontId="22" fillId="0" borderId="0"/>
    <xf numFmtId="180" fontId="22" fillId="0" borderId="0"/>
    <xf numFmtId="180" fontId="22" fillId="0" borderId="0"/>
    <xf numFmtId="0" fontId="22" fillId="0" borderId="0"/>
    <xf numFmtId="178" fontId="22" fillId="0" borderId="0"/>
    <xf numFmtId="178" fontId="22" fillId="0" borderId="0"/>
    <xf numFmtId="0" fontId="22" fillId="0" borderId="0"/>
    <xf numFmtId="0" fontId="22" fillId="0" borderId="0"/>
    <xf numFmtId="0" fontId="22" fillId="0" borderId="0"/>
    <xf numFmtId="180" fontId="22" fillId="0" borderId="0"/>
    <xf numFmtId="179" fontId="22" fillId="0" borderId="0"/>
    <xf numFmtId="0" fontId="22" fillId="0" borderId="0"/>
    <xf numFmtId="180" fontId="22" fillId="0" borderId="0"/>
    <xf numFmtId="178" fontId="22" fillId="0" borderId="0"/>
    <xf numFmtId="0" fontId="22" fillId="0" borderId="0"/>
    <xf numFmtId="0" fontId="22" fillId="0" borderId="0"/>
    <xf numFmtId="178" fontId="22" fillId="0" borderId="0"/>
    <xf numFmtId="180" fontId="22" fillId="0" borderId="0"/>
    <xf numFmtId="178" fontId="22" fillId="0" borderId="0"/>
    <xf numFmtId="0" fontId="22" fillId="0" borderId="0"/>
    <xf numFmtId="0" fontId="22" fillId="0" borderId="0"/>
    <xf numFmtId="0" fontId="22" fillId="0" borderId="0"/>
    <xf numFmtId="0" fontId="22" fillId="0" borderId="0"/>
    <xf numFmtId="179" fontId="22" fillId="0" borderId="0"/>
    <xf numFmtId="180" fontId="22" fillId="0" borderId="0"/>
    <xf numFmtId="180" fontId="22" fillId="0" borderId="0"/>
    <xf numFmtId="0" fontId="22" fillId="0" borderId="0"/>
    <xf numFmtId="178" fontId="22" fillId="0" borderId="0"/>
    <xf numFmtId="178" fontId="22" fillId="0" borderId="0"/>
    <xf numFmtId="0" fontId="22" fillId="0" borderId="0"/>
    <xf numFmtId="0" fontId="22" fillId="0" borderId="0"/>
    <xf numFmtId="0" fontId="7" fillId="24" borderId="0" applyNumberFormat="0" applyBorder="0" applyAlignment="0" applyProtection="0"/>
    <xf numFmtId="0" fontId="24" fillId="49" borderId="0" applyNumberFormat="0" applyBorder="0" applyAlignment="0" applyProtection="0"/>
    <xf numFmtId="178" fontId="24" fillId="49"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178" fontId="7" fillId="24" borderId="0" applyNumberFormat="0" applyBorder="0" applyAlignment="0" applyProtection="0"/>
    <xf numFmtId="0"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8"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9" fontId="7" fillId="24" borderId="0" applyNumberFormat="0" applyBorder="0" applyAlignment="0" applyProtection="0"/>
    <xf numFmtId="178" fontId="7" fillId="24" borderId="0" applyNumberFormat="0" applyBorder="0" applyAlignment="0" applyProtection="0"/>
    <xf numFmtId="0" fontId="7" fillId="28" borderId="0" applyNumberFormat="0" applyBorder="0" applyAlignment="0" applyProtection="0"/>
    <xf numFmtId="0" fontId="24" fillId="51" borderId="0" applyNumberFormat="0" applyBorder="0" applyAlignment="0" applyProtection="0"/>
    <xf numFmtId="178" fontId="24" fillId="51"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178" fontId="7" fillId="28" borderId="0" applyNumberFormat="0" applyBorder="0" applyAlignment="0" applyProtection="0"/>
    <xf numFmtId="0"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8"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9" fontId="7" fillId="28" borderId="0" applyNumberFormat="0" applyBorder="0" applyAlignment="0" applyProtection="0"/>
    <xf numFmtId="178" fontId="7" fillId="28" borderId="0" applyNumberFormat="0" applyBorder="0" applyAlignment="0" applyProtection="0"/>
    <xf numFmtId="0" fontId="7" fillId="32" borderId="0" applyNumberFormat="0" applyBorder="0" applyAlignment="0" applyProtection="0"/>
    <xf numFmtId="0" fontId="24" fillId="53" borderId="0" applyNumberFormat="0" applyBorder="0" applyAlignment="0" applyProtection="0"/>
    <xf numFmtId="178" fontId="24" fillId="53"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0" fontId="7" fillId="53" borderId="0" applyNumberFormat="0" applyBorder="0" applyAlignment="0" applyProtection="0"/>
    <xf numFmtId="178" fontId="7" fillId="53"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178" fontId="24" fillId="53"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8"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9" fontId="7" fillId="32" borderId="0" applyNumberFormat="0" applyBorder="0" applyAlignment="0" applyProtection="0"/>
    <xf numFmtId="178" fontId="7" fillId="32" borderId="0" applyNumberFormat="0" applyBorder="0" applyAlignment="0" applyProtection="0"/>
    <xf numFmtId="178" fontId="7" fillId="32" borderId="0" applyNumberFormat="0" applyBorder="0" applyAlignment="0" applyProtection="0"/>
    <xf numFmtId="0" fontId="24" fillId="55" borderId="0" applyNumberFormat="0" applyBorder="0" applyAlignment="0" applyProtection="0"/>
    <xf numFmtId="178" fontId="24" fillId="55"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178"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8" fontId="7" fillId="36" borderId="0" applyNumberFormat="0" applyBorder="0" applyAlignment="0" applyProtection="0"/>
    <xf numFmtId="179" fontId="7" fillId="36" borderId="0" applyNumberFormat="0" applyBorder="0" applyAlignment="0" applyProtection="0"/>
    <xf numFmtId="179" fontId="7" fillId="36" borderId="0" applyNumberFormat="0" applyBorder="0" applyAlignment="0" applyProtection="0"/>
    <xf numFmtId="178" fontId="7" fillId="36"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0" fontId="7" fillId="40" borderId="0" applyNumberFormat="0" applyBorder="0" applyAlignment="0" applyProtection="0"/>
    <xf numFmtId="178" fontId="24" fillId="12"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9" fontId="7" fillId="40" borderId="0" applyNumberFormat="0" applyBorder="0" applyAlignment="0" applyProtection="0"/>
    <xf numFmtId="178" fontId="7" fillId="40" borderId="0" applyNumberFormat="0" applyBorder="0" applyAlignment="0" applyProtection="0"/>
    <xf numFmtId="179" fontId="7" fillId="40" borderId="0" applyNumberFormat="0" applyBorder="0" applyAlignment="0" applyProtection="0"/>
    <xf numFmtId="178" fontId="7" fillId="40" borderId="0" applyNumberFormat="0" applyBorder="0" applyAlignment="0" applyProtection="0"/>
    <xf numFmtId="178" fontId="7" fillId="40" borderId="0" applyNumberFormat="0" applyBorder="0" applyAlignment="0" applyProtection="0"/>
    <xf numFmtId="0" fontId="7" fillId="44" borderId="0" applyNumberFormat="0" applyBorder="0" applyAlignment="0" applyProtection="0"/>
    <xf numFmtId="0" fontId="24" fillId="56" borderId="0" applyNumberFormat="0" applyBorder="0" applyAlignment="0" applyProtection="0"/>
    <xf numFmtId="178" fontId="24" fillId="56"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0" fontId="7" fillId="44" borderId="0" applyNumberFormat="0" applyBorder="0" applyAlignment="0" applyProtection="0"/>
    <xf numFmtId="178" fontId="7" fillId="44" borderId="0" applyNumberFormat="0" applyBorder="0" applyAlignment="0" applyProtection="0"/>
    <xf numFmtId="0"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8"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9" fontId="7" fillId="44" borderId="0" applyNumberFormat="0" applyBorder="0" applyAlignment="0" applyProtection="0"/>
    <xf numFmtId="178" fontId="7" fillId="44" borderId="0" applyNumberFormat="0" applyBorder="0" applyAlignment="0" applyProtection="0"/>
    <xf numFmtId="0" fontId="7" fillId="25" borderId="0" applyNumberFormat="0" applyBorder="0" applyAlignment="0" applyProtection="0"/>
    <xf numFmtId="0" fontId="24" fillId="50" borderId="0" applyNumberFormat="0" applyBorder="0" applyAlignment="0" applyProtection="0"/>
    <xf numFmtId="178" fontId="24" fillId="50"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178" fontId="7" fillId="25" borderId="0" applyNumberFormat="0" applyBorder="0" applyAlignment="0" applyProtection="0"/>
    <xf numFmtId="0"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8"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9" fontId="7" fillId="25" borderId="0" applyNumberFormat="0" applyBorder="0" applyAlignment="0" applyProtection="0"/>
    <xf numFmtId="178" fontId="7" fillId="25"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0" fontId="7" fillId="29" borderId="0" applyNumberFormat="0" applyBorder="0" applyAlignment="0" applyProtection="0"/>
    <xf numFmtId="178" fontId="24" fillId="52"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9" fontId="7" fillId="29" borderId="0" applyNumberFormat="0" applyBorder="0" applyAlignment="0" applyProtection="0"/>
    <xf numFmtId="178" fontId="7" fillId="29" borderId="0" applyNumberFormat="0" applyBorder="0" applyAlignment="0" applyProtection="0"/>
    <xf numFmtId="179" fontId="7" fillId="29" borderId="0" applyNumberFormat="0" applyBorder="0" applyAlignment="0" applyProtection="0"/>
    <xf numFmtId="178" fontId="7" fillId="29" borderId="0" applyNumberFormat="0" applyBorder="0" applyAlignment="0" applyProtection="0"/>
    <xf numFmtId="178" fontId="7" fillId="29" borderId="0" applyNumberFormat="0" applyBorder="0" applyAlignment="0" applyProtection="0"/>
    <xf numFmtId="0" fontId="7" fillId="33" borderId="0" applyNumberFormat="0" applyBorder="0" applyAlignment="0" applyProtection="0"/>
    <xf numFmtId="0" fontId="24" fillId="57" borderId="0" applyNumberFormat="0" applyBorder="0" applyAlignment="0" applyProtection="0"/>
    <xf numFmtId="178" fontId="24" fillId="57"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0" fontId="7" fillId="33" borderId="0" applyNumberFormat="0" applyBorder="0" applyAlignment="0" applyProtection="0"/>
    <xf numFmtId="178" fontId="7" fillId="33" borderId="0" applyNumberFormat="0" applyBorder="0" applyAlignment="0" applyProtection="0"/>
    <xf numFmtId="0"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8"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9" fontId="7" fillId="33" borderId="0" applyNumberFormat="0" applyBorder="0" applyAlignment="0" applyProtection="0"/>
    <xf numFmtId="178" fontId="7" fillId="33" borderId="0" applyNumberFormat="0" applyBorder="0" applyAlignment="0" applyProtection="0"/>
    <xf numFmtId="0" fontId="24" fillId="55" borderId="0" applyNumberFormat="0" applyBorder="0" applyAlignment="0" applyProtection="0"/>
    <xf numFmtId="178" fontId="24" fillId="55"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178"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8" fontId="7" fillId="37" borderId="0" applyNumberFormat="0" applyBorder="0" applyAlignment="0" applyProtection="0"/>
    <xf numFmtId="179" fontId="7" fillId="37" borderId="0" applyNumberFormat="0" applyBorder="0" applyAlignment="0" applyProtection="0"/>
    <xf numFmtId="179" fontId="7" fillId="37" borderId="0" applyNumberFormat="0" applyBorder="0" applyAlignment="0" applyProtection="0"/>
    <xf numFmtId="178" fontId="7" fillId="37" borderId="0" applyNumberFormat="0" applyBorder="0" applyAlignment="0" applyProtection="0"/>
    <xf numFmtId="0" fontId="24" fillId="50" borderId="0" applyNumberFormat="0" applyBorder="0" applyAlignment="0" applyProtection="0"/>
    <xf numFmtId="178" fontId="24" fillId="50"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178"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8" fontId="7" fillId="41" borderId="0" applyNumberFormat="0" applyBorder="0" applyAlignment="0" applyProtection="0"/>
    <xf numFmtId="179" fontId="7" fillId="41" borderId="0" applyNumberFormat="0" applyBorder="0" applyAlignment="0" applyProtection="0"/>
    <xf numFmtId="179" fontId="7" fillId="41" borderId="0" applyNumberFormat="0" applyBorder="0" applyAlignment="0" applyProtection="0"/>
    <xf numFmtId="178" fontId="7" fillId="41" borderId="0" applyNumberFormat="0" applyBorder="0" applyAlignment="0" applyProtection="0"/>
    <xf numFmtId="0" fontId="7" fillId="45" borderId="0" applyNumberFormat="0" applyBorder="0" applyAlignment="0" applyProtection="0"/>
    <xf numFmtId="0" fontId="24" fillId="59" borderId="0" applyNumberFormat="0" applyBorder="0" applyAlignment="0" applyProtection="0"/>
    <xf numFmtId="178" fontId="24" fillId="59"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0" fontId="7" fillId="45" borderId="0" applyNumberFormat="0" applyBorder="0" applyAlignment="0" applyProtection="0"/>
    <xf numFmtId="178" fontId="7" fillId="45" borderId="0" applyNumberFormat="0" applyBorder="0" applyAlignment="0" applyProtection="0"/>
    <xf numFmtId="0"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8"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9" fontId="7" fillId="45" borderId="0" applyNumberFormat="0" applyBorder="0" applyAlignment="0" applyProtection="0"/>
    <xf numFmtId="178" fontId="7" fillId="45" borderId="0" applyNumberFormat="0" applyBorder="0" applyAlignment="0" applyProtection="0"/>
    <xf numFmtId="0" fontId="75" fillId="60" borderId="0" applyNumberFormat="0" applyBorder="0" applyAlignment="0" applyProtection="0"/>
    <xf numFmtId="178" fontId="75" fillId="60" borderId="0" applyNumberFormat="0" applyBorder="0" applyAlignment="0" applyProtection="0"/>
    <xf numFmtId="0" fontId="75" fillId="52" borderId="0" applyNumberFormat="0" applyBorder="0" applyAlignment="0" applyProtection="0"/>
    <xf numFmtId="178" fontId="75" fillId="52" borderId="0" applyNumberFormat="0" applyBorder="0" applyAlignment="0" applyProtection="0"/>
    <xf numFmtId="0" fontId="75" fillId="57" borderId="0" applyNumberFormat="0" applyBorder="0" applyAlignment="0" applyProtection="0"/>
    <xf numFmtId="178" fontId="75" fillId="57" borderId="0" applyNumberFormat="0" applyBorder="0" applyAlignment="0" applyProtection="0"/>
    <xf numFmtId="0" fontId="75" fillId="62" borderId="0" applyNumberFormat="0" applyBorder="0" applyAlignment="0" applyProtection="0"/>
    <xf numFmtId="178" fontId="75" fillId="62" borderId="0" applyNumberFormat="0" applyBorder="0" applyAlignment="0" applyProtection="0"/>
    <xf numFmtId="0" fontId="68" fillId="62" borderId="0" applyNumberFormat="0" applyBorder="0" applyAlignment="0" applyProtection="0"/>
    <xf numFmtId="178" fontId="68" fillId="62" borderId="0" applyNumberFormat="0" applyBorder="0" applyAlignment="0" applyProtection="0"/>
    <xf numFmtId="0" fontId="75" fillId="63" borderId="0" applyNumberFormat="0" applyBorder="0" applyAlignment="0" applyProtection="0"/>
    <xf numFmtId="178" fontId="75" fillId="63" borderId="0" applyNumberFormat="0" applyBorder="0" applyAlignment="0" applyProtection="0"/>
    <xf numFmtId="0" fontId="75" fillId="64" borderId="0" applyNumberFormat="0" applyBorder="0" applyAlignment="0" applyProtection="0"/>
    <xf numFmtId="178" fontId="75" fillId="64" borderId="0" applyNumberFormat="0" applyBorder="0" applyAlignment="0" applyProtection="0"/>
    <xf numFmtId="0" fontId="75" fillId="66" borderId="0" applyNumberFormat="0" applyBorder="0" applyAlignment="0" applyProtection="0"/>
    <xf numFmtId="178" fontId="75" fillId="66" borderId="0" applyNumberFormat="0" applyBorder="0" applyAlignment="0" applyProtection="0"/>
    <xf numFmtId="0" fontId="75" fillId="67" borderId="0" applyNumberFormat="0" applyBorder="0" applyAlignment="0" applyProtection="0"/>
    <xf numFmtId="178" fontId="75" fillId="67" borderId="0" applyNumberFormat="0" applyBorder="0" applyAlignment="0" applyProtection="0"/>
    <xf numFmtId="0" fontId="75" fillId="68" borderId="0" applyNumberFormat="0" applyBorder="0" applyAlignment="0" applyProtection="0"/>
    <xf numFmtId="178" fontId="75" fillId="68" borderId="0" applyNumberFormat="0" applyBorder="0" applyAlignment="0" applyProtection="0"/>
    <xf numFmtId="0" fontId="75" fillId="62" borderId="0" applyNumberFormat="0" applyBorder="0" applyAlignment="0" applyProtection="0"/>
    <xf numFmtId="178" fontId="75" fillId="62" borderId="0" applyNumberFormat="0" applyBorder="0" applyAlignment="0" applyProtection="0"/>
    <xf numFmtId="0" fontId="75" fillId="61" borderId="0" applyNumberFormat="0" applyBorder="0" applyAlignment="0" applyProtection="0"/>
    <xf numFmtId="178" fontId="75" fillId="61" borderId="0" applyNumberFormat="0" applyBorder="0" applyAlignment="0" applyProtection="0"/>
    <xf numFmtId="0" fontId="79" fillId="0" borderId="0"/>
    <xf numFmtId="178" fontId="79" fillId="0" borderId="0"/>
    <xf numFmtId="0" fontId="81" fillId="51" borderId="0" applyNumberFormat="0" applyBorder="0" applyAlignment="0" applyProtection="0"/>
    <xf numFmtId="178" fontId="81" fillId="51" borderId="0" applyNumberFormat="0" applyBorder="0" applyAlignment="0" applyProtection="0"/>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6" fontId="22" fillId="2" borderId="9">
      <alignment horizontal="right"/>
    </xf>
    <xf numFmtId="6" fontId="22" fillId="2" borderId="9">
      <alignment horizontal="right"/>
    </xf>
    <xf numFmtId="6" fontId="22" fillId="2" borderId="9">
      <alignment horizontal="right"/>
    </xf>
    <xf numFmtId="6"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182" fontId="22" fillId="2" borderId="9">
      <alignment horizontal="right"/>
    </xf>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4" fillId="72"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0" fontId="85" fillId="71" borderId="65" applyNumberFormat="0" applyAlignment="0" applyProtection="0"/>
    <xf numFmtId="178" fontId="84" fillId="72" borderId="65" applyNumberFormat="0" applyAlignment="0" applyProtection="0"/>
    <xf numFmtId="178" fontId="64" fillId="20" borderId="57" applyNumberFormat="0" applyAlignment="0" applyProtection="0"/>
    <xf numFmtId="178" fontId="88" fillId="73" borderId="66" applyNumberFormat="0" applyAlignment="0" applyProtection="0"/>
    <xf numFmtId="0" fontId="88" fillId="73" borderId="66" applyNumberFormat="0" applyAlignment="0" applyProtection="0"/>
    <xf numFmtId="178" fontId="88" fillId="73" borderId="66" applyNumberFormat="0" applyAlignment="0" applyProtection="0"/>
    <xf numFmtId="0" fontId="89" fillId="74" borderId="67" applyBorder="0">
      <alignment horizontal="center" vertical="center" wrapText="1"/>
    </xf>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2"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177"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 fontId="94" fillId="75" borderId="9"/>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178" fontId="35" fillId="3" borderId="9">
      <protection locked="0"/>
    </xf>
    <xf numFmtId="0" fontId="103" fillId="53" borderId="0" applyNumberFormat="0" applyBorder="0" applyAlignment="0" applyProtection="0"/>
    <xf numFmtId="178" fontId="103" fillId="53" borderId="0" applyNumberFormat="0" applyBorder="0" applyAlignment="0" applyProtection="0"/>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0"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178"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0" fontId="22" fillId="14" borderId="93" applyBorder="0">
      <alignment horizontal="center"/>
    </xf>
    <xf numFmtId="178" fontId="22" fillId="14" borderId="93" applyBorder="0">
      <alignment horizontal="center"/>
    </xf>
    <xf numFmtId="178" fontId="22" fillId="14" borderId="93" applyBorder="0">
      <alignment horizontal="center"/>
    </xf>
    <xf numFmtId="0" fontId="106" fillId="0" borderId="68" applyNumberFormat="0" applyFill="0" applyAlignment="0" applyProtection="0"/>
    <xf numFmtId="178" fontId="106" fillId="0" borderId="68" applyNumberFormat="0" applyFill="0" applyAlignment="0" applyProtection="0"/>
    <xf numFmtId="0" fontId="109" fillId="0" borderId="71" applyNumberFormat="0" applyFill="0" applyAlignment="0" applyProtection="0"/>
    <xf numFmtId="178" fontId="109" fillId="0" borderId="71" applyNumberFormat="0" applyFill="0" applyAlignment="0" applyProtection="0"/>
    <xf numFmtId="180" fontId="112" fillId="0" borderId="73"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0" fontId="113" fillId="0" borderId="74" applyNumberFormat="0" applyFill="0" applyAlignment="0" applyProtection="0"/>
    <xf numFmtId="178" fontId="113" fillId="0" borderId="74" applyNumberFormat="0" applyFill="0" applyAlignment="0" applyProtection="0"/>
    <xf numFmtId="0" fontId="112" fillId="0" borderId="0" applyNumberFormat="0" applyFill="0" applyBorder="0" applyAlignment="0" applyProtection="0"/>
    <xf numFmtId="178" fontId="112" fillId="0" borderId="0" applyNumberFormat="0" applyFill="0" applyBorder="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0" fontId="121" fillId="58" borderId="65" applyNumberFormat="0" applyAlignment="0" applyProtection="0"/>
    <xf numFmtId="178" fontId="121" fillId="58" borderId="65" applyNumberFormat="0" applyAlignment="0" applyProtection="0"/>
    <xf numFmtId="0" fontId="121" fillId="56" borderId="65" applyNumberFormat="0" applyAlignment="0" applyProtection="0"/>
    <xf numFmtId="178" fontId="121" fillId="56" borderId="65" applyNumberFormat="0" applyAlignment="0" applyProtection="0"/>
    <xf numFmtId="178" fontId="62" fillId="19" borderId="57" applyNumberFormat="0" applyAlignment="0" applyProtection="0"/>
    <xf numFmtId="178" fontId="121" fillId="56" borderId="65" applyNumberFormat="0" applyAlignment="0" applyProtection="0"/>
    <xf numFmtId="0" fontId="121" fillId="58" borderId="65" applyNumberFormat="0" applyAlignment="0" applyProtection="0"/>
    <xf numFmtId="0" fontId="121" fillId="58" borderId="65" applyNumberFormat="0" applyAlignment="0" applyProtection="0"/>
    <xf numFmtId="178" fontId="123" fillId="7" borderId="9">
      <alignment horizontal="left" indent="2"/>
    </xf>
    <xf numFmtId="0" fontId="123" fillId="7" borderId="9">
      <alignment horizontal="left" indent="2"/>
    </xf>
    <xf numFmtId="178" fontId="123" fillId="7" borderId="9">
      <alignment horizontal="left" indent="2"/>
    </xf>
    <xf numFmtId="0" fontId="124" fillId="0" borderId="75" applyNumberFormat="0" applyFill="0" applyAlignment="0" applyProtection="0"/>
    <xf numFmtId="178" fontId="124" fillId="0" borderId="75" applyNumberFormat="0" applyFill="0" applyAlignment="0" applyProtection="0"/>
    <xf numFmtId="0" fontId="128" fillId="58" borderId="0" applyNumberFormat="0" applyBorder="0" applyAlignment="0" applyProtection="0"/>
    <xf numFmtId="178" fontId="128" fillId="5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xf numFmtId="178" fontId="22" fillId="0" borderId="0"/>
    <xf numFmtId="0" fontId="22" fillId="0" borderId="0" applyNumberFormat="0" applyFont="0" applyFill="0" applyBorder="0" applyAlignment="0" applyProtection="0"/>
    <xf numFmtId="178" fontId="22" fillId="0" borderId="0" applyNumberFormat="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0" fontId="7" fillId="0" borderId="0"/>
    <xf numFmtId="0" fontId="7" fillId="0" borderId="0"/>
    <xf numFmtId="0" fontId="7" fillId="0" borderId="0"/>
    <xf numFmtId="178"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0" fontId="7" fillId="0" borderId="0"/>
    <xf numFmtId="179" fontId="7" fillId="0" borderId="0"/>
    <xf numFmtId="179" fontId="7" fillId="0" borderId="0"/>
    <xf numFmtId="179"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2" fillId="0" borderId="0"/>
    <xf numFmtId="178" fontId="1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xf numFmtId="178" fontId="2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xf numFmtId="178" fontId="22" fillId="0" borderId="0"/>
    <xf numFmtId="0" fontId="7" fillId="0" borderId="0"/>
    <xf numFmtId="0" fontId="7" fillId="0" borderId="0"/>
    <xf numFmtId="0" fontId="7" fillId="0" borderId="0"/>
    <xf numFmtId="179" fontId="92" fillId="0" borderId="0"/>
    <xf numFmtId="0" fontId="7" fillId="0" borderId="0"/>
    <xf numFmtId="0" fontId="7" fillId="0" borderId="0"/>
    <xf numFmtId="0" fontId="7" fillId="0" borderId="0"/>
    <xf numFmtId="0" fontId="7" fillId="0" borderId="0"/>
    <xf numFmtId="0" fontId="22" fillId="0" borderId="0" applyNumberFormat="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78" fontId="7" fillId="0" borderId="0"/>
    <xf numFmtId="0" fontId="134"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180" fontId="22" fillId="54" borderId="77" applyNumberFormat="0" applyFont="0" applyAlignment="0" applyProtection="0"/>
    <xf numFmtId="180" fontId="22" fillId="54" borderId="77"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80" fontId="22" fillId="54" borderId="77"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80" fontId="22"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9" fontId="22" fillId="54" borderId="77" applyNumberFormat="0" applyFont="0" applyAlignment="0" applyProtection="0"/>
    <xf numFmtId="179" fontId="22"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9" fontId="22" fillId="54" borderId="77" applyNumberFormat="0" applyFont="0" applyAlignment="0" applyProtection="0"/>
    <xf numFmtId="0" fontId="22" fillId="54" borderId="77" applyNumberFormat="0" applyFont="0" applyAlignment="0" applyProtection="0"/>
    <xf numFmtId="0" fontId="24" fillId="54" borderId="77"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0" fontId="24" fillId="54" borderId="77" applyNumberFormat="0" applyFont="0" applyAlignment="0" applyProtection="0"/>
    <xf numFmtId="180" fontId="22" fillId="54" borderId="77" applyNumberFormat="0" applyFont="0" applyAlignment="0" applyProtection="0"/>
    <xf numFmtId="180" fontId="22" fillId="54" borderId="77"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179"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7" fillId="22" borderId="61"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180" fontId="22"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22"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34" fillId="54" borderId="77" applyNumberFormat="0" applyFont="0" applyAlignment="0" applyProtection="0"/>
    <xf numFmtId="0" fontId="121" fillId="58" borderId="94" applyNumberFormat="0" applyAlignment="0" applyProtection="0"/>
    <xf numFmtId="0" fontId="22" fillId="54" borderId="77" applyNumberFormat="0" applyFont="0" applyAlignment="0" applyProtection="0"/>
    <xf numFmtId="0" fontId="134" fillId="54" borderId="77" applyNumberFormat="0" applyFont="0" applyAlignment="0" applyProtection="0"/>
    <xf numFmtId="0" fontId="121" fillId="58" borderId="94" applyNumberFormat="0" applyAlignment="0" applyProtection="0"/>
    <xf numFmtId="178" fontId="121" fillId="58" borderId="94" applyNumberFormat="0" applyAlignment="0" applyProtection="0"/>
    <xf numFmtId="0" fontId="134" fillId="54" borderId="77" applyNumberFormat="0" applyFont="0" applyAlignment="0" applyProtection="0"/>
    <xf numFmtId="0" fontId="134" fillId="54" borderId="77" applyNumberFormat="0" applyFont="0" applyAlignment="0" applyProtection="0"/>
    <xf numFmtId="0" fontId="121" fillId="58" borderId="94" applyNumberFormat="0" applyAlignment="0" applyProtection="0"/>
    <xf numFmtId="0" fontId="134" fillId="54" borderId="77" applyNumberFormat="0" applyFont="0" applyAlignment="0" applyProtection="0"/>
    <xf numFmtId="0" fontId="121" fillId="58"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0" fontId="134" fillId="54" borderId="77" applyNumberFormat="0" applyFont="0" applyAlignment="0" applyProtection="0"/>
    <xf numFmtId="178" fontId="121" fillId="56" borderId="94" applyNumberFormat="0" applyAlignment="0" applyProtection="0"/>
    <xf numFmtId="178" fontId="121" fillId="56" borderId="94" applyNumberFormat="0" applyAlignment="0" applyProtection="0"/>
    <xf numFmtId="0" fontId="134" fillId="54" borderId="77" applyNumberFormat="0" applyFont="0" applyAlignment="0" applyProtection="0"/>
    <xf numFmtId="0" fontId="134"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0" fontId="134" fillId="54" borderId="77" applyNumberFormat="0" applyFont="0" applyAlignment="0" applyProtection="0"/>
    <xf numFmtId="0" fontId="121" fillId="56" borderId="94" applyNumberFormat="0" applyAlignment="0" applyProtection="0"/>
    <xf numFmtId="0" fontId="121" fillId="58" borderId="94" applyNumberFormat="0" applyAlignment="0" applyProtection="0"/>
    <xf numFmtId="0" fontId="22" fillId="54" borderId="77" applyNumberFormat="0" applyFont="0" applyAlignment="0" applyProtection="0"/>
    <xf numFmtId="0" fontId="134" fillId="54" borderId="77" applyNumberFormat="0" applyFont="0" applyAlignment="0" applyProtection="0"/>
    <xf numFmtId="0" fontId="121" fillId="58" borderId="94" applyNumberFormat="0" applyAlignment="0" applyProtection="0"/>
    <xf numFmtId="0" fontId="134"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33" fillId="54" borderId="77" applyNumberFormat="0" applyFont="0" applyAlignment="0" applyProtection="0"/>
    <xf numFmtId="0" fontId="134" fillId="54" borderId="77" applyNumberFormat="0" applyFont="0" applyAlignment="0" applyProtection="0"/>
    <xf numFmtId="178" fontId="121" fillId="56" borderId="94" applyNumberFormat="0" applyAlignment="0" applyProtection="0"/>
    <xf numFmtId="178" fontId="121" fillId="56" borderId="94" applyNumberFormat="0" applyAlignment="0" applyProtection="0"/>
    <xf numFmtId="178" fontId="22" fillId="54" borderId="77" applyNumberFormat="0" applyFont="0" applyAlignment="0" applyProtection="0"/>
    <xf numFmtId="178" fontId="121" fillId="56" borderId="94" applyNumberFormat="0" applyAlignment="0" applyProtection="0"/>
    <xf numFmtId="178" fontId="121" fillId="56" borderId="94" applyNumberFormat="0" applyAlignment="0" applyProtection="0"/>
    <xf numFmtId="178" fontId="22" fillId="54" borderId="77" applyNumberFormat="0" applyFont="0" applyAlignment="0" applyProtection="0"/>
    <xf numFmtId="178"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178"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178" fontId="121" fillId="58" borderId="94" applyNumberFormat="0" applyAlignment="0" applyProtection="0"/>
    <xf numFmtId="178" fontId="121" fillId="56"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8" borderId="94" applyNumberFormat="0" applyAlignment="0" applyProtection="0"/>
    <xf numFmtId="0" fontId="121" fillId="58"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34"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178" fontId="133" fillId="54" borderId="77" applyNumberFormat="0" applyFont="0" applyAlignment="0" applyProtection="0"/>
    <xf numFmtId="178" fontId="134"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178"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134"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121" fillId="58"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22" fillId="54" borderId="77" applyNumberFormat="0" applyFon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22" fillId="54" borderId="77" applyNumberFormat="0" applyFon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22" fillId="54" borderId="77" applyNumberFormat="0" applyFont="0" applyAlignment="0" applyProtection="0"/>
    <xf numFmtId="0" fontId="22" fillId="54" borderId="77" applyNumberFormat="0" applyFont="0" applyAlignment="0" applyProtection="0"/>
    <xf numFmtId="0" fontId="121" fillId="56" borderId="94" applyNumberFormat="0" applyAlignment="0" applyProtection="0"/>
    <xf numFmtId="0"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8" borderId="94" applyNumberFormat="0" applyAlignment="0" applyProtection="0"/>
    <xf numFmtId="178" fontId="22" fillId="54" borderId="77" applyNumberFormat="0" applyFon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0" fontId="121" fillId="56" borderId="94" applyNumberFormat="0" applyAlignment="0" applyProtection="0"/>
    <xf numFmtId="0" fontId="121" fillId="56" borderId="94" applyNumberFormat="0" applyAlignment="0" applyProtection="0"/>
    <xf numFmtId="178" fontId="22" fillId="54" borderId="77" applyNumberFormat="0" applyFont="0" applyAlignment="0" applyProtection="0"/>
    <xf numFmtId="178" fontId="22" fillId="54" borderId="77" applyNumberFormat="0" applyFont="0" applyAlignment="0" applyProtection="0"/>
    <xf numFmtId="178" fontId="7" fillId="22" borderId="61" applyNumberFormat="0" applyFont="0" applyAlignment="0" applyProtection="0"/>
    <xf numFmtId="0" fontId="121" fillId="56" borderId="94" applyNumberFormat="0" applyAlignment="0" applyProtection="0"/>
    <xf numFmtId="180" fontId="22" fillId="54" borderId="77" applyNumberFormat="0" applyFont="0" applyAlignment="0" applyProtection="0"/>
    <xf numFmtId="178" fontId="7" fillId="22" borderId="61" applyNumberFormat="0" applyFon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35" fillId="72" borderId="78" applyNumberFormat="0" applyAlignment="0" applyProtection="0"/>
    <xf numFmtId="0" fontId="121" fillId="56" borderId="94" applyNumberFormat="0" applyAlignment="0" applyProtection="0"/>
    <xf numFmtId="0" fontId="121" fillId="56" borderId="94" applyNumberFormat="0" applyAlignment="0" applyProtection="0"/>
    <xf numFmtId="179"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21" fillId="56" borderId="94"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21" fillId="56" borderId="94" applyNumberFormat="0" applyAlignment="0" applyProtection="0"/>
    <xf numFmtId="179" fontId="135" fillId="72" borderId="78" applyNumberFormat="0" applyAlignment="0" applyProtection="0"/>
    <xf numFmtId="0" fontId="121" fillId="56" borderId="94" applyNumberFormat="0" applyAlignment="0" applyProtection="0"/>
    <xf numFmtId="0" fontId="135" fillId="72" borderId="78" applyNumberFormat="0" applyAlignment="0" applyProtection="0"/>
    <xf numFmtId="0" fontId="121" fillId="56" borderId="94" applyNumberFormat="0" applyAlignment="0" applyProtection="0"/>
    <xf numFmtId="0" fontId="135" fillId="72"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2" borderId="78" applyNumberFormat="0" applyAlignment="0" applyProtection="0"/>
    <xf numFmtId="0" fontId="135" fillId="72" borderId="78" applyNumberFormat="0" applyAlignment="0" applyProtection="0"/>
    <xf numFmtId="0" fontId="121" fillId="56" borderId="94"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35" fillId="72" borderId="78" applyNumberFormat="0" applyAlignment="0" applyProtection="0"/>
    <xf numFmtId="0" fontId="121" fillId="56" borderId="94" applyNumberFormat="0" applyAlignment="0" applyProtection="0"/>
    <xf numFmtId="180" fontId="135" fillId="72" borderId="78" applyNumberFormat="0" applyAlignment="0" applyProtection="0"/>
    <xf numFmtId="178"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35" fillId="72" borderId="78" applyNumberFormat="0" applyAlignment="0" applyProtection="0"/>
    <xf numFmtId="0"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35" fillId="71" borderId="78"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8" borderId="94" applyNumberFormat="0" applyAlignment="0" applyProtection="0"/>
    <xf numFmtId="0" fontId="135" fillId="71" borderId="78" applyNumberFormat="0" applyAlignment="0" applyProtection="0"/>
    <xf numFmtId="0" fontId="121" fillId="58" borderId="94" applyNumberFormat="0" applyAlignment="0" applyProtection="0"/>
    <xf numFmtId="0" fontId="121" fillId="58" borderId="94" applyNumberFormat="0" applyAlignment="0" applyProtection="0"/>
    <xf numFmtId="0" fontId="135" fillId="71" borderId="78" applyNumberFormat="0" applyAlignment="0" applyProtection="0"/>
    <xf numFmtId="0" fontId="135" fillId="71" borderId="78" applyNumberFormat="0" applyAlignment="0" applyProtection="0"/>
    <xf numFmtId="0" fontId="121" fillId="58" borderId="94" applyNumberFormat="0" applyAlignment="0" applyProtection="0"/>
    <xf numFmtId="0" fontId="135" fillId="71" borderId="78"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35" fillId="71" borderId="78" applyNumberFormat="0" applyAlignment="0" applyProtection="0"/>
    <xf numFmtId="0" fontId="121" fillId="58" borderId="94"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0" fontId="135" fillId="71" borderId="78" applyNumberFormat="0" applyAlignment="0" applyProtection="0"/>
    <xf numFmtId="180" fontId="135" fillId="72" borderId="78" applyNumberFormat="0" applyAlignment="0" applyProtection="0"/>
    <xf numFmtId="0" fontId="135" fillId="71" borderId="78" applyNumberFormat="0" applyAlignment="0" applyProtection="0"/>
    <xf numFmtId="178"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0" fontId="135" fillId="72" borderId="78" applyNumberFormat="0" applyAlignment="0" applyProtection="0"/>
    <xf numFmtId="178" fontId="135" fillId="72" borderId="78" applyNumberFormat="0" applyAlignment="0" applyProtection="0"/>
    <xf numFmtId="178" fontId="135" fillId="71"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1"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135" fillId="72" borderId="78" applyNumberFormat="0" applyAlignment="0" applyProtection="0"/>
    <xf numFmtId="178" fontId="63" fillId="20" borderId="58" applyNumberFormat="0" applyAlignment="0" applyProtection="0"/>
    <xf numFmtId="178" fontId="135" fillId="72" borderId="78" applyNumberFormat="0" applyAlignment="0" applyProtection="0"/>
    <xf numFmtId="180" fontId="135" fillId="72" borderId="78" applyNumberFormat="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4" fillId="0" borderId="0" applyFont="0" applyFill="0" applyBorder="0" applyAlignment="0" applyProtection="0"/>
    <xf numFmtId="9" fontId="16"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93" fillId="0" borderId="0" applyNumberFormat="0" applyFont="0" applyFill="0" applyBorder="0" applyAlignment="0" applyProtection="0">
      <alignment horizontal="left"/>
    </xf>
    <xf numFmtId="178" fontId="93" fillId="0" borderId="0" applyNumberFormat="0" applyFont="0" applyFill="0" applyBorder="0" applyAlignment="0" applyProtection="0">
      <alignment horizontal="left"/>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5" fillId="71" borderId="94" applyNumberFormat="0" applyAlignment="0" applyProtection="0"/>
    <xf numFmtId="0" fontId="35" fillId="80" borderId="80" applyNumberFormat="0" applyProtection="0">
      <alignment horizontal="left" vertical="center" indent="1"/>
    </xf>
    <xf numFmtId="178" fontId="84" fillId="72" borderId="94" applyNumberFormat="0" applyAlignment="0" applyProtection="0"/>
    <xf numFmtId="0" fontId="35" fillId="80" borderId="80" applyNumberFormat="0" applyProtection="0">
      <alignment horizontal="left" vertical="center" indent="1"/>
    </xf>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0"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178" fontId="84" fillId="72"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178" fontId="84" fillId="72"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2" borderId="94" applyNumberFormat="0" applyAlignment="0" applyProtection="0"/>
    <xf numFmtId="178" fontId="85"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5"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178" fontId="84" fillId="72"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35" fillId="80" borderId="80" applyNumberFormat="0" applyProtection="0">
      <alignment horizontal="left" vertical="center" indent="1"/>
    </xf>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0" fontId="84" fillId="71" borderId="94" applyNumberFormat="0" applyAlignment="0" applyProtection="0"/>
    <xf numFmtId="179" fontId="84" fillId="72" borderId="94" applyNumberFormat="0" applyAlignment="0" applyProtection="0"/>
    <xf numFmtId="178" fontId="85" fillId="71" borderId="94" applyNumberFormat="0" applyAlignment="0" applyProtection="0"/>
    <xf numFmtId="0" fontId="35" fillId="80" borderId="80" applyNumberFormat="0" applyProtection="0">
      <alignment horizontal="left" vertical="center" indent="1"/>
    </xf>
    <xf numFmtId="0" fontId="84" fillId="72" borderId="94" applyNumberFormat="0" applyAlignment="0" applyProtection="0"/>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35" fillId="80" borderId="80" applyNumberFormat="0" applyProtection="0">
      <alignment horizontal="left" vertical="center" indent="1"/>
    </xf>
    <xf numFmtId="0" fontId="22" fillId="0" borderId="0"/>
    <xf numFmtId="178" fontId="22" fillId="0" borderId="0"/>
    <xf numFmtId="0" fontId="72" fillId="0" borderId="0"/>
    <xf numFmtId="178" fontId="72" fillId="0" borderId="0"/>
    <xf numFmtId="0" fontId="35" fillId="48" borderId="52">
      <alignment vertical="center"/>
    </xf>
    <xf numFmtId="178" fontId="35" fillId="2" borderId="81" applyNumberFormat="0">
      <alignment horizontal="center"/>
    </xf>
    <xf numFmtId="0" fontId="35" fillId="2" borderId="81" applyNumberFormat="0">
      <alignment horizontal="center"/>
    </xf>
    <xf numFmtId="201" fontId="22" fillId="0" borderId="77"/>
    <xf numFmtId="201" fontId="22" fillId="0" borderId="77"/>
    <xf numFmtId="201" fontId="22" fillId="0" borderId="77"/>
    <xf numFmtId="0" fontId="147" fillId="0" borderId="0" applyNumberFormat="0" applyFill="0" applyBorder="0" applyAlignment="0" applyProtection="0"/>
    <xf numFmtId="178" fontId="147" fillId="0" borderId="0" applyNumberFormat="0" applyFill="0" applyBorder="0" applyAlignment="0" applyProtection="0"/>
    <xf numFmtId="0" fontId="149" fillId="0" borderId="82" applyNumberFormat="0" applyFill="0" applyAlignment="0" applyProtection="0"/>
    <xf numFmtId="179" fontId="149" fillId="0" borderId="82" applyNumberFormat="0" applyFill="0" applyAlignment="0" applyProtection="0"/>
    <xf numFmtId="0" fontId="149" fillId="0" borderId="82" applyNumberFormat="0" applyFill="0" applyAlignment="0" applyProtection="0"/>
    <xf numFmtId="0" fontId="149" fillId="0" borderId="82"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3" applyNumberFormat="0" applyFill="0" applyAlignment="0" applyProtection="0"/>
    <xf numFmtId="0" fontId="149" fillId="0" borderId="82" applyNumberFormat="0" applyFill="0" applyAlignment="0" applyProtection="0"/>
    <xf numFmtId="178" fontId="52" fillId="0" borderId="62" applyNumberFormat="0" applyFill="0" applyAlignment="0" applyProtection="0"/>
    <xf numFmtId="178" fontId="149" fillId="0" borderId="83" applyNumberFormat="0" applyFill="0" applyAlignment="0" applyProtection="0"/>
    <xf numFmtId="180" fontId="149" fillId="0" borderId="82" applyNumberFormat="0" applyFill="0" applyAlignment="0" applyProtection="0"/>
    <xf numFmtId="180" fontId="149" fillId="0" borderId="82" applyNumberFormat="0" applyFill="0" applyAlignment="0" applyProtection="0"/>
    <xf numFmtId="9" fontId="7"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0" fontId="7" fillId="0" borderId="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179"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179" fontId="84" fillId="72" borderId="94" applyNumberFormat="0" applyAlignment="0" applyProtection="0"/>
    <xf numFmtId="179"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180" fontId="84" fillId="72" borderId="94" applyNumberFormat="0" applyAlignment="0" applyProtection="0"/>
    <xf numFmtId="180" fontId="84" fillId="72" borderId="94" applyNumberFormat="0" applyAlignment="0" applyProtection="0"/>
    <xf numFmtId="180" fontId="84" fillId="72" borderId="94" applyNumberFormat="0" applyAlignment="0" applyProtection="0"/>
    <xf numFmtId="0" fontId="84" fillId="72" borderId="94" applyNumberFormat="0" applyAlignment="0" applyProtection="0"/>
    <xf numFmtId="0" fontId="85" fillId="71" borderId="94" applyNumberFormat="0" applyAlignment="0" applyProtection="0"/>
    <xf numFmtId="0" fontId="85" fillId="71" borderId="94" applyNumberFormat="0" applyAlignment="0" applyProtection="0"/>
    <xf numFmtId="180" fontId="84" fillId="72"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178"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0" fontId="85" fillId="71" borderId="94" applyNumberFormat="0" applyAlignment="0" applyProtection="0"/>
    <xf numFmtId="180" fontId="84" fillId="72" borderId="94" applyNumberFormat="0" applyAlignment="0" applyProtection="0"/>
    <xf numFmtId="180" fontId="84" fillId="72" borderId="94" applyNumberFormat="0" applyAlignment="0" applyProtection="0"/>
    <xf numFmtId="180" fontId="84" fillId="72" borderId="94" applyNumberFormat="0" applyAlignment="0" applyProtection="0"/>
    <xf numFmtId="0" fontId="85" fillId="71" borderId="94" applyNumberFormat="0" applyAlignment="0" applyProtection="0"/>
    <xf numFmtId="178" fontId="85" fillId="71"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0"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5" fillId="71"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5" fillId="71" borderId="94" applyNumberFormat="0" applyAlignment="0" applyProtection="0"/>
    <xf numFmtId="178" fontId="85" fillId="71" borderId="94" applyNumberFormat="0" applyAlignment="0" applyProtection="0"/>
    <xf numFmtId="178" fontId="85" fillId="71"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78" fontId="84" fillId="72" borderId="94" applyNumberFormat="0" applyAlignment="0" applyProtection="0"/>
    <xf numFmtId="180" fontId="84" fillId="72" borderId="94" applyNumberFormat="0" applyAlignment="0" applyProtection="0"/>
    <xf numFmtId="180" fontId="84" fillId="72" borderId="94" applyNumberFormat="0" applyAlignment="0" applyProtection="0"/>
    <xf numFmtId="180" fontId="84" fillId="72"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179"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9" fontId="121" fillId="56" borderId="94" applyNumberFormat="0" applyAlignment="0" applyProtection="0"/>
    <xf numFmtId="179"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80" fontId="121" fillId="56" borderId="94" applyNumberFormat="0" applyAlignment="0" applyProtection="0"/>
    <xf numFmtId="180" fontId="121" fillId="56" borderId="94" applyNumberFormat="0" applyAlignment="0" applyProtection="0"/>
    <xf numFmtId="180"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6" borderId="94" applyNumberFormat="0" applyAlignment="0" applyProtection="0"/>
    <xf numFmtId="0" fontId="121" fillId="56" borderId="94" applyNumberFormat="0" applyAlignment="0" applyProtection="0"/>
    <xf numFmtId="178"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80" fontId="121" fillId="56" borderId="94" applyNumberFormat="0" applyAlignment="0" applyProtection="0"/>
    <xf numFmtId="180"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80" fontId="121" fillId="56" borderId="94" applyNumberFormat="0" applyAlignment="0" applyProtection="0"/>
    <xf numFmtId="180" fontId="121" fillId="56" borderId="94" applyNumberFormat="0" applyAlignment="0" applyProtection="0"/>
    <xf numFmtId="180"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178" fontId="121" fillId="58" borderId="94" applyNumberFormat="0" applyAlignment="0" applyProtection="0"/>
    <xf numFmtId="178" fontId="121" fillId="58" borderId="94" applyNumberFormat="0" applyAlignment="0" applyProtection="0"/>
    <xf numFmtId="178" fontId="121" fillId="58" borderId="94" applyNumberFormat="0" applyAlignment="0" applyProtection="0"/>
    <xf numFmtId="0" fontId="121" fillId="56" borderId="94" applyNumberFormat="0" applyAlignment="0" applyProtection="0"/>
    <xf numFmtId="0" fontId="121" fillId="56" borderId="94" applyNumberFormat="0" applyAlignment="0" applyProtection="0"/>
    <xf numFmtId="180" fontId="121" fillId="56" borderId="94" applyNumberFormat="0" applyAlignment="0" applyProtection="0"/>
    <xf numFmtId="180" fontId="121" fillId="56" borderId="94" applyNumberFormat="0" applyAlignment="0" applyProtection="0"/>
    <xf numFmtId="18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178"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6"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121" fillId="58" borderId="94" applyNumberFormat="0" applyAlignment="0" applyProtection="0"/>
    <xf numFmtId="0" fontId="7" fillId="0" borderId="0"/>
    <xf numFmtId="0" fontId="6" fillId="0" borderId="0"/>
    <xf numFmtId="0" fontId="6" fillId="0" borderId="0"/>
    <xf numFmtId="0" fontId="201" fillId="84" borderId="2" applyBorder="0">
      <alignment vertical="center"/>
    </xf>
    <xf numFmtId="0" fontId="22" fillId="0" borderId="102">
      <alignment horizontal="left" vertical="center" wrapText="1" indent="1"/>
    </xf>
    <xf numFmtId="0" fontId="203" fillId="2" borderId="0"/>
    <xf numFmtId="0" fontId="203" fillId="2" borderId="0"/>
    <xf numFmtId="41" fontId="22" fillId="11" borderId="0" applyFont="0" applyBorder="0" applyAlignment="0">
      <alignment horizontal="right"/>
      <protection locked="0"/>
    </xf>
    <xf numFmtId="43" fontId="21" fillId="0" borderId="0" applyFont="0" applyFill="0" applyBorder="0" applyAlignment="0" applyProtection="0"/>
    <xf numFmtId="0" fontId="22" fillId="2" borderId="0"/>
    <xf numFmtId="43" fontId="22" fillId="0" borderId="0" applyFont="0" applyFill="0" applyBorder="0" applyAlignment="0" applyProtection="0"/>
    <xf numFmtId="0" fontId="22" fillId="2" borderId="0"/>
    <xf numFmtId="41" fontId="22" fillId="14" borderId="0" applyNumberFormat="0" applyFont="0" applyBorder="0" applyAlignment="0">
      <alignment horizontal="right"/>
    </xf>
    <xf numFmtId="0" fontId="22" fillId="2" borderId="0"/>
    <xf numFmtId="9" fontId="22" fillId="0" borderId="0" applyFont="0" applyFill="0" applyBorder="0" applyAlignment="0" applyProtection="0"/>
    <xf numFmtId="0" fontId="22" fillId="0" borderId="0"/>
    <xf numFmtId="0" fontId="22" fillId="0" borderId="0"/>
    <xf numFmtId="231" fontId="22" fillId="0" borderId="0"/>
    <xf numFmtId="0" fontId="205" fillId="0" borderId="0"/>
    <xf numFmtId="0" fontId="205" fillId="0" borderId="0"/>
    <xf numFmtId="0" fontId="22"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0" fontId="206" fillId="0" borderId="0"/>
    <xf numFmtId="232" fontId="22" fillId="7" borderId="0" applyFont="0" applyBorder="0">
      <alignment horizontal="right"/>
    </xf>
    <xf numFmtId="0" fontId="22" fillId="2" borderId="0"/>
    <xf numFmtId="0" fontId="5" fillId="0" borderId="0"/>
    <xf numFmtId="231" fontId="22"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24" fillId="110" borderId="0" applyNumberFormat="0" applyBorder="0" applyAlignment="0" applyProtection="0"/>
    <xf numFmtId="0" fontId="24" fillId="110" borderId="0" applyNumberFormat="0" applyBorder="0" applyAlignment="0" applyProtection="0"/>
    <xf numFmtId="0" fontId="24" fillId="56" borderId="0" applyNumberFormat="0" applyBorder="0" applyAlignment="0" applyProtection="0"/>
    <xf numFmtId="0" fontId="24" fillId="56" borderId="0" applyNumberFormat="0" applyBorder="0" applyAlignment="0" applyProtection="0"/>
    <xf numFmtId="0" fontId="24" fillId="71" borderId="0" applyNumberFormat="0" applyBorder="0" applyAlignment="0" applyProtection="0"/>
    <xf numFmtId="0" fontId="24" fillId="71" borderId="0" applyNumberFormat="0" applyBorder="0" applyAlignment="0" applyProtection="0"/>
    <xf numFmtId="0" fontId="24" fillId="110" borderId="0" applyNumberFormat="0" applyBorder="0" applyAlignment="0" applyProtection="0"/>
    <xf numFmtId="0" fontId="24" fillId="110" borderId="0" applyNumberFormat="0" applyBorder="0" applyAlignment="0" applyProtection="0"/>
    <xf numFmtId="0" fontId="24" fillId="110" borderId="0" applyNumberFormat="0" applyBorder="0" applyAlignment="0" applyProtection="0"/>
    <xf numFmtId="0" fontId="24" fillId="110" borderId="0" applyNumberFormat="0" applyBorder="0" applyAlignment="0" applyProtection="0"/>
    <xf numFmtId="0" fontId="24" fillId="56" borderId="0" applyNumberFormat="0" applyBorder="0" applyAlignment="0" applyProtection="0"/>
    <xf numFmtId="0" fontId="24" fillId="56" borderId="0" applyNumberFormat="0" applyBorder="0" applyAlignment="0" applyProtection="0"/>
    <xf numFmtId="0" fontId="24" fillId="72" borderId="0" applyNumberFormat="0" applyBorder="0" applyAlignment="0" applyProtection="0"/>
    <xf numFmtId="0" fontId="24" fillId="72" borderId="0" applyNumberFormat="0" applyBorder="0" applyAlignment="0" applyProtection="0"/>
    <xf numFmtId="0" fontId="24" fillId="110" borderId="0" applyNumberFormat="0" applyBorder="0" applyAlignment="0" applyProtection="0"/>
    <xf numFmtId="0" fontId="24" fillId="110" borderId="0" applyNumberFormat="0" applyBorder="0" applyAlignment="0" applyProtection="0"/>
    <xf numFmtId="0" fontId="24" fillId="56" borderId="0" applyNumberFormat="0" applyBorder="0" applyAlignment="0" applyProtection="0"/>
    <xf numFmtId="0" fontId="24" fillId="56" borderId="0" applyNumberFormat="0" applyBorder="0" applyAlignment="0" applyProtection="0"/>
    <xf numFmtId="0" fontId="75" fillId="110" borderId="0" applyNumberFormat="0" applyBorder="0" applyAlignment="0" applyProtection="0"/>
    <xf numFmtId="0" fontId="75" fillId="56" borderId="0" applyNumberFormat="0" applyBorder="0" applyAlignment="0" applyProtection="0"/>
    <xf numFmtId="0" fontId="75" fillId="58" borderId="0" applyNumberFormat="0" applyBorder="0" applyAlignment="0" applyProtection="0"/>
    <xf numFmtId="0" fontId="75" fillId="72" borderId="0" applyNumberFormat="0" applyBorder="0" applyAlignment="0" applyProtection="0"/>
    <xf numFmtId="0" fontId="75" fillId="110" borderId="0" applyNumberFormat="0" applyBorder="0" applyAlignment="0" applyProtection="0"/>
    <xf numFmtId="0" fontId="75" fillId="56" borderId="0" applyNumberFormat="0" applyBorder="0" applyAlignment="0" applyProtection="0"/>
    <xf numFmtId="0" fontId="75" fillId="63" borderId="0" applyNumberFormat="0" applyBorder="0" applyAlignment="0" applyProtection="0"/>
    <xf numFmtId="0" fontId="75" fillId="67" borderId="0" applyNumberFormat="0" applyBorder="0" applyAlignment="0" applyProtection="0"/>
    <xf numFmtId="0" fontId="75" fillId="68" borderId="0" applyNumberFormat="0" applyBorder="0" applyAlignment="0" applyProtection="0"/>
    <xf numFmtId="0" fontId="75" fillId="69" borderId="0" applyNumberFormat="0" applyBorder="0" applyAlignment="0" applyProtection="0"/>
    <xf numFmtId="0" fontId="75" fillId="63" borderId="0" applyNumberFormat="0" applyBorder="0" applyAlignment="0" applyProtection="0"/>
    <xf numFmtId="0" fontId="75" fillId="61" borderId="0" applyNumberFormat="0" applyBorder="0" applyAlignment="0" applyProtection="0"/>
    <xf numFmtId="41" fontId="22" fillId="14" borderId="0" applyNumberFormat="0" applyFont="0" applyBorder="0" applyAlignment="0">
      <alignment horizontal="right"/>
    </xf>
    <xf numFmtId="43" fontId="21" fillId="0" borderId="0" applyFont="0" applyFill="0" applyBorder="0" applyAlignment="0" applyProtection="0"/>
    <xf numFmtId="43" fontId="22" fillId="0" borderId="0" applyFont="0" applyFill="0" applyBorder="0" applyAlignment="0" applyProtection="0"/>
    <xf numFmtId="0" fontId="107" fillId="0" borderId="70" applyNumberFormat="0" applyFill="0" applyAlignment="0" applyProtection="0"/>
    <xf numFmtId="0" fontId="110" fillId="0" borderId="120" applyNumberFormat="0" applyFill="0" applyAlignment="0" applyProtection="0"/>
    <xf numFmtId="0" fontId="113" fillId="0" borderId="121" applyNumberFormat="0" applyFill="0" applyAlignment="0" applyProtection="0"/>
    <xf numFmtId="0" fontId="119" fillId="0" borderId="0" applyNumberFormat="0" applyFill="0" applyBorder="0" applyAlignment="0" applyProtection="0">
      <alignment vertical="top"/>
      <protection locked="0"/>
    </xf>
    <xf numFmtId="0" fontId="117" fillId="0" borderId="0" applyNumberFormat="0" applyFill="0" applyBorder="0" applyAlignment="0" applyProtection="0">
      <alignment vertical="top"/>
      <protection locked="0"/>
    </xf>
    <xf numFmtId="0" fontId="121" fillId="56" borderId="94" applyNumberFormat="0" applyAlignment="0" applyProtection="0"/>
    <xf numFmtId="41" fontId="22" fillId="11" borderId="0" applyFont="0" applyBorder="0" applyAlignment="0">
      <alignment horizontal="right"/>
      <protection locked="0"/>
    </xf>
    <xf numFmtId="41" fontId="22" fillId="11" borderId="0" applyFont="0" applyBorder="0" applyAlignment="0">
      <alignment horizontal="right"/>
      <protection locked="0"/>
    </xf>
    <xf numFmtId="41" fontId="22" fillId="11" borderId="0" applyFont="0" applyBorder="0" applyAlignment="0">
      <alignment horizontal="right"/>
      <protection locked="0"/>
    </xf>
    <xf numFmtId="41" fontId="22" fillId="11" borderId="0" applyFont="0" applyBorder="0" applyAlignment="0">
      <alignment horizontal="right"/>
      <protection locked="0"/>
    </xf>
    <xf numFmtId="194" fontId="22" fillId="47" borderId="0" applyFont="0" applyBorder="0">
      <alignment horizontal="right"/>
      <protection locked="0"/>
    </xf>
    <xf numFmtId="41" fontId="22" fillId="7" borderId="0" applyFont="0" applyBorder="0">
      <alignment horizontal="right"/>
      <protection locked="0"/>
    </xf>
    <xf numFmtId="41" fontId="22" fillId="7" borderId="0" applyFont="0" applyBorder="0">
      <alignment horizontal="right"/>
      <protection locked="0"/>
    </xf>
    <xf numFmtId="0" fontId="21" fillId="0" borderId="0"/>
    <xf numFmtId="0" fontId="22" fillId="2" borderId="0"/>
    <xf numFmtId="0" fontId="5" fillId="0" borderId="0"/>
    <xf numFmtId="0" fontId="22" fillId="0" borderId="0"/>
    <xf numFmtId="0" fontId="22" fillId="0" borderId="0"/>
    <xf numFmtId="0" fontId="203" fillId="2" borderId="0"/>
    <xf numFmtId="43" fontId="21" fillId="0" borderId="0" applyFont="0" applyFill="0" applyBorder="0" applyAlignment="0" applyProtection="0"/>
    <xf numFmtId="0" fontId="75" fillId="68" borderId="0" applyNumberFormat="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22" fillId="0" borderId="0"/>
    <xf numFmtId="0" fontId="22" fillId="0" borderId="0"/>
    <xf numFmtId="0" fontId="75" fillId="110" borderId="0" applyNumberFormat="0" applyBorder="0" applyAlignment="0" applyProtection="0"/>
    <xf numFmtId="0" fontId="75" fillId="56" borderId="0" applyNumberFormat="0" applyBorder="0" applyAlignment="0" applyProtection="0"/>
    <xf numFmtId="0" fontId="75" fillId="58" borderId="0" applyNumberFormat="0" applyBorder="0" applyAlignment="0" applyProtection="0"/>
    <xf numFmtId="0" fontId="75" fillId="72" borderId="0" applyNumberFormat="0" applyBorder="0" applyAlignment="0" applyProtection="0"/>
    <xf numFmtId="0" fontId="75" fillId="110" borderId="0" applyNumberFormat="0" applyBorder="0" applyAlignment="0" applyProtection="0"/>
    <xf numFmtId="0" fontId="75" fillId="56" borderId="0" applyNumberFormat="0" applyBorder="0" applyAlignment="0" applyProtection="0"/>
    <xf numFmtId="0" fontId="75" fillId="63" borderId="0" applyNumberFormat="0" applyBorder="0" applyAlignment="0" applyProtection="0"/>
    <xf numFmtId="0" fontId="22" fillId="0" borderId="0" applyFont="0" applyFill="0" applyBorder="0" applyAlignment="0" applyProtection="0"/>
    <xf numFmtId="43" fontId="24"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44" fontId="22" fillId="0" borderId="0" applyFont="0" applyFill="0" applyBorder="0" applyAlignment="0" applyProtection="0"/>
    <xf numFmtId="233" fontId="22" fillId="0" borderId="0" applyFont="0" applyFill="0" applyBorder="0" applyAlignment="0" applyProtection="0"/>
    <xf numFmtId="233" fontId="22" fillId="0" borderId="0" applyFont="0" applyFill="0" applyBorder="0" applyAlignment="0" applyProtection="0"/>
    <xf numFmtId="231" fontId="24" fillId="0" borderId="0" applyFont="0" applyFill="0" applyBorder="0" applyAlignment="0" applyProtection="0"/>
    <xf numFmtId="0" fontId="35" fillId="0" borderId="0" applyFill="0" applyBorder="0">
      <alignment vertical="center"/>
    </xf>
    <xf numFmtId="0" fontId="107" fillId="0" borderId="70" applyNumberFormat="0" applyFill="0" applyAlignment="0" applyProtection="0"/>
    <xf numFmtId="0" fontId="35" fillId="0" borderId="0" applyFill="0" applyBorder="0">
      <alignment vertical="center"/>
    </xf>
    <xf numFmtId="0" fontId="193" fillId="0" borderId="0" applyFill="0" applyBorder="0">
      <alignment vertical="center"/>
    </xf>
    <xf numFmtId="0" fontId="110" fillId="0" borderId="120" applyNumberFormat="0" applyFill="0" applyAlignment="0" applyProtection="0"/>
    <xf numFmtId="0" fontId="193" fillId="0" borderId="0" applyFill="0" applyBorder="0">
      <alignment vertical="center"/>
    </xf>
    <xf numFmtId="0" fontId="113" fillId="0" borderId="121" applyNumberFormat="0" applyFill="0" applyAlignment="0" applyProtection="0"/>
    <xf numFmtId="0" fontId="113" fillId="0" borderId="121" applyNumberFormat="0" applyFill="0" applyAlignment="0" applyProtection="0"/>
    <xf numFmtId="0" fontId="174" fillId="0" borderId="0" applyFill="0" applyBorder="0">
      <alignment vertical="center"/>
    </xf>
    <xf numFmtId="0" fontId="174" fillId="0" borderId="0" applyFill="0" applyBorder="0">
      <alignment vertical="center"/>
    </xf>
    <xf numFmtId="0" fontId="36" fillId="0" borderId="0" applyFill="0" applyBorder="0">
      <alignment vertical="center"/>
    </xf>
    <xf numFmtId="0" fontId="113" fillId="0" borderId="0" applyNumberFormat="0" applyFill="0" applyBorder="0" applyAlignment="0" applyProtection="0"/>
    <xf numFmtId="0" fontId="36" fillId="0" borderId="0" applyFill="0" applyBorder="0">
      <alignment vertical="center"/>
    </xf>
    <xf numFmtId="0" fontId="115" fillId="0" borderId="0" applyNumberFormat="0" applyFill="0" applyBorder="0" applyAlignment="0" applyProtection="0">
      <alignment vertical="top"/>
      <protection locked="0"/>
    </xf>
    <xf numFmtId="41" fontId="22" fillId="77" borderId="0" applyFont="0" applyBorder="0" applyAlignment="0">
      <alignment horizontal="right"/>
      <protection locked="0"/>
    </xf>
    <xf numFmtId="234" fontId="207" fillId="0" borderId="0"/>
    <xf numFmtId="0" fontId="22" fillId="0" borderId="0"/>
    <xf numFmtId="0" fontId="22" fillId="0" borderId="0"/>
    <xf numFmtId="0" fontId="22" fillId="0" borderId="0"/>
    <xf numFmtId="0" fontId="24" fillId="0" borderId="0"/>
    <xf numFmtId="0" fontId="22" fillId="0" borderId="0"/>
    <xf numFmtId="0" fontId="22" fillId="2" borderId="0"/>
    <xf numFmtId="0" fontId="22" fillId="0" borderId="0"/>
    <xf numFmtId="0" fontId="22" fillId="0" borderId="0"/>
    <xf numFmtId="0" fontId="22" fillId="0" borderId="0"/>
    <xf numFmtId="0" fontId="5" fillId="0" borderId="0"/>
    <xf numFmtId="0" fontId="22" fillId="0" borderId="0"/>
    <xf numFmtId="0" fontId="22" fillId="0" borderId="0"/>
    <xf numFmtId="0" fontId="24" fillId="0" borderId="0"/>
    <xf numFmtId="0" fontId="97" fillId="0" borderId="0"/>
    <xf numFmtId="0" fontId="22" fillId="2" borderId="0"/>
    <xf numFmtId="0" fontId="5" fillId="0" borderId="0"/>
    <xf numFmtId="0" fontId="22" fillId="0" borderId="0"/>
    <xf numFmtId="0" fontId="22" fillId="0" borderId="0"/>
    <xf numFmtId="235" fontId="22" fillId="0" borderId="0" applyFill="0" applyBorder="0"/>
    <xf numFmtId="235" fontId="22" fillId="0" borderId="0" applyFill="0" applyBorder="0"/>
    <xf numFmtId="235" fontId="22" fillId="0" borderId="0" applyFill="0" applyBorder="0"/>
    <xf numFmtId="0" fontId="75" fillId="67" borderId="0" applyNumberFormat="0" applyBorder="0" applyAlignment="0" applyProtection="0"/>
    <xf numFmtId="0" fontId="75" fillId="63" borderId="0" applyNumberFormat="0" applyBorder="0" applyAlignment="0" applyProtection="0"/>
    <xf numFmtId="0" fontId="140" fillId="0" borderId="122">
      <alignment horizontal="center"/>
    </xf>
    <xf numFmtId="208" fontId="22" fillId="0" borderId="0"/>
    <xf numFmtId="208" fontId="22" fillId="0" borderId="0"/>
    <xf numFmtId="0" fontId="22" fillId="54" borderId="0" applyNumberFormat="0" applyFont="0" applyBorder="0" applyAlignment="0" applyProtection="0"/>
    <xf numFmtId="0" fontId="22" fillId="71" borderId="0" applyNumberFormat="0" applyFont="0" applyBorder="0" applyAlignment="0" applyProtection="0"/>
    <xf numFmtId="0" fontId="22" fillId="72" borderId="0" applyNumberFormat="0" applyFont="0" applyBorder="0" applyAlignment="0" applyProtection="0"/>
    <xf numFmtId="0" fontId="22" fillId="0" borderId="0" applyNumberFormat="0" applyFont="0" applyFill="0" applyBorder="0" applyAlignment="0" applyProtection="0"/>
    <xf numFmtId="0" fontId="22" fillId="72" borderId="0" applyNumberFormat="0" applyFont="0" applyBorder="0" applyAlignment="0" applyProtection="0"/>
    <xf numFmtId="0" fontId="22" fillId="0" borderId="0" applyNumberFormat="0" applyFont="0" applyFill="0" applyBorder="0" applyAlignment="0" applyProtection="0"/>
    <xf numFmtId="0" fontId="22" fillId="0" borderId="0" applyNumberFormat="0" applyFont="0" applyBorder="0" applyAlignment="0" applyProtection="0"/>
    <xf numFmtId="0" fontId="22" fillId="0" borderId="0"/>
    <xf numFmtId="15" fontId="22" fillId="0" borderId="0"/>
    <xf numFmtId="15" fontId="22" fillId="0" borderId="0"/>
    <xf numFmtId="10" fontId="22" fillId="0" borderId="0"/>
    <xf numFmtId="10" fontId="22" fillId="0" borderId="0"/>
    <xf numFmtId="0" fontId="208" fillId="76" borderId="12" applyBorder="0" applyProtection="0">
      <alignment horizontal="centerContinuous" vertical="center"/>
    </xf>
    <xf numFmtId="0" fontId="22" fillId="2" borderId="0"/>
    <xf numFmtId="49" fontId="22" fillId="0" borderId="0" applyFont="0" applyFill="0" applyBorder="0" applyAlignment="0" applyProtection="0"/>
    <xf numFmtId="0" fontId="209" fillId="0" borderId="0"/>
    <xf numFmtId="0" fontId="209" fillId="0" borderId="0"/>
    <xf numFmtId="212" fontId="22" fillId="0" borderId="12" applyBorder="0" applyProtection="0">
      <alignment horizontal="right"/>
    </xf>
    <xf numFmtId="0" fontId="22" fillId="2" borderId="0"/>
    <xf numFmtId="41" fontId="22" fillId="14" borderId="0" applyNumberFormat="0" applyFont="0" applyBorder="0" applyAlignment="0">
      <alignment horizontal="right"/>
    </xf>
    <xf numFmtId="194" fontId="22" fillId="47" borderId="0" applyFont="0" applyBorder="0">
      <alignment horizontal="right"/>
      <protection locked="0"/>
    </xf>
    <xf numFmtId="41" fontId="22" fillId="7" borderId="0" applyFont="0" applyBorder="0">
      <alignment horizontal="right"/>
      <protection locked="0"/>
    </xf>
    <xf numFmtId="0" fontId="22" fillId="0" borderId="0"/>
    <xf numFmtId="0" fontId="22" fillId="0" borderId="0"/>
    <xf numFmtId="0" fontId="22" fillId="0" borderId="0"/>
    <xf numFmtId="0" fontId="22" fillId="0" borderId="0"/>
    <xf numFmtId="0" fontId="5" fillId="0" borderId="0"/>
    <xf numFmtId="0" fontId="5" fillId="0" borderId="0"/>
    <xf numFmtId="0" fontId="5" fillId="0" borderId="0"/>
    <xf numFmtId="0" fontId="22" fillId="0" borderId="0"/>
    <xf numFmtId="0" fontId="5" fillId="0" borderId="0"/>
    <xf numFmtId="0" fontId="5" fillId="0" borderId="0"/>
    <xf numFmtId="0" fontId="22" fillId="0" borderId="0"/>
    <xf numFmtId="0" fontId="22" fillId="0" borderId="0"/>
    <xf numFmtId="0" fontId="22" fillId="54" borderId="77"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22" fillId="0" borderId="0" applyFill="0"/>
    <xf numFmtId="9" fontId="5" fillId="0" borderId="0" applyFont="0" applyFill="0" applyBorder="0" applyAlignment="0" applyProtection="0"/>
    <xf numFmtId="0" fontId="22" fillId="0" borderId="0" applyFill="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140" fillId="0" borderId="122">
      <alignment horizontal="center"/>
    </xf>
    <xf numFmtId="236" fontId="5" fillId="8" borderId="123">
      <protection locked="0"/>
    </xf>
    <xf numFmtId="236" fontId="5" fillId="15" borderId="123"/>
    <xf numFmtId="49" fontId="5" fillId="8" borderId="123" applyFont="0" applyAlignment="0">
      <alignment horizontal="left" vertical="center" wrapText="1"/>
      <protection locked="0"/>
    </xf>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22" fillId="2"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232" fontId="22" fillId="7" borderId="0" applyFont="0" applyBorder="0">
      <alignment horizontal="right"/>
    </xf>
    <xf numFmtId="175" fontId="22" fillId="7" borderId="0" applyFont="0" applyBorder="0" applyAlignment="0"/>
    <xf numFmtId="10" fontId="22" fillId="77" borderId="0" applyFont="0" applyBorder="0">
      <alignment horizontal="right"/>
      <protection locked="0"/>
    </xf>
    <xf numFmtId="3" fontId="22" fillId="78" borderId="0" applyFont="0" applyBorder="0">
      <protection locked="0"/>
    </xf>
    <xf numFmtId="175" fontId="193" fillId="78" borderId="0" applyBorder="0" applyAlignment="0">
      <protection locked="0"/>
    </xf>
    <xf numFmtId="175" fontId="210" fillId="112" borderId="0" applyBorder="0" applyAlignment="0"/>
    <xf numFmtId="232" fontId="78" fillId="14" borderId="18" applyFont="0" applyBorder="0" applyAlignment="0"/>
    <xf numFmtId="175" fontId="193" fillId="14" borderId="0" applyFont="0" applyBorder="0" applyAlignment="0"/>
    <xf numFmtId="0" fontId="22" fillId="2" borderId="0"/>
    <xf numFmtId="0" fontId="5" fillId="0" borderId="0"/>
    <xf numFmtId="9" fontId="5" fillId="0" borderId="0" applyFont="0" applyFill="0" applyBorder="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22" fillId="0" borderId="0"/>
    <xf numFmtId="0" fontId="113" fillId="0" borderId="121" applyNumberFormat="0" applyFill="0" applyAlignment="0" applyProtection="0"/>
    <xf numFmtId="0" fontId="113" fillId="0" borderId="121" applyNumberFormat="0" applyFill="0" applyAlignment="0" applyProtection="0"/>
    <xf numFmtId="0" fontId="24" fillId="0" borderId="0"/>
    <xf numFmtId="0" fontId="22" fillId="0" borderId="0"/>
    <xf numFmtId="0" fontId="140" fillId="0" borderId="122">
      <alignment horizontal="center"/>
    </xf>
    <xf numFmtId="0" fontId="22" fillId="2" borderId="0"/>
    <xf numFmtId="0" fontId="22" fillId="0" borderId="0"/>
    <xf numFmtId="0" fontId="22" fillId="54" borderId="77" applyNumberFormat="0" applyFont="0" applyAlignment="0" applyProtection="0"/>
    <xf numFmtId="0" fontId="22" fillId="0" borderId="0"/>
    <xf numFmtId="0" fontId="5" fillId="0" borderId="0"/>
    <xf numFmtId="0" fontId="5" fillId="0" borderId="0"/>
    <xf numFmtId="0" fontId="22" fillId="0" borderId="0"/>
    <xf numFmtId="0" fontId="22"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236" fontId="5" fillId="8" borderId="123">
      <protection locked="0"/>
    </xf>
    <xf numFmtId="236" fontId="5" fillId="15" borderId="123"/>
    <xf numFmtId="49" fontId="5" fillId="8" borderId="123" applyFont="0" applyAlignment="0">
      <alignment horizontal="left" vertical="center" wrapText="1"/>
      <protection locked="0"/>
    </xf>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236" fontId="5" fillId="8" borderId="123">
      <protection locked="0"/>
    </xf>
    <xf numFmtId="236" fontId="5" fillId="15" borderId="123"/>
    <xf numFmtId="49" fontId="5" fillId="8" borderId="123" applyFont="0" applyAlignment="0">
      <alignment horizontal="left" vertical="center" wrapText="1"/>
      <protection locked="0"/>
    </xf>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5" fillId="0" borderId="0"/>
    <xf numFmtId="9" fontId="5" fillId="0" borderId="0" applyFont="0" applyFill="0" applyBorder="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40" fillId="0" borderId="122">
      <alignment horizontal="center"/>
    </xf>
    <xf numFmtId="0" fontId="5" fillId="0" borderId="0"/>
    <xf numFmtId="0" fontId="5" fillId="0" borderId="0"/>
    <xf numFmtId="0" fontId="5" fillId="0" borderId="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140" fillId="0" borderId="122">
      <alignment horizontal="center"/>
    </xf>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40" fillId="0" borderId="122">
      <alignment horizontal="center"/>
    </xf>
    <xf numFmtId="0" fontId="117" fillId="0" borderId="0" applyNumberFormat="0" applyFill="0" applyBorder="0" applyAlignment="0" applyProtection="0">
      <alignment vertical="top"/>
      <protection locked="0"/>
    </xf>
    <xf numFmtId="0" fontId="22" fillId="54" borderId="77" applyNumberFormat="0" applyFont="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113" fillId="0" borderId="121" applyNumberFormat="0" applyFill="0" applyAlignment="0" applyProtection="0"/>
    <xf numFmtId="0" fontId="5" fillId="0" borderId="0"/>
    <xf numFmtId="43" fontId="22" fillId="0" borderId="0" applyFont="0" applyFill="0" applyBorder="0" applyAlignment="0" applyProtection="0"/>
    <xf numFmtId="43" fontId="22" fillId="0" borderId="0" applyFont="0" applyFill="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0" borderId="0"/>
    <xf numFmtId="0" fontId="5" fillId="0" borderId="0"/>
    <xf numFmtId="0" fontId="5" fillId="0" borderId="0"/>
    <xf numFmtId="0" fontId="5" fillId="0" borderId="0"/>
    <xf numFmtId="0" fontId="75" fillId="63" borderId="0" applyNumberFormat="0" applyBorder="0" applyAlignment="0" applyProtection="0"/>
    <xf numFmtId="0" fontId="75" fillId="63" borderId="0" applyNumberFormat="0" applyBorder="0" applyAlignment="0" applyProtection="0"/>
    <xf numFmtId="0" fontId="75" fillId="63" borderId="0" applyNumberFormat="0" applyBorder="0" applyAlignment="0" applyProtection="0"/>
    <xf numFmtId="0" fontId="75" fillId="67" borderId="0" applyNumberFormat="0" applyBorder="0" applyAlignment="0" applyProtection="0"/>
    <xf numFmtId="0" fontId="75" fillId="68" borderId="0" applyNumberFormat="0" applyBorder="0" applyAlignment="0" applyProtection="0"/>
    <xf numFmtId="0" fontId="75" fillId="69" borderId="0" applyNumberFormat="0" applyBorder="0" applyAlignment="0" applyProtection="0"/>
    <xf numFmtId="0" fontId="75" fillId="69" borderId="0" applyNumberFormat="0" applyBorder="0" applyAlignment="0" applyProtection="0"/>
    <xf numFmtId="0" fontId="75" fillId="63" borderId="0" applyNumberFormat="0" applyBorder="0" applyAlignment="0" applyProtection="0"/>
    <xf numFmtId="0" fontId="75" fillId="63" borderId="0" applyNumberFormat="0" applyBorder="0" applyAlignment="0" applyProtection="0"/>
    <xf numFmtId="0" fontId="75" fillId="61" borderId="0" applyNumberFormat="0" applyBorder="0" applyAlignment="0" applyProtection="0"/>
    <xf numFmtId="43" fontId="22" fillId="0" borderId="0" applyFont="0" applyFill="0" applyBorder="0" applyAlignment="0" applyProtection="0"/>
    <xf numFmtId="43" fontId="22" fillId="0" borderId="0" applyFont="0" applyFill="0" applyBorder="0" applyAlignment="0" applyProtection="0"/>
    <xf numFmtId="44" fontId="22" fillId="0" borderId="0" applyFont="0" applyFill="0" applyBorder="0" applyAlignment="0" applyProtection="0"/>
    <xf numFmtId="49" fontId="211" fillId="108" borderId="34">
      <alignment horizontal="center" vertical="center" wrapText="1"/>
    </xf>
    <xf numFmtId="41" fontId="22" fillId="11" borderId="0" applyFont="0" applyBorder="0" applyAlignment="0">
      <alignment horizontal="right"/>
      <protection locked="0"/>
    </xf>
    <xf numFmtId="41" fontId="22" fillId="77" borderId="0" applyFont="0" applyBorder="0" applyAlignment="0">
      <alignment horizontal="right"/>
      <protection locked="0"/>
    </xf>
    <xf numFmtId="0" fontId="5" fillId="0" borderId="0"/>
    <xf numFmtId="0" fontId="22" fillId="0" borderId="0" applyFill="0"/>
    <xf numFmtId="0" fontId="22" fillId="2" borderId="0"/>
    <xf numFmtId="0" fontId="22" fillId="2" borderId="0"/>
    <xf numFmtId="0" fontId="22" fillId="2" borderId="0"/>
    <xf numFmtId="0" fontId="22" fillId="0" borderId="0"/>
    <xf numFmtId="0" fontId="5" fillId="0" borderId="0"/>
    <xf numFmtId="0" fontId="75" fillId="63" borderId="0" applyNumberFormat="0" applyBorder="0" applyAlignment="0" applyProtection="0"/>
    <xf numFmtId="0" fontId="75" fillId="69" borderId="0" applyNumberFormat="0" applyBorder="0" applyAlignment="0" applyProtection="0"/>
    <xf numFmtId="9" fontId="22" fillId="0" borderId="0" applyFont="0" applyFill="0" applyBorder="0" applyAlignment="0" applyProtection="0"/>
    <xf numFmtId="9" fontId="22" fillId="0" borderId="0" applyFont="0" applyFill="0" applyBorder="0" applyAlignment="0" applyProtection="0"/>
    <xf numFmtId="0" fontId="140" fillId="0" borderId="122">
      <alignment horizontal="center"/>
    </xf>
    <xf numFmtId="0" fontId="140" fillId="0" borderId="122">
      <alignment horizontal="center"/>
    </xf>
    <xf numFmtId="0" fontId="140" fillId="0" borderId="122">
      <alignment horizontal="center"/>
    </xf>
    <xf numFmtId="0" fontId="140" fillId="0" borderId="122">
      <alignment horizontal="center"/>
    </xf>
    <xf numFmtId="0" fontId="140" fillId="0" borderId="122">
      <alignment horizontal="center"/>
    </xf>
    <xf numFmtId="0" fontId="140" fillId="0" borderId="122">
      <alignment horizontal="center"/>
    </xf>
    <xf numFmtId="0" fontId="140" fillId="0" borderId="122">
      <alignment horizontal="center"/>
    </xf>
    <xf numFmtId="236" fontId="14" fillId="8" borderId="124">
      <alignment horizontal="right" indent="2"/>
      <protection locked="0"/>
    </xf>
    <xf numFmtId="0" fontId="5" fillId="0" borderId="0"/>
    <xf numFmtId="43" fontId="22" fillId="0" borderId="0" applyFont="0" applyFill="0" applyBorder="0" applyAlignment="0" applyProtection="0"/>
    <xf numFmtId="0" fontId="5" fillId="0" borderId="0"/>
    <xf numFmtId="0" fontId="5" fillId="0" borderId="0"/>
    <xf numFmtId="0" fontId="22" fillId="0" borderId="0"/>
    <xf numFmtId="0" fontId="5" fillId="0" borderId="0"/>
    <xf numFmtId="0" fontId="5" fillId="0" borderId="0"/>
    <xf numFmtId="0" fontId="24" fillId="71" borderId="0" applyNumberFormat="0" applyBorder="0" applyAlignment="0" applyProtection="0"/>
    <xf numFmtId="0" fontId="24" fillId="72" borderId="0" applyNumberFormat="0" applyBorder="0" applyAlignment="0" applyProtection="0"/>
    <xf numFmtId="0" fontId="75" fillId="63" borderId="0" applyNumberFormat="0" applyBorder="0" applyAlignment="0" applyProtection="0"/>
    <xf numFmtId="41" fontId="22" fillId="14" borderId="0" applyNumberFormat="0" applyFont="0" applyBorder="0" applyAlignment="0">
      <alignment horizontal="right"/>
    </xf>
    <xf numFmtId="41" fontId="22" fillId="14" borderId="0" applyNumberFormat="0" applyFont="0" applyBorder="0" applyAlignment="0">
      <alignment horizontal="right"/>
    </xf>
    <xf numFmtId="0" fontId="75" fillId="63" borderId="0" applyNumberFormat="0" applyBorder="0" applyAlignment="0" applyProtection="0"/>
    <xf numFmtId="0" fontId="75" fillId="67" borderId="0" applyNumberFormat="0" applyBorder="0" applyAlignment="0" applyProtection="0"/>
    <xf numFmtId="0" fontId="75" fillId="68" borderId="0" applyNumberFormat="0" applyBorder="0" applyAlignment="0" applyProtection="0"/>
    <xf numFmtId="0" fontId="75" fillId="69" borderId="0" applyNumberFormat="0" applyBorder="0" applyAlignment="0" applyProtection="0"/>
    <xf numFmtId="0" fontId="75" fillId="63" borderId="0" applyNumberFormat="0" applyBorder="0" applyAlignment="0" applyProtection="0"/>
    <xf numFmtId="43" fontId="22" fillId="0" borderId="0" applyFont="0" applyFill="0" applyBorder="0" applyAlignment="0" applyProtection="0"/>
    <xf numFmtId="43" fontId="212" fillId="0" borderId="0" applyFont="0" applyFill="0" applyBorder="0" applyAlignment="0" applyProtection="0"/>
    <xf numFmtId="44" fontId="5" fillId="0" borderId="0" applyFont="0" applyFill="0" applyBorder="0" applyAlignment="0" applyProtection="0"/>
    <xf numFmtId="0" fontId="110" fillId="0" borderId="7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13" fillId="0" borderId="91" applyNumberFormat="0" applyFill="0" applyAlignment="0" applyProtection="0"/>
    <xf numFmtId="0" fontId="169" fillId="0" borderId="0" applyNumberFormat="0" applyFill="0" applyBorder="0" applyAlignment="0" applyProtection="0"/>
    <xf numFmtId="41" fontId="22" fillId="11" borderId="0" applyFont="0" applyBorder="0" applyAlignment="0">
      <alignment horizontal="right"/>
      <protection locked="0"/>
    </xf>
    <xf numFmtId="41" fontId="22" fillId="77" borderId="0" applyFont="0" applyBorder="0" applyAlignment="0">
      <alignment horizontal="right"/>
      <protection locked="0"/>
    </xf>
    <xf numFmtId="41" fontId="22" fillId="77" borderId="0" applyFont="0" applyBorder="0" applyAlignment="0">
      <alignment horizontal="right"/>
      <protection locked="0"/>
    </xf>
    <xf numFmtId="41" fontId="22" fillId="11" borderId="0" applyFont="0" applyBorder="0" applyAlignment="0">
      <alignment horizontal="right"/>
      <protection locked="0"/>
    </xf>
    <xf numFmtId="41" fontId="22" fillId="7" borderId="0" applyFont="0" applyBorder="0">
      <alignment horizontal="right"/>
      <protection locked="0"/>
    </xf>
    <xf numFmtId="41" fontId="22" fillId="7" borderId="0" applyFont="0" applyBorder="0">
      <alignment horizontal="right"/>
      <protection locked="0"/>
    </xf>
    <xf numFmtId="41" fontId="22" fillId="7" borderId="0" applyFont="0" applyBorder="0">
      <alignment horizontal="right"/>
      <protection locked="0"/>
    </xf>
    <xf numFmtId="41" fontId="22" fillId="7" borderId="0" applyFont="0" applyBorder="0">
      <alignment horizontal="right"/>
      <protection locked="0"/>
    </xf>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1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2" fillId="0" borderId="0" applyFill="0"/>
    <xf numFmtId="0" fontId="24" fillId="0" borderId="0"/>
    <xf numFmtId="0" fontId="22" fillId="0" borderId="0" applyFill="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22" fillId="54" borderId="77" applyNumberFormat="0" applyFont="0" applyAlignment="0" applyProtection="0"/>
    <xf numFmtId="0" fontId="121" fillId="56" borderId="94" applyNumberFormat="0" applyAlignment="0" applyProtection="0"/>
    <xf numFmtId="0" fontId="75" fillId="61" borderId="0" applyNumberFormat="0" applyBorder="0" applyAlignment="0" applyProtection="0"/>
    <xf numFmtId="9" fontId="24" fillId="0" borderId="0" applyFont="0" applyFill="0" applyBorder="0" applyAlignment="0" applyProtection="0"/>
    <xf numFmtId="9" fontId="5" fillId="0" borderId="0" applyFont="0" applyFill="0" applyBorder="0" applyAlignment="0" applyProtection="0"/>
    <xf numFmtId="0" fontId="177" fillId="76" borderId="12" applyBorder="0" applyProtection="0">
      <alignment horizontal="centerContinuous" vertical="center"/>
    </xf>
    <xf numFmtId="0" fontId="181" fillId="0" borderId="0"/>
    <xf numFmtId="0" fontId="181" fillId="0" borderId="0"/>
    <xf numFmtId="9" fontId="22" fillId="0" borderId="0" applyFont="0" applyFill="0" applyBorder="0" applyAlignment="0" applyProtection="0"/>
    <xf numFmtId="0" fontId="5" fillId="0" borderId="0"/>
    <xf numFmtId="0" fontId="5" fillId="0" borderId="0"/>
    <xf numFmtId="0" fontId="2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21" fillId="56" borderId="94" applyNumberFormat="0" applyAlignment="0" applyProtection="0"/>
    <xf numFmtId="0" fontId="75" fillId="61" borderId="0" applyNumberFormat="0" applyBorder="0" applyAlignment="0" applyProtection="0"/>
    <xf numFmtId="43" fontId="22" fillId="0" borderId="0" applyFont="0" applyFill="0" applyBorder="0" applyAlignment="0" applyProtection="0"/>
    <xf numFmtId="43" fontId="22" fillId="0" borderId="0" applyFont="0" applyFill="0" applyBorder="0" applyAlignment="0" applyProtection="0"/>
    <xf numFmtId="9" fontId="22" fillId="0" borderId="0" applyFont="0" applyFill="0" applyBorder="0" applyAlignment="0" applyProtection="0"/>
    <xf numFmtId="0" fontId="4" fillId="0" borderId="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12" fillId="0" borderId="0"/>
    <xf numFmtId="9" fontId="12" fillId="0" borderId="0" applyFont="0" applyFill="0" applyBorder="0" applyAlignment="0" applyProtection="0"/>
    <xf numFmtId="44"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177" fontId="1" fillId="0" borderId="0" applyFont="0" applyFill="0" applyBorder="0" applyAlignment="0" applyProtection="0"/>
    <xf numFmtId="0" fontId="114" fillId="0" borderId="0" applyNumberFormat="0" applyFill="0" applyBorder="0" applyAlignment="0" applyProtection="0"/>
  </cellStyleXfs>
  <cellXfs count="1967">
    <xf numFmtId="0" fontId="0" fillId="0" borderId="0" xfId="0"/>
    <xf numFmtId="0" fontId="13" fillId="0" borderId="0" xfId="0" applyFont="1" applyAlignment="1">
      <alignment vertical="center"/>
    </xf>
    <xf numFmtId="0" fontId="1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wrapText="1"/>
    </xf>
    <xf numFmtId="0" fontId="16" fillId="0" borderId="0" xfId="0" applyFont="1" applyAlignment="1">
      <alignment horizontal="justify" vertical="center"/>
    </xf>
    <xf numFmtId="0" fontId="15" fillId="0" borderId="0" xfId="0" applyFont="1" applyProtection="1">
      <protection locked="0"/>
    </xf>
    <xf numFmtId="0" fontId="14" fillId="0" borderId="0" xfId="0" applyFont="1" applyProtection="1"/>
    <xf numFmtId="169" fontId="14" fillId="0" borderId="0" xfId="0" applyNumberFormat="1" applyFont="1" applyAlignment="1" applyProtection="1">
      <alignment horizontal="center"/>
    </xf>
    <xf numFmtId="0" fontId="14" fillId="0" borderId="0" xfId="0" applyFont="1" applyProtection="1">
      <protection locked="0"/>
    </xf>
    <xf numFmtId="170" fontId="14" fillId="0" borderId="0" xfId="0" applyNumberFormat="1" applyFont="1" applyProtection="1">
      <protection locked="0"/>
    </xf>
    <xf numFmtId="2" fontId="28" fillId="0" borderId="0" xfId="5" applyNumberFormat="1" applyFont="1" applyAlignment="1" applyProtection="1">
      <alignment horizontal="left"/>
    </xf>
    <xf numFmtId="2" fontId="28" fillId="0" borderId="0" xfId="5" applyNumberFormat="1" applyFont="1" applyAlignment="1" applyProtection="1">
      <alignment horizontal="left"/>
      <protection locked="0"/>
    </xf>
    <xf numFmtId="2" fontId="27" fillId="0" borderId="0" xfId="5" applyNumberFormat="1" applyFont="1" applyFill="1" applyAlignment="1" applyProtection="1">
      <alignment horizontal="left"/>
      <protection locked="0"/>
    </xf>
    <xf numFmtId="0" fontId="15" fillId="0" borderId="0" xfId="0" applyFont="1" applyProtection="1"/>
    <xf numFmtId="169" fontId="15" fillId="0" borderId="0" xfId="0" applyNumberFormat="1" applyFont="1" applyAlignment="1" applyProtection="1">
      <alignment horizontal="center"/>
    </xf>
    <xf numFmtId="170" fontId="15" fillId="0" borderId="0" xfId="0" applyNumberFormat="1" applyFont="1" applyProtection="1">
      <protection locked="0"/>
    </xf>
    <xf numFmtId="0" fontId="15" fillId="0" borderId="0" xfId="0" applyFont="1" applyAlignment="1" applyProtection="1">
      <alignment vertical="center"/>
      <protection locked="0"/>
    </xf>
    <xf numFmtId="0" fontId="28" fillId="0" borderId="0" xfId="0" applyFont="1" applyBorder="1" applyAlignment="1" applyProtection="1">
      <alignment vertical="center"/>
    </xf>
    <xf numFmtId="169" fontId="28" fillId="0" borderId="0" xfId="0" applyNumberFormat="1" applyFont="1" applyBorder="1" applyAlignment="1" applyProtection="1">
      <alignment horizontal="center" vertical="center"/>
    </xf>
    <xf numFmtId="0" fontId="14" fillId="0" borderId="0" xfId="0" applyFont="1" applyFill="1" applyBorder="1" applyProtection="1">
      <protection locked="0"/>
    </xf>
    <xf numFmtId="0" fontId="15" fillId="0" borderId="9" xfId="0" applyFont="1" applyFill="1" applyBorder="1" applyAlignment="1" applyProtection="1">
      <alignment vertical="center"/>
    </xf>
    <xf numFmtId="3" fontId="29" fillId="0" borderId="0" xfId="8" applyFont="1" applyFill="1" applyBorder="1" applyAlignment="1" applyProtection="1">
      <alignment horizontal="left"/>
      <protection locked="0"/>
    </xf>
    <xf numFmtId="0" fontId="30" fillId="0" borderId="0" xfId="0" applyFont="1" applyFill="1" applyProtection="1">
      <protection locked="0"/>
    </xf>
    <xf numFmtId="0" fontId="15" fillId="0" borderId="9" xfId="0" applyFont="1" applyBorder="1" applyAlignment="1" applyProtection="1">
      <alignment vertical="center"/>
    </xf>
    <xf numFmtId="0" fontId="15" fillId="2" borderId="9" xfId="0" applyFont="1" applyFill="1" applyBorder="1" applyAlignment="1" applyProtection="1">
      <alignment vertical="center"/>
    </xf>
    <xf numFmtId="0" fontId="28" fillId="0" borderId="5" xfId="0" applyFont="1" applyBorder="1" applyAlignment="1" applyProtection="1">
      <alignment vertical="center"/>
    </xf>
    <xf numFmtId="0" fontId="15" fillId="0" borderId="0" xfId="0" applyFont="1" applyBorder="1" applyAlignment="1" applyProtection="1">
      <alignment vertical="center"/>
    </xf>
    <xf numFmtId="2" fontId="32" fillId="9" borderId="0" xfId="5" applyNumberFormat="1" applyFont="1" applyFill="1" applyAlignment="1" applyProtection="1">
      <alignment horizontal="left"/>
      <protection locked="0"/>
    </xf>
    <xf numFmtId="3" fontId="15" fillId="0" borderId="9" xfId="6" applyNumberFormat="1" applyFont="1" applyFill="1" applyBorder="1" applyAlignment="1" applyProtection="1">
      <alignment horizontal="right" vertical="center"/>
    </xf>
    <xf numFmtId="3" fontId="28" fillId="10" borderId="9" xfId="6" applyNumberFormat="1" applyFont="1" applyFill="1" applyBorder="1" applyAlignment="1" applyProtection="1">
      <alignment horizontal="right" vertical="center"/>
      <protection hidden="1"/>
    </xf>
    <xf numFmtId="170" fontId="28" fillId="0" borderId="0" xfId="6" applyNumberFormat="1" applyFont="1" applyFill="1" applyBorder="1" applyAlignment="1" applyProtection="1">
      <alignment horizontal="right" vertical="center"/>
      <protection hidden="1"/>
    </xf>
    <xf numFmtId="0" fontId="28" fillId="9" borderId="0" xfId="5" applyNumberFormat="1" applyFont="1" applyFill="1" applyAlignment="1" applyProtection="1">
      <alignment horizontal="left"/>
      <protection locked="0"/>
    </xf>
    <xf numFmtId="170" fontId="15" fillId="0" borderId="0" xfId="8" applyNumberFormat="1" applyFont="1" applyFill="1" applyBorder="1" applyProtection="1">
      <alignment horizontal="right"/>
      <protection locked="0"/>
    </xf>
    <xf numFmtId="3" fontId="15" fillId="0" borderId="0" xfId="8" applyFont="1" applyFill="1" applyBorder="1" applyProtection="1">
      <alignment horizontal="right"/>
      <protection locked="0"/>
    </xf>
    <xf numFmtId="0" fontId="14" fillId="0" borderId="0" xfId="0" applyFont="1" applyFill="1" applyProtection="1">
      <protection locked="0"/>
    </xf>
    <xf numFmtId="0" fontId="15" fillId="0" borderId="0" xfId="0" applyFont="1" applyFill="1" applyProtection="1">
      <protection locked="0"/>
    </xf>
    <xf numFmtId="0" fontId="15" fillId="0" borderId="6" xfId="0" applyFont="1" applyFill="1" applyBorder="1" applyAlignment="1" applyProtection="1">
      <alignment vertical="center"/>
    </xf>
    <xf numFmtId="0" fontId="14" fillId="0" borderId="32" xfId="0" applyFont="1" applyBorder="1" applyProtection="1"/>
    <xf numFmtId="10" fontId="31" fillId="0" borderId="5" xfId="5" applyNumberFormat="1" applyFont="1" applyFill="1" applyBorder="1" applyAlignment="1" applyProtection="1">
      <alignment horizontal="center" vertical="center"/>
    </xf>
    <xf numFmtId="0" fontId="28" fillId="9" borderId="0" xfId="5" applyNumberFormat="1" applyFont="1" applyFill="1" applyAlignment="1" applyProtection="1">
      <alignment horizontal="center"/>
      <protection locked="0"/>
    </xf>
    <xf numFmtId="3" fontId="14" fillId="0" borderId="9" xfId="0" applyNumberFormat="1" applyFont="1" applyBorder="1" applyProtection="1">
      <protection locked="0"/>
    </xf>
    <xf numFmtId="3" fontId="34" fillId="0" borderId="9" xfId="0" applyNumberFormat="1" applyFont="1" applyBorder="1" applyProtection="1">
      <protection locked="0"/>
    </xf>
    <xf numFmtId="169" fontId="14" fillId="0" borderId="16" xfId="0" applyNumberFormat="1" applyFont="1" applyBorder="1" applyAlignment="1" applyProtection="1">
      <alignment horizontal="center"/>
    </xf>
    <xf numFmtId="0" fontId="14" fillId="0" borderId="6" xfId="0" applyFont="1" applyFill="1" applyBorder="1" applyProtection="1"/>
    <xf numFmtId="0" fontId="14" fillId="0" borderId="16" xfId="0" applyFont="1" applyFill="1" applyBorder="1" applyProtection="1"/>
    <xf numFmtId="0" fontId="28" fillId="0" borderId="16" xfId="0" applyFont="1" applyFill="1" applyBorder="1" applyProtection="1"/>
    <xf numFmtId="49" fontId="15" fillId="0" borderId="16" xfId="0" applyNumberFormat="1" applyFont="1" applyFill="1" applyBorder="1" applyAlignment="1" applyProtection="1">
      <alignment horizontal="left" indent="1"/>
    </xf>
    <xf numFmtId="49" fontId="39" fillId="0" borderId="16" xfId="0" applyNumberFormat="1" applyFont="1" applyFill="1" applyBorder="1" applyAlignment="1" applyProtection="1">
      <alignment horizontal="left" indent="2"/>
    </xf>
    <xf numFmtId="0" fontId="15" fillId="0" borderId="16" xfId="0" applyFont="1" applyFill="1" applyBorder="1" applyProtection="1"/>
    <xf numFmtId="0" fontId="40" fillId="0" borderId="0" xfId="0" applyFont="1" applyProtection="1"/>
    <xf numFmtId="3" fontId="14" fillId="0" borderId="16" xfId="0" applyNumberFormat="1" applyFont="1" applyBorder="1" applyProtection="1">
      <protection locked="0"/>
    </xf>
    <xf numFmtId="0" fontId="14" fillId="0" borderId="16" xfId="0" applyFont="1" applyBorder="1" applyProtection="1">
      <protection locked="0"/>
    </xf>
    <xf numFmtId="0" fontId="28" fillId="0" borderId="6" xfId="17" applyFont="1" applyFill="1" applyBorder="1" applyAlignment="1" applyProtection="1">
      <alignment horizontal="right"/>
    </xf>
    <xf numFmtId="1" fontId="28" fillId="0" borderId="16" xfId="17" applyNumberFormat="1" applyFont="1" applyFill="1" applyBorder="1" applyAlignment="1" applyProtection="1">
      <alignment horizontal="right"/>
    </xf>
    <xf numFmtId="1" fontId="28" fillId="0" borderId="10" xfId="17" applyNumberFormat="1" applyFont="1" applyFill="1" applyBorder="1" applyAlignment="1" applyProtection="1">
      <alignment horizontal="right"/>
    </xf>
    <xf numFmtId="3" fontId="14" fillId="0" borderId="10" xfId="0" applyNumberFormat="1" applyFont="1" applyBorder="1" applyProtection="1">
      <protection locked="0"/>
    </xf>
    <xf numFmtId="2" fontId="32" fillId="0" borderId="0" xfId="5" applyNumberFormat="1" applyFont="1" applyFill="1" applyAlignment="1" applyProtection="1">
      <alignment horizontal="left"/>
      <protection locked="0"/>
    </xf>
    <xf numFmtId="2" fontId="41" fillId="4" borderId="0" xfId="5" applyNumberFormat="1" applyFont="1" applyFill="1" applyAlignment="1" applyProtection="1">
      <alignment horizontal="left"/>
      <protection locked="0"/>
    </xf>
    <xf numFmtId="3" fontId="15" fillId="0" borderId="16" xfId="0" applyNumberFormat="1" applyFont="1" applyBorder="1" applyProtection="1">
      <protection locked="0"/>
    </xf>
    <xf numFmtId="3" fontId="15" fillId="0" borderId="16" xfId="6" applyNumberFormat="1" applyFont="1" applyFill="1" applyBorder="1" applyAlignment="1" applyProtection="1">
      <alignment horizontal="right" vertical="center"/>
    </xf>
    <xf numFmtId="3" fontId="14" fillId="0" borderId="0" xfId="0" applyNumberFormat="1" applyFont="1" applyProtection="1">
      <protection locked="0"/>
    </xf>
    <xf numFmtId="0" fontId="42" fillId="14" borderId="0" xfId="0" applyFont="1" applyFill="1"/>
    <xf numFmtId="0" fontId="22" fillId="0" borderId="0" xfId="1" applyFont="1" applyFill="1"/>
    <xf numFmtId="0" fontId="35" fillId="14" borderId="0" xfId="0" applyFont="1" applyFill="1"/>
    <xf numFmtId="0" fontId="22" fillId="15" borderId="0" xfId="1" applyFont="1" applyFill="1"/>
    <xf numFmtId="0" fontId="35" fillId="4" borderId="26" xfId="1" applyFont="1" applyFill="1" applyBorder="1" applyAlignment="1">
      <alignment horizontal="center" wrapText="1"/>
    </xf>
    <xf numFmtId="0" fontId="22" fillId="0" borderId="0" xfId="1" applyFont="1" applyFill="1" applyBorder="1"/>
    <xf numFmtId="0" fontId="14" fillId="0" borderId="0" xfId="0" applyFont="1" applyBorder="1" applyProtection="1">
      <protection locked="0"/>
    </xf>
    <xf numFmtId="0" fontId="12" fillId="14" borderId="0" xfId="0" applyFont="1" applyFill="1"/>
    <xf numFmtId="0" fontId="36" fillId="0" borderId="16" xfId="0" applyFont="1" applyFill="1" applyBorder="1" applyAlignment="1" applyProtection="1">
      <alignment wrapText="1"/>
    </xf>
    <xf numFmtId="0" fontId="36" fillId="0" borderId="16" xfId="0" applyFont="1" applyFill="1" applyBorder="1" applyProtection="1"/>
    <xf numFmtId="0" fontId="43" fillId="0" borderId="0" xfId="1" applyFont="1"/>
    <xf numFmtId="0" fontId="22" fillId="0" borderId="0" xfId="1" applyFont="1"/>
    <xf numFmtId="0" fontId="44" fillId="0" borderId="0" xfId="1" applyFont="1"/>
    <xf numFmtId="0" fontId="22" fillId="0" borderId="0" xfId="1" applyFont="1" applyBorder="1"/>
    <xf numFmtId="0" fontId="22" fillId="0" borderId="1" xfId="1" applyFont="1" applyBorder="1"/>
    <xf numFmtId="0" fontId="46" fillId="0" borderId="0" xfId="1" applyFont="1"/>
    <xf numFmtId="167" fontId="22" fillId="0" borderId="0" xfId="1" applyNumberFormat="1" applyFont="1"/>
    <xf numFmtId="166" fontId="35" fillId="4" borderId="41" xfId="3" applyNumberFormat="1" applyFont="1" applyFill="1" applyBorder="1"/>
    <xf numFmtId="166" fontId="35" fillId="4" borderId="15" xfId="3" applyNumberFormat="1" applyFont="1" applyFill="1" applyBorder="1"/>
    <xf numFmtId="166" fontId="35" fillId="4" borderId="23" xfId="3" applyNumberFormat="1" applyFont="1" applyFill="1" applyBorder="1"/>
    <xf numFmtId="3" fontId="22" fillId="0" borderId="0" xfId="1" applyNumberFormat="1" applyFont="1"/>
    <xf numFmtId="0" fontId="20" fillId="0" borderId="0" xfId="0" applyFont="1" applyAlignment="1">
      <alignment vertical="center" wrapText="1"/>
    </xf>
    <xf numFmtId="10" fontId="14" fillId="0" borderId="16" xfId="6" applyNumberFormat="1" applyFont="1" applyBorder="1" applyProtection="1">
      <protection locked="0"/>
    </xf>
    <xf numFmtId="3" fontId="12" fillId="15" borderId="0" xfId="0" applyNumberFormat="1" applyFont="1" applyFill="1"/>
    <xf numFmtId="0" fontId="28" fillId="0" borderId="16" xfId="0" applyFont="1" applyFill="1" applyBorder="1" applyAlignment="1" applyProtection="1">
      <alignment wrapText="1"/>
    </xf>
    <xf numFmtId="0" fontId="28" fillId="0" borderId="10" xfId="0" applyFont="1" applyFill="1" applyBorder="1" applyProtection="1"/>
    <xf numFmtId="0" fontId="28" fillId="0" borderId="6" xfId="0" applyFont="1" applyFill="1" applyBorder="1" applyProtection="1"/>
    <xf numFmtId="0" fontId="15" fillId="0" borderId="10" xfId="0" applyFont="1" applyFill="1" applyBorder="1" applyProtection="1"/>
    <xf numFmtId="166" fontId="38" fillId="15" borderId="7" xfId="3" applyNumberFormat="1" applyFont="1" applyFill="1" applyBorder="1"/>
    <xf numFmtId="0" fontId="0" fillId="0" borderId="12" xfId="0" applyBorder="1"/>
    <xf numFmtId="10" fontId="37" fillId="0" borderId="0" xfId="3" applyNumberFormat="1" applyFont="1" applyFill="1" applyBorder="1"/>
    <xf numFmtId="0" fontId="46" fillId="0" borderId="0" xfId="0" applyFont="1"/>
    <xf numFmtId="0" fontId="0" fillId="0" borderId="1" xfId="0" applyBorder="1"/>
    <xf numFmtId="0" fontId="0" fillId="0" borderId="7" xfId="0" applyBorder="1"/>
    <xf numFmtId="0" fontId="0" fillId="0" borderId="22" xfId="0" applyBorder="1"/>
    <xf numFmtId="0" fontId="0" fillId="0" borderId="31" xfId="0" applyBorder="1"/>
    <xf numFmtId="0" fontId="0" fillId="0" borderId="16" xfId="0" applyBorder="1"/>
    <xf numFmtId="0" fontId="0" fillId="0" borderId="50" xfId="0" applyBorder="1" applyAlignment="1">
      <alignment vertical="top"/>
    </xf>
    <xf numFmtId="0" fontId="0" fillId="0" borderId="10" xfId="0" applyBorder="1"/>
    <xf numFmtId="0" fontId="19" fillId="0" borderId="0" xfId="0" applyFont="1" applyAlignment="1">
      <alignment horizontal="right" vertical="center" wrapText="1" indent="3"/>
    </xf>
    <xf numFmtId="166" fontId="35" fillId="4" borderId="21" xfId="3" applyNumberFormat="1" applyFont="1" applyFill="1" applyBorder="1"/>
    <xf numFmtId="0" fontId="152" fillId="0" borderId="0" xfId="0" applyFont="1" applyAlignment="1">
      <alignment horizontal="left" vertical="center" indent="2"/>
    </xf>
    <xf numFmtId="0" fontId="35" fillId="3" borderId="0" xfId="1" applyFont="1" applyFill="1" applyAlignment="1">
      <alignment horizontal="center"/>
    </xf>
    <xf numFmtId="0" fontId="22" fillId="0" borderId="0" xfId="1" applyFont="1" applyAlignment="1">
      <alignment horizontal="center"/>
    </xf>
    <xf numFmtId="0" fontId="35" fillId="6" borderId="38" xfId="1" applyFont="1" applyFill="1" applyBorder="1" applyAlignment="1">
      <alignment horizontal="center"/>
    </xf>
    <xf numFmtId="0" fontId="35" fillId="6" borderId="24" xfId="1" applyFont="1" applyFill="1" applyBorder="1" applyAlignment="1">
      <alignment horizontal="center"/>
    </xf>
    <xf numFmtId="0" fontId="35" fillId="6" borderId="25" xfId="1" applyFont="1" applyFill="1" applyBorder="1" applyAlignment="1">
      <alignment horizontal="center"/>
    </xf>
    <xf numFmtId="0" fontId="35" fillId="0" borderId="37" xfId="1" applyFont="1" applyBorder="1" applyAlignment="1">
      <alignment horizontal="center"/>
    </xf>
    <xf numFmtId="0" fontId="35" fillId="0" borderId="24" xfId="1" applyFont="1" applyBorder="1" applyAlignment="1">
      <alignment horizontal="center"/>
    </xf>
    <xf numFmtId="3" fontId="15" fillId="0" borderId="10" xfId="6" applyNumberFormat="1" applyFont="1" applyFill="1" applyBorder="1" applyAlignment="1" applyProtection="1">
      <alignment horizontal="right" vertical="center"/>
    </xf>
    <xf numFmtId="166" fontId="22" fillId="0" borderId="0" xfId="3" applyNumberFormat="1" applyFont="1" applyFill="1" applyBorder="1"/>
    <xf numFmtId="166" fontId="35" fillId="0" borderId="0" xfId="3" applyNumberFormat="1" applyFont="1" applyFill="1" applyBorder="1"/>
    <xf numFmtId="0" fontId="35" fillId="0" borderId="2" xfId="2" applyFont="1" applyFill="1" applyBorder="1"/>
    <xf numFmtId="0" fontId="22" fillId="0" borderId="3" xfId="2" applyFont="1" applyFill="1" applyBorder="1"/>
    <xf numFmtId="0" fontId="22" fillId="0" borderId="4" xfId="2" applyFont="1" applyFill="1" applyBorder="1"/>
    <xf numFmtId="0" fontId="38" fillId="0" borderId="1" xfId="2" applyFont="1" applyFill="1" applyBorder="1"/>
    <xf numFmtId="0" fontId="22" fillId="0" borderId="0" xfId="2" applyFont="1" applyFill="1" applyBorder="1"/>
    <xf numFmtId="164" fontId="22" fillId="0" borderId="9" xfId="2" applyNumberFormat="1" applyFont="1" applyFill="1" applyBorder="1"/>
    <xf numFmtId="0" fontId="22" fillId="0" borderId="89" xfId="1" applyFont="1" applyFill="1" applyBorder="1" applyAlignment="1">
      <alignment horizontal="center"/>
    </xf>
    <xf numFmtId="0" fontId="22" fillId="0" borderId="5" xfId="1" applyFont="1" applyFill="1" applyBorder="1" applyAlignment="1">
      <alignment horizontal="center"/>
    </xf>
    <xf numFmtId="0" fontId="22" fillId="0" borderId="8" xfId="1" applyFont="1" applyFill="1" applyBorder="1" applyAlignment="1">
      <alignment horizontal="center"/>
    </xf>
    <xf numFmtId="0" fontId="22" fillId="0" borderId="0" xfId="1" applyFont="1" applyFill="1" applyBorder="1" applyAlignment="1">
      <alignment horizontal="center"/>
    </xf>
    <xf numFmtId="164" fontId="22" fillId="0" borderId="10" xfId="2" applyNumberFormat="1" applyFont="1" applyFill="1" applyBorder="1"/>
    <xf numFmtId="0" fontId="22" fillId="0" borderId="11" xfId="1" applyFont="1" applyFill="1" applyBorder="1" applyAlignment="1">
      <alignment horizontal="center"/>
    </xf>
    <xf numFmtId="0" fontId="22" fillId="0" borderId="12" xfId="1" applyFont="1" applyFill="1" applyBorder="1" applyAlignment="1">
      <alignment horizontal="center"/>
    </xf>
    <xf numFmtId="0" fontId="22" fillId="0" borderId="1" xfId="2" applyFont="1" applyFill="1" applyBorder="1"/>
    <xf numFmtId="165" fontId="22" fillId="0" borderId="0" xfId="3" applyNumberFormat="1" applyFont="1" applyFill="1" applyBorder="1"/>
    <xf numFmtId="0" fontId="22" fillId="0" borderId="7" xfId="2" applyFont="1" applyFill="1" applyBorder="1"/>
    <xf numFmtId="0" fontId="35" fillId="0" borderId="0" xfId="2" applyFont="1" applyFill="1" applyBorder="1"/>
    <xf numFmtId="0" fontId="35" fillId="0" borderId="0" xfId="1" applyFont="1" applyFill="1" applyBorder="1"/>
    <xf numFmtId="0" fontId="22" fillId="0" borderId="13" xfId="2" applyFont="1" applyFill="1" applyBorder="1"/>
    <xf numFmtId="0" fontId="22" fillId="0" borderId="14" xfId="2" applyFont="1" applyFill="1" applyBorder="1"/>
    <xf numFmtId="0" fontId="22" fillId="0" borderId="15" xfId="2" applyFont="1" applyFill="1" applyBorder="1"/>
    <xf numFmtId="0" fontId="35" fillId="0" borderId="36" xfId="1" applyFont="1" applyBorder="1" applyAlignment="1">
      <alignment horizontal="center"/>
    </xf>
    <xf numFmtId="166" fontId="38" fillId="15" borderId="16" xfId="3" applyNumberFormat="1" applyFont="1" applyFill="1" applyBorder="1"/>
    <xf numFmtId="0" fontId="35" fillId="6" borderId="37" xfId="1" applyFont="1" applyFill="1" applyBorder="1" applyAlignment="1">
      <alignment horizontal="center"/>
    </xf>
    <xf numFmtId="166" fontId="38" fillId="15" borderId="22" xfId="3" applyNumberFormat="1" applyFont="1" applyFill="1" applyBorder="1"/>
    <xf numFmtId="0" fontId="22" fillId="0" borderId="0" xfId="0" applyFont="1" applyProtection="1">
      <protection locked="0"/>
    </xf>
    <xf numFmtId="2" fontId="155" fillId="9" borderId="0" xfId="5" applyNumberFormat="1" applyFont="1" applyFill="1" applyAlignment="1" applyProtection="1">
      <alignment horizontal="left"/>
      <protection locked="0"/>
    </xf>
    <xf numFmtId="169" fontId="0" fillId="0" borderId="0" xfId="0" applyNumberFormat="1" applyFont="1" applyAlignment="1" applyProtection="1">
      <alignment horizontal="center"/>
    </xf>
    <xf numFmtId="2" fontId="35" fillId="0" borderId="0" xfId="5" applyNumberFormat="1" applyFont="1" applyAlignment="1" applyProtection="1">
      <alignment horizontal="left"/>
      <protection locked="0"/>
    </xf>
    <xf numFmtId="0" fontId="0" fillId="0" borderId="0" xfId="0" applyFont="1" applyProtection="1">
      <protection locked="0"/>
    </xf>
    <xf numFmtId="170" fontId="0" fillId="0" borderId="0" xfId="0" applyNumberFormat="1" applyFont="1" applyProtection="1">
      <protection locked="0"/>
    </xf>
    <xf numFmtId="0" fontId="0" fillId="0" borderId="0" xfId="0" applyFont="1" applyFill="1" applyProtection="1">
      <protection locked="0"/>
    </xf>
    <xf numFmtId="2" fontId="155" fillId="0" borderId="0" xfId="5" applyNumberFormat="1" applyFont="1" applyFill="1" applyAlignment="1" applyProtection="1">
      <alignment horizontal="left"/>
      <protection locked="0"/>
    </xf>
    <xf numFmtId="2" fontId="71" fillId="4" borderId="0" xfId="5" applyNumberFormat="1" applyFont="1" applyFill="1" applyAlignment="1" applyProtection="1">
      <alignment horizontal="left"/>
      <protection locked="0"/>
    </xf>
    <xf numFmtId="2" fontId="156" fillId="0" borderId="0" xfId="5" applyNumberFormat="1" applyFont="1" applyFill="1" applyAlignment="1" applyProtection="1">
      <alignment horizontal="left"/>
      <protection locked="0"/>
    </xf>
    <xf numFmtId="2" fontId="35" fillId="0" borderId="0" xfId="5" applyNumberFormat="1" applyFont="1" applyAlignment="1" applyProtection="1">
      <alignment horizontal="left"/>
    </xf>
    <xf numFmtId="169" fontId="22" fillId="0" borderId="0" xfId="0" applyNumberFormat="1" applyFont="1" applyAlignment="1" applyProtection="1">
      <alignment horizontal="center"/>
    </xf>
    <xf numFmtId="170" fontId="22" fillId="0" borderId="0" xfId="0" applyNumberFormat="1" applyFont="1" applyProtection="1">
      <protection locked="0"/>
    </xf>
    <xf numFmtId="0" fontId="22" fillId="0" borderId="0" xfId="0" applyFont="1" applyFill="1" applyProtection="1">
      <protection locked="0"/>
    </xf>
    <xf numFmtId="0" fontId="22" fillId="0" borderId="0" xfId="0" applyFont="1" applyAlignment="1" applyProtection="1">
      <alignment vertical="center"/>
      <protection locked="0"/>
    </xf>
    <xf numFmtId="0" fontId="35" fillId="0" borderId="0" xfId="0" applyFont="1" applyBorder="1" applyAlignment="1" applyProtection="1">
      <alignment vertical="center"/>
    </xf>
    <xf numFmtId="0" fontId="0" fillId="0" borderId="0" xfId="0" applyFont="1" applyFill="1" applyBorder="1" applyProtection="1">
      <protection locked="0"/>
    </xf>
    <xf numFmtId="0" fontId="22" fillId="0" borderId="9" xfId="0" applyFont="1" applyFill="1" applyBorder="1" applyAlignment="1" applyProtection="1">
      <alignment vertical="center"/>
    </xf>
    <xf numFmtId="0" fontId="22" fillId="0" borderId="6" xfId="0" applyFont="1" applyFill="1" applyBorder="1" applyAlignment="1" applyProtection="1">
      <alignment vertical="center"/>
    </xf>
    <xf numFmtId="0" fontId="0" fillId="0" borderId="32" xfId="0" applyFont="1" applyBorder="1" applyProtection="1"/>
    <xf numFmtId="0" fontId="43" fillId="2" borderId="33" xfId="0" applyFont="1" applyFill="1" applyBorder="1" applyAlignment="1" applyProtection="1">
      <alignment horizontal="right" vertical="center"/>
    </xf>
    <xf numFmtId="3" fontId="47" fillId="0" borderId="0" xfId="8" applyFont="1" applyFill="1" applyBorder="1" applyAlignment="1" applyProtection="1">
      <alignment horizontal="left"/>
      <protection locked="0"/>
    </xf>
    <xf numFmtId="170" fontId="22" fillId="0" borderId="0" xfId="8" applyNumberFormat="1" applyFont="1" applyFill="1" applyBorder="1" applyProtection="1">
      <alignment horizontal="right"/>
      <protection locked="0"/>
    </xf>
    <xf numFmtId="3" fontId="22" fillId="0" borderId="0" xfId="8" applyFont="1" applyFill="1" applyBorder="1" applyProtection="1">
      <alignment horizontal="right"/>
      <protection locked="0"/>
    </xf>
    <xf numFmtId="0" fontId="157" fillId="0" borderId="0" xfId="0" applyFont="1" applyFill="1" applyProtection="1">
      <protection locked="0"/>
    </xf>
    <xf numFmtId="0" fontId="22" fillId="0" borderId="9" xfId="0" applyFont="1" applyBorder="1" applyAlignment="1" applyProtection="1">
      <alignment vertical="center"/>
    </xf>
    <xf numFmtId="0" fontId="22" fillId="2" borderId="9" xfId="0" applyFont="1" applyFill="1" applyBorder="1" applyAlignment="1" applyProtection="1">
      <alignment vertical="center"/>
    </xf>
    <xf numFmtId="3" fontId="22" fillId="0" borderId="9" xfId="6" applyNumberFormat="1" applyFont="1" applyFill="1" applyBorder="1" applyAlignment="1" applyProtection="1">
      <alignment horizontal="right" vertical="center"/>
    </xf>
    <xf numFmtId="0" fontId="35" fillId="0" borderId="5" xfId="0" applyFont="1" applyBorder="1" applyAlignment="1" applyProtection="1">
      <alignment vertical="center"/>
    </xf>
    <xf numFmtId="10" fontId="158" fillId="0" borderId="5" xfId="5" applyNumberFormat="1" applyFont="1" applyFill="1" applyBorder="1" applyAlignment="1" applyProtection="1">
      <alignment horizontal="center" vertical="center"/>
    </xf>
    <xf numFmtId="10" fontId="158" fillId="0" borderId="0" xfId="5" applyNumberFormat="1" applyFont="1" applyFill="1" applyBorder="1" applyAlignment="1" applyProtection="1">
      <alignment horizontal="center" vertical="center"/>
    </xf>
    <xf numFmtId="10" fontId="22" fillId="0" borderId="9" xfId="6" applyNumberFormat="1" applyFont="1" applyFill="1" applyBorder="1" applyAlignment="1" applyProtection="1">
      <alignment horizontal="right" vertical="center"/>
      <protection hidden="1"/>
    </xf>
    <xf numFmtId="0" fontId="22" fillId="0" borderId="0" xfId="0" applyFont="1" applyBorder="1" applyAlignment="1" applyProtection="1">
      <alignment vertical="center"/>
    </xf>
    <xf numFmtId="170" fontId="35" fillId="0" borderId="0" xfId="6" applyNumberFormat="1" applyFont="1" applyFill="1" applyBorder="1" applyAlignment="1" applyProtection="1">
      <alignment horizontal="right" vertical="center"/>
      <protection hidden="1"/>
    </xf>
    <xf numFmtId="0" fontId="35" fillId="0" borderId="0" xfId="9" applyFont="1" applyProtection="1"/>
    <xf numFmtId="0" fontId="22" fillId="0" borderId="9" xfId="9" applyFont="1" applyBorder="1" applyProtection="1"/>
    <xf numFmtId="0" fontId="35" fillId="0" borderId="9" xfId="9" applyFont="1" applyBorder="1" applyProtection="1"/>
    <xf numFmtId="0" fontId="0" fillId="0" borderId="0" xfId="0" applyFont="1" applyProtection="1"/>
    <xf numFmtId="0" fontId="49" fillId="0" borderId="0" xfId="0" applyFont="1" applyProtection="1"/>
    <xf numFmtId="0" fontId="0" fillId="0" borderId="6" xfId="0" applyFont="1" applyFill="1" applyBorder="1" applyProtection="1"/>
    <xf numFmtId="0" fontId="35" fillId="0" borderId="6" xfId="17" applyFont="1" applyFill="1" applyBorder="1" applyAlignment="1" applyProtection="1">
      <alignment horizontal="right"/>
    </xf>
    <xf numFmtId="0" fontId="0" fillId="0" borderId="16" xfId="0" applyFont="1" applyFill="1" applyBorder="1" applyProtection="1"/>
    <xf numFmtId="1" fontId="35" fillId="0" borderId="16" xfId="17" applyNumberFormat="1" applyFont="1" applyFill="1" applyBorder="1" applyAlignment="1" applyProtection="1">
      <alignment horizontal="right"/>
    </xf>
    <xf numFmtId="0" fontId="0" fillId="0" borderId="10" xfId="0" applyFont="1" applyFill="1" applyBorder="1" applyProtection="1"/>
    <xf numFmtId="1" fontId="35" fillId="0" borderId="10" xfId="17" applyNumberFormat="1" applyFont="1" applyFill="1" applyBorder="1" applyAlignment="1" applyProtection="1">
      <alignment horizontal="right"/>
    </xf>
    <xf numFmtId="0" fontId="0" fillId="0" borderId="16" xfId="0" applyFont="1" applyBorder="1" applyProtection="1">
      <protection locked="0"/>
    </xf>
    <xf numFmtId="0" fontId="35" fillId="0" borderId="16" xfId="0" applyFont="1" applyFill="1" applyBorder="1" applyAlignment="1" applyProtection="1">
      <alignment wrapText="1"/>
    </xf>
    <xf numFmtId="3" fontId="49" fillId="0" borderId="9" xfId="0" applyNumberFormat="1" applyFont="1" applyBorder="1" applyProtection="1">
      <protection locked="0"/>
    </xf>
    <xf numFmtId="0" fontId="35" fillId="0" borderId="16" xfId="0" applyFont="1" applyFill="1" applyBorder="1" applyProtection="1"/>
    <xf numFmtId="49" fontId="22" fillId="0" borderId="16" xfId="0" applyNumberFormat="1" applyFont="1" applyFill="1" applyBorder="1" applyAlignment="1" applyProtection="1">
      <alignment horizontal="left" indent="1"/>
    </xf>
    <xf numFmtId="168" fontId="0" fillId="0" borderId="9" xfId="5" applyNumberFormat="1" applyFont="1" applyBorder="1" applyProtection="1">
      <protection locked="0"/>
    </xf>
    <xf numFmtId="49" fontId="35" fillId="0" borderId="16" xfId="0" applyNumberFormat="1" applyFont="1" applyFill="1" applyBorder="1" applyProtection="1"/>
    <xf numFmtId="0" fontId="35" fillId="0" borderId="10" xfId="0" applyFont="1" applyFill="1" applyBorder="1" applyProtection="1"/>
    <xf numFmtId="0" fontId="22" fillId="0" borderId="0" xfId="0" applyFont="1" applyProtection="1"/>
    <xf numFmtId="0" fontId="35" fillId="0" borderId="6" xfId="0" applyFont="1" applyFill="1" applyBorder="1" applyProtection="1"/>
    <xf numFmtId="0" fontId="22" fillId="0" borderId="16" xfId="0" applyFont="1" applyFill="1" applyBorder="1" applyProtection="1"/>
    <xf numFmtId="0" fontId="22" fillId="0" borderId="10" xfId="0" applyFont="1" applyFill="1" applyBorder="1" applyProtection="1"/>
    <xf numFmtId="43" fontId="0" fillId="0" borderId="0" xfId="5" applyFont="1" applyAlignment="1" applyProtection="1">
      <alignment horizontal="center"/>
    </xf>
    <xf numFmtId="43" fontId="0" fillId="0" borderId="0" xfId="5" applyFont="1" applyProtection="1">
      <protection locked="0"/>
    </xf>
    <xf numFmtId="3" fontId="35" fillId="0" borderId="9" xfId="6" applyNumberFormat="1" applyFont="1" applyFill="1" applyBorder="1" applyAlignment="1" applyProtection="1">
      <alignment horizontal="right" vertical="center"/>
      <protection hidden="1"/>
    </xf>
    <xf numFmtId="0" fontId="35" fillId="0" borderId="9" xfId="0" applyFont="1" applyFill="1" applyBorder="1" applyAlignment="1" applyProtection="1">
      <alignment vertical="center"/>
    </xf>
    <xf numFmtId="0" fontId="35" fillId="0" borderId="9" xfId="0" applyFont="1" applyBorder="1" applyAlignment="1" applyProtection="1">
      <alignment vertical="center"/>
    </xf>
    <xf numFmtId="0" fontId="35" fillId="0" borderId="0" xfId="5" applyNumberFormat="1" applyFont="1" applyFill="1" applyAlignment="1" applyProtection="1">
      <alignment horizontal="left"/>
      <protection locked="0"/>
    </xf>
    <xf numFmtId="0" fontId="35" fillId="0" borderId="0" xfId="5" applyNumberFormat="1" applyFont="1" applyFill="1" applyAlignment="1" applyProtection="1">
      <alignment horizontal="center"/>
      <protection locked="0"/>
    </xf>
    <xf numFmtId="0" fontId="49" fillId="0" borderId="0" xfId="0" applyFont="1" applyFill="1" applyAlignment="1" applyProtection="1">
      <alignment horizontal="center"/>
      <protection locked="0"/>
    </xf>
    <xf numFmtId="0" fontId="35" fillId="0" borderId="38" xfId="1" applyFont="1" applyBorder="1" applyAlignment="1">
      <alignment horizontal="center"/>
    </xf>
    <xf numFmtId="166" fontId="38" fillId="15" borderId="18" xfId="3" applyNumberFormat="1" applyFont="1" applyFill="1" applyBorder="1"/>
    <xf numFmtId="0" fontId="15" fillId="9" borderId="0" xfId="5" applyNumberFormat="1" applyFont="1" applyFill="1" applyAlignment="1" applyProtection="1">
      <alignment horizontal="left"/>
      <protection locked="0"/>
    </xf>
    <xf numFmtId="0" fontId="15" fillId="9" borderId="0" xfId="5" applyNumberFormat="1" applyFont="1" applyFill="1" applyAlignment="1" applyProtection="1">
      <alignment horizontal="center"/>
      <protection locked="0"/>
    </xf>
    <xf numFmtId="168" fontId="22" fillId="86" borderId="9" xfId="5" applyNumberFormat="1" applyFont="1" applyFill="1" applyBorder="1" applyAlignment="1">
      <alignment horizontal="center"/>
    </xf>
    <xf numFmtId="0" fontId="22" fillId="0" borderId="26" xfId="1" applyFont="1" applyFill="1" applyBorder="1"/>
    <xf numFmtId="0" fontId="22" fillId="0" borderId="26" xfId="1" applyFont="1" applyFill="1" applyBorder="1" applyAlignment="1">
      <alignment horizontal="center" wrapText="1"/>
    </xf>
    <xf numFmtId="0" fontId="0" fillId="15" borderId="0" xfId="0" applyFill="1"/>
    <xf numFmtId="0" fontId="160" fillId="3" borderId="0" xfId="1" applyFont="1" applyFill="1" applyAlignment="1">
      <alignment horizontal="center"/>
    </xf>
    <xf numFmtId="0" fontId="22" fillId="0" borderId="7" xfId="1" applyFont="1" applyBorder="1"/>
    <xf numFmtId="0" fontId="22" fillId="0" borderId="22" xfId="1" applyFont="1" applyBorder="1"/>
    <xf numFmtId="0" fontId="22" fillId="0" borderId="16" xfId="1" applyFont="1" applyBorder="1"/>
    <xf numFmtId="0" fontId="35" fillId="0" borderId="0" xfId="1" applyFont="1" applyFill="1" applyBorder="1" applyAlignment="1">
      <alignment horizontal="left" wrapText="1"/>
    </xf>
    <xf numFmtId="0" fontId="35" fillId="0" borderId="0" xfId="1" applyFont="1" applyFill="1" applyBorder="1" applyAlignment="1">
      <alignment horizontal="left"/>
    </xf>
    <xf numFmtId="0" fontId="28" fillId="0" borderId="0" xfId="1" applyFont="1" applyFill="1" applyBorder="1" applyAlignment="1">
      <alignment horizontal="left"/>
    </xf>
    <xf numFmtId="168" fontId="35" fillId="0" borderId="9" xfId="5" applyNumberFormat="1" applyFont="1" applyFill="1" applyBorder="1"/>
    <xf numFmtId="166" fontId="38" fillId="13" borderId="22" xfId="3" applyNumberFormat="1" applyFont="1" applyFill="1" applyBorder="1"/>
    <xf numFmtId="202" fontId="38" fillId="13" borderId="22" xfId="34386" applyNumberFormat="1" applyFont="1" applyFill="1" applyBorder="1"/>
    <xf numFmtId="166" fontId="38" fillId="13" borderId="18" xfId="3" applyNumberFormat="1" applyFont="1" applyFill="1" applyBorder="1"/>
    <xf numFmtId="166" fontId="38" fillId="13" borderId="16" xfId="3" applyNumberFormat="1" applyFont="1" applyFill="1" applyBorder="1"/>
    <xf numFmtId="166" fontId="38" fillId="13" borderId="7" xfId="3" applyNumberFormat="1" applyFont="1" applyFill="1" applyBorder="1"/>
    <xf numFmtId="0" fontId="22" fillId="0" borderId="18" xfId="1" applyFont="1" applyBorder="1"/>
    <xf numFmtId="202" fontId="38" fillId="13" borderId="18" xfId="34386" applyNumberFormat="1" applyFont="1" applyFill="1" applyBorder="1"/>
    <xf numFmtId="202" fontId="38" fillId="13" borderId="16" xfId="34386" applyNumberFormat="1" applyFont="1" applyFill="1" applyBorder="1"/>
    <xf numFmtId="202" fontId="38" fillId="13" borderId="87" xfId="34386" applyNumberFormat="1" applyFont="1" applyFill="1" applyBorder="1"/>
    <xf numFmtId="202" fontId="38" fillId="13" borderId="7" xfId="34386" applyNumberFormat="1" applyFont="1" applyFill="1" applyBorder="1"/>
    <xf numFmtId="0" fontId="22" fillId="0" borderId="35" xfId="1" applyFont="1" applyFill="1" applyBorder="1" applyAlignment="1">
      <alignment horizontal="center"/>
    </xf>
    <xf numFmtId="0" fontId="22" fillId="0" borderId="35" xfId="1" applyFont="1" applyFill="1" applyBorder="1" applyAlignment="1">
      <alignment horizontal="center" wrapText="1"/>
    </xf>
    <xf numFmtId="0" fontId="22" fillId="0" borderId="88" xfId="1" applyFont="1" applyBorder="1"/>
    <xf numFmtId="0" fontId="0" fillId="15" borderId="7" xfId="0" applyFill="1" applyBorder="1"/>
    <xf numFmtId="0" fontId="22" fillId="0" borderId="23" xfId="1" applyFont="1" applyBorder="1"/>
    <xf numFmtId="203" fontId="22" fillId="0" borderId="0" xfId="8" applyNumberFormat="1" applyFont="1" applyFill="1" applyBorder="1" applyProtection="1">
      <alignment horizontal="right"/>
      <protection locked="0"/>
    </xf>
    <xf numFmtId="166" fontId="12" fillId="6" borderId="22" xfId="3" applyNumberFormat="1" applyFont="1" applyFill="1" applyBorder="1"/>
    <xf numFmtId="166" fontId="12" fillId="6" borderId="18" xfId="3" applyNumberFormat="1" applyFont="1" applyFill="1" applyBorder="1"/>
    <xf numFmtId="166" fontId="12" fillId="6" borderId="16" xfId="3" applyNumberFormat="1" applyFont="1" applyFill="1" applyBorder="1"/>
    <xf numFmtId="166" fontId="12" fillId="6" borderId="7" xfId="3" applyNumberFormat="1" applyFont="1" applyFill="1" applyBorder="1"/>
    <xf numFmtId="166" fontId="38" fillId="6" borderId="18" xfId="3" applyNumberFormat="1" applyFont="1" applyFill="1" applyBorder="1"/>
    <xf numFmtId="166" fontId="38" fillId="6" borderId="16" xfId="3" applyNumberFormat="1" applyFont="1" applyFill="1" applyBorder="1"/>
    <xf numFmtId="0" fontId="22" fillId="0" borderId="27" xfId="1" applyFont="1" applyBorder="1"/>
    <xf numFmtId="166" fontId="38" fillId="6" borderId="40" xfId="3" applyNumberFormat="1" applyFont="1" applyFill="1" applyBorder="1"/>
    <xf numFmtId="166" fontId="49" fillId="4" borderId="50" xfId="3" applyNumberFormat="1" applyFont="1" applyFill="1" applyBorder="1"/>
    <xf numFmtId="166" fontId="49" fillId="4" borderId="10" xfId="3" applyNumberFormat="1" applyFont="1" applyFill="1" applyBorder="1"/>
    <xf numFmtId="166" fontId="49" fillId="4" borderId="85" xfId="3" applyNumberFormat="1" applyFont="1" applyFill="1" applyBorder="1"/>
    <xf numFmtId="3" fontId="28" fillId="0" borderId="9" xfId="6" applyNumberFormat="1" applyFont="1" applyFill="1" applyBorder="1" applyAlignment="1" applyProtection="1">
      <alignment horizontal="right" vertical="center"/>
    </xf>
    <xf numFmtId="0" fontId="0" fillId="15" borderId="0" xfId="0" applyFill="1" applyBorder="1"/>
    <xf numFmtId="0" fontId="22" fillId="8" borderId="46" xfId="1" applyFont="1" applyFill="1" applyBorder="1" applyAlignment="1"/>
    <xf numFmtId="0" fontId="22" fillId="8" borderId="46" xfId="1" applyFont="1" applyFill="1" applyBorder="1"/>
    <xf numFmtId="0" fontId="22" fillId="8" borderId="27" xfId="1" applyFont="1" applyFill="1" applyBorder="1" applyAlignment="1"/>
    <xf numFmtId="0" fontId="22" fillId="8" borderId="27" xfId="1" applyFont="1" applyFill="1" applyBorder="1"/>
    <xf numFmtId="0" fontId="22" fillId="8" borderId="27" xfId="1" applyFont="1" applyFill="1" applyBorder="1" applyAlignment="1">
      <alignment wrapText="1"/>
    </xf>
    <xf numFmtId="0" fontId="22" fillId="8" borderId="28" xfId="1" applyFont="1" applyFill="1" applyBorder="1"/>
    <xf numFmtId="0" fontId="45" fillId="0" borderId="0" xfId="1" applyFont="1"/>
    <xf numFmtId="0" fontId="45" fillId="0" borderId="0" xfId="0" applyFont="1" applyProtection="1">
      <protection locked="0"/>
    </xf>
    <xf numFmtId="3" fontId="35" fillId="0" borderId="9" xfId="8" applyFont="1" applyFill="1" applyBorder="1" applyAlignment="1" applyProtection="1">
      <alignment horizontal="center"/>
      <protection locked="0"/>
    </xf>
    <xf numFmtId="10" fontId="158" fillId="0" borderId="9" xfId="5" applyNumberFormat="1" applyFont="1" applyFill="1" applyBorder="1" applyAlignment="1" applyProtection="1">
      <alignment horizontal="center" vertical="center"/>
    </xf>
    <xf numFmtId="169" fontId="35" fillId="0" borderId="9" xfId="0" applyNumberFormat="1" applyFont="1" applyBorder="1" applyAlignment="1" applyProtection="1">
      <alignment horizontal="center" vertical="center"/>
    </xf>
    <xf numFmtId="0" fontId="45" fillId="0" borderId="0" xfId="0" applyFont="1" applyFill="1" applyProtection="1">
      <protection locked="0"/>
    </xf>
    <xf numFmtId="0" fontId="49" fillId="0" borderId="0" xfId="0" applyFont="1" applyFill="1" applyBorder="1" applyAlignment="1" applyProtection="1">
      <alignment horizontal="center"/>
      <protection locked="0"/>
    </xf>
    <xf numFmtId="6" fontId="0" fillId="0" borderId="0" xfId="0" applyNumberFormat="1" applyFont="1" applyProtection="1">
      <protection locked="0"/>
    </xf>
    <xf numFmtId="213" fontId="22" fillId="0" borderId="0" xfId="6" applyNumberFormat="1" applyFont="1" applyFill="1" applyBorder="1" applyAlignment="1" applyProtection="1">
      <alignment horizontal="right"/>
      <protection locked="0"/>
    </xf>
    <xf numFmtId="216" fontId="38" fillId="13" borderId="22" xfId="6" applyNumberFormat="1" applyFont="1" applyFill="1" applyBorder="1"/>
    <xf numFmtId="216" fontId="38" fillId="13" borderId="18" xfId="6" applyNumberFormat="1" applyFont="1" applyFill="1" applyBorder="1"/>
    <xf numFmtId="0" fontId="35" fillId="0" borderId="0" xfId="1" applyFont="1"/>
    <xf numFmtId="202" fontId="38" fillId="0" borderId="22" xfId="34386" applyNumberFormat="1" applyFont="1" applyFill="1" applyBorder="1"/>
    <xf numFmtId="202" fontId="38" fillId="0" borderId="18" xfId="34386" applyNumberFormat="1" applyFont="1" applyFill="1" applyBorder="1"/>
    <xf numFmtId="202" fontId="38" fillId="0" borderId="16" xfId="34386" applyNumberFormat="1" applyFont="1" applyFill="1" applyBorder="1"/>
    <xf numFmtId="202" fontId="38" fillId="0" borderId="7" xfId="34386" applyNumberFormat="1" applyFont="1" applyFill="1" applyBorder="1"/>
    <xf numFmtId="10" fontId="14" fillId="0" borderId="0" xfId="6" applyNumberFormat="1" applyFont="1" applyFill="1" applyProtection="1">
      <protection locked="0"/>
    </xf>
    <xf numFmtId="3" fontId="22" fillId="0" borderId="0" xfId="8" applyFont="1" applyFill="1" applyBorder="1" applyAlignment="1" applyProtection="1">
      <alignment horizontal="left"/>
      <protection locked="0"/>
    </xf>
    <xf numFmtId="170" fontId="15" fillId="0" borderId="0" xfId="8" applyNumberFormat="1" applyFont="1" applyFill="1" applyBorder="1" applyAlignment="1" applyProtection="1">
      <alignment horizontal="left"/>
      <protection locked="0"/>
    </xf>
    <xf numFmtId="166" fontId="38" fillId="13" borderId="40" xfId="3" applyNumberFormat="1" applyFont="1" applyFill="1" applyBorder="1"/>
    <xf numFmtId="216" fontId="37" fillId="13" borderId="22" xfId="3" applyNumberFormat="1" applyFont="1" applyFill="1" applyBorder="1"/>
    <xf numFmtId="216" fontId="37" fillId="13" borderId="16" xfId="3" applyNumberFormat="1" applyFont="1" applyFill="1" applyBorder="1"/>
    <xf numFmtId="216" fontId="37" fillId="13" borderId="7" xfId="3" applyNumberFormat="1" applyFont="1" applyFill="1" applyBorder="1"/>
    <xf numFmtId="216" fontId="37" fillId="13" borderId="40" xfId="3" applyNumberFormat="1" applyFont="1" applyFill="1" applyBorder="1"/>
    <xf numFmtId="216" fontId="38" fillId="13" borderId="40" xfId="6" applyNumberFormat="1" applyFont="1" applyFill="1" applyBorder="1"/>
    <xf numFmtId="202" fontId="38" fillId="13" borderId="40" xfId="34386" applyNumberFormat="1" applyFont="1" applyFill="1" applyBorder="1"/>
    <xf numFmtId="166" fontId="12" fillId="6" borderId="86" xfId="3" applyNumberFormat="1" applyFont="1" applyFill="1" applyBorder="1"/>
    <xf numFmtId="217" fontId="38" fillId="13" borderId="18" xfId="3" applyNumberFormat="1" applyFont="1" applyFill="1" applyBorder="1"/>
    <xf numFmtId="217" fontId="38" fillId="13" borderId="16" xfId="3" applyNumberFormat="1" applyFont="1" applyFill="1" applyBorder="1"/>
    <xf numFmtId="0" fontId="33" fillId="0" borderId="0" xfId="0" applyFont="1" applyProtection="1">
      <protection locked="0"/>
    </xf>
    <xf numFmtId="7" fontId="22" fillId="8" borderId="27" xfId="1" applyNumberFormat="1" applyFont="1" applyFill="1" applyBorder="1" applyAlignment="1"/>
    <xf numFmtId="0" fontId="22" fillId="8" borderId="27" xfId="1" applyFont="1" applyFill="1" applyBorder="1" applyAlignment="1">
      <alignment horizontal="left" wrapText="1"/>
    </xf>
    <xf numFmtId="0" fontId="0" fillId="0" borderId="0" xfId="0" applyFill="1"/>
    <xf numFmtId="218" fontId="38" fillId="13" borderId="18" xfId="6" applyNumberFormat="1" applyFont="1" applyFill="1" applyBorder="1"/>
    <xf numFmtId="218" fontId="22" fillId="0" borderId="7" xfId="6" applyNumberFormat="1" applyFont="1" applyFill="1" applyBorder="1" applyAlignment="1">
      <alignment horizontal="center"/>
    </xf>
    <xf numFmtId="3" fontId="15" fillId="0" borderId="0" xfId="8" applyNumberFormat="1" applyFont="1" applyFill="1" applyBorder="1" applyProtection="1">
      <alignment horizontal="right"/>
      <protection locked="0"/>
    </xf>
    <xf numFmtId="202" fontId="49" fillId="4" borderId="21" xfId="34386" applyNumberFormat="1" applyFont="1" applyFill="1" applyBorder="1"/>
    <xf numFmtId="0" fontId="49" fillId="0" borderId="0" xfId="0" applyFont="1"/>
    <xf numFmtId="0" fontId="34" fillId="0" borderId="0" xfId="0" applyFont="1"/>
    <xf numFmtId="218" fontId="22" fillId="0" borderId="29" xfId="6" applyNumberFormat="1" applyFont="1" applyFill="1" applyBorder="1" applyAlignment="1">
      <alignment horizontal="center"/>
    </xf>
    <xf numFmtId="218" fontId="38" fillId="13" borderId="7" xfId="6" applyNumberFormat="1" applyFont="1" applyFill="1" applyBorder="1" applyAlignment="1">
      <alignment horizontal="center"/>
    </xf>
    <xf numFmtId="218" fontId="22" fillId="0" borderId="31" xfId="6" applyNumberFormat="1" applyFont="1" applyFill="1" applyBorder="1" applyAlignment="1">
      <alignment horizontal="center"/>
    </xf>
    <xf numFmtId="166" fontId="38" fillId="6" borderId="22" xfId="3" applyNumberFormat="1" applyFont="1" applyFill="1" applyBorder="1"/>
    <xf numFmtId="166" fontId="38" fillId="0" borderId="22" xfId="3" applyNumberFormat="1" applyFont="1" applyFill="1" applyBorder="1"/>
    <xf numFmtId="166" fontId="38" fillId="0" borderId="16" xfId="3" applyNumberFormat="1" applyFont="1" applyFill="1" applyBorder="1"/>
    <xf numFmtId="166" fontId="38" fillId="0" borderId="18" xfId="3" applyNumberFormat="1" applyFont="1" applyFill="1" applyBorder="1"/>
    <xf numFmtId="166" fontId="38" fillId="0" borderId="7" xfId="3" applyNumberFormat="1" applyFont="1" applyFill="1" applyBorder="1"/>
    <xf numFmtId="1" fontId="22" fillId="0" borderId="0" xfId="1" applyNumberFormat="1" applyFont="1"/>
    <xf numFmtId="216" fontId="22" fillId="0" borderId="9" xfId="3" applyNumberFormat="1" applyFont="1" applyFill="1" applyBorder="1"/>
    <xf numFmtId="216" fontId="38" fillId="15" borderId="22" xfId="6" applyNumberFormat="1" applyFont="1" applyFill="1" applyBorder="1"/>
    <xf numFmtId="216" fontId="38" fillId="15" borderId="18" xfId="6" applyNumberFormat="1" applyFont="1" applyFill="1" applyBorder="1"/>
    <xf numFmtId="216" fontId="38" fillId="15" borderId="16" xfId="6" applyNumberFormat="1" applyFont="1" applyFill="1" applyBorder="1"/>
    <xf numFmtId="216" fontId="38" fillId="15" borderId="7" xfId="6" applyNumberFormat="1" applyFont="1" applyFill="1" applyBorder="1"/>
    <xf numFmtId="216" fontId="37" fillId="15" borderId="22" xfId="3" applyNumberFormat="1" applyFont="1" applyFill="1" applyBorder="1"/>
    <xf numFmtId="216" fontId="37" fillId="15" borderId="18" xfId="3" applyNumberFormat="1" applyFont="1" applyFill="1" applyBorder="1"/>
    <xf numFmtId="216" fontId="37" fillId="15" borderId="16" xfId="3" applyNumberFormat="1" applyFont="1" applyFill="1" applyBorder="1"/>
    <xf numFmtId="216" fontId="37" fillId="15" borderId="7" xfId="3" applyNumberFormat="1" applyFont="1" applyFill="1" applyBorder="1"/>
    <xf numFmtId="166" fontId="38" fillId="15" borderId="87" xfId="3" applyNumberFormat="1" applyFont="1" applyFill="1" applyBorder="1"/>
    <xf numFmtId="176" fontId="37" fillId="15" borderId="7" xfId="34386" applyNumberFormat="1" applyFont="1" applyFill="1" applyBorder="1"/>
    <xf numFmtId="166" fontId="38" fillId="15" borderId="88" xfId="3" applyNumberFormat="1" applyFont="1" applyFill="1" applyBorder="1"/>
    <xf numFmtId="216" fontId="37" fillId="15" borderId="40" xfId="3" applyNumberFormat="1" applyFont="1" applyFill="1" applyBorder="1"/>
    <xf numFmtId="176" fontId="38" fillId="15" borderId="16" xfId="3" applyNumberFormat="1" applyFont="1" applyFill="1" applyBorder="1"/>
    <xf numFmtId="176" fontId="38" fillId="15" borderId="22" xfId="3" applyNumberFormat="1" applyFont="1" applyFill="1" applyBorder="1"/>
    <xf numFmtId="176" fontId="38" fillId="15" borderId="40" xfId="3" applyNumberFormat="1" applyFont="1" applyFill="1" applyBorder="1"/>
    <xf numFmtId="202" fontId="38" fillId="15" borderId="22" xfId="34386" applyNumberFormat="1" applyFont="1" applyFill="1" applyBorder="1"/>
    <xf numFmtId="202" fontId="38" fillId="15" borderId="87" xfId="34386" applyNumberFormat="1" applyFont="1" applyFill="1" applyBorder="1"/>
    <xf numFmtId="202" fontId="38" fillId="15" borderId="18" xfId="34386" applyNumberFormat="1" applyFont="1" applyFill="1" applyBorder="1"/>
    <xf numFmtId="202" fontId="38" fillId="15" borderId="7" xfId="34386" applyNumberFormat="1" applyFont="1" applyFill="1" applyBorder="1"/>
    <xf numFmtId="202" fontId="38" fillId="15" borderId="16" xfId="34386" applyNumberFormat="1" applyFont="1" applyFill="1" applyBorder="1"/>
    <xf numFmtId="167" fontId="38" fillId="15" borderId="18" xfId="3" applyNumberFormat="1" applyFont="1" applyFill="1" applyBorder="1"/>
    <xf numFmtId="166" fontId="38" fillId="15" borderId="86" xfId="3" applyNumberFormat="1" applyFont="1" applyFill="1" applyBorder="1"/>
    <xf numFmtId="166" fontId="38" fillId="15" borderId="40" xfId="3" applyNumberFormat="1" applyFont="1" applyFill="1" applyBorder="1"/>
    <xf numFmtId="0" fontId="0" fillId="15" borderId="14" xfId="0" applyFill="1" applyBorder="1"/>
    <xf numFmtId="0" fontId="22" fillId="8" borderId="46" xfId="1" applyFont="1" applyFill="1" applyBorder="1" applyAlignment="1">
      <alignment wrapText="1"/>
    </xf>
    <xf numFmtId="0" fontId="22" fillId="0" borderId="35" xfId="1" applyFont="1" applyFill="1" applyBorder="1" applyAlignment="1">
      <alignment wrapText="1"/>
    </xf>
    <xf numFmtId="7" fontId="22" fillId="8" borderId="27" xfId="1" applyNumberFormat="1" applyFont="1" applyFill="1" applyBorder="1" applyAlignment="1">
      <alignment wrapText="1"/>
    </xf>
    <xf numFmtId="0" fontId="22" fillId="8" borderId="28" xfId="1" applyFont="1" applyFill="1" applyBorder="1" applyAlignment="1">
      <alignment wrapText="1"/>
    </xf>
    <xf numFmtId="0" fontId="22" fillId="8" borderId="28" xfId="1" applyFont="1" applyFill="1" applyBorder="1" applyAlignment="1"/>
    <xf numFmtId="0" fontId="49" fillId="15" borderId="0" xfId="0" applyFont="1" applyFill="1"/>
    <xf numFmtId="0" fontId="187" fillId="101" borderId="0" xfId="0" applyFont="1" applyFill="1"/>
    <xf numFmtId="0" fontId="35" fillId="0" borderId="37" xfId="1" applyFont="1" applyBorder="1"/>
    <xf numFmtId="0" fontId="35" fillId="0" borderId="39" xfId="1" applyFont="1" applyBorder="1"/>
    <xf numFmtId="0" fontId="22" fillId="0" borderId="15" xfId="1" applyFont="1" applyBorder="1"/>
    <xf numFmtId="0" fontId="187" fillId="0" borderId="0" xfId="0" applyFont="1" applyFill="1"/>
    <xf numFmtId="0" fontId="49" fillId="0" borderId="0" xfId="0" applyFont="1" applyFill="1"/>
    <xf numFmtId="0" fontId="35" fillId="6" borderId="0" xfId="0" applyFont="1" applyFill="1" applyAlignment="1">
      <alignment horizontal="left" vertical="center" indent="1"/>
    </xf>
    <xf numFmtId="44" fontId="38" fillId="13" borderId="16" xfId="34386" applyFont="1" applyFill="1" applyBorder="1"/>
    <xf numFmtId="44" fontId="38" fillId="13" borderId="7" xfId="34386" applyFont="1" applyFill="1" applyBorder="1"/>
    <xf numFmtId="0" fontId="0" fillId="0" borderId="0" xfId="0" applyAlignment="1">
      <alignment wrapText="1"/>
    </xf>
    <xf numFmtId="0" fontId="35" fillId="0" borderId="25" xfId="1" applyFont="1" applyBorder="1" applyAlignment="1">
      <alignment horizontal="center"/>
    </xf>
    <xf numFmtId="10" fontId="22" fillId="0" borderId="0" xfId="6" applyNumberFormat="1" applyFont="1" applyFill="1" applyBorder="1" applyAlignment="1" applyProtection="1">
      <alignment horizontal="right"/>
      <protection locked="0"/>
    </xf>
    <xf numFmtId="10" fontId="0" fillId="0" borderId="0" xfId="0" applyNumberFormat="1" applyFont="1" applyFill="1" applyBorder="1" applyProtection="1">
      <protection locked="0"/>
    </xf>
    <xf numFmtId="0" fontId="0" fillId="0" borderId="0" xfId="0" applyFont="1" applyBorder="1" applyProtection="1">
      <protection locked="0"/>
    </xf>
    <xf numFmtId="3" fontId="35" fillId="0" borderId="0" xfId="6" applyNumberFormat="1" applyFont="1" applyFill="1" applyBorder="1" applyAlignment="1" applyProtection="1">
      <alignment horizontal="right" vertical="center"/>
      <protection hidden="1"/>
    </xf>
    <xf numFmtId="166" fontId="38" fillId="13" borderId="15" xfId="3" applyNumberFormat="1" applyFont="1" applyFill="1" applyBorder="1"/>
    <xf numFmtId="166" fontId="38" fillId="13" borderId="23" xfId="3" applyNumberFormat="1" applyFont="1" applyFill="1" applyBorder="1"/>
    <xf numFmtId="166" fontId="38" fillId="13" borderId="21" xfId="3" applyNumberFormat="1" applyFont="1" applyFill="1" applyBorder="1"/>
    <xf numFmtId="176" fontId="37" fillId="0" borderId="22" xfId="3" applyNumberFormat="1" applyFont="1" applyFill="1" applyBorder="1"/>
    <xf numFmtId="176" fontId="37" fillId="0" borderId="16" xfId="3" applyNumberFormat="1" applyFont="1" applyFill="1" applyBorder="1"/>
    <xf numFmtId="176" fontId="37" fillId="0" borderId="16" xfId="34386" applyNumberFormat="1" applyFont="1" applyFill="1" applyBorder="1"/>
    <xf numFmtId="176" fontId="37" fillId="0" borderId="7" xfId="34386" applyNumberFormat="1" applyFont="1" applyFill="1" applyBorder="1"/>
    <xf numFmtId="10" fontId="22" fillId="6" borderId="9" xfId="6" applyNumberFormat="1" applyFont="1" applyFill="1" applyBorder="1" applyAlignment="1" applyProtection="1">
      <alignment horizontal="right" vertical="center"/>
      <protection hidden="1"/>
    </xf>
    <xf numFmtId="0" fontId="14" fillId="0" borderId="0" xfId="0" applyFont="1"/>
    <xf numFmtId="14" fontId="0" fillId="0" borderId="0" xfId="0" applyNumberFormat="1"/>
    <xf numFmtId="0" fontId="0" fillId="0" borderId="0" xfId="0" applyFont="1"/>
    <xf numFmtId="169" fontId="35" fillId="0" borderId="0" xfId="0" applyNumberFormat="1" applyFont="1" applyBorder="1" applyAlignment="1" applyProtection="1">
      <alignment horizontal="center" vertical="center"/>
    </xf>
    <xf numFmtId="3" fontId="35" fillId="0" borderId="0" xfId="0" applyNumberFormat="1" applyFont="1" applyFill="1" applyBorder="1" applyAlignment="1" applyProtection="1">
      <alignment horizontal="right" vertical="center"/>
    </xf>
    <xf numFmtId="3" fontId="35" fillId="0" borderId="0" xfId="8" applyFont="1" applyFill="1" applyBorder="1" applyAlignment="1" applyProtection="1">
      <alignment horizontal="center"/>
      <protection locked="0"/>
    </xf>
    <xf numFmtId="3" fontId="22" fillId="0" borderId="0" xfId="6" applyNumberFormat="1" applyFont="1" applyFill="1" applyBorder="1" applyAlignment="1" applyProtection="1">
      <alignment horizontal="right" vertical="center"/>
    </xf>
    <xf numFmtId="3" fontId="22" fillId="0" borderId="0" xfId="9" applyNumberFormat="1" applyFont="1" applyFill="1" applyBorder="1" applyAlignment="1" applyProtection="1">
      <alignment horizontal="right"/>
    </xf>
    <xf numFmtId="0" fontId="35" fillId="0" borderId="87" xfId="17" applyFont="1" applyFill="1" applyBorder="1" applyAlignment="1" applyProtection="1">
      <alignment horizontal="right"/>
    </xf>
    <xf numFmtId="0" fontId="43" fillId="0" borderId="0" xfId="0" applyFont="1" applyFill="1" applyBorder="1" applyAlignment="1" applyProtection="1">
      <alignment horizontal="right" vertical="center"/>
    </xf>
    <xf numFmtId="3" fontId="28" fillId="0" borderId="0" xfId="0" applyNumberFormat="1" applyFont="1" applyFill="1" applyBorder="1" applyAlignment="1" applyProtection="1">
      <alignment horizontal="right" vertical="center"/>
    </xf>
    <xf numFmtId="3" fontId="15" fillId="0" borderId="0" xfId="6" applyNumberFormat="1" applyFont="1" applyFill="1" applyBorder="1" applyAlignment="1" applyProtection="1">
      <alignment horizontal="right" vertical="center"/>
    </xf>
    <xf numFmtId="10" fontId="31" fillId="0" borderId="0" xfId="5" applyNumberFormat="1" applyFont="1" applyFill="1" applyBorder="1" applyAlignment="1" applyProtection="1">
      <alignment horizontal="center" vertical="center"/>
    </xf>
    <xf numFmtId="0" fontId="28" fillId="0" borderId="87" xfId="17" applyFont="1" applyFill="1" applyBorder="1" applyAlignment="1" applyProtection="1">
      <alignment horizontal="right"/>
    </xf>
    <xf numFmtId="3" fontId="28" fillId="0" borderId="0" xfId="6" applyNumberFormat="1" applyFont="1" applyFill="1" applyBorder="1" applyAlignment="1" applyProtection="1">
      <alignment horizontal="right" vertical="center"/>
      <protection hidden="1"/>
    </xf>
    <xf numFmtId="169" fontId="0" fillId="0" borderId="0" xfId="0" applyNumberFormat="1" applyFont="1" applyFill="1" applyAlignment="1" applyProtection="1">
      <alignment horizontal="center"/>
    </xf>
    <xf numFmtId="168" fontId="22" fillId="0" borderId="0" xfId="5" applyNumberFormat="1" applyFont="1" applyFill="1" applyBorder="1" applyAlignment="1">
      <alignment horizontal="center"/>
    </xf>
    <xf numFmtId="216" fontId="0" fillId="0" borderId="16" xfId="6" applyNumberFormat="1" applyFont="1" applyFill="1" applyBorder="1" applyProtection="1">
      <protection locked="0"/>
    </xf>
    <xf numFmtId="0" fontId="35" fillId="0" borderId="14" xfId="2" applyFont="1" applyFill="1" applyBorder="1"/>
    <xf numFmtId="222" fontId="0" fillId="0" borderId="0" xfId="0" applyNumberFormat="1" applyFont="1" applyProtection="1">
      <protection locked="0"/>
    </xf>
    <xf numFmtId="216" fontId="12" fillId="0" borderId="16" xfId="6" applyNumberFormat="1" applyFont="1" applyFill="1" applyBorder="1" applyProtection="1">
      <protection locked="0"/>
    </xf>
    <xf numFmtId="3" fontId="12" fillId="0" borderId="16" xfId="6" applyNumberFormat="1" applyFont="1" applyFill="1" applyBorder="1" applyAlignment="1" applyProtection="1">
      <alignment horizontal="right" vertical="center"/>
    </xf>
    <xf numFmtId="3" fontId="12" fillId="0" borderId="10" xfId="6" applyNumberFormat="1" applyFont="1" applyFill="1" applyBorder="1" applyAlignment="1" applyProtection="1">
      <alignment horizontal="right" vertical="center"/>
    </xf>
    <xf numFmtId="3" fontId="49" fillId="0" borderId="16" xfId="0" applyNumberFormat="1" applyFont="1" applyBorder="1" applyProtection="1">
      <protection locked="0"/>
    </xf>
    <xf numFmtId="10" fontId="14" fillId="0" borderId="87" xfId="6" applyNumberFormat="1" applyFont="1" applyBorder="1" applyAlignment="1" applyProtection="1">
      <alignment horizontal="right"/>
    </xf>
    <xf numFmtId="10" fontId="14" fillId="0" borderId="16" xfId="6" applyNumberFormat="1" applyFont="1" applyFill="1" applyBorder="1" applyProtection="1">
      <protection locked="0"/>
    </xf>
    <xf numFmtId="3" fontId="14" fillId="0" borderId="16" xfId="6" applyNumberFormat="1" applyFont="1" applyFill="1" applyBorder="1" applyAlignment="1" applyProtection="1">
      <alignment horizontal="right" vertical="center"/>
    </xf>
    <xf numFmtId="0" fontId="35" fillId="0" borderId="35" xfId="1" applyFont="1" applyBorder="1"/>
    <xf numFmtId="0" fontId="35" fillId="0" borderId="27" xfId="1" applyFont="1" applyBorder="1"/>
    <xf numFmtId="0" fontId="22" fillId="0" borderId="28" xfId="1" applyFont="1" applyBorder="1"/>
    <xf numFmtId="0" fontId="35" fillId="4" borderId="28" xfId="1" applyFont="1" applyFill="1" applyBorder="1" applyAlignment="1">
      <alignment horizontal="left" wrapText="1"/>
    </xf>
    <xf numFmtId="216" fontId="37" fillId="13" borderId="23" xfId="3" applyNumberFormat="1" applyFont="1" applyFill="1" applyBorder="1"/>
    <xf numFmtId="216" fontId="37" fillId="13" borderId="41" xfId="3" applyNumberFormat="1" applyFont="1" applyFill="1" applyBorder="1"/>
    <xf numFmtId="216" fontId="37" fillId="13" borderId="42" xfId="3" applyNumberFormat="1" applyFont="1" applyFill="1" applyBorder="1"/>
    <xf numFmtId="216" fontId="37" fillId="13" borderId="21" xfId="3" applyNumberFormat="1" applyFont="1" applyFill="1" applyBorder="1"/>
    <xf numFmtId="216" fontId="37" fillId="13" borderId="15" xfId="3" applyNumberFormat="1" applyFont="1" applyFill="1" applyBorder="1"/>
    <xf numFmtId="166" fontId="38" fillId="13" borderId="42" xfId="3" applyNumberFormat="1" applyFont="1" applyFill="1" applyBorder="1"/>
    <xf numFmtId="10" fontId="37" fillId="15" borderId="23" xfId="3" applyNumberFormat="1" applyFont="1" applyFill="1" applyBorder="1"/>
    <xf numFmtId="10" fontId="37" fillId="15" borderId="21" xfId="3" applyNumberFormat="1" applyFont="1" applyFill="1" applyBorder="1"/>
    <xf numFmtId="10" fontId="37" fillId="15" borderId="15" xfId="3" applyNumberFormat="1" applyFont="1" applyFill="1" applyBorder="1"/>
    <xf numFmtId="216" fontId="37" fillId="0" borderId="21" xfId="3" applyNumberFormat="1" applyFont="1" applyFill="1" applyBorder="1"/>
    <xf numFmtId="216" fontId="37" fillId="0" borderId="15" xfId="3" applyNumberFormat="1" applyFont="1" applyFill="1" applyBorder="1"/>
    <xf numFmtId="0" fontId="35" fillId="0" borderId="26" xfId="1" applyFont="1" applyFill="1" applyBorder="1"/>
    <xf numFmtId="216" fontId="38" fillId="13" borderId="23" xfId="6" applyNumberFormat="1" applyFont="1" applyFill="1" applyBorder="1"/>
    <xf numFmtId="0" fontId="35" fillId="0" borderId="35" xfId="1" applyFont="1" applyFill="1" applyBorder="1"/>
    <xf numFmtId="166" fontId="38" fillId="13" borderId="41" xfId="3" applyNumberFormat="1" applyFont="1" applyFill="1" applyBorder="1"/>
    <xf numFmtId="176" fontId="38" fillId="13" borderId="21" xfId="3" applyNumberFormat="1" applyFont="1" applyFill="1" applyBorder="1"/>
    <xf numFmtId="166" fontId="38" fillId="15" borderId="23" xfId="3" applyNumberFormat="1" applyFont="1" applyFill="1" applyBorder="1"/>
    <xf numFmtId="166" fontId="38" fillId="15" borderId="41" xfId="3" applyNumberFormat="1" applyFont="1" applyFill="1" applyBorder="1"/>
    <xf numFmtId="166" fontId="38" fillId="15" borderId="21" xfId="3" applyNumberFormat="1" applyFont="1" applyFill="1" applyBorder="1"/>
    <xf numFmtId="166" fontId="38" fillId="15" borderId="15" xfId="3" applyNumberFormat="1" applyFont="1" applyFill="1" applyBorder="1"/>
    <xf numFmtId="176" fontId="38" fillId="15" borderId="21" xfId="3" applyNumberFormat="1" applyFont="1" applyFill="1" applyBorder="1"/>
    <xf numFmtId="176" fontId="38" fillId="15" borderId="42" xfId="3" applyNumberFormat="1" applyFont="1" applyFill="1" applyBorder="1"/>
    <xf numFmtId="166" fontId="38" fillId="0" borderId="0" xfId="1" applyNumberFormat="1" applyFont="1" applyFill="1" applyBorder="1"/>
    <xf numFmtId="166" fontId="38" fillId="6" borderId="0" xfId="1" applyNumberFormat="1" applyFont="1" applyFill="1" applyBorder="1"/>
    <xf numFmtId="176" fontId="37" fillId="13" borderId="21" xfId="3" applyNumberFormat="1" applyFont="1" applyFill="1" applyBorder="1"/>
    <xf numFmtId="176" fontId="37" fillId="13" borderId="21" xfId="34386" applyNumberFormat="1" applyFont="1" applyFill="1" applyBorder="1"/>
    <xf numFmtId="176" fontId="37" fillId="13" borderId="15" xfId="34386" applyNumberFormat="1" applyFont="1" applyFill="1" applyBorder="1"/>
    <xf numFmtId="202" fontId="38" fillId="13" borderId="23" xfId="34386" applyNumberFormat="1" applyFont="1" applyFill="1" applyBorder="1"/>
    <xf numFmtId="202" fontId="38" fillId="13" borderId="21" xfId="34386" applyNumberFormat="1" applyFont="1" applyFill="1" applyBorder="1"/>
    <xf numFmtId="202" fontId="38" fillId="13" borderId="41" xfId="34386" applyNumberFormat="1" applyFont="1" applyFill="1" applyBorder="1"/>
    <xf numFmtId="202" fontId="38" fillId="13" borderId="15" xfId="34386" applyNumberFormat="1" applyFont="1" applyFill="1" applyBorder="1"/>
    <xf numFmtId="166" fontId="22" fillId="13" borderId="15" xfId="3" applyNumberFormat="1" applyFont="1" applyFill="1" applyBorder="1"/>
    <xf numFmtId="0" fontId="22" fillId="0" borderId="27" xfId="1" applyFont="1" applyBorder="1" applyAlignment="1">
      <alignment horizontal="right"/>
    </xf>
    <xf numFmtId="0" fontId="35" fillId="0" borderId="28" xfId="1" applyFont="1" applyFill="1" applyBorder="1" applyAlignment="1">
      <alignment horizontal="left" wrapText="1"/>
    </xf>
    <xf numFmtId="0" fontId="22" fillId="0" borderId="97" xfId="1" applyFont="1" applyBorder="1" applyAlignment="1">
      <alignment horizontal="right"/>
    </xf>
    <xf numFmtId="202" fontId="38" fillId="13" borderId="42" xfId="34386" applyNumberFormat="1" applyFont="1" applyFill="1" applyBorder="1"/>
    <xf numFmtId="0" fontId="22" fillId="0" borderId="97" xfId="1" applyFont="1" applyBorder="1"/>
    <xf numFmtId="166" fontId="22" fillId="0" borderId="0" xfId="1" applyNumberFormat="1" applyFont="1"/>
    <xf numFmtId="169" fontId="14" fillId="0" borderId="0" xfId="0" applyNumberFormat="1" applyFont="1" applyFill="1" applyAlignment="1" applyProtection="1">
      <alignment horizontal="center"/>
    </xf>
    <xf numFmtId="0" fontId="15" fillId="0" borderId="0" xfId="5" applyNumberFormat="1" applyFont="1" applyFill="1" applyAlignment="1" applyProtection="1">
      <alignment horizontal="center"/>
      <protection locked="0"/>
    </xf>
    <xf numFmtId="169" fontId="15" fillId="0" borderId="0" xfId="0" applyNumberFormat="1" applyFont="1" applyFill="1" applyAlignment="1" applyProtection="1">
      <alignment horizontal="center"/>
    </xf>
    <xf numFmtId="169" fontId="28" fillId="0" borderId="0" xfId="0" applyNumberFormat="1" applyFont="1" applyFill="1" applyBorder="1" applyAlignment="1" applyProtection="1">
      <alignment horizontal="center" vertical="center"/>
    </xf>
    <xf numFmtId="49" fontId="15" fillId="0" borderId="16" xfId="0" applyNumberFormat="1" applyFont="1" applyFill="1" applyBorder="1" applyProtection="1"/>
    <xf numFmtId="3" fontId="15" fillId="0" borderId="18" xfId="6" applyNumberFormat="1" applyFont="1" applyFill="1" applyBorder="1" applyAlignment="1" applyProtection="1">
      <alignment horizontal="right" vertical="center"/>
    </xf>
    <xf numFmtId="202" fontId="38" fillId="15" borderId="0" xfId="34386" applyNumberFormat="1" applyFont="1" applyFill="1" applyBorder="1"/>
    <xf numFmtId="202" fontId="38" fillId="13" borderId="0" xfId="34386" applyNumberFormat="1" applyFont="1" applyFill="1" applyBorder="1"/>
    <xf numFmtId="202" fontId="38" fillId="15" borderId="1" xfId="34386" applyNumberFormat="1" applyFont="1" applyFill="1" applyBorder="1"/>
    <xf numFmtId="202" fontId="38" fillId="13" borderId="8" xfId="34386" applyNumberFormat="1" applyFont="1" applyFill="1" applyBorder="1"/>
    <xf numFmtId="202" fontId="38" fillId="15" borderId="89" xfId="34386" applyNumberFormat="1" applyFont="1" applyFill="1" applyBorder="1"/>
    <xf numFmtId="3" fontId="28" fillId="0" borderId="10" xfId="6" applyNumberFormat="1" applyFont="1" applyFill="1" applyBorder="1" applyAlignment="1" applyProtection="1">
      <alignment horizontal="right" vertical="center"/>
    </xf>
    <xf numFmtId="168" fontId="0" fillId="0" borderId="0" xfId="5" applyNumberFormat="1" applyFont="1" applyBorder="1" applyProtection="1">
      <protection locked="0"/>
    </xf>
    <xf numFmtId="170" fontId="45" fillId="0" borderId="0" xfId="0" applyNumberFormat="1" applyFont="1" applyProtection="1">
      <protection locked="0"/>
    </xf>
    <xf numFmtId="0" fontId="190" fillId="4" borderId="0" xfId="0" quotePrefix="1" applyFont="1" applyFill="1" applyAlignment="1">
      <alignment horizontal="left" vertical="center" wrapText="1" indent="4"/>
    </xf>
    <xf numFmtId="168" fontId="22" fillId="4" borderId="16" xfId="5" applyNumberFormat="1" applyFont="1" applyFill="1" applyBorder="1"/>
    <xf numFmtId="0" fontId="0" fillId="0" borderId="87" xfId="0" applyFont="1" applyFill="1" applyBorder="1" applyProtection="1"/>
    <xf numFmtId="3" fontId="15" fillId="0" borderId="87" xfId="6" applyNumberFormat="1" applyFont="1" applyFill="1" applyBorder="1" applyAlignment="1" applyProtection="1">
      <alignment horizontal="right" vertical="center"/>
    </xf>
    <xf numFmtId="3" fontId="15" fillId="0" borderId="87" xfId="0" applyNumberFormat="1" applyFont="1" applyBorder="1" applyProtection="1">
      <protection locked="0"/>
    </xf>
    <xf numFmtId="224" fontId="0" fillId="0" borderId="0" xfId="0" applyNumberFormat="1" applyFont="1" applyProtection="1">
      <protection locked="0"/>
    </xf>
    <xf numFmtId="225" fontId="14" fillId="0" borderId="0" xfId="0" applyNumberFormat="1" applyFont="1" applyProtection="1">
      <protection locked="0"/>
    </xf>
    <xf numFmtId="169" fontId="14" fillId="0" borderId="0" xfId="0" quotePrefix="1" applyNumberFormat="1" applyFont="1" applyAlignment="1" applyProtection="1">
      <alignment horizontal="center"/>
    </xf>
    <xf numFmtId="226" fontId="14" fillId="0" borderId="0" xfId="0" applyNumberFormat="1" applyFont="1" applyProtection="1">
      <protection locked="0"/>
    </xf>
    <xf numFmtId="0" fontId="15" fillId="0" borderId="18" xfId="0" applyFont="1" applyBorder="1" applyProtection="1">
      <protection locked="0"/>
    </xf>
    <xf numFmtId="0" fontId="52" fillId="0" borderId="0" xfId="0" applyFont="1"/>
    <xf numFmtId="0" fontId="52" fillId="100" borderId="0" xfId="0" applyFont="1" applyFill="1"/>
    <xf numFmtId="0" fontId="66" fillId="104" borderId="0" xfId="0" applyFont="1" applyFill="1" applyAlignment="1">
      <alignment horizontal="left" wrapText="1"/>
    </xf>
    <xf numFmtId="0" fontId="66" fillId="104" borderId="0" xfId="0" applyFont="1" applyFill="1" applyAlignment="1">
      <alignment horizontal="center" wrapText="1"/>
    </xf>
    <xf numFmtId="0" fontId="0" fillId="0" borderId="0" xfId="0" applyAlignment="1">
      <alignment vertical="center" wrapText="1"/>
    </xf>
    <xf numFmtId="0" fontId="0" fillId="4" borderId="0" xfId="0" applyFill="1" applyAlignment="1">
      <alignment vertical="center" wrapText="1"/>
    </xf>
    <xf numFmtId="44" fontId="0" fillId="0" borderId="16" xfId="34386" applyFont="1" applyFill="1" applyBorder="1"/>
    <xf numFmtId="44" fontId="0" fillId="0" borderId="0" xfId="34386" applyFont="1" applyFill="1" applyBorder="1"/>
    <xf numFmtId="44" fontId="22" fillId="8" borderId="27" xfId="34386" applyFont="1" applyFill="1" applyBorder="1"/>
    <xf numFmtId="44" fontId="22" fillId="8" borderId="27" xfId="34386" applyFont="1" applyFill="1" applyBorder="1" applyAlignment="1"/>
    <xf numFmtId="44" fontId="22" fillId="8" borderId="28" xfId="34386" applyFont="1" applyFill="1" applyBorder="1"/>
    <xf numFmtId="213" fontId="0" fillId="0" borderId="27" xfId="6" applyNumberFormat="1" applyFont="1" applyFill="1" applyBorder="1"/>
    <xf numFmtId="213" fontId="0" fillId="0" borderId="28" xfId="6" applyNumberFormat="1" applyFont="1" applyFill="1" applyBorder="1"/>
    <xf numFmtId="0" fontId="22" fillId="0" borderId="34" xfId="1" applyFont="1" applyFill="1" applyBorder="1" applyAlignment="1">
      <alignment horizontal="center" wrapText="1"/>
    </xf>
    <xf numFmtId="44" fontId="0" fillId="0" borderId="26" xfId="0" applyNumberFormat="1" applyFill="1" applyBorder="1"/>
    <xf numFmtId="44" fontId="0" fillId="0" borderId="27" xfId="34386" applyFont="1" applyFill="1" applyBorder="1"/>
    <xf numFmtId="44" fontId="0" fillId="0" borderId="28" xfId="34386" applyFont="1" applyFill="1" applyBorder="1"/>
    <xf numFmtId="0" fontId="0" fillId="6" borderId="0" xfId="0" applyFill="1"/>
    <xf numFmtId="0" fontId="191" fillId="105" borderId="32" xfId="0" applyFont="1" applyFill="1" applyBorder="1" applyAlignment="1">
      <alignment horizontal="center" vertical="center" wrapText="1"/>
    </xf>
    <xf numFmtId="0" fontId="191" fillId="105" borderId="9" xfId="0" applyFont="1" applyFill="1" applyBorder="1" applyAlignment="1">
      <alignment horizontal="left" vertical="center"/>
    </xf>
    <xf numFmtId="0" fontId="192" fillId="102" borderId="9" xfId="41806" applyFont="1" applyFill="1" applyBorder="1" applyAlignment="1">
      <alignment horizontal="center" vertical="center" wrapText="1"/>
    </xf>
    <xf numFmtId="0" fontId="192" fillId="102" borderId="9" xfId="41806" applyFont="1" applyFill="1" applyBorder="1" applyAlignment="1">
      <alignment vertical="center" wrapText="1"/>
    </xf>
    <xf numFmtId="0" fontId="193" fillId="106" borderId="9" xfId="41806" applyFont="1" applyFill="1" applyBorder="1" applyAlignment="1">
      <alignment vertical="center" wrapText="1"/>
    </xf>
    <xf numFmtId="0" fontId="193" fillId="106" borderId="9" xfId="41806" applyFont="1" applyFill="1" applyBorder="1" applyAlignment="1">
      <alignment horizontal="center" vertical="center" wrapText="1"/>
    </xf>
    <xf numFmtId="0" fontId="194" fillId="6" borderId="32" xfId="0" applyFont="1" applyFill="1" applyBorder="1"/>
    <xf numFmtId="0" fontId="194" fillId="6" borderId="17" xfId="0" applyFont="1" applyFill="1" applyBorder="1"/>
    <xf numFmtId="0" fontId="0" fillId="0" borderId="9" xfId="0" applyBorder="1"/>
    <xf numFmtId="0" fontId="195" fillId="0" borderId="9" xfId="0" applyFont="1" applyBorder="1" applyAlignment="1">
      <alignment horizontal="left" indent="1"/>
    </xf>
    <xf numFmtId="228" fontId="195" fillId="0" borderId="9" xfId="34386" applyNumberFormat="1" applyFont="1" applyFill="1" applyBorder="1"/>
    <xf numFmtId="0" fontId="0" fillId="6" borderId="18" xfId="0" applyFill="1" applyBorder="1"/>
    <xf numFmtId="227" fontId="195" fillId="6" borderId="87" xfId="34386" applyNumberFormat="1" applyFont="1" applyFill="1" applyBorder="1"/>
    <xf numFmtId="227" fontId="195" fillId="6" borderId="10" xfId="34386" applyNumberFormat="1" applyFont="1" applyFill="1" applyBorder="1"/>
    <xf numFmtId="0" fontId="191" fillId="105" borderId="17" xfId="0" applyFont="1" applyFill="1" applyBorder="1" applyAlignment="1">
      <alignment vertical="center" wrapText="1"/>
    </xf>
    <xf numFmtId="0" fontId="191" fillId="105" borderId="33" xfId="0" applyFont="1" applyFill="1" applyBorder="1" applyAlignment="1">
      <alignment horizontal="center" vertical="center" wrapText="1"/>
    </xf>
    <xf numFmtId="0" fontId="192" fillId="102" borderId="11" xfId="41806" applyFont="1" applyFill="1" applyBorder="1" applyAlignment="1">
      <alignment vertical="center"/>
    </xf>
    <xf numFmtId="0" fontId="192" fillId="102" borderId="19" xfId="41806" applyFont="1" applyFill="1" applyBorder="1" applyAlignment="1">
      <alignment vertical="center"/>
    </xf>
    <xf numFmtId="0" fontId="196" fillId="0" borderId="9" xfId="0" applyFont="1" applyBorder="1"/>
    <xf numFmtId="228" fontId="12" fillId="0" borderId="98" xfId="34386" applyNumberFormat="1" applyFont="1" applyBorder="1"/>
    <xf numFmtId="0" fontId="197" fillId="0" borderId="9" xfId="0" applyFont="1" applyBorder="1"/>
    <xf numFmtId="228" fontId="49" fillId="0" borderId="9" xfId="34386" applyNumberFormat="1" applyFont="1" applyBorder="1"/>
    <xf numFmtId="0" fontId="192" fillId="102" borderId="32" xfId="41806" applyFont="1" applyFill="1" applyBorder="1" applyAlignment="1">
      <alignment vertical="center"/>
    </xf>
    <xf numFmtId="0" fontId="192" fillId="102" borderId="32" xfId="41806" applyFont="1" applyFill="1" applyBorder="1" applyAlignment="1">
      <alignment vertical="center" wrapText="1"/>
    </xf>
    <xf numFmtId="0" fontId="192" fillId="102" borderId="33" xfId="41806" applyFont="1" applyFill="1" applyBorder="1" applyAlignment="1">
      <alignment vertical="center" wrapText="1"/>
    </xf>
    <xf numFmtId="0" fontId="198" fillId="0" borderId="0" xfId="0" applyFont="1"/>
    <xf numFmtId="0" fontId="199" fillId="15" borderId="0" xfId="1" applyFont="1" applyFill="1"/>
    <xf numFmtId="173" fontId="12" fillId="8" borderId="27" xfId="15" applyNumberFormat="1" applyFont="1" applyFill="1" applyBorder="1"/>
    <xf numFmtId="173" fontId="12" fillId="0" borderId="27" xfId="15" applyNumberFormat="1" applyFont="1" applyFill="1" applyBorder="1"/>
    <xf numFmtId="173" fontId="12" fillId="0" borderId="28" xfId="15" applyNumberFormat="1" applyFont="1" applyFill="1" applyBorder="1"/>
    <xf numFmtId="0" fontId="200" fillId="0" borderId="0" xfId="0" applyFont="1"/>
    <xf numFmtId="215" fontId="22" fillId="8" borderId="27" xfId="15" applyNumberFormat="1" applyFont="1" applyFill="1" applyBorder="1"/>
    <xf numFmtId="215" fontId="22" fillId="8" borderId="28" xfId="15" applyNumberFormat="1" applyFont="1" applyFill="1" applyBorder="1"/>
    <xf numFmtId="215" fontId="22" fillId="0" borderId="27" xfId="15" applyNumberFormat="1" applyFont="1" applyFill="1" applyBorder="1"/>
    <xf numFmtId="215" fontId="22" fillId="0" borderId="28" xfId="15" applyNumberFormat="1" applyFont="1" applyFill="1" applyBorder="1"/>
    <xf numFmtId="173" fontId="12" fillId="8" borderId="28" xfId="15" applyNumberFormat="1" applyFont="1" applyFill="1" applyBorder="1"/>
    <xf numFmtId="0" fontId="78" fillId="0" borderId="0" xfId="41807" applyFont="1" applyFill="1"/>
    <xf numFmtId="0" fontId="34" fillId="15" borderId="0" xfId="0" applyFont="1" applyFill="1"/>
    <xf numFmtId="0" fontId="22" fillId="0" borderId="35" xfId="1" applyFont="1" applyBorder="1" applyAlignment="1">
      <alignment horizontal="center" wrapText="1"/>
    </xf>
    <xf numFmtId="0" fontId="22" fillId="0" borderId="35" xfId="1" applyFont="1" applyBorder="1" applyAlignment="1">
      <alignment horizontal="center"/>
    </xf>
    <xf numFmtId="174" fontId="12" fillId="0" borderId="27" xfId="15" applyNumberFormat="1" applyFont="1" applyFill="1" applyBorder="1"/>
    <xf numFmtId="174" fontId="12" fillId="0" borderId="28" xfId="15" applyNumberFormat="1" applyFont="1" applyFill="1" applyBorder="1"/>
    <xf numFmtId="0" fontId="22" fillId="0" borderId="0" xfId="0" applyFont="1" applyAlignment="1">
      <alignment vertical="center"/>
    </xf>
    <xf numFmtId="166" fontId="45" fillId="0" borderId="0" xfId="3" applyNumberFormat="1" applyFont="1" applyFill="1" applyBorder="1"/>
    <xf numFmtId="0" fontId="190" fillId="0" borderId="16" xfId="0" quotePrefix="1" applyFont="1" applyFill="1" applyBorder="1" applyAlignment="1">
      <alignment horizontal="left" vertical="center" wrapText="1" indent="4"/>
    </xf>
    <xf numFmtId="0" fontId="0" fillId="0" borderId="162" xfId="0" applyBorder="1" applyAlignment="1">
      <alignment horizontal="left" vertical="center" wrapText="1" indent="1"/>
    </xf>
    <xf numFmtId="0" fontId="0" fillId="0" borderId="156" xfId="0" applyBorder="1" applyAlignment="1">
      <alignment horizontal="left" vertical="center" wrapText="1" indent="1"/>
    </xf>
    <xf numFmtId="0" fontId="0" fillId="0" borderId="171" xfId="0" applyBorder="1" applyAlignment="1">
      <alignment horizontal="left" vertical="center" wrapText="1" indent="1"/>
    </xf>
    <xf numFmtId="166" fontId="189" fillId="13" borderId="23" xfId="3" applyNumberFormat="1" applyFont="1" applyFill="1" applyBorder="1"/>
    <xf numFmtId="0" fontId="0" fillId="0" borderId="159" xfId="0" applyBorder="1" applyAlignment="1">
      <alignment horizontal="left" vertical="center" wrapText="1" indent="1"/>
    </xf>
    <xf numFmtId="0" fontId="0" fillId="0" borderId="168" xfId="0" applyBorder="1" applyAlignment="1">
      <alignment horizontal="left" vertical="center" wrapText="1" indent="1"/>
    </xf>
    <xf numFmtId="0" fontId="35" fillId="0" borderId="4" xfId="1" applyFont="1" applyBorder="1" applyAlignment="1">
      <alignment horizontal="center"/>
    </xf>
    <xf numFmtId="215" fontId="35" fillId="6" borderId="24" xfId="5" applyNumberFormat="1" applyFont="1" applyFill="1" applyBorder="1" applyAlignment="1">
      <alignment horizontal="center"/>
    </xf>
    <xf numFmtId="237" fontId="22" fillId="0" borderId="0" xfId="1" applyNumberFormat="1" applyFont="1"/>
    <xf numFmtId="202" fontId="22" fillId="0" borderId="16" xfId="1" applyNumberFormat="1" applyFont="1" applyBorder="1"/>
    <xf numFmtId="202" fontId="216" fillId="0" borderId="16" xfId="1" applyNumberFormat="1" applyFont="1" applyBorder="1"/>
    <xf numFmtId="43" fontId="22" fillId="0" borderId="7" xfId="5" applyFont="1" applyBorder="1"/>
    <xf numFmtId="0" fontId="35" fillId="0" borderId="47" xfId="1" applyFont="1" applyBorder="1" applyAlignment="1">
      <alignment horizontal="center"/>
    </xf>
    <xf numFmtId="0" fontId="35" fillId="0" borderId="20" xfId="1" applyFont="1" applyBorder="1" applyAlignment="1">
      <alignment horizontal="center"/>
    </xf>
    <xf numFmtId="166" fontId="38" fillId="15" borderId="47" xfId="3" applyNumberFormat="1" applyFont="1" applyFill="1" applyBorder="1"/>
    <xf numFmtId="166" fontId="38" fillId="15" borderId="20" xfId="3" applyNumberFormat="1" applyFont="1" applyFill="1" applyBorder="1"/>
    <xf numFmtId="176" fontId="37" fillId="15" borderId="4" xfId="34386" applyNumberFormat="1" applyFont="1" applyFill="1" applyBorder="1"/>
    <xf numFmtId="213" fontId="38" fillId="15" borderId="18" xfId="6" applyNumberFormat="1" applyFont="1" applyFill="1" applyBorder="1"/>
    <xf numFmtId="44" fontId="22" fillId="13" borderId="21" xfId="34386" applyFont="1" applyFill="1" applyBorder="1"/>
    <xf numFmtId="44" fontId="22" fillId="13" borderId="15" xfId="34386" applyFont="1" applyFill="1" applyBorder="1"/>
    <xf numFmtId="44" fontId="38" fillId="13" borderId="40" xfId="34386" applyFont="1" applyFill="1" applyBorder="1"/>
    <xf numFmtId="0" fontId="0" fillId="0" borderId="0" xfId="0" applyProtection="1">
      <protection locked="0"/>
    </xf>
    <xf numFmtId="238" fontId="22" fillId="0" borderId="0" xfId="1" applyNumberFormat="1" applyFont="1"/>
    <xf numFmtId="216" fontId="22" fillId="0" borderId="180" xfId="3" applyNumberFormat="1" applyFont="1" applyFill="1" applyBorder="1"/>
    <xf numFmtId="221" fontId="38" fillId="13" borderId="15" xfId="34386" applyNumberFormat="1" applyFont="1" applyFill="1" applyBorder="1"/>
    <xf numFmtId="169" fontId="0" fillId="0" borderId="0" xfId="0" applyNumberFormat="1" applyAlignment="1">
      <alignment horizontal="center"/>
    </xf>
    <xf numFmtId="170" fontId="0" fillId="0" borderId="0" xfId="0" applyNumberFormat="1" applyProtection="1">
      <protection locked="0"/>
    </xf>
    <xf numFmtId="3" fontId="0" fillId="0" borderId="0" xfId="0" applyNumberFormat="1" applyProtection="1">
      <protection locked="0"/>
    </xf>
    <xf numFmtId="169" fontId="0" fillId="4" borderId="0" xfId="0" applyNumberFormat="1" applyFill="1" applyAlignment="1">
      <alignment horizontal="center"/>
    </xf>
    <xf numFmtId="0" fontId="49" fillId="0" borderId="0" xfId="0" applyFont="1" applyAlignment="1" applyProtection="1">
      <alignment horizontal="center"/>
      <protection locked="0"/>
    </xf>
    <xf numFmtId="169" fontId="22" fillId="0" borderId="0" xfId="0" applyNumberFormat="1" applyFont="1" applyAlignment="1">
      <alignment horizontal="center"/>
    </xf>
    <xf numFmtId="0" fontId="35" fillId="0" borderId="0" xfId="0" applyFont="1" applyAlignment="1">
      <alignment vertical="center"/>
    </xf>
    <xf numFmtId="169" fontId="35" fillId="0" borderId="9" xfId="0" applyNumberFormat="1" applyFont="1" applyBorder="1" applyAlignment="1">
      <alignment horizontal="center" vertical="center"/>
    </xf>
    <xf numFmtId="169" fontId="35" fillId="0" borderId="0" xfId="0" applyNumberFormat="1" applyFont="1" applyAlignment="1">
      <alignment horizontal="center" vertical="center"/>
    </xf>
    <xf numFmtId="0" fontId="22" fillId="0" borderId="9" xfId="0" applyFont="1" applyBorder="1" applyAlignment="1">
      <alignment vertical="center"/>
    </xf>
    <xf numFmtId="3" fontId="35" fillId="4" borderId="9" xfId="0" applyNumberFormat="1" applyFont="1" applyFill="1" applyBorder="1" applyAlignment="1">
      <alignment horizontal="right" vertical="center"/>
    </xf>
    <xf numFmtId="3" fontId="35" fillId="0" borderId="0" xfId="0" applyNumberFormat="1" applyFont="1" applyAlignment="1">
      <alignment horizontal="right" vertical="center"/>
    </xf>
    <xf numFmtId="3" fontId="47" fillId="0" borderId="0" xfId="8" applyFont="1" applyFill="1" applyBorder="1" applyAlignment="1">
      <alignment horizontal="left"/>
      <protection locked="0"/>
    </xf>
    <xf numFmtId="0" fontId="22" fillId="0" borderId="87" xfId="0" applyFont="1" applyBorder="1" applyAlignment="1">
      <alignment vertical="center"/>
    </xf>
    <xf numFmtId="3" fontId="35" fillId="0" borderId="87" xfId="0" applyNumberFormat="1" applyFont="1" applyBorder="1" applyAlignment="1">
      <alignment horizontal="right" vertical="center"/>
    </xf>
    <xf numFmtId="171" fontId="22" fillId="0" borderId="0" xfId="0" applyNumberFormat="1" applyFont="1" applyProtection="1">
      <protection locked="0"/>
    </xf>
    <xf numFmtId="0" fontId="0" fillId="0" borderId="32" xfId="0" applyBorder="1"/>
    <xf numFmtId="0" fontId="43" fillId="2" borderId="33" xfId="0" applyFont="1" applyFill="1" applyBorder="1" applyAlignment="1">
      <alignment horizontal="right" vertical="center"/>
    </xf>
    <xf numFmtId="0" fontId="43" fillId="0" borderId="0" xfId="0" applyFont="1" applyAlignment="1">
      <alignment horizontal="right" vertical="center"/>
    </xf>
    <xf numFmtId="170" fontId="22" fillId="0" borderId="0" xfId="8" applyNumberFormat="1" applyFont="1" applyFill="1" applyBorder="1">
      <alignment horizontal="right"/>
      <protection locked="0"/>
    </xf>
    <xf numFmtId="3" fontId="22" fillId="0" borderId="0" xfId="8" applyFont="1" applyFill="1" applyBorder="1">
      <alignment horizontal="right"/>
      <protection locked="0"/>
    </xf>
    <xf numFmtId="3" fontId="22" fillId="0" borderId="0" xfId="8" applyFont="1" applyFill="1" applyBorder="1" applyAlignment="1">
      <alignment horizontal="left"/>
      <protection locked="0"/>
    </xf>
    <xf numFmtId="0" fontId="157" fillId="0" borderId="0" xfId="0" applyFont="1" applyProtection="1">
      <protection locked="0"/>
    </xf>
    <xf numFmtId="3" fontId="35" fillId="0" borderId="9" xfId="8" applyFont="1" applyFill="1" applyBorder="1" applyAlignment="1">
      <alignment horizontal="center"/>
      <protection locked="0"/>
    </xf>
    <xf numFmtId="3" fontId="35" fillId="0" borderId="0" xfId="8" applyFont="1" applyFill="1" applyBorder="1" applyAlignment="1">
      <alignment horizontal="center"/>
      <protection locked="0"/>
    </xf>
    <xf numFmtId="3" fontId="22" fillId="0" borderId="87" xfId="6" applyNumberFormat="1" applyFont="1" applyFill="1" applyBorder="1" applyAlignment="1" applyProtection="1">
      <alignment horizontal="right" vertical="center"/>
    </xf>
    <xf numFmtId="0" fontId="22" fillId="2" borderId="9" xfId="0" applyFont="1" applyFill="1" applyBorder="1" applyAlignment="1">
      <alignment vertical="center"/>
    </xf>
    <xf numFmtId="0" fontId="35" fillId="0" borderId="9" xfId="0" applyFont="1" applyBorder="1" applyAlignment="1">
      <alignment vertical="center"/>
    </xf>
    <xf numFmtId="203" fontId="22" fillId="0" borderId="0" xfId="8" applyNumberFormat="1" applyFont="1" applyFill="1" applyBorder="1">
      <alignment horizontal="right"/>
      <protection locked="0"/>
    </xf>
    <xf numFmtId="0" fontId="35" fillId="0" borderId="5" xfId="0" applyFont="1" applyBorder="1" applyAlignment="1">
      <alignment vertical="center"/>
    </xf>
    <xf numFmtId="10" fontId="0" fillId="0" borderId="0" xfId="0" applyNumberFormat="1" applyProtection="1">
      <protection locked="0"/>
    </xf>
    <xf numFmtId="3" fontId="22" fillId="85" borderId="9" xfId="0" applyNumberFormat="1" applyFont="1" applyFill="1" applyBorder="1" applyAlignment="1">
      <alignment horizontal="right" vertical="center"/>
    </xf>
    <xf numFmtId="3" fontId="22" fillId="85" borderId="0" xfId="0" applyNumberFormat="1" applyFont="1" applyFill="1" applyAlignment="1">
      <alignment horizontal="right" vertical="center"/>
    </xf>
    <xf numFmtId="0" fontId="35" fillId="0" borderId="0" xfId="9" applyFont="1"/>
    <xf numFmtId="6" fontId="0" fillId="0" borderId="0" xfId="0" applyNumberFormat="1" applyProtection="1">
      <protection locked="0"/>
    </xf>
    <xf numFmtId="0" fontId="22" fillId="0" borderId="9" xfId="9" applyBorder="1"/>
    <xf numFmtId="3" fontId="22" fillId="0" borderId="9" xfId="9" applyNumberFormat="1" applyBorder="1" applyAlignment="1">
      <alignment horizontal="right"/>
    </xf>
    <xf numFmtId="3" fontId="22" fillId="0" borderId="0" xfId="9" applyNumberFormat="1" applyAlignment="1">
      <alignment horizontal="right"/>
    </xf>
    <xf numFmtId="0" fontId="35" fillId="0" borderId="9" xfId="9" applyFont="1" applyBorder="1"/>
    <xf numFmtId="0" fontId="0" fillId="0" borderId="87" xfId="0" applyBorder="1"/>
    <xf numFmtId="0" fontId="35" fillId="0" borderId="87" xfId="17" applyFont="1" applyBorder="1" applyAlignment="1">
      <alignment horizontal="right"/>
    </xf>
    <xf numFmtId="1" fontId="35" fillId="0" borderId="16" xfId="17" applyNumberFormat="1" applyFont="1" applyBorder="1" applyAlignment="1">
      <alignment horizontal="right"/>
    </xf>
    <xf numFmtId="1" fontId="35" fillId="0" borderId="10" xfId="17" applyNumberFormat="1" applyFont="1" applyBorder="1" applyAlignment="1">
      <alignment horizontal="right"/>
    </xf>
    <xf numFmtId="0" fontId="0" fillId="0" borderId="16" xfId="0" applyBorder="1" applyProtection="1">
      <protection locked="0"/>
    </xf>
    <xf numFmtId="0" fontId="35" fillId="0" borderId="16" xfId="0" applyFont="1" applyBorder="1" applyAlignment="1">
      <alignment wrapText="1"/>
    </xf>
    <xf numFmtId="0" fontId="190" fillId="4" borderId="16" xfId="0" quotePrefix="1" applyFont="1" applyFill="1" applyBorder="1" applyAlignment="1">
      <alignment horizontal="left" vertical="center" wrapText="1" indent="4"/>
    </xf>
    <xf numFmtId="3" fontId="0" fillId="0" borderId="16" xfId="0" applyNumberFormat="1" applyBorder="1" applyProtection="1">
      <protection locked="0"/>
    </xf>
    <xf numFmtId="0" fontId="35" fillId="0" borderId="16" xfId="0" applyFont="1" applyBorder="1"/>
    <xf numFmtId="49" fontId="22" fillId="0" borderId="16" xfId="0" applyNumberFormat="1" applyFont="1" applyBorder="1" applyAlignment="1">
      <alignment horizontal="left" indent="1"/>
    </xf>
    <xf numFmtId="3" fontId="0" fillId="0" borderId="33" xfId="0" applyNumberFormat="1" applyBorder="1" applyProtection="1">
      <protection locked="0"/>
    </xf>
    <xf numFmtId="49" fontId="35" fillId="0" borderId="16" xfId="0" applyNumberFormat="1" applyFont="1" applyBorder="1"/>
    <xf numFmtId="0" fontId="35" fillId="0" borderId="10" xfId="0" applyFont="1" applyBorder="1"/>
    <xf numFmtId="0" fontId="22" fillId="0" borderId="0" xfId="0" applyFont="1"/>
    <xf numFmtId="0" fontId="35" fillId="0" borderId="87" xfId="0" applyFont="1" applyBorder="1"/>
    <xf numFmtId="0" fontId="22" fillId="0" borderId="16" xfId="0" applyFont="1" applyBorder="1"/>
    <xf numFmtId="0" fontId="22" fillId="0" borderId="10" xfId="0" applyFont="1" applyBorder="1"/>
    <xf numFmtId="222" fontId="0" fillId="0" borderId="0" xfId="0" applyNumberFormat="1" applyProtection="1">
      <protection locked="0"/>
    </xf>
    <xf numFmtId="3" fontId="12" fillId="0" borderId="16" xfId="0" applyNumberFormat="1" applyFont="1" applyBorder="1" applyProtection="1">
      <protection locked="0"/>
    </xf>
    <xf numFmtId="3" fontId="12" fillId="0" borderId="16" xfId="0" applyNumberFormat="1" applyFont="1" applyBorder="1" applyAlignment="1" applyProtection="1">
      <alignment horizontal="right"/>
      <protection locked="0"/>
    </xf>
    <xf numFmtId="224" fontId="0" fillId="0" borderId="0" xfId="0" applyNumberFormat="1" applyProtection="1">
      <protection locked="0"/>
    </xf>
    <xf numFmtId="171" fontId="45" fillId="0" borderId="0" xfId="0" applyNumberFormat="1" applyFont="1" applyFill="1" applyBorder="1" applyProtection="1">
      <protection locked="0"/>
    </xf>
    <xf numFmtId="43" fontId="195" fillId="0" borderId="0" xfId="5" applyFont="1"/>
    <xf numFmtId="44" fontId="38" fillId="15" borderId="7" xfId="34386" applyFont="1" applyFill="1" applyBorder="1"/>
    <xf numFmtId="0" fontId="22" fillId="0" borderId="27" xfId="1" applyFont="1" applyBorder="1" applyAlignment="1">
      <alignment horizontal="right" indent="1"/>
    </xf>
    <xf numFmtId="0" fontId="22" fillId="13" borderId="16" xfId="1" applyFont="1" applyFill="1" applyBorder="1"/>
    <xf numFmtId="0" fontId="22" fillId="13" borderId="7" xfId="1" applyFont="1" applyFill="1" applyBorder="1"/>
    <xf numFmtId="0" fontId="22" fillId="13" borderId="22" xfId="1" applyFont="1" applyFill="1" applyBorder="1"/>
    <xf numFmtId="0" fontId="22" fillId="13" borderId="8" xfId="1" applyFont="1" applyFill="1" applyBorder="1"/>
    <xf numFmtId="169" fontId="161" fillId="0" borderId="0" xfId="0" applyNumberFormat="1" applyFont="1" applyAlignment="1">
      <alignment horizontal="center"/>
    </xf>
    <xf numFmtId="169" fontId="14" fillId="0" borderId="0" xfId="0" applyNumberFormat="1" applyFont="1" applyAlignment="1">
      <alignment horizontal="center"/>
    </xf>
    <xf numFmtId="169" fontId="14" fillId="4" borderId="0" xfId="0" applyNumberFormat="1" applyFont="1" applyFill="1" applyAlignment="1">
      <alignment horizontal="center"/>
    </xf>
    <xf numFmtId="169" fontId="15" fillId="0" borderId="0" xfId="0" applyNumberFormat="1" applyFont="1" applyAlignment="1">
      <alignment horizontal="center"/>
    </xf>
    <xf numFmtId="0" fontId="28" fillId="0" borderId="0" xfId="0" applyFont="1" applyAlignment="1">
      <alignment vertical="center"/>
    </xf>
    <xf numFmtId="169" fontId="28" fillId="0" borderId="0" xfId="0" applyNumberFormat="1" applyFont="1" applyAlignment="1">
      <alignment horizontal="center" vertical="center"/>
    </xf>
    <xf numFmtId="0" fontId="15" fillId="0" borderId="9" xfId="0" applyFont="1" applyBorder="1" applyAlignment="1">
      <alignment vertical="center"/>
    </xf>
    <xf numFmtId="3" fontId="28" fillId="0" borderId="9" xfId="0" applyNumberFormat="1" applyFont="1" applyBorder="1" applyAlignment="1">
      <alignment horizontal="right" vertical="center"/>
    </xf>
    <xf numFmtId="3" fontId="28" fillId="0" borderId="0" xfId="0" applyNumberFormat="1" applyFont="1" applyAlignment="1">
      <alignment horizontal="right" vertical="center"/>
    </xf>
    <xf numFmtId="0" fontId="15" fillId="0" borderId="87" xfId="0" applyFont="1" applyBorder="1" applyAlignment="1">
      <alignment vertical="center"/>
    </xf>
    <xf numFmtId="3" fontId="28" fillId="6" borderId="87" xfId="0" applyNumberFormat="1" applyFont="1" applyFill="1" applyBorder="1" applyAlignment="1">
      <alignment horizontal="right" vertical="center"/>
    </xf>
    <xf numFmtId="171" fontId="15" fillId="0" borderId="0" xfId="0" applyNumberFormat="1" applyFont="1" applyProtection="1">
      <protection locked="0"/>
    </xf>
    <xf numFmtId="0" fontId="14" fillId="0" borderId="32" xfId="0" applyFont="1" applyBorder="1"/>
    <xf numFmtId="3" fontId="29" fillId="0" borderId="0" xfId="8" applyFont="1" applyFill="1" applyBorder="1" applyAlignment="1">
      <alignment horizontal="left"/>
      <protection locked="0"/>
    </xf>
    <xf numFmtId="170" fontId="15" fillId="0" borderId="0" xfId="8" applyNumberFormat="1" applyFont="1" applyFill="1" applyBorder="1">
      <alignment horizontal="right"/>
      <protection locked="0"/>
    </xf>
    <xf numFmtId="3" fontId="15" fillId="0" borderId="0" xfId="8" applyFont="1" applyFill="1" applyBorder="1">
      <alignment horizontal="right"/>
      <protection locked="0"/>
    </xf>
    <xf numFmtId="0" fontId="30" fillId="0" borderId="0" xfId="0" applyFont="1" applyProtection="1">
      <protection locked="0"/>
    </xf>
    <xf numFmtId="3" fontId="15" fillId="0" borderId="0" xfId="8" applyNumberFormat="1" applyFont="1" applyFill="1" applyBorder="1">
      <alignment horizontal="right"/>
      <protection locked="0"/>
    </xf>
    <xf numFmtId="0" fontId="15" fillId="2" borderId="9" xfId="0" applyFont="1" applyFill="1" applyBorder="1" applyAlignment="1">
      <alignment vertical="center"/>
    </xf>
    <xf numFmtId="0" fontId="28" fillId="0" borderId="5" xfId="0" applyFont="1" applyBorder="1" applyAlignment="1">
      <alignment vertical="center"/>
    </xf>
    <xf numFmtId="0" fontId="40" fillId="0" borderId="0" xfId="0" applyFont="1"/>
    <xf numFmtId="0" fontId="14" fillId="0" borderId="87" xfId="0" applyFont="1" applyBorder="1"/>
    <xf numFmtId="0" fontId="28" fillId="0" borderId="87" xfId="17" applyFont="1" applyBorder="1" applyAlignment="1">
      <alignment horizontal="right"/>
    </xf>
    <xf numFmtId="0" fontId="14" fillId="0" borderId="16" xfId="0" applyFont="1" applyBorder="1"/>
    <xf numFmtId="1" fontId="28" fillId="0" borderId="16" xfId="17" applyNumberFormat="1" applyFont="1" applyBorder="1" applyAlignment="1">
      <alignment horizontal="right"/>
    </xf>
    <xf numFmtId="1" fontId="28" fillId="0" borderId="10" xfId="17" applyNumberFormat="1" applyFont="1" applyBorder="1" applyAlignment="1">
      <alignment horizontal="right"/>
    </xf>
    <xf numFmtId="0" fontId="36" fillId="0" borderId="16" xfId="0" applyFont="1" applyBorder="1"/>
    <xf numFmtId="169" fontId="14" fillId="0" borderId="16" xfId="0" applyNumberFormat="1" applyFont="1" applyBorder="1" applyAlignment="1">
      <alignment horizontal="center"/>
    </xf>
    <xf numFmtId="0" fontId="28" fillId="0" borderId="16" xfId="0" applyFont="1" applyBorder="1" applyAlignment="1">
      <alignment wrapText="1"/>
    </xf>
    <xf numFmtId="0" fontId="28" fillId="0" borderId="16" xfId="0" applyFont="1" applyBorder="1"/>
    <xf numFmtId="49" fontId="15" fillId="0" borderId="16" xfId="0" applyNumberFormat="1" applyFont="1" applyBorder="1" applyAlignment="1">
      <alignment horizontal="left" indent="1"/>
    </xf>
    <xf numFmtId="0" fontId="28" fillId="0" borderId="10" xfId="0" applyFont="1" applyBorder="1"/>
    <xf numFmtId="0" fontId="15" fillId="0" borderId="0" xfId="0" applyFont="1"/>
    <xf numFmtId="0" fontId="28" fillId="0" borderId="87" xfId="0" applyFont="1" applyBorder="1"/>
    <xf numFmtId="0" fontId="15" fillId="0" borderId="16" xfId="0" applyFont="1" applyBorder="1"/>
    <xf numFmtId="0" fontId="15" fillId="0" borderId="10" xfId="0" applyFont="1" applyBorder="1"/>
    <xf numFmtId="169" fontId="14" fillId="0" borderId="0" xfId="0" quotePrefix="1" applyNumberFormat="1" applyFont="1" applyAlignment="1">
      <alignment horizontal="center"/>
    </xf>
    <xf numFmtId="0" fontId="35" fillId="0" borderId="13" xfId="1" applyFont="1" applyBorder="1" applyAlignment="1">
      <alignment horizontal="right"/>
    </xf>
    <xf numFmtId="202" fontId="38" fillId="15" borderId="14" xfId="34386" applyNumberFormat="1" applyFont="1" applyFill="1" applyBorder="1"/>
    <xf numFmtId="166" fontId="38" fillId="0" borderId="40" xfId="3" applyNumberFormat="1" applyFont="1" applyFill="1" applyBorder="1"/>
    <xf numFmtId="0" fontId="22" fillId="13" borderId="0" xfId="1" applyFont="1" applyFill="1" applyBorder="1"/>
    <xf numFmtId="0" fontId="22" fillId="13" borderId="40" xfId="1" applyFont="1" applyFill="1" applyBorder="1"/>
    <xf numFmtId="166" fontId="35" fillId="4" borderId="42" xfId="3" applyNumberFormat="1" applyFont="1" applyFill="1" applyBorder="1"/>
    <xf numFmtId="0" fontId="190" fillId="0" borderId="0" xfId="0" quotePrefix="1" applyFont="1" applyFill="1" applyAlignment="1">
      <alignment horizontal="left" vertical="center" wrapText="1" indent="4"/>
    </xf>
    <xf numFmtId="216" fontId="14" fillId="0" borderId="87" xfId="6" applyNumberFormat="1" applyFont="1" applyBorder="1" applyAlignment="1" applyProtection="1">
      <alignment horizontal="right"/>
    </xf>
    <xf numFmtId="10" fontId="0" fillId="0" borderId="0" xfId="6" applyNumberFormat="1" applyFont="1" applyFill="1"/>
    <xf numFmtId="202" fontId="38" fillId="15" borderId="88" xfId="34386" applyNumberFormat="1" applyFont="1" applyFill="1" applyBorder="1"/>
    <xf numFmtId="202" fontId="49" fillId="13" borderId="49" xfId="34386" applyNumberFormat="1" applyFont="1" applyFill="1" applyBorder="1"/>
    <xf numFmtId="202" fontId="49" fillId="13" borderId="14" xfId="34386" applyNumberFormat="1" applyFont="1" applyFill="1" applyBorder="1"/>
    <xf numFmtId="202" fontId="49" fillId="13" borderId="15" xfId="34386" applyNumberFormat="1" applyFont="1" applyFill="1" applyBorder="1"/>
    <xf numFmtId="0" fontId="12" fillId="0" borderId="0" xfId="1" applyFont="1" applyFill="1"/>
    <xf numFmtId="202" fontId="49" fillId="13" borderId="23" xfId="34386" applyNumberFormat="1" applyFont="1" applyFill="1" applyBorder="1"/>
    <xf numFmtId="202" fontId="49" fillId="13" borderId="21" xfId="34386" applyNumberFormat="1" applyFont="1" applyFill="1" applyBorder="1"/>
    <xf numFmtId="169" fontId="48" fillId="0" borderId="0" xfId="0" applyNumberFormat="1" applyFont="1" applyAlignment="1">
      <alignment horizontal="center"/>
    </xf>
    <xf numFmtId="3" fontId="28" fillId="0" borderId="87" xfId="0" applyNumberFormat="1" applyFont="1" applyBorder="1" applyAlignment="1">
      <alignment horizontal="right" vertical="center"/>
    </xf>
    <xf numFmtId="170" fontId="15" fillId="0" borderId="0" xfId="8" applyNumberFormat="1" applyFont="1" applyFill="1" applyBorder="1" applyAlignment="1">
      <alignment horizontal="left"/>
      <protection locked="0"/>
    </xf>
    <xf numFmtId="0" fontId="36" fillId="0" borderId="16" xfId="0" applyFont="1" applyBorder="1" applyAlignment="1">
      <alignment wrapText="1"/>
    </xf>
    <xf numFmtId="0" fontId="15" fillId="0" borderId="16" xfId="0" applyFont="1" applyBorder="1" applyAlignment="1">
      <alignment wrapText="1"/>
    </xf>
    <xf numFmtId="49" fontId="39" fillId="0" borderId="16" xfId="0" applyNumberFormat="1" applyFont="1" applyBorder="1" applyAlignment="1">
      <alignment horizontal="left" indent="2"/>
    </xf>
    <xf numFmtId="49" fontId="15" fillId="0" borderId="16" xfId="0" applyNumberFormat="1" applyFont="1" applyBorder="1"/>
    <xf numFmtId="0" fontId="49" fillId="0" borderId="0" xfId="42387" applyFont="1"/>
    <xf numFmtId="0" fontId="34" fillId="0" borderId="0" xfId="42387" applyFont="1"/>
    <xf numFmtId="0" fontId="14" fillId="0" borderId="0" xfId="42387" applyFont="1"/>
    <xf numFmtId="0" fontId="218" fillId="119" borderId="181" xfId="42387" applyFont="1" applyFill="1" applyBorder="1" applyAlignment="1">
      <alignment vertical="center"/>
    </xf>
    <xf numFmtId="0" fontId="218" fillId="120" borderId="0" xfId="42387" applyFont="1" applyFill="1" applyAlignment="1">
      <alignment vertical="center"/>
    </xf>
    <xf numFmtId="0" fontId="196" fillId="103" borderId="182" xfId="42387" applyFont="1" applyFill="1" applyBorder="1" applyAlignment="1">
      <alignment vertical="center"/>
    </xf>
    <xf numFmtId="0" fontId="196" fillId="6" borderId="183" xfId="42387" applyFont="1" applyFill="1" applyBorder="1" applyAlignment="1">
      <alignment vertical="center" wrapText="1"/>
    </xf>
    <xf numFmtId="0" fontId="197" fillId="103" borderId="182" xfId="42387" applyFont="1" applyFill="1" applyBorder="1" applyAlignment="1">
      <alignment vertical="center"/>
    </xf>
    <xf numFmtId="0" fontId="196" fillId="0" borderId="0" xfId="42387" applyFont="1"/>
    <xf numFmtId="0" fontId="196" fillId="6" borderId="0" xfId="42387" applyFont="1" applyFill="1" applyAlignment="1">
      <alignment vertical="center" wrapText="1"/>
    </xf>
    <xf numFmtId="0" fontId="218" fillId="119" borderId="0" xfId="42387" applyFont="1" applyFill="1" applyAlignment="1">
      <alignment vertical="center"/>
    </xf>
    <xf numFmtId="9" fontId="14" fillId="0" borderId="182" xfId="42388" applyFont="1" applyBorder="1"/>
    <xf numFmtId="0" fontId="12" fillId="0" borderId="182" xfId="42387" applyFont="1" applyBorder="1"/>
    <xf numFmtId="0" fontId="14" fillId="0" borderId="182" xfId="42387" applyFont="1" applyBorder="1"/>
    <xf numFmtId="0" fontId="34" fillId="0" borderId="182" xfId="42387" applyFont="1" applyBorder="1"/>
    <xf numFmtId="0" fontId="218" fillId="119" borderId="0" xfId="42387" applyFont="1" applyFill="1" applyAlignment="1">
      <alignment horizontal="center" vertical="center"/>
    </xf>
    <xf numFmtId="0" fontId="218" fillId="119" borderId="0" xfId="42387" applyFont="1" applyFill="1" applyAlignment="1">
      <alignment horizontal="left" vertical="center"/>
    </xf>
    <xf numFmtId="0" fontId="218" fillId="119" borderId="181" xfId="42387" applyFont="1" applyFill="1" applyBorder="1" applyAlignment="1">
      <alignment horizontal="center" vertical="center"/>
    </xf>
    <xf numFmtId="0" fontId="219" fillId="121" borderId="182" xfId="42387" applyFont="1" applyFill="1" applyBorder="1" applyAlignment="1">
      <alignment vertical="center"/>
    </xf>
    <xf numFmtId="176" fontId="219" fillId="122" borderId="182" xfId="42387" applyNumberFormat="1" applyFont="1" applyFill="1" applyBorder="1" applyAlignment="1">
      <alignment horizontal="right" vertical="center" wrapText="1"/>
    </xf>
    <xf numFmtId="0" fontId="219" fillId="121" borderId="181" xfId="42387" applyFont="1" applyFill="1" applyBorder="1" applyAlignment="1">
      <alignment vertical="center" wrapText="1"/>
    </xf>
    <xf numFmtId="176" fontId="219" fillId="122" borderId="181" xfId="42387" applyNumberFormat="1" applyFont="1" applyFill="1" applyBorder="1" applyAlignment="1">
      <alignment horizontal="right" vertical="center" wrapText="1"/>
    </xf>
    <xf numFmtId="0" fontId="190" fillId="121" borderId="0" xfId="42387" quotePrefix="1" applyFont="1" applyFill="1" applyAlignment="1">
      <alignment horizontal="left" vertical="center" wrapText="1" indent="4"/>
    </xf>
    <xf numFmtId="176" fontId="220" fillId="122" borderId="0" xfId="42387" applyNumberFormat="1" applyFont="1" applyFill="1" applyAlignment="1">
      <alignment horizontal="right" wrapText="1"/>
    </xf>
    <xf numFmtId="0" fontId="190" fillId="121" borderId="0" xfId="42387" applyFont="1" applyFill="1" applyAlignment="1">
      <alignment horizontal="left" vertical="center" wrapText="1" indent="6"/>
    </xf>
    <xf numFmtId="239" fontId="221" fillId="122" borderId="0" xfId="42387" applyNumberFormat="1" applyFont="1" applyFill="1" applyAlignment="1">
      <alignment horizontal="right" vertical="center" wrapText="1"/>
    </xf>
    <xf numFmtId="240" fontId="221" fillId="122" borderId="0" xfId="42387" applyNumberFormat="1" applyFont="1" applyFill="1" applyAlignment="1">
      <alignment horizontal="right" vertical="center" wrapText="1"/>
    </xf>
    <xf numFmtId="0" fontId="222" fillId="121" borderId="0" xfId="42387" applyFont="1" applyFill="1" applyAlignment="1">
      <alignment vertical="center" wrapText="1"/>
    </xf>
    <xf numFmtId="0" fontId="220" fillId="122" borderId="0" xfId="42387" applyFont="1" applyFill="1" applyAlignment="1">
      <alignment horizontal="right" vertical="center" wrapText="1"/>
    </xf>
    <xf numFmtId="0" fontId="220" fillId="121" borderId="0" xfId="42387" applyFont="1" applyFill="1" applyAlignment="1">
      <alignment vertical="center" wrapText="1"/>
    </xf>
    <xf numFmtId="216" fontId="220" fillId="122" borderId="0" xfId="42387" applyNumberFormat="1" applyFont="1" applyFill="1" applyAlignment="1">
      <alignment horizontal="right" vertical="center" wrapText="1"/>
    </xf>
    <xf numFmtId="176" fontId="220" fillId="122" borderId="181" xfId="42387" applyNumberFormat="1" applyFont="1" applyFill="1" applyBorder="1" applyAlignment="1">
      <alignment horizontal="right" wrapText="1"/>
    </xf>
    <xf numFmtId="0" fontId="219" fillId="121" borderId="182" xfId="42387" applyFont="1" applyFill="1" applyBorder="1" applyAlignment="1">
      <alignment vertical="center" wrapText="1"/>
    </xf>
    <xf numFmtId="239" fontId="219" fillId="122" borderId="182" xfId="42387" applyNumberFormat="1" applyFont="1" applyFill="1" applyBorder="1" applyAlignment="1">
      <alignment vertical="center" wrapText="1"/>
    </xf>
    <xf numFmtId="0" fontId="218" fillId="120" borderId="0" xfId="42387" applyFont="1" applyFill="1" applyAlignment="1">
      <alignment horizontal="center" vertical="center"/>
    </xf>
    <xf numFmtId="0" fontId="218" fillId="120" borderId="0" xfId="42387" applyFont="1" applyFill="1" applyAlignment="1">
      <alignment horizontal="left" vertical="center"/>
    </xf>
    <xf numFmtId="0" fontId="218" fillId="120" borderId="181" xfId="42387" applyFont="1" applyFill="1" applyBorder="1" applyAlignment="1">
      <alignment vertical="center"/>
    </xf>
    <xf numFmtId="0" fontId="218" fillId="120" borderId="181" xfId="42387" applyFont="1" applyFill="1" applyBorder="1" applyAlignment="1">
      <alignment horizontal="center" vertical="center"/>
    </xf>
    <xf numFmtId="0" fontId="219" fillId="123" borderId="182" xfId="42387" applyFont="1" applyFill="1" applyBorder="1" applyAlignment="1">
      <alignment vertical="center"/>
    </xf>
    <xf numFmtId="176" fontId="197" fillId="6" borderId="182" xfId="42387" applyNumberFormat="1" applyFont="1" applyFill="1" applyBorder="1" applyAlignment="1">
      <alignment horizontal="right" vertical="center" wrapText="1"/>
    </xf>
    <xf numFmtId="0" fontId="219" fillId="123" borderId="181" xfId="42387" applyFont="1" applyFill="1" applyBorder="1" applyAlignment="1">
      <alignment vertical="center" wrapText="1"/>
    </xf>
    <xf numFmtId="176" fontId="197" fillId="6" borderId="181" xfId="42387" applyNumberFormat="1" applyFont="1" applyFill="1" applyBorder="1" applyAlignment="1">
      <alignment horizontal="right" vertical="center" wrapText="1"/>
    </xf>
    <xf numFmtId="0" fontId="190" fillId="123" borderId="0" xfId="42387" quotePrefix="1" applyFont="1" applyFill="1" applyAlignment="1">
      <alignment horizontal="left" vertical="center" wrapText="1" indent="4"/>
    </xf>
    <xf numFmtId="176" fontId="196" fillId="6" borderId="0" xfId="42387" applyNumberFormat="1" applyFont="1" applyFill="1" applyAlignment="1">
      <alignment horizontal="right" wrapText="1"/>
    </xf>
    <xf numFmtId="0" fontId="219" fillId="123" borderId="182" xfId="42387" applyFont="1" applyFill="1" applyBorder="1" applyAlignment="1">
      <alignment vertical="center" wrapText="1"/>
    </xf>
    <xf numFmtId="0" fontId="222" fillId="123" borderId="0" xfId="42387" applyFont="1" applyFill="1" applyAlignment="1">
      <alignment vertical="center" wrapText="1"/>
    </xf>
    <xf numFmtId="0" fontId="220" fillId="85" borderId="0" xfId="42387" applyFont="1" applyFill="1" applyAlignment="1">
      <alignment horizontal="right" vertical="center" wrapText="1"/>
    </xf>
    <xf numFmtId="0" fontId="220" fillId="123" borderId="0" xfId="42387" applyFont="1" applyFill="1" applyAlignment="1">
      <alignment vertical="center" wrapText="1"/>
    </xf>
    <xf numFmtId="216" fontId="220" fillId="6" borderId="0" xfId="42387" applyNumberFormat="1" applyFont="1" applyFill="1" applyAlignment="1">
      <alignment horizontal="right" vertical="center" wrapText="1"/>
    </xf>
    <xf numFmtId="176" fontId="196" fillId="6" borderId="181" xfId="42387" applyNumberFormat="1" applyFont="1" applyFill="1" applyBorder="1" applyAlignment="1">
      <alignment horizontal="right" wrapText="1"/>
    </xf>
    <xf numFmtId="0" fontId="218" fillId="120" borderId="0" xfId="42387" applyFont="1" applyFill="1" applyAlignment="1">
      <alignment horizontal="center" vertical="center" wrapText="1"/>
    </xf>
    <xf numFmtId="0" fontId="218" fillId="120" borderId="0" xfId="42387" applyFont="1" applyFill="1" applyAlignment="1">
      <alignment vertical="center" wrapText="1"/>
    </xf>
    <xf numFmtId="0" fontId="22" fillId="123" borderId="181" xfId="42387" applyFont="1" applyFill="1" applyBorder="1" applyAlignment="1">
      <alignment horizontal="center" vertical="center"/>
    </xf>
    <xf numFmtId="6" fontId="196" fillId="85" borderId="181" xfId="42387" applyNumberFormat="1" applyFont="1" applyFill="1" applyBorder="1" applyAlignment="1">
      <alignment horizontal="right" vertical="center"/>
    </xf>
    <xf numFmtId="0" fontId="12" fillId="123" borderId="182" xfId="42387" applyFont="1" applyFill="1" applyBorder="1" applyAlignment="1">
      <alignment horizontal="center" vertical="center"/>
    </xf>
    <xf numFmtId="0" fontId="49" fillId="123" borderId="182" xfId="42387" applyFont="1" applyFill="1" applyBorder="1" applyAlignment="1">
      <alignment horizontal="center" vertical="center"/>
    </xf>
    <xf numFmtId="6" fontId="197" fillId="85" borderId="181" xfId="42387" applyNumberFormat="1" applyFont="1" applyFill="1" applyBorder="1" applyAlignment="1">
      <alignment horizontal="right" vertical="center"/>
    </xf>
    <xf numFmtId="0" fontId="218" fillId="120" borderId="0" xfId="42387" applyFont="1" applyFill="1" applyAlignment="1">
      <alignment horizontal="left" vertical="top" wrapText="1"/>
    </xf>
    <xf numFmtId="216" fontId="14" fillId="0" borderId="182" xfId="42388" applyNumberFormat="1" applyFont="1" applyBorder="1"/>
    <xf numFmtId="0" fontId="196" fillId="123" borderId="181" xfId="42387" applyFont="1" applyFill="1" applyBorder="1" applyAlignment="1">
      <alignment horizontal="center" vertical="center" wrapText="1"/>
    </xf>
    <xf numFmtId="10" fontId="196" fillId="6" borderId="181" xfId="42387" applyNumberFormat="1" applyFont="1" applyFill="1" applyBorder="1" applyAlignment="1">
      <alignment horizontal="center" vertical="center" wrapText="1"/>
    </xf>
    <xf numFmtId="216" fontId="196" fillId="6" borderId="181" xfId="42387" applyNumberFormat="1" applyFont="1" applyFill="1" applyBorder="1" applyAlignment="1">
      <alignment horizontal="center" vertical="center" wrapText="1"/>
    </xf>
    <xf numFmtId="0" fontId="196" fillId="123" borderId="182" xfId="42387" applyFont="1" applyFill="1" applyBorder="1" applyAlignment="1">
      <alignment horizontal="center" vertical="center" wrapText="1"/>
    </xf>
    <xf numFmtId="216" fontId="15" fillId="0" borderId="182" xfId="42388" applyNumberFormat="1" applyFont="1" applyBorder="1"/>
    <xf numFmtId="216" fontId="34" fillId="0" borderId="182" xfId="42388" applyNumberFormat="1" applyFont="1" applyBorder="1"/>
    <xf numFmtId="0" fontId="196" fillId="0" borderId="0" xfId="42387" applyFont="1" applyAlignment="1">
      <alignment vertical="center"/>
    </xf>
    <xf numFmtId="0" fontId="14" fillId="6" borderId="0" xfId="42387" applyFont="1" applyFill="1"/>
    <xf numFmtId="0" fontId="196" fillId="123" borderId="181" xfId="42387" applyFont="1" applyFill="1" applyBorder="1" applyAlignment="1">
      <alignment vertical="center" wrapText="1"/>
    </xf>
    <xf numFmtId="41" fontId="196" fillId="6" borderId="181" xfId="42389" applyNumberFormat="1" applyFont="1" applyFill="1" applyBorder="1" applyAlignment="1">
      <alignment horizontal="center" vertical="center" wrapText="1"/>
    </xf>
    <xf numFmtId="168" fontId="196" fillId="123" borderId="181" xfId="42390" applyNumberFormat="1" applyFont="1" applyFill="1" applyBorder="1" applyAlignment="1">
      <alignment vertical="center" wrapText="1"/>
    </xf>
    <xf numFmtId="0" fontId="196" fillId="123" borderId="182" xfId="42387" applyFont="1" applyFill="1" applyBorder="1" applyAlignment="1">
      <alignment vertical="center" wrapText="1"/>
    </xf>
    <xf numFmtId="0" fontId="197" fillId="123" borderId="182" xfId="42387" applyFont="1" applyFill="1" applyBorder="1" applyAlignment="1">
      <alignment vertical="center" wrapText="1"/>
    </xf>
    <xf numFmtId="0" fontId="196" fillId="6" borderId="0" xfId="42387" applyFont="1" applyFill="1" applyAlignment="1">
      <alignment vertical="top"/>
    </xf>
    <xf numFmtId="0" fontId="196" fillId="6" borderId="0" xfId="42387" applyFont="1" applyFill="1"/>
    <xf numFmtId="0" fontId="223" fillId="6" borderId="0" xfId="42387" applyFont="1" applyFill="1" applyAlignment="1">
      <alignment horizontal="center"/>
    </xf>
    <xf numFmtId="0" fontId="193" fillId="6" borderId="0" xfId="42387" applyFont="1" applyFill="1" applyAlignment="1">
      <alignment horizontal="left"/>
    </xf>
    <xf numFmtId="0" fontId="218" fillId="105" borderId="0" xfId="42387" applyFont="1" applyFill="1" applyAlignment="1">
      <alignment vertical="center" wrapText="1"/>
    </xf>
    <xf numFmtId="0" fontId="196" fillId="6" borderId="186" xfId="42387" applyFont="1" applyFill="1" applyBorder="1" applyAlignment="1">
      <alignment vertical="center"/>
    </xf>
    <xf numFmtId="175" fontId="196" fillId="6" borderId="186" xfId="42388" applyNumberFormat="1" applyFont="1" applyFill="1" applyBorder="1" applyAlignment="1">
      <alignment horizontal="center" vertical="center"/>
    </xf>
    <xf numFmtId="0" fontId="193" fillId="106" borderId="187" xfId="42391" applyFont="1" applyFill="1" applyBorder="1" applyAlignment="1">
      <alignment horizontal="center" vertical="center"/>
    </xf>
    <xf numFmtId="0" fontId="196" fillId="6" borderId="0" xfId="42392" applyFont="1" applyFill="1"/>
    <xf numFmtId="0" fontId="196" fillId="0" borderId="0" xfId="42392" applyFont="1"/>
    <xf numFmtId="0" fontId="196" fillId="6" borderId="0" xfId="42392" applyFont="1" applyFill="1" applyAlignment="1">
      <alignment wrapText="1"/>
    </xf>
    <xf numFmtId="10" fontId="196" fillId="6" borderId="0" xfId="42393" applyNumberFormat="1" applyFont="1" applyFill="1" applyAlignment="1">
      <alignment wrapText="1"/>
    </xf>
    <xf numFmtId="0" fontId="218" fillId="119" borderId="0" xfId="42392" applyFont="1" applyFill="1" applyAlignment="1">
      <alignment horizontal="center" vertical="center" wrapText="1"/>
    </xf>
    <xf numFmtId="0" fontId="218" fillId="119" borderId="0" xfId="42392" applyFont="1" applyFill="1" applyAlignment="1">
      <alignment horizontal="center" vertical="center"/>
    </xf>
    <xf numFmtId="0" fontId="218" fillId="124" borderId="0" xfId="42392" applyFont="1" applyFill="1" applyAlignment="1">
      <alignment horizontal="center" vertical="center" wrapText="1"/>
    </xf>
    <xf numFmtId="0" fontId="197" fillId="0" borderId="0" xfId="42392" applyFont="1" applyAlignment="1">
      <alignment wrapText="1"/>
    </xf>
    <xf numFmtId="0" fontId="193" fillId="6" borderId="0" xfId="42391" applyFont="1" applyFill="1" applyAlignment="1">
      <alignment horizontal="center" vertical="center"/>
    </xf>
    <xf numFmtId="0" fontId="196" fillId="6" borderId="189" xfId="42392" applyFont="1" applyFill="1" applyBorder="1" applyAlignment="1">
      <alignment horizontal="left" vertical="center" wrapText="1"/>
    </xf>
    <xf numFmtId="169" fontId="196" fillId="6" borderId="189" xfId="42392" applyNumberFormat="1" applyFont="1" applyFill="1" applyBorder="1" applyAlignment="1">
      <alignment vertical="center"/>
    </xf>
    <xf numFmtId="169" fontId="196" fillId="6" borderId="189" xfId="42392" applyNumberFormat="1" applyFont="1" applyFill="1" applyBorder="1" applyAlignment="1">
      <alignment horizontal="right" vertical="center"/>
    </xf>
    <xf numFmtId="175" fontId="196" fillId="6" borderId="189" xfId="42393" applyNumberFormat="1" applyFont="1" applyFill="1" applyBorder="1" applyAlignment="1">
      <alignment vertical="center"/>
    </xf>
    <xf numFmtId="169" fontId="196" fillId="6" borderId="0" xfId="42392" applyNumberFormat="1" applyFont="1" applyFill="1" applyAlignment="1">
      <alignment vertical="center"/>
    </xf>
    <xf numFmtId="3" fontId="196" fillId="6" borderId="189" xfId="42392" applyNumberFormat="1" applyFont="1" applyFill="1" applyBorder="1" applyAlignment="1">
      <alignment vertical="center"/>
    </xf>
    <xf numFmtId="214" fontId="196" fillId="6" borderId="189" xfId="42392" applyNumberFormat="1" applyFont="1" applyFill="1" applyBorder="1" applyAlignment="1">
      <alignment vertical="center"/>
    </xf>
    <xf numFmtId="0" fontId="196" fillId="6" borderId="189" xfId="42392" applyFont="1" applyFill="1" applyBorder="1" applyAlignment="1">
      <alignment horizontal="left" vertical="center"/>
    </xf>
    <xf numFmtId="0" fontId="197" fillId="0" borderId="0" xfId="42387" applyFont="1"/>
    <xf numFmtId="0" fontId="225" fillId="0" borderId="0" xfId="42387" applyFont="1" applyAlignment="1">
      <alignment horizontal="center"/>
    </xf>
    <xf numFmtId="0" fontId="78" fillId="6" borderId="0" xfId="42387" applyFont="1" applyFill="1" applyAlignment="1">
      <alignment vertical="center" wrapText="1"/>
    </xf>
    <xf numFmtId="0" fontId="196" fillId="6" borderId="182" xfId="42387" applyFont="1" applyFill="1" applyBorder="1" applyAlignment="1">
      <alignment horizontal="center" vertical="center" wrapText="1"/>
    </xf>
    <xf numFmtId="0" fontId="196" fillId="6" borderId="182" xfId="42387" applyFont="1" applyFill="1" applyBorder="1" applyAlignment="1">
      <alignment horizontal="left" vertical="center" wrapText="1"/>
    </xf>
    <xf numFmtId="8" fontId="196" fillId="6" borderId="182" xfId="42387" applyNumberFormat="1" applyFont="1" applyFill="1" applyBorder="1" applyAlignment="1">
      <alignment horizontal="center" vertical="center"/>
    </xf>
    <xf numFmtId="0" fontId="78" fillId="6" borderId="182" xfId="42387" applyFont="1" applyFill="1" applyBorder="1" applyAlignment="1">
      <alignment horizontal="left" vertical="center" wrapText="1"/>
    </xf>
    <xf numFmtId="43" fontId="196" fillId="6" borderId="0" xfId="42390" applyFont="1" applyFill="1" applyBorder="1"/>
    <xf numFmtId="240" fontId="196" fillId="6" borderId="183" xfId="42387" applyNumberFormat="1" applyFont="1" applyFill="1" applyBorder="1" applyAlignment="1">
      <alignment horizontal="center" vertical="center" wrapText="1"/>
    </xf>
    <xf numFmtId="0" fontId="196" fillId="6" borderId="182" xfId="42387" applyFont="1" applyFill="1" applyBorder="1" applyAlignment="1">
      <alignment vertical="center" wrapText="1"/>
    </xf>
    <xf numFmtId="0" fontId="78" fillId="6" borderId="182" xfId="42387" quotePrefix="1" applyFont="1" applyFill="1" applyBorder="1" applyAlignment="1">
      <alignment horizontal="left" vertical="center" wrapText="1"/>
    </xf>
    <xf numFmtId="0" fontId="18" fillId="6" borderId="0" xfId="42387" applyFont="1" applyFill="1" applyAlignment="1">
      <alignment vertical="center" wrapText="1"/>
    </xf>
    <xf numFmtId="0" fontId="226" fillId="6" borderId="0" xfId="42387" applyFont="1" applyFill="1" applyAlignment="1">
      <alignment horizontal="left" vertical="top" wrapText="1"/>
    </xf>
    <xf numFmtId="0" fontId="35" fillId="0" borderId="0" xfId="42387" applyFont="1"/>
    <xf numFmtId="0" fontId="49" fillId="0" borderId="0" xfId="23967" applyFont="1"/>
    <xf numFmtId="3" fontId="196" fillId="6" borderId="183" xfId="42387" applyNumberFormat="1" applyFont="1" applyFill="1" applyBorder="1" applyAlignment="1">
      <alignment vertical="center" wrapText="1"/>
    </xf>
    <xf numFmtId="3" fontId="197" fillId="6" borderId="183" xfId="42387" applyNumberFormat="1" applyFont="1" applyFill="1" applyBorder="1" applyAlignment="1">
      <alignment vertical="center" wrapText="1"/>
    </xf>
    <xf numFmtId="0" fontId="174" fillId="0" borderId="0" xfId="0" applyFont="1" applyProtection="1">
      <protection locked="0"/>
    </xf>
    <xf numFmtId="0" fontId="36" fillId="0" borderId="0" xfId="0" applyFont="1" applyProtection="1">
      <protection locked="0"/>
    </xf>
    <xf numFmtId="0" fontId="227" fillId="0" borderId="0" xfId="0" applyFont="1" applyProtection="1">
      <protection locked="0"/>
    </xf>
    <xf numFmtId="0" fontId="36" fillId="0" borderId="0" xfId="0" applyFont="1" applyAlignment="1" applyProtection="1">
      <alignment horizontal="center"/>
      <protection locked="0"/>
    </xf>
    <xf numFmtId="0" fontId="36" fillId="6" borderId="0" xfId="0" applyFont="1" applyFill="1" applyAlignment="1" applyProtection="1">
      <alignment horizontal="center"/>
      <protection locked="0"/>
    </xf>
    <xf numFmtId="0" fontId="17" fillId="125" borderId="0" xfId="0" applyFont="1" applyFill="1" applyAlignment="1">
      <alignment horizontal="center" vertical="center"/>
    </xf>
    <xf numFmtId="0" fontId="17" fillId="125" borderId="0" xfId="0" applyFont="1" applyFill="1" applyAlignment="1">
      <alignment horizontal="right" vertical="center"/>
    </xf>
    <xf numFmtId="0" fontId="174" fillId="0" borderId="0" xfId="0" applyFont="1" applyAlignment="1" applyProtection="1">
      <alignment horizontal="center"/>
      <protection locked="0"/>
    </xf>
    <xf numFmtId="0" fontId="17" fillId="125" borderId="18" xfId="0" applyFont="1" applyFill="1" applyBorder="1" applyAlignment="1">
      <alignment horizontal="right" vertical="center"/>
    </xf>
    <xf numFmtId="4" fontId="229" fillId="126" borderId="0" xfId="0" applyNumberFormat="1" applyFont="1" applyFill="1" applyAlignment="1" applyProtection="1">
      <alignment horizontal="left" vertical="top" wrapText="1"/>
      <protection locked="0"/>
    </xf>
    <xf numFmtId="4" fontId="229" fillId="126" borderId="0" xfId="0" applyNumberFormat="1" applyFont="1" applyFill="1" applyAlignment="1" applyProtection="1">
      <alignment horizontal="center" vertical="center" wrapText="1"/>
      <protection locked="0"/>
    </xf>
    <xf numFmtId="4" fontId="229" fillId="126" borderId="18" xfId="0" applyNumberFormat="1" applyFont="1" applyFill="1" applyBorder="1" applyAlignment="1" applyProtection="1">
      <alignment horizontal="center" vertical="center" wrapText="1"/>
      <protection locked="0"/>
    </xf>
    <xf numFmtId="0" fontId="230" fillId="0" borderId="0" xfId="0" applyFont="1" applyAlignment="1" applyProtection="1">
      <alignment horizontal="center"/>
      <protection locked="0"/>
    </xf>
    <xf numFmtId="0" fontId="230" fillId="0" borderId="190" xfId="0" applyFont="1" applyBorder="1" applyAlignment="1" applyProtection="1">
      <alignment horizontal="center" vertical="center"/>
      <protection locked="0"/>
    </xf>
    <xf numFmtId="216" fontId="36" fillId="0" borderId="190" xfId="31444" applyNumberFormat="1" applyFont="1" applyFill="1" applyBorder="1" applyAlignment="1" applyProtection="1">
      <alignment horizontal="right" vertical="center"/>
    </xf>
    <xf numFmtId="216" fontId="36" fillId="0" borderId="191" xfId="31444" applyNumberFormat="1" applyFont="1" applyFill="1" applyBorder="1" applyAlignment="1" applyProtection="1">
      <alignment horizontal="right" vertical="center"/>
    </xf>
    <xf numFmtId="216" fontId="36" fillId="0" borderId="192" xfId="31444" applyNumberFormat="1" applyFont="1" applyFill="1" applyBorder="1" applyAlignment="1" applyProtection="1">
      <alignment horizontal="right" vertical="center"/>
    </xf>
    <xf numFmtId="0" fontId="36" fillId="0" borderId="190" xfId="0" applyFont="1" applyBorder="1" applyAlignment="1" applyProtection="1">
      <alignment vertical="center"/>
      <protection locked="0"/>
    </xf>
    <xf numFmtId="0" fontId="36" fillId="0" borderId="193" xfId="0" applyFont="1" applyBorder="1" applyAlignment="1" applyProtection="1">
      <alignment horizontal="right" vertical="center"/>
      <protection locked="0"/>
    </xf>
    <xf numFmtId="216" fontId="36" fillId="0" borderId="193" xfId="31444" applyNumberFormat="1" applyFont="1" applyFill="1" applyBorder="1" applyAlignment="1" applyProtection="1">
      <alignment horizontal="right" vertical="center"/>
    </xf>
    <xf numFmtId="216" fontId="36" fillId="0" borderId="194" xfId="31444" applyNumberFormat="1" applyFont="1" applyFill="1" applyBorder="1" applyAlignment="1" applyProtection="1">
      <alignment horizontal="right" vertical="center"/>
    </xf>
    <xf numFmtId="216" fontId="36" fillId="0" borderId="195" xfId="31444" applyNumberFormat="1" applyFont="1" applyFill="1" applyBorder="1" applyAlignment="1" applyProtection="1">
      <alignment horizontal="right" vertical="center"/>
    </xf>
    <xf numFmtId="0" fontId="230" fillId="0" borderId="193" xfId="0" applyFont="1" applyBorder="1" applyAlignment="1" applyProtection="1">
      <alignment horizontal="right" vertical="center"/>
      <protection locked="0"/>
    </xf>
    <xf numFmtId="216" fontId="36" fillId="0" borderId="193" xfId="0" applyNumberFormat="1" applyFont="1" applyBorder="1" applyAlignment="1" applyProtection="1">
      <alignment horizontal="right" vertical="center"/>
      <protection locked="0"/>
    </xf>
    <xf numFmtId="0" fontId="36" fillId="0" borderId="194" xfId="0" applyFont="1" applyBorder="1" applyAlignment="1" applyProtection="1">
      <alignment horizontal="right" vertical="center"/>
      <protection locked="0"/>
    </xf>
    <xf numFmtId="0" fontId="36" fillId="0" borderId="195" xfId="0" applyFont="1" applyBorder="1" applyAlignment="1" applyProtection="1">
      <alignment horizontal="right" vertical="center"/>
      <protection locked="0"/>
    </xf>
    <xf numFmtId="169" fontId="36" fillId="0" borderId="193" xfId="0" applyNumberFormat="1" applyFont="1" applyBorder="1" applyAlignment="1" applyProtection="1">
      <alignment horizontal="right" vertical="center"/>
      <protection locked="0"/>
    </xf>
    <xf numFmtId="169" fontId="36" fillId="0" borderId="194" xfId="0" applyNumberFormat="1" applyFont="1" applyBorder="1" applyAlignment="1" applyProtection="1">
      <alignment horizontal="right" vertical="center"/>
      <protection locked="0"/>
    </xf>
    <xf numFmtId="169" fontId="36" fillId="0" borderId="195" xfId="0" applyNumberFormat="1" applyFont="1" applyBorder="1" applyAlignment="1" applyProtection="1">
      <alignment horizontal="right" vertical="center"/>
      <protection locked="0"/>
    </xf>
    <xf numFmtId="218" fontId="36" fillId="0" borderId="193" xfId="0" applyNumberFormat="1" applyFont="1" applyBorder="1" applyAlignment="1" applyProtection="1">
      <alignment horizontal="right" vertical="center"/>
      <protection locked="0"/>
    </xf>
    <xf numFmtId="0" fontId="36" fillId="0" borderId="196" xfId="0" applyFont="1" applyBorder="1" applyAlignment="1" applyProtection="1">
      <alignment horizontal="right" vertical="center"/>
      <protection locked="0"/>
    </xf>
    <xf numFmtId="218" fontId="36" fillId="0" borderId="196" xfId="0" applyNumberFormat="1" applyFont="1" applyBorder="1" applyAlignment="1" applyProtection="1">
      <alignment horizontal="right" vertical="center"/>
      <protection locked="0"/>
    </xf>
    <xf numFmtId="0" fontId="36" fillId="0" borderId="197" xfId="0" applyFont="1" applyBorder="1" applyAlignment="1" applyProtection="1">
      <alignment horizontal="right" vertical="center"/>
      <protection locked="0"/>
    </xf>
    <xf numFmtId="0" fontId="36" fillId="0" borderId="198" xfId="0" applyFont="1" applyBorder="1" applyAlignment="1" applyProtection="1">
      <alignment horizontal="right" vertical="center"/>
      <protection locked="0"/>
    </xf>
    <xf numFmtId="4" fontId="229" fillId="126" borderId="0" xfId="0" applyNumberFormat="1" applyFont="1" applyFill="1" applyAlignment="1" applyProtection="1">
      <alignment horizontal="right" vertical="center" wrapText="1"/>
      <protection locked="0"/>
    </xf>
    <xf numFmtId="4" fontId="229" fillId="126" borderId="18" xfId="0" applyNumberFormat="1" applyFont="1" applyFill="1" applyBorder="1" applyAlignment="1" applyProtection="1">
      <alignment horizontal="right" vertical="center" wrapText="1"/>
      <protection locked="0"/>
    </xf>
    <xf numFmtId="0" fontId="16" fillId="0" borderId="0" xfId="0" applyFont="1" applyAlignment="1" applyProtection="1">
      <alignment horizontal="center"/>
      <protection locked="0"/>
    </xf>
    <xf numFmtId="4" fontId="174" fillId="0" borderId="0" xfId="0" applyNumberFormat="1" applyFont="1" applyAlignment="1" applyProtection="1">
      <alignment horizontal="left" vertical="top" wrapText="1"/>
      <protection locked="0"/>
    </xf>
    <xf numFmtId="4" fontId="229" fillId="0" borderId="0" xfId="0" applyNumberFormat="1" applyFont="1" applyAlignment="1" applyProtection="1">
      <alignment horizontal="center" vertical="center" wrapText="1"/>
      <protection locked="0"/>
    </xf>
    <xf numFmtId="216" fontId="174" fillId="0" borderId="194" xfId="31444" applyNumberFormat="1" applyFont="1" applyFill="1" applyBorder="1" applyAlignment="1" applyProtection="1">
      <alignment horizontal="right" vertical="center"/>
    </xf>
    <xf numFmtId="216" fontId="174" fillId="0" borderId="195" xfId="31444" applyNumberFormat="1" applyFont="1" applyFill="1" applyBorder="1" applyAlignment="1" applyProtection="1">
      <alignment horizontal="right" vertical="center"/>
    </xf>
    <xf numFmtId="10" fontId="174" fillId="0" borderId="196" xfId="0" applyNumberFormat="1" applyFont="1" applyBorder="1" applyAlignment="1" applyProtection="1">
      <alignment horizontal="right" vertical="center"/>
      <protection locked="0"/>
    </xf>
    <xf numFmtId="213" fontId="174" fillId="0" borderId="196" xfId="0" applyNumberFormat="1" applyFont="1" applyBorder="1" applyAlignment="1" applyProtection="1">
      <alignment horizontal="right" vertical="center"/>
      <protection locked="0"/>
    </xf>
    <xf numFmtId="4" fontId="18" fillId="4" borderId="0" xfId="0" applyNumberFormat="1" applyFont="1" applyFill="1" applyAlignment="1" applyProtection="1">
      <alignment horizontal="left" vertical="top" wrapText="1"/>
      <protection locked="0"/>
    </xf>
    <xf numFmtId="0" fontId="231" fillId="4" borderId="0" xfId="0" applyFont="1" applyFill="1" applyAlignment="1" applyProtection="1">
      <alignment horizontal="center"/>
      <protection locked="0"/>
    </xf>
    <xf numFmtId="0" fontId="174" fillId="4" borderId="196" xfId="0" applyFont="1" applyFill="1" applyBorder="1" applyAlignment="1" applyProtection="1">
      <alignment horizontal="right" vertical="center"/>
      <protection locked="0"/>
    </xf>
    <xf numFmtId="216" fontId="174" fillId="4" borderId="196" xfId="0" applyNumberFormat="1" applyFont="1" applyFill="1" applyBorder="1" applyAlignment="1" applyProtection="1">
      <alignment horizontal="right" vertical="center"/>
      <protection locked="0"/>
    </xf>
    <xf numFmtId="216" fontId="36" fillId="4" borderId="193" xfId="31444" applyNumberFormat="1" applyFont="1" applyFill="1" applyBorder="1" applyAlignment="1" applyProtection="1">
      <alignment horizontal="right" vertical="center"/>
    </xf>
    <xf numFmtId="216" fontId="174" fillId="4" borderId="194" xfId="31444" applyNumberFormat="1" applyFont="1" applyFill="1" applyBorder="1" applyAlignment="1" applyProtection="1">
      <alignment horizontal="right" vertical="center"/>
    </xf>
    <xf numFmtId="0" fontId="18" fillId="0" borderId="0" xfId="0" applyFont="1" applyProtection="1">
      <protection locked="0"/>
    </xf>
    <xf numFmtId="0" fontId="174" fillId="0" borderId="0" xfId="0" applyFont="1" applyAlignment="1" applyProtection="1">
      <alignment horizontal="right"/>
      <protection locked="0"/>
    </xf>
    <xf numFmtId="216" fontId="36" fillId="0" borderId="0" xfId="31444" applyNumberFormat="1" applyFont="1" applyFill="1" applyBorder="1" applyAlignment="1" applyProtection="1">
      <alignment horizontal="right"/>
      <protection locked="0"/>
    </xf>
    <xf numFmtId="216" fontId="36" fillId="0" borderId="199" xfId="31444" applyNumberFormat="1" applyFont="1" applyFill="1" applyBorder="1" applyAlignment="1" applyProtection="1">
      <alignment horizontal="right" vertical="center"/>
      <protection locked="0"/>
    </xf>
    <xf numFmtId="216" fontId="36" fillId="0" borderId="200" xfId="31444" applyNumberFormat="1" applyFont="1" applyFill="1" applyBorder="1" applyAlignment="1" applyProtection="1">
      <alignment horizontal="right" vertical="center"/>
      <protection locked="0"/>
    </xf>
    <xf numFmtId="216" fontId="36" fillId="0" borderId="201" xfId="31444" applyNumberFormat="1" applyFont="1" applyFill="1" applyBorder="1" applyAlignment="1" applyProtection="1">
      <alignment horizontal="right" vertical="center"/>
      <protection locked="0"/>
    </xf>
    <xf numFmtId="216" fontId="36" fillId="4" borderId="193" xfId="6" applyNumberFormat="1" applyFont="1" applyFill="1" applyBorder="1" applyAlignment="1" applyProtection="1">
      <alignment horizontal="right" vertical="center"/>
    </xf>
    <xf numFmtId="165" fontId="36" fillId="4" borderId="195" xfId="31444" applyNumberFormat="1" applyFont="1" applyFill="1" applyBorder="1" applyAlignment="1" applyProtection="1">
      <alignment horizontal="right" vertical="center"/>
    </xf>
    <xf numFmtId="176" fontId="196" fillId="6" borderId="202" xfId="42387" applyNumberFormat="1" applyFont="1" applyFill="1" applyBorder="1" applyAlignment="1">
      <alignment horizontal="right" wrapText="1"/>
    </xf>
    <xf numFmtId="0" fontId="0" fillId="0" borderId="0" xfId="0" applyAlignment="1">
      <alignment horizontal="left" vertical="center" indent="1"/>
    </xf>
    <xf numFmtId="0" fontId="0" fillId="6" borderId="0" xfId="0" applyFill="1" applyAlignment="1">
      <alignment horizontal="left" vertical="center" indent="1"/>
    </xf>
    <xf numFmtId="0" fontId="0" fillId="0" borderId="0" xfId="0" applyFill="1" applyAlignment="1">
      <alignment horizontal="left" vertical="center" indent="1"/>
    </xf>
    <xf numFmtId="0" fontId="191" fillId="105" borderId="32" xfId="0" applyFont="1" applyFill="1" applyBorder="1" applyAlignment="1">
      <alignment horizontal="left" vertical="center" wrapText="1" indent="1"/>
    </xf>
    <xf numFmtId="0" fontId="191" fillId="105" borderId="17" xfId="0" applyFont="1" applyFill="1" applyBorder="1" applyAlignment="1">
      <alignment horizontal="left" vertical="center" wrapText="1" indent="1"/>
    </xf>
    <xf numFmtId="0" fontId="191" fillId="105" borderId="33" xfId="0" applyFont="1" applyFill="1" applyBorder="1" applyAlignment="1">
      <alignment horizontal="left" vertical="center" wrapText="1" indent="1"/>
    </xf>
    <xf numFmtId="0" fontId="192" fillId="102" borderId="11" xfId="41806" applyFont="1" applyFill="1" applyBorder="1" applyAlignment="1">
      <alignment horizontal="left" vertical="center" indent="1"/>
    </xf>
    <xf numFmtId="0" fontId="192" fillId="102" borderId="9" xfId="41806" applyFont="1" applyFill="1" applyBorder="1" applyAlignment="1">
      <alignment horizontal="left" vertical="center" indent="1"/>
    </xf>
    <xf numFmtId="0" fontId="193" fillId="106" borderId="10" xfId="41806" applyFont="1" applyFill="1" applyBorder="1" applyAlignment="1">
      <alignment horizontal="left" vertical="center" indent="1"/>
    </xf>
    <xf numFmtId="0" fontId="192" fillId="106" borderId="10" xfId="41806" applyFont="1" applyFill="1" applyBorder="1" applyAlignment="1">
      <alignment horizontal="left" vertical="center" wrapText="1" indent="1"/>
    </xf>
    <xf numFmtId="0" fontId="0" fillId="0" borderId="9" xfId="0" applyBorder="1" applyAlignment="1">
      <alignment horizontal="left" vertical="center" indent="1"/>
    </xf>
    <xf numFmtId="228" fontId="12" fillId="0" borderId="98" xfId="34386" applyNumberFormat="1" applyFont="1" applyBorder="1" applyAlignment="1">
      <alignment horizontal="left" vertical="center" indent="1"/>
    </xf>
    <xf numFmtId="228" fontId="12" fillId="0" borderId="9" xfId="34386" applyNumberFormat="1" applyFont="1" applyBorder="1" applyAlignment="1">
      <alignment horizontal="left" vertical="center" indent="1"/>
    </xf>
    <xf numFmtId="229" fontId="0" fillId="0" borderId="0" xfId="0" applyNumberFormat="1" applyFill="1" applyAlignment="1">
      <alignment horizontal="left" vertical="center" indent="1"/>
    </xf>
    <xf numFmtId="0" fontId="142" fillId="76" borderId="3" xfId="21875" applyFont="1" applyFill="1" applyBorder="1" applyAlignment="1" applyProtection="1">
      <alignment horizontal="left" vertical="center" indent="1"/>
      <protection locked="0"/>
    </xf>
    <xf numFmtId="0" fontId="142" fillId="76" borderId="0" xfId="21875" applyFont="1" applyFill="1" applyAlignment="1">
      <alignment horizontal="left" vertical="center" indent="1"/>
    </xf>
    <xf numFmtId="0" fontId="188" fillId="87" borderId="0" xfId="21875" applyFont="1" applyFill="1" applyAlignment="1">
      <alignment horizontal="left" vertical="center" indent="1"/>
    </xf>
    <xf numFmtId="0" fontId="22" fillId="0" borderId="0" xfId="0" applyFont="1" applyAlignment="1">
      <alignment horizontal="left" vertical="center" indent="1"/>
    </xf>
    <xf numFmtId="0" fontId="201" fillId="84" borderId="2" xfId="41808" applyBorder="1" applyAlignment="1">
      <alignment horizontal="left" vertical="center" indent="1"/>
    </xf>
    <xf numFmtId="230" fontId="35" fillId="99" borderId="2" xfId="0" quotePrefix="1" applyNumberFormat="1" applyFont="1" applyFill="1" applyBorder="1" applyAlignment="1">
      <alignment horizontal="left" vertical="center" indent="1"/>
    </xf>
    <xf numFmtId="0" fontId="22" fillId="0" borderId="103" xfId="41809" applyBorder="1" applyAlignment="1">
      <alignment horizontal="left" vertical="center" wrapText="1" indent="1"/>
    </xf>
    <xf numFmtId="0" fontId="22" fillId="0" borderId="102" xfId="41809" applyAlignment="1">
      <alignment horizontal="left" vertical="center" wrapText="1" indent="1"/>
    </xf>
    <xf numFmtId="0" fontId="22" fillId="0" borderId="108" xfId="41809" applyBorder="1" applyAlignment="1">
      <alignment horizontal="left" vertical="center" wrapText="1" indent="1"/>
    </xf>
    <xf numFmtId="0" fontId="35" fillId="15" borderId="111" xfId="41809" applyFont="1" applyFill="1" applyBorder="1" applyAlignment="1">
      <alignment horizontal="left" vertical="center" wrapText="1" indent="1"/>
    </xf>
    <xf numFmtId="0" fontId="22" fillId="0" borderId="114" xfId="41809" applyBorder="1" applyAlignment="1">
      <alignment horizontal="left" vertical="center" wrapText="1" indent="1"/>
    </xf>
    <xf numFmtId="0" fontId="22" fillId="0" borderId="117" xfId="41809" applyBorder="1" applyAlignment="1">
      <alignment horizontal="left" vertical="center" wrapText="1" indent="1"/>
    </xf>
    <xf numFmtId="0" fontId="35" fillId="2" borderId="0" xfId="41996" applyFont="1" applyAlignment="1">
      <alignment horizontal="left" vertical="center" indent="1"/>
    </xf>
    <xf numFmtId="0" fontId="22" fillId="2" borderId="0" xfId="41996" applyAlignment="1">
      <alignment horizontal="left" vertical="center" indent="1"/>
    </xf>
    <xf numFmtId="230" fontId="35" fillId="99" borderId="26" xfId="42079" quotePrefix="1" applyNumberFormat="1" applyFont="1" applyFill="1" applyBorder="1" applyAlignment="1">
      <alignment horizontal="left" vertical="center" indent="1"/>
    </xf>
    <xf numFmtId="181" fontId="35" fillId="108" borderId="35" xfId="42079" applyNumberFormat="1" applyFont="1" applyFill="1" applyBorder="1" applyAlignment="1">
      <alignment horizontal="left" vertical="center" wrapText="1" indent="1"/>
    </xf>
    <xf numFmtId="230" fontId="35" fillId="99" borderId="28" xfId="42079" quotePrefix="1" applyNumberFormat="1" applyFont="1" applyFill="1" applyBorder="1" applyAlignment="1">
      <alignment horizontal="left" vertical="center" indent="1"/>
    </xf>
    <xf numFmtId="2" fontId="35" fillId="107" borderId="125" xfId="42079" applyNumberFormat="1" applyFont="1" applyFill="1" applyBorder="1" applyAlignment="1">
      <alignment horizontal="left" vertical="center" wrapText="1" indent="1"/>
    </xf>
    <xf numFmtId="168" fontId="22" fillId="7" borderId="116" xfId="17071" applyNumberFormat="1" applyFont="1" applyFill="1" applyBorder="1" applyAlignment="1" applyProtection="1">
      <alignment horizontal="left" vertical="center" indent="1"/>
      <protection locked="0"/>
    </xf>
    <xf numFmtId="168" fontId="22" fillId="7" borderId="107" xfId="17071" applyNumberFormat="1" applyFont="1" applyFill="1" applyBorder="1" applyAlignment="1" applyProtection="1">
      <alignment horizontal="left" vertical="center" indent="1"/>
      <protection locked="0"/>
    </xf>
    <xf numFmtId="168" fontId="22" fillId="7" borderId="119" xfId="17071" applyNumberFormat="1" applyFont="1" applyFill="1" applyBorder="1" applyAlignment="1" applyProtection="1">
      <alignment horizontal="left" vertical="center" indent="1"/>
      <protection locked="0"/>
    </xf>
    <xf numFmtId="168" fontId="158" fillId="15" borderId="113" xfId="17071" applyNumberFormat="1" applyFont="1" applyFill="1" applyBorder="1" applyAlignment="1">
      <alignment horizontal="left" vertical="center" indent="1"/>
    </xf>
    <xf numFmtId="0" fontId="22" fillId="0" borderId="126" xfId="41809" applyBorder="1" applyAlignment="1">
      <alignment horizontal="left" vertical="center" wrapText="1" indent="1"/>
    </xf>
    <xf numFmtId="0" fontId="22" fillId="0" borderId="0" xfId="41809" applyBorder="1" applyAlignment="1">
      <alignment horizontal="left" vertical="center" wrapText="1" indent="1"/>
    </xf>
    <xf numFmtId="168" fontId="22" fillId="4" borderId="116" xfId="17071" applyNumberFormat="1" applyFont="1" applyFill="1" applyBorder="1" applyAlignment="1" applyProtection="1">
      <alignment horizontal="left" vertical="center" indent="1"/>
      <protection locked="0"/>
    </xf>
    <xf numFmtId="168" fontId="22" fillId="4" borderId="107" xfId="17071" applyNumberFormat="1" applyFont="1" applyFill="1" applyBorder="1" applyAlignment="1" applyProtection="1">
      <alignment horizontal="left" vertical="center" indent="1"/>
      <protection locked="0"/>
    </xf>
    <xf numFmtId="0" fontId="22" fillId="0" borderId="176" xfId="41809" applyBorder="1" applyAlignment="1">
      <alignment horizontal="left" vertical="center" wrapText="1" indent="1"/>
    </xf>
    <xf numFmtId="168" fontId="22" fillId="7" borderId="177" xfId="17071" applyNumberFormat="1" applyFont="1" applyFill="1" applyBorder="1" applyAlignment="1" applyProtection="1">
      <alignment horizontal="left" vertical="center" indent="1"/>
      <protection locked="0"/>
    </xf>
    <xf numFmtId="0" fontId="0" fillId="0" borderId="4" xfId="0" applyBorder="1" applyAlignment="1">
      <alignment horizontal="left" vertical="center" indent="1"/>
    </xf>
    <xf numFmtId="0" fontId="0" fillId="0" borderId="7" xfId="0" applyBorder="1" applyAlignment="1">
      <alignment horizontal="left" vertical="center" indent="1"/>
    </xf>
    <xf numFmtId="0" fontId="0" fillId="0" borderId="15" xfId="0" applyBorder="1" applyAlignment="1">
      <alignment horizontal="left" vertical="center" indent="1"/>
    </xf>
    <xf numFmtId="230" fontId="35" fillId="99" borderId="51" xfId="0" quotePrefix="1" applyNumberFormat="1" applyFont="1" applyFill="1" applyBorder="1" applyAlignment="1">
      <alignment horizontal="left" vertical="center" indent="1"/>
    </xf>
    <xf numFmtId="168" fontId="22" fillId="7" borderId="116" xfId="5" applyNumberFormat="1" applyFont="1" applyFill="1" applyBorder="1" applyAlignment="1" applyProtection="1">
      <alignment horizontal="left" vertical="center" indent="1"/>
      <protection locked="0"/>
    </xf>
    <xf numFmtId="168" fontId="22" fillId="7" borderId="107" xfId="5" applyNumberFormat="1" applyFont="1" applyFill="1" applyBorder="1" applyAlignment="1" applyProtection="1">
      <alignment horizontal="left" vertical="center" indent="1"/>
      <protection locked="0"/>
    </xf>
    <xf numFmtId="168" fontId="22" fillId="7" borderId="119" xfId="5" applyNumberFormat="1" applyFont="1" applyFill="1" applyBorder="1" applyAlignment="1" applyProtection="1">
      <alignment horizontal="left" vertical="center" indent="1"/>
      <protection locked="0"/>
    </xf>
    <xf numFmtId="168" fontId="158" fillId="15" borderId="113" xfId="5" applyNumberFormat="1" applyFont="1" applyFill="1" applyBorder="1" applyAlignment="1">
      <alignment horizontal="left" vertical="center" indent="1"/>
    </xf>
    <xf numFmtId="0" fontId="202" fillId="109" borderId="0" xfId="0" applyFont="1" applyFill="1" applyAlignment="1">
      <alignment horizontal="left" vertical="center" indent="1"/>
    </xf>
    <xf numFmtId="0" fontId="202" fillId="113" borderId="0" xfId="0" applyFont="1" applyFill="1" applyAlignment="1">
      <alignment horizontal="left" vertical="center" indent="1"/>
    </xf>
    <xf numFmtId="0" fontId="204" fillId="109" borderId="127" xfId="0" applyFont="1" applyFill="1" applyBorder="1" applyAlignment="1">
      <alignment horizontal="left" vertical="center" indent="1"/>
    </xf>
    <xf numFmtId="0" fontId="0" fillId="0" borderId="129" xfId="0" applyBorder="1" applyAlignment="1">
      <alignment horizontal="left" vertical="center" indent="1"/>
    </xf>
    <xf numFmtId="0" fontId="0" fillId="0" borderId="151" xfId="0" applyBorder="1" applyAlignment="1">
      <alignment horizontal="left" vertical="center" indent="1"/>
    </xf>
    <xf numFmtId="0" fontId="0" fillId="0" borderId="152" xfId="0" applyBorder="1" applyAlignment="1">
      <alignment horizontal="left" vertical="center" indent="1"/>
    </xf>
    <xf numFmtId="0" fontId="214" fillId="116" borderId="127" xfId="0" quotePrefix="1" applyFont="1" applyFill="1" applyBorder="1" applyAlignment="1">
      <alignment horizontal="left" vertical="center" indent="1"/>
    </xf>
    <xf numFmtId="168" fontId="194" fillId="117" borderId="165" xfId="0" applyNumberFormat="1" applyFont="1" applyFill="1" applyBorder="1" applyAlignment="1">
      <alignment horizontal="left" vertical="center" indent="1"/>
    </xf>
    <xf numFmtId="8" fontId="142" fillId="76" borderId="3" xfId="21875" applyNumberFormat="1" applyFont="1" applyFill="1" applyBorder="1" applyAlignment="1" applyProtection="1">
      <alignment horizontal="left" vertical="center" indent="1"/>
      <protection locked="0"/>
    </xf>
    <xf numFmtId="8" fontId="142" fillId="76" borderId="0" xfId="21875" applyNumberFormat="1" applyFont="1" applyFill="1" applyAlignment="1">
      <alignment horizontal="left" vertical="center" indent="1"/>
    </xf>
    <xf numFmtId="8" fontId="188" fillId="87" borderId="0" xfId="21875" applyNumberFormat="1" applyFont="1" applyFill="1" applyAlignment="1">
      <alignment horizontal="left" vertical="center" indent="1"/>
    </xf>
    <xf numFmtId="8" fontId="22" fillId="0" borderId="0" xfId="0" applyNumberFormat="1" applyFont="1" applyAlignment="1">
      <alignment horizontal="left" vertical="center" indent="1"/>
    </xf>
    <xf numFmtId="8" fontId="201" fillId="84" borderId="4" xfId="41808" applyNumberFormat="1" applyBorder="1" applyAlignment="1">
      <alignment horizontal="left" vertical="center" indent="1"/>
    </xf>
    <xf numFmtId="8" fontId="0" fillId="0" borderId="0" xfId="0" applyNumberFormat="1" applyAlignment="1">
      <alignment horizontal="left" vertical="center" indent="1"/>
    </xf>
    <xf numFmtId="8" fontId="35" fillId="99" borderId="4" xfId="0" applyNumberFormat="1" applyFont="1" applyFill="1" applyBorder="1" applyAlignment="1">
      <alignment horizontal="left" vertical="center" indent="1"/>
    </xf>
    <xf numFmtId="8" fontId="22" fillId="99" borderId="105" xfId="34386" applyNumberFormat="1" applyFont="1" applyFill="1" applyBorder="1" applyAlignment="1" applyProtection="1">
      <alignment horizontal="left" vertical="center" indent="1"/>
      <protection locked="0"/>
    </xf>
    <xf numFmtId="8" fontId="22" fillId="99" borderId="107" xfId="34386" applyNumberFormat="1" applyFont="1" applyFill="1" applyBorder="1" applyAlignment="1" applyProtection="1">
      <alignment horizontal="left" vertical="center" indent="1"/>
      <protection locked="0"/>
    </xf>
    <xf numFmtId="8" fontId="22" fillId="99" borderId="110" xfId="34386" applyNumberFormat="1" applyFont="1" applyFill="1" applyBorder="1" applyAlignment="1" applyProtection="1">
      <alignment horizontal="left" vertical="center" indent="1"/>
      <protection locked="0"/>
    </xf>
    <xf numFmtId="8" fontId="158" fillId="15" borderId="112" xfId="34386" applyNumberFormat="1" applyFont="1" applyFill="1" applyBorder="1" applyAlignment="1">
      <alignment horizontal="left" vertical="center" indent="1"/>
    </xf>
    <xf numFmtId="8" fontId="158" fillId="15" borderId="113" xfId="34386" applyNumberFormat="1" applyFont="1" applyFill="1" applyBorder="1" applyAlignment="1">
      <alignment horizontal="left" vertical="center" indent="1"/>
    </xf>
    <xf numFmtId="8" fontId="22" fillId="99" borderId="105" xfId="0" applyNumberFormat="1" applyFont="1" applyFill="1" applyBorder="1" applyAlignment="1" applyProtection="1">
      <alignment horizontal="left" vertical="center" indent="1"/>
      <protection locked="0"/>
    </xf>
    <xf numFmtId="8" fontId="22" fillId="99" borderId="116" xfId="0" applyNumberFormat="1" applyFont="1" applyFill="1" applyBorder="1" applyAlignment="1" applyProtection="1">
      <alignment horizontal="left" vertical="center" indent="1"/>
      <protection locked="0"/>
    </xf>
    <xf numFmtId="8" fontId="22" fillId="99" borderId="107" xfId="0" applyNumberFormat="1" applyFont="1" applyFill="1" applyBorder="1" applyAlignment="1" applyProtection="1">
      <alignment horizontal="left" vertical="center" indent="1"/>
      <protection locked="0"/>
    </xf>
    <xf numFmtId="8" fontId="22" fillId="99" borderId="119" xfId="0" applyNumberFormat="1" applyFont="1" applyFill="1" applyBorder="1" applyAlignment="1" applyProtection="1">
      <alignment horizontal="left" vertical="center" indent="1"/>
      <protection locked="0"/>
    </xf>
    <xf numFmtId="8" fontId="22" fillId="99" borderId="116" xfId="34386" applyNumberFormat="1" applyFont="1" applyFill="1" applyBorder="1" applyAlignment="1" applyProtection="1">
      <alignment horizontal="left" vertical="center" indent="1"/>
      <protection locked="0"/>
    </xf>
    <xf numFmtId="8" fontId="22" fillId="99" borderId="119" xfId="34386" applyNumberFormat="1" applyFont="1" applyFill="1" applyBorder="1" applyAlignment="1" applyProtection="1">
      <alignment horizontal="left" vertical="center" indent="1"/>
      <protection locked="0"/>
    </xf>
    <xf numFmtId="8" fontId="35" fillId="99" borderId="4" xfId="34386" applyNumberFormat="1" applyFont="1" applyFill="1" applyBorder="1" applyAlignment="1">
      <alignment horizontal="left" vertical="center" indent="1"/>
    </xf>
    <xf numFmtId="8" fontId="22" fillId="99" borderId="175" xfId="34386" applyNumberFormat="1" applyFont="1" applyFill="1" applyBorder="1" applyAlignment="1" applyProtection="1">
      <alignment horizontal="left" vertical="center" indent="1"/>
      <protection locked="0"/>
    </xf>
    <xf numFmtId="8" fontId="22" fillId="99" borderId="0" xfId="34386" applyNumberFormat="1" applyFont="1" applyFill="1" applyBorder="1" applyAlignment="1" applyProtection="1">
      <alignment horizontal="left" vertical="center" indent="1"/>
      <protection locked="0"/>
    </xf>
    <xf numFmtId="8" fontId="35" fillId="99" borderId="53" xfId="0" applyNumberFormat="1" applyFont="1" applyFill="1" applyBorder="1" applyAlignment="1">
      <alignment horizontal="left" vertical="center" indent="1"/>
    </xf>
    <xf numFmtId="8" fontId="22" fillId="8" borderId="105" xfId="34386" applyNumberFormat="1" applyFont="1" applyFill="1" applyBorder="1" applyAlignment="1" applyProtection="1">
      <alignment horizontal="left" vertical="center" indent="1"/>
      <protection locked="0"/>
    </xf>
    <xf numFmtId="8" fontId="22" fillId="8" borderId="107" xfId="34386" applyNumberFormat="1" applyFont="1" applyFill="1" applyBorder="1" applyAlignment="1" applyProtection="1">
      <alignment horizontal="left" vertical="center" indent="1"/>
      <protection locked="0"/>
    </xf>
    <xf numFmtId="8" fontId="22" fillId="8" borderId="110" xfId="34386" applyNumberFormat="1" applyFont="1" applyFill="1" applyBorder="1" applyAlignment="1" applyProtection="1">
      <alignment horizontal="left" vertical="center" indent="1"/>
      <protection locked="0"/>
    </xf>
    <xf numFmtId="8" fontId="0" fillId="0" borderId="0" xfId="34386" applyNumberFormat="1" applyFont="1" applyAlignment="1">
      <alignment horizontal="left" vertical="center" indent="1"/>
    </xf>
    <xf numFmtId="8" fontId="35" fillId="99" borderId="53" xfId="34386" applyNumberFormat="1" applyFont="1" applyFill="1" applyBorder="1" applyAlignment="1">
      <alignment horizontal="left" vertical="center" indent="1"/>
    </xf>
    <xf numFmtId="8" fontId="22" fillId="8" borderId="116" xfId="34386" applyNumberFormat="1" applyFont="1" applyFill="1" applyBorder="1" applyAlignment="1" applyProtection="1">
      <alignment horizontal="left" vertical="center" indent="1"/>
      <protection locked="0"/>
    </xf>
    <xf numFmtId="8" fontId="22" fillId="8" borderId="119" xfId="34386" applyNumberFormat="1" applyFont="1" applyFill="1" applyBorder="1" applyAlignment="1" applyProtection="1">
      <alignment horizontal="left" vertical="center" indent="1"/>
      <protection locked="0"/>
    </xf>
    <xf numFmtId="8" fontId="202" fillId="109" borderId="0" xfId="0" applyNumberFormat="1" applyFont="1" applyFill="1" applyAlignment="1">
      <alignment horizontal="left" vertical="center" indent="1"/>
    </xf>
    <xf numFmtId="8" fontId="202" fillId="113" borderId="0" xfId="0" applyNumberFormat="1" applyFont="1" applyFill="1" applyAlignment="1">
      <alignment horizontal="left" vertical="center" indent="1"/>
    </xf>
    <xf numFmtId="8" fontId="204" fillId="109" borderId="127" xfId="0" applyNumberFormat="1" applyFont="1" applyFill="1" applyBorder="1" applyAlignment="1">
      <alignment horizontal="left" vertical="center" indent="1"/>
    </xf>
    <xf numFmtId="8" fontId="214" fillId="116" borderId="155" xfId="0" applyNumberFormat="1" applyFont="1" applyFill="1" applyBorder="1" applyAlignment="1">
      <alignment horizontal="left" vertical="center" indent="1"/>
    </xf>
    <xf numFmtId="8" fontId="215" fillId="111" borderId="158" xfId="34386" applyNumberFormat="1" applyFont="1" applyFill="1" applyBorder="1" applyAlignment="1" applyProtection="1">
      <alignment horizontal="left" vertical="center" indent="1"/>
      <protection locked="0"/>
    </xf>
    <xf numFmtId="8" fontId="215" fillId="111" borderId="161" xfId="34386" applyNumberFormat="1" applyFont="1" applyFill="1" applyBorder="1" applyAlignment="1" applyProtection="1">
      <alignment horizontal="left" vertical="center" indent="1"/>
      <protection locked="0"/>
    </xf>
    <xf numFmtId="8" fontId="215" fillId="111" borderId="164" xfId="34386" applyNumberFormat="1" applyFont="1" applyFill="1" applyBorder="1" applyAlignment="1" applyProtection="1">
      <alignment horizontal="left" vertical="center" indent="1"/>
      <protection locked="0"/>
    </xf>
    <xf numFmtId="8" fontId="194" fillId="117" borderId="166" xfId="34386" applyNumberFormat="1" applyFont="1" applyFill="1" applyBorder="1" applyAlignment="1">
      <alignment horizontal="left" vertical="center" indent="1"/>
    </xf>
    <xf numFmtId="8" fontId="194" fillId="117" borderId="167" xfId="34386" applyNumberFormat="1" applyFont="1" applyFill="1" applyBorder="1" applyAlignment="1">
      <alignment horizontal="left" vertical="center" indent="1"/>
    </xf>
    <xf numFmtId="8" fontId="214" fillId="116" borderId="155" xfId="34386" applyNumberFormat="1" applyFont="1" applyFill="1" applyBorder="1" applyAlignment="1">
      <alignment horizontal="left" vertical="center" indent="1"/>
    </xf>
    <xf numFmtId="8" fontId="215" fillId="111" borderId="170" xfId="34386" applyNumberFormat="1" applyFont="1" applyFill="1" applyBorder="1" applyAlignment="1" applyProtection="1">
      <alignment horizontal="left" vertical="center" indent="1"/>
      <protection locked="0"/>
    </xf>
    <xf numFmtId="8" fontId="215" fillId="111" borderId="173" xfId="34386" applyNumberFormat="1" applyFont="1" applyFill="1" applyBorder="1" applyAlignment="1" applyProtection="1">
      <alignment horizontal="left" vertical="center" indent="1"/>
      <protection locked="0"/>
    </xf>
    <xf numFmtId="6" fontId="142" fillId="76" borderId="3" xfId="21875" applyNumberFormat="1" applyFont="1" applyFill="1" applyBorder="1" applyAlignment="1" applyProtection="1">
      <alignment horizontal="left" vertical="center" indent="1"/>
      <protection locked="0"/>
    </xf>
    <xf numFmtId="6" fontId="142" fillId="76" borderId="0" xfId="21875" applyNumberFormat="1" applyFont="1" applyFill="1" applyAlignment="1">
      <alignment horizontal="left" vertical="center" indent="1"/>
    </xf>
    <xf numFmtId="6" fontId="188" fillId="87" borderId="0" xfId="21875" applyNumberFormat="1" applyFont="1" applyFill="1" applyAlignment="1">
      <alignment horizontal="left" vertical="center" indent="1"/>
    </xf>
    <xf numFmtId="6" fontId="22" fillId="0" borderId="0" xfId="0" applyNumberFormat="1" applyFont="1" applyAlignment="1">
      <alignment horizontal="left" vertical="center" indent="1"/>
    </xf>
    <xf numFmtId="6" fontId="201" fillId="84" borderId="3" xfId="41808" applyNumberFormat="1" applyBorder="1" applyAlignment="1">
      <alignment horizontal="left" vertical="center" indent="1"/>
    </xf>
    <xf numFmtId="6" fontId="35" fillId="107" borderId="10" xfId="0" applyNumberFormat="1" applyFont="1" applyFill="1" applyBorder="1" applyAlignment="1">
      <alignment horizontal="left" vertical="center" wrapText="1" indent="1"/>
    </xf>
    <xf numFmtId="6" fontId="35" fillId="15" borderId="9" xfId="0" applyNumberFormat="1" applyFont="1" applyFill="1" applyBorder="1" applyAlignment="1">
      <alignment horizontal="left" vertical="center" wrapText="1" indent="1"/>
    </xf>
    <xf numFmtId="6" fontId="35" fillId="108" borderId="10" xfId="0" applyNumberFormat="1" applyFont="1" applyFill="1" applyBorder="1" applyAlignment="1">
      <alignment horizontal="left" vertical="center" wrapText="1" indent="1"/>
    </xf>
    <xf numFmtId="6" fontId="35" fillId="108" borderId="11" xfId="0" applyNumberFormat="1" applyFont="1" applyFill="1" applyBorder="1" applyAlignment="1">
      <alignment horizontal="left" vertical="center" wrapText="1" indent="1"/>
    </xf>
    <xf numFmtId="6" fontId="0" fillId="0" borderId="0" xfId="0" applyNumberFormat="1" applyAlignment="1">
      <alignment horizontal="left" vertical="center" indent="1"/>
    </xf>
    <xf numFmtId="6" fontId="35" fillId="99" borderId="3" xfId="0" applyNumberFormat="1" applyFont="1" applyFill="1" applyBorder="1" applyAlignment="1">
      <alignment horizontal="left" vertical="center" indent="1"/>
    </xf>
    <xf numFmtId="6" fontId="22" fillId="7" borderId="104" xfId="34386" applyNumberFormat="1" applyFont="1" applyFill="1" applyBorder="1" applyAlignment="1" applyProtection="1">
      <alignment horizontal="left" vertical="center" indent="1"/>
      <protection locked="0"/>
    </xf>
    <xf numFmtId="6" fontId="22" fillId="99" borderId="104" xfId="34386" applyNumberFormat="1" applyFont="1" applyFill="1" applyBorder="1" applyAlignment="1" applyProtection="1">
      <alignment horizontal="left" vertical="center" indent="1"/>
      <protection locked="0"/>
    </xf>
    <xf numFmtId="6" fontId="22" fillId="7" borderId="106" xfId="34386" applyNumberFormat="1" applyFont="1" applyFill="1" applyBorder="1" applyAlignment="1" applyProtection="1">
      <alignment horizontal="left" vertical="center" indent="1"/>
      <protection locked="0"/>
    </xf>
    <xf numFmtId="6" fontId="22" fillId="99" borderId="106" xfId="34386" applyNumberFormat="1" applyFont="1" applyFill="1" applyBorder="1" applyAlignment="1" applyProtection="1">
      <alignment horizontal="left" vertical="center" indent="1"/>
      <protection locked="0"/>
    </xf>
    <xf numFmtId="6" fontId="22" fillId="7" borderId="109" xfId="34386" applyNumberFormat="1" applyFont="1" applyFill="1" applyBorder="1" applyAlignment="1" applyProtection="1">
      <alignment horizontal="left" vertical="center" indent="1"/>
      <protection locked="0"/>
    </xf>
    <xf numFmtId="6" fontId="22" fillId="99" borderId="109" xfId="34386" applyNumberFormat="1" applyFont="1" applyFill="1" applyBorder="1" applyAlignment="1" applyProtection="1">
      <alignment horizontal="left" vertical="center" indent="1"/>
      <protection locked="0"/>
    </xf>
    <xf numFmtId="6" fontId="158" fillId="15" borderId="112" xfId="34386" applyNumberFormat="1" applyFont="1" applyFill="1" applyBorder="1" applyAlignment="1">
      <alignment horizontal="left" vertical="center" indent="1"/>
    </xf>
    <xf numFmtId="6" fontId="22" fillId="7" borderId="115" xfId="34386" applyNumberFormat="1" applyFont="1" applyFill="1" applyBorder="1" applyAlignment="1" applyProtection="1">
      <alignment horizontal="left" vertical="center" indent="1"/>
      <protection locked="0"/>
    </xf>
    <xf numFmtId="6" fontId="22" fillId="99" borderId="115" xfId="34386" applyNumberFormat="1" applyFont="1" applyFill="1" applyBorder="1" applyAlignment="1" applyProtection="1">
      <alignment horizontal="left" vertical="center" indent="1"/>
      <protection locked="0"/>
    </xf>
    <xf numFmtId="6" fontId="22" fillId="7" borderId="118" xfId="34386" applyNumberFormat="1" applyFont="1" applyFill="1" applyBorder="1" applyAlignment="1" applyProtection="1">
      <alignment horizontal="left" vertical="center" indent="1"/>
      <protection locked="0"/>
    </xf>
    <xf numFmtId="6" fontId="22" fillId="99" borderId="118" xfId="34386" applyNumberFormat="1" applyFont="1" applyFill="1" applyBorder="1" applyAlignment="1" applyProtection="1">
      <alignment horizontal="left" vertical="center" indent="1"/>
      <protection locked="0"/>
    </xf>
    <xf numFmtId="6" fontId="35" fillId="99" borderId="3" xfId="34386" applyNumberFormat="1" applyFont="1" applyFill="1" applyBorder="1" applyAlignment="1">
      <alignment horizontal="left" vertical="center" indent="1"/>
    </xf>
    <xf numFmtId="6" fontId="22" fillId="7" borderId="174" xfId="34386" applyNumberFormat="1" applyFont="1" applyFill="1" applyBorder="1" applyAlignment="1" applyProtection="1">
      <alignment horizontal="left" vertical="center" indent="1"/>
      <protection locked="0"/>
    </xf>
    <xf numFmtId="6" fontId="22" fillId="99" borderId="174" xfId="34386" applyNumberFormat="1" applyFont="1" applyFill="1" applyBorder="1" applyAlignment="1" applyProtection="1">
      <alignment horizontal="left" vertical="center" indent="1"/>
      <protection locked="0"/>
    </xf>
    <xf numFmtId="6" fontId="22" fillId="7" borderId="0" xfId="34386" applyNumberFormat="1" applyFont="1" applyFill="1" applyBorder="1" applyAlignment="1" applyProtection="1">
      <alignment horizontal="left" vertical="center" indent="1"/>
      <protection locked="0"/>
    </xf>
    <xf numFmtId="6" fontId="22" fillId="99" borderId="0" xfId="34386" applyNumberFormat="1" applyFont="1" applyFill="1" applyBorder="1" applyAlignment="1" applyProtection="1">
      <alignment horizontal="left" vertical="center" indent="1"/>
      <protection locked="0"/>
    </xf>
    <xf numFmtId="6" fontId="35" fillId="99" borderId="52" xfId="0" applyNumberFormat="1" applyFont="1" applyFill="1" applyBorder="1" applyAlignment="1">
      <alignment horizontal="left" vertical="center" indent="1"/>
    </xf>
    <xf numFmtId="6" fontId="22" fillId="8" borderId="104" xfId="34386" applyNumberFormat="1" applyFont="1" applyFill="1" applyBorder="1" applyAlignment="1" applyProtection="1">
      <alignment horizontal="left" vertical="center" indent="1"/>
      <protection locked="0"/>
    </xf>
    <xf numFmtId="6" fontId="22" fillId="8" borderId="106" xfId="34386" applyNumberFormat="1" applyFont="1" applyFill="1" applyBorder="1" applyAlignment="1" applyProtection="1">
      <alignment horizontal="left" vertical="center" indent="1"/>
      <protection locked="0"/>
    </xf>
    <xf numFmtId="6" fontId="22" fillId="8" borderId="109" xfId="34386" applyNumberFormat="1" applyFont="1" applyFill="1" applyBorder="1" applyAlignment="1" applyProtection="1">
      <alignment horizontal="left" vertical="center" indent="1"/>
      <protection locked="0"/>
    </xf>
    <xf numFmtId="6" fontId="0" fillId="0" borderId="0" xfId="34386" applyNumberFormat="1" applyFont="1" applyAlignment="1">
      <alignment horizontal="left" vertical="center" indent="1"/>
    </xf>
    <xf numFmtId="6" fontId="35" fillId="99" borderId="52" xfId="34386" applyNumberFormat="1" applyFont="1" applyFill="1" applyBorder="1" applyAlignment="1">
      <alignment horizontal="left" vertical="center" indent="1"/>
    </xf>
    <xf numFmtId="6" fontId="22" fillId="8" borderId="115" xfId="34386" applyNumberFormat="1" applyFont="1" applyFill="1" applyBorder="1" applyAlignment="1" applyProtection="1">
      <alignment horizontal="left" vertical="center" indent="1"/>
      <protection locked="0"/>
    </xf>
    <xf numFmtId="6" fontId="22" fillId="8" borderId="118" xfId="34386" applyNumberFormat="1" applyFont="1" applyFill="1" applyBorder="1" applyAlignment="1" applyProtection="1">
      <alignment horizontal="left" vertical="center" indent="1"/>
      <protection locked="0"/>
    </xf>
    <xf numFmtId="6" fontId="202" fillId="109" borderId="0" xfId="0" applyNumberFormat="1" applyFont="1" applyFill="1" applyAlignment="1">
      <alignment horizontal="left" vertical="center" indent="1"/>
    </xf>
    <xf numFmtId="6" fontId="202" fillId="113" borderId="0" xfId="0" applyNumberFormat="1" applyFont="1" applyFill="1" applyAlignment="1">
      <alignment horizontal="left" vertical="center" indent="1"/>
    </xf>
    <xf numFmtId="6" fontId="204" fillId="109" borderId="128" xfId="0" applyNumberFormat="1" applyFont="1" applyFill="1" applyBorder="1" applyAlignment="1">
      <alignment horizontal="left" vertical="center" indent="1"/>
    </xf>
    <xf numFmtId="6" fontId="204" fillId="109" borderId="127" xfId="0" applyNumberFormat="1" applyFont="1" applyFill="1" applyBorder="1" applyAlignment="1">
      <alignment horizontal="left" vertical="center" indent="1"/>
    </xf>
    <xf numFmtId="6" fontId="194" fillId="115" borderId="147" xfId="0" applyNumberFormat="1" applyFont="1" applyFill="1" applyBorder="1" applyAlignment="1">
      <alignment horizontal="left" vertical="center" wrapText="1" indent="1"/>
    </xf>
    <xf numFmtId="6" fontId="194" fillId="115" borderId="148" xfId="0" applyNumberFormat="1" applyFont="1" applyFill="1" applyBorder="1" applyAlignment="1">
      <alignment horizontal="left" vertical="center" wrapText="1" indent="1"/>
    </xf>
    <xf numFmtId="6" fontId="194" fillId="114" borderId="148" xfId="0" applyNumberFormat="1" applyFont="1" applyFill="1" applyBorder="1" applyAlignment="1">
      <alignment horizontal="left" vertical="center" wrapText="1" indent="1"/>
    </xf>
    <xf numFmtId="6" fontId="194" fillId="114" borderId="149" xfId="0" applyNumberFormat="1" applyFont="1" applyFill="1" applyBorder="1" applyAlignment="1">
      <alignment horizontal="left" vertical="center" wrapText="1" indent="1"/>
    </xf>
    <xf numFmtId="6" fontId="214" fillId="116" borderId="154" xfId="0" applyNumberFormat="1" applyFont="1" applyFill="1" applyBorder="1" applyAlignment="1">
      <alignment horizontal="left" vertical="center" indent="1"/>
    </xf>
    <xf numFmtId="6" fontId="215" fillId="111" borderId="157" xfId="34386" applyNumberFormat="1" applyFont="1" applyFill="1" applyBorder="1" applyAlignment="1" applyProtection="1">
      <alignment horizontal="left" vertical="center" indent="1"/>
      <protection locked="0"/>
    </xf>
    <xf numFmtId="6" fontId="215" fillId="111" borderId="160" xfId="34386" applyNumberFormat="1" applyFont="1" applyFill="1" applyBorder="1" applyAlignment="1" applyProtection="1">
      <alignment horizontal="left" vertical="center" indent="1"/>
      <protection locked="0"/>
    </xf>
    <xf numFmtId="6" fontId="215" fillId="111" borderId="163" xfId="34386" applyNumberFormat="1" applyFont="1" applyFill="1" applyBorder="1" applyAlignment="1" applyProtection="1">
      <alignment horizontal="left" vertical="center" indent="1"/>
      <protection locked="0"/>
    </xf>
    <xf numFmtId="6" fontId="194" fillId="117" borderId="166" xfId="34386" applyNumberFormat="1" applyFont="1" applyFill="1" applyBorder="1" applyAlignment="1">
      <alignment horizontal="left" vertical="center" indent="1"/>
    </xf>
    <xf numFmtId="6" fontId="214" fillId="116" borderId="154" xfId="34386" applyNumberFormat="1" applyFont="1" applyFill="1" applyBorder="1" applyAlignment="1">
      <alignment horizontal="left" vertical="center" indent="1"/>
    </xf>
    <xf numFmtId="6" fontId="215" fillId="111" borderId="169" xfId="34386" applyNumberFormat="1" applyFont="1" applyFill="1" applyBorder="1" applyAlignment="1" applyProtection="1">
      <alignment horizontal="left" vertical="center" indent="1"/>
      <protection locked="0"/>
    </xf>
    <xf numFmtId="6" fontId="215" fillId="111" borderId="172" xfId="34386" applyNumberFormat="1" applyFont="1" applyFill="1" applyBorder="1" applyAlignment="1" applyProtection="1">
      <alignment horizontal="left" vertical="center" indent="1"/>
      <protection locked="0"/>
    </xf>
    <xf numFmtId="0" fontId="0" fillId="14" borderId="0" xfId="0" applyFont="1" applyFill="1" applyAlignment="1">
      <alignment horizontal="left" vertical="center" indent="1"/>
    </xf>
    <xf numFmtId="0" fontId="42" fillId="14" borderId="0" xfId="0" applyFont="1" applyFill="1" applyAlignment="1">
      <alignment horizontal="left" vertical="center" indent="1"/>
    </xf>
    <xf numFmtId="3" fontId="0" fillId="14" borderId="0" xfId="0" applyNumberFormat="1" applyFont="1" applyFill="1" applyAlignment="1">
      <alignment horizontal="left" vertical="center" indent="1"/>
    </xf>
    <xf numFmtId="168" fontId="0" fillId="14" borderId="0" xfId="5" applyNumberFormat="1" applyFont="1" applyFill="1" applyAlignment="1">
      <alignment horizontal="left" vertical="center" indent="1"/>
    </xf>
    <xf numFmtId="0" fontId="35" fillId="14" borderId="0" xfId="0" applyFont="1" applyFill="1" applyAlignment="1">
      <alignment horizontal="left" vertical="center" indent="1"/>
    </xf>
    <xf numFmtId="0" fontId="35" fillId="5" borderId="0" xfId="0" applyFont="1" applyFill="1" applyAlignment="1">
      <alignment horizontal="left" vertical="center" indent="1"/>
    </xf>
    <xf numFmtId="0" fontId="22" fillId="5" borderId="0" xfId="0" applyFont="1" applyFill="1" applyAlignment="1">
      <alignment horizontal="left" vertical="center" indent="1"/>
    </xf>
    <xf numFmtId="0" fontId="22" fillId="5" borderId="0" xfId="0" applyFont="1" applyFill="1" applyAlignment="1">
      <alignment horizontal="left" vertical="center" wrapText="1" indent="1"/>
    </xf>
    <xf numFmtId="0" fontId="49" fillId="4" borderId="0" xfId="0" applyFont="1" applyFill="1" applyAlignment="1">
      <alignment horizontal="left" vertical="center" indent="1"/>
    </xf>
    <xf numFmtId="0" fontId="35" fillId="4" borderId="0" xfId="0" applyFont="1" applyFill="1" applyAlignment="1">
      <alignment horizontal="left" vertical="center" indent="1"/>
    </xf>
    <xf numFmtId="0" fontId="22" fillId="4" borderId="0" xfId="0" applyFont="1" applyFill="1" applyAlignment="1">
      <alignment horizontal="left" vertical="center" indent="1"/>
    </xf>
    <xf numFmtId="168" fontId="22" fillId="5" borderId="0" xfId="5" applyNumberFormat="1" applyFont="1" applyFill="1" applyAlignment="1">
      <alignment horizontal="left" vertical="center" indent="1"/>
    </xf>
    <xf numFmtId="0" fontId="0" fillId="4" borderId="0" xfId="0" applyFont="1" applyFill="1" applyAlignment="1">
      <alignment horizontal="left" vertical="center" indent="1"/>
    </xf>
    <xf numFmtId="0" fontId="0" fillId="6" borderId="9" xfId="0" applyFont="1" applyFill="1" applyBorder="1" applyAlignment="1">
      <alignment horizontal="left" vertical="center" wrapText="1" indent="1"/>
    </xf>
    <xf numFmtId="0" fontId="0" fillId="2" borderId="9" xfId="0" applyFont="1" applyFill="1" applyBorder="1" applyAlignment="1">
      <alignment horizontal="left" vertical="center" wrapText="1" indent="1"/>
    </xf>
    <xf numFmtId="0" fontId="0" fillId="14" borderId="0" xfId="0" applyNumberFormat="1" applyFont="1" applyFill="1" applyBorder="1" applyAlignment="1">
      <alignment horizontal="left" vertical="center" indent="1"/>
    </xf>
    <xf numFmtId="169" fontId="38" fillId="87" borderId="16" xfId="15" applyNumberFormat="1" applyFont="1" applyFill="1" applyBorder="1" applyAlignment="1">
      <alignment horizontal="left" vertical="center" indent="1"/>
    </xf>
    <xf numFmtId="215" fontId="38" fillId="87" borderId="16" xfId="15" applyNumberFormat="1" applyFont="1" applyFill="1" applyBorder="1" applyAlignment="1">
      <alignment horizontal="left" vertical="center" indent="1"/>
    </xf>
    <xf numFmtId="173" fontId="38" fillId="87" borderId="8" xfId="15" applyNumberFormat="1" applyFont="1" applyFill="1" applyBorder="1" applyAlignment="1">
      <alignment horizontal="left" vertical="center" indent="1"/>
    </xf>
    <xf numFmtId="173" fontId="38" fillId="87" borderId="16" xfId="15" applyNumberFormat="1" applyFont="1" applyFill="1" applyBorder="1" applyAlignment="1">
      <alignment horizontal="left" vertical="center" indent="1"/>
    </xf>
    <xf numFmtId="220" fontId="38" fillId="87" borderId="16" xfId="15" applyNumberFormat="1" applyFont="1" applyFill="1" applyBorder="1" applyAlignment="1">
      <alignment horizontal="left" vertical="center" indent="1"/>
    </xf>
    <xf numFmtId="220" fontId="38" fillId="87" borderId="8" xfId="5" applyNumberFormat="1" applyFont="1" applyFill="1" applyBorder="1" applyAlignment="1">
      <alignment horizontal="left" vertical="center" indent="1"/>
    </xf>
    <xf numFmtId="220" fontId="38" fillId="87" borderId="8" xfId="15" applyNumberFormat="1" applyFont="1" applyFill="1" applyBorder="1" applyAlignment="1">
      <alignment horizontal="left" vertical="center" indent="1"/>
    </xf>
    <xf numFmtId="169" fontId="38" fillId="87" borderId="8" xfId="15" applyNumberFormat="1" applyFont="1" applyFill="1" applyBorder="1" applyAlignment="1">
      <alignment horizontal="left" vertical="center" indent="1"/>
    </xf>
    <xf numFmtId="169" fontId="38" fillId="87" borderId="0" xfId="15" applyNumberFormat="1" applyFont="1" applyFill="1" applyBorder="1" applyAlignment="1">
      <alignment horizontal="left" vertical="center" indent="1"/>
    </xf>
    <xf numFmtId="169" fontId="38" fillId="87" borderId="18" xfId="15" applyNumberFormat="1" applyFont="1" applyFill="1" applyBorder="1" applyAlignment="1">
      <alignment horizontal="left" vertical="center" indent="1"/>
    </xf>
    <xf numFmtId="220" fontId="38" fillId="87" borderId="16" xfId="5" applyNumberFormat="1" applyFont="1" applyFill="1" applyBorder="1" applyAlignment="1">
      <alignment horizontal="left" vertical="center" indent="1"/>
    </xf>
    <xf numFmtId="0" fontId="0" fillId="14" borderId="0" xfId="0" applyFont="1" applyFill="1" applyBorder="1" applyAlignment="1">
      <alignment horizontal="left" vertical="center" indent="1"/>
    </xf>
    <xf numFmtId="215" fontId="38" fillId="87" borderId="8" xfId="15" applyNumberFormat="1" applyFont="1" applyFill="1" applyBorder="1" applyAlignment="1">
      <alignment horizontal="left" vertical="center" indent="1"/>
    </xf>
    <xf numFmtId="215" fontId="38" fillId="87" borderId="10" xfId="15" applyNumberFormat="1" applyFont="1" applyFill="1" applyBorder="1" applyAlignment="1">
      <alignment horizontal="left" vertical="center" indent="1"/>
    </xf>
    <xf numFmtId="220" fontId="38" fillId="87" borderId="10" xfId="15" applyNumberFormat="1" applyFont="1" applyFill="1" applyBorder="1" applyAlignment="1">
      <alignment horizontal="left" vertical="center" indent="1"/>
    </xf>
    <xf numFmtId="169" fontId="45" fillId="87" borderId="18" xfId="15" applyNumberFormat="1" applyFont="1" applyFill="1" applyBorder="1" applyAlignment="1">
      <alignment horizontal="left" vertical="center" indent="1"/>
    </xf>
    <xf numFmtId="169" fontId="0" fillId="87" borderId="16" xfId="0" applyNumberFormat="1" applyFont="1" applyFill="1" applyBorder="1" applyAlignment="1">
      <alignment horizontal="left" vertical="center" indent="1"/>
    </xf>
    <xf numFmtId="215" fontId="0" fillId="87" borderId="16" xfId="0" applyNumberFormat="1" applyFont="1" applyFill="1" applyBorder="1" applyAlignment="1">
      <alignment horizontal="left" vertical="center" indent="1"/>
    </xf>
    <xf numFmtId="215" fontId="0" fillId="87" borderId="8" xfId="0" applyNumberFormat="1" applyFont="1" applyFill="1" applyBorder="1" applyAlignment="1">
      <alignment horizontal="left" vertical="center" indent="1"/>
    </xf>
    <xf numFmtId="169" fontId="0" fillId="87" borderId="8" xfId="0" applyNumberFormat="1" applyFont="1" applyFill="1" applyBorder="1" applyAlignment="1">
      <alignment horizontal="left" vertical="center" indent="1"/>
    </xf>
    <xf numFmtId="173" fontId="0" fillId="87" borderId="16" xfId="0" applyNumberFormat="1" applyFont="1" applyFill="1" applyBorder="1" applyAlignment="1">
      <alignment horizontal="left" vertical="center" indent="1"/>
    </xf>
    <xf numFmtId="173" fontId="0" fillId="87" borderId="8" xfId="0" applyNumberFormat="1" applyFont="1" applyFill="1" applyBorder="1" applyAlignment="1">
      <alignment horizontal="left" vertical="center" indent="1"/>
    </xf>
    <xf numFmtId="173" fontId="0" fillId="87" borderId="18" xfId="0" applyNumberFormat="1" applyFont="1" applyFill="1" applyBorder="1" applyAlignment="1">
      <alignment horizontal="left" vertical="center" indent="1"/>
    </xf>
    <xf numFmtId="220" fontId="0" fillId="87" borderId="16" xfId="0" applyNumberFormat="1" applyFont="1" applyFill="1" applyBorder="1" applyAlignment="1">
      <alignment horizontal="left" vertical="center" indent="1"/>
    </xf>
    <xf numFmtId="220" fontId="0" fillId="87" borderId="16" xfId="5" applyNumberFormat="1" applyFont="1" applyFill="1" applyBorder="1" applyAlignment="1">
      <alignment horizontal="left" vertical="center" indent="1"/>
    </xf>
    <xf numFmtId="214" fontId="45" fillId="87" borderId="18" xfId="15" applyNumberFormat="1" applyFont="1" applyFill="1" applyBorder="1" applyAlignment="1">
      <alignment horizontal="left" vertical="center" indent="1"/>
    </xf>
    <xf numFmtId="168" fontId="38" fillId="87" borderId="16" xfId="15" applyNumberFormat="1" applyFont="1" applyFill="1" applyBorder="1" applyAlignment="1">
      <alignment horizontal="left" vertical="center" indent="1"/>
    </xf>
    <xf numFmtId="220" fontId="0" fillId="87" borderId="8" xfId="5" applyNumberFormat="1" applyFont="1" applyFill="1" applyBorder="1" applyAlignment="1">
      <alignment horizontal="left" vertical="center" indent="1"/>
    </xf>
    <xf numFmtId="220" fontId="0" fillId="87" borderId="8" xfId="0" applyNumberFormat="1" applyFont="1" applyFill="1" applyBorder="1" applyAlignment="1">
      <alignment horizontal="left" vertical="center" indent="1"/>
    </xf>
    <xf numFmtId="220" fontId="45" fillId="87" borderId="18" xfId="5" applyNumberFormat="1" applyFont="1" applyFill="1" applyBorder="1" applyAlignment="1">
      <alignment horizontal="left" vertical="center" indent="1"/>
    </xf>
    <xf numFmtId="169" fontId="45" fillId="87" borderId="16" xfId="15" applyNumberFormat="1" applyFont="1" applyFill="1" applyBorder="1" applyAlignment="1">
      <alignment horizontal="left" vertical="center" indent="1"/>
    </xf>
    <xf numFmtId="215" fontId="38" fillId="87" borderId="18" xfId="15" applyNumberFormat="1" applyFont="1" applyFill="1" applyBorder="1" applyAlignment="1">
      <alignment horizontal="left" vertical="center" indent="1"/>
    </xf>
    <xf numFmtId="220" fontId="38" fillId="87" borderId="18" xfId="15" applyNumberFormat="1" applyFont="1" applyFill="1" applyBorder="1" applyAlignment="1">
      <alignment horizontal="left" vertical="center" indent="1"/>
    </xf>
    <xf numFmtId="169" fontId="0" fillId="87" borderId="18" xfId="0" applyNumberFormat="1" applyFont="1" applyFill="1" applyBorder="1" applyAlignment="1">
      <alignment horizontal="left" vertical="center" indent="1"/>
    </xf>
    <xf numFmtId="215" fontId="38" fillId="87" borderId="0" xfId="15" applyNumberFormat="1" applyFont="1" applyFill="1" applyBorder="1" applyAlignment="1">
      <alignment horizontal="left" vertical="center" indent="1"/>
    </xf>
    <xf numFmtId="219" fontId="49" fillId="14" borderId="0" xfId="0" applyNumberFormat="1" applyFont="1" applyFill="1" applyBorder="1" applyAlignment="1">
      <alignment horizontal="left" vertical="center" indent="1"/>
    </xf>
    <xf numFmtId="168" fontId="49" fillId="14" borderId="0" xfId="0" applyNumberFormat="1" applyFont="1" applyFill="1" applyBorder="1" applyAlignment="1">
      <alignment horizontal="left" vertical="center" indent="1"/>
    </xf>
    <xf numFmtId="174" fontId="49" fillId="14" borderId="0" xfId="0" applyNumberFormat="1" applyFont="1" applyFill="1" applyBorder="1" applyAlignment="1">
      <alignment horizontal="left" vertical="center" indent="1"/>
    </xf>
    <xf numFmtId="215" fontId="49" fillId="14" borderId="0" xfId="0" applyNumberFormat="1" applyFont="1" applyFill="1" applyBorder="1" applyAlignment="1">
      <alignment horizontal="left" vertical="center" indent="1"/>
    </xf>
    <xf numFmtId="173" fontId="49" fillId="14" borderId="0" xfId="0" applyNumberFormat="1" applyFont="1" applyFill="1" applyBorder="1" applyAlignment="1">
      <alignment horizontal="left" vertical="center" indent="1"/>
    </xf>
    <xf numFmtId="220" fontId="49" fillId="14" borderId="0" xfId="0" applyNumberFormat="1" applyFont="1" applyFill="1" applyBorder="1" applyAlignment="1">
      <alignment horizontal="left" vertical="center" indent="1"/>
    </xf>
    <xf numFmtId="215" fontId="0" fillId="14" borderId="0" xfId="0" applyNumberFormat="1" applyFont="1" applyFill="1" applyBorder="1" applyAlignment="1">
      <alignment horizontal="left" vertical="center" indent="1"/>
    </xf>
    <xf numFmtId="168" fontId="0" fillId="14" borderId="0" xfId="5" applyNumberFormat="1" applyFont="1" applyFill="1" applyBorder="1" applyAlignment="1">
      <alignment horizontal="left" vertical="center" indent="1"/>
    </xf>
    <xf numFmtId="0" fontId="22" fillId="14" borderId="0" xfId="1" applyFont="1" applyFill="1" applyAlignment="1">
      <alignment horizontal="left" vertical="top" indent="1"/>
    </xf>
    <xf numFmtId="0" fontId="42" fillId="14" borderId="0" xfId="16" applyFont="1" applyFill="1" applyAlignment="1">
      <alignment horizontal="left" vertical="top" indent="1"/>
    </xf>
    <xf numFmtId="0" fontId="22" fillId="14" borderId="0" xfId="16" applyFont="1" applyFill="1" applyAlignment="1">
      <alignment horizontal="left" vertical="top" indent="1"/>
    </xf>
    <xf numFmtId="0" fontId="35" fillId="14" borderId="0" xfId="16" applyFont="1" applyFill="1" applyAlignment="1">
      <alignment horizontal="left" vertical="top" indent="1"/>
    </xf>
    <xf numFmtId="0" fontId="22" fillId="2" borderId="2" xfId="16" applyFont="1" applyFill="1" applyBorder="1" applyAlignment="1">
      <alignment horizontal="left" vertical="top" indent="1"/>
    </xf>
    <xf numFmtId="0" fontId="22" fillId="2" borderId="3" xfId="16" applyFont="1" applyFill="1" applyBorder="1" applyAlignment="1">
      <alignment horizontal="left" vertical="top" indent="1"/>
    </xf>
    <xf numFmtId="0" fontId="22" fillId="2" borderId="4" xfId="16" applyFont="1" applyFill="1" applyBorder="1" applyAlignment="1">
      <alignment horizontal="left" vertical="top" indent="1"/>
    </xf>
    <xf numFmtId="0" fontId="35" fillId="2" borderId="1" xfId="16" applyFont="1" applyFill="1" applyBorder="1" applyAlignment="1">
      <alignment horizontal="left" vertical="top" indent="1"/>
    </xf>
    <xf numFmtId="0" fontId="35" fillId="2" borderId="0" xfId="16" applyFont="1" applyFill="1" applyBorder="1" applyAlignment="1">
      <alignment horizontal="left" vertical="top" indent="1"/>
    </xf>
    <xf numFmtId="0" fontId="22" fillId="2" borderId="0" xfId="16" applyFont="1" applyFill="1" applyBorder="1" applyAlignment="1">
      <alignment horizontal="left" vertical="top" indent="1"/>
    </xf>
    <xf numFmtId="0" fontId="22" fillId="2" borderId="7" xfId="16" applyFont="1" applyFill="1" applyBorder="1" applyAlignment="1">
      <alignment horizontal="left" vertical="top" indent="1"/>
    </xf>
    <xf numFmtId="0" fontId="22" fillId="2" borderId="1" xfId="16" applyFont="1" applyFill="1" applyBorder="1" applyAlignment="1">
      <alignment horizontal="left" vertical="top" indent="1"/>
    </xf>
    <xf numFmtId="0" fontId="22" fillId="6" borderId="0" xfId="16" applyFont="1" applyFill="1" applyBorder="1" applyAlignment="1">
      <alignment horizontal="left" vertical="top" indent="1"/>
    </xf>
    <xf numFmtId="0" fontId="22" fillId="6" borderId="7" xfId="16" applyFont="1" applyFill="1" applyBorder="1" applyAlignment="1">
      <alignment horizontal="left" vertical="top" indent="1"/>
    </xf>
    <xf numFmtId="173" fontId="22" fillId="14" borderId="0" xfId="5" applyNumberFormat="1" applyFont="1" applyFill="1" applyAlignment="1">
      <alignment horizontal="left" vertical="top" indent="1"/>
    </xf>
    <xf numFmtId="10" fontId="22" fillId="2" borderId="16" xfId="3" applyNumberFormat="1" applyFont="1" applyFill="1" applyBorder="1" applyAlignment="1">
      <alignment horizontal="left" vertical="top" indent="1"/>
    </xf>
    <xf numFmtId="3" fontId="22" fillId="14" borderId="0" xfId="16" applyNumberFormat="1" applyFont="1" applyFill="1" applyAlignment="1">
      <alignment horizontal="left" vertical="top" indent="1"/>
    </xf>
    <xf numFmtId="0" fontId="47" fillId="2" borderId="1" xfId="16" applyFont="1" applyFill="1" applyBorder="1" applyAlignment="1">
      <alignment horizontal="left" vertical="top" indent="1"/>
    </xf>
    <xf numFmtId="10" fontId="22" fillId="6" borderId="7" xfId="16" applyNumberFormat="1" applyFont="1" applyFill="1" applyBorder="1" applyAlignment="1">
      <alignment horizontal="left" vertical="top" indent="1"/>
    </xf>
    <xf numFmtId="10" fontId="22" fillId="14" borderId="0" xfId="6" applyNumberFormat="1" applyFont="1" applyFill="1" applyAlignment="1">
      <alignment horizontal="left" vertical="top" indent="1"/>
    </xf>
    <xf numFmtId="0" fontId="22" fillId="2" borderId="13" xfId="16" applyFont="1" applyFill="1" applyBorder="1" applyAlignment="1">
      <alignment horizontal="left" vertical="top" indent="1"/>
    </xf>
    <xf numFmtId="0" fontId="22" fillId="2" borderId="14" xfId="16" applyFont="1" applyFill="1" applyBorder="1" applyAlignment="1">
      <alignment horizontal="left" vertical="top" indent="1"/>
    </xf>
    <xf numFmtId="0" fontId="22" fillId="2" borderId="15" xfId="16" applyFont="1" applyFill="1" applyBorder="1" applyAlignment="1">
      <alignment horizontal="left" vertical="top" indent="1"/>
    </xf>
    <xf numFmtId="0" fontId="22" fillId="14" borderId="0" xfId="16" applyFont="1" applyFill="1" applyBorder="1" applyAlignment="1">
      <alignment horizontal="left" vertical="top" indent="1"/>
    </xf>
    <xf numFmtId="0" fontId="0" fillId="14" borderId="0" xfId="0" applyFill="1" applyAlignment="1">
      <alignment horizontal="left" vertical="top" indent="1"/>
    </xf>
    <xf numFmtId="0" fontId="21" fillId="14" borderId="0" xfId="16" applyFill="1" applyAlignment="1">
      <alignment horizontal="left" vertical="top" indent="1"/>
    </xf>
    <xf numFmtId="0" fontId="35" fillId="0" borderId="0" xfId="16" applyFont="1" applyFill="1" applyBorder="1" applyAlignment="1">
      <alignment horizontal="left" vertical="top" indent="1"/>
    </xf>
    <xf numFmtId="0" fontId="43" fillId="2" borderId="7" xfId="16" applyFont="1" applyFill="1" applyBorder="1" applyAlignment="1">
      <alignment horizontal="left" vertical="top" indent="1"/>
    </xf>
    <xf numFmtId="0" fontId="37" fillId="7" borderId="22" xfId="16" applyFont="1" applyFill="1" applyBorder="1" applyAlignment="1">
      <alignment horizontal="left" vertical="top" indent="1"/>
    </xf>
    <xf numFmtId="0" fontId="37" fillId="7" borderId="0" xfId="16" applyFont="1" applyFill="1" applyBorder="1" applyAlignment="1">
      <alignment horizontal="left" vertical="top" indent="1"/>
    </xf>
    <xf numFmtId="9" fontId="21" fillId="14" borderId="0" xfId="6" applyFont="1" applyFill="1" applyAlignment="1">
      <alignment horizontal="left" vertical="top" indent="1"/>
    </xf>
    <xf numFmtId="168" fontId="22" fillId="2" borderId="16" xfId="16" applyNumberFormat="1" applyFont="1" applyFill="1" applyBorder="1" applyAlignment="1">
      <alignment horizontal="left" vertical="top" indent="1"/>
    </xf>
    <xf numFmtId="0" fontId="22" fillId="7" borderId="23" xfId="16" applyFont="1" applyFill="1" applyBorder="1" applyAlignment="1">
      <alignment horizontal="left" vertical="top" indent="1"/>
    </xf>
    <xf numFmtId="0" fontId="37" fillId="7" borderId="41" xfId="16" applyFont="1" applyFill="1" applyBorder="1" applyAlignment="1">
      <alignment horizontal="left" vertical="top" indent="1"/>
    </xf>
    <xf numFmtId="168" fontId="22" fillId="2" borderId="21" xfId="16" applyNumberFormat="1" applyFont="1" applyFill="1" applyBorder="1" applyAlignment="1">
      <alignment horizontal="left" vertical="top" indent="1"/>
    </xf>
    <xf numFmtId="10" fontId="22" fillId="2" borderId="21" xfId="3" applyNumberFormat="1" applyFont="1" applyFill="1" applyBorder="1" applyAlignment="1">
      <alignment horizontal="left" vertical="top" indent="1"/>
    </xf>
    <xf numFmtId="0" fontId="43" fillId="2" borderId="42" xfId="16" applyFont="1" applyFill="1" applyBorder="1" applyAlignment="1">
      <alignment horizontal="left" vertical="top" indent="1"/>
    </xf>
    <xf numFmtId="0" fontId="47" fillId="2" borderId="20" xfId="16" applyFont="1" applyFill="1" applyBorder="1" applyAlignment="1">
      <alignment horizontal="left" vertical="top" indent="1"/>
    </xf>
    <xf numFmtId="0" fontId="47" fillId="2" borderId="45" xfId="16" applyFont="1" applyFill="1" applyBorder="1" applyAlignment="1">
      <alignment horizontal="left" vertical="top" indent="1"/>
    </xf>
    <xf numFmtId="168" fontId="47" fillId="2" borderId="45" xfId="16" applyNumberFormat="1" applyFont="1" applyFill="1" applyBorder="1" applyAlignment="1">
      <alignment horizontal="left" vertical="top" indent="1"/>
    </xf>
    <xf numFmtId="168" fontId="47" fillId="2" borderId="20" xfId="16" applyNumberFormat="1" applyFont="1" applyFill="1" applyBorder="1" applyAlignment="1">
      <alignment horizontal="left" vertical="top" indent="1"/>
    </xf>
    <xf numFmtId="0" fontId="35" fillId="2" borderId="10" xfId="16" applyFont="1" applyFill="1" applyBorder="1" applyAlignment="1">
      <alignment horizontal="left" vertical="top" indent="1"/>
    </xf>
    <xf numFmtId="0" fontId="35" fillId="2" borderId="19" xfId="16" applyFont="1" applyFill="1" applyBorder="1" applyAlignment="1">
      <alignment horizontal="left" vertical="top" indent="1"/>
    </xf>
    <xf numFmtId="168" fontId="47" fillId="2" borderId="10" xfId="16" applyNumberFormat="1" applyFont="1" applyFill="1" applyBorder="1" applyAlignment="1">
      <alignment horizontal="left" vertical="top" indent="1"/>
    </xf>
    <xf numFmtId="168" fontId="51" fillId="14" borderId="0" xfId="16" applyNumberFormat="1" applyFont="1" applyFill="1" applyAlignment="1">
      <alignment horizontal="left" vertical="top" indent="1"/>
    </xf>
    <xf numFmtId="172" fontId="21" fillId="14" borderId="0" xfId="16" applyNumberFormat="1" applyFill="1" applyAlignment="1">
      <alignment horizontal="left" vertical="top" indent="1"/>
    </xf>
    <xf numFmtId="0" fontId="0" fillId="2" borderId="34" xfId="0" applyFont="1" applyFill="1" applyBorder="1" applyAlignment="1">
      <alignment horizontal="left" vertical="top" wrapText="1" indent="1"/>
    </xf>
    <xf numFmtId="0" fontId="22" fillId="2" borderId="35" xfId="16" applyFont="1" applyFill="1" applyBorder="1" applyAlignment="1">
      <alignment horizontal="left" vertical="top" indent="1"/>
    </xf>
    <xf numFmtId="0" fontId="22" fillId="2" borderId="36" xfId="16" applyFont="1" applyFill="1" applyBorder="1" applyAlignment="1">
      <alignment horizontal="left" vertical="top" indent="1"/>
    </xf>
    <xf numFmtId="0" fontId="22" fillId="2" borderId="35" xfId="16" applyFont="1" applyFill="1" applyBorder="1" applyAlignment="1">
      <alignment horizontal="left" vertical="top" wrapText="1" indent="1"/>
    </xf>
    <xf numFmtId="0" fontId="0" fillId="2" borderId="0" xfId="0" applyFont="1" applyFill="1" applyAlignment="1">
      <alignment horizontal="left" vertical="top" indent="1"/>
    </xf>
    <xf numFmtId="0" fontId="38" fillId="7" borderId="22" xfId="16" applyFont="1" applyFill="1" applyBorder="1" applyAlignment="1">
      <alignment horizontal="left" vertical="top" indent="1"/>
    </xf>
    <xf numFmtId="168" fontId="22" fillId="2" borderId="27" xfId="16" applyNumberFormat="1" applyFont="1" applyFill="1" applyBorder="1" applyAlignment="1">
      <alignment horizontal="left" vertical="top" indent="1"/>
    </xf>
    <xf numFmtId="168" fontId="35" fillId="2" borderId="43" xfId="16" applyNumberFormat="1" applyFont="1" applyFill="1" applyBorder="1" applyAlignment="1">
      <alignment horizontal="left" vertical="top" indent="1"/>
    </xf>
    <xf numFmtId="0" fontId="0" fillId="14" borderId="0" xfId="0" applyFill="1" applyBorder="1" applyAlignment="1">
      <alignment horizontal="left" vertical="center" indent="1"/>
    </xf>
    <xf numFmtId="0" fontId="0" fillId="14" borderId="0" xfId="0" applyFill="1" applyAlignment="1">
      <alignment horizontal="left" vertical="center" indent="1"/>
    </xf>
    <xf numFmtId="0" fontId="50" fillId="14" borderId="0" xfId="0" applyFont="1" applyFill="1" applyAlignment="1">
      <alignment horizontal="left" vertical="center" indent="1"/>
    </xf>
    <xf numFmtId="3" fontId="0" fillId="14" borderId="0" xfId="0" applyNumberFormat="1" applyFill="1" applyAlignment="1">
      <alignment horizontal="left" vertical="center" indent="1"/>
    </xf>
    <xf numFmtId="0" fontId="51" fillId="14" borderId="0" xfId="0" applyFont="1" applyFill="1" applyAlignment="1">
      <alignment horizontal="left" vertical="center" indent="1"/>
    </xf>
    <xf numFmtId="0" fontId="185" fillId="14" borderId="0" xfId="0" applyFont="1" applyFill="1" applyBorder="1" applyAlignment="1">
      <alignment horizontal="left" vertical="center" wrapText="1" indent="1"/>
    </xf>
    <xf numFmtId="0" fontId="51" fillId="5" borderId="0" xfId="0" applyFont="1" applyFill="1" applyAlignment="1">
      <alignment horizontal="left" vertical="center" indent="1"/>
    </xf>
    <xf numFmtId="0" fontId="21" fillId="5" borderId="0" xfId="0" applyFont="1" applyFill="1" applyAlignment="1">
      <alignment horizontal="left" vertical="center" indent="1"/>
    </xf>
    <xf numFmtId="0" fontId="0" fillId="4" borderId="0" xfId="0" applyFill="1" applyAlignment="1">
      <alignment horizontal="left" vertical="center" indent="1"/>
    </xf>
    <xf numFmtId="0" fontId="0" fillId="6" borderId="9" xfId="0" applyFill="1" applyBorder="1" applyAlignment="1">
      <alignment horizontal="left" vertical="center" wrapText="1" indent="1"/>
    </xf>
    <xf numFmtId="0" fontId="0" fillId="7" borderId="27" xfId="0" applyFill="1" applyBorder="1" applyAlignment="1">
      <alignment horizontal="left" vertical="center" indent="1"/>
    </xf>
    <xf numFmtId="173" fontId="38" fillId="87" borderId="18" xfId="15" applyNumberFormat="1" applyFont="1" applyFill="1" applyBorder="1" applyAlignment="1">
      <alignment horizontal="left" vertical="center" indent="1"/>
    </xf>
    <xf numFmtId="0" fontId="22" fillId="7" borderId="27" xfId="0" applyFont="1" applyFill="1" applyBorder="1" applyAlignment="1">
      <alignment horizontal="left" vertical="center" indent="1"/>
    </xf>
    <xf numFmtId="0" fontId="22" fillId="7" borderId="1" xfId="0" applyFont="1" applyFill="1" applyBorder="1" applyAlignment="1">
      <alignment horizontal="left" vertical="center" indent="1"/>
    </xf>
    <xf numFmtId="168" fontId="49" fillId="14" borderId="0" xfId="5" applyNumberFormat="1" applyFont="1" applyFill="1" applyBorder="1" applyAlignment="1">
      <alignment horizontal="left" vertical="center" indent="1"/>
    </xf>
    <xf numFmtId="0" fontId="22" fillId="14" borderId="0" xfId="1" applyFont="1" applyFill="1" applyAlignment="1">
      <alignment horizontal="left" vertical="center" indent="1"/>
    </xf>
    <xf numFmtId="0" fontId="42" fillId="14" borderId="0" xfId="1" applyFont="1" applyFill="1" applyAlignment="1">
      <alignment horizontal="left" vertical="center" indent="1"/>
    </xf>
    <xf numFmtId="3" fontId="22" fillId="14" borderId="0" xfId="1" applyNumberFormat="1" applyFont="1" applyFill="1" applyAlignment="1">
      <alignment horizontal="left" vertical="center" indent="1"/>
    </xf>
    <xf numFmtId="0" fontId="35" fillId="14" borderId="0" xfId="1" applyFont="1" applyFill="1" applyAlignment="1">
      <alignment horizontal="left" vertical="center" indent="1"/>
    </xf>
    <xf numFmtId="0" fontId="22" fillId="6" borderId="26" xfId="1" applyFont="1" applyFill="1" applyBorder="1" applyAlignment="1">
      <alignment horizontal="left" vertical="center" indent="1"/>
    </xf>
    <xf numFmtId="0" fontId="35" fillId="5" borderId="0" xfId="1" applyFont="1" applyFill="1" applyAlignment="1">
      <alignment horizontal="left" vertical="center" indent="1"/>
    </xf>
    <xf numFmtId="0" fontId="22" fillId="5" borderId="0" xfId="1" applyFont="1" applyFill="1" applyAlignment="1">
      <alignment horizontal="left" vertical="center" indent="1"/>
    </xf>
    <xf numFmtId="9" fontId="22" fillId="8" borderId="27" xfId="1" applyNumberFormat="1" applyFont="1" applyFill="1" applyBorder="1" applyAlignment="1">
      <alignment horizontal="left" vertical="center" indent="1"/>
    </xf>
    <xf numFmtId="0" fontId="22" fillId="14" borderId="13" xfId="1" applyFont="1" applyFill="1" applyBorder="1" applyAlignment="1">
      <alignment horizontal="left" vertical="center" indent="1"/>
    </xf>
    <xf numFmtId="0" fontId="22" fillId="2" borderId="35" xfId="1" applyFont="1" applyFill="1" applyBorder="1" applyAlignment="1">
      <alignment horizontal="left" vertical="center" indent="1"/>
    </xf>
    <xf numFmtId="0" fontId="22" fillId="2" borderId="36" xfId="1" applyFont="1" applyFill="1" applyBorder="1" applyAlignment="1">
      <alignment horizontal="left" vertical="center" indent="1"/>
    </xf>
    <xf numFmtId="0" fontId="22" fillId="2" borderId="36" xfId="1" applyFont="1" applyFill="1" applyBorder="1" applyAlignment="1">
      <alignment horizontal="left" vertical="center" wrapText="1" indent="1"/>
    </xf>
    <xf numFmtId="0" fontId="22" fillId="2" borderId="37" xfId="1" applyFont="1" applyFill="1" applyBorder="1" applyAlignment="1">
      <alignment horizontal="left" vertical="center" wrapText="1" indent="1"/>
    </xf>
    <xf numFmtId="0" fontId="22" fillId="2" borderId="38" xfId="1" applyFont="1" applyFill="1" applyBorder="1" applyAlignment="1">
      <alignment horizontal="left" vertical="center" wrapText="1" indent="1"/>
    </xf>
    <xf numFmtId="0" fontId="22" fillId="6" borderId="26" xfId="1" applyFont="1" applyFill="1" applyBorder="1" applyAlignment="1">
      <alignment horizontal="left" vertical="center" wrapText="1" indent="1"/>
    </xf>
    <xf numFmtId="0" fontId="22" fillId="6" borderId="27" xfId="1" applyFont="1" applyFill="1" applyBorder="1" applyAlignment="1">
      <alignment horizontal="left" vertical="center" indent="1"/>
    </xf>
    <xf numFmtId="0" fontId="22" fillId="2" borderId="22" xfId="1" applyFont="1" applyFill="1" applyBorder="1" applyAlignment="1">
      <alignment horizontal="left" vertical="center" wrapText="1" indent="1"/>
    </xf>
    <xf numFmtId="0" fontId="22" fillId="2" borderId="18" xfId="1" applyFont="1" applyFill="1" applyBorder="1" applyAlignment="1">
      <alignment horizontal="left" vertical="center" wrapText="1" indent="1"/>
    </xf>
    <xf numFmtId="0" fontId="22" fillId="6" borderId="27" xfId="1" applyFont="1" applyFill="1" applyBorder="1" applyAlignment="1">
      <alignment horizontal="left" vertical="center" wrapText="1" indent="1"/>
    </xf>
    <xf numFmtId="174" fontId="38" fillId="87" borderId="16" xfId="15" applyNumberFormat="1" applyFont="1" applyFill="1" applyBorder="1" applyAlignment="1">
      <alignment horizontal="left" vertical="center" indent="1"/>
    </xf>
    <xf numFmtId="175" fontId="12" fillId="2" borderId="22" xfId="6" applyNumberFormat="1" applyFont="1" applyFill="1" applyBorder="1" applyAlignment="1">
      <alignment horizontal="left" vertical="center" indent="1"/>
    </xf>
    <xf numFmtId="174" fontId="38" fillId="8" borderId="16" xfId="15" applyNumberFormat="1" applyFont="1" applyFill="1" applyBorder="1" applyAlignment="1">
      <alignment horizontal="left" vertical="center" indent="1"/>
    </xf>
    <xf numFmtId="174" fontId="38" fillId="87" borderId="8" xfId="15" applyNumberFormat="1" applyFont="1" applyFill="1" applyBorder="1" applyAlignment="1">
      <alignment horizontal="left" vertical="center" indent="1"/>
    </xf>
    <xf numFmtId="173" fontId="38" fillId="7" borderId="18" xfId="15" applyNumberFormat="1" applyFont="1" applyFill="1" applyBorder="1" applyAlignment="1">
      <alignment horizontal="left" vertical="center" indent="1"/>
    </xf>
    <xf numFmtId="0" fontId="22" fillId="14" borderId="0" xfId="1" applyFont="1" applyFill="1" applyBorder="1" applyAlignment="1">
      <alignment horizontal="left" vertical="center" indent="1"/>
    </xf>
    <xf numFmtId="174" fontId="38" fillId="87" borderId="10" xfId="15" applyNumberFormat="1" applyFont="1" applyFill="1" applyBorder="1" applyAlignment="1">
      <alignment horizontal="left" vertical="center" indent="1"/>
    </xf>
    <xf numFmtId="220" fontId="0" fillId="14" borderId="0" xfId="0" applyNumberFormat="1" applyFill="1" applyBorder="1" applyAlignment="1">
      <alignment horizontal="left" vertical="center" indent="1"/>
    </xf>
    <xf numFmtId="0" fontId="16" fillId="14" borderId="0" xfId="0" applyFont="1" applyFill="1" applyAlignment="1">
      <alignment horizontal="left" vertical="center" indent="1"/>
    </xf>
    <xf numFmtId="215" fontId="45" fillId="87" borderId="16" xfId="0" applyNumberFormat="1" applyFont="1" applyFill="1" applyBorder="1" applyAlignment="1">
      <alignment horizontal="left" vertical="center" indent="1"/>
    </xf>
    <xf numFmtId="215" fontId="38" fillId="87" borderId="16" xfId="0" applyNumberFormat="1" applyFont="1" applyFill="1" applyBorder="1" applyAlignment="1">
      <alignment horizontal="left" vertical="center" indent="1"/>
    </xf>
    <xf numFmtId="0" fontId="0" fillId="2" borderId="9" xfId="0" applyFont="1" applyFill="1" applyBorder="1" applyAlignment="1">
      <alignment horizontal="left" vertical="center" indent="1"/>
    </xf>
    <xf numFmtId="0" fontId="16" fillId="2" borderId="9" xfId="0" applyFont="1" applyFill="1" applyBorder="1" applyAlignment="1">
      <alignment horizontal="left" vertical="center" indent="1"/>
    </xf>
    <xf numFmtId="0" fontId="16" fillId="2" borderId="10" xfId="0" applyFont="1" applyFill="1" applyBorder="1" applyAlignment="1">
      <alignment horizontal="left" vertical="center" indent="1"/>
    </xf>
    <xf numFmtId="0" fontId="0" fillId="7" borderId="16" xfId="0" applyFont="1" applyFill="1" applyBorder="1" applyAlignment="1">
      <alignment horizontal="left" vertical="center" indent="1"/>
    </xf>
    <xf numFmtId="0" fontId="16" fillId="2" borderId="11" xfId="0" applyFont="1" applyFill="1" applyBorder="1" applyAlignment="1">
      <alignment horizontal="left" vertical="center" indent="1"/>
    </xf>
    <xf numFmtId="0" fontId="16" fillId="2" borderId="12" xfId="0" applyFont="1" applyFill="1" applyBorder="1" applyAlignment="1">
      <alignment horizontal="left" vertical="center" indent="1"/>
    </xf>
    <xf numFmtId="0" fontId="16" fillId="2" borderId="89" xfId="0" applyFont="1" applyFill="1" applyBorder="1" applyAlignment="1">
      <alignment horizontal="left" vertical="center" indent="1"/>
    </xf>
    <xf numFmtId="0" fontId="16" fillId="2" borderId="5" xfId="0" applyFont="1" applyFill="1" applyBorder="1" applyAlignment="1">
      <alignment horizontal="left" vertical="center" indent="1"/>
    </xf>
    <xf numFmtId="6" fontId="0" fillId="2" borderId="16" xfId="15" applyNumberFormat="1" applyFont="1" applyFill="1" applyBorder="1" applyAlignment="1">
      <alignment horizontal="left" vertical="center" indent="1"/>
    </xf>
    <xf numFmtId="6" fontId="0" fillId="6" borderId="16" xfId="15" applyNumberFormat="1" applyFont="1" applyFill="1" applyBorder="1" applyAlignment="1">
      <alignment horizontal="left" vertical="center" indent="1"/>
    </xf>
    <xf numFmtId="6" fontId="49" fillId="127" borderId="9" xfId="0" applyNumberFormat="1" applyFont="1" applyFill="1" applyBorder="1" applyAlignment="1">
      <alignment horizontal="left" vertical="center" indent="1"/>
    </xf>
    <xf numFmtId="0" fontId="35" fillId="5" borderId="8" xfId="0" applyFont="1" applyFill="1" applyBorder="1" applyAlignment="1">
      <alignment horizontal="left" vertical="center" indent="1"/>
    </xf>
    <xf numFmtId="0" fontId="16" fillId="2" borderId="96" xfId="0" applyFont="1" applyFill="1" applyBorder="1" applyAlignment="1">
      <alignment horizontal="left" vertical="center" indent="1"/>
    </xf>
    <xf numFmtId="0" fontId="16" fillId="6" borderId="9" xfId="0" applyFont="1" applyFill="1" applyBorder="1" applyAlignment="1">
      <alignment horizontal="left" vertical="center" indent="1"/>
    </xf>
    <xf numFmtId="0" fontId="16" fillId="6" borderId="32" xfId="0" applyFont="1" applyFill="1" applyBorder="1" applyAlignment="1">
      <alignment horizontal="left" vertical="center" indent="1"/>
    </xf>
    <xf numFmtId="0" fontId="16" fillId="6" borderId="10" xfId="0" applyFont="1" applyFill="1" applyBorder="1" applyAlignment="1">
      <alignment horizontal="left" vertical="center" indent="1"/>
    </xf>
    <xf numFmtId="0" fontId="16" fillId="2" borderId="19" xfId="0" applyFont="1" applyFill="1" applyBorder="1" applyAlignment="1">
      <alignment horizontal="left" vertical="center" indent="1"/>
    </xf>
    <xf numFmtId="0" fontId="16" fillId="6" borderId="11" xfId="0" applyFont="1" applyFill="1" applyBorder="1" applyAlignment="1">
      <alignment horizontal="left" vertical="center" indent="1"/>
    </xf>
    <xf numFmtId="0" fontId="16" fillId="2" borderId="44" xfId="0" applyFont="1" applyFill="1" applyBorder="1" applyAlignment="1">
      <alignment horizontal="left" vertical="center" indent="1"/>
    </xf>
    <xf numFmtId="0" fontId="16" fillId="6" borderId="33" xfId="0" applyFont="1" applyFill="1" applyBorder="1" applyAlignment="1">
      <alignment horizontal="left" vertical="center" indent="1"/>
    </xf>
    <xf numFmtId="168" fontId="16" fillId="6" borderId="32" xfId="5" applyNumberFormat="1" applyFont="1" applyFill="1" applyBorder="1" applyAlignment="1">
      <alignment horizontal="left" vertical="center" indent="1"/>
    </xf>
    <xf numFmtId="0" fontId="16" fillId="2" borderId="33" xfId="0" applyFont="1" applyFill="1" applyBorder="1" applyAlignment="1">
      <alignment horizontal="left" vertical="center" indent="1"/>
    </xf>
    <xf numFmtId="0" fontId="16" fillId="2" borderId="32" xfId="0" applyFont="1" applyFill="1" applyBorder="1" applyAlignment="1">
      <alignment horizontal="left" vertical="center" indent="1"/>
    </xf>
    <xf numFmtId="0" fontId="16" fillId="0" borderId="10" xfId="0" applyFont="1" applyBorder="1" applyAlignment="1">
      <alignment horizontal="left" vertical="center" indent="1"/>
    </xf>
    <xf numFmtId="168" fontId="16" fillId="6" borderId="10" xfId="5" applyNumberFormat="1" applyFont="1" applyFill="1" applyBorder="1" applyAlignment="1">
      <alignment horizontal="left" vertical="center" indent="1"/>
    </xf>
    <xf numFmtId="0" fontId="49" fillId="2" borderId="9" xfId="0" applyFont="1" applyFill="1" applyBorder="1" applyAlignment="1">
      <alignment horizontal="left" vertical="center" wrapText="1" indent="1"/>
    </xf>
    <xf numFmtId="0" fontId="18" fillId="2" borderId="9" xfId="0" applyFont="1" applyFill="1" applyBorder="1" applyAlignment="1">
      <alignment horizontal="left" vertical="center" indent="1"/>
    </xf>
    <xf numFmtId="0" fontId="18" fillId="2" borderId="10" xfId="0" applyFont="1" applyFill="1" applyBorder="1" applyAlignment="1">
      <alignment horizontal="left" vertical="center" indent="1"/>
    </xf>
    <xf numFmtId="6" fontId="49" fillId="2" borderId="16" xfId="0" applyNumberFormat="1" applyFont="1" applyFill="1" applyBorder="1" applyAlignment="1">
      <alignment horizontal="left" vertical="center" indent="1"/>
    </xf>
    <xf numFmtId="6" fontId="49" fillId="6" borderId="16" xfId="0" applyNumberFormat="1" applyFont="1" applyFill="1" applyBorder="1" applyAlignment="1">
      <alignment horizontal="left" vertical="center" indent="1"/>
    </xf>
    <xf numFmtId="0" fontId="0" fillId="84" borderId="0" xfId="0" applyFont="1" applyFill="1" applyBorder="1" applyAlignment="1">
      <alignment horizontal="left" vertical="center" indent="1"/>
    </xf>
    <xf numFmtId="0" fontId="0" fillId="84" borderId="0" xfId="0" applyFont="1" applyFill="1" applyAlignment="1">
      <alignment horizontal="left" vertical="center" indent="1"/>
    </xf>
    <xf numFmtId="0" fontId="16" fillId="2" borderId="16" xfId="0" applyFont="1" applyFill="1" applyBorder="1" applyAlignment="1">
      <alignment horizontal="left" vertical="center" indent="1"/>
    </xf>
    <xf numFmtId="220" fontId="38" fillId="87" borderId="16" xfId="0" applyNumberFormat="1" applyFont="1" applyFill="1" applyBorder="1" applyAlignment="1">
      <alignment horizontal="left" vertical="center" indent="1"/>
    </xf>
    <xf numFmtId="0" fontId="22" fillId="84" borderId="9" xfId="0" applyFont="1" applyFill="1" applyBorder="1" applyAlignment="1">
      <alignment horizontal="left" vertical="center" indent="1"/>
    </xf>
    <xf numFmtId="0" fontId="22" fillId="6" borderId="9" xfId="0" applyFont="1" applyFill="1" applyBorder="1" applyAlignment="1">
      <alignment horizontal="left" vertical="center" wrapText="1" indent="1"/>
    </xf>
    <xf numFmtId="169" fontId="38" fillId="128" borderId="16" xfId="15" applyNumberFormat="1" applyFont="1" applyFill="1" applyBorder="1" applyAlignment="1">
      <alignment horizontal="left" vertical="center" indent="1"/>
    </xf>
    <xf numFmtId="215" fontId="38" fillId="128" borderId="16" xfId="15" applyNumberFormat="1" applyFont="1" applyFill="1" applyBorder="1" applyAlignment="1">
      <alignment horizontal="left" vertical="center" indent="1"/>
    </xf>
    <xf numFmtId="0" fontId="0" fillId="125" borderId="9" xfId="0" applyFont="1" applyFill="1" applyBorder="1" applyAlignment="1">
      <alignment horizontal="left" vertical="center" indent="1"/>
    </xf>
    <xf numFmtId="169" fontId="38" fillId="125" borderId="9" xfId="15" applyNumberFormat="1" applyFont="1" applyFill="1" applyBorder="1" applyAlignment="1">
      <alignment horizontal="left" vertical="center" indent="1"/>
    </xf>
    <xf numFmtId="215" fontId="38" fillId="125" borderId="9" xfId="15" applyNumberFormat="1" applyFont="1" applyFill="1" applyBorder="1" applyAlignment="1">
      <alignment horizontal="left" vertical="center" indent="1"/>
    </xf>
    <xf numFmtId="173" fontId="38" fillId="125" borderId="9" xfId="15" applyNumberFormat="1" applyFont="1" applyFill="1" applyBorder="1" applyAlignment="1">
      <alignment horizontal="left" vertical="center" indent="1"/>
    </xf>
    <xf numFmtId="1" fontId="38" fillId="125" borderId="9" xfId="15" applyNumberFormat="1" applyFont="1" applyFill="1" applyBorder="1" applyAlignment="1">
      <alignment horizontal="left" vertical="center" indent="1"/>
    </xf>
    <xf numFmtId="220" fontId="38" fillId="125" borderId="9" xfId="15" applyNumberFormat="1" applyFont="1" applyFill="1" applyBorder="1" applyAlignment="1">
      <alignment horizontal="left" vertical="center" indent="1"/>
    </xf>
    <xf numFmtId="220" fontId="38" fillId="125" borderId="9" xfId="5" applyNumberFormat="1" applyFont="1" applyFill="1" applyBorder="1" applyAlignment="1">
      <alignment horizontal="left" vertical="center" indent="1"/>
    </xf>
    <xf numFmtId="6" fontId="0" fillId="125" borderId="9" xfId="15" applyNumberFormat="1" applyFont="1" applyFill="1" applyBorder="1" applyAlignment="1">
      <alignment horizontal="left" vertical="center" indent="1"/>
    </xf>
    <xf numFmtId="6" fontId="22" fillId="125" borderId="9" xfId="15" applyNumberFormat="1" applyFont="1" applyFill="1" applyBorder="1" applyAlignment="1">
      <alignment horizontal="left" vertical="center" indent="1"/>
    </xf>
    <xf numFmtId="6" fontId="49" fillId="125" borderId="9" xfId="0" applyNumberFormat="1" applyFont="1" applyFill="1" applyBorder="1" applyAlignment="1">
      <alignment horizontal="left" vertical="center" indent="1"/>
    </xf>
    <xf numFmtId="6" fontId="12" fillId="125" borderId="9" xfId="15" applyNumberFormat="1" applyFont="1" applyFill="1" applyBorder="1" applyAlignment="1">
      <alignment horizontal="left" vertical="center" indent="1"/>
    </xf>
    <xf numFmtId="220" fontId="0" fillId="87" borderId="18" xfId="5" applyNumberFormat="1" applyFont="1" applyFill="1" applyBorder="1" applyAlignment="1">
      <alignment horizontal="left" vertical="center" indent="1"/>
    </xf>
    <xf numFmtId="220" fontId="38" fillId="87" borderId="18" xfId="5" applyNumberFormat="1" applyFont="1" applyFill="1" applyBorder="1" applyAlignment="1">
      <alignment horizontal="left" vertical="center" indent="1"/>
    </xf>
    <xf numFmtId="220" fontId="186" fillId="7" borderId="16" xfId="15" applyNumberFormat="1" applyFont="1" applyFill="1" applyBorder="1" applyAlignment="1">
      <alignment horizontal="left" vertical="center" indent="1"/>
    </xf>
    <xf numFmtId="0" fontId="186" fillId="14" borderId="0" xfId="0" applyFont="1" applyFill="1" applyBorder="1" applyAlignment="1">
      <alignment horizontal="left" vertical="center" indent="1"/>
    </xf>
    <xf numFmtId="6" fontId="186" fillId="2" borderId="16" xfId="15" applyNumberFormat="1" applyFont="1" applyFill="1" applyBorder="1" applyAlignment="1">
      <alignment horizontal="left" vertical="center" indent="1"/>
    </xf>
    <xf numFmtId="0" fontId="189" fillId="14" borderId="0" xfId="0" applyFont="1" applyFill="1" applyBorder="1" applyAlignment="1">
      <alignment horizontal="left" vertical="center" indent="1"/>
    </xf>
    <xf numFmtId="0" fontId="232" fillId="14" borderId="0" xfId="0" applyFont="1" applyFill="1" applyBorder="1" applyAlignment="1">
      <alignment horizontal="left" vertical="center" indent="1"/>
    </xf>
    <xf numFmtId="6" fontId="232" fillId="2" borderId="16" xfId="15" applyNumberFormat="1" applyFont="1" applyFill="1" applyBorder="1" applyAlignment="1">
      <alignment horizontal="left" vertical="center" indent="1"/>
    </xf>
    <xf numFmtId="0" fontId="16" fillId="84" borderId="9" xfId="0" applyFont="1" applyFill="1" applyBorder="1" applyAlignment="1">
      <alignment horizontal="left" vertical="center" indent="1"/>
    </xf>
    <xf numFmtId="0" fontId="0" fillId="8" borderId="16" xfId="0" applyFont="1" applyFill="1" applyBorder="1" applyAlignment="1">
      <alignment horizontal="left" vertical="center" indent="1"/>
    </xf>
    <xf numFmtId="0" fontId="0" fillId="125" borderId="32" xfId="0" applyFont="1" applyFill="1" applyBorder="1" applyAlignment="1">
      <alignment horizontal="left" vertical="center" indent="1"/>
    </xf>
    <xf numFmtId="173" fontId="38" fillId="87" borderId="0" xfId="15" applyNumberFormat="1" applyFont="1" applyFill="1" applyBorder="1" applyAlignment="1">
      <alignment horizontal="left" vertical="center" indent="1"/>
    </xf>
    <xf numFmtId="0" fontId="0" fillId="84" borderId="9" xfId="0" applyFill="1" applyBorder="1" applyAlignment="1">
      <alignment horizontal="left" vertical="center" indent="1"/>
    </xf>
    <xf numFmtId="169" fontId="38" fillId="84" borderId="9" xfId="0" applyNumberFormat="1" applyFont="1" applyFill="1" applyBorder="1" applyAlignment="1">
      <alignment horizontal="left" vertical="center" indent="1"/>
    </xf>
    <xf numFmtId="0" fontId="38" fillId="84" borderId="9" xfId="0" applyFont="1" applyFill="1" applyBorder="1" applyAlignment="1">
      <alignment horizontal="left" vertical="center" indent="1"/>
    </xf>
    <xf numFmtId="0" fontId="16" fillId="14" borderId="0" xfId="0" applyFont="1" applyFill="1" applyBorder="1" applyAlignment="1">
      <alignment horizontal="left" vertical="center" indent="1"/>
    </xf>
    <xf numFmtId="0" fontId="16" fillId="2" borderId="27" xfId="0" applyFont="1" applyFill="1" applyBorder="1" applyAlignment="1">
      <alignment horizontal="left" vertical="center" indent="1"/>
    </xf>
    <xf numFmtId="0" fontId="16" fillId="2" borderId="0" xfId="0" applyFont="1" applyFill="1" applyBorder="1" applyAlignment="1">
      <alignment horizontal="left" vertical="center" indent="1"/>
    </xf>
    <xf numFmtId="0" fontId="16" fillId="2" borderId="17" xfId="0" applyFont="1" applyFill="1" applyBorder="1" applyAlignment="1">
      <alignment horizontal="left" vertical="center" indent="1"/>
    </xf>
    <xf numFmtId="0" fontId="16" fillId="6" borderId="17" xfId="0" applyFont="1" applyFill="1" applyBorder="1" applyAlignment="1">
      <alignment horizontal="left" vertical="center" indent="1"/>
    </xf>
    <xf numFmtId="0" fontId="16" fillId="2" borderId="22" xfId="0" applyFont="1" applyFill="1" applyBorder="1" applyAlignment="1">
      <alignment horizontal="left" vertical="center" indent="1"/>
    </xf>
    <xf numFmtId="0" fontId="16" fillId="2" borderId="18" xfId="0" applyFont="1" applyFill="1" applyBorder="1" applyAlignment="1">
      <alignment horizontal="left" vertical="center" indent="1"/>
    </xf>
    <xf numFmtId="0" fontId="16" fillId="2" borderId="8" xfId="0" applyFont="1" applyFill="1" applyBorder="1" applyAlignment="1">
      <alignment horizontal="left" vertical="center" indent="1"/>
    </xf>
    <xf numFmtId="169" fontId="38" fillId="84" borderId="10" xfId="0" applyNumberFormat="1" applyFont="1" applyFill="1" applyBorder="1" applyAlignment="1">
      <alignment horizontal="left" vertical="center" indent="1"/>
    </xf>
    <xf numFmtId="169" fontId="38" fillId="84" borderId="87" xfId="0" applyNumberFormat="1" applyFont="1" applyFill="1" applyBorder="1" applyAlignment="1">
      <alignment horizontal="left" vertical="center" indent="1"/>
    </xf>
    <xf numFmtId="0" fontId="16" fillId="2" borderId="1" xfId="0" applyFont="1" applyFill="1" applyBorder="1" applyAlignment="1">
      <alignment horizontal="left" vertical="center" indent="1"/>
    </xf>
    <xf numFmtId="0" fontId="16" fillId="2" borderId="87" xfId="0" applyFont="1" applyFill="1" applyBorder="1" applyAlignment="1">
      <alignment horizontal="left" vertical="center" indent="1"/>
    </xf>
    <xf numFmtId="0" fontId="16" fillId="2" borderId="7" xfId="0" applyFont="1" applyFill="1" applyBorder="1" applyAlignment="1">
      <alignment horizontal="left" vertical="center" indent="1"/>
    </xf>
    <xf numFmtId="169" fontId="232" fillId="7" borderId="16" xfId="15" applyNumberFormat="1" applyFont="1" applyFill="1" applyBorder="1" applyAlignment="1">
      <alignment horizontal="left" vertical="center" indent="1"/>
    </xf>
    <xf numFmtId="242" fontId="232" fillId="8" borderId="16" xfId="15" applyNumberFormat="1" applyFont="1" applyFill="1" applyBorder="1" applyAlignment="1">
      <alignment horizontal="left" vertical="center" indent="1"/>
    </xf>
    <xf numFmtId="242" fontId="38" fillId="128" borderId="16" xfId="15" applyNumberFormat="1" applyFont="1" applyFill="1" applyBorder="1" applyAlignment="1">
      <alignment horizontal="left" vertical="center" indent="1"/>
    </xf>
    <xf numFmtId="242" fontId="38" fillId="128" borderId="8" xfId="15" applyNumberFormat="1" applyFont="1" applyFill="1" applyBorder="1" applyAlignment="1">
      <alignment horizontal="left" vertical="center" indent="1"/>
    </xf>
    <xf numFmtId="169" fontId="38" fillId="128" borderId="8" xfId="15" applyNumberFormat="1" applyFont="1" applyFill="1" applyBorder="1" applyAlignment="1">
      <alignment horizontal="left" vertical="center" indent="1"/>
    </xf>
    <xf numFmtId="215" fontId="38" fillId="128" borderId="18" xfId="15" applyNumberFormat="1" applyFont="1" applyFill="1" applyBorder="1" applyAlignment="1">
      <alignment horizontal="left" vertical="center" indent="1"/>
    </xf>
    <xf numFmtId="169" fontId="38" fillId="128" borderId="18" xfId="15" applyNumberFormat="1" applyFont="1" applyFill="1" applyBorder="1" applyAlignment="1">
      <alignment horizontal="left" vertical="center" indent="1"/>
    </xf>
    <xf numFmtId="215" fontId="38" fillId="128" borderId="0" xfId="15" applyNumberFormat="1" applyFont="1" applyFill="1" applyBorder="1" applyAlignment="1">
      <alignment horizontal="left" vertical="center" indent="1"/>
    </xf>
    <xf numFmtId="169" fontId="38" fillId="128" borderId="16" xfId="0" applyNumberFormat="1" applyFont="1" applyFill="1" applyBorder="1" applyAlignment="1">
      <alignment horizontal="left" vertical="center" indent="1"/>
    </xf>
    <xf numFmtId="0" fontId="233" fillId="14" borderId="0" xfId="0" applyFont="1" applyFill="1" applyBorder="1" applyAlignment="1">
      <alignment horizontal="left" vertical="center" indent="1"/>
    </xf>
    <xf numFmtId="169" fontId="232" fillId="8" borderId="16" xfId="15" applyNumberFormat="1" applyFont="1" applyFill="1" applyBorder="1" applyAlignment="1">
      <alignment horizontal="left" vertical="center" indent="1"/>
    </xf>
    <xf numFmtId="0" fontId="0" fillId="84" borderId="9" xfId="0" applyFont="1" applyFill="1" applyBorder="1" applyAlignment="1">
      <alignment horizontal="left" vertical="center" indent="1"/>
    </xf>
    <xf numFmtId="0" fontId="234" fillId="14" borderId="0" xfId="0" applyFont="1" applyFill="1" applyBorder="1" applyAlignment="1">
      <alignment horizontal="left" vertical="center" indent="1"/>
    </xf>
    <xf numFmtId="220" fontId="232" fillId="8" borderId="16" xfId="15" applyNumberFormat="1" applyFont="1" applyFill="1" applyBorder="1" applyAlignment="1">
      <alignment horizontal="left" vertical="center" indent="1"/>
    </xf>
    <xf numFmtId="242" fontId="0" fillId="87" borderId="18" xfId="0" applyNumberFormat="1" applyFont="1" applyFill="1" applyBorder="1" applyAlignment="1">
      <alignment horizontal="left" vertical="center" indent="1"/>
    </xf>
    <xf numFmtId="242" fontId="0" fillId="87" borderId="16" xfId="0" applyNumberFormat="1" applyFont="1" applyFill="1" applyBorder="1" applyAlignment="1">
      <alignment horizontal="left" vertical="center" indent="1"/>
    </xf>
    <xf numFmtId="242" fontId="0" fillId="87" borderId="8" xfId="0" applyNumberFormat="1" applyFont="1" applyFill="1" applyBorder="1" applyAlignment="1">
      <alignment horizontal="left" vertical="center" indent="1"/>
    </xf>
    <xf numFmtId="242" fontId="0" fillId="87" borderId="0" xfId="0" applyNumberFormat="1" applyFont="1" applyFill="1" applyBorder="1" applyAlignment="1">
      <alignment horizontal="left" vertical="center" indent="1"/>
    </xf>
    <xf numFmtId="242" fontId="38" fillId="87" borderId="16" xfId="15" applyNumberFormat="1" applyFont="1" applyFill="1" applyBorder="1" applyAlignment="1">
      <alignment horizontal="left" vertical="center" indent="1"/>
    </xf>
    <xf numFmtId="0" fontId="38" fillId="125" borderId="22" xfId="16" applyFont="1" applyFill="1" applyBorder="1" applyAlignment="1">
      <alignment horizontal="left" vertical="top" indent="1"/>
    </xf>
    <xf numFmtId="0" fontId="22" fillId="125" borderId="1" xfId="16" applyFont="1" applyFill="1" applyBorder="1" applyAlignment="1">
      <alignment horizontal="left" vertical="top" indent="1"/>
    </xf>
    <xf numFmtId="168" fontId="22" fillId="125" borderId="27" xfId="16" applyNumberFormat="1" applyFont="1" applyFill="1" applyBorder="1" applyAlignment="1">
      <alignment horizontal="left" vertical="top" indent="1"/>
    </xf>
    <xf numFmtId="0" fontId="22" fillId="125" borderId="0" xfId="16" applyFont="1" applyFill="1" applyAlignment="1">
      <alignment horizontal="left" vertical="top" indent="1"/>
    </xf>
    <xf numFmtId="0" fontId="0" fillId="84" borderId="0" xfId="0" applyFill="1" applyAlignment="1">
      <alignment horizontal="left" vertical="center" indent="1"/>
    </xf>
    <xf numFmtId="0" fontId="0" fillId="2" borderId="9" xfId="0" applyFill="1" applyBorder="1" applyAlignment="1">
      <alignment horizontal="left" vertical="center" wrapText="1" indent="1"/>
    </xf>
    <xf numFmtId="0" fontId="0" fillId="127" borderId="9" xfId="0" applyFill="1" applyBorder="1" applyAlignment="1">
      <alignment horizontal="left" vertical="center" indent="1"/>
    </xf>
    <xf numFmtId="174" fontId="38" fillId="127" borderId="9" xfId="15" applyNumberFormat="1" applyFont="1" applyFill="1" applyBorder="1" applyAlignment="1">
      <alignment horizontal="left" vertical="center" indent="1"/>
    </xf>
    <xf numFmtId="215" fontId="38" fillId="127" borderId="9" xfId="15" applyNumberFormat="1" applyFont="1" applyFill="1" applyBorder="1" applyAlignment="1">
      <alignment horizontal="left" vertical="center" indent="1"/>
    </xf>
    <xf numFmtId="220" fontId="38" fillId="127" borderId="9" xfId="15" applyNumberFormat="1" applyFont="1" applyFill="1" applyBorder="1" applyAlignment="1">
      <alignment horizontal="left" vertical="center" indent="1"/>
    </xf>
    <xf numFmtId="6" fontId="0" fillId="125" borderId="9" xfId="0" applyNumberFormat="1" applyFont="1" applyFill="1" applyBorder="1" applyAlignment="1">
      <alignment horizontal="left" vertical="center" indent="1"/>
    </xf>
    <xf numFmtId="6" fontId="0" fillId="127" borderId="9" xfId="0" applyNumberFormat="1" applyFill="1" applyBorder="1" applyAlignment="1">
      <alignment horizontal="left" vertical="center" indent="1"/>
    </xf>
    <xf numFmtId="6" fontId="22" fillId="127" borderId="9" xfId="15" applyNumberFormat="1" applyFont="1" applyFill="1" applyBorder="1" applyAlignment="1">
      <alignment horizontal="left" vertical="center" indent="1"/>
    </xf>
    <xf numFmtId="6" fontId="49" fillId="14" borderId="0" xfId="5" applyNumberFormat="1" applyFont="1" applyFill="1" applyBorder="1" applyAlignment="1">
      <alignment horizontal="left" vertical="center" indent="1"/>
    </xf>
    <xf numFmtId="0" fontId="0" fillId="84" borderId="16" xfId="0" applyFill="1" applyBorder="1" applyAlignment="1">
      <alignment horizontal="left" vertical="center" indent="1"/>
    </xf>
    <xf numFmtId="0" fontId="16" fillId="84" borderId="16" xfId="0" applyFont="1" applyFill="1" applyBorder="1" applyAlignment="1">
      <alignment horizontal="left" vertical="center" indent="1"/>
    </xf>
    <xf numFmtId="0" fontId="18" fillId="2" borderId="16" xfId="0" applyFont="1" applyFill="1" applyBorder="1" applyAlignment="1">
      <alignment horizontal="left" vertical="center" indent="1"/>
    </xf>
    <xf numFmtId="0" fontId="0" fillId="7" borderId="16" xfId="0" applyFill="1" applyBorder="1" applyAlignment="1">
      <alignment horizontal="left" vertical="center" indent="1"/>
    </xf>
    <xf numFmtId="0" fontId="0" fillId="7" borderId="10" xfId="0" applyFill="1" applyBorder="1" applyAlignment="1">
      <alignment horizontal="left" vertical="center" indent="1"/>
    </xf>
    <xf numFmtId="0" fontId="0" fillId="84" borderId="10" xfId="0" applyFill="1" applyBorder="1" applyAlignment="1">
      <alignment horizontal="left" vertical="center" indent="1"/>
    </xf>
    <xf numFmtId="0" fontId="16" fillId="84" borderId="10" xfId="0" applyFont="1" applyFill="1" applyBorder="1" applyAlignment="1">
      <alignment horizontal="left" vertical="center" indent="1"/>
    </xf>
    <xf numFmtId="242" fontId="0" fillId="125" borderId="9" xfId="0" applyNumberFormat="1" applyFont="1" applyFill="1" applyBorder="1" applyAlignment="1">
      <alignment horizontal="left" vertical="center" indent="1"/>
    </xf>
    <xf numFmtId="242" fontId="38" fillId="87" borderId="10" xfId="15" applyNumberFormat="1" applyFont="1" applyFill="1" applyBorder="1" applyAlignment="1">
      <alignment horizontal="left" vertical="center" indent="1"/>
    </xf>
    <xf numFmtId="220" fontId="186" fillId="8" borderId="16" xfId="15" applyNumberFormat="1" applyFont="1" applyFill="1" applyBorder="1" applyAlignment="1">
      <alignment horizontal="left" vertical="center" indent="1"/>
    </xf>
    <xf numFmtId="0" fontId="0" fillId="125" borderId="33" xfId="0" applyFont="1" applyFill="1" applyBorder="1" applyAlignment="1">
      <alignment horizontal="left" vertical="center" indent="1"/>
    </xf>
    <xf numFmtId="0" fontId="50" fillId="84" borderId="9" xfId="0" applyFont="1" applyFill="1" applyBorder="1" applyAlignment="1">
      <alignment horizontal="left" vertical="center" indent="1"/>
    </xf>
    <xf numFmtId="0" fontId="51" fillId="84" borderId="9" xfId="0" applyFont="1" applyFill="1" applyBorder="1" applyAlignment="1">
      <alignment horizontal="left" vertical="center" indent="1"/>
    </xf>
    <xf numFmtId="0" fontId="0" fillId="84" borderId="9" xfId="0" applyFill="1" applyBorder="1" applyAlignment="1">
      <alignment horizontal="left" vertical="center" wrapText="1" indent="1"/>
    </xf>
    <xf numFmtId="0" fontId="45" fillId="84" borderId="9" xfId="0" applyFont="1" applyFill="1" applyBorder="1" applyAlignment="1">
      <alignment horizontal="left" vertical="center" indent="1"/>
    </xf>
    <xf numFmtId="0" fontId="22" fillId="84" borderId="87" xfId="0" applyFont="1" applyFill="1" applyBorder="1" applyAlignment="1">
      <alignment horizontal="left" vertical="center" indent="1"/>
    </xf>
    <xf numFmtId="0" fontId="38" fillId="84" borderId="87" xfId="0" applyFont="1" applyFill="1" applyBorder="1" applyAlignment="1">
      <alignment horizontal="left" vertical="center" indent="1"/>
    </xf>
    <xf numFmtId="0" fontId="0" fillId="132" borderId="9" xfId="0" applyFill="1" applyBorder="1" applyAlignment="1">
      <alignment horizontal="left" vertical="center" indent="1"/>
    </xf>
    <xf numFmtId="0" fontId="22" fillId="132" borderId="9" xfId="0" applyFont="1" applyFill="1" applyBorder="1" applyAlignment="1">
      <alignment horizontal="left" vertical="center" indent="1"/>
    </xf>
    <xf numFmtId="173" fontId="38" fillId="132" borderId="9" xfId="15" applyNumberFormat="1" applyFont="1" applyFill="1" applyBorder="1" applyAlignment="1">
      <alignment horizontal="left" vertical="center" indent="1"/>
    </xf>
    <xf numFmtId="215" fontId="38" fillId="132" borderId="9" xfId="15" applyNumberFormat="1" applyFont="1" applyFill="1" applyBorder="1" applyAlignment="1">
      <alignment horizontal="left" vertical="center" indent="1"/>
    </xf>
    <xf numFmtId="0" fontId="38" fillId="132" borderId="9" xfId="0" applyFont="1" applyFill="1" applyBorder="1" applyAlignment="1">
      <alignment horizontal="left" vertical="center" indent="1"/>
    </xf>
    <xf numFmtId="168" fontId="38" fillId="132" borderId="9" xfId="15" applyNumberFormat="1" applyFont="1" applyFill="1" applyBorder="1" applyAlignment="1">
      <alignment horizontal="left" vertical="center" indent="1"/>
    </xf>
    <xf numFmtId="0" fontId="0" fillId="84" borderId="87" xfId="0" applyFill="1" applyBorder="1" applyAlignment="1">
      <alignment horizontal="left" vertical="center" indent="1"/>
    </xf>
    <xf numFmtId="0" fontId="16" fillId="6" borderId="19" xfId="0" applyFont="1" applyFill="1" applyBorder="1" applyAlignment="1">
      <alignment horizontal="left" vertical="center" indent="1"/>
    </xf>
    <xf numFmtId="0" fontId="16" fillId="6" borderId="12" xfId="0" applyFont="1" applyFill="1" applyBorder="1" applyAlignment="1">
      <alignment horizontal="left" vertical="center" indent="1"/>
    </xf>
    <xf numFmtId="0" fontId="0" fillId="2" borderId="9" xfId="0" applyFill="1" applyBorder="1" applyAlignment="1">
      <alignment horizontal="left" vertical="center" indent="1"/>
    </xf>
    <xf numFmtId="6" fontId="0" fillId="125" borderId="32" xfId="0" applyNumberFormat="1" applyFont="1" applyFill="1" applyBorder="1" applyAlignment="1">
      <alignment horizontal="left" vertical="center" indent="1"/>
    </xf>
    <xf numFmtId="6" fontId="0" fillId="132" borderId="9" xfId="15" applyNumberFormat="1" applyFont="1" applyFill="1" applyBorder="1" applyAlignment="1">
      <alignment horizontal="left" vertical="center" indent="1"/>
    </xf>
    <xf numFmtId="6" fontId="22" fillId="132" borderId="9" xfId="15" applyNumberFormat="1" applyFont="1" applyFill="1" applyBorder="1" applyAlignment="1">
      <alignment horizontal="left" vertical="center" indent="1"/>
    </xf>
    <xf numFmtId="6" fontId="22" fillId="132" borderId="9" xfId="5" applyNumberFormat="1" applyFont="1" applyFill="1" applyBorder="1" applyAlignment="1">
      <alignment horizontal="left" vertical="center" indent="1"/>
    </xf>
    <xf numFmtId="6" fontId="49" fillId="132" borderId="9" xfId="0" applyNumberFormat="1" applyFont="1" applyFill="1" applyBorder="1" applyAlignment="1">
      <alignment horizontal="left" vertical="center" indent="1"/>
    </xf>
    <xf numFmtId="0" fontId="0" fillId="2" borderId="33" xfId="0" applyFill="1" applyBorder="1" applyAlignment="1">
      <alignment horizontal="left" vertical="center" indent="1"/>
    </xf>
    <xf numFmtId="0" fontId="22" fillId="7" borderId="7" xfId="0" applyFont="1" applyFill="1" applyBorder="1" applyAlignment="1">
      <alignment horizontal="left" vertical="center" indent="1"/>
    </xf>
    <xf numFmtId="0" fontId="0" fillId="8" borderId="16" xfId="0" applyFill="1" applyBorder="1" applyAlignment="1">
      <alignment horizontal="left" vertical="center" indent="1"/>
    </xf>
    <xf numFmtId="0" fontId="0" fillId="8" borderId="10" xfId="0" applyFill="1" applyBorder="1" applyAlignment="1">
      <alignment horizontal="left" vertical="center" indent="1"/>
    </xf>
    <xf numFmtId="0" fontId="0" fillId="6" borderId="33" xfId="0" applyFont="1" applyFill="1" applyBorder="1" applyAlignment="1">
      <alignment horizontal="left" vertical="center" wrapText="1" indent="1"/>
    </xf>
    <xf numFmtId="173" fontId="38" fillId="132" borderId="33" xfId="15" applyNumberFormat="1" applyFont="1" applyFill="1" applyBorder="1" applyAlignment="1">
      <alignment horizontal="left" vertical="center" indent="1"/>
    </xf>
    <xf numFmtId="236" fontId="186" fillId="7" borderId="18" xfId="15" applyNumberFormat="1" applyFont="1" applyFill="1" applyBorder="1" applyAlignment="1">
      <alignment horizontal="left" vertical="center" indent="1"/>
    </xf>
    <xf numFmtId="0" fontId="16" fillId="2" borderId="31" xfId="0" applyFont="1" applyFill="1" applyBorder="1" applyAlignment="1">
      <alignment horizontal="left" vertical="center" indent="1"/>
    </xf>
    <xf numFmtId="0" fontId="16" fillId="2" borderId="97" xfId="0" applyFont="1" applyFill="1" applyBorder="1" applyAlignment="1">
      <alignment horizontal="left" vertical="center" indent="1"/>
    </xf>
    <xf numFmtId="0" fontId="16" fillId="2" borderId="30" xfId="0" applyFont="1" applyFill="1" applyBorder="1" applyAlignment="1">
      <alignment horizontal="left" vertical="center" indent="1"/>
    </xf>
    <xf numFmtId="0" fontId="16" fillId="2" borderId="50" xfId="0" applyFont="1" applyFill="1" applyBorder="1" applyAlignment="1">
      <alignment horizontal="left" vertical="center" indent="1"/>
    </xf>
    <xf numFmtId="220" fontId="186" fillId="7" borderId="18" xfId="15" applyNumberFormat="1" applyFont="1" applyFill="1" applyBorder="1" applyAlignment="1">
      <alignment horizontal="left" vertical="center" indent="1"/>
    </xf>
    <xf numFmtId="234" fontId="232" fillId="7" borderId="16" xfId="15" applyNumberFormat="1" applyFont="1" applyFill="1" applyBorder="1" applyAlignment="1">
      <alignment horizontal="left" vertical="center" indent="1"/>
    </xf>
    <xf numFmtId="215" fontId="38" fillId="125" borderId="32" xfId="15" applyNumberFormat="1" applyFont="1" applyFill="1" applyBorder="1" applyAlignment="1">
      <alignment horizontal="left" vertical="center" indent="1"/>
    </xf>
    <xf numFmtId="0" fontId="22" fillId="125" borderId="17" xfId="1" applyFont="1" applyFill="1" applyBorder="1" applyAlignment="1">
      <alignment horizontal="left" vertical="center" indent="1"/>
    </xf>
    <xf numFmtId="168" fontId="49" fillId="127" borderId="10" xfId="0" applyNumberFormat="1" applyFont="1" applyFill="1" applyBorder="1" applyAlignment="1">
      <alignment horizontal="left" vertical="center" indent="1"/>
    </xf>
    <xf numFmtId="218" fontId="22" fillId="2" borderId="87" xfId="3" applyNumberFormat="1" applyFont="1" applyFill="1" applyBorder="1" applyAlignment="1">
      <alignment horizontal="left" vertical="center" indent="1"/>
    </xf>
    <xf numFmtId="218" fontId="22" fillId="2" borderId="16" xfId="3" applyNumberFormat="1" applyFont="1" applyFill="1" applyBorder="1" applyAlignment="1">
      <alignment horizontal="left" vertical="center" indent="1"/>
    </xf>
    <xf numFmtId="218" fontId="22" fillId="0" borderId="16" xfId="5" applyNumberFormat="1" applyFont="1" applyFill="1" applyBorder="1" applyAlignment="1">
      <alignment horizontal="left" vertical="center" indent="1"/>
    </xf>
    <xf numFmtId="218" fontId="22" fillId="2" borderId="10" xfId="3" applyNumberFormat="1" applyFont="1" applyFill="1" applyBorder="1" applyAlignment="1">
      <alignment horizontal="left" vertical="center" indent="1"/>
    </xf>
    <xf numFmtId="166" fontId="35" fillId="13" borderId="41" xfId="3" applyNumberFormat="1" applyFont="1" applyFill="1" applyBorder="1"/>
    <xf numFmtId="166" fontId="35" fillId="13" borderId="15" xfId="3" applyNumberFormat="1" applyFont="1" applyFill="1" applyBorder="1"/>
    <xf numFmtId="166" fontId="35" fillId="13" borderId="23" xfId="3" applyNumberFormat="1" applyFont="1" applyFill="1" applyBorder="1"/>
    <xf numFmtId="166" fontId="22" fillId="13" borderId="21" xfId="3" applyNumberFormat="1" applyFont="1" applyFill="1" applyBorder="1"/>
    <xf numFmtId="166" fontId="22" fillId="13" borderId="41" xfId="3" applyNumberFormat="1" applyFont="1" applyFill="1" applyBorder="1"/>
    <xf numFmtId="220" fontId="49" fillId="0" borderId="0" xfId="0" applyNumberFormat="1" applyFont="1" applyFill="1" applyBorder="1" applyAlignment="1">
      <alignment horizontal="left" vertical="center" indent="1"/>
    </xf>
    <xf numFmtId="6" fontId="49" fillId="0" borderId="10" xfId="34386" applyNumberFormat="1" applyFont="1" applyFill="1" applyBorder="1" applyAlignment="1">
      <alignment horizontal="left" vertical="center" indent="1"/>
    </xf>
    <xf numFmtId="6" fontId="49" fillId="0" borderId="9" xfId="34386" applyNumberFormat="1" applyFont="1" applyFill="1" applyBorder="1" applyAlignment="1">
      <alignment horizontal="left" vertical="center" indent="1"/>
    </xf>
    <xf numFmtId="216" fontId="22" fillId="6" borderId="9" xfId="6" applyNumberFormat="1" applyFont="1" applyFill="1" applyBorder="1" applyAlignment="1" applyProtection="1">
      <alignment horizontal="right" vertical="center"/>
      <protection hidden="1"/>
    </xf>
    <xf numFmtId="216" fontId="22" fillId="0" borderId="9" xfId="6" applyNumberFormat="1" applyFont="1" applyFill="1" applyBorder="1" applyAlignment="1" applyProtection="1">
      <alignment horizontal="right" vertical="center"/>
      <protection hidden="1"/>
    </xf>
    <xf numFmtId="242" fontId="38" fillId="128" borderId="89" xfId="15" applyNumberFormat="1" applyFont="1" applyFill="1" applyBorder="1" applyAlignment="1">
      <alignment horizontal="left" vertical="center" indent="1"/>
    </xf>
    <xf numFmtId="242" fontId="38" fillId="87" borderId="8" xfId="15" applyNumberFormat="1" applyFont="1" applyFill="1" applyBorder="1" applyAlignment="1">
      <alignment horizontal="left" vertical="center" indent="1"/>
    </xf>
    <xf numFmtId="242" fontId="38" fillId="128" borderId="11" xfId="15" applyNumberFormat="1" applyFont="1" applyFill="1" applyBorder="1" applyAlignment="1">
      <alignment horizontal="left" vertical="center" indent="1"/>
    </xf>
    <xf numFmtId="0" fontId="0" fillId="0" borderId="22" xfId="0" applyBorder="1" applyAlignment="1">
      <alignment horizontal="center" vertical="center"/>
    </xf>
    <xf numFmtId="0" fontId="0" fillId="0" borderId="50" xfId="0" applyBorder="1" applyAlignment="1">
      <alignment horizontal="center" vertical="center"/>
    </xf>
    <xf numFmtId="0" fontId="0" fillId="0" borderId="7" xfId="0" applyBorder="1" applyAlignment="1">
      <alignment horizontal="left" vertical="top" wrapText="1"/>
    </xf>
    <xf numFmtId="0" fontId="16" fillId="0" borderId="0" xfId="0" applyFont="1" applyAlignment="1">
      <alignment horizontal="left" vertical="center" wrapText="1"/>
    </xf>
    <xf numFmtId="0" fontId="35" fillId="0" borderId="0" xfId="0" applyFont="1" applyAlignment="1">
      <alignment horizontal="left" vertical="center" indent="1"/>
    </xf>
    <xf numFmtId="0" fontId="0" fillId="85" borderId="37" xfId="0" applyFill="1" applyBorder="1" applyAlignment="1">
      <alignment vertical="center"/>
    </xf>
    <xf numFmtId="0" fontId="0" fillId="85" borderId="63" xfId="0" applyFill="1" applyBorder="1"/>
    <xf numFmtId="0" fontId="0" fillId="85" borderId="203" xfId="0" applyFill="1" applyBorder="1"/>
    <xf numFmtId="0" fontId="0" fillId="85" borderId="38" xfId="0" applyFill="1" applyBorder="1"/>
    <xf numFmtId="0" fontId="0" fillId="85" borderId="25" xfId="0" applyFill="1" applyBorder="1"/>
    <xf numFmtId="0" fontId="14" fillId="85" borderId="203" xfId="0" applyFont="1" applyFill="1" applyBorder="1" applyAlignment="1">
      <alignment vertical="center"/>
    </xf>
    <xf numFmtId="0" fontId="0" fillId="85" borderId="203" xfId="0" applyFill="1" applyBorder="1" applyAlignment="1">
      <alignment vertical="center"/>
    </xf>
    <xf numFmtId="0" fontId="0" fillId="85" borderId="25" xfId="0" applyFill="1" applyBorder="1" applyAlignment="1">
      <alignment vertical="center"/>
    </xf>
    <xf numFmtId="0" fontId="0" fillId="85" borderId="44" xfId="0" quotePrefix="1" applyFill="1" applyBorder="1" applyAlignment="1">
      <alignment vertical="center"/>
    </xf>
    <xf numFmtId="0" fontId="0" fillId="85" borderId="32" xfId="0" applyFill="1" applyBorder="1"/>
    <xf numFmtId="0" fontId="0" fillId="85" borderId="17" xfId="0" applyFill="1" applyBorder="1"/>
    <xf numFmtId="0" fontId="0" fillId="85" borderId="33" xfId="0" applyFill="1" applyBorder="1"/>
    <xf numFmtId="0" fontId="0" fillId="85" borderId="90" xfId="0" applyFill="1" applyBorder="1" applyAlignment="1">
      <alignment vertical="center"/>
    </xf>
    <xf numFmtId="0" fontId="14" fillId="85" borderId="17" xfId="0" applyFont="1" applyFill="1" applyBorder="1" applyAlignment="1">
      <alignment vertical="center"/>
    </xf>
    <xf numFmtId="0" fontId="0" fillId="85" borderId="17" xfId="0" applyFill="1" applyBorder="1" applyAlignment="1">
      <alignment vertical="center"/>
    </xf>
    <xf numFmtId="0" fontId="0" fillId="85" borderId="50" xfId="0" quotePrefix="1" applyFill="1" applyBorder="1" applyAlignment="1">
      <alignment vertical="center"/>
    </xf>
    <xf numFmtId="0" fontId="0" fillId="85" borderId="11" xfId="0" applyFill="1" applyBorder="1"/>
    <xf numFmtId="0" fontId="0" fillId="85" borderId="12" xfId="0" applyFill="1" applyBorder="1"/>
    <xf numFmtId="0" fontId="0" fillId="85" borderId="19" xfId="0" applyFill="1" applyBorder="1"/>
    <xf numFmtId="0" fontId="0" fillId="85" borderId="31" xfId="0" applyFill="1" applyBorder="1" applyAlignment="1">
      <alignment vertical="center"/>
    </xf>
    <xf numFmtId="0" fontId="14" fillId="85" borderId="12" xfId="0" applyFont="1" applyFill="1" applyBorder="1" applyAlignment="1">
      <alignment vertical="center"/>
    </xf>
    <xf numFmtId="0" fontId="0" fillId="85" borderId="12" xfId="0" applyFill="1" applyBorder="1" applyAlignment="1">
      <alignment vertical="center"/>
    </xf>
    <xf numFmtId="0" fontId="0" fillId="85" borderId="44" xfId="0" quotePrefix="1" applyFill="1" applyBorder="1"/>
    <xf numFmtId="0" fontId="0" fillId="85" borderId="90" xfId="0" applyFill="1" applyBorder="1"/>
    <xf numFmtId="0" fontId="14" fillId="85" borderId="17" xfId="0" applyFont="1" applyFill="1" applyBorder="1"/>
    <xf numFmtId="0" fontId="0" fillId="85" borderId="44" xfId="0" quotePrefix="1" applyFill="1" applyBorder="1" applyAlignment="1">
      <alignment horizontal="left" vertical="center"/>
    </xf>
    <xf numFmtId="0" fontId="0" fillId="85" borderId="32" xfId="0" applyFill="1" applyBorder="1" applyAlignment="1">
      <alignment vertical="center"/>
    </xf>
    <xf numFmtId="0" fontId="0" fillId="85" borderId="22" xfId="0" applyFill="1" applyBorder="1"/>
    <xf numFmtId="0" fontId="0" fillId="85" borderId="8" xfId="0" applyFill="1" applyBorder="1"/>
    <xf numFmtId="0" fontId="0" fillId="85" borderId="0" xfId="0" applyFill="1"/>
    <xf numFmtId="0" fontId="0" fillId="85" borderId="0" xfId="0" applyFill="1" applyAlignment="1">
      <alignment vertical="center"/>
    </xf>
    <xf numFmtId="0" fontId="0" fillId="85" borderId="7" xfId="0" applyFill="1" applyBorder="1" applyAlignment="1">
      <alignment vertical="center"/>
    </xf>
    <xf numFmtId="0" fontId="0" fillId="0" borderId="0" xfId="0" applyAlignment="1">
      <alignment horizontal="left" vertical="top" wrapText="1"/>
    </xf>
    <xf numFmtId="0" fontId="0" fillId="85" borderId="2" xfId="0" applyFill="1" applyBorder="1" applyAlignment="1">
      <alignment vertical="center"/>
    </xf>
    <xf numFmtId="0" fontId="0" fillId="85" borderId="3" xfId="0" applyFill="1" applyBorder="1" applyAlignment="1">
      <alignment vertical="center"/>
    </xf>
    <xf numFmtId="0" fontId="0" fillId="85" borderId="4" xfId="0" applyFill="1" applyBorder="1" applyAlignment="1">
      <alignment vertical="center"/>
    </xf>
    <xf numFmtId="0" fontId="0" fillId="85" borderId="1" xfId="0" applyFill="1" applyBorder="1" applyAlignment="1">
      <alignment vertical="center"/>
    </xf>
    <xf numFmtId="0" fontId="0" fillId="85" borderId="13" xfId="0" applyFill="1" applyBorder="1" applyAlignment="1">
      <alignment vertical="center"/>
    </xf>
    <xf numFmtId="0" fontId="0" fillId="85" borderId="122" xfId="0" applyFill="1" applyBorder="1" applyAlignment="1">
      <alignment vertical="center"/>
    </xf>
    <xf numFmtId="0" fontId="0" fillId="85" borderId="15" xfId="0" applyFill="1" applyBorder="1" applyAlignment="1">
      <alignment vertical="center"/>
    </xf>
    <xf numFmtId="0" fontId="0" fillId="85" borderId="16" xfId="0" applyFill="1" applyBorder="1"/>
    <xf numFmtId="0" fontId="0" fillId="85" borderId="7" xfId="0" applyFill="1" applyBorder="1"/>
    <xf numFmtId="0" fontId="0" fillId="0" borderId="22" xfId="0" applyBorder="1" applyAlignment="1">
      <alignment vertical="top"/>
    </xf>
    <xf numFmtId="0" fontId="0" fillId="85" borderId="89" xfId="0" applyFill="1" applyBorder="1"/>
    <xf numFmtId="0" fontId="17" fillId="0" borderId="0" xfId="0" applyFont="1" applyAlignment="1">
      <alignment horizontal="right" vertical="center" wrapText="1"/>
    </xf>
    <xf numFmtId="0" fontId="18" fillId="0" borderId="0" xfId="0" applyFont="1" applyAlignment="1">
      <alignment horizontal="right" vertical="center" wrapText="1"/>
    </xf>
    <xf numFmtId="0" fontId="16" fillId="0" borderId="0" xfId="0" applyFont="1" applyAlignment="1">
      <alignment horizontal="right" vertical="center" wrapText="1"/>
    </xf>
    <xf numFmtId="0" fontId="19" fillId="0" borderId="0" xfId="0" applyFont="1" applyAlignment="1">
      <alignment vertical="center" wrapText="1"/>
    </xf>
    <xf numFmtId="0" fontId="19" fillId="0" borderId="0" xfId="0" applyFont="1" applyAlignment="1">
      <alignment horizontal="right" vertical="center" wrapText="1"/>
    </xf>
    <xf numFmtId="0" fontId="19" fillId="0" borderId="0" xfId="0" quotePrefix="1" applyFont="1" applyAlignment="1">
      <alignment horizontal="right" vertical="center" wrapText="1"/>
    </xf>
    <xf numFmtId="10" fontId="16" fillId="0" borderId="0" xfId="0" applyNumberFormat="1" applyFont="1" applyAlignment="1">
      <alignment horizontal="right" vertical="center" wrapText="1"/>
    </xf>
    <xf numFmtId="0" fontId="16" fillId="0" borderId="0" xfId="0" applyFont="1" applyAlignment="1">
      <alignment vertical="center"/>
    </xf>
    <xf numFmtId="0" fontId="17"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horizontal="left" vertical="center" wrapText="1"/>
    </xf>
    <xf numFmtId="0" fontId="20" fillId="0" borderId="0" xfId="0" applyFont="1" applyAlignment="1">
      <alignment horizontal="right" vertical="center" wrapText="1"/>
    </xf>
    <xf numFmtId="0" fontId="17" fillId="0" borderId="0" xfId="0" applyFont="1" applyAlignment="1">
      <alignment horizontal="center" vertical="center" wrapText="1"/>
    </xf>
    <xf numFmtId="0" fontId="18" fillId="0" borderId="0" xfId="0" applyFont="1" applyAlignment="1">
      <alignment vertical="center"/>
    </xf>
    <xf numFmtId="0" fontId="18" fillId="0" borderId="0" xfId="0" applyFont="1" applyAlignment="1">
      <alignment horizontal="right" vertical="center"/>
    </xf>
    <xf numFmtId="0" fontId="16" fillId="0" borderId="0" xfId="0" applyFont="1" applyAlignment="1">
      <alignment horizontal="right" vertical="center"/>
    </xf>
    <xf numFmtId="0" fontId="20" fillId="0" borderId="0" xfId="0" applyFont="1" applyAlignment="1">
      <alignment vertical="center"/>
    </xf>
    <xf numFmtId="10" fontId="16" fillId="0" borderId="0" xfId="0" applyNumberFormat="1" applyFont="1" applyAlignment="1">
      <alignment horizontal="right" vertical="center"/>
    </xf>
    <xf numFmtId="0" fontId="0" fillId="6" borderId="2" xfId="0" applyFill="1" applyBorder="1" applyAlignment="1">
      <alignment vertical="center"/>
    </xf>
    <xf numFmtId="0" fontId="0" fillId="6" borderId="3" xfId="0" applyFill="1" applyBorder="1" applyAlignment="1">
      <alignment vertical="center"/>
    </xf>
    <xf numFmtId="0" fontId="0" fillId="6" borderId="4" xfId="0" applyFill="1" applyBorder="1" applyAlignment="1">
      <alignment vertical="center"/>
    </xf>
    <xf numFmtId="0" fontId="0" fillId="6" borderId="1" xfId="0" applyFill="1" applyBorder="1" applyAlignment="1">
      <alignment vertical="center"/>
    </xf>
    <xf numFmtId="0" fontId="0" fillId="6" borderId="0" xfId="0" applyFill="1" applyAlignment="1">
      <alignment vertical="center"/>
    </xf>
    <xf numFmtId="0" fontId="0" fillId="6" borderId="7" xfId="0" applyFill="1" applyBorder="1" applyAlignment="1">
      <alignment vertical="center"/>
    </xf>
    <xf numFmtId="0" fontId="0" fillId="6" borderId="13" xfId="0" applyFill="1" applyBorder="1" applyAlignment="1">
      <alignment vertical="center"/>
    </xf>
    <xf numFmtId="0" fontId="0" fillId="6" borderId="122" xfId="0" applyFill="1" applyBorder="1" applyAlignment="1">
      <alignment vertical="center"/>
    </xf>
    <xf numFmtId="0" fontId="0" fillId="6" borderId="15" xfId="0" applyFill="1" applyBorder="1" applyAlignment="1">
      <alignment vertical="center"/>
    </xf>
    <xf numFmtId="0" fontId="0" fillId="6" borderId="22" xfId="0" applyFill="1" applyBorder="1" applyAlignment="1">
      <alignment vertical="top"/>
    </xf>
    <xf numFmtId="0" fontId="0" fillId="6" borderId="16" xfId="0" applyFill="1" applyBorder="1" applyAlignment="1">
      <alignment horizontal="center"/>
    </xf>
    <xf numFmtId="0" fontId="0" fillId="6" borderId="10" xfId="0" applyFill="1" applyBorder="1" applyAlignment="1">
      <alignment horizontal="center"/>
    </xf>
    <xf numFmtId="3" fontId="45" fillId="0" borderId="0" xfId="0" applyNumberFormat="1" applyFont="1" applyProtection="1">
      <protection locked="0"/>
    </xf>
    <xf numFmtId="3" fontId="22" fillId="0" borderId="0" xfId="0" applyNumberFormat="1" applyFont="1" applyFill="1" applyBorder="1" applyAlignment="1" applyProtection="1">
      <alignment horizontal="right" vertical="center"/>
    </xf>
    <xf numFmtId="0" fontId="22" fillId="14" borderId="0" xfId="1" applyFont="1" applyFill="1"/>
    <xf numFmtId="0" fontId="42" fillId="14" borderId="0" xfId="16" applyFont="1" applyFill="1"/>
    <xf numFmtId="0" fontId="22" fillId="14" borderId="0" xfId="16" applyFont="1" applyFill="1"/>
    <xf numFmtId="0" fontId="35" fillId="14" borderId="0" xfId="16" applyFont="1" applyFill="1"/>
    <xf numFmtId="0" fontId="22" fillId="2" borderId="2" xfId="16" applyFont="1" applyFill="1" applyBorder="1"/>
    <xf numFmtId="0" fontId="22" fillId="2" borderId="3" xfId="16" applyFont="1" applyFill="1" applyBorder="1"/>
    <xf numFmtId="0" fontId="22" fillId="2" borderId="4" xfId="16" applyFont="1" applyFill="1" applyBorder="1"/>
    <xf numFmtId="0" fontId="35" fillId="2" borderId="1" xfId="16" applyFont="1" applyFill="1" applyBorder="1"/>
    <xf numFmtId="0" fontId="35" fillId="2" borderId="0" xfId="16" applyFont="1" applyFill="1"/>
    <xf numFmtId="0" fontId="22" fillId="2" borderId="0" xfId="16" applyFont="1" applyFill="1"/>
    <xf numFmtId="0" fontId="22" fillId="2" borderId="7" xfId="16" applyFont="1" applyFill="1" applyBorder="1"/>
    <xf numFmtId="0" fontId="22" fillId="2" borderId="1" xfId="16" applyFont="1" applyFill="1" applyBorder="1"/>
    <xf numFmtId="10" fontId="22" fillId="2" borderId="87" xfId="3" applyNumberFormat="1" applyFont="1" applyFill="1" applyBorder="1"/>
    <xf numFmtId="0" fontId="22" fillId="6" borderId="0" xfId="16" applyFont="1" applyFill="1"/>
    <xf numFmtId="0" fontId="22" fillId="6" borderId="7" xfId="16" applyFont="1" applyFill="1" applyBorder="1"/>
    <xf numFmtId="10" fontId="22" fillId="2" borderId="16" xfId="3" applyNumberFormat="1" applyFont="1" applyFill="1" applyBorder="1"/>
    <xf numFmtId="173" fontId="22" fillId="0" borderId="10" xfId="5" applyNumberFormat="1" applyFont="1" applyFill="1" applyBorder="1"/>
    <xf numFmtId="3" fontId="22" fillId="14" borderId="0" xfId="16" applyNumberFormat="1" applyFont="1" applyFill="1"/>
    <xf numFmtId="0" fontId="47" fillId="2" borderId="1" xfId="16" applyFont="1" applyFill="1" applyBorder="1"/>
    <xf numFmtId="10" fontId="35" fillId="2" borderId="9" xfId="6" applyNumberFormat="1" applyFont="1" applyFill="1" applyBorder="1"/>
    <xf numFmtId="10" fontId="22" fillId="6" borderId="7" xfId="16" applyNumberFormat="1" applyFont="1" applyFill="1" applyBorder="1"/>
    <xf numFmtId="0" fontId="22" fillId="2" borderId="13" xfId="16" applyFont="1" applyFill="1" applyBorder="1"/>
    <xf numFmtId="0" fontId="22" fillId="2" borderId="14" xfId="16" applyFont="1" applyFill="1" applyBorder="1"/>
    <xf numFmtId="0" fontId="22" fillId="2" borderId="15" xfId="16" applyFont="1" applyFill="1" applyBorder="1"/>
    <xf numFmtId="0" fontId="0" fillId="14" borderId="0" xfId="0" applyFill="1"/>
    <xf numFmtId="0" fontId="35" fillId="0" borderId="0" xfId="16" applyFont="1" applyAlignment="1">
      <alignment horizontal="center"/>
    </xf>
    <xf numFmtId="0" fontId="22" fillId="5" borderId="44" xfId="16" applyFont="1" applyFill="1" applyBorder="1"/>
    <xf numFmtId="0" fontId="22" fillId="5" borderId="96" xfId="16" applyFont="1" applyFill="1" applyBorder="1"/>
    <xf numFmtId="0" fontId="22" fillId="2" borderId="87" xfId="16" applyFont="1" applyFill="1" applyBorder="1" applyAlignment="1">
      <alignment horizontal="center"/>
    </xf>
    <xf numFmtId="0" fontId="37" fillId="7" borderId="22" xfId="16" applyFont="1" applyFill="1" applyBorder="1"/>
    <xf numFmtId="0" fontId="37" fillId="7" borderId="0" xfId="16" applyFont="1" applyFill="1"/>
    <xf numFmtId="168" fontId="22" fillId="2" borderId="87" xfId="16" applyNumberFormat="1" applyFont="1" applyFill="1" applyBorder="1"/>
    <xf numFmtId="168" fontId="22" fillId="2" borderId="16" xfId="16" applyNumberFormat="1" applyFont="1" applyFill="1" applyBorder="1"/>
    <xf numFmtId="0" fontId="37" fillId="7" borderId="18" xfId="16" applyFont="1" applyFill="1" applyBorder="1"/>
    <xf numFmtId="0" fontId="22" fillId="7" borderId="23" xfId="16" applyFont="1" applyFill="1" applyBorder="1"/>
    <xf numFmtId="0" fontId="37" fillId="7" borderId="41" xfId="16" applyFont="1" applyFill="1" applyBorder="1"/>
    <xf numFmtId="168" fontId="22" fillId="2" borderId="21" xfId="16" applyNumberFormat="1" applyFont="1" applyFill="1" applyBorder="1"/>
    <xf numFmtId="10" fontId="22" fillId="2" borderId="21" xfId="3" applyNumberFormat="1" applyFont="1" applyFill="1" applyBorder="1"/>
    <xf numFmtId="0" fontId="236" fillId="0" borderId="0" xfId="1" applyFont="1" applyAlignment="1">
      <alignment horizontal="left"/>
    </xf>
    <xf numFmtId="216" fontId="22" fillId="0" borderId="0" xfId="3" applyNumberFormat="1" applyFont="1" applyFill="1" applyBorder="1"/>
    <xf numFmtId="0" fontId="236" fillId="0" borderId="0" xfId="1" applyFont="1" applyFill="1" applyBorder="1" applyAlignment="1">
      <alignment horizontal="left"/>
    </xf>
    <xf numFmtId="0" fontId="35" fillId="0" borderId="28" xfId="1" applyFont="1" applyBorder="1" applyAlignment="1">
      <alignment horizontal="right" indent="1"/>
    </xf>
    <xf numFmtId="166" fontId="38" fillId="15" borderId="50" xfId="3" applyNumberFormat="1" applyFont="1" applyFill="1" applyBorder="1"/>
    <xf numFmtId="166" fontId="38" fillId="15" borderId="19" xfId="3" applyNumberFormat="1" applyFont="1" applyFill="1" applyBorder="1"/>
    <xf numFmtId="166" fontId="38" fillId="15" borderId="10" xfId="3" applyNumberFormat="1" applyFont="1" applyFill="1" applyBorder="1"/>
    <xf numFmtId="166" fontId="38" fillId="15" borderId="31" xfId="3" applyNumberFormat="1" applyFont="1" applyFill="1" applyBorder="1"/>
    <xf numFmtId="166" fontId="38" fillId="15" borderId="85" xfId="3" applyNumberFormat="1" applyFont="1" applyFill="1" applyBorder="1"/>
    <xf numFmtId="0" fontId="35" fillId="0" borderId="97" xfId="1" applyFont="1" applyBorder="1" applyAlignment="1">
      <alignment horizontal="right" indent="1"/>
    </xf>
    <xf numFmtId="202" fontId="38" fillId="15" borderId="10" xfId="34386" applyNumberFormat="1" applyFont="1" applyFill="1" applyBorder="1"/>
    <xf numFmtId="202" fontId="38" fillId="15" borderId="19" xfId="34386" applyNumberFormat="1" applyFont="1" applyFill="1" applyBorder="1"/>
    <xf numFmtId="202" fontId="38" fillId="15" borderId="31" xfId="34386" applyNumberFormat="1" applyFont="1" applyFill="1" applyBorder="1"/>
    <xf numFmtId="202" fontId="38" fillId="15" borderId="50" xfId="34386" applyNumberFormat="1" applyFont="1" applyFill="1" applyBorder="1"/>
    <xf numFmtId="0" fontId="35" fillId="0" borderId="36" xfId="1" applyFont="1" applyBorder="1"/>
    <xf numFmtId="0" fontId="35" fillId="0" borderId="1" xfId="1" applyFont="1" applyBorder="1"/>
    <xf numFmtId="0" fontId="22" fillId="0" borderId="1" xfId="1" applyFont="1" applyBorder="1" applyAlignment="1">
      <alignment horizontal="right"/>
    </xf>
    <xf numFmtId="218" fontId="38" fillId="13" borderId="16" xfId="6" applyNumberFormat="1" applyFont="1" applyFill="1" applyBorder="1"/>
    <xf numFmtId="218" fontId="38" fillId="13" borderId="7" xfId="6" applyNumberFormat="1" applyFont="1" applyFill="1" applyBorder="1"/>
    <xf numFmtId="166" fontId="12" fillId="0" borderId="22" xfId="3" applyNumberFormat="1" applyFont="1" applyFill="1" applyBorder="1"/>
    <xf numFmtId="166" fontId="38" fillId="85" borderId="22" xfId="3" applyNumberFormat="1" applyFont="1" applyFill="1" applyBorder="1"/>
    <xf numFmtId="0" fontId="22" fillId="0" borderId="13" xfId="1" applyFont="1" applyBorder="1" applyAlignment="1">
      <alignment horizontal="right"/>
    </xf>
    <xf numFmtId="166" fontId="38" fillId="0" borderId="23" xfId="3" applyNumberFormat="1" applyFont="1" applyFill="1" applyBorder="1"/>
    <xf numFmtId="0" fontId="237" fillId="0" borderId="1" xfId="1" applyFont="1" applyBorder="1" applyAlignment="1">
      <alignment horizontal="right"/>
    </xf>
    <xf numFmtId="202" fontId="38" fillId="15" borderId="23" xfId="34386" applyNumberFormat="1" applyFont="1" applyFill="1" applyBorder="1"/>
    <xf numFmtId="218" fontId="38" fillId="13" borderId="21" xfId="6" applyNumberFormat="1" applyFont="1" applyFill="1" applyBorder="1"/>
    <xf numFmtId="218" fontId="38" fillId="13" borderId="15" xfId="6" applyNumberFormat="1" applyFont="1" applyFill="1" applyBorder="1"/>
    <xf numFmtId="213" fontId="0" fillId="0" borderId="26" xfId="6" applyNumberFormat="1" applyFont="1" applyFill="1" applyBorder="1"/>
    <xf numFmtId="0" fontId="22" fillId="0" borderId="13" xfId="1" applyFont="1" applyBorder="1"/>
    <xf numFmtId="202" fontId="38" fillId="0" borderId="23" xfId="34386" applyNumberFormat="1" applyFont="1" applyFill="1" applyBorder="1"/>
    <xf numFmtId="216" fontId="196" fillId="6" borderId="181" xfId="6" applyNumberFormat="1" applyFont="1" applyFill="1" applyBorder="1" applyAlignment="1">
      <alignment horizontal="center" vertical="center"/>
    </xf>
    <xf numFmtId="216" fontId="196" fillId="6" borderId="0" xfId="6" applyNumberFormat="1" applyFont="1" applyFill="1" applyBorder="1" applyAlignment="1">
      <alignment horizontal="center" vertical="center"/>
    </xf>
    <xf numFmtId="216" fontId="196" fillId="6" borderId="182" xfId="6" applyNumberFormat="1" applyFont="1" applyFill="1" applyBorder="1" applyAlignment="1">
      <alignment horizontal="center" vertical="center" wrapText="1"/>
    </xf>
    <xf numFmtId="43" fontId="196" fillId="6" borderId="0" xfId="5" applyFont="1" applyFill="1" applyBorder="1"/>
    <xf numFmtId="176" fontId="38" fillId="13" borderId="16" xfId="3" applyNumberFormat="1" applyFont="1" applyFill="1" applyBorder="1"/>
    <xf numFmtId="168" fontId="22" fillId="14" borderId="0" xfId="5" applyNumberFormat="1" applyFont="1" applyFill="1" applyAlignment="1">
      <alignment horizontal="left" vertical="top" indent="1"/>
    </xf>
    <xf numFmtId="218" fontId="35" fillId="2" borderId="9" xfId="6" applyNumberFormat="1" applyFont="1" applyFill="1" applyBorder="1" applyAlignment="1">
      <alignment horizontal="left" vertical="top" indent="1"/>
    </xf>
    <xf numFmtId="6" fontId="0" fillId="0" borderId="0" xfId="0" applyNumberFormat="1"/>
    <xf numFmtId="0" fontId="193" fillId="0" borderId="0" xfId="42387" applyFont="1" applyAlignment="1">
      <alignment vertical="center" wrapText="1"/>
    </xf>
    <xf numFmtId="202" fontId="196" fillId="0" borderId="0" xfId="34386" applyNumberFormat="1" applyFont="1"/>
    <xf numFmtId="173" fontId="38" fillId="129" borderId="8" xfId="15" applyNumberFormat="1" applyFont="1" applyFill="1" applyBorder="1" applyAlignment="1">
      <alignment horizontal="left" vertical="center" indent="1"/>
    </xf>
    <xf numFmtId="174" fontId="38" fillId="129" borderId="8" xfId="15" applyNumberFormat="1" applyFont="1" applyFill="1" applyBorder="1" applyAlignment="1">
      <alignment horizontal="left" vertical="center" indent="1"/>
    </xf>
    <xf numFmtId="173" fontId="38" fillId="129" borderId="16" xfId="15" applyNumberFormat="1" applyFont="1" applyFill="1" applyBorder="1" applyAlignment="1">
      <alignment horizontal="left" vertical="center" indent="1"/>
    </xf>
    <xf numFmtId="202" fontId="196" fillId="0" borderId="0" xfId="42387" applyNumberFormat="1" applyFont="1"/>
    <xf numFmtId="242" fontId="38" fillId="129" borderId="16" xfId="15" applyNumberFormat="1" applyFont="1" applyFill="1" applyBorder="1" applyAlignment="1">
      <alignment horizontal="left" vertical="center" indent="1"/>
    </xf>
    <xf numFmtId="0" fontId="218" fillId="120" borderId="0" xfId="42387" applyFont="1" applyFill="1" applyAlignment="1">
      <alignment horizontal="left" vertical="center" wrapText="1"/>
    </xf>
    <xf numFmtId="0" fontId="218" fillId="120" borderId="18" xfId="42387" applyFont="1" applyFill="1" applyBorder="1" applyAlignment="1">
      <alignment horizontal="left" vertical="center" wrapText="1"/>
    </xf>
    <xf numFmtId="41" fontId="196" fillId="6" borderId="204" xfId="42394" applyNumberFormat="1" applyFont="1" applyFill="1" applyBorder="1" applyAlignment="1">
      <alignment horizontal="center" vertical="center" wrapText="1"/>
    </xf>
    <xf numFmtId="41" fontId="197" fillId="6" borderId="182" xfId="42394" applyNumberFormat="1" applyFont="1" applyFill="1" applyBorder="1" applyAlignment="1">
      <alignment horizontal="center" vertical="center" wrapText="1"/>
    </xf>
    <xf numFmtId="168" fontId="197" fillId="123" borderId="181" xfId="42387" applyNumberFormat="1" applyFont="1" applyFill="1" applyBorder="1" applyAlignment="1">
      <alignment vertical="center" wrapText="1"/>
    </xf>
    <xf numFmtId="41" fontId="197" fillId="6" borderId="206" xfId="42394" applyNumberFormat="1" applyFont="1" applyFill="1" applyBorder="1" applyAlignment="1">
      <alignment horizontal="center" vertical="center" wrapText="1"/>
    </xf>
    <xf numFmtId="168" fontId="197" fillId="123" borderId="181" xfId="42385" applyNumberFormat="1" applyFont="1" applyFill="1" applyBorder="1" applyAlignment="1">
      <alignment vertical="center" wrapText="1"/>
    </xf>
    <xf numFmtId="0" fontId="196" fillId="134" borderId="208" xfId="0" applyFont="1" applyFill="1" applyBorder="1" applyAlignment="1">
      <alignment horizontal="center" vertical="center" wrapText="1"/>
    </xf>
    <xf numFmtId="0" fontId="196" fillId="0" borderId="208" xfId="0" applyFont="1" applyBorder="1" applyAlignment="1">
      <alignment horizontal="center" vertical="center" wrapText="1"/>
    </xf>
    <xf numFmtId="243" fontId="196" fillId="133" borderId="209" xfId="0" applyNumberFormat="1" applyFont="1" applyFill="1" applyBorder="1" applyAlignment="1" applyProtection="1">
      <alignment horizontal="right"/>
      <protection locked="0"/>
    </xf>
    <xf numFmtId="0" fontId="196" fillId="0" borderId="211" xfId="0" applyFont="1" applyBorder="1" applyAlignment="1">
      <alignment horizontal="center" vertical="center" wrapText="1"/>
    </xf>
    <xf numFmtId="243" fontId="196" fillId="133" borderId="212" xfId="0" applyNumberFormat="1" applyFont="1" applyFill="1" applyBorder="1" applyAlignment="1" applyProtection="1">
      <alignment horizontal="right"/>
      <protection locked="0"/>
    </xf>
    <xf numFmtId="0" fontId="238" fillId="134" borderId="207" xfId="0" applyFont="1" applyFill="1" applyBorder="1" applyAlignment="1">
      <alignment horizontal="left" vertical="center"/>
    </xf>
    <xf numFmtId="0" fontId="196" fillId="0" borderId="207" xfId="0" applyFont="1" applyBorder="1" applyAlignment="1">
      <alignment horizontal="left" vertical="top" wrapText="1" indent="1"/>
    </xf>
    <xf numFmtId="0" fontId="196" fillId="0" borderId="210" xfId="0" applyFont="1" applyBorder="1" applyAlignment="1">
      <alignment horizontal="left" vertical="top" wrapText="1" indent="1"/>
    </xf>
    <xf numFmtId="0" fontId="218" fillId="120" borderId="8" xfId="42387" applyFont="1" applyFill="1" applyBorder="1" applyAlignment="1">
      <alignment vertical="center"/>
    </xf>
    <xf numFmtId="0" fontId="196" fillId="6" borderId="0" xfId="42395" applyFont="1" applyFill="1"/>
    <xf numFmtId="0" fontId="240" fillId="6" borderId="0" xfId="42395" applyFont="1" applyFill="1"/>
    <xf numFmtId="0" fontId="196" fillId="0" borderId="0" xfId="42395" applyFont="1"/>
    <xf numFmtId="0" fontId="197" fillId="6" borderId="0" xfId="42395" applyFont="1" applyFill="1"/>
    <xf numFmtId="0" fontId="241" fillId="0" borderId="0" xfId="42395" applyFont="1"/>
    <xf numFmtId="0" fontId="197" fillId="0" borderId="0" xfId="42395" applyFont="1"/>
    <xf numFmtId="0" fontId="218" fillId="120" borderId="0" xfId="42395" applyFont="1" applyFill="1" applyAlignment="1">
      <alignment horizontal="center" vertical="center" wrapText="1"/>
    </xf>
    <xf numFmtId="0" fontId="224" fillId="6" borderId="0" xfId="42395" applyFont="1" applyFill="1"/>
    <xf numFmtId="3" fontId="196" fillId="6" borderId="189" xfId="42395" applyNumberFormat="1" applyFont="1" applyFill="1" applyBorder="1"/>
    <xf numFmtId="10" fontId="196" fillId="6" borderId="189" xfId="42396" applyNumberFormat="1" applyFont="1" applyFill="1" applyBorder="1"/>
    <xf numFmtId="10" fontId="78" fillId="6" borderId="189" xfId="42396" applyNumberFormat="1" applyFont="1" applyFill="1" applyBorder="1"/>
    <xf numFmtId="0" fontId="218" fillId="120" borderId="0" xfId="42395" applyFont="1" applyFill="1" applyAlignment="1">
      <alignment vertical="center" wrapText="1"/>
    </xf>
    <xf numFmtId="0" fontId="196" fillId="6" borderId="189" xfId="42395" applyFont="1" applyFill="1" applyBorder="1" applyAlignment="1">
      <alignment vertical="center"/>
    </xf>
    <xf numFmtId="10" fontId="196" fillId="6" borderId="189" xfId="42395" applyNumberFormat="1" applyFont="1" applyFill="1" applyBorder="1" applyAlignment="1">
      <alignment vertical="center"/>
    </xf>
    <xf numFmtId="6" fontId="196" fillId="6" borderId="189" xfId="42395" applyNumberFormat="1" applyFont="1" applyFill="1" applyBorder="1" applyAlignment="1">
      <alignment vertical="center"/>
    </xf>
    <xf numFmtId="10" fontId="196" fillId="6" borderId="0" xfId="42395" applyNumberFormat="1" applyFont="1" applyFill="1"/>
    <xf numFmtId="6" fontId="196" fillId="6" borderId="0" xfId="42395" applyNumberFormat="1" applyFont="1" applyFill="1"/>
    <xf numFmtId="0" fontId="240" fillId="0" borderId="0" xfId="42395" applyFont="1"/>
    <xf numFmtId="0" fontId="192" fillId="0" borderId="0" xfId="42395" applyFont="1" applyAlignment="1">
      <alignment horizontal="center" vertical="center" wrapText="1"/>
    </xf>
    <xf numFmtId="0" fontId="218" fillId="0" borderId="0" xfId="42395" applyFont="1" applyAlignment="1">
      <alignment horizontal="center" vertical="center" wrapText="1"/>
    </xf>
    <xf numFmtId="6" fontId="196" fillId="0" borderId="0" xfId="42395" applyNumberFormat="1" applyFont="1"/>
    <xf numFmtId="10" fontId="196" fillId="0" borderId="0" xfId="42395" applyNumberFormat="1" applyFont="1" applyAlignment="1">
      <alignment vertical="center"/>
    </xf>
    <xf numFmtId="0" fontId="218" fillId="6" borderId="0" xfId="42395" applyFont="1" applyFill="1" applyAlignment="1">
      <alignment vertical="center" wrapText="1"/>
    </xf>
    <xf numFmtId="169" fontId="196" fillId="6" borderId="189" xfId="42395" applyNumberFormat="1" applyFont="1" applyFill="1" applyBorder="1" applyAlignment="1">
      <alignment vertical="center"/>
    </xf>
    <xf numFmtId="0" fontId="197" fillId="103" borderId="189" xfId="42395" applyFont="1" applyFill="1" applyBorder="1" applyAlignment="1">
      <alignment vertical="center"/>
    </xf>
    <xf numFmtId="0" fontId="196" fillId="103" borderId="189" xfId="42395" applyFont="1" applyFill="1" applyBorder="1" applyAlignment="1">
      <alignment vertical="center"/>
    </xf>
    <xf numFmtId="214" fontId="196" fillId="6" borderId="189" xfId="42395" applyNumberFormat="1" applyFont="1" applyFill="1" applyBorder="1" applyAlignment="1">
      <alignment vertical="center"/>
    </xf>
    <xf numFmtId="216" fontId="196" fillId="6" borderId="189" xfId="42395" applyNumberFormat="1" applyFont="1" applyFill="1" applyBorder="1" applyAlignment="1">
      <alignment vertical="center"/>
    </xf>
    <xf numFmtId="0" fontId="196" fillId="103" borderId="0" xfId="42395" applyFont="1" applyFill="1"/>
    <xf numFmtId="0" fontId="193" fillId="103" borderId="0" xfId="42395" applyFont="1" applyFill="1" applyAlignment="1">
      <alignment vertical="center" wrapText="1"/>
    </xf>
    <xf numFmtId="0" fontId="218" fillId="103" borderId="0" xfId="42395" applyFont="1" applyFill="1" applyAlignment="1">
      <alignment horizontal="center" vertical="center" wrapText="1"/>
    </xf>
    <xf numFmtId="0" fontId="196" fillId="6" borderId="189" xfId="42395" applyFont="1" applyFill="1" applyBorder="1"/>
    <xf numFmtId="0" fontId="196" fillId="6" borderId="189" xfId="42395" applyFont="1" applyFill="1" applyBorder="1" applyAlignment="1">
      <alignment vertical="top" wrapText="1"/>
    </xf>
    <xf numFmtId="169" fontId="196" fillId="6" borderId="189" xfId="42395" applyNumberFormat="1" applyFont="1" applyFill="1" applyBorder="1"/>
    <xf numFmtId="10" fontId="196" fillId="6" borderId="189" xfId="42395" applyNumberFormat="1" applyFont="1" applyFill="1" applyBorder="1"/>
    <xf numFmtId="0" fontId="196" fillId="6" borderId="0" xfId="42395" applyFont="1" applyFill="1" applyAlignment="1">
      <alignment vertical="top" wrapText="1"/>
    </xf>
    <xf numFmtId="0" fontId="242" fillId="0" borderId="182" xfId="42387" applyFont="1" applyBorder="1"/>
    <xf numFmtId="0" fontId="243" fillId="0" borderId="182" xfId="42387" applyFont="1" applyBorder="1"/>
    <xf numFmtId="9" fontId="22" fillId="0" borderId="0" xfId="6" applyFont="1"/>
    <xf numFmtId="9" fontId="14" fillId="0" borderId="213" xfId="42388" applyFont="1" applyBorder="1"/>
    <xf numFmtId="216" fontId="196" fillId="0" borderId="214" xfId="42388" applyNumberFormat="1" applyFont="1" applyBorder="1"/>
    <xf numFmtId="216" fontId="14" fillId="0" borderId="16" xfId="6" applyNumberFormat="1" applyFont="1" applyFill="1" applyBorder="1" applyProtection="1">
      <protection locked="0"/>
    </xf>
    <xf numFmtId="216" fontId="14" fillId="0" borderId="0" xfId="6" applyNumberFormat="1" applyFont="1" applyFill="1" applyProtection="1">
      <protection locked="0"/>
    </xf>
    <xf numFmtId="216" fontId="14" fillId="0" borderId="16" xfId="6" applyNumberFormat="1" applyFont="1" applyBorder="1" applyProtection="1">
      <protection locked="0"/>
    </xf>
    <xf numFmtId="216" fontId="14" fillId="0" borderId="16" xfId="6" applyNumberFormat="1" applyFont="1" applyBorder="1" applyAlignment="1" applyProtection="1">
      <alignment horizontal="right"/>
    </xf>
    <xf numFmtId="0" fontId="244" fillId="135" borderId="0" xfId="0" applyFont="1" applyFill="1" applyAlignment="1">
      <alignment horizontal="left" vertical="center"/>
    </xf>
    <xf numFmtId="0" fontId="244" fillId="135" borderId="0" xfId="0" applyFont="1" applyFill="1" applyAlignment="1">
      <alignment horizontal="left" vertical="center" wrapText="1"/>
    </xf>
    <xf numFmtId="0" fontId="245" fillId="0" borderId="0" xfId="0" applyFont="1"/>
    <xf numFmtId="168" fontId="246" fillId="0" borderId="215" xfId="17017" applyNumberFormat="1" applyFont="1" applyFill="1" applyBorder="1"/>
    <xf numFmtId="168" fontId="246" fillId="131" borderId="0" xfId="0" applyNumberFormat="1" applyFont="1" applyFill="1"/>
    <xf numFmtId="168" fontId="246" fillId="0" borderId="215" xfId="17066" applyNumberFormat="1" applyFont="1" applyFill="1" applyBorder="1"/>
    <xf numFmtId="175" fontId="22" fillId="14" borderId="0" xfId="16" applyNumberFormat="1" applyFont="1" applyFill="1" applyAlignment="1">
      <alignment horizontal="left" vertical="top" indent="1"/>
    </xf>
    <xf numFmtId="175" fontId="21" fillId="14" borderId="0" xfId="16" applyNumberFormat="1" applyFill="1" applyAlignment="1">
      <alignment horizontal="left" vertical="top" indent="1"/>
    </xf>
    <xf numFmtId="175" fontId="21" fillId="14" borderId="0" xfId="6" applyNumberFormat="1" applyFont="1" applyFill="1" applyAlignment="1">
      <alignment horizontal="left" vertical="top" indent="1"/>
    </xf>
    <xf numFmtId="175" fontId="21" fillId="125" borderId="0" xfId="6" applyNumberFormat="1" applyFont="1" applyFill="1" applyAlignment="1">
      <alignment horizontal="left" vertical="top" indent="1"/>
    </xf>
    <xf numFmtId="0" fontId="38" fillId="127" borderId="22" xfId="16" applyFont="1" applyFill="1" applyBorder="1" applyAlignment="1">
      <alignment horizontal="left" vertical="top" indent="1"/>
    </xf>
    <xf numFmtId="0" fontId="22" fillId="127" borderId="1" xfId="16" applyFont="1" applyFill="1" applyBorder="1" applyAlignment="1">
      <alignment horizontal="left" vertical="top" indent="1"/>
    </xf>
    <xf numFmtId="168" fontId="22" fillId="127" borderId="27" xfId="16" applyNumberFormat="1" applyFont="1" applyFill="1" applyBorder="1" applyAlignment="1">
      <alignment horizontal="left" vertical="top" indent="1"/>
    </xf>
    <xf numFmtId="0" fontId="22" fillId="127" borderId="0" xfId="16" applyFont="1" applyFill="1" applyAlignment="1">
      <alignment horizontal="left" vertical="top" indent="1"/>
    </xf>
    <xf numFmtId="175" fontId="21" fillId="127" borderId="0" xfId="6" applyNumberFormat="1" applyFont="1" applyFill="1" applyAlignment="1">
      <alignment horizontal="left" vertical="top" indent="1"/>
    </xf>
    <xf numFmtId="6" fontId="78" fillId="14" borderId="0" xfId="16" applyNumberFormat="1" applyFont="1" applyFill="1" applyAlignment="1">
      <alignment horizontal="right" vertical="top" indent="1"/>
    </xf>
    <xf numFmtId="37" fontId="21" fillId="14" borderId="0" xfId="16" applyNumberFormat="1" applyFill="1" applyAlignment="1">
      <alignment horizontal="left" vertical="top" indent="1"/>
    </xf>
    <xf numFmtId="0" fontId="22" fillId="5" borderId="9" xfId="16" applyFont="1" applyFill="1" applyBorder="1" applyAlignment="1">
      <alignment horizontal="left" vertical="top" indent="1"/>
    </xf>
    <xf numFmtId="0" fontId="22" fillId="2" borderId="9" xfId="16" applyFont="1" applyFill="1" applyBorder="1" applyAlignment="1">
      <alignment horizontal="left" vertical="top" indent="1"/>
    </xf>
    <xf numFmtId="0" fontId="28" fillId="0" borderId="0" xfId="5" applyNumberFormat="1" applyFont="1" applyFill="1" applyAlignment="1" applyProtection="1">
      <alignment horizontal="left"/>
      <protection locked="0"/>
    </xf>
    <xf numFmtId="0" fontId="28" fillId="0" borderId="0" xfId="5" applyNumberFormat="1" applyFont="1" applyFill="1" applyAlignment="1" applyProtection="1">
      <alignment horizontal="center"/>
      <protection locked="0"/>
    </xf>
    <xf numFmtId="0" fontId="76" fillId="15" borderId="0" xfId="1" applyFont="1" applyFill="1"/>
    <xf numFmtId="0" fontId="0" fillId="125" borderId="27" xfId="0" applyFill="1" applyBorder="1" applyAlignment="1">
      <alignment horizontal="left" vertical="center" indent="1"/>
    </xf>
    <xf numFmtId="174" fontId="38" fillId="125" borderId="16" xfId="15" applyNumberFormat="1" applyFont="1" applyFill="1" applyBorder="1" applyAlignment="1">
      <alignment horizontal="left" vertical="center" indent="1"/>
    </xf>
    <xf numFmtId="215" fontId="38" fillId="125" borderId="16" xfId="15" applyNumberFormat="1" applyFont="1" applyFill="1" applyBorder="1" applyAlignment="1">
      <alignment horizontal="left" vertical="center" indent="1"/>
    </xf>
    <xf numFmtId="175" fontId="12" fillId="125" borderId="22" xfId="6" applyNumberFormat="1" applyFont="1" applyFill="1" applyBorder="1" applyAlignment="1">
      <alignment horizontal="left" vertical="center" indent="1"/>
    </xf>
    <xf numFmtId="0" fontId="22" fillId="125" borderId="27" xfId="1" applyFont="1" applyFill="1" applyBorder="1" applyAlignment="1">
      <alignment horizontal="left" vertical="center" indent="1"/>
    </xf>
    <xf numFmtId="0" fontId="22" fillId="2" borderId="97" xfId="1" applyFont="1" applyFill="1" applyBorder="1" applyAlignment="1">
      <alignment horizontal="left" vertical="center" indent="1"/>
    </xf>
    <xf numFmtId="0" fontId="22" fillId="2" borderId="30" xfId="1" applyFont="1" applyFill="1" applyBorder="1" applyAlignment="1">
      <alignment horizontal="left" vertical="center" indent="1"/>
    </xf>
    <xf numFmtId="0" fontId="22" fillId="2" borderId="0" xfId="1" applyFont="1" applyFill="1" applyBorder="1" applyAlignment="1">
      <alignment horizontal="left" vertical="center" wrapText="1" indent="1"/>
    </xf>
    <xf numFmtId="0" fontId="22" fillId="2" borderId="27" xfId="1" applyFont="1" applyFill="1" applyBorder="1" applyAlignment="1">
      <alignment horizontal="left" vertical="center" indent="1"/>
    </xf>
    <xf numFmtId="0" fontId="22" fillId="2" borderId="1" xfId="1" applyFont="1" applyFill="1" applyBorder="1" applyAlignment="1">
      <alignment horizontal="left" vertical="center" indent="1"/>
    </xf>
    <xf numFmtId="0" fontId="22" fillId="2" borderId="1" xfId="1" applyFont="1" applyFill="1" applyBorder="1" applyAlignment="1">
      <alignment horizontal="left" vertical="center" wrapText="1" indent="1"/>
    </xf>
    <xf numFmtId="0" fontId="22" fillId="127" borderId="9" xfId="1" applyFont="1" applyFill="1" applyBorder="1" applyAlignment="1">
      <alignment horizontal="left" vertical="center" indent="1"/>
    </xf>
    <xf numFmtId="0" fontId="22" fillId="2" borderId="44" xfId="1" applyFont="1" applyFill="1" applyBorder="1" applyAlignment="1">
      <alignment horizontal="left" vertical="center" indent="1"/>
    </xf>
    <xf numFmtId="0" fontId="22" fillId="2" borderId="33" xfId="1" applyFont="1" applyFill="1" applyBorder="1" applyAlignment="1">
      <alignment horizontal="left" vertical="center" indent="1"/>
    </xf>
    <xf numFmtId="0" fontId="22" fillId="2" borderId="9" xfId="1" applyFont="1" applyFill="1" applyBorder="1" applyAlignment="1">
      <alignment horizontal="left" vertical="center" indent="1"/>
    </xf>
    <xf numFmtId="0" fontId="22" fillId="2" borderId="32" xfId="1" applyFont="1" applyFill="1" applyBorder="1" applyAlignment="1">
      <alignment horizontal="left" vertical="center" indent="1"/>
    </xf>
    <xf numFmtId="0" fontId="22" fillId="2" borderId="22" xfId="1" applyFont="1" applyFill="1" applyBorder="1" applyAlignment="1">
      <alignment horizontal="left" vertical="center" indent="1"/>
    </xf>
    <xf numFmtId="0" fontId="22" fillId="2" borderId="18" xfId="1" applyFont="1" applyFill="1" applyBorder="1" applyAlignment="1">
      <alignment horizontal="left" vertical="center" indent="1"/>
    </xf>
    <xf numFmtId="0" fontId="22" fillId="2" borderId="16" xfId="1" applyFont="1" applyFill="1" applyBorder="1" applyAlignment="1">
      <alignment horizontal="left" vertical="center" indent="1"/>
    </xf>
    <xf numFmtId="0" fontId="22" fillId="2" borderId="8" xfId="1" applyFont="1" applyFill="1" applyBorder="1" applyAlignment="1">
      <alignment horizontal="left" vertical="center" indent="1"/>
    </xf>
    <xf numFmtId="0" fontId="22" fillId="2" borderId="203" xfId="1" applyFont="1" applyFill="1" applyBorder="1" applyAlignment="1">
      <alignment horizontal="left" vertical="center" wrapText="1" indent="1"/>
    </xf>
    <xf numFmtId="0" fontId="22" fillId="127" borderId="32" xfId="1" applyFont="1" applyFill="1" applyBorder="1" applyAlignment="1">
      <alignment horizontal="left" vertical="center" indent="1"/>
    </xf>
    <xf numFmtId="173" fontId="38" fillId="125" borderId="18" xfId="15" applyNumberFormat="1" applyFont="1" applyFill="1" applyBorder="1" applyAlignment="1">
      <alignment horizontal="left" vertical="center" indent="1"/>
    </xf>
    <xf numFmtId="174" fontId="38" fillId="87" borderId="18" xfId="15" applyNumberFormat="1" applyFont="1" applyFill="1" applyBorder="1" applyAlignment="1">
      <alignment horizontal="left" vertical="center" indent="1"/>
    </xf>
    <xf numFmtId="174" fontId="38" fillId="125" borderId="18" xfId="15" applyNumberFormat="1" applyFont="1" applyFill="1" applyBorder="1" applyAlignment="1">
      <alignment horizontal="left" vertical="center" indent="1"/>
    </xf>
    <xf numFmtId="0" fontId="22" fillId="127" borderId="33" xfId="1" applyFont="1" applyFill="1" applyBorder="1" applyAlignment="1">
      <alignment horizontal="left" vertical="center" indent="1"/>
    </xf>
    <xf numFmtId="0" fontId="22" fillId="84" borderId="9" xfId="1" applyFont="1" applyFill="1" applyBorder="1" applyAlignment="1">
      <alignment horizontal="left" vertical="center" indent="1"/>
    </xf>
    <xf numFmtId="215" fontId="38" fillId="125" borderId="8" xfId="15" applyNumberFormat="1" applyFont="1" applyFill="1" applyBorder="1" applyAlignment="1">
      <alignment horizontal="left" vertical="center" indent="1"/>
    </xf>
    <xf numFmtId="215" fontId="232" fillId="8" borderId="16" xfId="15" applyNumberFormat="1" applyFont="1" applyFill="1" applyBorder="1" applyAlignment="1">
      <alignment horizontal="left" vertical="center" indent="1"/>
    </xf>
    <xf numFmtId="215" fontId="22" fillId="127" borderId="9" xfId="1" applyNumberFormat="1" applyFont="1" applyFill="1" applyBorder="1" applyAlignment="1">
      <alignment horizontal="left" vertical="center" indent="1"/>
    </xf>
    <xf numFmtId="215" fontId="38" fillId="8" borderId="16" xfId="15" applyNumberFormat="1" applyFont="1" applyFill="1" applyBorder="1" applyAlignment="1">
      <alignment horizontal="left" vertical="center" indent="1"/>
    </xf>
    <xf numFmtId="0" fontId="22" fillId="2" borderId="88" xfId="1" applyFont="1" applyFill="1" applyBorder="1" applyAlignment="1">
      <alignment horizontal="left" vertical="center" wrapText="1" indent="1"/>
    </xf>
    <xf numFmtId="0" fontId="35" fillId="5" borderId="0" xfId="16" applyFont="1" applyFill="1" applyAlignment="1">
      <alignment horizontal="left" vertical="top" wrapText="1" indent="1"/>
    </xf>
    <xf numFmtId="169" fontId="38" fillId="87" borderId="16" xfId="0" applyNumberFormat="1" applyFont="1" applyFill="1" applyBorder="1" applyAlignment="1">
      <alignment horizontal="left" vertical="center" indent="1"/>
    </xf>
    <xf numFmtId="242" fontId="38" fillId="87" borderId="18" xfId="15" applyNumberFormat="1" applyFont="1" applyFill="1" applyBorder="1" applyAlignment="1">
      <alignment horizontal="left" vertical="center" indent="1"/>
    </xf>
    <xf numFmtId="0" fontId="22" fillId="8" borderId="16" xfId="0" applyFont="1" applyFill="1" applyBorder="1" applyAlignment="1">
      <alignment horizontal="left" vertical="center" indent="1"/>
    </xf>
    <xf numFmtId="0" fontId="0" fillId="0" borderId="9" xfId="0" applyFill="1" applyBorder="1" applyAlignment="1">
      <alignment horizontal="left" vertical="center" wrapText="1" indent="1"/>
    </xf>
    <xf numFmtId="236" fontId="186" fillId="87" borderId="8" xfId="15" applyNumberFormat="1" applyFont="1" applyFill="1" applyBorder="1" applyAlignment="1">
      <alignment horizontal="left" vertical="center" indent="1"/>
    </xf>
    <xf numFmtId="0" fontId="0" fillId="0" borderId="9" xfId="0" applyFont="1" applyFill="1" applyBorder="1" applyAlignment="1">
      <alignment horizontal="left" vertical="center" wrapText="1" indent="1"/>
    </xf>
    <xf numFmtId="0" fontId="186" fillId="125" borderId="9" xfId="0" applyFont="1" applyFill="1" applyBorder="1" applyAlignment="1">
      <alignment horizontal="left" vertical="center" indent="1"/>
    </xf>
    <xf numFmtId="169" fontId="186" fillId="130" borderId="16" xfId="15" applyNumberFormat="1" applyFont="1" applyFill="1" applyBorder="1" applyAlignment="1">
      <alignment horizontal="left" vertical="center" indent="1"/>
    </xf>
    <xf numFmtId="0" fontId="0" fillId="2" borderId="0" xfId="0" applyFill="1" applyAlignment="1" applyProtection="1">
      <alignment horizontal="left" vertical="center" indent="1"/>
      <protection locked="0"/>
    </xf>
    <xf numFmtId="0" fontId="0" fillId="0" borderId="0" xfId="0" applyAlignment="1" applyProtection="1">
      <alignment horizontal="left" vertical="center" indent="1"/>
      <protection locked="0"/>
    </xf>
    <xf numFmtId="0" fontId="70" fillId="2" borderId="0" xfId="0" applyFont="1" applyFill="1" applyAlignment="1">
      <alignment horizontal="left" vertical="center" indent="1"/>
    </xf>
    <xf numFmtId="0" fontId="22" fillId="118" borderId="17" xfId="0" applyFont="1" applyFill="1" applyBorder="1" applyAlignment="1" applyProtection="1">
      <alignment horizontal="left" vertical="center" indent="1"/>
      <protection locked="0"/>
    </xf>
    <xf numFmtId="0" fontId="70" fillId="118" borderId="17" xfId="0" applyFont="1" applyFill="1" applyBorder="1" applyAlignment="1" applyProtection="1">
      <alignment horizontal="left" vertical="center" indent="1"/>
      <protection locked="0"/>
    </xf>
    <xf numFmtId="172" fontId="22" fillId="118" borderId="17" xfId="16965" applyFont="1" applyFill="1" applyBorder="1" applyAlignment="1" applyProtection="1">
      <alignment horizontal="left" vertical="center" indent="1"/>
      <protection locked="0"/>
    </xf>
    <xf numFmtId="0" fontId="35" fillId="118" borderId="17" xfId="16965" applyNumberFormat="1" applyFont="1" applyFill="1" applyBorder="1" applyAlignment="1" applyProtection="1">
      <alignment horizontal="left" vertical="center" wrapText="1" indent="1"/>
      <protection locked="0"/>
    </xf>
    <xf numFmtId="172" fontId="35" fillId="118" borderId="17" xfId="16965" applyFont="1" applyFill="1" applyBorder="1" applyAlignment="1" applyProtection="1">
      <alignment horizontal="left" vertical="center" wrapText="1" indent="1"/>
      <protection locked="0"/>
    </xf>
    <xf numFmtId="0" fontId="35" fillId="118" borderId="17" xfId="0" applyFont="1" applyFill="1" applyBorder="1" applyAlignment="1" applyProtection="1">
      <alignment horizontal="left" vertical="center" wrapText="1" indent="1"/>
      <protection locked="0"/>
    </xf>
    <xf numFmtId="0" fontId="22" fillId="118" borderId="17" xfId="0" applyFont="1" applyFill="1" applyBorder="1" applyAlignment="1" applyProtection="1">
      <alignment horizontal="left" vertical="center" wrapText="1" indent="1"/>
      <protection locked="0"/>
    </xf>
    <xf numFmtId="0" fontId="22" fillId="2" borderId="0" xfId="0" applyFont="1" applyFill="1" applyAlignment="1" applyProtection="1">
      <alignment horizontal="left" vertical="center" wrapText="1" indent="1"/>
      <protection locked="0"/>
    </xf>
    <xf numFmtId="0" fontId="22" fillId="0" borderId="0" xfId="0" applyFont="1" applyAlignment="1" applyProtection="1">
      <alignment horizontal="left" vertical="center" indent="1"/>
      <protection locked="0"/>
    </xf>
    <xf numFmtId="0" fontId="22" fillId="2" borderId="0" xfId="0" applyFont="1" applyFill="1" applyAlignment="1" applyProtection="1">
      <alignment horizontal="left" vertical="center" indent="1"/>
      <protection locked="0"/>
    </xf>
    <xf numFmtId="0" fontId="35" fillId="2" borderId="0" xfId="0" applyFont="1" applyFill="1" applyAlignment="1" applyProtection="1">
      <alignment horizontal="left" vertical="center" indent="1"/>
      <protection locked="0"/>
    </xf>
    <xf numFmtId="10" fontId="35" fillId="2" borderId="0" xfId="31444" applyNumberFormat="1" applyFont="1" applyFill="1" applyBorder="1" applyAlignment="1" applyProtection="1">
      <alignment horizontal="left" vertical="center" indent="1"/>
    </xf>
    <xf numFmtId="10" fontId="22" fillId="2" borderId="0" xfId="31444" applyNumberFormat="1" applyFont="1" applyFill="1" applyBorder="1" applyAlignment="1" applyProtection="1">
      <alignment horizontal="left" vertical="center" indent="1"/>
    </xf>
    <xf numFmtId="10" fontId="22" fillId="2" borderId="0" xfId="0" applyNumberFormat="1" applyFont="1" applyFill="1" applyAlignment="1" applyProtection="1">
      <alignment horizontal="left" vertical="center" indent="1"/>
      <protection locked="0"/>
    </xf>
    <xf numFmtId="10" fontId="22" fillId="2" borderId="0" xfId="0" applyNumberFormat="1" applyFont="1" applyFill="1" applyAlignment="1">
      <alignment horizontal="left" vertical="center" indent="1"/>
    </xf>
    <xf numFmtId="0" fontId="22" fillId="2" borderId="0" xfId="0" applyFont="1" applyFill="1" applyAlignment="1">
      <alignment horizontal="left" vertical="center" indent="1"/>
    </xf>
    <xf numFmtId="0" fontId="35" fillId="2" borderId="0" xfId="0" applyFont="1" applyFill="1" applyAlignment="1">
      <alignment horizontal="left" vertical="center" indent="1"/>
    </xf>
    <xf numFmtId="0" fontId="217" fillId="2" borderId="0" xfId="0" applyFont="1" applyFill="1" applyAlignment="1">
      <alignment horizontal="left" vertical="center" indent="1"/>
    </xf>
    <xf numFmtId="216" fontId="35" fillId="87" borderId="0" xfId="31444" applyNumberFormat="1" applyFont="1" applyFill="1" applyBorder="1" applyAlignment="1" applyProtection="1">
      <alignment horizontal="left" vertical="center" indent="1"/>
    </xf>
    <xf numFmtId="216" fontId="35" fillId="129" borderId="0" xfId="31444" applyNumberFormat="1" applyFont="1" applyFill="1" applyBorder="1" applyAlignment="1" applyProtection="1">
      <alignment horizontal="left" vertical="center" indent="1"/>
    </xf>
    <xf numFmtId="216" fontId="22" fillId="87" borderId="0" xfId="31444" applyNumberFormat="1" applyFont="1" applyFill="1" applyBorder="1" applyAlignment="1" applyProtection="1">
      <alignment horizontal="left" vertical="center" indent="1"/>
    </xf>
    <xf numFmtId="216" fontId="22" fillId="129" borderId="0" xfId="31444" applyNumberFormat="1" applyFont="1" applyFill="1" applyBorder="1" applyAlignment="1" applyProtection="1">
      <alignment horizontal="left" vertical="center" indent="1"/>
    </xf>
    <xf numFmtId="216" fontId="22" fillId="87" borderId="0" xfId="0" applyNumberFormat="1" applyFont="1" applyFill="1" applyAlignment="1">
      <alignment horizontal="left" vertical="center" indent="1"/>
    </xf>
    <xf numFmtId="216" fontId="22" fillId="129" borderId="0" xfId="0" applyNumberFormat="1" applyFont="1" applyFill="1" applyAlignment="1">
      <alignment horizontal="left" vertical="center" indent="1"/>
    </xf>
    <xf numFmtId="216" fontId="22" fillId="87" borderId="178" xfId="31444" applyNumberFormat="1" applyFont="1" applyFill="1" applyBorder="1" applyAlignment="1">
      <alignment horizontal="left" vertical="center" indent="1"/>
    </xf>
    <xf numFmtId="216" fontId="22" fillId="129" borderId="179" xfId="31444" applyNumberFormat="1" applyFont="1" applyFill="1" applyBorder="1" applyAlignment="1">
      <alignment horizontal="left" vertical="center" indent="1"/>
    </xf>
    <xf numFmtId="216" fontId="35" fillId="48" borderId="0" xfId="0" applyNumberFormat="1" applyFont="1" applyFill="1" applyAlignment="1" applyProtection="1">
      <alignment horizontal="left" vertical="center" indent="1"/>
      <protection locked="0"/>
    </xf>
    <xf numFmtId="216" fontId="22" fillId="48" borderId="0" xfId="0" applyNumberFormat="1" applyFont="1" applyFill="1" applyAlignment="1" applyProtection="1">
      <alignment horizontal="left" vertical="center" indent="1"/>
      <protection locked="0"/>
    </xf>
    <xf numFmtId="216" fontId="22" fillId="48" borderId="0" xfId="31444" applyNumberFormat="1" applyFont="1" applyFill="1" applyBorder="1" applyAlignment="1" applyProtection="1">
      <alignment horizontal="left" vertical="center" indent="1"/>
      <protection locked="0"/>
    </xf>
    <xf numFmtId="218" fontId="196" fillId="6" borderId="0" xfId="42393" applyNumberFormat="1" applyFont="1" applyFill="1" applyAlignment="1">
      <alignment wrapText="1"/>
    </xf>
    <xf numFmtId="44" fontId="22" fillId="8" borderId="46" xfId="34386" applyNumberFormat="1" applyFont="1" applyFill="1" applyBorder="1"/>
    <xf numFmtId="244" fontId="0" fillId="0" borderId="0" xfId="0" applyNumberFormat="1" applyFill="1"/>
    <xf numFmtId="244" fontId="49" fillId="0" borderId="0" xfId="0" applyNumberFormat="1" applyFont="1" applyFill="1"/>
    <xf numFmtId="245" fontId="0" fillId="0" borderId="0" xfId="0" applyNumberFormat="1"/>
    <xf numFmtId="214" fontId="22" fillId="8" borderId="27" xfId="1" applyNumberFormat="1" applyFont="1" applyFill="1" applyBorder="1"/>
    <xf numFmtId="214" fontId="22" fillId="8" borderId="28" xfId="1" applyNumberFormat="1" applyFont="1" applyFill="1" applyBorder="1"/>
    <xf numFmtId="0" fontId="22" fillId="0" borderId="26" xfId="1" applyFont="1" applyBorder="1" applyAlignment="1">
      <alignment wrapText="1"/>
    </xf>
    <xf numFmtId="0" fontId="49" fillId="14" borderId="0" xfId="0" applyFont="1" applyFill="1"/>
    <xf numFmtId="44" fontId="22" fillId="15" borderId="0" xfId="1" applyNumberFormat="1" applyFont="1" applyFill="1"/>
    <xf numFmtId="2" fontId="0" fillId="15" borderId="0" xfId="0" applyNumberFormat="1" applyFill="1"/>
    <xf numFmtId="44" fontId="0" fillId="15" borderId="0" xfId="0" applyNumberFormat="1" applyFill="1"/>
    <xf numFmtId="0" fontId="1" fillId="0" borderId="0" xfId="42397"/>
    <xf numFmtId="0" fontId="68" fillId="104" borderId="0" xfId="42397" applyFont="1" applyFill="1"/>
    <xf numFmtId="0" fontId="66" fillId="104" borderId="0" xfId="42397" applyFont="1" applyFill="1"/>
    <xf numFmtId="0" fontId="66" fillId="104" borderId="0" xfId="42397" applyFont="1" applyFill="1" applyAlignment="1">
      <alignment wrapText="1"/>
    </xf>
    <xf numFmtId="0" fontId="66" fillId="104" borderId="0" xfId="42397" applyFont="1" applyFill="1" applyAlignment="1">
      <alignment horizontal="center"/>
    </xf>
    <xf numFmtId="177" fontId="0" fillId="129" borderId="0" xfId="42398" applyFont="1" applyFill="1"/>
    <xf numFmtId="177" fontId="0" fillId="100" borderId="0" xfId="42398" applyFont="1" applyFill="1"/>
    <xf numFmtId="177" fontId="0" fillId="0" borderId="0" xfId="42398" applyFont="1"/>
    <xf numFmtId="177" fontId="1" fillId="100" borderId="0" xfId="42397" applyNumberFormat="1" applyFill="1"/>
    <xf numFmtId="246" fontId="1" fillId="0" borderId="0" xfId="42397" applyNumberFormat="1"/>
    <xf numFmtId="0" fontId="1" fillId="129" borderId="0" xfId="42397" applyFill="1"/>
    <xf numFmtId="246" fontId="1" fillId="129" borderId="0" xfId="42397" applyNumberFormat="1" applyFill="1"/>
    <xf numFmtId="246" fontId="1" fillId="100" borderId="0" xfId="42397" applyNumberFormat="1" applyFill="1"/>
    <xf numFmtId="246" fontId="1" fillId="8" borderId="0" xfId="42397" applyNumberFormat="1" applyFill="1"/>
    <xf numFmtId="241" fontId="1" fillId="129" borderId="0" xfId="42397" applyNumberFormat="1" applyFill="1"/>
    <xf numFmtId="241" fontId="1" fillId="100" borderId="0" xfId="42397" applyNumberFormat="1" applyFill="1"/>
    <xf numFmtId="241" fontId="1" fillId="0" borderId="0" xfId="42397" applyNumberFormat="1"/>
    <xf numFmtId="247" fontId="22" fillId="8" borderId="46" xfId="1" applyNumberFormat="1" applyFont="1" applyFill="1" applyBorder="1"/>
    <xf numFmtId="247" fontId="0" fillId="0" borderId="26" xfId="0" applyNumberFormat="1" applyFill="1" applyBorder="1"/>
    <xf numFmtId="247" fontId="22" fillId="8" borderId="27" xfId="1" applyNumberFormat="1" applyFont="1" applyFill="1" applyBorder="1"/>
    <xf numFmtId="247" fontId="12" fillId="0" borderId="27" xfId="34386" applyNumberFormat="1" applyFont="1" applyFill="1" applyBorder="1"/>
    <xf numFmtId="0" fontId="114" fillId="0" borderId="0" xfId="42399"/>
    <xf numFmtId="6" fontId="114" fillId="0" borderId="0" xfId="42399" applyNumberFormat="1" applyAlignment="1">
      <alignment horizontal="left" vertical="center" indent="1"/>
    </xf>
    <xf numFmtId="0" fontId="35" fillId="0" borderId="0" xfId="1" applyFont="1" applyFill="1" applyAlignment="1">
      <alignment horizontal="left"/>
    </xf>
    <xf numFmtId="176" fontId="38" fillId="13" borderId="23" xfId="3" applyNumberFormat="1" applyFont="1" applyFill="1" applyBorder="1"/>
    <xf numFmtId="216" fontId="38" fillId="13" borderId="16" xfId="6" applyNumberFormat="1" applyFont="1" applyFill="1" applyBorder="1"/>
    <xf numFmtId="176" fontId="38" fillId="13" borderId="41" xfId="3" applyNumberFormat="1" applyFont="1" applyFill="1" applyBorder="1"/>
    <xf numFmtId="0" fontId="38" fillId="0" borderId="0" xfId="1" applyFont="1" applyBorder="1"/>
    <xf numFmtId="0" fontId="38" fillId="0" borderId="0" xfId="1" applyFont="1"/>
    <xf numFmtId="216" fontId="38" fillId="13" borderId="23" xfId="3" applyNumberFormat="1" applyFont="1" applyFill="1" applyBorder="1"/>
    <xf numFmtId="216" fontId="38" fillId="13" borderId="21" xfId="3" applyNumberFormat="1" applyFont="1" applyFill="1" applyBorder="1"/>
    <xf numFmtId="216" fontId="38" fillId="13" borderId="22" xfId="3" applyNumberFormat="1" applyFont="1" applyFill="1" applyBorder="1"/>
    <xf numFmtId="216" fontId="38" fillId="13" borderId="16" xfId="3" applyNumberFormat="1" applyFont="1" applyFill="1" applyBorder="1"/>
    <xf numFmtId="202" fontId="0" fillId="0" borderId="0" xfId="34386" applyNumberFormat="1" applyFont="1"/>
    <xf numFmtId="0" fontId="34" fillId="6" borderId="0" xfId="42387" applyFont="1" applyFill="1"/>
    <xf numFmtId="0" fontId="22" fillId="2" borderId="9" xfId="0" applyFont="1" applyFill="1" applyBorder="1" applyAlignment="1">
      <alignment horizontal="left" vertical="center" wrapText="1" indent="1"/>
    </xf>
    <xf numFmtId="0" fontId="22" fillId="84" borderId="0" xfId="0" applyFont="1" applyFill="1" applyBorder="1" applyAlignment="1">
      <alignment horizontal="left" vertical="center" indent="1"/>
    </xf>
    <xf numFmtId="0" fontId="22" fillId="2" borderId="32" xfId="0" applyFont="1" applyFill="1" applyBorder="1" applyAlignment="1">
      <alignment horizontal="left" vertical="center" wrapText="1" indent="1"/>
    </xf>
    <xf numFmtId="0" fontId="35" fillId="2" borderId="9" xfId="0" applyFont="1" applyFill="1" applyBorder="1" applyAlignment="1">
      <alignment horizontal="left" vertical="center" wrapText="1" indent="1"/>
    </xf>
    <xf numFmtId="2" fontId="176" fillId="0" borderId="0" xfId="5" applyNumberFormat="1" applyFont="1" applyFill="1" applyAlignment="1" applyProtection="1">
      <alignment horizontal="left"/>
      <protection locked="0"/>
    </xf>
    <xf numFmtId="0" fontId="22" fillId="4" borderId="0" xfId="1" applyFont="1" applyFill="1" applyAlignment="1">
      <alignment horizontal="left" vertical="center" indent="1"/>
    </xf>
    <xf numFmtId="172" fontId="22" fillId="4" borderId="0" xfId="1" applyNumberFormat="1" applyFont="1" applyFill="1" applyAlignment="1">
      <alignment horizontal="left" vertical="center" indent="1"/>
    </xf>
    <xf numFmtId="0" fontId="247" fillId="6" borderId="0" xfId="42387" applyFont="1" applyFill="1" applyAlignment="1">
      <alignment horizontal="center"/>
    </xf>
    <xf numFmtId="0" fontId="247" fillId="6" borderId="0" xfId="42392" applyFont="1" applyFill="1" applyAlignment="1">
      <alignment horizontal="center"/>
    </xf>
    <xf numFmtId="0" fontId="247" fillId="6" borderId="0" xfId="42392" applyFont="1" applyFill="1"/>
    <xf numFmtId="0" fontId="248" fillId="6" borderId="0" xfId="42392" applyFont="1" applyFill="1"/>
    <xf numFmtId="0" fontId="192" fillId="6" borderId="0" xfId="42392" applyFont="1" applyFill="1" applyAlignment="1">
      <alignment wrapText="1"/>
    </xf>
    <xf numFmtId="0" fontId="197" fillId="0" borderId="213" xfId="42388" applyNumberFormat="1" applyFont="1" applyBorder="1" applyAlignment="1">
      <alignment horizontal="right" vertical="center"/>
    </xf>
    <xf numFmtId="0" fontId="197" fillId="6" borderId="0" xfId="42392" applyFont="1" applyFill="1" applyAlignment="1">
      <alignment wrapText="1"/>
    </xf>
    <xf numFmtId="0" fontId="197" fillId="6" borderId="0" xfId="42392" applyFont="1" applyFill="1"/>
    <xf numFmtId="169" fontId="196" fillId="6" borderId="0" xfId="42392" applyNumberFormat="1" applyFont="1" applyFill="1"/>
    <xf numFmtId="214" fontId="196" fillId="6" borderId="0" xfId="42392" applyNumberFormat="1" applyFont="1" applyFill="1" applyAlignment="1">
      <alignment vertical="center"/>
    </xf>
    <xf numFmtId="214" fontId="196" fillId="6" borderId="0" xfId="42392" applyNumberFormat="1" applyFont="1" applyFill="1"/>
    <xf numFmtId="174" fontId="196" fillId="6" borderId="0" xfId="5" applyNumberFormat="1" applyFont="1" applyFill="1" applyBorder="1"/>
    <xf numFmtId="166" fontId="249" fillId="13" borderId="16" xfId="3" applyNumberFormat="1" applyFont="1" applyFill="1" applyBorder="1"/>
    <xf numFmtId="0" fontId="196" fillId="6" borderId="0" xfId="0" applyFont="1" applyFill="1" applyAlignment="1">
      <alignment wrapText="1"/>
    </xf>
    <xf numFmtId="218" fontId="196" fillId="99" borderId="0" xfId="6" applyNumberFormat="1" applyFont="1" applyFill="1" applyAlignment="1">
      <alignment wrapText="1"/>
    </xf>
    <xf numFmtId="169" fontId="196" fillId="6" borderId="189" xfId="0" applyNumberFormat="1" applyFont="1" applyFill="1" applyBorder="1" applyAlignment="1">
      <alignment vertical="center"/>
    </xf>
    <xf numFmtId="169" fontId="196" fillId="0" borderId="0" xfId="42392" applyNumberFormat="1" applyFont="1"/>
    <xf numFmtId="169" fontId="78" fillId="6" borderId="189" xfId="42392" applyNumberFormat="1" applyFont="1" applyFill="1" applyBorder="1" applyAlignment="1">
      <alignment vertical="center"/>
    </xf>
    <xf numFmtId="10" fontId="196" fillId="85" borderId="181" xfId="42388" applyNumberFormat="1" applyFont="1" applyFill="1" applyBorder="1" applyAlignment="1">
      <alignment horizontal="right" vertical="center"/>
    </xf>
    <xf numFmtId="3" fontId="14" fillId="0" borderId="0" xfId="42387" applyNumberFormat="1" applyFont="1"/>
    <xf numFmtId="8" fontId="35" fillId="0" borderId="9" xfId="0" applyNumberFormat="1" applyFont="1" applyFill="1" applyBorder="1" applyAlignment="1" applyProtection="1">
      <alignment horizontal="right" vertical="center"/>
    </xf>
    <xf numFmtId="8" fontId="35" fillId="0" borderId="6" xfId="0" applyNumberFormat="1" applyFont="1" applyFill="1" applyBorder="1" applyAlignment="1" applyProtection="1">
      <alignment horizontal="right" vertical="center"/>
    </xf>
    <xf numFmtId="8" fontId="22" fillId="0" borderId="6" xfId="6" applyNumberFormat="1" applyFont="1" applyFill="1" applyBorder="1" applyAlignment="1" applyProtection="1">
      <alignment horizontal="right" vertical="center"/>
    </xf>
    <xf numFmtId="8" fontId="22" fillId="0" borderId="9" xfId="6" applyNumberFormat="1" applyFont="1" applyFill="1" applyBorder="1" applyAlignment="1" applyProtection="1">
      <alignment horizontal="right" vertical="center"/>
    </xf>
    <xf numFmtId="8" fontId="35" fillId="0" borderId="9" xfId="6" applyNumberFormat="1" applyFont="1" applyFill="1" applyBorder="1" applyAlignment="1" applyProtection="1">
      <alignment horizontal="right" vertical="center"/>
      <protection hidden="1"/>
    </xf>
    <xf numFmtId="8" fontId="22" fillId="85" borderId="9" xfId="0" applyNumberFormat="1" applyFont="1" applyFill="1" applyBorder="1" applyAlignment="1" applyProtection="1">
      <alignment horizontal="right" vertical="center"/>
    </xf>
    <xf numFmtId="8" fontId="22" fillId="0" borderId="9" xfId="9" applyNumberFormat="1" applyFont="1" applyFill="1" applyBorder="1" applyAlignment="1" applyProtection="1">
      <alignment horizontal="right"/>
    </xf>
    <xf numFmtId="8" fontId="35" fillId="0" borderId="9" xfId="5" applyNumberFormat="1" applyFont="1" applyFill="1" applyBorder="1"/>
    <xf numFmtId="8" fontId="49" fillId="0" borderId="9" xfId="0" applyNumberFormat="1" applyFont="1" applyFill="1" applyBorder="1" applyProtection="1">
      <protection locked="0"/>
    </xf>
    <xf numFmtId="8" fontId="22" fillId="0" borderId="16" xfId="5" applyNumberFormat="1" applyFont="1" applyFill="1" applyBorder="1"/>
    <xf numFmtId="8" fontId="49" fillId="0" borderId="16" xfId="0" applyNumberFormat="1" applyFont="1" applyFill="1" applyBorder="1" applyProtection="1">
      <protection locked="0"/>
    </xf>
    <xf numFmtId="8" fontId="0" fillId="0" borderId="16" xfId="0" applyNumberFormat="1" applyFont="1" applyBorder="1" applyProtection="1">
      <protection locked="0"/>
    </xf>
    <xf numFmtId="8" fontId="49" fillId="0" borderId="9" xfId="0" applyNumberFormat="1" applyFont="1" applyBorder="1" applyProtection="1">
      <protection locked="0"/>
    </xf>
    <xf numFmtId="8" fontId="0" fillId="0" borderId="16" xfId="0" applyNumberFormat="1" applyFont="1" applyFill="1" applyBorder="1" applyProtection="1">
      <protection locked="0"/>
    </xf>
    <xf numFmtId="8" fontId="0" fillId="0" borderId="9" xfId="5" applyNumberFormat="1" applyFont="1" applyBorder="1" applyProtection="1">
      <protection locked="0"/>
    </xf>
    <xf numFmtId="8" fontId="0" fillId="0" borderId="33" xfId="0" applyNumberFormat="1" applyFont="1" applyBorder="1" applyProtection="1">
      <protection locked="0"/>
    </xf>
    <xf numFmtId="8" fontId="49" fillId="0" borderId="16" xfId="0" applyNumberFormat="1" applyFont="1" applyBorder="1" applyProtection="1">
      <protection locked="0"/>
    </xf>
    <xf numFmtId="8" fontId="35" fillId="0" borderId="16" xfId="0" applyNumberFormat="1" applyFont="1" applyFill="1" applyBorder="1" applyProtection="1"/>
    <xf numFmtId="8" fontId="12" fillId="0" borderId="16" xfId="6" applyNumberFormat="1" applyFont="1" applyFill="1" applyBorder="1" applyAlignment="1" applyProtection="1">
      <alignment horizontal="right" vertical="center"/>
    </xf>
    <xf numFmtId="8" fontId="12" fillId="0" borderId="16" xfId="0" applyNumberFormat="1" applyFont="1" applyFill="1" applyBorder="1" applyProtection="1">
      <protection locked="0"/>
    </xf>
    <xf numFmtId="8" fontId="12" fillId="0" borderId="16" xfId="0" applyNumberFormat="1" applyFont="1" applyFill="1" applyBorder="1" applyAlignment="1" applyProtection="1">
      <alignment horizontal="right"/>
      <protection locked="0"/>
    </xf>
    <xf numFmtId="8" fontId="12" fillId="0" borderId="10" xfId="6" applyNumberFormat="1" applyFont="1" applyFill="1" applyBorder="1" applyAlignment="1" applyProtection="1">
      <alignment horizontal="right" vertical="center"/>
    </xf>
    <xf numFmtId="8" fontId="28" fillId="0" borderId="9" xfId="0" applyNumberFormat="1" applyFont="1" applyFill="1" applyBorder="1" applyAlignment="1" applyProtection="1">
      <alignment horizontal="right" vertical="center"/>
    </xf>
    <xf numFmtId="8" fontId="28" fillId="6" borderId="6" xfId="0" applyNumberFormat="1" applyFont="1" applyFill="1" applyBorder="1" applyAlignment="1" applyProtection="1">
      <alignment horizontal="right" vertical="center"/>
    </xf>
    <xf numFmtId="8" fontId="15" fillId="0" borderId="9" xfId="6" applyNumberFormat="1" applyFont="1" applyFill="1" applyBorder="1" applyAlignment="1" applyProtection="1">
      <alignment horizontal="right" vertical="center"/>
    </xf>
    <xf numFmtId="8" fontId="28" fillId="10" borderId="9" xfId="6" applyNumberFormat="1" applyFont="1" applyFill="1" applyBorder="1" applyAlignment="1" applyProtection="1">
      <alignment horizontal="right" vertical="center"/>
      <protection hidden="1"/>
    </xf>
    <xf numFmtId="8" fontId="28" fillId="0" borderId="9" xfId="6" applyNumberFormat="1" applyFont="1" applyFill="1" applyBorder="1" applyAlignment="1" applyProtection="1">
      <alignment horizontal="right" vertical="center"/>
    </xf>
    <xf numFmtId="8" fontId="34" fillId="0" borderId="9" xfId="0" applyNumberFormat="1" applyFont="1" applyFill="1" applyBorder="1" applyProtection="1">
      <protection locked="0"/>
    </xf>
    <xf numFmtId="8" fontId="15" fillId="0" borderId="87" xfId="6" applyNumberFormat="1" applyFont="1" applyFill="1" applyBorder="1" applyAlignment="1" applyProtection="1">
      <alignment horizontal="right" vertical="center"/>
    </xf>
    <xf numFmtId="8" fontId="14" fillId="0" borderId="16" xfId="0" applyNumberFormat="1" applyFont="1" applyBorder="1" applyProtection="1">
      <protection locked="0"/>
    </xf>
    <xf numFmtId="8" fontId="15" fillId="0" borderId="16" xfId="6" applyNumberFormat="1" applyFont="1" applyFill="1" applyBorder="1" applyAlignment="1" applyProtection="1">
      <alignment horizontal="right" vertical="center"/>
    </xf>
    <xf numFmtId="8" fontId="34" fillId="0" borderId="9" xfId="0" applyNumberFormat="1" applyFont="1" applyBorder="1" applyProtection="1">
      <protection locked="0"/>
    </xf>
    <xf numFmtId="8" fontId="15" fillId="0" borderId="87" xfId="0" applyNumberFormat="1" applyFont="1" applyBorder="1" applyProtection="1">
      <protection locked="0"/>
    </xf>
    <xf numFmtId="8" fontId="15" fillId="0" borderId="10" xfId="6" applyNumberFormat="1" applyFont="1" applyFill="1" applyBorder="1" applyAlignment="1" applyProtection="1">
      <alignment horizontal="right" vertical="center"/>
    </xf>
    <xf numFmtId="8" fontId="14" fillId="0" borderId="10" xfId="0" applyNumberFormat="1" applyFont="1" applyBorder="1" applyProtection="1">
      <protection locked="0"/>
    </xf>
    <xf numFmtId="8" fontId="14" fillId="0" borderId="16" xfId="6" applyNumberFormat="1" applyFont="1" applyFill="1" applyBorder="1" applyAlignment="1" applyProtection="1">
      <alignment horizontal="right" vertical="center"/>
    </xf>
    <xf numFmtId="8" fontId="15" fillId="0" borderId="18" xfId="6" applyNumberFormat="1" applyFont="1" applyFill="1" applyBorder="1" applyAlignment="1" applyProtection="1">
      <alignment horizontal="right" vertical="center"/>
    </xf>
    <xf numFmtId="8" fontId="14" fillId="0" borderId="16" xfId="0" applyNumberFormat="1" applyFont="1" applyFill="1" applyBorder="1" applyProtection="1">
      <protection locked="0"/>
    </xf>
    <xf numFmtId="8" fontId="28" fillId="0" borderId="6" xfId="0" applyNumberFormat="1" applyFont="1" applyFill="1" applyBorder="1" applyAlignment="1" applyProtection="1">
      <alignment horizontal="right" vertical="center"/>
    </xf>
    <xf numFmtId="8" fontId="28" fillId="0" borderId="9" xfId="6" applyNumberFormat="1" applyFont="1" applyFill="1" applyBorder="1" applyAlignment="1" applyProtection="1">
      <alignment horizontal="right" vertical="center"/>
      <protection hidden="1"/>
    </xf>
    <xf numFmtId="8" fontId="14" fillId="0" borderId="16" xfId="0" applyNumberFormat="1" applyFont="1" applyBorder="1" applyAlignment="1" applyProtection="1">
      <alignment horizontal="center"/>
    </xf>
    <xf numFmtId="8" fontId="14" fillId="0" borderId="9" xfId="0" applyNumberFormat="1" applyFont="1" applyBorder="1" applyProtection="1">
      <protection locked="0"/>
    </xf>
    <xf numFmtId="8" fontId="15" fillId="0" borderId="16" xfId="0" applyNumberFormat="1" applyFont="1" applyBorder="1" applyProtection="1">
      <protection locked="0"/>
    </xf>
    <xf numFmtId="8" fontId="28" fillId="0" borderId="10" xfId="6" applyNumberFormat="1" applyFont="1" applyFill="1" applyBorder="1" applyAlignment="1" applyProtection="1">
      <alignment horizontal="right" vertical="center"/>
    </xf>
    <xf numFmtId="7" fontId="38" fillId="13" borderId="23" xfId="3" applyNumberFormat="1" applyFont="1" applyFill="1" applyBorder="1"/>
    <xf numFmtId="7" fontId="38" fillId="13" borderId="41" xfId="3" applyNumberFormat="1" applyFont="1" applyFill="1" applyBorder="1"/>
    <xf numFmtId="7" fontId="38" fillId="13" borderId="14" xfId="3" applyNumberFormat="1" applyFont="1" applyFill="1" applyBorder="1"/>
    <xf numFmtId="7" fontId="38" fillId="13" borderId="21" xfId="3" applyNumberFormat="1" applyFont="1" applyFill="1" applyBorder="1"/>
    <xf numFmtId="7" fontId="38" fillId="13" borderId="42" xfId="3" applyNumberFormat="1" applyFont="1" applyFill="1" applyBorder="1"/>
    <xf numFmtId="7" fontId="22" fillId="0" borderId="0" xfId="1" applyNumberFormat="1" applyFont="1"/>
    <xf numFmtId="7" fontId="38" fillId="13" borderId="21" xfId="34386" applyNumberFormat="1" applyFont="1" applyFill="1" applyBorder="1"/>
    <xf numFmtId="7" fontId="38" fillId="13" borderId="41" xfId="34386" applyNumberFormat="1" applyFont="1" applyFill="1" applyBorder="1"/>
    <xf numFmtId="7" fontId="38" fillId="13" borderId="15" xfId="34386" applyNumberFormat="1" applyFont="1" applyFill="1" applyBorder="1"/>
    <xf numFmtId="8" fontId="0" fillId="0" borderId="0" xfId="0" applyNumberFormat="1" applyFont="1" applyProtection="1">
      <protection locked="0"/>
    </xf>
    <xf numFmtId="223" fontId="0" fillId="0" borderId="0" xfId="0" applyNumberFormat="1" applyFont="1" applyProtection="1">
      <protection locked="0"/>
    </xf>
    <xf numFmtId="6" fontId="215" fillId="136" borderId="160" xfId="34386" applyNumberFormat="1" applyFont="1" applyFill="1" applyBorder="1" applyAlignment="1" applyProtection="1">
      <alignment horizontal="left" vertical="center" indent="1"/>
      <protection locked="0"/>
    </xf>
    <xf numFmtId="248" fontId="47" fillId="0" borderId="0" xfId="8" applyNumberFormat="1" applyFont="1" applyFill="1" applyBorder="1" applyAlignment="1" applyProtection="1">
      <alignment horizontal="left"/>
      <protection locked="0"/>
    </xf>
    <xf numFmtId="249" fontId="15" fillId="0" borderId="0" xfId="0" applyNumberFormat="1" applyFont="1" applyFill="1" applyBorder="1" applyProtection="1">
      <protection locked="0"/>
    </xf>
    <xf numFmtId="174" fontId="250" fillId="87" borderId="1" xfId="15" applyNumberFormat="1" applyFont="1" applyFill="1" applyBorder="1" applyAlignment="1">
      <alignment horizontal="left" vertical="center" indent="1"/>
    </xf>
    <xf numFmtId="174" fontId="250" fillId="8" borderId="1" xfId="15" applyNumberFormat="1" applyFont="1" applyFill="1" applyBorder="1" applyAlignment="1">
      <alignment horizontal="left" vertical="center" indent="1"/>
    </xf>
    <xf numFmtId="215" fontId="250" fillId="87" borderId="1" xfId="15" applyNumberFormat="1" applyFont="1" applyFill="1" applyBorder="1" applyAlignment="1">
      <alignment horizontal="left" vertical="center" indent="1"/>
    </xf>
    <xf numFmtId="215" fontId="250" fillId="8" borderId="1" xfId="15" applyNumberFormat="1" applyFont="1" applyFill="1" applyBorder="1" applyAlignment="1">
      <alignment horizontal="left" vertical="center" indent="1"/>
    </xf>
    <xf numFmtId="174" fontId="250" fillId="125" borderId="1" xfId="15" applyNumberFormat="1" applyFont="1" applyFill="1" applyBorder="1" applyAlignment="1">
      <alignment horizontal="left" vertical="center" indent="1"/>
    </xf>
    <xf numFmtId="215" fontId="250" fillId="125" borderId="1" xfId="15" applyNumberFormat="1" applyFont="1" applyFill="1" applyBorder="1" applyAlignment="1">
      <alignment horizontal="left" vertical="center" indent="1"/>
    </xf>
    <xf numFmtId="6" fontId="186" fillId="103" borderId="16" xfId="15" applyNumberFormat="1" applyFont="1" applyFill="1" applyBorder="1" applyAlignment="1">
      <alignment horizontal="left" vertical="center" indent="1"/>
    </xf>
    <xf numFmtId="0" fontId="22" fillId="125" borderId="33" xfId="0" applyFont="1" applyFill="1" applyBorder="1" applyAlignment="1">
      <alignment horizontal="left" vertical="center" indent="1"/>
    </xf>
    <xf numFmtId="0" fontId="22" fillId="125" borderId="9" xfId="0" applyFont="1" applyFill="1" applyBorder="1" applyAlignment="1">
      <alignment horizontal="left" vertical="center" indent="1"/>
    </xf>
    <xf numFmtId="0" fontId="22" fillId="125" borderId="32" xfId="0" applyFont="1" applyFill="1" applyBorder="1" applyAlignment="1">
      <alignment horizontal="left" vertical="center" indent="1"/>
    </xf>
    <xf numFmtId="0" fontId="22" fillId="7" borderId="2" xfId="0" applyFont="1" applyFill="1" applyBorder="1" applyAlignment="1">
      <alignment horizontal="left" vertical="center" indent="1"/>
    </xf>
    <xf numFmtId="169" fontId="186" fillId="8" borderId="16" xfId="15" applyNumberFormat="1" applyFont="1" applyFill="1" applyBorder="1" applyAlignment="1">
      <alignment horizontal="left" vertical="center" indent="1"/>
    </xf>
    <xf numFmtId="0" fontId="0" fillId="8" borderId="18" xfId="0" applyFill="1" applyBorder="1" applyAlignment="1">
      <alignment horizontal="left" vertical="center" indent="1"/>
    </xf>
    <xf numFmtId="0" fontId="0" fillId="7" borderId="0" xfId="0" applyFill="1" applyBorder="1" applyAlignment="1">
      <alignment horizontal="left" vertical="center" indent="1"/>
    </xf>
    <xf numFmtId="220" fontId="232" fillId="7" borderId="8" xfId="15" applyNumberFormat="1" applyFont="1" applyFill="1" applyBorder="1" applyAlignment="1">
      <alignment horizontal="left" vertical="center" indent="1"/>
    </xf>
    <xf numFmtId="6" fontId="0" fillId="2" borderId="8" xfId="15" applyNumberFormat="1" applyFont="1" applyFill="1" applyBorder="1" applyAlignment="1">
      <alignment horizontal="left" vertical="center" indent="1"/>
    </xf>
    <xf numFmtId="6" fontId="49" fillId="2" borderId="8" xfId="0" applyNumberFormat="1" applyFont="1" applyFill="1" applyBorder="1" applyAlignment="1">
      <alignment horizontal="left" vertical="center" indent="1"/>
    </xf>
    <xf numFmtId="250" fontId="49" fillId="0" borderId="9" xfId="0" applyNumberFormat="1" applyFont="1" applyBorder="1" applyProtection="1">
      <protection locked="0"/>
    </xf>
    <xf numFmtId="0" fontId="0" fillId="0" borderId="99" xfId="0" applyBorder="1" applyAlignment="1">
      <alignment horizontal="left" vertical="top" wrapText="1"/>
    </xf>
    <xf numFmtId="0" fontId="0" fillId="0" borderId="100" xfId="0" applyBorder="1" applyAlignment="1">
      <alignment horizontal="left" vertical="top" wrapText="1"/>
    </xf>
    <xf numFmtId="0" fontId="0" fillId="0" borderId="101" xfId="0" applyBorder="1" applyAlignment="1">
      <alignment horizontal="left" vertical="top"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7" xfId="0" applyBorder="1" applyAlignment="1">
      <alignment horizontal="left" vertical="center" wrapText="1"/>
    </xf>
    <xf numFmtId="0" fontId="0" fillId="0" borderId="13" xfId="0" applyBorder="1" applyAlignment="1">
      <alignment horizontal="left" vertical="center" wrapText="1"/>
    </xf>
    <xf numFmtId="0" fontId="0" fillId="0" borderId="122" xfId="0" applyBorder="1" applyAlignment="1">
      <alignment horizontal="left" vertical="center" wrapText="1"/>
    </xf>
    <xf numFmtId="0" fontId="0" fillId="0" borderId="15" xfId="0" applyBorder="1" applyAlignment="1">
      <alignment horizontal="left" vertical="center" wrapText="1"/>
    </xf>
    <xf numFmtId="0" fontId="0" fillId="0" borderId="87" xfId="0" applyBorder="1" applyAlignment="1">
      <alignment horizontal="center" vertical="center" wrapText="1"/>
    </xf>
    <xf numFmtId="0" fontId="0" fillId="0" borderId="10" xfId="0" applyBorder="1" applyAlignment="1">
      <alignment horizontal="center" vertical="center" wrapText="1"/>
    </xf>
    <xf numFmtId="0" fontId="0" fillId="0" borderId="89" xfId="0" applyBorder="1" applyAlignment="1">
      <alignment horizontal="left" vertical="center" wrapText="1"/>
    </xf>
    <xf numFmtId="0" fontId="0" fillId="0" borderId="5" xfId="0" applyBorder="1" applyAlignment="1">
      <alignment horizontal="left" vertical="center" wrapText="1"/>
    </xf>
    <xf numFmtId="0" fontId="0" fillId="0" borderId="29"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0" fillId="0" borderId="31" xfId="0" applyBorder="1" applyAlignment="1">
      <alignment horizontal="left" vertical="center" wrapText="1"/>
    </xf>
    <xf numFmtId="0" fontId="0" fillId="0" borderId="87" xfId="0" applyBorder="1" applyAlignment="1">
      <alignment horizontal="center"/>
    </xf>
    <xf numFmtId="0" fontId="0" fillId="0" borderId="16" xfId="0" applyBorder="1" applyAlignment="1">
      <alignment horizontal="center"/>
    </xf>
    <xf numFmtId="0" fontId="0" fillId="0" borderId="10" xfId="0" applyBorder="1" applyAlignment="1">
      <alignment horizontal="center"/>
    </xf>
    <xf numFmtId="0" fontId="0" fillId="0" borderId="89" xfId="0" applyBorder="1" applyAlignment="1">
      <alignment horizontal="left" vertical="top" wrapText="1"/>
    </xf>
    <xf numFmtId="0" fontId="0" fillId="0" borderId="5" xfId="0" applyBorder="1" applyAlignment="1">
      <alignment horizontal="left" vertical="top" wrapText="1"/>
    </xf>
    <xf numFmtId="0" fontId="0" fillId="0" borderId="29" xfId="0" applyBorder="1" applyAlignment="1">
      <alignment horizontal="left" vertical="top" wrapText="1"/>
    </xf>
    <xf numFmtId="0" fontId="0" fillId="0" borderId="8"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31" xfId="0" applyBorder="1" applyAlignment="1">
      <alignment horizontal="left" vertical="top" wrapText="1"/>
    </xf>
    <xf numFmtId="0" fontId="49" fillId="0" borderId="51" xfId="0" applyFont="1" applyBorder="1" applyAlignment="1">
      <alignment horizontal="center"/>
    </xf>
    <xf numFmtId="0" fontId="49" fillId="0" borderId="52" xfId="0" applyFont="1" applyBorder="1" applyAlignment="1">
      <alignment horizontal="center"/>
    </xf>
    <xf numFmtId="0" fontId="49" fillId="0" borderId="53" xfId="0" applyFont="1"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235" fillId="0" borderId="2" xfId="0" applyFont="1" applyBorder="1" applyAlignment="1">
      <alignment horizontal="center" vertical="center"/>
    </xf>
    <xf numFmtId="0" fontId="235" fillId="0" borderId="3" xfId="0" applyFont="1" applyBorder="1" applyAlignment="1">
      <alignment horizontal="center" vertical="center"/>
    </xf>
    <xf numFmtId="0" fontId="235" fillId="0" borderId="4" xfId="0" applyFont="1" applyBorder="1" applyAlignment="1">
      <alignment horizontal="center" vertical="center"/>
    </xf>
    <xf numFmtId="0" fontId="235" fillId="0" borderId="1" xfId="0" applyFont="1" applyBorder="1" applyAlignment="1">
      <alignment horizontal="center" vertical="center"/>
    </xf>
    <xf numFmtId="0" fontId="235" fillId="0" borderId="0" xfId="0" applyFont="1" applyAlignment="1">
      <alignment horizontal="center" vertical="center"/>
    </xf>
    <xf numFmtId="0" fontId="235" fillId="0" borderId="7" xfId="0" applyFont="1" applyBorder="1" applyAlignment="1">
      <alignment horizontal="center" vertical="center"/>
    </xf>
    <xf numFmtId="0" fontId="235" fillId="0" borderId="13" xfId="0" applyFont="1" applyBorder="1" applyAlignment="1">
      <alignment horizontal="center" vertical="center"/>
    </xf>
    <xf numFmtId="0" fontId="235" fillId="0" borderId="122" xfId="0" applyFont="1" applyBorder="1" applyAlignment="1">
      <alignment horizontal="center" vertical="center"/>
    </xf>
    <xf numFmtId="0" fontId="235" fillId="0" borderId="15" xfId="0" applyFont="1" applyBorder="1" applyAlignment="1">
      <alignment horizontal="center" vertical="center"/>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2" xfId="0" applyBorder="1" applyAlignment="1">
      <alignment horizontal="center" vertical="top"/>
    </xf>
    <xf numFmtId="0" fontId="0" fillId="0" borderId="87" xfId="0" applyBorder="1" applyAlignment="1">
      <alignment horizontal="center" vertical="center"/>
    </xf>
    <xf numFmtId="0" fontId="0" fillId="0" borderId="10" xfId="0" applyBorder="1" applyAlignment="1">
      <alignment horizontal="center" vertical="center"/>
    </xf>
    <xf numFmtId="0" fontId="0" fillId="0" borderId="32" xfId="0" applyBorder="1" applyAlignment="1">
      <alignment horizontal="left" vertical="top" wrapText="1"/>
    </xf>
    <xf numFmtId="0" fontId="0" fillId="0" borderId="17" xfId="0" applyBorder="1" applyAlignment="1">
      <alignment horizontal="left" vertical="top" wrapText="1"/>
    </xf>
    <xf numFmtId="0" fontId="0" fillId="0" borderId="90" xfId="0" applyBorder="1" applyAlignment="1">
      <alignment horizontal="left" vertical="top" wrapText="1"/>
    </xf>
    <xf numFmtId="0" fontId="0" fillId="0" borderId="89" xfId="0" applyBorder="1" applyAlignment="1">
      <alignment horizontal="left" vertical="center"/>
    </xf>
    <xf numFmtId="0" fontId="0" fillId="0" borderId="5" xfId="0" applyBorder="1" applyAlignment="1">
      <alignment horizontal="left" vertical="center"/>
    </xf>
    <xf numFmtId="0" fontId="0" fillId="0" borderId="29" xfId="0" applyBorder="1" applyAlignment="1">
      <alignment horizontal="left" vertical="center"/>
    </xf>
    <xf numFmtId="0" fontId="0" fillId="0" borderId="11" xfId="0" applyBorder="1" applyAlignment="1">
      <alignment horizontal="left" vertical="center"/>
    </xf>
    <xf numFmtId="0" fontId="0" fillId="0" borderId="12" xfId="0" applyBorder="1" applyAlignment="1">
      <alignment horizontal="left" vertical="center"/>
    </xf>
    <xf numFmtId="0" fontId="0" fillId="0" borderId="31" xfId="0" applyBorder="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center" wrapText="1"/>
    </xf>
    <xf numFmtId="0" fontId="13" fillId="0" borderId="0" xfId="0" applyFont="1" applyAlignment="1">
      <alignment horizontal="left" vertical="center" wrapText="1"/>
    </xf>
    <xf numFmtId="0" fontId="18" fillId="0" borderId="0" xfId="0" applyFont="1" applyAlignment="1">
      <alignment horizontal="left" vertical="center" wrapText="1"/>
    </xf>
    <xf numFmtId="0" fontId="54" fillId="0" borderId="0" xfId="0" applyFont="1" applyAlignment="1">
      <alignment horizontal="left" vertical="center" wrapText="1"/>
    </xf>
    <xf numFmtId="0" fontId="16" fillId="0" borderId="0" xfId="0" applyFont="1" applyAlignment="1">
      <alignment horizontal="center" vertical="center" wrapText="1"/>
    </xf>
    <xf numFmtId="0" fontId="20" fillId="0" borderId="0" xfId="0" applyFont="1" applyAlignment="1">
      <alignment horizontal="left" vertical="center" wrapText="1"/>
    </xf>
    <xf numFmtId="0" fontId="16" fillId="0" borderId="0" xfId="0" applyFont="1" applyAlignment="1">
      <alignment vertical="center" wrapText="1"/>
    </xf>
    <xf numFmtId="0" fontId="19" fillId="0" borderId="0" xfId="0" applyFont="1" applyAlignment="1">
      <alignment horizontal="left" vertical="center" wrapText="1"/>
    </xf>
    <xf numFmtId="0" fontId="0" fillId="0" borderId="5" xfId="0" applyBorder="1" applyAlignment="1">
      <alignment horizontal="left" wrapText="1"/>
    </xf>
    <xf numFmtId="0" fontId="0" fillId="0" borderId="29" xfId="0" applyBorder="1" applyAlignment="1">
      <alignment horizontal="left" wrapText="1"/>
    </xf>
    <xf numFmtId="0" fontId="0" fillId="0" borderId="12" xfId="0" applyBorder="1" applyAlignment="1">
      <alignment horizontal="left" wrapText="1"/>
    </xf>
    <xf numFmtId="0" fontId="0" fillId="0" borderId="31" xfId="0" applyBorder="1" applyAlignment="1">
      <alignment horizontal="left" wrapText="1"/>
    </xf>
    <xf numFmtId="0" fontId="54" fillId="0" borderId="0" xfId="0" applyFont="1" applyAlignment="1">
      <alignment horizontal="left" vertical="center"/>
    </xf>
    <xf numFmtId="0" fontId="17" fillId="0" borderId="0" xfId="0" applyFont="1" applyAlignment="1">
      <alignment horizontal="center" vertical="center" wrapText="1"/>
    </xf>
    <xf numFmtId="0" fontId="0" fillId="0" borderId="8" xfId="0" applyBorder="1" applyAlignment="1">
      <alignment horizontal="left" vertic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0" fillId="0" borderId="8" xfId="0" applyBorder="1" applyAlignment="1">
      <alignment horizontal="left" vertical="center"/>
    </xf>
    <xf numFmtId="0" fontId="0" fillId="0" borderId="0" xfId="0" applyAlignment="1">
      <alignment horizontal="left" vertical="center"/>
    </xf>
    <xf numFmtId="0" fontId="0" fillId="0" borderId="7" xfId="0" applyBorder="1" applyAlignment="1">
      <alignment horizontal="left" vertical="center"/>
    </xf>
    <xf numFmtId="0" fontId="49" fillId="0" borderId="52" xfId="0" applyFont="1" applyBorder="1" applyAlignment="1">
      <alignment horizontal="center" wrapText="1"/>
    </xf>
    <xf numFmtId="0" fontId="49" fillId="0" borderId="53" xfId="0" applyFont="1" applyBorder="1" applyAlignment="1">
      <alignment horizontal="center" wrapText="1"/>
    </xf>
    <xf numFmtId="0" fontId="0" fillId="0" borderId="11" xfId="0" applyBorder="1" applyAlignment="1">
      <alignment horizontal="center"/>
    </xf>
    <xf numFmtId="0" fontId="0" fillId="0" borderId="12" xfId="0" applyBorder="1" applyAlignment="1">
      <alignment horizontal="center"/>
    </xf>
    <xf numFmtId="0" fontId="0" fillId="0" borderId="31" xfId="0" applyBorder="1" applyAlignment="1">
      <alignment horizontal="center"/>
    </xf>
    <xf numFmtId="0" fontId="0" fillId="0" borderId="89" xfId="0" applyBorder="1" applyAlignment="1">
      <alignment horizontal="center"/>
    </xf>
    <xf numFmtId="0" fontId="0" fillId="0" borderId="8" xfId="0" applyBorder="1" applyAlignment="1">
      <alignment horizontal="center"/>
    </xf>
    <xf numFmtId="0" fontId="0" fillId="0" borderId="0" xfId="0" applyAlignment="1">
      <alignment horizontal="left" wrapText="1"/>
    </xf>
    <xf numFmtId="0" fontId="0" fillId="0" borderId="7" xfId="0" applyBorder="1" applyAlignment="1">
      <alignment horizontal="left" wrapText="1"/>
    </xf>
    <xf numFmtId="0" fontId="35" fillId="0" borderId="2" xfId="1" applyFont="1" applyBorder="1" applyAlignment="1">
      <alignment horizontal="center"/>
    </xf>
    <xf numFmtId="0" fontId="35" fillId="0" borderId="3" xfId="1" applyFont="1" applyBorder="1" applyAlignment="1">
      <alignment horizontal="center"/>
    </xf>
    <xf numFmtId="0" fontId="35" fillId="0" borderId="4" xfId="1" applyFont="1" applyBorder="1" applyAlignment="1">
      <alignment horizontal="center"/>
    </xf>
    <xf numFmtId="0" fontId="35" fillId="0" borderId="89" xfId="1" applyFont="1" applyBorder="1" applyAlignment="1">
      <alignment horizontal="center"/>
    </xf>
    <xf numFmtId="0" fontId="35" fillId="0" borderId="95" xfId="1" applyFont="1" applyBorder="1" applyAlignment="1">
      <alignment horizontal="center"/>
    </xf>
    <xf numFmtId="0" fontId="35" fillId="0" borderId="96" xfId="1" applyFont="1" applyBorder="1" applyAlignment="1">
      <alignment horizontal="center"/>
    </xf>
    <xf numFmtId="0" fontId="22" fillId="6" borderId="0" xfId="16" applyFont="1" applyFill="1" applyBorder="1" applyAlignment="1">
      <alignment horizontal="left" vertical="top" wrapText="1" indent="1"/>
    </xf>
    <xf numFmtId="0" fontId="22" fillId="6" borderId="7" xfId="16" applyFont="1" applyFill="1" applyBorder="1" applyAlignment="1">
      <alignment horizontal="left" vertical="top" wrapText="1" indent="1"/>
    </xf>
    <xf numFmtId="0" fontId="185" fillId="14" borderId="0" xfId="0" applyFont="1" applyFill="1" applyBorder="1" applyAlignment="1">
      <alignment horizontal="left" vertical="center" wrapText="1" indent="1"/>
    </xf>
    <xf numFmtId="0" fontId="18" fillId="6" borderId="184" xfId="42387" applyFont="1" applyFill="1" applyBorder="1" applyAlignment="1">
      <alignment vertical="center"/>
    </xf>
    <xf numFmtId="0" fontId="18" fillId="6" borderId="0" xfId="42387" applyFont="1" applyFill="1" applyAlignment="1">
      <alignment vertical="center"/>
    </xf>
    <xf numFmtId="0" fontId="18" fillId="6" borderId="185" xfId="42387" applyFont="1" applyFill="1" applyBorder="1" applyAlignment="1">
      <alignment vertical="center"/>
    </xf>
    <xf numFmtId="0" fontId="218" fillId="120" borderId="0" xfId="42387" applyFont="1" applyFill="1" applyAlignment="1">
      <alignment horizontal="center" vertical="center"/>
    </xf>
    <xf numFmtId="0" fontId="218" fillId="120" borderId="18" xfId="42387" applyFont="1" applyFill="1" applyBorder="1" applyAlignment="1">
      <alignment horizontal="center" vertical="center"/>
    </xf>
    <xf numFmtId="41" fontId="196" fillId="6" borderId="205" xfId="42394" applyNumberFormat="1" applyFont="1" applyFill="1" applyBorder="1" applyAlignment="1">
      <alignment horizontal="center" vertical="center" wrapText="1"/>
    </xf>
    <xf numFmtId="41" fontId="196" fillId="6" borderId="204" xfId="42394" applyNumberFormat="1" applyFont="1" applyFill="1" applyBorder="1" applyAlignment="1">
      <alignment horizontal="center" vertical="center" wrapText="1"/>
    </xf>
    <xf numFmtId="0" fontId="197" fillId="6" borderId="0" xfId="42387" applyFont="1" applyFill="1" applyAlignment="1">
      <alignment vertical="center" wrapText="1"/>
    </xf>
    <xf numFmtId="0" fontId="36" fillId="6" borderId="0" xfId="42387" applyFont="1" applyFill="1" applyAlignment="1">
      <alignment horizontal="left" vertical="top" wrapText="1"/>
    </xf>
    <xf numFmtId="0" fontId="196" fillId="4" borderId="0" xfId="42392" applyFont="1" applyFill="1" applyAlignment="1">
      <alignment horizontal="center"/>
    </xf>
    <xf numFmtId="0" fontId="218" fillId="119" borderId="188" xfId="0" applyFont="1" applyFill="1" applyBorder="1" applyAlignment="1">
      <alignment horizontal="center" vertical="center" wrapText="1"/>
    </xf>
    <xf numFmtId="0" fontId="218" fillId="119" borderId="188" xfId="0" applyFont="1" applyFill="1" applyBorder="1" applyAlignment="1">
      <alignment horizontal="center" vertical="center"/>
    </xf>
    <xf numFmtId="0" fontId="218" fillId="120" borderId="0" xfId="42395" applyFont="1" applyFill="1" applyAlignment="1">
      <alignment horizontal="center" vertical="center" wrapText="1"/>
    </xf>
    <xf numFmtId="0" fontId="196" fillId="6" borderId="189" xfId="42395" applyFont="1" applyFill="1" applyBorder="1" applyAlignment="1">
      <alignment horizontal="left" vertical="top" wrapText="1"/>
    </xf>
    <xf numFmtId="0" fontId="228" fillId="6" borderId="0" xfId="0" applyFont="1" applyFill="1" applyAlignment="1" applyProtection="1">
      <alignment horizontal="center" wrapText="1"/>
      <protection locked="0"/>
    </xf>
    <xf numFmtId="0" fontId="36" fillId="0" borderId="0" xfId="0" applyFont="1" applyAlignment="1">
      <alignment horizontal="center" wrapText="1"/>
    </xf>
    <xf numFmtId="0" fontId="22" fillId="6" borderId="8" xfId="16" applyFont="1" applyFill="1" applyBorder="1" applyAlignment="1">
      <alignment horizontal="left" wrapText="1"/>
    </xf>
    <xf numFmtId="0" fontId="22" fillId="6" borderId="7" xfId="16" applyFont="1" applyFill="1" applyBorder="1" applyAlignment="1">
      <alignment horizontal="left" wrapText="1"/>
    </xf>
    <xf numFmtId="230" fontId="35" fillId="99" borderId="26" xfId="42079" quotePrefix="1" applyNumberFormat="1" applyFont="1" applyFill="1" applyBorder="1" applyAlignment="1">
      <alignment horizontal="left" vertical="center" indent="1"/>
    </xf>
    <xf numFmtId="230" fontId="35" fillId="99" borderId="28" xfId="42079" quotePrefix="1" applyNumberFormat="1" applyFont="1" applyFill="1" applyBorder="1" applyAlignment="1">
      <alignment horizontal="left" vertical="center" indent="1"/>
    </xf>
    <xf numFmtId="8" fontId="213" fillId="115" borderId="135" xfId="0" applyNumberFormat="1" applyFont="1" applyFill="1" applyBorder="1" applyAlignment="1">
      <alignment horizontal="left" vertical="center" wrapText="1" indent="1"/>
    </xf>
    <xf numFmtId="8" fontId="213" fillId="115" borderId="143" xfId="0" applyNumberFormat="1" applyFont="1" applyFill="1" applyBorder="1" applyAlignment="1">
      <alignment horizontal="left" vertical="center" wrapText="1" indent="1"/>
    </xf>
    <xf numFmtId="8" fontId="213" fillId="115" borderId="150" xfId="0" applyNumberFormat="1" applyFont="1" applyFill="1" applyBorder="1" applyAlignment="1">
      <alignment horizontal="left" vertical="center" wrapText="1" indent="1"/>
    </xf>
    <xf numFmtId="8" fontId="213" fillId="114" borderId="134" xfId="0" applyNumberFormat="1" applyFont="1" applyFill="1" applyBorder="1" applyAlignment="1">
      <alignment horizontal="left" vertical="center" wrapText="1" indent="1"/>
    </xf>
    <xf numFmtId="8" fontId="213" fillId="114" borderId="135" xfId="0" applyNumberFormat="1" applyFont="1" applyFill="1" applyBorder="1" applyAlignment="1">
      <alignment horizontal="left" vertical="center" wrapText="1" indent="1"/>
    </xf>
    <xf numFmtId="8" fontId="213" fillId="114" borderId="153" xfId="0" applyNumberFormat="1" applyFont="1" applyFill="1" applyBorder="1" applyAlignment="1">
      <alignment horizontal="left" vertical="center" wrapText="1" indent="1"/>
    </xf>
    <xf numFmtId="8" fontId="213" fillId="114" borderId="150" xfId="0" applyNumberFormat="1" applyFont="1" applyFill="1" applyBorder="1" applyAlignment="1">
      <alignment horizontal="left" vertical="center" wrapText="1" indent="1"/>
    </xf>
    <xf numFmtId="6" fontId="213" fillId="114" borderId="130" xfId="0" applyNumberFormat="1" applyFont="1" applyFill="1" applyBorder="1" applyAlignment="1">
      <alignment horizontal="left" vertical="center" wrapText="1" indent="1"/>
    </xf>
    <xf numFmtId="6" fontId="213" fillId="114" borderId="136" xfId="0" applyNumberFormat="1" applyFont="1" applyFill="1" applyBorder="1" applyAlignment="1">
      <alignment horizontal="left" vertical="center" wrapText="1" indent="1"/>
    </xf>
    <xf numFmtId="6" fontId="213" fillId="114" borderId="144" xfId="0" applyNumberFormat="1" applyFont="1" applyFill="1" applyBorder="1" applyAlignment="1">
      <alignment horizontal="left" vertical="center" wrapText="1" indent="1"/>
    </xf>
    <xf numFmtId="6" fontId="213" fillId="114" borderId="131" xfId="0" applyNumberFormat="1" applyFont="1" applyFill="1" applyBorder="1" applyAlignment="1">
      <alignment horizontal="left" vertical="center" wrapText="1" indent="1"/>
    </xf>
    <xf numFmtId="6" fontId="213" fillId="114" borderId="137" xfId="0" applyNumberFormat="1" applyFont="1" applyFill="1" applyBorder="1" applyAlignment="1">
      <alignment horizontal="left" vertical="center" wrapText="1" indent="1"/>
    </xf>
    <xf numFmtId="6" fontId="213" fillId="114" borderId="145" xfId="0" applyNumberFormat="1" applyFont="1" applyFill="1" applyBorder="1" applyAlignment="1">
      <alignment horizontal="left" vertical="center" wrapText="1" indent="1"/>
    </xf>
    <xf numFmtId="6" fontId="213" fillId="115" borderId="131" xfId="0" applyNumberFormat="1" applyFont="1" applyFill="1" applyBorder="1" applyAlignment="1">
      <alignment horizontal="left" vertical="center" wrapText="1" indent="1"/>
    </xf>
    <xf numFmtId="6" fontId="213" fillId="115" borderId="137" xfId="0" applyNumberFormat="1" applyFont="1" applyFill="1" applyBorder="1" applyAlignment="1">
      <alignment horizontal="left" vertical="center" wrapText="1" indent="1"/>
    </xf>
    <xf numFmtId="6" fontId="213" fillId="115" borderId="145" xfId="0" applyNumberFormat="1" applyFont="1" applyFill="1" applyBorder="1" applyAlignment="1">
      <alignment horizontal="left" vertical="center" wrapText="1" indent="1"/>
    </xf>
    <xf numFmtId="6" fontId="194" fillId="114" borderId="132" xfId="0" applyNumberFormat="1" applyFont="1" applyFill="1" applyBorder="1" applyAlignment="1">
      <alignment horizontal="left" vertical="center" wrapText="1" indent="1"/>
    </xf>
    <xf numFmtId="6" fontId="194" fillId="114" borderId="138" xfId="0" applyNumberFormat="1" applyFont="1" applyFill="1" applyBorder="1" applyAlignment="1">
      <alignment horizontal="left" vertical="center" wrapText="1" indent="1"/>
    </xf>
    <xf numFmtId="6" fontId="194" fillId="114" borderId="146" xfId="0" applyNumberFormat="1" applyFont="1" applyFill="1" applyBorder="1" applyAlignment="1">
      <alignment horizontal="left" vertical="center" wrapText="1" indent="1"/>
    </xf>
    <xf numFmtId="6" fontId="213" fillId="115" borderId="133" xfId="0" applyNumberFormat="1" applyFont="1" applyFill="1" applyBorder="1" applyAlignment="1">
      <alignment horizontal="left" vertical="center" wrapText="1" indent="1"/>
    </xf>
    <xf numFmtId="6" fontId="213" fillId="115" borderId="134" xfId="0" applyNumberFormat="1" applyFont="1" applyFill="1" applyBorder="1" applyAlignment="1">
      <alignment horizontal="left" vertical="center" wrapText="1" indent="1"/>
    </xf>
    <xf numFmtId="6" fontId="213" fillId="115" borderId="135" xfId="0" applyNumberFormat="1" applyFont="1" applyFill="1" applyBorder="1" applyAlignment="1">
      <alignment horizontal="left" vertical="center" wrapText="1" indent="1"/>
    </xf>
    <xf numFmtId="6" fontId="35" fillId="107" borderId="32" xfId="0" applyNumberFormat="1" applyFont="1" applyFill="1" applyBorder="1" applyAlignment="1">
      <alignment horizontal="left" vertical="center" wrapText="1" indent="1"/>
    </xf>
    <xf numFmtId="6" fontId="35" fillId="107" borderId="33" xfId="0" applyNumberFormat="1" applyFont="1" applyFill="1" applyBorder="1" applyAlignment="1">
      <alignment horizontal="left" vertical="center" wrapText="1" indent="1"/>
    </xf>
    <xf numFmtId="6" fontId="35" fillId="108" borderId="32" xfId="0" applyNumberFormat="1" applyFont="1" applyFill="1" applyBorder="1" applyAlignment="1">
      <alignment horizontal="left" vertical="center" wrapText="1" indent="1"/>
    </xf>
    <xf numFmtId="6" fontId="35" fillId="108" borderId="17" xfId="0" applyNumberFormat="1" applyFont="1" applyFill="1" applyBorder="1" applyAlignment="1">
      <alignment horizontal="left" vertical="center" wrapText="1" indent="1"/>
    </xf>
    <xf numFmtId="8" fontId="35" fillId="107" borderId="100" xfId="0" applyNumberFormat="1" applyFont="1" applyFill="1" applyBorder="1" applyAlignment="1">
      <alignment horizontal="left" vertical="center" wrapText="1" indent="1"/>
    </xf>
    <xf numFmtId="8" fontId="35" fillId="107" borderId="101" xfId="0" applyNumberFormat="1" applyFont="1" applyFill="1" applyBorder="1" applyAlignment="1">
      <alignment horizontal="left" vertical="center" wrapText="1" indent="1"/>
    </xf>
    <xf numFmtId="6" fontId="194" fillId="115" borderId="139" xfId="0" applyNumberFormat="1" applyFont="1" applyFill="1" applyBorder="1" applyAlignment="1">
      <alignment horizontal="left" vertical="center" wrapText="1" indent="1"/>
    </xf>
    <xf numFmtId="6" fontId="194" fillId="115" borderId="140" xfId="0" applyNumberFormat="1" applyFont="1" applyFill="1" applyBorder="1" applyAlignment="1">
      <alignment horizontal="left" vertical="center" wrapText="1" indent="1"/>
    </xf>
    <xf numFmtId="6" fontId="194" fillId="114" borderId="141" xfId="0" applyNumberFormat="1" applyFont="1" applyFill="1" applyBorder="1" applyAlignment="1">
      <alignment horizontal="left" vertical="center" wrapText="1" indent="1"/>
    </xf>
    <xf numFmtId="6" fontId="194" fillId="114" borderId="139" xfId="0" applyNumberFormat="1" applyFont="1" applyFill="1" applyBorder="1" applyAlignment="1">
      <alignment horizontal="left" vertical="center" wrapText="1" indent="1"/>
    </xf>
    <xf numFmtId="6" fontId="194" fillId="114" borderId="142" xfId="0" applyNumberFormat="1" applyFont="1" applyFill="1" applyBorder="1" applyAlignment="1">
      <alignment horizontal="left" vertical="center" wrapText="1" indent="1"/>
    </xf>
    <xf numFmtId="49" fontId="35" fillId="99" borderId="47" xfId="0" applyNumberFormat="1" applyFont="1" applyFill="1" applyBorder="1" applyAlignment="1">
      <alignment horizontal="left" vertical="center" wrapText="1" indent="1"/>
    </xf>
    <xf numFmtId="49" fontId="35" fillId="99" borderId="22" xfId="0" applyNumberFormat="1" applyFont="1" applyFill="1" applyBorder="1" applyAlignment="1">
      <alignment horizontal="left" vertical="center" wrapText="1" indent="1"/>
    </xf>
    <xf numFmtId="49" fontId="35" fillId="99" borderId="23" xfId="0" applyNumberFormat="1" applyFont="1" applyFill="1" applyBorder="1" applyAlignment="1">
      <alignment horizontal="left" vertical="center" wrapText="1" indent="1"/>
    </xf>
    <xf numFmtId="6" fontId="35" fillId="107" borderId="45" xfId="0" applyNumberFormat="1" applyFont="1" applyFill="1" applyBorder="1" applyAlignment="1">
      <alignment horizontal="left" vertical="center" wrapText="1" indent="1"/>
    </xf>
    <xf numFmtId="6" fontId="35" fillId="107" borderId="18" xfId="0" applyNumberFormat="1" applyFont="1" applyFill="1" applyBorder="1" applyAlignment="1">
      <alignment horizontal="left" vertical="center" wrapText="1" indent="1"/>
    </xf>
    <xf numFmtId="6" fontId="35" fillId="107" borderId="19" xfId="0" applyNumberFormat="1" applyFont="1" applyFill="1" applyBorder="1" applyAlignment="1">
      <alignment horizontal="left" vertical="center" wrapText="1" indent="1"/>
    </xf>
    <xf numFmtId="6" fontId="35" fillId="107" borderId="20" xfId="0" applyNumberFormat="1" applyFont="1" applyFill="1" applyBorder="1" applyAlignment="1">
      <alignment horizontal="left" vertical="center" wrapText="1" indent="1"/>
    </xf>
    <xf numFmtId="6" fontId="35" fillId="107" borderId="16" xfId="0" applyNumberFormat="1" applyFont="1" applyFill="1" applyBorder="1" applyAlignment="1">
      <alignment horizontal="left" vertical="center" wrapText="1" indent="1"/>
    </xf>
    <xf numFmtId="6" fontId="35" fillId="107" borderId="10" xfId="0" applyNumberFormat="1" applyFont="1" applyFill="1" applyBorder="1" applyAlignment="1">
      <alignment horizontal="left" vertical="center" wrapText="1" indent="1"/>
    </xf>
    <xf numFmtId="6" fontId="35" fillId="108" borderId="20" xfId="0" applyNumberFormat="1" applyFont="1" applyFill="1" applyBorder="1" applyAlignment="1">
      <alignment horizontal="left" vertical="center" wrapText="1" indent="1"/>
    </xf>
    <xf numFmtId="6" fontId="35" fillId="108" borderId="16" xfId="0" applyNumberFormat="1" applyFont="1" applyFill="1" applyBorder="1" applyAlignment="1">
      <alignment horizontal="left" vertical="center" wrapText="1" indent="1"/>
    </xf>
    <xf numFmtId="6" fontId="35" fillId="108" borderId="10" xfId="0" applyNumberFormat="1" applyFont="1" applyFill="1" applyBorder="1" applyAlignment="1">
      <alignment horizontal="left" vertical="center" wrapText="1" indent="1"/>
    </xf>
    <xf numFmtId="8" fontId="35" fillId="107" borderId="99" xfId="0" applyNumberFormat="1" applyFont="1" applyFill="1" applyBorder="1" applyAlignment="1">
      <alignment horizontal="left" vertical="center" wrapText="1" indent="1"/>
    </xf>
    <xf numFmtId="8" fontId="35" fillId="107" borderId="86" xfId="0" applyNumberFormat="1" applyFont="1" applyFill="1" applyBorder="1" applyAlignment="1">
      <alignment horizontal="left" vertical="center" wrapText="1" indent="1"/>
    </xf>
    <xf numFmtId="8" fontId="35" fillId="107" borderId="40" xfId="0" applyNumberFormat="1" applyFont="1" applyFill="1" applyBorder="1" applyAlignment="1">
      <alignment horizontal="left" vertical="center" wrapText="1" indent="1"/>
    </xf>
    <xf numFmtId="8" fontId="35" fillId="107" borderId="85" xfId="0" applyNumberFormat="1" applyFont="1" applyFill="1" applyBorder="1" applyAlignment="1">
      <alignment horizontal="left" vertical="center" wrapText="1" indent="1"/>
    </xf>
    <xf numFmtId="6" fontId="35" fillId="107" borderId="48" xfId="0" applyNumberFormat="1" applyFont="1" applyFill="1" applyBorder="1" applyAlignment="1">
      <alignment horizontal="left" vertical="center" wrapText="1" indent="1"/>
    </xf>
    <xf numFmtId="6" fontId="35" fillId="107" borderId="3" xfId="0" applyNumberFormat="1" applyFont="1" applyFill="1" applyBorder="1" applyAlignment="1">
      <alignment horizontal="left" vertical="center" wrapText="1" indent="1"/>
    </xf>
    <xf numFmtId="0" fontId="191" fillId="105" borderId="9" xfId="0" applyFont="1" applyFill="1" applyBorder="1" applyAlignment="1">
      <alignment horizontal="center" vertical="center"/>
    </xf>
    <xf numFmtId="227" fontId="195" fillId="6" borderId="17" xfId="34386" applyNumberFormat="1" applyFont="1" applyFill="1" applyBorder="1" applyAlignment="1">
      <alignment horizontal="center"/>
    </xf>
    <xf numFmtId="227" fontId="195" fillId="6" borderId="33" xfId="34386" applyNumberFormat="1" applyFont="1" applyFill="1" applyBorder="1" applyAlignment="1">
      <alignment horizontal="center"/>
    </xf>
  </cellXfs>
  <cellStyles count="42400">
    <cellStyle name=" 1" xfId="34391" xr:uid="{00000000-0005-0000-0000-000000000000}"/>
    <cellStyle name=" 1 2" xfId="41820" xr:uid="{34BA0212-5C98-499B-B8AA-25FFF3BC3454}"/>
    <cellStyle name=" 1 2 2" xfId="41821" xr:uid="{5D12B231-C4F9-4EAD-9FAA-A378E1BC9649}"/>
    <cellStyle name=" 1 2 3" xfId="41845" xr:uid="{1F00BFED-F7BC-4254-8342-99CE3814B423}"/>
    <cellStyle name=" 1 3" xfId="41822" xr:uid="{97806013-5080-4D87-AF2A-CC793FFAB0C0}"/>
    <cellStyle name=" 1 3 2" xfId="41823" xr:uid="{1F675401-D541-4D50-B242-3B3CA7DE7719}"/>
    <cellStyle name=" 1 4" xfId="41824" xr:uid="{3F26B45A-F9B5-4C85-9580-2A4AEED857D7}"/>
    <cellStyle name=" 1_29(d) - Gas extensions -tariffs" xfId="41825" xr:uid="{034DDC16-589A-4D62-8CB9-10F2E0A444DF}"/>
    <cellStyle name="_1-1454114-2008-2009_Revenue_Over_Recovery_Advice_for_AER_recon_to_BS_v3 (2)" xfId="34392" xr:uid="{00000000-0005-0000-0000-000001000000}"/>
    <cellStyle name="_1-1454114-2008-2009_Revenue_Over_Recovery_Advice_for_AER_recon_to_BS_v3 (2) 2" xfId="36622" xr:uid="{00000000-0005-0000-0000-000002000000}"/>
    <cellStyle name="_2009-10 Forecast Balsheet Financial Accounting Inputs Dec 09 L2000 L5010" xfId="34393" xr:uid="{00000000-0005-0000-0000-000003000000}"/>
    <cellStyle name="_2009-10 Forecast Balsheet Financial Accounting Inputs Dec 09 L2000 L5010 2" xfId="36623" xr:uid="{00000000-0005-0000-0000-000004000000}"/>
    <cellStyle name="_2010-11 True Up Calculations" xfId="34394" xr:uid="{00000000-0005-0000-0000-000005000000}"/>
    <cellStyle name="_2010-11 True Up Calculations 2" xfId="36624" xr:uid="{00000000-0005-0000-0000-000006000000}"/>
    <cellStyle name="_3GIS model v2.77_Distribution Business_Retail Fin Perform " xfId="41826" xr:uid="{EBDDAF3F-5DB7-457E-86A3-7AA0AFEEC77D}"/>
    <cellStyle name="_3GIS model v2.77_Fleet Overhead Costs 2_Retail Fin Perform " xfId="41827" xr:uid="{5FCA15E0-73CC-4837-96F3-544FC5E6EA32}"/>
    <cellStyle name="_3GIS model v2.77_Fleet Overhead Costs_Retail Fin Perform " xfId="41828" xr:uid="{B214E378-F859-4732-92A1-49C8324514D3}"/>
    <cellStyle name="_3GIS model v2.77_Forecast 2_Retail Fin Perform " xfId="41829" xr:uid="{54EACF25-0597-4004-B899-C21F0513D0FA}"/>
    <cellStyle name="_3GIS model v2.77_Forecast_Retail Fin Perform " xfId="41830" xr:uid="{96DFDC52-C4C1-4C1D-8724-A3D1AE87E26D}"/>
    <cellStyle name="_3GIS model v2.77_Funding &amp; Cashflow_1_Retail Fin Perform " xfId="41831" xr:uid="{E5FF5233-21C6-464A-AAC2-99258D797B26}"/>
    <cellStyle name="_3GIS model v2.77_Funding &amp; Cashflow_Retail Fin Perform " xfId="41832" xr:uid="{B1343547-ADCF-4F5A-8FA9-799E12129720}"/>
    <cellStyle name="_3GIS model v2.77_Group P&amp;L_1_Retail Fin Perform " xfId="41833" xr:uid="{58064FC5-9CB5-4C4C-AC58-6BABFBA8B3DE}"/>
    <cellStyle name="_3GIS model v2.77_Group P&amp;L_Retail Fin Perform " xfId="41834" xr:uid="{EF978B83-6A55-478D-8776-A6231FC740D4}"/>
    <cellStyle name="_3GIS model v2.77_Opening  Detailed BS_Retail Fin Perform " xfId="41835" xr:uid="{75EC53F1-3770-4C4B-960D-F273C30B52EE}"/>
    <cellStyle name="_3GIS model v2.77_OUTPUT DB_Retail Fin Perform " xfId="41836" xr:uid="{FFE02DA0-EEF5-4B7E-AC9B-97F3E5780277}"/>
    <cellStyle name="_3GIS model v2.77_OUTPUT EB_Retail Fin Perform " xfId="41837" xr:uid="{C70BA84C-B284-4754-ABBE-6BA7C0E82A4A}"/>
    <cellStyle name="_3GIS model v2.77_Report_Retail Fin Perform " xfId="41838" xr:uid="{D4E7EAA8-F36D-42F8-A5CE-84818D294DC7}"/>
    <cellStyle name="_3GIS model v2.77_Retail Fin Perform " xfId="41839" xr:uid="{1D6FB909-C9AA-4A19-8563-A205BD5CA5F6}"/>
    <cellStyle name="_3GIS model v2.77_Sheet2 2_Retail Fin Perform " xfId="41840" xr:uid="{21919ABB-FB33-4CE8-A17B-50C814031532}"/>
    <cellStyle name="_3GIS model v2.77_Sheet2_Retail Fin Perform " xfId="41841" xr:uid="{599B2FCA-EB73-4A18-AB66-57553E1A9DD9}"/>
    <cellStyle name="_A2620" xfId="34395" xr:uid="{00000000-0005-0000-0000-000007000000}"/>
    <cellStyle name="_A2620 2" xfId="36625" xr:uid="{00000000-0005-0000-0000-000008000000}"/>
    <cellStyle name="_A2995" xfId="34396" xr:uid="{00000000-0005-0000-0000-000009000000}"/>
    <cellStyle name="_A2995 2" xfId="36626" xr:uid="{00000000-0005-0000-0000-00000A000000}"/>
    <cellStyle name="_A9100" xfId="34397" xr:uid="{00000000-0005-0000-0000-00000B000000}"/>
    <cellStyle name="_A9100 2" xfId="36627" xr:uid="{00000000-0005-0000-0000-00000C000000}"/>
    <cellStyle name="_BACKUP" xfId="34350" xr:uid="{00000000-0005-0000-0000-00000D000000}"/>
    <cellStyle name="_backup 2" xfId="34398" xr:uid="{00000000-0005-0000-0000-00000E000000}"/>
    <cellStyle name="_backup 2 2" xfId="36628" xr:uid="{00000000-0005-0000-0000-00000F000000}"/>
    <cellStyle name="_BACKUP 2 3" xfId="36629" xr:uid="{00000000-0005-0000-0000-000010000000}"/>
    <cellStyle name="_BACKUP 2 4" xfId="36630" xr:uid="{00000000-0005-0000-0000-000011000000}"/>
    <cellStyle name="_BACKUP 2 5" xfId="36631" xr:uid="{00000000-0005-0000-0000-000012000000}"/>
    <cellStyle name="_BACKUP 2 6" xfId="36632" xr:uid="{00000000-0005-0000-0000-000013000000}"/>
    <cellStyle name="_BACKUP 2 7" xfId="36633" xr:uid="{00000000-0005-0000-0000-000014000000}"/>
    <cellStyle name="_BACKUP 2 8" xfId="36634" xr:uid="{00000000-0005-0000-0000-000015000000}"/>
    <cellStyle name="_BACKUP 2 9" xfId="36635" xr:uid="{00000000-0005-0000-0000-000016000000}"/>
    <cellStyle name="_BACKUP 3" xfId="34399" xr:uid="{00000000-0005-0000-0000-000017000000}"/>
    <cellStyle name="_BACKUP 3 2" xfId="36636" xr:uid="{00000000-0005-0000-0000-000018000000}"/>
    <cellStyle name="_BACKUP 3 3" xfId="36637" xr:uid="{00000000-0005-0000-0000-000019000000}"/>
    <cellStyle name="_BACKUP 4" xfId="34400" xr:uid="{00000000-0005-0000-0000-00001A000000}"/>
    <cellStyle name="_BACKUP 4 2" xfId="36638" xr:uid="{00000000-0005-0000-0000-00001B000000}"/>
    <cellStyle name="_BACKUP 5" xfId="34401" xr:uid="{00000000-0005-0000-0000-00001C000000}"/>
    <cellStyle name="_BACKUP 6" xfId="34402" xr:uid="{00000000-0005-0000-0000-00001D000000}"/>
    <cellStyle name="_BACKUP 7" xfId="36639" xr:uid="{00000000-0005-0000-0000-00001E000000}"/>
    <cellStyle name="_backup_1" xfId="34403" xr:uid="{00000000-0005-0000-0000-00001F000000}"/>
    <cellStyle name="_backup_1 2" xfId="34404" xr:uid="{00000000-0005-0000-0000-000020000000}"/>
    <cellStyle name="_backup_1 2 2" xfId="36640" xr:uid="{00000000-0005-0000-0000-000021000000}"/>
    <cellStyle name="_backup_1 2_Monthly Performance Report Sep 1.2" xfId="34405" xr:uid="{00000000-0005-0000-0000-000022000000}"/>
    <cellStyle name="_backup_1 2_Monthly Performance Report Sep 1.2 2" xfId="36641" xr:uid="{00000000-0005-0000-0000-000023000000}"/>
    <cellStyle name="_backup_1 2_Project info 4 forecast May09" xfId="34406" xr:uid="{00000000-0005-0000-0000-000024000000}"/>
    <cellStyle name="_backup_1 2_Project info 4 forecast May09 2" xfId="36642" xr:uid="{00000000-0005-0000-0000-000025000000}"/>
    <cellStyle name="_backup_1 2_Project info 4 forecast May09_Monthly Performance Report Sep 1.2" xfId="34407" xr:uid="{00000000-0005-0000-0000-000026000000}"/>
    <cellStyle name="_backup_1 2_Project info 4 forecast May09_Monthly Performance Report Sep 1.2 2" xfId="36643" xr:uid="{00000000-0005-0000-0000-000027000000}"/>
    <cellStyle name="_backup_1 3" xfId="22" xr:uid="{00000000-0005-0000-0000-000028000000}"/>
    <cellStyle name="_backup_1 3 2" xfId="36644" xr:uid="{00000000-0005-0000-0000-000029000000}"/>
    <cellStyle name="_backup_1 3_Monthly Performance Report Sep 1.2" xfId="34408" xr:uid="{00000000-0005-0000-0000-00002A000000}"/>
    <cellStyle name="_backup_1 3_Monthly Performance Report Sep 1.2 2" xfId="36645" xr:uid="{00000000-0005-0000-0000-00002B000000}"/>
    <cellStyle name="_backup_1 3_Project info 4 forecast May09" xfId="34409" xr:uid="{00000000-0005-0000-0000-00002C000000}"/>
    <cellStyle name="_backup_1 3_Project info 4 forecast May09 2" xfId="36646" xr:uid="{00000000-0005-0000-0000-00002D000000}"/>
    <cellStyle name="_backup_1 3_Project info 4 forecast May09_Monthly Performance Report Sep 1.2" xfId="34410" xr:uid="{00000000-0005-0000-0000-00002E000000}"/>
    <cellStyle name="_backup_1 3_Project info 4 forecast May09_Monthly Performance Report Sep 1.2 2" xfId="36647" xr:uid="{00000000-0005-0000-0000-00002F000000}"/>
    <cellStyle name="_backup_1 4" xfId="23" xr:uid="{00000000-0005-0000-0000-000030000000}"/>
    <cellStyle name="_backup_1 4 2" xfId="36648" xr:uid="{00000000-0005-0000-0000-000031000000}"/>
    <cellStyle name="_backup_1 4_Monthly Performance Report Sep 1.2" xfId="34411" xr:uid="{00000000-0005-0000-0000-000032000000}"/>
    <cellStyle name="_backup_1 4_Monthly Performance Report Sep 1.2 2" xfId="36649" xr:uid="{00000000-0005-0000-0000-000033000000}"/>
    <cellStyle name="_backup_1 4_Project info 4 forecast May09" xfId="34412" xr:uid="{00000000-0005-0000-0000-000034000000}"/>
    <cellStyle name="_backup_1 4_Project info 4 forecast May09 2" xfId="36650" xr:uid="{00000000-0005-0000-0000-000035000000}"/>
    <cellStyle name="_backup_1 4_Project info 4 forecast May09_Monthly Performance Report Sep 1.2" xfId="34413" xr:uid="{00000000-0005-0000-0000-000036000000}"/>
    <cellStyle name="_backup_1 4_Project info 4 forecast May09_Monthly Performance Report Sep 1.2 2" xfId="36651" xr:uid="{00000000-0005-0000-0000-000037000000}"/>
    <cellStyle name="_backup_1 5" xfId="24" xr:uid="{00000000-0005-0000-0000-000038000000}"/>
    <cellStyle name="_backup_1_Monthly Performance Report Sep 1.2" xfId="34414" xr:uid="{00000000-0005-0000-0000-000039000000}"/>
    <cellStyle name="_backup_1_Monthly Performance Report Sep 1.2 2" xfId="36652" xr:uid="{00000000-0005-0000-0000-00003A000000}"/>
    <cellStyle name="_BACKUP_Sheet1" xfId="34360" xr:uid="{00000000-0005-0000-0000-00003B000000}"/>
    <cellStyle name="_BACKUP_Sheet1 2" xfId="36653" xr:uid="{00000000-0005-0000-0000-00003C000000}"/>
    <cellStyle name="_BACKUP_Trend Analysis" xfId="34365" xr:uid="{00000000-0005-0000-0000-00003D000000}"/>
    <cellStyle name="_BACKUP_Trend Analysis 2" xfId="36654" xr:uid="{00000000-0005-0000-0000-00003E000000}"/>
    <cellStyle name="_Book1" xfId="34415" xr:uid="{00000000-0005-0000-0000-00003F000000}"/>
    <cellStyle name="_Capex" xfId="34416" xr:uid="{00000000-0005-0000-0000-000040000000}"/>
    <cellStyle name="_Capex 2" xfId="41912" xr:uid="{CB437C94-DDC8-4A15-9BBD-1EF7FADF3635}"/>
    <cellStyle name="_Capex_29(d) - Gas extensions -tariffs" xfId="41913" xr:uid="{E0DCF163-EE88-43D8-B630-2478AE08225B}"/>
    <cellStyle name="_Corvu MASTER" xfId="34351" xr:uid="{00000000-0005-0000-0000-000041000000}"/>
    <cellStyle name="_Corvu MASTER 2" xfId="34417" xr:uid="{00000000-0005-0000-0000-000042000000}"/>
    <cellStyle name="_Corvu MASTER 2 2" xfId="36655" xr:uid="{00000000-0005-0000-0000-000043000000}"/>
    <cellStyle name="_Corvu MASTER 2 3" xfId="36656" xr:uid="{00000000-0005-0000-0000-000044000000}"/>
    <cellStyle name="_Corvu MASTER 2 4" xfId="36657" xr:uid="{00000000-0005-0000-0000-000045000000}"/>
    <cellStyle name="_Corvu MASTER 3" xfId="34418" xr:uid="{00000000-0005-0000-0000-000046000000}"/>
    <cellStyle name="_Corvu MASTER 3 2" xfId="36658" xr:uid="{00000000-0005-0000-0000-000047000000}"/>
    <cellStyle name="_Corvu MASTER 4" xfId="34419" xr:uid="{00000000-0005-0000-0000-000048000000}"/>
    <cellStyle name="_Corvu MASTER 4 2" xfId="36659" xr:uid="{00000000-0005-0000-0000-000049000000}"/>
    <cellStyle name="_Corvu MASTER_1" xfId="34420" xr:uid="{00000000-0005-0000-0000-00004A000000}"/>
    <cellStyle name="_Corvu MASTER_Sheet1" xfId="34361" xr:uid="{00000000-0005-0000-0000-00004B000000}"/>
    <cellStyle name="_Corvu MASTER_Sheet1 2" xfId="36660" xr:uid="{00000000-0005-0000-0000-00004C000000}"/>
    <cellStyle name="_Corvu MASTER_Trend Analysis" xfId="34366" xr:uid="{00000000-0005-0000-0000-00004D000000}"/>
    <cellStyle name="_Corvu MASTER_Trend Analysis 2" xfId="36661" xr:uid="{00000000-0005-0000-0000-00004E000000}"/>
    <cellStyle name="_EGX_PROD_n1454114_v1_2008-2009_Revenue_Over_Recovery_Advice_for_AER_recon_to_BS_v3" xfId="34421" xr:uid="{00000000-0005-0000-0000-00004F000000}"/>
    <cellStyle name="_EGX_PROD_n1454114_v1_2008-2009_Revenue_Over_Recovery_Advice_for_AER_recon_to_BS_v3 2" xfId="36662" xr:uid="{00000000-0005-0000-0000-000050000000}"/>
    <cellStyle name="_EGX_PROD_n1754520_v1_Forecast_Balance_Sheet_Inputs_December_2010" xfId="34422" xr:uid="{00000000-0005-0000-0000-000051000000}"/>
    <cellStyle name="_EGX_PROD_n1754520_v1_Forecast_Balance_Sheet_Inputs_December_2010 2" xfId="36663" xr:uid="{00000000-0005-0000-0000-000052000000}"/>
    <cellStyle name="_EGX_PROD_n1930311_v1_Standing_Journal_June_2011" xfId="34423" xr:uid="{00000000-0005-0000-0000-000053000000}"/>
    <cellStyle name="_EGX_PROD_n1930311_v1_Standing_Journal_June_2011 2" xfId="36664" xr:uid="{00000000-0005-0000-0000-000054000000}"/>
    <cellStyle name="_EGX_PROD_n2302729_v1_Finance_Lease_Repayment_December_2011" xfId="34424" xr:uid="{00000000-0005-0000-0000-000055000000}"/>
    <cellStyle name="_EGX_PROD_n2302729_v1_Finance_Lease_Repayment_December_2011 2" xfId="36665" xr:uid="{00000000-0005-0000-0000-000056000000}"/>
    <cellStyle name="_EGX1 GL Recs P1" xfId="34425" xr:uid="{00000000-0005-0000-0000-000057000000}"/>
    <cellStyle name="_EGX1 GL Recs P1 2" xfId="36666" xr:uid="{00000000-0005-0000-0000-000058000000}"/>
    <cellStyle name="_EGX1 GL Recs P11" xfId="34426" xr:uid="{00000000-0005-0000-0000-000059000000}"/>
    <cellStyle name="_EGX1 GL Recs P11 2" xfId="36667" xr:uid="{00000000-0005-0000-0000-00005A000000}"/>
    <cellStyle name="_EGX1 GL Recs P12" xfId="34427" xr:uid="{00000000-0005-0000-0000-00005B000000}"/>
    <cellStyle name="_EGX1 GL Recs P12 2" xfId="36668" xr:uid="{00000000-0005-0000-0000-00005C000000}"/>
    <cellStyle name="_EMS Ops Report Data Aug 2009" xfId="34428" xr:uid="{00000000-0005-0000-0000-00005D000000}"/>
    <cellStyle name="_EMS Ops Report Data Aug 2009 2" xfId="34429" xr:uid="{00000000-0005-0000-0000-00005E000000}"/>
    <cellStyle name="_EMS Ops Report Data Aug 2009 2 2" xfId="36669" xr:uid="{00000000-0005-0000-0000-00005F000000}"/>
    <cellStyle name="_EMS Ops Report Data Aug 2009 2 2 2" xfId="36670" xr:uid="{00000000-0005-0000-0000-000060000000}"/>
    <cellStyle name="_EMS Ops Report Data Aug 2009 2 3" xfId="36671" xr:uid="{00000000-0005-0000-0000-000061000000}"/>
    <cellStyle name="_EMS Ops Report Data Aug 2009 2 4" xfId="36672" xr:uid="{00000000-0005-0000-0000-000062000000}"/>
    <cellStyle name="_EMS Ops Report Data Aug 2009 2 5" xfId="36673" xr:uid="{00000000-0005-0000-0000-000063000000}"/>
    <cellStyle name="_EMS Ops Report Data Aug 2009 3" xfId="34430" xr:uid="{00000000-0005-0000-0000-000064000000}"/>
    <cellStyle name="_EMS Ops Report Data Aug 2009 3 2" xfId="34431" xr:uid="{00000000-0005-0000-0000-000065000000}"/>
    <cellStyle name="_EMS Ops Report Data Aug 2009 3 2 2" xfId="36674" xr:uid="{00000000-0005-0000-0000-000066000000}"/>
    <cellStyle name="_EMS Ops Report Data Aug 2009 3 3" xfId="36675" xr:uid="{00000000-0005-0000-0000-000067000000}"/>
    <cellStyle name="_EMS Ops Report Data Aug 2009 3 3 2" xfId="36676" xr:uid="{00000000-0005-0000-0000-000068000000}"/>
    <cellStyle name="_EMS Ops Report Data Aug 2009 4" xfId="36677" xr:uid="{00000000-0005-0000-0000-000069000000}"/>
    <cellStyle name="_EMS Ops Report Data Aug 2009 4 2" xfId="36678" xr:uid="{00000000-0005-0000-0000-00006A000000}"/>
    <cellStyle name="_EMS Ops Report Data Aug 2009 5" xfId="36679" xr:uid="{00000000-0005-0000-0000-00006B000000}"/>
    <cellStyle name="_EMS Ops Report Data Aug 2009_ACS Overall" xfId="36680" xr:uid="{00000000-0005-0000-0000-00006C000000}"/>
    <cellStyle name="_EMS Ops Report Data Aug 2009_ACS Overall 2" xfId="36681" xr:uid="{00000000-0005-0000-0000-00006D000000}"/>
    <cellStyle name="_EMS Ops Report Data Aug 2009_ACS Summary" xfId="36682" xr:uid="{00000000-0005-0000-0000-00006E000000}"/>
    <cellStyle name="_EMS Ops Report Data Aug 2009_ACS Summary 2" xfId="36683" xr:uid="{00000000-0005-0000-0000-00006F000000}"/>
    <cellStyle name="_EMS Ops Report Data Aug 2009_Monthly Performance Report Sep 1.2" xfId="34432" xr:uid="{00000000-0005-0000-0000-000070000000}"/>
    <cellStyle name="_EMS Ops Report Data Aug 2009_Monthly Performance Report Sep 1.2 2" xfId="36684" xr:uid="{00000000-0005-0000-0000-000071000000}"/>
    <cellStyle name="_EMS Ops Report Data Aug 2009_Non Reg &amp; ACS Summary" xfId="36685" xr:uid="{00000000-0005-0000-0000-000072000000}"/>
    <cellStyle name="_EMS Ops Report Data Aug 2009_Non Reg &amp; ACS Summary 2" xfId="36686" xr:uid="{00000000-0005-0000-0000-000073000000}"/>
    <cellStyle name="_EMS Ops Report Data Aug 2009_Non Reg &amp; ACS Summary 3" xfId="36687" xr:uid="{00000000-0005-0000-0000-000074000000}"/>
    <cellStyle name="_EMS Ops Report Data Aug 2009_YTD comparison Year on Year" xfId="36688" xr:uid="{00000000-0005-0000-0000-000075000000}"/>
    <cellStyle name="_EMS Ops Report Data Aug 2009_YTD comparison Year on Year 2" xfId="36689" xr:uid="{00000000-0005-0000-0000-000076000000}"/>
    <cellStyle name="_Fin900h_ParentProjectTxnsByWork" xfId="34433" xr:uid="{00000000-0005-0000-0000-000077000000}"/>
    <cellStyle name="_JET Long Form Journal Template" xfId="34352" xr:uid="{00000000-0005-0000-0000-000078000000}"/>
    <cellStyle name="_JET Long Form Journal Template 2" xfId="34434" xr:uid="{00000000-0005-0000-0000-000079000000}"/>
    <cellStyle name="_JET Long Form Journal Template 2 2" xfId="34435" xr:uid="{00000000-0005-0000-0000-00007A000000}"/>
    <cellStyle name="_JET Long Form Journal Template 2 2 2" xfId="36690" xr:uid="{00000000-0005-0000-0000-00007B000000}"/>
    <cellStyle name="_JET Long Form Journal Template 2 2 2 2" xfId="36691" xr:uid="{00000000-0005-0000-0000-00007C000000}"/>
    <cellStyle name="_JET Long Form Journal Template 2 3" xfId="36692" xr:uid="{00000000-0005-0000-0000-00007D000000}"/>
    <cellStyle name="_JET Long Form Journal Template 2 3 2" xfId="36693" xr:uid="{00000000-0005-0000-0000-00007E000000}"/>
    <cellStyle name="_JET Long Form Journal Template 2 4" xfId="36694" xr:uid="{00000000-0005-0000-0000-00007F000000}"/>
    <cellStyle name="_JET Long Form Journal Template 2 5" xfId="36695" xr:uid="{00000000-0005-0000-0000-000080000000}"/>
    <cellStyle name="_JET Long Form Journal Template 3" xfId="34436" xr:uid="{00000000-0005-0000-0000-000081000000}"/>
    <cellStyle name="_JET Long Form Journal Template 3 2" xfId="34437" xr:uid="{00000000-0005-0000-0000-000082000000}"/>
    <cellStyle name="_JET Long Form Journal Template 3 2 2" xfId="36696" xr:uid="{00000000-0005-0000-0000-000083000000}"/>
    <cellStyle name="_JET Long Form Journal Template 3 3" xfId="36697" xr:uid="{00000000-0005-0000-0000-000084000000}"/>
    <cellStyle name="_JET Long Form Journal Template 3 3 2" xfId="36698" xr:uid="{00000000-0005-0000-0000-000085000000}"/>
    <cellStyle name="_JET Long Form Journal Template 4" xfId="34438" xr:uid="{00000000-0005-0000-0000-000086000000}"/>
    <cellStyle name="_JET Long Form Journal Template 4 2" xfId="36699" xr:uid="{00000000-0005-0000-0000-000087000000}"/>
    <cellStyle name="_JET Long Form Journal Template 4 2 2" xfId="36700" xr:uid="{00000000-0005-0000-0000-000088000000}"/>
    <cellStyle name="_JET Long Form Journal Template_ACS Overall" xfId="36701" xr:uid="{00000000-0005-0000-0000-000089000000}"/>
    <cellStyle name="_JET Long Form Journal Template_ACS Overall 2" xfId="36702" xr:uid="{00000000-0005-0000-0000-00008A000000}"/>
    <cellStyle name="_JET Long Form Journal Template_ACS Summary" xfId="36703" xr:uid="{00000000-0005-0000-0000-00008B000000}"/>
    <cellStyle name="_JET Long Form Journal Template_ACS Summary 2" xfId="36704" xr:uid="{00000000-0005-0000-0000-00008C000000}"/>
    <cellStyle name="_JET Long Form Journal Template_Monthly Performance Report Sep 1.2" xfId="34439" xr:uid="{00000000-0005-0000-0000-00008D000000}"/>
    <cellStyle name="_JET Long Form Journal Template_Monthly Performance Report Sep 1.2 2" xfId="36705" xr:uid="{00000000-0005-0000-0000-00008E000000}"/>
    <cellStyle name="_JET Long Form Journal Template_Non Reg &amp; ACS Summary" xfId="36706" xr:uid="{00000000-0005-0000-0000-00008F000000}"/>
    <cellStyle name="_JET Long Form Journal Template_Non Reg &amp; ACS Summary 2" xfId="36707" xr:uid="{00000000-0005-0000-0000-000090000000}"/>
    <cellStyle name="_JET Long Form Journal Template_Non Reg &amp; ACS Summary 3" xfId="36708" xr:uid="{00000000-0005-0000-0000-000091000000}"/>
    <cellStyle name="_JET Long Form Journal Template_Sheet1" xfId="34362" xr:uid="{00000000-0005-0000-0000-000092000000}"/>
    <cellStyle name="_JET Long Form Journal Template_Sheet1 2" xfId="36709" xr:uid="{00000000-0005-0000-0000-000093000000}"/>
    <cellStyle name="_JET Long Form Journal Template_Trend Analysis" xfId="34367" xr:uid="{00000000-0005-0000-0000-000094000000}"/>
    <cellStyle name="_JET Long Form Journal Template_Trend Analysis 2" xfId="36710" xr:uid="{00000000-0005-0000-0000-000095000000}"/>
    <cellStyle name="_JET Long Form Journal Template_YTD comparison Year on Year" xfId="36711" xr:uid="{00000000-0005-0000-0000-000096000000}"/>
    <cellStyle name="_JET Long Form Journal Template_YTD comparison Year on Year 2" xfId="36712" xr:uid="{00000000-0005-0000-0000-000097000000}"/>
    <cellStyle name="_JET Tax Journal Template" xfId="34440" xr:uid="{00000000-0005-0000-0000-000098000000}"/>
    <cellStyle name="_JET Tax Journal Template 2" xfId="34441" xr:uid="{00000000-0005-0000-0000-000099000000}"/>
    <cellStyle name="_JET Tax Journal Template 2 2" xfId="36713" xr:uid="{00000000-0005-0000-0000-00009A000000}"/>
    <cellStyle name="_JET Tax Journal Template 2 2 2" xfId="36714" xr:uid="{00000000-0005-0000-0000-00009B000000}"/>
    <cellStyle name="_JET Tax Journal Template 2 3" xfId="36715" xr:uid="{00000000-0005-0000-0000-00009C000000}"/>
    <cellStyle name="_JET Tax Journal Template 2 4" xfId="36716" xr:uid="{00000000-0005-0000-0000-00009D000000}"/>
    <cellStyle name="_JET Tax Journal Template 2 5" xfId="36717" xr:uid="{00000000-0005-0000-0000-00009E000000}"/>
    <cellStyle name="_JET Tax Journal Template 3" xfId="34442" xr:uid="{00000000-0005-0000-0000-00009F000000}"/>
    <cellStyle name="_JET Tax Journal Template 3 2" xfId="34443" xr:uid="{00000000-0005-0000-0000-0000A0000000}"/>
    <cellStyle name="_JET Tax Journal Template 3 2 2" xfId="36718" xr:uid="{00000000-0005-0000-0000-0000A1000000}"/>
    <cellStyle name="_JET Tax Journal Template 3 3" xfId="36719" xr:uid="{00000000-0005-0000-0000-0000A2000000}"/>
    <cellStyle name="_JET Tax Journal Template 3 3 2" xfId="36720" xr:uid="{00000000-0005-0000-0000-0000A3000000}"/>
    <cellStyle name="_JET Tax Journal Template 4" xfId="36721" xr:uid="{00000000-0005-0000-0000-0000A4000000}"/>
    <cellStyle name="_JET Tax Journal Template 4 2" xfId="36722" xr:uid="{00000000-0005-0000-0000-0000A5000000}"/>
    <cellStyle name="_JET Tax Journal Template 5" xfId="36723" xr:uid="{00000000-0005-0000-0000-0000A6000000}"/>
    <cellStyle name="_JET Tax Journal Template_ACS Overall" xfId="36724" xr:uid="{00000000-0005-0000-0000-0000A7000000}"/>
    <cellStyle name="_JET Tax Journal Template_ACS Overall 2" xfId="36725" xr:uid="{00000000-0005-0000-0000-0000A8000000}"/>
    <cellStyle name="_JET Tax Journal Template_ACS Summary" xfId="36726" xr:uid="{00000000-0005-0000-0000-0000A9000000}"/>
    <cellStyle name="_JET Tax Journal Template_ACS Summary 2" xfId="36727" xr:uid="{00000000-0005-0000-0000-0000AA000000}"/>
    <cellStyle name="_JET Tax Journal Template_Monthly Performance Report Sep 1.2" xfId="34444" xr:uid="{00000000-0005-0000-0000-0000AB000000}"/>
    <cellStyle name="_JET Tax Journal Template_Monthly Performance Report Sep 1.2 2" xfId="36728" xr:uid="{00000000-0005-0000-0000-0000AC000000}"/>
    <cellStyle name="_JET Tax Journal Template_Non Reg &amp; ACS Summary" xfId="36729" xr:uid="{00000000-0005-0000-0000-0000AD000000}"/>
    <cellStyle name="_JET Tax Journal Template_Non Reg &amp; ACS Summary 2" xfId="36730" xr:uid="{00000000-0005-0000-0000-0000AE000000}"/>
    <cellStyle name="_JET Tax Journal Template_Non Reg &amp; ACS Summary 3" xfId="36731" xr:uid="{00000000-0005-0000-0000-0000AF000000}"/>
    <cellStyle name="_JET Tax Journal Template_YTD comparison Year on Year" xfId="36732" xr:uid="{00000000-0005-0000-0000-0000B0000000}"/>
    <cellStyle name="_JET Tax Journal Template_YTD comparison Year on Year 2" xfId="36733" xr:uid="{00000000-0005-0000-0000-0000B1000000}"/>
    <cellStyle name="_Journal" xfId="34445" xr:uid="{00000000-0005-0000-0000-0000B2000000}"/>
    <cellStyle name="_L002 A2760" xfId="34446" xr:uid="{00000000-0005-0000-0000-0000B3000000}"/>
    <cellStyle name="_L002 A2760 2" xfId="36734" xr:uid="{00000000-0005-0000-0000-0000B4000000}"/>
    <cellStyle name="_L002 A5300" xfId="34447" xr:uid="{00000000-0005-0000-0000-0000B5000000}"/>
    <cellStyle name="_L002 A5300 2" xfId="36735" xr:uid="{00000000-0005-0000-0000-0000B6000000}"/>
    <cellStyle name="_L002 GL Recs P11" xfId="34448" xr:uid="{00000000-0005-0000-0000-0000B7000000}"/>
    <cellStyle name="_L002 GL Recs P11 2" xfId="36736" xr:uid="{00000000-0005-0000-0000-0000B8000000}"/>
    <cellStyle name="_L2015" xfId="34449" xr:uid="{00000000-0005-0000-0000-0000B9000000}"/>
    <cellStyle name="_L2015 2" xfId="36737" xr:uid="{00000000-0005-0000-0000-0000BA000000}"/>
    <cellStyle name="_L4079" xfId="34450" xr:uid="{00000000-0005-0000-0000-0000BB000000}"/>
    <cellStyle name="_L4079 2" xfId="36738" xr:uid="{00000000-0005-0000-0000-0000BC000000}"/>
    <cellStyle name="_L4079 Toowoomba Provision 1112" xfId="34451" xr:uid="{00000000-0005-0000-0000-0000BD000000}"/>
    <cellStyle name="_L4079 Toowoomba Provision 1112 2" xfId="36739" xr:uid="{00000000-0005-0000-0000-0000BE000000}"/>
    <cellStyle name="_L7060" xfId="34452" xr:uid="{00000000-0005-0000-0000-0000BF000000}"/>
    <cellStyle name="_L7060 2" xfId="36740" xr:uid="{00000000-0005-0000-0000-0000C0000000}"/>
    <cellStyle name="_L7241" xfId="34453" xr:uid="{00000000-0005-0000-0000-0000C1000000}"/>
    <cellStyle name="_L7241 2" xfId="36741" xr:uid="{00000000-0005-0000-0000-0000C2000000}"/>
    <cellStyle name="_Long Form Journal Upload V11 D" xfId="34353" xr:uid="{00000000-0005-0000-0000-0000C3000000}"/>
    <cellStyle name="_Long Form Journal Upload V11 D 2" xfId="34454" xr:uid="{00000000-0005-0000-0000-0000C4000000}"/>
    <cellStyle name="_Long Form Journal Upload V11 D 2 2" xfId="34455" xr:uid="{00000000-0005-0000-0000-0000C5000000}"/>
    <cellStyle name="_Long Form Journal Upload V11 D 2 2 2" xfId="36742" xr:uid="{00000000-0005-0000-0000-0000C6000000}"/>
    <cellStyle name="_Long Form Journal Upload V11 D 2 2 2 2" xfId="36743" xr:uid="{00000000-0005-0000-0000-0000C7000000}"/>
    <cellStyle name="_Long Form Journal Upload V11 D 2 3" xfId="36744" xr:uid="{00000000-0005-0000-0000-0000C8000000}"/>
    <cellStyle name="_Long Form Journal Upload V11 D 2 3 2" xfId="36745" xr:uid="{00000000-0005-0000-0000-0000C9000000}"/>
    <cellStyle name="_Long Form Journal Upload V11 D 2 4" xfId="36746" xr:uid="{00000000-0005-0000-0000-0000CA000000}"/>
    <cellStyle name="_Long Form Journal Upload V11 D 2 5" xfId="36747" xr:uid="{00000000-0005-0000-0000-0000CB000000}"/>
    <cellStyle name="_Long Form Journal Upload V11 D 3" xfId="34456" xr:uid="{00000000-0005-0000-0000-0000CC000000}"/>
    <cellStyle name="_Long Form Journal Upload V11 D 3 2" xfId="34457" xr:uid="{00000000-0005-0000-0000-0000CD000000}"/>
    <cellStyle name="_Long Form Journal Upload V11 D 3 2 2" xfId="36748" xr:uid="{00000000-0005-0000-0000-0000CE000000}"/>
    <cellStyle name="_Long Form Journal Upload V11 D 3 3" xfId="36749" xr:uid="{00000000-0005-0000-0000-0000CF000000}"/>
    <cellStyle name="_Long Form Journal Upload V11 D 3 3 2" xfId="36750" xr:uid="{00000000-0005-0000-0000-0000D0000000}"/>
    <cellStyle name="_Long Form Journal Upload V11 D 4" xfId="34458" xr:uid="{00000000-0005-0000-0000-0000D1000000}"/>
    <cellStyle name="_Long Form Journal Upload V11 D 4 2" xfId="36751" xr:uid="{00000000-0005-0000-0000-0000D2000000}"/>
    <cellStyle name="_Long Form Journal Upload V11 D 4 2 2" xfId="36752" xr:uid="{00000000-0005-0000-0000-0000D3000000}"/>
    <cellStyle name="_Long Form Journal Upload V11 D_ACS Overall" xfId="36753" xr:uid="{00000000-0005-0000-0000-0000D4000000}"/>
    <cellStyle name="_Long Form Journal Upload V11 D_ACS Overall 2" xfId="36754" xr:uid="{00000000-0005-0000-0000-0000D5000000}"/>
    <cellStyle name="_Long Form Journal Upload V11 D_ACS Summary" xfId="36755" xr:uid="{00000000-0005-0000-0000-0000D6000000}"/>
    <cellStyle name="_Long Form Journal Upload V11 D_ACS Summary 2" xfId="36756" xr:uid="{00000000-0005-0000-0000-0000D7000000}"/>
    <cellStyle name="_Long Form Journal Upload V11 D_Monthly Performance Report Sep 1.2" xfId="34459" xr:uid="{00000000-0005-0000-0000-0000D8000000}"/>
    <cellStyle name="_Long Form Journal Upload V11 D_Monthly Performance Report Sep 1.2 2" xfId="36757" xr:uid="{00000000-0005-0000-0000-0000D9000000}"/>
    <cellStyle name="_Long Form Journal Upload V11 D_Non Reg &amp; ACS Summary" xfId="36758" xr:uid="{00000000-0005-0000-0000-0000DA000000}"/>
    <cellStyle name="_Long Form Journal Upload V11 D_Non Reg &amp; ACS Summary 2" xfId="36759" xr:uid="{00000000-0005-0000-0000-0000DB000000}"/>
    <cellStyle name="_Long Form Journal Upload V11 D_Non Reg &amp; ACS Summary 3" xfId="36760" xr:uid="{00000000-0005-0000-0000-0000DC000000}"/>
    <cellStyle name="_Long Form Journal Upload V11 D_Sheet1" xfId="34363" xr:uid="{00000000-0005-0000-0000-0000DD000000}"/>
    <cellStyle name="_Long Form Journal Upload V11 D_Sheet1 2" xfId="36761" xr:uid="{00000000-0005-0000-0000-0000DE000000}"/>
    <cellStyle name="_Long Form Journal Upload V11 D_Trend Analysis" xfId="34368" xr:uid="{00000000-0005-0000-0000-0000DF000000}"/>
    <cellStyle name="_Long Form Journal Upload V11 D_Trend Analysis 2" xfId="36762" xr:uid="{00000000-0005-0000-0000-0000E0000000}"/>
    <cellStyle name="_Long Form Journal Upload V11 D_YTD comparison Year on Year" xfId="36763" xr:uid="{00000000-0005-0000-0000-0000E1000000}"/>
    <cellStyle name="_Long Form Journal Upload V11 D_YTD comparison Year on Year 2" xfId="36764" xr:uid="{00000000-0005-0000-0000-0000E2000000}"/>
    <cellStyle name="_Long Form Journal Upload V11 E" xfId="34354" xr:uid="{00000000-0005-0000-0000-0000E3000000}"/>
    <cellStyle name="_Long Form Journal Upload V11 E 2" xfId="34460" xr:uid="{00000000-0005-0000-0000-0000E4000000}"/>
    <cellStyle name="_Long Form Journal Upload V11 E 2 2" xfId="34461" xr:uid="{00000000-0005-0000-0000-0000E5000000}"/>
    <cellStyle name="_Long Form Journal Upload V11 E 2 2 2" xfId="36765" xr:uid="{00000000-0005-0000-0000-0000E6000000}"/>
    <cellStyle name="_Long Form Journal Upload V11 E 2 2 2 2" xfId="36766" xr:uid="{00000000-0005-0000-0000-0000E7000000}"/>
    <cellStyle name="_Long Form Journal Upload V11 E 2 3" xfId="36767" xr:uid="{00000000-0005-0000-0000-0000E8000000}"/>
    <cellStyle name="_Long Form Journal Upload V11 E 2 3 2" xfId="36768" xr:uid="{00000000-0005-0000-0000-0000E9000000}"/>
    <cellStyle name="_Long Form Journal Upload V11 E 2 4" xfId="36769" xr:uid="{00000000-0005-0000-0000-0000EA000000}"/>
    <cellStyle name="_Long Form Journal Upload V11 E 2 5" xfId="36770" xr:uid="{00000000-0005-0000-0000-0000EB000000}"/>
    <cellStyle name="_Long Form Journal Upload V11 E 3" xfId="34462" xr:uid="{00000000-0005-0000-0000-0000EC000000}"/>
    <cellStyle name="_Long Form Journal Upload V11 E 3 2" xfId="34463" xr:uid="{00000000-0005-0000-0000-0000ED000000}"/>
    <cellStyle name="_Long Form Journal Upload V11 E 3 2 2" xfId="36771" xr:uid="{00000000-0005-0000-0000-0000EE000000}"/>
    <cellStyle name="_Long Form Journal Upload V11 E 3 3" xfId="36772" xr:uid="{00000000-0005-0000-0000-0000EF000000}"/>
    <cellStyle name="_Long Form Journal Upload V11 E 3 3 2" xfId="36773" xr:uid="{00000000-0005-0000-0000-0000F0000000}"/>
    <cellStyle name="_Long Form Journal Upload V11 E 4" xfId="34464" xr:uid="{00000000-0005-0000-0000-0000F1000000}"/>
    <cellStyle name="_Long Form Journal Upload V11 E 4 2" xfId="36774" xr:uid="{00000000-0005-0000-0000-0000F2000000}"/>
    <cellStyle name="_Long Form Journal Upload V11 E 4 2 2" xfId="36775" xr:uid="{00000000-0005-0000-0000-0000F3000000}"/>
    <cellStyle name="_Long Form Journal Upload V11 E_ACS Overall" xfId="36776" xr:uid="{00000000-0005-0000-0000-0000F4000000}"/>
    <cellStyle name="_Long Form Journal Upload V11 E_ACS Overall 2" xfId="36777" xr:uid="{00000000-0005-0000-0000-0000F5000000}"/>
    <cellStyle name="_Long Form Journal Upload V11 E_ACS Summary" xfId="36778" xr:uid="{00000000-0005-0000-0000-0000F6000000}"/>
    <cellStyle name="_Long Form Journal Upload V11 E_ACS Summary 2" xfId="36779" xr:uid="{00000000-0005-0000-0000-0000F7000000}"/>
    <cellStyle name="_Long Form Journal Upload V11 E_Monthly Performance Report Sep 1.2" xfId="34465" xr:uid="{00000000-0005-0000-0000-0000F8000000}"/>
    <cellStyle name="_Long Form Journal Upload V11 E_Monthly Performance Report Sep 1.2 2" xfId="36780" xr:uid="{00000000-0005-0000-0000-0000F9000000}"/>
    <cellStyle name="_Long Form Journal Upload V11 E_Non Reg &amp; ACS Summary" xfId="36781" xr:uid="{00000000-0005-0000-0000-0000FA000000}"/>
    <cellStyle name="_Long Form Journal Upload V11 E_Non Reg &amp; ACS Summary 2" xfId="36782" xr:uid="{00000000-0005-0000-0000-0000FB000000}"/>
    <cellStyle name="_Long Form Journal Upload V11 E_Non Reg &amp; ACS Summary 3" xfId="36783" xr:uid="{00000000-0005-0000-0000-0000FC000000}"/>
    <cellStyle name="_Long Form Journal Upload V11 E_Sheet1" xfId="34364" xr:uid="{00000000-0005-0000-0000-0000FD000000}"/>
    <cellStyle name="_Long Form Journal Upload V11 E_Sheet1 2" xfId="36784" xr:uid="{00000000-0005-0000-0000-0000FE000000}"/>
    <cellStyle name="_Long Form Journal Upload V11 E_Trend Analysis" xfId="34369" xr:uid="{00000000-0005-0000-0000-0000FF000000}"/>
    <cellStyle name="_Long Form Journal Upload V11 E_Trend Analysis 2" xfId="36785" xr:uid="{00000000-0005-0000-0000-000000010000}"/>
    <cellStyle name="_Long Form Journal Upload V11 E_YTD comparison Year on Year" xfId="36786" xr:uid="{00000000-0005-0000-0000-000001010000}"/>
    <cellStyle name="_Long Form Journal Upload V11 E_YTD comparison Year on Year 2" xfId="36787" xr:uid="{00000000-0005-0000-0000-000002010000}"/>
    <cellStyle name="_Marvel Notes Itilics " xfId="25" xr:uid="{00000000-0005-0000-0000-000003010000}"/>
    <cellStyle name="_Meter Reading" xfId="26" xr:uid="{00000000-0005-0000-0000-000004010000}"/>
    <cellStyle name="_Meter Reading Analysis (# of Reads) - 21 Apr 2010" xfId="27" xr:uid="{00000000-0005-0000-0000-000005010000}"/>
    <cellStyle name="_Non-System Capex - CustSvcs - 27Nov08" xfId="28" xr:uid="{00000000-0005-0000-0000-000006010000}"/>
    <cellStyle name="_Non-System Capex - CustSvcs - 27Nov08 2" xfId="29" xr:uid="{00000000-0005-0000-0000-000007010000}"/>
    <cellStyle name="_Non-System Capex - CustSvcs - 27Nov08 2 2" xfId="30" xr:uid="{00000000-0005-0000-0000-000008010000}"/>
    <cellStyle name="_Non-System Capex - CustSvcs - 27Nov08 2 3" xfId="31" xr:uid="{00000000-0005-0000-0000-000009010000}"/>
    <cellStyle name="_Non-System Capex - CustSvcs - 27Nov08_Sheet1" xfId="32" xr:uid="{00000000-0005-0000-0000-00000A010000}"/>
    <cellStyle name="_Non-System Capex - CustSvcs - 27Nov08_Sheet1 2" xfId="33" xr:uid="{00000000-0005-0000-0000-00000B010000}"/>
    <cellStyle name="_Non-System Capex - CustSvcs - 27Nov08_Trend Analysis" xfId="34" xr:uid="{00000000-0005-0000-0000-00000C010000}"/>
    <cellStyle name="_Non-System Capex - CustSvcs - 27Nov08_Trend Analysis 2" xfId="35" xr:uid="{00000000-0005-0000-0000-00000D010000}"/>
    <cellStyle name="_OPEX Actual vs Forecast Oct 10 v2" xfId="36" xr:uid="{00000000-0005-0000-0000-00000E010000}"/>
    <cellStyle name="_Revenue Over Recovery Advice for AER_recon to BS v3" xfId="37" xr:uid="{00000000-0005-0000-0000-00000F010000}"/>
    <cellStyle name="_Revenue Over Recovery Advice for AER_recon to BS v3 2" xfId="38" xr:uid="{00000000-0005-0000-0000-000010010000}"/>
    <cellStyle name="_Sheet1" xfId="39" xr:uid="{00000000-0005-0000-0000-000011010000}"/>
    <cellStyle name="_Sheet1_Journal" xfId="40" xr:uid="{00000000-0005-0000-0000-000012010000}"/>
    <cellStyle name="_Sheet1_Sheet2" xfId="41" xr:uid="{00000000-0005-0000-0000-000013010000}"/>
    <cellStyle name="_Sheet1_Upload" xfId="42" xr:uid="{00000000-0005-0000-0000-000014010000}"/>
    <cellStyle name="_Sheet2" xfId="43" xr:uid="{00000000-0005-0000-0000-000015010000}"/>
    <cellStyle name="_Sheet2 2" xfId="44" xr:uid="{00000000-0005-0000-0000-000016010000}"/>
    <cellStyle name="_Sheet2 2 2" xfId="45" xr:uid="{00000000-0005-0000-0000-000017010000}"/>
    <cellStyle name="_Sheet2 2 3" xfId="46" xr:uid="{00000000-0005-0000-0000-000018010000}"/>
    <cellStyle name="_Sheet2 2 4" xfId="47" xr:uid="{00000000-0005-0000-0000-000019010000}"/>
    <cellStyle name="_Sheet2 3" xfId="48" xr:uid="{00000000-0005-0000-0000-00001A010000}"/>
    <cellStyle name="_Sheet2 3 2" xfId="49" xr:uid="{00000000-0005-0000-0000-00001B010000}"/>
    <cellStyle name="_Sheet2 4" xfId="50" xr:uid="{00000000-0005-0000-0000-00001C010000}"/>
    <cellStyle name="_Sheet2 4 2" xfId="51" xr:uid="{00000000-0005-0000-0000-00001D010000}"/>
    <cellStyle name="_Sheet2_1" xfId="52" xr:uid="{00000000-0005-0000-0000-00001E010000}"/>
    <cellStyle name="_Sheet2_Jun09 CWIP" xfId="53" xr:uid="{00000000-0005-0000-0000-00001F010000}"/>
    <cellStyle name="_Sheet2_Sheet1" xfId="54" xr:uid="{00000000-0005-0000-0000-000020010000}"/>
    <cellStyle name="_Sheet2_Sheet1 2" xfId="55" xr:uid="{00000000-0005-0000-0000-000021010000}"/>
    <cellStyle name="_Sheet2_Trend Analysis" xfId="56" xr:uid="{00000000-0005-0000-0000-000022010000}"/>
    <cellStyle name="_Sheet2_Trend Analysis 2" xfId="57" xr:uid="{00000000-0005-0000-0000-000023010000}"/>
    <cellStyle name="_Sheet2_Upload" xfId="58" xr:uid="{00000000-0005-0000-0000-000024010000}"/>
    <cellStyle name="_Sheet3" xfId="59" xr:uid="{00000000-0005-0000-0000-000025010000}"/>
    <cellStyle name="_Sparq Capex 20110303" xfId="60" xr:uid="{00000000-0005-0000-0000-000026010000}"/>
    <cellStyle name="_Template" xfId="61" xr:uid="{00000000-0005-0000-0000-000027010000}"/>
    <cellStyle name="_Template 2" xfId="62" xr:uid="{00000000-0005-0000-0000-000028010000}"/>
    <cellStyle name="_Template 2 2" xfId="63" xr:uid="{00000000-0005-0000-0000-000029010000}"/>
    <cellStyle name="_Template 3" xfId="64" xr:uid="{00000000-0005-0000-0000-00002A010000}"/>
    <cellStyle name="_UED AMP 2009-14 Final 250309 Less PU" xfId="34466" xr:uid="{00000000-0005-0000-0000-00002B010000}"/>
    <cellStyle name="_UED AMP 2009-14 Final 250309 Less PU_1011 monthly" xfId="34467" xr:uid="{00000000-0005-0000-0000-00002C010000}"/>
    <cellStyle name="_Upload" xfId="65" xr:uid="{00000000-0005-0000-0000-00002D010000}"/>
    <cellStyle name="_WORKBENCHSEP08" xfId="66" xr:uid="{00000000-0005-0000-0000-00002E010000}"/>
    <cellStyle name="20% - Accent1 10" xfId="41851" xr:uid="{7615584D-29A8-49ED-B0FB-DBA26C0A0EBE}"/>
    <cellStyle name="20% - Accent1 2" xfId="67" xr:uid="{00000000-0005-0000-0000-00002F010000}"/>
    <cellStyle name="20% - Accent1 2 10" xfId="68" xr:uid="{00000000-0005-0000-0000-000030010000}"/>
    <cellStyle name="20% - Accent1 2 10 2" xfId="69" xr:uid="{00000000-0005-0000-0000-000031010000}"/>
    <cellStyle name="20% - Accent1 2 10 2 2" xfId="70" xr:uid="{00000000-0005-0000-0000-000032010000}"/>
    <cellStyle name="20% - Accent1 2 10 3" xfId="71" xr:uid="{00000000-0005-0000-0000-000033010000}"/>
    <cellStyle name="20% - Accent1 2 10 4" xfId="72" xr:uid="{00000000-0005-0000-0000-000034010000}"/>
    <cellStyle name="20% - Accent1 2 10 5" xfId="36788" xr:uid="{00000000-0005-0000-0000-000035010000}"/>
    <cellStyle name="20% - Accent1 2 11" xfId="73" xr:uid="{00000000-0005-0000-0000-000036010000}"/>
    <cellStyle name="20% - Accent1 2 11 2" xfId="74" xr:uid="{00000000-0005-0000-0000-000037010000}"/>
    <cellStyle name="20% - Accent1 2 12" xfId="75" xr:uid="{00000000-0005-0000-0000-000038010000}"/>
    <cellStyle name="20% - Accent1 2 13" xfId="76" xr:uid="{00000000-0005-0000-0000-000039010000}"/>
    <cellStyle name="20% - Accent1 2 14" xfId="41852" xr:uid="{C11EFA25-723B-41BD-8137-AD7228AF6994}"/>
    <cellStyle name="20% - Accent1 2 2" xfId="77" xr:uid="{00000000-0005-0000-0000-00003A010000}"/>
    <cellStyle name="20% - Accent1 2 2 2" xfId="78" xr:uid="{00000000-0005-0000-0000-00003B010000}"/>
    <cellStyle name="20% - Accent1 2 2 3" xfId="79" xr:uid="{00000000-0005-0000-0000-00003C010000}"/>
    <cellStyle name="20% - Accent1 2 2 3 2" xfId="36790" xr:uid="{00000000-0005-0000-0000-00003D010000}"/>
    <cellStyle name="20% - Accent1 2 2 3 3" xfId="36789" xr:uid="{00000000-0005-0000-0000-00003E010000}"/>
    <cellStyle name="20% - Accent1 2 2 4" xfId="80" xr:uid="{00000000-0005-0000-0000-00003F010000}"/>
    <cellStyle name="20% - Accent1 2 2 5" xfId="42259" xr:uid="{DC0FB993-A2E3-4CFE-BB75-D0BE6771B564}"/>
    <cellStyle name="20% - Accent1 2 3" xfId="81" xr:uid="{00000000-0005-0000-0000-000040010000}"/>
    <cellStyle name="20% - Accent1 2 3 10" xfId="82" xr:uid="{00000000-0005-0000-0000-000041010000}"/>
    <cellStyle name="20% - Accent1 2 3 11" xfId="83" xr:uid="{00000000-0005-0000-0000-000042010000}"/>
    <cellStyle name="20% - Accent1 2 3 12" xfId="34468" xr:uid="{00000000-0005-0000-0000-000043010000}"/>
    <cellStyle name="20% - Accent1 2 3 2" xfId="84" xr:uid="{00000000-0005-0000-0000-000044010000}"/>
    <cellStyle name="20% - Accent1 2 3 2 10" xfId="85" xr:uid="{00000000-0005-0000-0000-000045010000}"/>
    <cellStyle name="20% - Accent1 2 3 2 11" xfId="34469" xr:uid="{00000000-0005-0000-0000-000046010000}"/>
    <cellStyle name="20% - Accent1 2 3 2 2" xfId="86" xr:uid="{00000000-0005-0000-0000-000047010000}"/>
    <cellStyle name="20% - Accent1 2 3 2 2 10" xfId="34470" xr:uid="{00000000-0005-0000-0000-000048010000}"/>
    <cellStyle name="20% - Accent1 2 3 2 2 2" xfId="87" xr:uid="{00000000-0005-0000-0000-000049010000}"/>
    <cellStyle name="20% - Accent1 2 3 2 2 2 2" xfId="88" xr:uid="{00000000-0005-0000-0000-00004A010000}"/>
    <cellStyle name="20% - Accent1 2 3 2 2 2 2 2" xfId="89" xr:uid="{00000000-0005-0000-0000-00004B010000}"/>
    <cellStyle name="20% - Accent1 2 3 2 2 2 2 2 2" xfId="90" xr:uid="{00000000-0005-0000-0000-00004C010000}"/>
    <cellStyle name="20% - Accent1 2 3 2 2 2 2 3" xfId="91" xr:uid="{00000000-0005-0000-0000-00004D010000}"/>
    <cellStyle name="20% - Accent1 2 3 2 2 2 2 4" xfId="92" xr:uid="{00000000-0005-0000-0000-00004E010000}"/>
    <cellStyle name="20% - Accent1 2 3 2 2 2 2 5" xfId="36792" xr:uid="{00000000-0005-0000-0000-00004F010000}"/>
    <cellStyle name="20% - Accent1 2 3 2 2 2 3" xfId="93" xr:uid="{00000000-0005-0000-0000-000050010000}"/>
    <cellStyle name="20% - Accent1 2 3 2 2 2 3 2" xfId="94" xr:uid="{00000000-0005-0000-0000-000051010000}"/>
    <cellStyle name="20% - Accent1 2 3 2 2 2 4" xfId="95" xr:uid="{00000000-0005-0000-0000-000052010000}"/>
    <cellStyle name="20% - Accent1 2 3 2 2 2 5" xfId="96" xr:uid="{00000000-0005-0000-0000-000053010000}"/>
    <cellStyle name="20% - Accent1 2 3 2 2 2 6" xfId="36791" xr:uid="{00000000-0005-0000-0000-000054010000}"/>
    <cellStyle name="20% - Accent1 2 3 2 2 3" xfId="97" xr:uid="{00000000-0005-0000-0000-000055010000}"/>
    <cellStyle name="20% - Accent1 2 3 2 2 3 2" xfId="98" xr:uid="{00000000-0005-0000-0000-000056010000}"/>
    <cellStyle name="20% - Accent1 2 3 2 2 3 2 2" xfId="99" xr:uid="{00000000-0005-0000-0000-000057010000}"/>
    <cellStyle name="20% - Accent1 2 3 2 2 3 2 2 2" xfId="100" xr:uid="{00000000-0005-0000-0000-000058010000}"/>
    <cellStyle name="20% - Accent1 2 3 2 2 3 2 3" xfId="101" xr:uid="{00000000-0005-0000-0000-000059010000}"/>
    <cellStyle name="20% - Accent1 2 3 2 2 3 2 4" xfId="102" xr:uid="{00000000-0005-0000-0000-00005A010000}"/>
    <cellStyle name="20% - Accent1 2 3 2 2 3 2 5" xfId="36794" xr:uid="{00000000-0005-0000-0000-00005B010000}"/>
    <cellStyle name="20% - Accent1 2 3 2 2 3 3" xfId="103" xr:uid="{00000000-0005-0000-0000-00005C010000}"/>
    <cellStyle name="20% - Accent1 2 3 2 2 3 3 2" xfId="104" xr:uid="{00000000-0005-0000-0000-00005D010000}"/>
    <cellStyle name="20% - Accent1 2 3 2 2 3 4" xfId="105" xr:uid="{00000000-0005-0000-0000-00005E010000}"/>
    <cellStyle name="20% - Accent1 2 3 2 2 3 5" xfId="106" xr:uid="{00000000-0005-0000-0000-00005F010000}"/>
    <cellStyle name="20% - Accent1 2 3 2 2 3 6" xfId="36793" xr:uid="{00000000-0005-0000-0000-000060010000}"/>
    <cellStyle name="20% - Accent1 2 3 2 2 4" xfId="107" xr:uid="{00000000-0005-0000-0000-000061010000}"/>
    <cellStyle name="20% - Accent1 2 3 2 2 4 2" xfId="108" xr:uid="{00000000-0005-0000-0000-000062010000}"/>
    <cellStyle name="20% - Accent1 2 3 2 2 4 2 2" xfId="109" xr:uid="{00000000-0005-0000-0000-000063010000}"/>
    <cellStyle name="20% - Accent1 2 3 2 2 4 3" xfId="110" xr:uid="{00000000-0005-0000-0000-000064010000}"/>
    <cellStyle name="20% - Accent1 2 3 2 2 4 4" xfId="111" xr:uid="{00000000-0005-0000-0000-000065010000}"/>
    <cellStyle name="20% - Accent1 2 3 2 2 4 5" xfId="36795" xr:uid="{00000000-0005-0000-0000-000066010000}"/>
    <cellStyle name="20% - Accent1 2 3 2 2 5" xfId="112" xr:uid="{00000000-0005-0000-0000-000067010000}"/>
    <cellStyle name="20% - Accent1 2 3 2 2 5 2" xfId="113" xr:uid="{00000000-0005-0000-0000-000068010000}"/>
    <cellStyle name="20% - Accent1 2 3 2 2 5 2 2" xfId="114" xr:uid="{00000000-0005-0000-0000-000069010000}"/>
    <cellStyle name="20% - Accent1 2 3 2 2 5 3" xfId="115" xr:uid="{00000000-0005-0000-0000-00006A010000}"/>
    <cellStyle name="20% - Accent1 2 3 2 2 5 4" xfId="116" xr:uid="{00000000-0005-0000-0000-00006B010000}"/>
    <cellStyle name="20% - Accent1 2 3 2 2 6" xfId="117" xr:uid="{00000000-0005-0000-0000-00006C010000}"/>
    <cellStyle name="20% - Accent1 2 3 2 2 6 2" xfId="118" xr:uid="{00000000-0005-0000-0000-00006D010000}"/>
    <cellStyle name="20% - Accent1 2 3 2 2 6 2 2" xfId="119" xr:uid="{00000000-0005-0000-0000-00006E010000}"/>
    <cellStyle name="20% - Accent1 2 3 2 2 6 3" xfId="120" xr:uid="{00000000-0005-0000-0000-00006F010000}"/>
    <cellStyle name="20% - Accent1 2 3 2 2 6 4" xfId="121" xr:uid="{00000000-0005-0000-0000-000070010000}"/>
    <cellStyle name="20% - Accent1 2 3 2 2 7" xfId="122" xr:uid="{00000000-0005-0000-0000-000071010000}"/>
    <cellStyle name="20% - Accent1 2 3 2 2 7 2" xfId="123" xr:uid="{00000000-0005-0000-0000-000072010000}"/>
    <cellStyle name="20% - Accent1 2 3 2 2 8" xfId="124" xr:uid="{00000000-0005-0000-0000-000073010000}"/>
    <cellStyle name="20% - Accent1 2 3 2 2 9" xfId="125" xr:uid="{00000000-0005-0000-0000-000074010000}"/>
    <cellStyle name="20% - Accent1 2 3 2 3" xfId="126" xr:uid="{00000000-0005-0000-0000-000075010000}"/>
    <cellStyle name="20% - Accent1 2 3 2 3 2" xfId="127" xr:uid="{00000000-0005-0000-0000-000076010000}"/>
    <cellStyle name="20% - Accent1 2 3 2 3 2 2" xfId="128" xr:uid="{00000000-0005-0000-0000-000077010000}"/>
    <cellStyle name="20% - Accent1 2 3 2 3 2 2 2" xfId="129" xr:uid="{00000000-0005-0000-0000-000078010000}"/>
    <cellStyle name="20% - Accent1 2 3 2 3 2 3" xfId="130" xr:uid="{00000000-0005-0000-0000-000079010000}"/>
    <cellStyle name="20% - Accent1 2 3 2 3 2 4" xfId="131" xr:uid="{00000000-0005-0000-0000-00007A010000}"/>
    <cellStyle name="20% - Accent1 2 3 2 3 2 5" xfId="36797" xr:uid="{00000000-0005-0000-0000-00007B010000}"/>
    <cellStyle name="20% - Accent1 2 3 2 3 3" xfId="132" xr:uid="{00000000-0005-0000-0000-00007C010000}"/>
    <cellStyle name="20% - Accent1 2 3 2 3 3 2" xfId="133" xr:uid="{00000000-0005-0000-0000-00007D010000}"/>
    <cellStyle name="20% - Accent1 2 3 2 3 4" xfId="134" xr:uid="{00000000-0005-0000-0000-00007E010000}"/>
    <cellStyle name="20% - Accent1 2 3 2 3 5" xfId="135" xr:uid="{00000000-0005-0000-0000-00007F010000}"/>
    <cellStyle name="20% - Accent1 2 3 2 3 6" xfId="36796" xr:uid="{00000000-0005-0000-0000-000080010000}"/>
    <cellStyle name="20% - Accent1 2 3 2 4" xfId="136" xr:uid="{00000000-0005-0000-0000-000081010000}"/>
    <cellStyle name="20% - Accent1 2 3 2 4 2" xfId="137" xr:uid="{00000000-0005-0000-0000-000082010000}"/>
    <cellStyle name="20% - Accent1 2 3 2 4 2 2" xfId="138" xr:uid="{00000000-0005-0000-0000-000083010000}"/>
    <cellStyle name="20% - Accent1 2 3 2 4 2 2 2" xfId="139" xr:uid="{00000000-0005-0000-0000-000084010000}"/>
    <cellStyle name="20% - Accent1 2 3 2 4 2 3" xfId="140" xr:uid="{00000000-0005-0000-0000-000085010000}"/>
    <cellStyle name="20% - Accent1 2 3 2 4 2 4" xfId="141" xr:uid="{00000000-0005-0000-0000-000086010000}"/>
    <cellStyle name="20% - Accent1 2 3 2 4 2 5" xfId="36799" xr:uid="{00000000-0005-0000-0000-000087010000}"/>
    <cellStyle name="20% - Accent1 2 3 2 4 3" xfId="142" xr:uid="{00000000-0005-0000-0000-000088010000}"/>
    <cellStyle name="20% - Accent1 2 3 2 4 3 2" xfId="143" xr:uid="{00000000-0005-0000-0000-000089010000}"/>
    <cellStyle name="20% - Accent1 2 3 2 4 4" xfId="144" xr:uid="{00000000-0005-0000-0000-00008A010000}"/>
    <cellStyle name="20% - Accent1 2 3 2 4 5" xfId="145" xr:uid="{00000000-0005-0000-0000-00008B010000}"/>
    <cellStyle name="20% - Accent1 2 3 2 4 6" xfId="36798" xr:uid="{00000000-0005-0000-0000-00008C010000}"/>
    <cellStyle name="20% - Accent1 2 3 2 5" xfId="146" xr:uid="{00000000-0005-0000-0000-00008D010000}"/>
    <cellStyle name="20% - Accent1 2 3 2 5 2" xfId="147" xr:uid="{00000000-0005-0000-0000-00008E010000}"/>
    <cellStyle name="20% - Accent1 2 3 2 5 2 2" xfId="148" xr:uid="{00000000-0005-0000-0000-00008F010000}"/>
    <cellStyle name="20% - Accent1 2 3 2 5 3" xfId="149" xr:uid="{00000000-0005-0000-0000-000090010000}"/>
    <cellStyle name="20% - Accent1 2 3 2 5 4" xfId="150" xr:uid="{00000000-0005-0000-0000-000091010000}"/>
    <cellStyle name="20% - Accent1 2 3 2 5 5" xfId="36800" xr:uid="{00000000-0005-0000-0000-000092010000}"/>
    <cellStyle name="20% - Accent1 2 3 2 6" xfId="151" xr:uid="{00000000-0005-0000-0000-000093010000}"/>
    <cellStyle name="20% - Accent1 2 3 2 6 2" xfId="152" xr:uid="{00000000-0005-0000-0000-000094010000}"/>
    <cellStyle name="20% - Accent1 2 3 2 6 2 2" xfId="153" xr:uid="{00000000-0005-0000-0000-000095010000}"/>
    <cellStyle name="20% - Accent1 2 3 2 6 3" xfId="154" xr:uid="{00000000-0005-0000-0000-000096010000}"/>
    <cellStyle name="20% - Accent1 2 3 2 6 4" xfId="155" xr:uid="{00000000-0005-0000-0000-000097010000}"/>
    <cellStyle name="20% - Accent1 2 3 2 7" xfId="156" xr:uid="{00000000-0005-0000-0000-000098010000}"/>
    <cellStyle name="20% - Accent1 2 3 2 7 2" xfId="157" xr:uid="{00000000-0005-0000-0000-000099010000}"/>
    <cellStyle name="20% - Accent1 2 3 2 7 2 2" xfId="158" xr:uid="{00000000-0005-0000-0000-00009A010000}"/>
    <cellStyle name="20% - Accent1 2 3 2 7 3" xfId="159" xr:uid="{00000000-0005-0000-0000-00009B010000}"/>
    <cellStyle name="20% - Accent1 2 3 2 7 4" xfId="160" xr:uid="{00000000-0005-0000-0000-00009C010000}"/>
    <cellStyle name="20% - Accent1 2 3 2 8" xfId="161" xr:uid="{00000000-0005-0000-0000-00009D010000}"/>
    <cellStyle name="20% - Accent1 2 3 2 8 2" xfId="162" xr:uid="{00000000-0005-0000-0000-00009E010000}"/>
    <cellStyle name="20% - Accent1 2 3 2 9" xfId="163" xr:uid="{00000000-0005-0000-0000-00009F010000}"/>
    <cellStyle name="20% - Accent1 2 3 3" xfId="164" xr:uid="{00000000-0005-0000-0000-0000A0010000}"/>
    <cellStyle name="20% - Accent1 2 3 3 10" xfId="34471" xr:uid="{00000000-0005-0000-0000-0000A1010000}"/>
    <cellStyle name="20% - Accent1 2 3 3 2" xfId="165" xr:uid="{00000000-0005-0000-0000-0000A2010000}"/>
    <cellStyle name="20% - Accent1 2 3 3 2 2" xfId="166" xr:uid="{00000000-0005-0000-0000-0000A3010000}"/>
    <cellStyle name="20% - Accent1 2 3 3 2 2 2" xfId="167" xr:uid="{00000000-0005-0000-0000-0000A4010000}"/>
    <cellStyle name="20% - Accent1 2 3 3 2 2 2 2" xfId="168" xr:uid="{00000000-0005-0000-0000-0000A5010000}"/>
    <cellStyle name="20% - Accent1 2 3 3 2 2 3" xfId="169" xr:uid="{00000000-0005-0000-0000-0000A6010000}"/>
    <cellStyle name="20% - Accent1 2 3 3 2 2 4" xfId="170" xr:uid="{00000000-0005-0000-0000-0000A7010000}"/>
    <cellStyle name="20% - Accent1 2 3 3 2 2 5" xfId="36802" xr:uid="{00000000-0005-0000-0000-0000A8010000}"/>
    <cellStyle name="20% - Accent1 2 3 3 2 3" xfId="171" xr:uid="{00000000-0005-0000-0000-0000A9010000}"/>
    <cellStyle name="20% - Accent1 2 3 3 2 3 2" xfId="172" xr:uid="{00000000-0005-0000-0000-0000AA010000}"/>
    <cellStyle name="20% - Accent1 2 3 3 2 4" xfId="173" xr:uid="{00000000-0005-0000-0000-0000AB010000}"/>
    <cellStyle name="20% - Accent1 2 3 3 2 5" xfId="174" xr:uid="{00000000-0005-0000-0000-0000AC010000}"/>
    <cellStyle name="20% - Accent1 2 3 3 2 6" xfId="36801" xr:uid="{00000000-0005-0000-0000-0000AD010000}"/>
    <cellStyle name="20% - Accent1 2 3 3 3" xfId="175" xr:uid="{00000000-0005-0000-0000-0000AE010000}"/>
    <cellStyle name="20% - Accent1 2 3 3 3 2" xfId="176" xr:uid="{00000000-0005-0000-0000-0000AF010000}"/>
    <cellStyle name="20% - Accent1 2 3 3 3 2 2" xfId="177" xr:uid="{00000000-0005-0000-0000-0000B0010000}"/>
    <cellStyle name="20% - Accent1 2 3 3 3 2 2 2" xfId="178" xr:uid="{00000000-0005-0000-0000-0000B1010000}"/>
    <cellStyle name="20% - Accent1 2 3 3 3 2 3" xfId="179" xr:uid="{00000000-0005-0000-0000-0000B2010000}"/>
    <cellStyle name="20% - Accent1 2 3 3 3 2 4" xfId="180" xr:uid="{00000000-0005-0000-0000-0000B3010000}"/>
    <cellStyle name="20% - Accent1 2 3 3 3 2 5" xfId="36804" xr:uid="{00000000-0005-0000-0000-0000B4010000}"/>
    <cellStyle name="20% - Accent1 2 3 3 3 3" xfId="181" xr:uid="{00000000-0005-0000-0000-0000B5010000}"/>
    <cellStyle name="20% - Accent1 2 3 3 3 3 2" xfId="182" xr:uid="{00000000-0005-0000-0000-0000B6010000}"/>
    <cellStyle name="20% - Accent1 2 3 3 3 4" xfId="183" xr:uid="{00000000-0005-0000-0000-0000B7010000}"/>
    <cellStyle name="20% - Accent1 2 3 3 3 5" xfId="184" xr:uid="{00000000-0005-0000-0000-0000B8010000}"/>
    <cellStyle name="20% - Accent1 2 3 3 3 6" xfId="36803" xr:uid="{00000000-0005-0000-0000-0000B9010000}"/>
    <cellStyle name="20% - Accent1 2 3 3 4" xfId="185" xr:uid="{00000000-0005-0000-0000-0000BA010000}"/>
    <cellStyle name="20% - Accent1 2 3 3 4 2" xfId="186" xr:uid="{00000000-0005-0000-0000-0000BB010000}"/>
    <cellStyle name="20% - Accent1 2 3 3 4 2 2" xfId="187" xr:uid="{00000000-0005-0000-0000-0000BC010000}"/>
    <cellStyle name="20% - Accent1 2 3 3 4 3" xfId="188" xr:uid="{00000000-0005-0000-0000-0000BD010000}"/>
    <cellStyle name="20% - Accent1 2 3 3 4 4" xfId="189" xr:uid="{00000000-0005-0000-0000-0000BE010000}"/>
    <cellStyle name="20% - Accent1 2 3 3 4 5" xfId="36805" xr:uid="{00000000-0005-0000-0000-0000BF010000}"/>
    <cellStyle name="20% - Accent1 2 3 3 5" xfId="190" xr:uid="{00000000-0005-0000-0000-0000C0010000}"/>
    <cellStyle name="20% - Accent1 2 3 3 5 2" xfId="191" xr:uid="{00000000-0005-0000-0000-0000C1010000}"/>
    <cellStyle name="20% - Accent1 2 3 3 5 2 2" xfId="192" xr:uid="{00000000-0005-0000-0000-0000C2010000}"/>
    <cellStyle name="20% - Accent1 2 3 3 5 3" xfId="193" xr:uid="{00000000-0005-0000-0000-0000C3010000}"/>
    <cellStyle name="20% - Accent1 2 3 3 5 4" xfId="194" xr:uid="{00000000-0005-0000-0000-0000C4010000}"/>
    <cellStyle name="20% - Accent1 2 3 3 6" xfId="195" xr:uid="{00000000-0005-0000-0000-0000C5010000}"/>
    <cellStyle name="20% - Accent1 2 3 3 6 2" xfId="196" xr:uid="{00000000-0005-0000-0000-0000C6010000}"/>
    <cellStyle name="20% - Accent1 2 3 3 6 2 2" xfId="197" xr:uid="{00000000-0005-0000-0000-0000C7010000}"/>
    <cellStyle name="20% - Accent1 2 3 3 6 3" xfId="198" xr:uid="{00000000-0005-0000-0000-0000C8010000}"/>
    <cellStyle name="20% - Accent1 2 3 3 6 4" xfId="199" xr:uid="{00000000-0005-0000-0000-0000C9010000}"/>
    <cellStyle name="20% - Accent1 2 3 3 7" xfId="200" xr:uid="{00000000-0005-0000-0000-0000CA010000}"/>
    <cellStyle name="20% - Accent1 2 3 3 7 2" xfId="201" xr:uid="{00000000-0005-0000-0000-0000CB010000}"/>
    <cellStyle name="20% - Accent1 2 3 3 8" xfId="202" xr:uid="{00000000-0005-0000-0000-0000CC010000}"/>
    <cellStyle name="20% - Accent1 2 3 3 9" xfId="203" xr:uid="{00000000-0005-0000-0000-0000CD010000}"/>
    <cellStyle name="20% - Accent1 2 3 4" xfId="204" xr:uid="{00000000-0005-0000-0000-0000CE010000}"/>
    <cellStyle name="20% - Accent1 2 3 4 2" xfId="205" xr:uid="{00000000-0005-0000-0000-0000CF010000}"/>
    <cellStyle name="20% - Accent1 2 3 4 2 2" xfId="206" xr:uid="{00000000-0005-0000-0000-0000D0010000}"/>
    <cellStyle name="20% - Accent1 2 3 4 2 2 2" xfId="207" xr:uid="{00000000-0005-0000-0000-0000D1010000}"/>
    <cellStyle name="20% - Accent1 2 3 4 2 3" xfId="208" xr:uid="{00000000-0005-0000-0000-0000D2010000}"/>
    <cellStyle name="20% - Accent1 2 3 4 2 4" xfId="209" xr:uid="{00000000-0005-0000-0000-0000D3010000}"/>
    <cellStyle name="20% - Accent1 2 3 4 2 5" xfId="36807" xr:uid="{00000000-0005-0000-0000-0000D4010000}"/>
    <cellStyle name="20% - Accent1 2 3 4 3" xfId="210" xr:uid="{00000000-0005-0000-0000-0000D5010000}"/>
    <cellStyle name="20% - Accent1 2 3 4 4" xfId="211" xr:uid="{00000000-0005-0000-0000-0000D6010000}"/>
    <cellStyle name="20% - Accent1 2 3 4 4 2" xfId="212" xr:uid="{00000000-0005-0000-0000-0000D7010000}"/>
    <cellStyle name="20% - Accent1 2 3 4 5" xfId="213" xr:uid="{00000000-0005-0000-0000-0000D8010000}"/>
    <cellStyle name="20% - Accent1 2 3 4 6" xfId="214" xr:uid="{00000000-0005-0000-0000-0000D9010000}"/>
    <cellStyle name="20% - Accent1 2 3 4 7" xfId="36806" xr:uid="{00000000-0005-0000-0000-0000DA010000}"/>
    <cellStyle name="20% - Accent1 2 3 5" xfId="215" xr:uid="{00000000-0005-0000-0000-0000DB010000}"/>
    <cellStyle name="20% - Accent1 2 3 5 2" xfId="216" xr:uid="{00000000-0005-0000-0000-0000DC010000}"/>
    <cellStyle name="20% - Accent1 2 3 5 2 2" xfId="217" xr:uid="{00000000-0005-0000-0000-0000DD010000}"/>
    <cellStyle name="20% - Accent1 2 3 5 2 2 2" xfId="218" xr:uid="{00000000-0005-0000-0000-0000DE010000}"/>
    <cellStyle name="20% - Accent1 2 3 5 2 3" xfId="219" xr:uid="{00000000-0005-0000-0000-0000DF010000}"/>
    <cellStyle name="20% - Accent1 2 3 5 2 4" xfId="220" xr:uid="{00000000-0005-0000-0000-0000E0010000}"/>
    <cellStyle name="20% - Accent1 2 3 5 2 5" xfId="36809" xr:uid="{00000000-0005-0000-0000-0000E1010000}"/>
    <cellStyle name="20% - Accent1 2 3 5 3" xfId="221" xr:uid="{00000000-0005-0000-0000-0000E2010000}"/>
    <cellStyle name="20% - Accent1 2 3 5 3 2" xfId="222" xr:uid="{00000000-0005-0000-0000-0000E3010000}"/>
    <cellStyle name="20% - Accent1 2 3 5 4" xfId="223" xr:uid="{00000000-0005-0000-0000-0000E4010000}"/>
    <cellStyle name="20% - Accent1 2 3 5 5" xfId="224" xr:uid="{00000000-0005-0000-0000-0000E5010000}"/>
    <cellStyle name="20% - Accent1 2 3 5 6" xfId="36808" xr:uid="{00000000-0005-0000-0000-0000E6010000}"/>
    <cellStyle name="20% - Accent1 2 3 6" xfId="225" xr:uid="{00000000-0005-0000-0000-0000E7010000}"/>
    <cellStyle name="20% - Accent1 2 3 6 2" xfId="226" xr:uid="{00000000-0005-0000-0000-0000E8010000}"/>
    <cellStyle name="20% - Accent1 2 3 6 2 2" xfId="227" xr:uid="{00000000-0005-0000-0000-0000E9010000}"/>
    <cellStyle name="20% - Accent1 2 3 6 3" xfId="228" xr:uid="{00000000-0005-0000-0000-0000EA010000}"/>
    <cellStyle name="20% - Accent1 2 3 6 4" xfId="229" xr:uid="{00000000-0005-0000-0000-0000EB010000}"/>
    <cellStyle name="20% - Accent1 2 3 6 5" xfId="36810" xr:uid="{00000000-0005-0000-0000-0000EC010000}"/>
    <cellStyle name="20% - Accent1 2 3 7" xfId="230" xr:uid="{00000000-0005-0000-0000-0000ED010000}"/>
    <cellStyle name="20% - Accent1 2 3 7 2" xfId="231" xr:uid="{00000000-0005-0000-0000-0000EE010000}"/>
    <cellStyle name="20% - Accent1 2 3 7 2 2" xfId="232" xr:uid="{00000000-0005-0000-0000-0000EF010000}"/>
    <cellStyle name="20% - Accent1 2 3 7 3" xfId="233" xr:uid="{00000000-0005-0000-0000-0000F0010000}"/>
    <cellStyle name="20% - Accent1 2 3 7 4" xfId="234" xr:uid="{00000000-0005-0000-0000-0000F1010000}"/>
    <cellStyle name="20% - Accent1 2 3 8" xfId="235" xr:uid="{00000000-0005-0000-0000-0000F2010000}"/>
    <cellStyle name="20% - Accent1 2 3 8 2" xfId="236" xr:uid="{00000000-0005-0000-0000-0000F3010000}"/>
    <cellStyle name="20% - Accent1 2 3 8 2 2" xfId="237" xr:uid="{00000000-0005-0000-0000-0000F4010000}"/>
    <cellStyle name="20% - Accent1 2 3 8 3" xfId="238" xr:uid="{00000000-0005-0000-0000-0000F5010000}"/>
    <cellStyle name="20% - Accent1 2 3 8 4" xfId="239" xr:uid="{00000000-0005-0000-0000-0000F6010000}"/>
    <cellStyle name="20% - Accent1 2 3 9" xfId="240" xr:uid="{00000000-0005-0000-0000-0000F7010000}"/>
    <cellStyle name="20% - Accent1 2 3 9 2" xfId="241" xr:uid="{00000000-0005-0000-0000-0000F8010000}"/>
    <cellStyle name="20% - Accent1 2 4" xfId="242" xr:uid="{00000000-0005-0000-0000-0000F9010000}"/>
    <cellStyle name="20% - Accent1 2 4 10" xfId="243" xr:uid="{00000000-0005-0000-0000-0000FA010000}"/>
    <cellStyle name="20% - Accent1 2 4 11" xfId="34472" xr:uid="{00000000-0005-0000-0000-0000FB010000}"/>
    <cellStyle name="20% - Accent1 2 4 2" xfId="244" xr:uid="{00000000-0005-0000-0000-0000FC010000}"/>
    <cellStyle name="20% - Accent1 2 4 2 10" xfId="34473" xr:uid="{00000000-0005-0000-0000-0000FD010000}"/>
    <cellStyle name="20% - Accent1 2 4 2 2" xfId="245" xr:uid="{00000000-0005-0000-0000-0000FE010000}"/>
    <cellStyle name="20% - Accent1 2 4 2 2 2" xfId="246" xr:uid="{00000000-0005-0000-0000-0000FF010000}"/>
    <cellStyle name="20% - Accent1 2 4 2 2 2 2" xfId="247" xr:uid="{00000000-0005-0000-0000-000000020000}"/>
    <cellStyle name="20% - Accent1 2 4 2 2 2 2 2" xfId="248" xr:uid="{00000000-0005-0000-0000-000001020000}"/>
    <cellStyle name="20% - Accent1 2 4 2 2 2 3" xfId="249" xr:uid="{00000000-0005-0000-0000-000002020000}"/>
    <cellStyle name="20% - Accent1 2 4 2 2 2 4" xfId="250" xr:uid="{00000000-0005-0000-0000-000003020000}"/>
    <cellStyle name="20% - Accent1 2 4 2 2 2 5" xfId="36812" xr:uid="{00000000-0005-0000-0000-000004020000}"/>
    <cellStyle name="20% - Accent1 2 4 2 2 3" xfId="251" xr:uid="{00000000-0005-0000-0000-000005020000}"/>
    <cellStyle name="20% - Accent1 2 4 2 2 3 2" xfId="252" xr:uid="{00000000-0005-0000-0000-000006020000}"/>
    <cellStyle name="20% - Accent1 2 4 2 2 4" xfId="253" xr:uid="{00000000-0005-0000-0000-000007020000}"/>
    <cellStyle name="20% - Accent1 2 4 2 2 5" xfId="254" xr:uid="{00000000-0005-0000-0000-000008020000}"/>
    <cellStyle name="20% - Accent1 2 4 2 2 6" xfId="36811" xr:uid="{00000000-0005-0000-0000-000009020000}"/>
    <cellStyle name="20% - Accent1 2 4 2 3" xfId="255" xr:uid="{00000000-0005-0000-0000-00000A020000}"/>
    <cellStyle name="20% - Accent1 2 4 2 3 2" xfId="256" xr:uid="{00000000-0005-0000-0000-00000B020000}"/>
    <cellStyle name="20% - Accent1 2 4 2 3 2 2" xfId="257" xr:uid="{00000000-0005-0000-0000-00000C020000}"/>
    <cellStyle name="20% - Accent1 2 4 2 3 2 2 2" xfId="258" xr:uid="{00000000-0005-0000-0000-00000D020000}"/>
    <cellStyle name="20% - Accent1 2 4 2 3 2 3" xfId="259" xr:uid="{00000000-0005-0000-0000-00000E020000}"/>
    <cellStyle name="20% - Accent1 2 4 2 3 2 4" xfId="260" xr:uid="{00000000-0005-0000-0000-00000F020000}"/>
    <cellStyle name="20% - Accent1 2 4 2 3 2 5" xfId="36814" xr:uid="{00000000-0005-0000-0000-000010020000}"/>
    <cellStyle name="20% - Accent1 2 4 2 3 3" xfId="261" xr:uid="{00000000-0005-0000-0000-000011020000}"/>
    <cellStyle name="20% - Accent1 2 4 2 3 3 2" xfId="262" xr:uid="{00000000-0005-0000-0000-000012020000}"/>
    <cellStyle name="20% - Accent1 2 4 2 3 4" xfId="263" xr:uid="{00000000-0005-0000-0000-000013020000}"/>
    <cellStyle name="20% - Accent1 2 4 2 3 5" xfId="264" xr:uid="{00000000-0005-0000-0000-000014020000}"/>
    <cellStyle name="20% - Accent1 2 4 2 3 6" xfId="36813" xr:uid="{00000000-0005-0000-0000-000015020000}"/>
    <cellStyle name="20% - Accent1 2 4 2 4" xfId="265" xr:uid="{00000000-0005-0000-0000-000016020000}"/>
    <cellStyle name="20% - Accent1 2 4 2 4 2" xfId="266" xr:uid="{00000000-0005-0000-0000-000017020000}"/>
    <cellStyle name="20% - Accent1 2 4 2 4 2 2" xfId="267" xr:uid="{00000000-0005-0000-0000-000018020000}"/>
    <cellStyle name="20% - Accent1 2 4 2 4 3" xfId="268" xr:uid="{00000000-0005-0000-0000-000019020000}"/>
    <cellStyle name="20% - Accent1 2 4 2 4 4" xfId="269" xr:uid="{00000000-0005-0000-0000-00001A020000}"/>
    <cellStyle name="20% - Accent1 2 4 2 4 5" xfId="36815" xr:uid="{00000000-0005-0000-0000-00001B020000}"/>
    <cellStyle name="20% - Accent1 2 4 2 5" xfId="270" xr:uid="{00000000-0005-0000-0000-00001C020000}"/>
    <cellStyle name="20% - Accent1 2 4 2 5 2" xfId="271" xr:uid="{00000000-0005-0000-0000-00001D020000}"/>
    <cellStyle name="20% - Accent1 2 4 2 5 2 2" xfId="272" xr:uid="{00000000-0005-0000-0000-00001E020000}"/>
    <cellStyle name="20% - Accent1 2 4 2 5 3" xfId="273" xr:uid="{00000000-0005-0000-0000-00001F020000}"/>
    <cellStyle name="20% - Accent1 2 4 2 5 4" xfId="274" xr:uid="{00000000-0005-0000-0000-000020020000}"/>
    <cellStyle name="20% - Accent1 2 4 2 6" xfId="275" xr:uid="{00000000-0005-0000-0000-000021020000}"/>
    <cellStyle name="20% - Accent1 2 4 2 6 2" xfId="276" xr:uid="{00000000-0005-0000-0000-000022020000}"/>
    <cellStyle name="20% - Accent1 2 4 2 6 2 2" xfId="277" xr:uid="{00000000-0005-0000-0000-000023020000}"/>
    <cellStyle name="20% - Accent1 2 4 2 6 3" xfId="278" xr:uid="{00000000-0005-0000-0000-000024020000}"/>
    <cellStyle name="20% - Accent1 2 4 2 6 4" xfId="279" xr:uid="{00000000-0005-0000-0000-000025020000}"/>
    <cellStyle name="20% - Accent1 2 4 2 7" xfId="280" xr:uid="{00000000-0005-0000-0000-000026020000}"/>
    <cellStyle name="20% - Accent1 2 4 2 7 2" xfId="281" xr:uid="{00000000-0005-0000-0000-000027020000}"/>
    <cellStyle name="20% - Accent1 2 4 2 8" xfId="282" xr:uid="{00000000-0005-0000-0000-000028020000}"/>
    <cellStyle name="20% - Accent1 2 4 2 9" xfId="283" xr:uid="{00000000-0005-0000-0000-000029020000}"/>
    <cellStyle name="20% - Accent1 2 4 3" xfId="284" xr:uid="{00000000-0005-0000-0000-00002A020000}"/>
    <cellStyle name="20% - Accent1 2 4 3 2" xfId="285" xr:uid="{00000000-0005-0000-0000-00002B020000}"/>
    <cellStyle name="20% - Accent1 2 4 3 2 2" xfId="286" xr:uid="{00000000-0005-0000-0000-00002C020000}"/>
    <cellStyle name="20% - Accent1 2 4 3 2 2 2" xfId="287" xr:uid="{00000000-0005-0000-0000-00002D020000}"/>
    <cellStyle name="20% - Accent1 2 4 3 2 3" xfId="288" xr:uid="{00000000-0005-0000-0000-00002E020000}"/>
    <cellStyle name="20% - Accent1 2 4 3 2 4" xfId="289" xr:uid="{00000000-0005-0000-0000-00002F020000}"/>
    <cellStyle name="20% - Accent1 2 4 3 2 5" xfId="36817" xr:uid="{00000000-0005-0000-0000-000030020000}"/>
    <cellStyle name="20% - Accent1 2 4 3 3" xfId="290" xr:uid="{00000000-0005-0000-0000-000031020000}"/>
    <cellStyle name="20% - Accent1 2 4 3 3 2" xfId="291" xr:uid="{00000000-0005-0000-0000-000032020000}"/>
    <cellStyle name="20% - Accent1 2 4 3 4" xfId="292" xr:uid="{00000000-0005-0000-0000-000033020000}"/>
    <cellStyle name="20% - Accent1 2 4 3 5" xfId="293" xr:uid="{00000000-0005-0000-0000-000034020000}"/>
    <cellStyle name="20% - Accent1 2 4 3 6" xfId="36816" xr:uid="{00000000-0005-0000-0000-000035020000}"/>
    <cellStyle name="20% - Accent1 2 4 4" xfId="294" xr:uid="{00000000-0005-0000-0000-000036020000}"/>
    <cellStyle name="20% - Accent1 2 4 4 2" xfId="295" xr:uid="{00000000-0005-0000-0000-000037020000}"/>
    <cellStyle name="20% - Accent1 2 4 4 2 2" xfId="296" xr:uid="{00000000-0005-0000-0000-000038020000}"/>
    <cellStyle name="20% - Accent1 2 4 4 2 2 2" xfId="297" xr:uid="{00000000-0005-0000-0000-000039020000}"/>
    <cellStyle name="20% - Accent1 2 4 4 2 3" xfId="298" xr:uid="{00000000-0005-0000-0000-00003A020000}"/>
    <cellStyle name="20% - Accent1 2 4 4 2 4" xfId="299" xr:uid="{00000000-0005-0000-0000-00003B020000}"/>
    <cellStyle name="20% - Accent1 2 4 4 2 5" xfId="36819" xr:uid="{00000000-0005-0000-0000-00003C020000}"/>
    <cellStyle name="20% - Accent1 2 4 4 3" xfId="300" xr:uid="{00000000-0005-0000-0000-00003D020000}"/>
    <cellStyle name="20% - Accent1 2 4 4 3 2" xfId="301" xr:uid="{00000000-0005-0000-0000-00003E020000}"/>
    <cellStyle name="20% - Accent1 2 4 4 4" xfId="302" xr:uid="{00000000-0005-0000-0000-00003F020000}"/>
    <cellStyle name="20% - Accent1 2 4 4 5" xfId="303" xr:uid="{00000000-0005-0000-0000-000040020000}"/>
    <cellStyle name="20% - Accent1 2 4 4 6" xfId="36818" xr:uid="{00000000-0005-0000-0000-000041020000}"/>
    <cellStyle name="20% - Accent1 2 4 5" xfId="304" xr:uid="{00000000-0005-0000-0000-000042020000}"/>
    <cellStyle name="20% - Accent1 2 4 5 2" xfId="305" xr:uid="{00000000-0005-0000-0000-000043020000}"/>
    <cellStyle name="20% - Accent1 2 4 5 2 2" xfId="306" xr:uid="{00000000-0005-0000-0000-000044020000}"/>
    <cellStyle name="20% - Accent1 2 4 5 3" xfId="307" xr:uid="{00000000-0005-0000-0000-000045020000}"/>
    <cellStyle name="20% - Accent1 2 4 5 4" xfId="308" xr:uid="{00000000-0005-0000-0000-000046020000}"/>
    <cellStyle name="20% - Accent1 2 4 5 5" xfId="36820" xr:uid="{00000000-0005-0000-0000-000047020000}"/>
    <cellStyle name="20% - Accent1 2 4 6" xfId="309" xr:uid="{00000000-0005-0000-0000-000048020000}"/>
    <cellStyle name="20% - Accent1 2 4 6 2" xfId="310" xr:uid="{00000000-0005-0000-0000-000049020000}"/>
    <cellStyle name="20% - Accent1 2 4 6 2 2" xfId="311" xr:uid="{00000000-0005-0000-0000-00004A020000}"/>
    <cellStyle name="20% - Accent1 2 4 6 3" xfId="312" xr:uid="{00000000-0005-0000-0000-00004B020000}"/>
    <cellStyle name="20% - Accent1 2 4 6 4" xfId="313" xr:uid="{00000000-0005-0000-0000-00004C020000}"/>
    <cellStyle name="20% - Accent1 2 4 7" xfId="314" xr:uid="{00000000-0005-0000-0000-00004D020000}"/>
    <cellStyle name="20% - Accent1 2 4 7 2" xfId="315" xr:uid="{00000000-0005-0000-0000-00004E020000}"/>
    <cellStyle name="20% - Accent1 2 4 7 2 2" xfId="316" xr:uid="{00000000-0005-0000-0000-00004F020000}"/>
    <cellStyle name="20% - Accent1 2 4 7 3" xfId="317" xr:uid="{00000000-0005-0000-0000-000050020000}"/>
    <cellStyle name="20% - Accent1 2 4 7 4" xfId="318" xr:uid="{00000000-0005-0000-0000-000051020000}"/>
    <cellStyle name="20% - Accent1 2 4 8" xfId="319" xr:uid="{00000000-0005-0000-0000-000052020000}"/>
    <cellStyle name="20% - Accent1 2 4 8 2" xfId="320" xr:uid="{00000000-0005-0000-0000-000053020000}"/>
    <cellStyle name="20% - Accent1 2 4 9" xfId="321" xr:uid="{00000000-0005-0000-0000-000054020000}"/>
    <cellStyle name="20% - Accent1 2 5" xfId="322" xr:uid="{00000000-0005-0000-0000-000055020000}"/>
    <cellStyle name="20% - Accent1 2 5 10" xfId="34474" xr:uid="{00000000-0005-0000-0000-000056020000}"/>
    <cellStyle name="20% - Accent1 2 5 2" xfId="323" xr:uid="{00000000-0005-0000-0000-000057020000}"/>
    <cellStyle name="20% - Accent1 2 5 2 2" xfId="324" xr:uid="{00000000-0005-0000-0000-000058020000}"/>
    <cellStyle name="20% - Accent1 2 5 2 2 2" xfId="325" xr:uid="{00000000-0005-0000-0000-000059020000}"/>
    <cellStyle name="20% - Accent1 2 5 2 2 2 2" xfId="326" xr:uid="{00000000-0005-0000-0000-00005A020000}"/>
    <cellStyle name="20% - Accent1 2 5 2 2 3" xfId="327" xr:uid="{00000000-0005-0000-0000-00005B020000}"/>
    <cellStyle name="20% - Accent1 2 5 2 2 4" xfId="328" xr:uid="{00000000-0005-0000-0000-00005C020000}"/>
    <cellStyle name="20% - Accent1 2 5 2 2 5" xfId="36822" xr:uid="{00000000-0005-0000-0000-00005D020000}"/>
    <cellStyle name="20% - Accent1 2 5 2 3" xfId="329" xr:uid="{00000000-0005-0000-0000-00005E020000}"/>
    <cellStyle name="20% - Accent1 2 5 2 3 2" xfId="330" xr:uid="{00000000-0005-0000-0000-00005F020000}"/>
    <cellStyle name="20% - Accent1 2 5 2 4" xfId="331" xr:uid="{00000000-0005-0000-0000-000060020000}"/>
    <cellStyle name="20% - Accent1 2 5 2 5" xfId="332" xr:uid="{00000000-0005-0000-0000-000061020000}"/>
    <cellStyle name="20% - Accent1 2 5 2 6" xfId="36821" xr:uid="{00000000-0005-0000-0000-000062020000}"/>
    <cellStyle name="20% - Accent1 2 5 3" xfId="333" xr:uid="{00000000-0005-0000-0000-000063020000}"/>
    <cellStyle name="20% - Accent1 2 5 3 2" xfId="334" xr:uid="{00000000-0005-0000-0000-000064020000}"/>
    <cellStyle name="20% - Accent1 2 5 3 2 2" xfId="335" xr:uid="{00000000-0005-0000-0000-000065020000}"/>
    <cellStyle name="20% - Accent1 2 5 3 2 2 2" xfId="336" xr:uid="{00000000-0005-0000-0000-000066020000}"/>
    <cellStyle name="20% - Accent1 2 5 3 2 3" xfId="337" xr:uid="{00000000-0005-0000-0000-000067020000}"/>
    <cellStyle name="20% - Accent1 2 5 3 2 4" xfId="338" xr:uid="{00000000-0005-0000-0000-000068020000}"/>
    <cellStyle name="20% - Accent1 2 5 3 2 5" xfId="36824" xr:uid="{00000000-0005-0000-0000-000069020000}"/>
    <cellStyle name="20% - Accent1 2 5 3 3" xfId="339" xr:uid="{00000000-0005-0000-0000-00006A020000}"/>
    <cellStyle name="20% - Accent1 2 5 3 3 2" xfId="340" xr:uid="{00000000-0005-0000-0000-00006B020000}"/>
    <cellStyle name="20% - Accent1 2 5 3 4" xfId="341" xr:uid="{00000000-0005-0000-0000-00006C020000}"/>
    <cellStyle name="20% - Accent1 2 5 3 5" xfId="342" xr:uid="{00000000-0005-0000-0000-00006D020000}"/>
    <cellStyle name="20% - Accent1 2 5 3 6" xfId="36823" xr:uid="{00000000-0005-0000-0000-00006E020000}"/>
    <cellStyle name="20% - Accent1 2 5 4" xfId="343" xr:uid="{00000000-0005-0000-0000-00006F020000}"/>
    <cellStyle name="20% - Accent1 2 5 4 2" xfId="344" xr:uid="{00000000-0005-0000-0000-000070020000}"/>
    <cellStyle name="20% - Accent1 2 5 4 2 2" xfId="345" xr:uid="{00000000-0005-0000-0000-000071020000}"/>
    <cellStyle name="20% - Accent1 2 5 4 3" xfId="346" xr:uid="{00000000-0005-0000-0000-000072020000}"/>
    <cellStyle name="20% - Accent1 2 5 4 4" xfId="347" xr:uid="{00000000-0005-0000-0000-000073020000}"/>
    <cellStyle name="20% - Accent1 2 5 4 5" xfId="36825" xr:uid="{00000000-0005-0000-0000-000074020000}"/>
    <cellStyle name="20% - Accent1 2 5 5" xfId="348" xr:uid="{00000000-0005-0000-0000-000075020000}"/>
    <cellStyle name="20% - Accent1 2 5 5 2" xfId="349" xr:uid="{00000000-0005-0000-0000-000076020000}"/>
    <cellStyle name="20% - Accent1 2 5 5 2 2" xfId="350" xr:uid="{00000000-0005-0000-0000-000077020000}"/>
    <cellStyle name="20% - Accent1 2 5 5 3" xfId="351" xr:uid="{00000000-0005-0000-0000-000078020000}"/>
    <cellStyle name="20% - Accent1 2 5 5 4" xfId="352" xr:uid="{00000000-0005-0000-0000-000079020000}"/>
    <cellStyle name="20% - Accent1 2 5 6" xfId="353" xr:uid="{00000000-0005-0000-0000-00007A020000}"/>
    <cellStyle name="20% - Accent1 2 5 6 2" xfId="354" xr:uid="{00000000-0005-0000-0000-00007B020000}"/>
    <cellStyle name="20% - Accent1 2 5 6 2 2" xfId="355" xr:uid="{00000000-0005-0000-0000-00007C020000}"/>
    <cellStyle name="20% - Accent1 2 5 6 3" xfId="356" xr:uid="{00000000-0005-0000-0000-00007D020000}"/>
    <cellStyle name="20% - Accent1 2 5 6 4" xfId="357" xr:uid="{00000000-0005-0000-0000-00007E020000}"/>
    <cellStyle name="20% - Accent1 2 5 7" xfId="358" xr:uid="{00000000-0005-0000-0000-00007F020000}"/>
    <cellStyle name="20% - Accent1 2 5 7 2" xfId="359" xr:uid="{00000000-0005-0000-0000-000080020000}"/>
    <cellStyle name="20% - Accent1 2 5 8" xfId="360" xr:uid="{00000000-0005-0000-0000-000081020000}"/>
    <cellStyle name="20% - Accent1 2 5 9" xfId="361" xr:uid="{00000000-0005-0000-0000-000082020000}"/>
    <cellStyle name="20% - Accent1 2 6" xfId="362" xr:uid="{00000000-0005-0000-0000-000083020000}"/>
    <cellStyle name="20% - Accent1 2 7" xfId="363" xr:uid="{00000000-0005-0000-0000-000084020000}"/>
    <cellStyle name="20% - Accent1 2 8" xfId="364" xr:uid="{00000000-0005-0000-0000-000085020000}"/>
    <cellStyle name="20% - Accent1 2 8 2" xfId="365" xr:uid="{00000000-0005-0000-0000-000086020000}"/>
    <cellStyle name="20% - Accent1 2 8 3" xfId="34475" xr:uid="{00000000-0005-0000-0000-000087020000}"/>
    <cellStyle name="20% - Accent1 2 9" xfId="366" xr:uid="{00000000-0005-0000-0000-000088020000}"/>
    <cellStyle name="20% - Accent1 2 9 2" xfId="367" xr:uid="{00000000-0005-0000-0000-000089020000}"/>
    <cellStyle name="20% - Accent1 2 9 2 2" xfId="368" xr:uid="{00000000-0005-0000-0000-00008A020000}"/>
    <cellStyle name="20% - Accent1 2 9 2 2 2" xfId="369" xr:uid="{00000000-0005-0000-0000-00008B020000}"/>
    <cellStyle name="20% - Accent1 2 9 2 3" xfId="370" xr:uid="{00000000-0005-0000-0000-00008C020000}"/>
    <cellStyle name="20% - Accent1 2 9 2 4" xfId="371" xr:uid="{00000000-0005-0000-0000-00008D020000}"/>
    <cellStyle name="20% - Accent1 2 9 2 5" xfId="36827" xr:uid="{00000000-0005-0000-0000-00008E020000}"/>
    <cellStyle name="20% - Accent1 2 9 3" xfId="372" xr:uid="{00000000-0005-0000-0000-00008F020000}"/>
    <cellStyle name="20% - Accent1 2 9 4" xfId="373" xr:uid="{00000000-0005-0000-0000-000090020000}"/>
    <cellStyle name="20% - Accent1 2 9 4 2" xfId="374" xr:uid="{00000000-0005-0000-0000-000091020000}"/>
    <cellStyle name="20% - Accent1 2 9 5" xfId="375" xr:uid="{00000000-0005-0000-0000-000092020000}"/>
    <cellStyle name="20% - Accent1 2 9 6" xfId="376" xr:uid="{00000000-0005-0000-0000-000093020000}"/>
    <cellStyle name="20% - Accent1 2 9 7" xfId="36826" xr:uid="{00000000-0005-0000-0000-000094020000}"/>
    <cellStyle name="20% - Accent1 3" xfId="377" xr:uid="{00000000-0005-0000-0000-000095020000}"/>
    <cellStyle name="20% - Accent1 3 2" xfId="378" xr:uid="{00000000-0005-0000-0000-000096020000}"/>
    <cellStyle name="20% - Accent1 3 2 10" xfId="379" xr:uid="{00000000-0005-0000-0000-000097020000}"/>
    <cellStyle name="20% - Accent1 3 2 10 2" xfId="380" xr:uid="{00000000-0005-0000-0000-000098020000}"/>
    <cellStyle name="20% - Accent1 3 2 11" xfId="381" xr:uid="{00000000-0005-0000-0000-000099020000}"/>
    <cellStyle name="20% - Accent1 3 2 12" xfId="382" xr:uid="{00000000-0005-0000-0000-00009A020000}"/>
    <cellStyle name="20% - Accent1 3 2 13" xfId="34476" xr:uid="{00000000-0005-0000-0000-00009B020000}"/>
    <cellStyle name="20% - Accent1 3 2 2" xfId="383" xr:uid="{00000000-0005-0000-0000-00009C020000}"/>
    <cellStyle name="20% - Accent1 3 2 2 10" xfId="384" xr:uid="{00000000-0005-0000-0000-00009D020000}"/>
    <cellStyle name="20% - Accent1 3 2 2 11" xfId="385" xr:uid="{00000000-0005-0000-0000-00009E020000}"/>
    <cellStyle name="20% - Accent1 3 2 2 12" xfId="34477" xr:uid="{00000000-0005-0000-0000-00009F020000}"/>
    <cellStyle name="20% - Accent1 3 2 2 2" xfId="386" xr:uid="{00000000-0005-0000-0000-0000A0020000}"/>
    <cellStyle name="20% - Accent1 3 2 2 2 10" xfId="387" xr:uid="{00000000-0005-0000-0000-0000A1020000}"/>
    <cellStyle name="20% - Accent1 3 2 2 2 11" xfId="34478" xr:uid="{00000000-0005-0000-0000-0000A2020000}"/>
    <cellStyle name="20% - Accent1 3 2 2 2 2" xfId="388" xr:uid="{00000000-0005-0000-0000-0000A3020000}"/>
    <cellStyle name="20% - Accent1 3 2 2 2 2 10" xfId="34479" xr:uid="{00000000-0005-0000-0000-0000A4020000}"/>
    <cellStyle name="20% - Accent1 3 2 2 2 2 2" xfId="389" xr:uid="{00000000-0005-0000-0000-0000A5020000}"/>
    <cellStyle name="20% - Accent1 3 2 2 2 2 2 2" xfId="390" xr:uid="{00000000-0005-0000-0000-0000A6020000}"/>
    <cellStyle name="20% - Accent1 3 2 2 2 2 2 2 2" xfId="391" xr:uid="{00000000-0005-0000-0000-0000A7020000}"/>
    <cellStyle name="20% - Accent1 3 2 2 2 2 2 2 2 2" xfId="392" xr:uid="{00000000-0005-0000-0000-0000A8020000}"/>
    <cellStyle name="20% - Accent1 3 2 2 2 2 2 2 3" xfId="393" xr:uid="{00000000-0005-0000-0000-0000A9020000}"/>
    <cellStyle name="20% - Accent1 3 2 2 2 2 2 2 4" xfId="394" xr:uid="{00000000-0005-0000-0000-0000AA020000}"/>
    <cellStyle name="20% - Accent1 3 2 2 2 2 2 2 5" xfId="36829" xr:uid="{00000000-0005-0000-0000-0000AB020000}"/>
    <cellStyle name="20% - Accent1 3 2 2 2 2 2 3" xfId="395" xr:uid="{00000000-0005-0000-0000-0000AC020000}"/>
    <cellStyle name="20% - Accent1 3 2 2 2 2 2 3 2" xfId="396" xr:uid="{00000000-0005-0000-0000-0000AD020000}"/>
    <cellStyle name="20% - Accent1 3 2 2 2 2 2 4" xfId="397" xr:uid="{00000000-0005-0000-0000-0000AE020000}"/>
    <cellStyle name="20% - Accent1 3 2 2 2 2 2 5" xfId="398" xr:uid="{00000000-0005-0000-0000-0000AF020000}"/>
    <cellStyle name="20% - Accent1 3 2 2 2 2 2 6" xfId="36828" xr:uid="{00000000-0005-0000-0000-0000B0020000}"/>
    <cellStyle name="20% - Accent1 3 2 2 2 2 3" xfId="399" xr:uid="{00000000-0005-0000-0000-0000B1020000}"/>
    <cellStyle name="20% - Accent1 3 2 2 2 2 3 2" xfId="400" xr:uid="{00000000-0005-0000-0000-0000B2020000}"/>
    <cellStyle name="20% - Accent1 3 2 2 2 2 3 2 2" xfId="401" xr:uid="{00000000-0005-0000-0000-0000B3020000}"/>
    <cellStyle name="20% - Accent1 3 2 2 2 2 3 2 2 2" xfId="402" xr:uid="{00000000-0005-0000-0000-0000B4020000}"/>
    <cellStyle name="20% - Accent1 3 2 2 2 2 3 2 3" xfId="403" xr:uid="{00000000-0005-0000-0000-0000B5020000}"/>
    <cellStyle name="20% - Accent1 3 2 2 2 2 3 2 4" xfId="404" xr:uid="{00000000-0005-0000-0000-0000B6020000}"/>
    <cellStyle name="20% - Accent1 3 2 2 2 2 3 2 5" xfId="36831" xr:uid="{00000000-0005-0000-0000-0000B7020000}"/>
    <cellStyle name="20% - Accent1 3 2 2 2 2 3 3" xfId="405" xr:uid="{00000000-0005-0000-0000-0000B8020000}"/>
    <cellStyle name="20% - Accent1 3 2 2 2 2 3 3 2" xfId="406" xr:uid="{00000000-0005-0000-0000-0000B9020000}"/>
    <cellStyle name="20% - Accent1 3 2 2 2 2 3 4" xfId="407" xr:uid="{00000000-0005-0000-0000-0000BA020000}"/>
    <cellStyle name="20% - Accent1 3 2 2 2 2 3 5" xfId="408" xr:uid="{00000000-0005-0000-0000-0000BB020000}"/>
    <cellStyle name="20% - Accent1 3 2 2 2 2 3 6" xfId="36830" xr:uid="{00000000-0005-0000-0000-0000BC020000}"/>
    <cellStyle name="20% - Accent1 3 2 2 2 2 4" xfId="409" xr:uid="{00000000-0005-0000-0000-0000BD020000}"/>
    <cellStyle name="20% - Accent1 3 2 2 2 2 4 2" xfId="410" xr:uid="{00000000-0005-0000-0000-0000BE020000}"/>
    <cellStyle name="20% - Accent1 3 2 2 2 2 4 2 2" xfId="411" xr:uid="{00000000-0005-0000-0000-0000BF020000}"/>
    <cellStyle name="20% - Accent1 3 2 2 2 2 4 3" xfId="412" xr:uid="{00000000-0005-0000-0000-0000C0020000}"/>
    <cellStyle name="20% - Accent1 3 2 2 2 2 4 4" xfId="413" xr:uid="{00000000-0005-0000-0000-0000C1020000}"/>
    <cellStyle name="20% - Accent1 3 2 2 2 2 4 5" xfId="36832" xr:uid="{00000000-0005-0000-0000-0000C2020000}"/>
    <cellStyle name="20% - Accent1 3 2 2 2 2 5" xfId="414" xr:uid="{00000000-0005-0000-0000-0000C3020000}"/>
    <cellStyle name="20% - Accent1 3 2 2 2 2 5 2" xfId="415" xr:uid="{00000000-0005-0000-0000-0000C4020000}"/>
    <cellStyle name="20% - Accent1 3 2 2 2 2 5 2 2" xfId="416" xr:uid="{00000000-0005-0000-0000-0000C5020000}"/>
    <cellStyle name="20% - Accent1 3 2 2 2 2 5 3" xfId="417" xr:uid="{00000000-0005-0000-0000-0000C6020000}"/>
    <cellStyle name="20% - Accent1 3 2 2 2 2 5 4" xfId="418" xr:uid="{00000000-0005-0000-0000-0000C7020000}"/>
    <cellStyle name="20% - Accent1 3 2 2 2 2 6" xfId="419" xr:uid="{00000000-0005-0000-0000-0000C8020000}"/>
    <cellStyle name="20% - Accent1 3 2 2 2 2 6 2" xfId="420" xr:uid="{00000000-0005-0000-0000-0000C9020000}"/>
    <cellStyle name="20% - Accent1 3 2 2 2 2 6 2 2" xfId="421" xr:uid="{00000000-0005-0000-0000-0000CA020000}"/>
    <cellStyle name="20% - Accent1 3 2 2 2 2 6 3" xfId="422" xr:uid="{00000000-0005-0000-0000-0000CB020000}"/>
    <cellStyle name="20% - Accent1 3 2 2 2 2 6 4" xfId="423" xr:uid="{00000000-0005-0000-0000-0000CC020000}"/>
    <cellStyle name="20% - Accent1 3 2 2 2 2 7" xfId="424" xr:uid="{00000000-0005-0000-0000-0000CD020000}"/>
    <cellStyle name="20% - Accent1 3 2 2 2 2 7 2" xfId="425" xr:uid="{00000000-0005-0000-0000-0000CE020000}"/>
    <cellStyle name="20% - Accent1 3 2 2 2 2 8" xfId="426" xr:uid="{00000000-0005-0000-0000-0000CF020000}"/>
    <cellStyle name="20% - Accent1 3 2 2 2 2 9" xfId="427" xr:uid="{00000000-0005-0000-0000-0000D0020000}"/>
    <cellStyle name="20% - Accent1 3 2 2 2 3" xfId="428" xr:uid="{00000000-0005-0000-0000-0000D1020000}"/>
    <cellStyle name="20% - Accent1 3 2 2 2 3 2" xfId="429" xr:uid="{00000000-0005-0000-0000-0000D2020000}"/>
    <cellStyle name="20% - Accent1 3 2 2 2 3 2 2" xfId="430" xr:uid="{00000000-0005-0000-0000-0000D3020000}"/>
    <cellStyle name="20% - Accent1 3 2 2 2 3 2 2 2" xfId="431" xr:uid="{00000000-0005-0000-0000-0000D4020000}"/>
    <cellStyle name="20% - Accent1 3 2 2 2 3 2 3" xfId="432" xr:uid="{00000000-0005-0000-0000-0000D5020000}"/>
    <cellStyle name="20% - Accent1 3 2 2 2 3 2 4" xfId="433" xr:uid="{00000000-0005-0000-0000-0000D6020000}"/>
    <cellStyle name="20% - Accent1 3 2 2 2 3 2 5" xfId="36834" xr:uid="{00000000-0005-0000-0000-0000D7020000}"/>
    <cellStyle name="20% - Accent1 3 2 2 2 3 3" xfId="434" xr:uid="{00000000-0005-0000-0000-0000D8020000}"/>
    <cellStyle name="20% - Accent1 3 2 2 2 3 3 2" xfId="435" xr:uid="{00000000-0005-0000-0000-0000D9020000}"/>
    <cellStyle name="20% - Accent1 3 2 2 2 3 4" xfId="436" xr:uid="{00000000-0005-0000-0000-0000DA020000}"/>
    <cellStyle name="20% - Accent1 3 2 2 2 3 5" xfId="437" xr:uid="{00000000-0005-0000-0000-0000DB020000}"/>
    <cellStyle name="20% - Accent1 3 2 2 2 3 6" xfId="36833" xr:uid="{00000000-0005-0000-0000-0000DC020000}"/>
    <cellStyle name="20% - Accent1 3 2 2 2 4" xfId="438" xr:uid="{00000000-0005-0000-0000-0000DD020000}"/>
    <cellStyle name="20% - Accent1 3 2 2 2 4 2" xfId="439" xr:uid="{00000000-0005-0000-0000-0000DE020000}"/>
    <cellStyle name="20% - Accent1 3 2 2 2 4 2 2" xfId="440" xr:uid="{00000000-0005-0000-0000-0000DF020000}"/>
    <cellStyle name="20% - Accent1 3 2 2 2 4 2 2 2" xfId="441" xr:uid="{00000000-0005-0000-0000-0000E0020000}"/>
    <cellStyle name="20% - Accent1 3 2 2 2 4 2 3" xfId="442" xr:uid="{00000000-0005-0000-0000-0000E1020000}"/>
    <cellStyle name="20% - Accent1 3 2 2 2 4 2 4" xfId="443" xr:uid="{00000000-0005-0000-0000-0000E2020000}"/>
    <cellStyle name="20% - Accent1 3 2 2 2 4 2 5" xfId="36836" xr:uid="{00000000-0005-0000-0000-0000E3020000}"/>
    <cellStyle name="20% - Accent1 3 2 2 2 4 3" xfId="444" xr:uid="{00000000-0005-0000-0000-0000E4020000}"/>
    <cellStyle name="20% - Accent1 3 2 2 2 4 3 2" xfId="445" xr:uid="{00000000-0005-0000-0000-0000E5020000}"/>
    <cellStyle name="20% - Accent1 3 2 2 2 4 4" xfId="446" xr:uid="{00000000-0005-0000-0000-0000E6020000}"/>
    <cellStyle name="20% - Accent1 3 2 2 2 4 5" xfId="447" xr:uid="{00000000-0005-0000-0000-0000E7020000}"/>
    <cellStyle name="20% - Accent1 3 2 2 2 4 6" xfId="36835" xr:uid="{00000000-0005-0000-0000-0000E8020000}"/>
    <cellStyle name="20% - Accent1 3 2 2 2 5" xfId="448" xr:uid="{00000000-0005-0000-0000-0000E9020000}"/>
    <cellStyle name="20% - Accent1 3 2 2 2 5 2" xfId="449" xr:uid="{00000000-0005-0000-0000-0000EA020000}"/>
    <cellStyle name="20% - Accent1 3 2 2 2 5 2 2" xfId="450" xr:uid="{00000000-0005-0000-0000-0000EB020000}"/>
    <cellStyle name="20% - Accent1 3 2 2 2 5 3" xfId="451" xr:uid="{00000000-0005-0000-0000-0000EC020000}"/>
    <cellStyle name="20% - Accent1 3 2 2 2 5 4" xfId="452" xr:uid="{00000000-0005-0000-0000-0000ED020000}"/>
    <cellStyle name="20% - Accent1 3 2 2 2 5 5" xfId="36837" xr:uid="{00000000-0005-0000-0000-0000EE020000}"/>
    <cellStyle name="20% - Accent1 3 2 2 2 6" xfId="453" xr:uid="{00000000-0005-0000-0000-0000EF020000}"/>
    <cellStyle name="20% - Accent1 3 2 2 2 6 2" xfId="454" xr:uid="{00000000-0005-0000-0000-0000F0020000}"/>
    <cellStyle name="20% - Accent1 3 2 2 2 6 2 2" xfId="455" xr:uid="{00000000-0005-0000-0000-0000F1020000}"/>
    <cellStyle name="20% - Accent1 3 2 2 2 6 3" xfId="456" xr:uid="{00000000-0005-0000-0000-0000F2020000}"/>
    <cellStyle name="20% - Accent1 3 2 2 2 6 4" xfId="457" xr:uid="{00000000-0005-0000-0000-0000F3020000}"/>
    <cellStyle name="20% - Accent1 3 2 2 2 7" xfId="458" xr:uid="{00000000-0005-0000-0000-0000F4020000}"/>
    <cellStyle name="20% - Accent1 3 2 2 2 7 2" xfId="459" xr:uid="{00000000-0005-0000-0000-0000F5020000}"/>
    <cellStyle name="20% - Accent1 3 2 2 2 7 2 2" xfId="460" xr:uid="{00000000-0005-0000-0000-0000F6020000}"/>
    <cellStyle name="20% - Accent1 3 2 2 2 7 3" xfId="461" xr:uid="{00000000-0005-0000-0000-0000F7020000}"/>
    <cellStyle name="20% - Accent1 3 2 2 2 7 4" xfId="462" xr:uid="{00000000-0005-0000-0000-0000F8020000}"/>
    <cellStyle name="20% - Accent1 3 2 2 2 8" xfId="463" xr:uid="{00000000-0005-0000-0000-0000F9020000}"/>
    <cellStyle name="20% - Accent1 3 2 2 2 8 2" xfId="464" xr:uid="{00000000-0005-0000-0000-0000FA020000}"/>
    <cellStyle name="20% - Accent1 3 2 2 2 9" xfId="465" xr:uid="{00000000-0005-0000-0000-0000FB020000}"/>
    <cellStyle name="20% - Accent1 3 2 2 3" xfId="466" xr:uid="{00000000-0005-0000-0000-0000FC020000}"/>
    <cellStyle name="20% - Accent1 3 2 2 3 10" xfId="34480" xr:uid="{00000000-0005-0000-0000-0000FD020000}"/>
    <cellStyle name="20% - Accent1 3 2 2 3 2" xfId="467" xr:uid="{00000000-0005-0000-0000-0000FE020000}"/>
    <cellStyle name="20% - Accent1 3 2 2 3 2 2" xfId="468" xr:uid="{00000000-0005-0000-0000-0000FF020000}"/>
    <cellStyle name="20% - Accent1 3 2 2 3 2 2 2" xfId="469" xr:uid="{00000000-0005-0000-0000-000000030000}"/>
    <cellStyle name="20% - Accent1 3 2 2 3 2 2 2 2" xfId="470" xr:uid="{00000000-0005-0000-0000-000001030000}"/>
    <cellStyle name="20% - Accent1 3 2 2 3 2 2 3" xfId="471" xr:uid="{00000000-0005-0000-0000-000002030000}"/>
    <cellStyle name="20% - Accent1 3 2 2 3 2 2 4" xfId="472" xr:uid="{00000000-0005-0000-0000-000003030000}"/>
    <cellStyle name="20% - Accent1 3 2 2 3 2 2 5" xfId="36839" xr:uid="{00000000-0005-0000-0000-000004030000}"/>
    <cellStyle name="20% - Accent1 3 2 2 3 2 3" xfId="473" xr:uid="{00000000-0005-0000-0000-000005030000}"/>
    <cellStyle name="20% - Accent1 3 2 2 3 2 3 2" xfId="474" xr:uid="{00000000-0005-0000-0000-000006030000}"/>
    <cellStyle name="20% - Accent1 3 2 2 3 2 4" xfId="475" xr:uid="{00000000-0005-0000-0000-000007030000}"/>
    <cellStyle name="20% - Accent1 3 2 2 3 2 5" xfId="476" xr:uid="{00000000-0005-0000-0000-000008030000}"/>
    <cellStyle name="20% - Accent1 3 2 2 3 2 6" xfId="36838" xr:uid="{00000000-0005-0000-0000-000009030000}"/>
    <cellStyle name="20% - Accent1 3 2 2 3 3" xfId="477" xr:uid="{00000000-0005-0000-0000-00000A030000}"/>
    <cellStyle name="20% - Accent1 3 2 2 3 3 2" xfId="478" xr:uid="{00000000-0005-0000-0000-00000B030000}"/>
    <cellStyle name="20% - Accent1 3 2 2 3 3 2 2" xfId="479" xr:uid="{00000000-0005-0000-0000-00000C030000}"/>
    <cellStyle name="20% - Accent1 3 2 2 3 3 2 2 2" xfId="480" xr:uid="{00000000-0005-0000-0000-00000D030000}"/>
    <cellStyle name="20% - Accent1 3 2 2 3 3 2 3" xfId="481" xr:uid="{00000000-0005-0000-0000-00000E030000}"/>
    <cellStyle name="20% - Accent1 3 2 2 3 3 2 4" xfId="482" xr:uid="{00000000-0005-0000-0000-00000F030000}"/>
    <cellStyle name="20% - Accent1 3 2 2 3 3 2 5" xfId="36841" xr:uid="{00000000-0005-0000-0000-000010030000}"/>
    <cellStyle name="20% - Accent1 3 2 2 3 3 3" xfId="483" xr:uid="{00000000-0005-0000-0000-000011030000}"/>
    <cellStyle name="20% - Accent1 3 2 2 3 3 3 2" xfId="484" xr:uid="{00000000-0005-0000-0000-000012030000}"/>
    <cellStyle name="20% - Accent1 3 2 2 3 3 4" xfId="485" xr:uid="{00000000-0005-0000-0000-000013030000}"/>
    <cellStyle name="20% - Accent1 3 2 2 3 3 5" xfId="486" xr:uid="{00000000-0005-0000-0000-000014030000}"/>
    <cellStyle name="20% - Accent1 3 2 2 3 3 6" xfId="36840" xr:uid="{00000000-0005-0000-0000-000015030000}"/>
    <cellStyle name="20% - Accent1 3 2 2 3 4" xfId="487" xr:uid="{00000000-0005-0000-0000-000016030000}"/>
    <cellStyle name="20% - Accent1 3 2 2 3 4 2" xfId="488" xr:uid="{00000000-0005-0000-0000-000017030000}"/>
    <cellStyle name="20% - Accent1 3 2 2 3 4 2 2" xfId="489" xr:uid="{00000000-0005-0000-0000-000018030000}"/>
    <cellStyle name="20% - Accent1 3 2 2 3 4 3" xfId="490" xr:uid="{00000000-0005-0000-0000-000019030000}"/>
    <cellStyle name="20% - Accent1 3 2 2 3 4 4" xfId="491" xr:uid="{00000000-0005-0000-0000-00001A030000}"/>
    <cellStyle name="20% - Accent1 3 2 2 3 4 5" xfId="36842" xr:uid="{00000000-0005-0000-0000-00001B030000}"/>
    <cellStyle name="20% - Accent1 3 2 2 3 5" xfId="492" xr:uid="{00000000-0005-0000-0000-00001C030000}"/>
    <cellStyle name="20% - Accent1 3 2 2 3 5 2" xfId="493" xr:uid="{00000000-0005-0000-0000-00001D030000}"/>
    <cellStyle name="20% - Accent1 3 2 2 3 5 2 2" xfId="494" xr:uid="{00000000-0005-0000-0000-00001E030000}"/>
    <cellStyle name="20% - Accent1 3 2 2 3 5 3" xfId="495" xr:uid="{00000000-0005-0000-0000-00001F030000}"/>
    <cellStyle name="20% - Accent1 3 2 2 3 5 4" xfId="496" xr:uid="{00000000-0005-0000-0000-000020030000}"/>
    <cellStyle name="20% - Accent1 3 2 2 3 6" xfId="497" xr:uid="{00000000-0005-0000-0000-000021030000}"/>
    <cellStyle name="20% - Accent1 3 2 2 3 6 2" xfId="498" xr:uid="{00000000-0005-0000-0000-000022030000}"/>
    <cellStyle name="20% - Accent1 3 2 2 3 6 2 2" xfId="499" xr:uid="{00000000-0005-0000-0000-000023030000}"/>
    <cellStyle name="20% - Accent1 3 2 2 3 6 3" xfId="500" xr:uid="{00000000-0005-0000-0000-000024030000}"/>
    <cellStyle name="20% - Accent1 3 2 2 3 6 4" xfId="501" xr:uid="{00000000-0005-0000-0000-000025030000}"/>
    <cellStyle name="20% - Accent1 3 2 2 3 7" xfId="502" xr:uid="{00000000-0005-0000-0000-000026030000}"/>
    <cellStyle name="20% - Accent1 3 2 2 3 7 2" xfId="503" xr:uid="{00000000-0005-0000-0000-000027030000}"/>
    <cellStyle name="20% - Accent1 3 2 2 3 8" xfId="504" xr:uid="{00000000-0005-0000-0000-000028030000}"/>
    <cellStyle name="20% - Accent1 3 2 2 3 9" xfId="505" xr:uid="{00000000-0005-0000-0000-000029030000}"/>
    <cellStyle name="20% - Accent1 3 2 2 4" xfId="506" xr:uid="{00000000-0005-0000-0000-00002A030000}"/>
    <cellStyle name="20% - Accent1 3 2 2 4 2" xfId="507" xr:uid="{00000000-0005-0000-0000-00002B030000}"/>
    <cellStyle name="20% - Accent1 3 2 2 4 2 2" xfId="508" xr:uid="{00000000-0005-0000-0000-00002C030000}"/>
    <cellStyle name="20% - Accent1 3 2 2 4 2 2 2" xfId="509" xr:uid="{00000000-0005-0000-0000-00002D030000}"/>
    <cellStyle name="20% - Accent1 3 2 2 4 2 3" xfId="510" xr:uid="{00000000-0005-0000-0000-00002E030000}"/>
    <cellStyle name="20% - Accent1 3 2 2 4 2 4" xfId="511" xr:uid="{00000000-0005-0000-0000-00002F030000}"/>
    <cellStyle name="20% - Accent1 3 2 2 4 2 5" xfId="36844" xr:uid="{00000000-0005-0000-0000-000030030000}"/>
    <cellStyle name="20% - Accent1 3 2 2 4 3" xfId="512" xr:uid="{00000000-0005-0000-0000-000031030000}"/>
    <cellStyle name="20% - Accent1 3 2 2 4 3 2" xfId="513" xr:uid="{00000000-0005-0000-0000-000032030000}"/>
    <cellStyle name="20% - Accent1 3 2 2 4 4" xfId="514" xr:uid="{00000000-0005-0000-0000-000033030000}"/>
    <cellStyle name="20% - Accent1 3 2 2 4 5" xfId="515" xr:uid="{00000000-0005-0000-0000-000034030000}"/>
    <cellStyle name="20% - Accent1 3 2 2 4 6" xfId="36843" xr:uid="{00000000-0005-0000-0000-000035030000}"/>
    <cellStyle name="20% - Accent1 3 2 2 5" xfId="516" xr:uid="{00000000-0005-0000-0000-000036030000}"/>
    <cellStyle name="20% - Accent1 3 2 2 5 2" xfId="517" xr:uid="{00000000-0005-0000-0000-000037030000}"/>
    <cellStyle name="20% - Accent1 3 2 2 5 2 2" xfId="518" xr:uid="{00000000-0005-0000-0000-000038030000}"/>
    <cellStyle name="20% - Accent1 3 2 2 5 2 2 2" xfId="519" xr:uid="{00000000-0005-0000-0000-000039030000}"/>
    <cellStyle name="20% - Accent1 3 2 2 5 2 3" xfId="520" xr:uid="{00000000-0005-0000-0000-00003A030000}"/>
    <cellStyle name="20% - Accent1 3 2 2 5 2 4" xfId="521" xr:uid="{00000000-0005-0000-0000-00003B030000}"/>
    <cellStyle name="20% - Accent1 3 2 2 5 2 5" xfId="36846" xr:uid="{00000000-0005-0000-0000-00003C030000}"/>
    <cellStyle name="20% - Accent1 3 2 2 5 3" xfId="522" xr:uid="{00000000-0005-0000-0000-00003D030000}"/>
    <cellStyle name="20% - Accent1 3 2 2 5 3 2" xfId="523" xr:uid="{00000000-0005-0000-0000-00003E030000}"/>
    <cellStyle name="20% - Accent1 3 2 2 5 4" xfId="524" xr:uid="{00000000-0005-0000-0000-00003F030000}"/>
    <cellStyle name="20% - Accent1 3 2 2 5 5" xfId="525" xr:uid="{00000000-0005-0000-0000-000040030000}"/>
    <cellStyle name="20% - Accent1 3 2 2 5 6" xfId="36845" xr:uid="{00000000-0005-0000-0000-000041030000}"/>
    <cellStyle name="20% - Accent1 3 2 2 6" xfId="526" xr:uid="{00000000-0005-0000-0000-000042030000}"/>
    <cellStyle name="20% - Accent1 3 2 2 6 2" xfId="527" xr:uid="{00000000-0005-0000-0000-000043030000}"/>
    <cellStyle name="20% - Accent1 3 2 2 6 2 2" xfId="528" xr:uid="{00000000-0005-0000-0000-000044030000}"/>
    <cellStyle name="20% - Accent1 3 2 2 6 3" xfId="529" xr:uid="{00000000-0005-0000-0000-000045030000}"/>
    <cellStyle name="20% - Accent1 3 2 2 6 4" xfId="530" xr:uid="{00000000-0005-0000-0000-000046030000}"/>
    <cellStyle name="20% - Accent1 3 2 2 6 5" xfId="36847" xr:uid="{00000000-0005-0000-0000-000047030000}"/>
    <cellStyle name="20% - Accent1 3 2 2 7" xfId="531" xr:uid="{00000000-0005-0000-0000-000048030000}"/>
    <cellStyle name="20% - Accent1 3 2 2 7 2" xfId="532" xr:uid="{00000000-0005-0000-0000-000049030000}"/>
    <cellStyle name="20% - Accent1 3 2 2 7 2 2" xfId="533" xr:uid="{00000000-0005-0000-0000-00004A030000}"/>
    <cellStyle name="20% - Accent1 3 2 2 7 3" xfId="534" xr:uid="{00000000-0005-0000-0000-00004B030000}"/>
    <cellStyle name="20% - Accent1 3 2 2 7 4" xfId="535" xr:uid="{00000000-0005-0000-0000-00004C030000}"/>
    <cellStyle name="20% - Accent1 3 2 2 8" xfId="536" xr:uid="{00000000-0005-0000-0000-00004D030000}"/>
    <cellStyle name="20% - Accent1 3 2 2 8 2" xfId="537" xr:uid="{00000000-0005-0000-0000-00004E030000}"/>
    <cellStyle name="20% - Accent1 3 2 2 8 2 2" xfId="538" xr:uid="{00000000-0005-0000-0000-00004F030000}"/>
    <cellStyle name="20% - Accent1 3 2 2 8 3" xfId="539" xr:uid="{00000000-0005-0000-0000-000050030000}"/>
    <cellStyle name="20% - Accent1 3 2 2 8 4" xfId="540" xr:uid="{00000000-0005-0000-0000-000051030000}"/>
    <cellStyle name="20% - Accent1 3 2 2 9" xfId="541" xr:uid="{00000000-0005-0000-0000-000052030000}"/>
    <cellStyle name="20% - Accent1 3 2 2 9 2" xfId="542" xr:uid="{00000000-0005-0000-0000-000053030000}"/>
    <cellStyle name="20% - Accent1 3 2 3" xfId="543" xr:uid="{00000000-0005-0000-0000-000054030000}"/>
    <cellStyle name="20% - Accent1 3 2 3 10" xfId="544" xr:uid="{00000000-0005-0000-0000-000055030000}"/>
    <cellStyle name="20% - Accent1 3 2 3 11" xfId="34481" xr:uid="{00000000-0005-0000-0000-000056030000}"/>
    <cellStyle name="20% - Accent1 3 2 3 2" xfId="545" xr:uid="{00000000-0005-0000-0000-000057030000}"/>
    <cellStyle name="20% - Accent1 3 2 3 2 10" xfId="34482" xr:uid="{00000000-0005-0000-0000-000058030000}"/>
    <cellStyle name="20% - Accent1 3 2 3 2 2" xfId="546" xr:uid="{00000000-0005-0000-0000-000059030000}"/>
    <cellStyle name="20% - Accent1 3 2 3 2 2 2" xfId="547" xr:uid="{00000000-0005-0000-0000-00005A030000}"/>
    <cellStyle name="20% - Accent1 3 2 3 2 2 2 2" xfId="548" xr:uid="{00000000-0005-0000-0000-00005B030000}"/>
    <cellStyle name="20% - Accent1 3 2 3 2 2 2 2 2" xfId="549" xr:uid="{00000000-0005-0000-0000-00005C030000}"/>
    <cellStyle name="20% - Accent1 3 2 3 2 2 2 3" xfId="550" xr:uid="{00000000-0005-0000-0000-00005D030000}"/>
    <cellStyle name="20% - Accent1 3 2 3 2 2 2 4" xfId="551" xr:uid="{00000000-0005-0000-0000-00005E030000}"/>
    <cellStyle name="20% - Accent1 3 2 3 2 2 2 5" xfId="36849" xr:uid="{00000000-0005-0000-0000-00005F030000}"/>
    <cellStyle name="20% - Accent1 3 2 3 2 2 3" xfId="552" xr:uid="{00000000-0005-0000-0000-000060030000}"/>
    <cellStyle name="20% - Accent1 3 2 3 2 2 3 2" xfId="553" xr:uid="{00000000-0005-0000-0000-000061030000}"/>
    <cellStyle name="20% - Accent1 3 2 3 2 2 4" xfId="554" xr:uid="{00000000-0005-0000-0000-000062030000}"/>
    <cellStyle name="20% - Accent1 3 2 3 2 2 5" xfId="555" xr:uid="{00000000-0005-0000-0000-000063030000}"/>
    <cellStyle name="20% - Accent1 3 2 3 2 2 6" xfId="36848" xr:uid="{00000000-0005-0000-0000-000064030000}"/>
    <cellStyle name="20% - Accent1 3 2 3 2 3" xfId="556" xr:uid="{00000000-0005-0000-0000-000065030000}"/>
    <cellStyle name="20% - Accent1 3 2 3 2 3 2" xfId="557" xr:uid="{00000000-0005-0000-0000-000066030000}"/>
    <cellStyle name="20% - Accent1 3 2 3 2 3 2 2" xfId="558" xr:uid="{00000000-0005-0000-0000-000067030000}"/>
    <cellStyle name="20% - Accent1 3 2 3 2 3 2 2 2" xfId="559" xr:uid="{00000000-0005-0000-0000-000068030000}"/>
    <cellStyle name="20% - Accent1 3 2 3 2 3 2 3" xfId="560" xr:uid="{00000000-0005-0000-0000-000069030000}"/>
    <cellStyle name="20% - Accent1 3 2 3 2 3 2 4" xfId="561" xr:uid="{00000000-0005-0000-0000-00006A030000}"/>
    <cellStyle name="20% - Accent1 3 2 3 2 3 2 5" xfId="36851" xr:uid="{00000000-0005-0000-0000-00006B030000}"/>
    <cellStyle name="20% - Accent1 3 2 3 2 3 3" xfId="562" xr:uid="{00000000-0005-0000-0000-00006C030000}"/>
    <cellStyle name="20% - Accent1 3 2 3 2 3 3 2" xfId="563" xr:uid="{00000000-0005-0000-0000-00006D030000}"/>
    <cellStyle name="20% - Accent1 3 2 3 2 3 4" xfId="564" xr:uid="{00000000-0005-0000-0000-00006E030000}"/>
    <cellStyle name="20% - Accent1 3 2 3 2 3 5" xfId="565" xr:uid="{00000000-0005-0000-0000-00006F030000}"/>
    <cellStyle name="20% - Accent1 3 2 3 2 3 6" xfId="36850" xr:uid="{00000000-0005-0000-0000-000070030000}"/>
    <cellStyle name="20% - Accent1 3 2 3 2 4" xfId="566" xr:uid="{00000000-0005-0000-0000-000071030000}"/>
    <cellStyle name="20% - Accent1 3 2 3 2 4 2" xfId="567" xr:uid="{00000000-0005-0000-0000-000072030000}"/>
    <cellStyle name="20% - Accent1 3 2 3 2 4 2 2" xfId="568" xr:uid="{00000000-0005-0000-0000-000073030000}"/>
    <cellStyle name="20% - Accent1 3 2 3 2 4 3" xfId="569" xr:uid="{00000000-0005-0000-0000-000074030000}"/>
    <cellStyle name="20% - Accent1 3 2 3 2 4 4" xfId="570" xr:uid="{00000000-0005-0000-0000-000075030000}"/>
    <cellStyle name="20% - Accent1 3 2 3 2 4 5" xfId="36852" xr:uid="{00000000-0005-0000-0000-000076030000}"/>
    <cellStyle name="20% - Accent1 3 2 3 2 5" xfId="571" xr:uid="{00000000-0005-0000-0000-000077030000}"/>
    <cellStyle name="20% - Accent1 3 2 3 2 5 2" xfId="572" xr:uid="{00000000-0005-0000-0000-000078030000}"/>
    <cellStyle name="20% - Accent1 3 2 3 2 5 2 2" xfId="573" xr:uid="{00000000-0005-0000-0000-000079030000}"/>
    <cellStyle name="20% - Accent1 3 2 3 2 5 3" xfId="574" xr:uid="{00000000-0005-0000-0000-00007A030000}"/>
    <cellStyle name="20% - Accent1 3 2 3 2 5 4" xfId="575" xr:uid="{00000000-0005-0000-0000-00007B030000}"/>
    <cellStyle name="20% - Accent1 3 2 3 2 6" xfId="576" xr:uid="{00000000-0005-0000-0000-00007C030000}"/>
    <cellStyle name="20% - Accent1 3 2 3 2 6 2" xfId="577" xr:uid="{00000000-0005-0000-0000-00007D030000}"/>
    <cellStyle name="20% - Accent1 3 2 3 2 6 2 2" xfId="578" xr:uid="{00000000-0005-0000-0000-00007E030000}"/>
    <cellStyle name="20% - Accent1 3 2 3 2 6 3" xfId="579" xr:uid="{00000000-0005-0000-0000-00007F030000}"/>
    <cellStyle name="20% - Accent1 3 2 3 2 6 4" xfId="580" xr:uid="{00000000-0005-0000-0000-000080030000}"/>
    <cellStyle name="20% - Accent1 3 2 3 2 7" xfId="581" xr:uid="{00000000-0005-0000-0000-000081030000}"/>
    <cellStyle name="20% - Accent1 3 2 3 2 7 2" xfId="582" xr:uid="{00000000-0005-0000-0000-000082030000}"/>
    <cellStyle name="20% - Accent1 3 2 3 2 8" xfId="583" xr:uid="{00000000-0005-0000-0000-000083030000}"/>
    <cellStyle name="20% - Accent1 3 2 3 2 9" xfId="584" xr:uid="{00000000-0005-0000-0000-000084030000}"/>
    <cellStyle name="20% - Accent1 3 2 3 3" xfId="585" xr:uid="{00000000-0005-0000-0000-000085030000}"/>
    <cellStyle name="20% - Accent1 3 2 3 3 2" xfId="586" xr:uid="{00000000-0005-0000-0000-000086030000}"/>
    <cellStyle name="20% - Accent1 3 2 3 3 2 2" xfId="587" xr:uid="{00000000-0005-0000-0000-000087030000}"/>
    <cellStyle name="20% - Accent1 3 2 3 3 2 2 2" xfId="588" xr:uid="{00000000-0005-0000-0000-000088030000}"/>
    <cellStyle name="20% - Accent1 3 2 3 3 2 3" xfId="589" xr:uid="{00000000-0005-0000-0000-000089030000}"/>
    <cellStyle name="20% - Accent1 3 2 3 3 2 4" xfId="590" xr:uid="{00000000-0005-0000-0000-00008A030000}"/>
    <cellStyle name="20% - Accent1 3 2 3 3 2 5" xfId="36854" xr:uid="{00000000-0005-0000-0000-00008B030000}"/>
    <cellStyle name="20% - Accent1 3 2 3 3 3" xfId="591" xr:uid="{00000000-0005-0000-0000-00008C030000}"/>
    <cellStyle name="20% - Accent1 3 2 3 3 3 2" xfId="592" xr:uid="{00000000-0005-0000-0000-00008D030000}"/>
    <cellStyle name="20% - Accent1 3 2 3 3 4" xfId="593" xr:uid="{00000000-0005-0000-0000-00008E030000}"/>
    <cellStyle name="20% - Accent1 3 2 3 3 5" xfId="594" xr:uid="{00000000-0005-0000-0000-00008F030000}"/>
    <cellStyle name="20% - Accent1 3 2 3 3 6" xfId="36853" xr:uid="{00000000-0005-0000-0000-000090030000}"/>
    <cellStyle name="20% - Accent1 3 2 3 4" xfId="595" xr:uid="{00000000-0005-0000-0000-000091030000}"/>
    <cellStyle name="20% - Accent1 3 2 3 4 2" xfId="596" xr:uid="{00000000-0005-0000-0000-000092030000}"/>
    <cellStyle name="20% - Accent1 3 2 3 4 2 2" xfId="597" xr:uid="{00000000-0005-0000-0000-000093030000}"/>
    <cellStyle name="20% - Accent1 3 2 3 4 2 2 2" xfId="598" xr:uid="{00000000-0005-0000-0000-000094030000}"/>
    <cellStyle name="20% - Accent1 3 2 3 4 2 3" xfId="599" xr:uid="{00000000-0005-0000-0000-000095030000}"/>
    <cellStyle name="20% - Accent1 3 2 3 4 2 4" xfId="600" xr:uid="{00000000-0005-0000-0000-000096030000}"/>
    <cellStyle name="20% - Accent1 3 2 3 4 2 5" xfId="36856" xr:uid="{00000000-0005-0000-0000-000097030000}"/>
    <cellStyle name="20% - Accent1 3 2 3 4 3" xfId="601" xr:uid="{00000000-0005-0000-0000-000098030000}"/>
    <cellStyle name="20% - Accent1 3 2 3 4 3 2" xfId="602" xr:uid="{00000000-0005-0000-0000-000099030000}"/>
    <cellStyle name="20% - Accent1 3 2 3 4 4" xfId="603" xr:uid="{00000000-0005-0000-0000-00009A030000}"/>
    <cellStyle name="20% - Accent1 3 2 3 4 5" xfId="604" xr:uid="{00000000-0005-0000-0000-00009B030000}"/>
    <cellStyle name="20% - Accent1 3 2 3 4 6" xfId="36855" xr:uid="{00000000-0005-0000-0000-00009C030000}"/>
    <cellStyle name="20% - Accent1 3 2 3 5" xfId="605" xr:uid="{00000000-0005-0000-0000-00009D030000}"/>
    <cellStyle name="20% - Accent1 3 2 3 5 2" xfId="606" xr:uid="{00000000-0005-0000-0000-00009E030000}"/>
    <cellStyle name="20% - Accent1 3 2 3 5 2 2" xfId="607" xr:uid="{00000000-0005-0000-0000-00009F030000}"/>
    <cellStyle name="20% - Accent1 3 2 3 5 3" xfId="608" xr:uid="{00000000-0005-0000-0000-0000A0030000}"/>
    <cellStyle name="20% - Accent1 3 2 3 5 4" xfId="609" xr:uid="{00000000-0005-0000-0000-0000A1030000}"/>
    <cellStyle name="20% - Accent1 3 2 3 5 5" xfId="36857" xr:uid="{00000000-0005-0000-0000-0000A2030000}"/>
    <cellStyle name="20% - Accent1 3 2 3 6" xfId="610" xr:uid="{00000000-0005-0000-0000-0000A3030000}"/>
    <cellStyle name="20% - Accent1 3 2 3 6 2" xfId="611" xr:uid="{00000000-0005-0000-0000-0000A4030000}"/>
    <cellStyle name="20% - Accent1 3 2 3 6 2 2" xfId="612" xr:uid="{00000000-0005-0000-0000-0000A5030000}"/>
    <cellStyle name="20% - Accent1 3 2 3 6 3" xfId="613" xr:uid="{00000000-0005-0000-0000-0000A6030000}"/>
    <cellStyle name="20% - Accent1 3 2 3 6 4" xfId="614" xr:uid="{00000000-0005-0000-0000-0000A7030000}"/>
    <cellStyle name="20% - Accent1 3 2 3 7" xfId="615" xr:uid="{00000000-0005-0000-0000-0000A8030000}"/>
    <cellStyle name="20% - Accent1 3 2 3 7 2" xfId="616" xr:uid="{00000000-0005-0000-0000-0000A9030000}"/>
    <cellStyle name="20% - Accent1 3 2 3 7 2 2" xfId="617" xr:uid="{00000000-0005-0000-0000-0000AA030000}"/>
    <cellStyle name="20% - Accent1 3 2 3 7 3" xfId="618" xr:uid="{00000000-0005-0000-0000-0000AB030000}"/>
    <cellStyle name="20% - Accent1 3 2 3 7 4" xfId="619" xr:uid="{00000000-0005-0000-0000-0000AC030000}"/>
    <cellStyle name="20% - Accent1 3 2 3 8" xfId="620" xr:uid="{00000000-0005-0000-0000-0000AD030000}"/>
    <cellStyle name="20% - Accent1 3 2 3 8 2" xfId="621" xr:uid="{00000000-0005-0000-0000-0000AE030000}"/>
    <cellStyle name="20% - Accent1 3 2 3 9" xfId="622" xr:uid="{00000000-0005-0000-0000-0000AF030000}"/>
    <cellStyle name="20% - Accent1 3 2 4" xfId="623" xr:uid="{00000000-0005-0000-0000-0000B0030000}"/>
    <cellStyle name="20% - Accent1 3 2 4 10" xfId="34483" xr:uid="{00000000-0005-0000-0000-0000B1030000}"/>
    <cellStyle name="20% - Accent1 3 2 4 2" xfId="624" xr:uid="{00000000-0005-0000-0000-0000B2030000}"/>
    <cellStyle name="20% - Accent1 3 2 4 2 2" xfId="625" xr:uid="{00000000-0005-0000-0000-0000B3030000}"/>
    <cellStyle name="20% - Accent1 3 2 4 2 2 2" xfId="626" xr:uid="{00000000-0005-0000-0000-0000B4030000}"/>
    <cellStyle name="20% - Accent1 3 2 4 2 2 2 2" xfId="627" xr:uid="{00000000-0005-0000-0000-0000B5030000}"/>
    <cellStyle name="20% - Accent1 3 2 4 2 2 3" xfId="628" xr:uid="{00000000-0005-0000-0000-0000B6030000}"/>
    <cellStyle name="20% - Accent1 3 2 4 2 2 4" xfId="629" xr:uid="{00000000-0005-0000-0000-0000B7030000}"/>
    <cellStyle name="20% - Accent1 3 2 4 2 2 5" xfId="36859" xr:uid="{00000000-0005-0000-0000-0000B8030000}"/>
    <cellStyle name="20% - Accent1 3 2 4 2 3" xfId="630" xr:uid="{00000000-0005-0000-0000-0000B9030000}"/>
    <cellStyle name="20% - Accent1 3 2 4 2 3 2" xfId="631" xr:uid="{00000000-0005-0000-0000-0000BA030000}"/>
    <cellStyle name="20% - Accent1 3 2 4 2 4" xfId="632" xr:uid="{00000000-0005-0000-0000-0000BB030000}"/>
    <cellStyle name="20% - Accent1 3 2 4 2 5" xfId="633" xr:uid="{00000000-0005-0000-0000-0000BC030000}"/>
    <cellStyle name="20% - Accent1 3 2 4 2 6" xfId="36858" xr:uid="{00000000-0005-0000-0000-0000BD030000}"/>
    <cellStyle name="20% - Accent1 3 2 4 3" xfId="634" xr:uid="{00000000-0005-0000-0000-0000BE030000}"/>
    <cellStyle name="20% - Accent1 3 2 4 3 2" xfId="635" xr:uid="{00000000-0005-0000-0000-0000BF030000}"/>
    <cellStyle name="20% - Accent1 3 2 4 3 2 2" xfId="636" xr:uid="{00000000-0005-0000-0000-0000C0030000}"/>
    <cellStyle name="20% - Accent1 3 2 4 3 2 2 2" xfId="637" xr:uid="{00000000-0005-0000-0000-0000C1030000}"/>
    <cellStyle name="20% - Accent1 3 2 4 3 2 3" xfId="638" xr:uid="{00000000-0005-0000-0000-0000C2030000}"/>
    <cellStyle name="20% - Accent1 3 2 4 3 2 4" xfId="639" xr:uid="{00000000-0005-0000-0000-0000C3030000}"/>
    <cellStyle name="20% - Accent1 3 2 4 3 2 5" xfId="36861" xr:uid="{00000000-0005-0000-0000-0000C4030000}"/>
    <cellStyle name="20% - Accent1 3 2 4 3 3" xfId="640" xr:uid="{00000000-0005-0000-0000-0000C5030000}"/>
    <cellStyle name="20% - Accent1 3 2 4 3 3 2" xfId="641" xr:uid="{00000000-0005-0000-0000-0000C6030000}"/>
    <cellStyle name="20% - Accent1 3 2 4 3 4" xfId="642" xr:uid="{00000000-0005-0000-0000-0000C7030000}"/>
    <cellStyle name="20% - Accent1 3 2 4 3 5" xfId="643" xr:uid="{00000000-0005-0000-0000-0000C8030000}"/>
    <cellStyle name="20% - Accent1 3 2 4 3 6" xfId="36860" xr:uid="{00000000-0005-0000-0000-0000C9030000}"/>
    <cellStyle name="20% - Accent1 3 2 4 4" xfId="644" xr:uid="{00000000-0005-0000-0000-0000CA030000}"/>
    <cellStyle name="20% - Accent1 3 2 4 4 2" xfId="645" xr:uid="{00000000-0005-0000-0000-0000CB030000}"/>
    <cellStyle name="20% - Accent1 3 2 4 4 2 2" xfId="646" xr:uid="{00000000-0005-0000-0000-0000CC030000}"/>
    <cellStyle name="20% - Accent1 3 2 4 4 3" xfId="647" xr:uid="{00000000-0005-0000-0000-0000CD030000}"/>
    <cellStyle name="20% - Accent1 3 2 4 4 4" xfId="648" xr:uid="{00000000-0005-0000-0000-0000CE030000}"/>
    <cellStyle name="20% - Accent1 3 2 4 4 5" xfId="36862" xr:uid="{00000000-0005-0000-0000-0000CF030000}"/>
    <cellStyle name="20% - Accent1 3 2 4 5" xfId="649" xr:uid="{00000000-0005-0000-0000-0000D0030000}"/>
    <cellStyle name="20% - Accent1 3 2 4 5 2" xfId="650" xr:uid="{00000000-0005-0000-0000-0000D1030000}"/>
    <cellStyle name="20% - Accent1 3 2 4 5 2 2" xfId="651" xr:uid="{00000000-0005-0000-0000-0000D2030000}"/>
    <cellStyle name="20% - Accent1 3 2 4 5 3" xfId="652" xr:uid="{00000000-0005-0000-0000-0000D3030000}"/>
    <cellStyle name="20% - Accent1 3 2 4 5 4" xfId="653" xr:uid="{00000000-0005-0000-0000-0000D4030000}"/>
    <cellStyle name="20% - Accent1 3 2 4 6" xfId="654" xr:uid="{00000000-0005-0000-0000-0000D5030000}"/>
    <cellStyle name="20% - Accent1 3 2 4 6 2" xfId="655" xr:uid="{00000000-0005-0000-0000-0000D6030000}"/>
    <cellStyle name="20% - Accent1 3 2 4 6 2 2" xfId="656" xr:uid="{00000000-0005-0000-0000-0000D7030000}"/>
    <cellStyle name="20% - Accent1 3 2 4 6 3" xfId="657" xr:uid="{00000000-0005-0000-0000-0000D8030000}"/>
    <cellStyle name="20% - Accent1 3 2 4 6 4" xfId="658" xr:uid="{00000000-0005-0000-0000-0000D9030000}"/>
    <cellStyle name="20% - Accent1 3 2 4 7" xfId="659" xr:uid="{00000000-0005-0000-0000-0000DA030000}"/>
    <cellStyle name="20% - Accent1 3 2 4 7 2" xfId="660" xr:uid="{00000000-0005-0000-0000-0000DB030000}"/>
    <cellStyle name="20% - Accent1 3 2 4 8" xfId="661" xr:uid="{00000000-0005-0000-0000-0000DC030000}"/>
    <cellStyle name="20% - Accent1 3 2 4 9" xfId="662" xr:uid="{00000000-0005-0000-0000-0000DD030000}"/>
    <cellStyle name="20% - Accent1 3 2 5" xfId="663" xr:uid="{00000000-0005-0000-0000-0000DE030000}"/>
    <cellStyle name="20% - Accent1 3 2 5 2" xfId="664" xr:uid="{00000000-0005-0000-0000-0000DF030000}"/>
    <cellStyle name="20% - Accent1 3 2 5 2 2" xfId="665" xr:uid="{00000000-0005-0000-0000-0000E0030000}"/>
    <cellStyle name="20% - Accent1 3 2 5 2 2 2" xfId="666" xr:uid="{00000000-0005-0000-0000-0000E1030000}"/>
    <cellStyle name="20% - Accent1 3 2 5 2 3" xfId="667" xr:uid="{00000000-0005-0000-0000-0000E2030000}"/>
    <cellStyle name="20% - Accent1 3 2 5 2 4" xfId="668" xr:uid="{00000000-0005-0000-0000-0000E3030000}"/>
    <cellStyle name="20% - Accent1 3 2 5 2 5" xfId="36864" xr:uid="{00000000-0005-0000-0000-0000E4030000}"/>
    <cellStyle name="20% - Accent1 3 2 5 3" xfId="669" xr:uid="{00000000-0005-0000-0000-0000E5030000}"/>
    <cellStyle name="20% - Accent1 3 2 5 3 2" xfId="670" xr:uid="{00000000-0005-0000-0000-0000E6030000}"/>
    <cellStyle name="20% - Accent1 3 2 5 4" xfId="671" xr:uid="{00000000-0005-0000-0000-0000E7030000}"/>
    <cellStyle name="20% - Accent1 3 2 5 5" xfId="672" xr:uid="{00000000-0005-0000-0000-0000E8030000}"/>
    <cellStyle name="20% - Accent1 3 2 5 6" xfId="36863" xr:uid="{00000000-0005-0000-0000-0000E9030000}"/>
    <cellStyle name="20% - Accent1 3 2 6" xfId="673" xr:uid="{00000000-0005-0000-0000-0000EA030000}"/>
    <cellStyle name="20% - Accent1 3 2 6 2" xfId="674" xr:uid="{00000000-0005-0000-0000-0000EB030000}"/>
    <cellStyle name="20% - Accent1 3 2 6 2 2" xfId="675" xr:uid="{00000000-0005-0000-0000-0000EC030000}"/>
    <cellStyle name="20% - Accent1 3 2 6 2 2 2" xfId="676" xr:uid="{00000000-0005-0000-0000-0000ED030000}"/>
    <cellStyle name="20% - Accent1 3 2 6 2 3" xfId="677" xr:uid="{00000000-0005-0000-0000-0000EE030000}"/>
    <cellStyle name="20% - Accent1 3 2 6 2 4" xfId="678" xr:uid="{00000000-0005-0000-0000-0000EF030000}"/>
    <cellStyle name="20% - Accent1 3 2 6 2 5" xfId="36866" xr:uid="{00000000-0005-0000-0000-0000F0030000}"/>
    <cellStyle name="20% - Accent1 3 2 6 3" xfId="679" xr:uid="{00000000-0005-0000-0000-0000F1030000}"/>
    <cellStyle name="20% - Accent1 3 2 6 3 2" xfId="680" xr:uid="{00000000-0005-0000-0000-0000F2030000}"/>
    <cellStyle name="20% - Accent1 3 2 6 4" xfId="681" xr:uid="{00000000-0005-0000-0000-0000F3030000}"/>
    <cellStyle name="20% - Accent1 3 2 6 5" xfId="682" xr:uid="{00000000-0005-0000-0000-0000F4030000}"/>
    <cellStyle name="20% - Accent1 3 2 6 6" xfId="36865" xr:uid="{00000000-0005-0000-0000-0000F5030000}"/>
    <cellStyle name="20% - Accent1 3 2 7" xfId="683" xr:uid="{00000000-0005-0000-0000-0000F6030000}"/>
    <cellStyle name="20% - Accent1 3 2 7 2" xfId="684" xr:uid="{00000000-0005-0000-0000-0000F7030000}"/>
    <cellStyle name="20% - Accent1 3 2 7 2 2" xfId="685" xr:uid="{00000000-0005-0000-0000-0000F8030000}"/>
    <cellStyle name="20% - Accent1 3 2 7 3" xfId="686" xr:uid="{00000000-0005-0000-0000-0000F9030000}"/>
    <cellStyle name="20% - Accent1 3 2 7 4" xfId="687" xr:uid="{00000000-0005-0000-0000-0000FA030000}"/>
    <cellStyle name="20% - Accent1 3 2 7 5" xfId="36867" xr:uid="{00000000-0005-0000-0000-0000FB030000}"/>
    <cellStyle name="20% - Accent1 3 2 8" xfId="688" xr:uid="{00000000-0005-0000-0000-0000FC030000}"/>
    <cellStyle name="20% - Accent1 3 2 8 2" xfId="689" xr:uid="{00000000-0005-0000-0000-0000FD030000}"/>
    <cellStyle name="20% - Accent1 3 2 8 2 2" xfId="690" xr:uid="{00000000-0005-0000-0000-0000FE030000}"/>
    <cellStyle name="20% - Accent1 3 2 8 3" xfId="691" xr:uid="{00000000-0005-0000-0000-0000FF030000}"/>
    <cellStyle name="20% - Accent1 3 2 8 4" xfId="692" xr:uid="{00000000-0005-0000-0000-000000040000}"/>
    <cellStyle name="20% - Accent1 3 2 9" xfId="693" xr:uid="{00000000-0005-0000-0000-000001040000}"/>
    <cellStyle name="20% - Accent1 3 2 9 2" xfId="694" xr:uid="{00000000-0005-0000-0000-000002040000}"/>
    <cellStyle name="20% - Accent1 3 2 9 2 2" xfId="695" xr:uid="{00000000-0005-0000-0000-000003040000}"/>
    <cellStyle name="20% - Accent1 3 2 9 3" xfId="696" xr:uid="{00000000-0005-0000-0000-000004040000}"/>
    <cellStyle name="20% - Accent1 3 2 9 4" xfId="697" xr:uid="{00000000-0005-0000-0000-000005040000}"/>
    <cellStyle name="20% - Accent1 3 3" xfId="698" xr:uid="{00000000-0005-0000-0000-000006040000}"/>
    <cellStyle name="20% - Accent1 3 4" xfId="699" xr:uid="{00000000-0005-0000-0000-000007040000}"/>
    <cellStyle name="20% - Accent1 3 5" xfId="700" xr:uid="{00000000-0005-0000-0000-000008040000}"/>
    <cellStyle name="20% - Accent1 3 6" xfId="42211" xr:uid="{7E153697-A123-429F-A7EC-D1CC06E3BF9D}"/>
    <cellStyle name="20% - Accent1 4" xfId="701" xr:uid="{00000000-0005-0000-0000-000009040000}"/>
    <cellStyle name="20% - Accent1 4 10" xfId="702" xr:uid="{00000000-0005-0000-0000-00000A040000}"/>
    <cellStyle name="20% - Accent1 4 10 2" xfId="703" xr:uid="{00000000-0005-0000-0000-00000B040000}"/>
    <cellStyle name="20% - Accent1 4 11" xfId="704" xr:uid="{00000000-0005-0000-0000-00000C040000}"/>
    <cellStyle name="20% - Accent1 4 12" xfId="705" xr:uid="{00000000-0005-0000-0000-00000D040000}"/>
    <cellStyle name="20% - Accent1 4 13" xfId="34484" xr:uid="{00000000-0005-0000-0000-00000E040000}"/>
    <cellStyle name="20% - Accent1 4 2" xfId="706" xr:uid="{00000000-0005-0000-0000-00000F040000}"/>
    <cellStyle name="20% - Accent1 4 2 10" xfId="707" xr:uid="{00000000-0005-0000-0000-000010040000}"/>
    <cellStyle name="20% - Accent1 4 2 11" xfId="708" xr:uid="{00000000-0005-0000-0000-000011040000}"/>
    <cellStyle name="20% - Accent1 4 2 12" xfId="34485" xr:uid="{00000000-0005-0000-0000-000012040000}"/>
    <cellStyle name="20% - Accent1 4 2 2" xfId="709" xr:uid="{00000000-0005-0000-0000-000013040000}"/>
    <cellStyle name="20% - Accent1 4 2 2 10" xfId="710" xr:uid="{00000000-0005-0000-0000-000014040000}"/>
    <cellStyle name="20% - Accent1 4 2 2 11" xfId="34486" xr:uid="{00000000-0005-0000-0000-000015040000}"/>
    <cellStyle name="20% - Accent1 4 2 2 2" xfId="711" xr:uid="{00000000-0005-0000-0000-000016040000}"/>
    <cellStyle name="20% - Accent1 4 2 2 2 10" xfId="34487" xr:uid="{00000000-0005-0000-0000-000017040000}"/>
    <cellStyle name="20% - Accent1 4 2 2 2 2" xfId="712" xr:uid="{00000000-0005-0000-0000-000018040000}"/>
    <cellStyle name="20% - Accent1 4 2 2 2 2 2" xfId="713" xr:uid="{00000000-0005-0000-0000-000019040000}"/>
    <cellStyle name="20% - Accent1 4 2 2 2 2 2 2" xfId="714" xr:uid="{00000000-0005-0000-0000-00001A040000}"/>
    <cellStyle name="20% - Accent1 4 2 2 2 2 2 2 2" xfId="715" xr:uid="{00000000-0005-0000-0000-00001B040000}"/>
    <cellStyle name="20% - Accent1 4 2 2 2 2 2 3" xfId="716" xr:uid="{00000000-0005-0000-0000-00001C040000}"/>
    <cellStyle name="20% - Accent1 4 2 2 2 2 2 4" xfId="717" xr:uid="{00000000-0005-0000-0000-00001D040000}"/>
    <cellStyle name="20% - Accent1 4 2 2 2 2 2 5" xfId="36869" xr:uid="{00000000-0005-0000-0000-00001E040000}"/>
    <cellStyle name="20% - Accent1 4 2 2 2 2 3" xfId="718" xr:uid="{00000000-0005-0000-0000-00001F040000}"/>
    <cellStyle name="20% - Accent1 4 2 2 2 2 3 2" xfId="719" xr:uid="{00000000-0005-0000-0000-000020040000}"/>
    <cellStyle name="20% - Accent1 4 2 2 2 2 4" xfId="720" xr:uid="{00000000-0005-0000-0000-000021040000}"/>
    <cellStyle name="20% - Accent1 4 2 2 2 2 5" xfId="721" xr:uid="{00000000-0005-0000-0000-000022040000}"/>
    <cellStyle name="20% - Accent1 4 2 2 2 2 6" xfId="36868" xr:uid="{00000000-0005-0000-0000-000023040000}"/>
    <cellStyle name="20% - Accent1 4 2 2 2 3" xfId="722" xr:uid="{00000000-0005-0000-0000-000024040000}"/>
    <cellStyle name="20% - Accent1 4 2 2 2 3 2" xfId="723" xr:uid="{00000000-0005-0000-0000-000025040000}"/>
    <cellStyle name="20% - Accent1 4 2 2 2 3 2 2" xfId="724" xr:uid="{00000000-0005-0000-0000-000026040000}"/>
    <cellStyle name="20% - Accent1 4 2 2 2 3 2 2 2" xfId="725" xr:uid="{00000000-0005-0000-0000-000027040000}"/>
    <cellStyle name="20% - Accent1 4 2 2 2 3 2 3" xfId="726" xr:uid="{00000000-0005-0000-0000-000028040000}"/>
    <cellStyle name="20% - Accent1 4 2 2 2 3 2 4" xfId="727" xr:uid="{00000000-0005-0000-0000-000029040000}"/>
    <cellStyle name="20% - Accent1 4 2 2 2 3 2 5" xfId="36871" xr:uid="{00000000-0005-0000-0000-00002A040000}"/>
    <cellStyle name="20% - Accent1 4 2 2 2 3 3" xfId="728" xr:uid="{00000000-0005-0000-0000-00002B040000}"/>
    <cellStyle name="20% - Accent1 4 2 2 2 3 3 2" xfId="729" xr:uid="{00000000-0005-0000-0000-00002C040000}"/>
    <cellStyle name="20% - Accent1 4 2 2 2 3 4" xfId="730" xr:uid="{00000000-0005-0000-0000-00002D040000}"/>
    <cellStyle name="20% - Accent1 4 2 2 2 3 5" xfId="731" xr:uid="{00000000-0005-0000-0000-00002E040000}"/>
    <cellStyle name="20% - Accent1 4 2 2 2 3 6" xfId="36870" xr:uid="{00000000-0005-0000-0000-00002F040000}"/>
    <cellStyle name="20% - Accent1 4 2 2 2 4" xfId="732" xr:uid="{00000000-0005-0000-0000-000030040000}"/>
    <cellStyle name="20% - Accent1 4 2 2 2 4 2" xfId="733" xr:uid="{00000000-0005-0000-0000-000031040000}"/>
    <cellStyle name="20% - Accent1 4 2 2 2 4 2 2" xfId="734" xr:uid="{00000000-0005-0000-0000-000032040000}"/>
    <cellStyle name="20% - Accent1 4 2 2 2 4 3" xfId="735" xr:uid="{00000000-0005-0000-0000-000033040000}"/>
    <cellStyle name="20% - Accent1 4 2 2 2 4 4" xfId="736" xr:uid="{00000000-0005-0000-0000-000034040000}"/>
    <cellStyle name="20% - Accent1 4 2 2 2 4 5" xfId="36872" xr:uid="{00000000-0005-0000-0000-000035040000}"/>
    <cellStyle name="20% - Accent1 4 2 2 2 5" xfId="737" xr:uid="{00000000-0005-0000-0000-000036040000}"/>
    <cellStyle name="20% - Accent1 4 2 2 2 5 2" xfId="738" xr:uid="{00000000-0005-0000-0000-000037040000}"/>
    <cellStyle name="20% - Accent1 4 2 2 2 5 2 2" xfId="739" xr:uid="{00000000-0005-0000-0000-000038040000}"/>
    <cellStyle name="20% - Accent1 4 2 2 2 5 3" xfId="740" xr:uid="{00000000-0005-0000-0000-000039040000}"/>
    <cellStyle name="20% - Accent1 4 2 2 2 5 4" xfId="741" xr:uid="{00000000-0005-0000-0000-00003A040000}"/>
    <cellStyle name="20% - Accent1 4 2 2 2 6" xfId="742" xr:uid="{00000000-0005-0000-0000-00003B040000}"/>
    <cellStyle name="20% - Accent1 4 2 2 2 6 2" xfId="743" xr:uid="{00000000-0005-0000-0000-00003C040000}"/>
    <cellStyle name="20% - Accent1 4 2 2 2 6 2 2" xfId="744" xr:uid="{00000000-0005-0000-0000-00003D040000}"/>
    <cellStyle name="20% - Accent1 4 2 2 2 6 3" xfId="745" xr:uid="{00000000-0005-0000-0000-00003E040000}"/>
    <cellStyle name="20% - Accent1 4 2 2 2 6 4" xfId="746" xr:uid="{00000000-0005-0000-0000-00003F040000}"/>
    <cellStyle name="20% - Accent1 4 2 2 2 7" xfId="747" xr:uid="{00000000-0005-0000-0000-000040040000}"/>
    <cellStyle name="20% - Accent1 4 2 2 2 7 2" xfId="748" xr:uid="{00000000-0005-0000-0000-000041040000}"/>
    <cellStyle name="20% - Accent1 4 2 2 2 8" xfId="749" xr:uid="{00000000-0005-0000-0000-000042040000}"/>
    <cellStyle name="20% - Accent1 4 2 2 2 9" xfId="750" xr:uid="{00000000-0005-0000-0000-000043040000}"/>
    <cellStyle name="20% - Accent1 4 2 2 3" xfId="751" xr:uid="{00000000-0005-0000-0000-000044040000}"/>
    <cellStyle name="20% - Accent1 4 2 2 3 2" xfId="752" xr:uid="{00000000-0005-0000-0000-000045040000}"/>
    <cellStyle name="20% - Accent1 4 2 2 3 2 2" xfId="753" xr:uid="{00000000-0005-0000-0000-000046040000}"/>
    <cellStyle name="20% - Accent1 4 2 2 3 2 2 2" xfId="754" xr:uid="{00000000-0005-0000-0000-000047040000}"/>
    <cellStyle name="20% - Accent1 4 2 2 3 2 3" xfId="755" xr:uid="{00000000-0005-0000-0000-000048040000}"/>
    <cellStyle name="20% - Accent1 4 2 2 3 2 4" xfId="756" xr:uid="{00000000-0005-0000-0000-000049040000}"/>
    <cellStyle name="20% - Accent1 4 2 2 3 2 5" xfId="36874" xr:uid="{00000000-0005-0000-0000-00004A040000}"/>
    <cellStyle name="20% - Accent1 4 2 2 3 3" xfId="757" xr:uid="{00000000-0005-0000-0000-00004B040000}"/>
    <cellStyle name="20% - Accent1 4 2 2 3 3 2" xfId="758" xr:uid="{00000000-0005-0000-0000-00004C040000}"/>
    <cellStyle name="20% - Accent1 4 2 2 3 4" xfId="759" xr:uid="{00000000-0005-0000-0000-00004D040000}"/>
    <cellStyle name="20% - Accent1 4 2 2 3 5" xfId="760" xr:uid="{00000000-0005-0000-0000-00004E040000}"/>
    <cellStyle name="20% - Accent1 4 2 2 3 6" xfId="36873" xr:uid="{00000000-0005-0000-0000-00004F040000}"/>
    <cellStyle name="20% - Accent1 4 2 2 4" xfId="761" xr:uid="{00000000-0005-0000-0000-000050040000}"/>
    <cellStyle name="20% - Accent1 4 2 2 4 2" xfId="762" xr:uid="{00000000-0005-0000-0000-000051040000}"/>
    <cellStyle name="20% - Accent1 4 2 2 4 2 2" xfId="763" xr:uid="{00000000-0005-0000-0000-000052040000}"/>
    <cellStyle name="20% - Accent1 4 2 2 4 2 2 2" xfId="764" xr:uid="{00000000-0005-0000-0000-000053040000}"/>
    <cellStyle name="20% - Accent1 4 2 2 4 2 3" xfId="765" xr:uid="{00000000-0005-0000-0000-000054040000}"/>
    <cellStyle name="20% - Accent1 4 2 2 4 2 4" xfId="766" xr:uid="{00000000-0005-0000-0000-000055040000}"/>
    <cellStyle name="20% - Accent1 4 2 2 4 2 5" xfId="36876" xr:uid="{00000000-0005-0000-0000-000056040000}"/>
    <cellStyle name="20% - Accent1 4 2 2 4 3" xfId="767" xr:uid="{00000000-0005-0000-0000-000057040000}"/>
    <cellStyle name="20% - Accent1 4 2 2 4 3 2" xfId="768" xr:uid="{00000000-0005-0000-0000-000058040000}"/>
    <cellStyle name="20% - Accent1 4 2 2 4 4" xfId="769" xr:uid="{00000000-0005-0000-0000-000059040000}"/>
    <cellStyle name="20% - Accent1 4 2 2 4 5" xfId="770" xr:uid="{00000000-0005-0000-0000-00005A040000}"/>
    <cellStyle name="20% - Accent1 4 2 2 4 6" xfId="36875" xr:uid="{00000000-0005-0000-0000-00005B040000}"/>
    <cellStyle name="20% - Accent1 4 2 2 5" xfId="771" xr:uid="{00000000-0005-0000-0000-00005C040000}"/>
    <cellStyle name="20% - Accent1 4 2 2 5 2" xfId="772" xr:uid="{00000000-0005-0000-0000-00005D040000}"/>
    <cellStyle name="20% - Accent1 4 2 2 5 2 2" xfId="773" xr:uid="{00000000-0005-0000-0000-00005E040000}"/>
    <cellStyle name="20% - Accent1 4 2 2 5 3" xfId="774" xr:uid="{00000000-0005-0000-0000-00005F040000}"/>
    <cellStyle name="20% - Accent1 4 2 2 5 4" xfId="775" xr:uid="{00000000-0005-0000-0000-000060040000}"/>
    <cellStyle name="20% - Accent1 4 2 2 5 5" xfId="36877" xr:uid="{00000000-0005-0000-0000-000061040000}"/>
    <cellStyle name="20% - Accent1 4 2 2 6" xfId="776" xr:uid="{00000000-0005-0000-0000-000062040000}"/>
    <cellStyle name="20% - Accent1 4 2 2 6 2" xfId="777" xr:uid="{00000000-0005-0000-0000-000063040000}"/>
    <cellStyle name="20% - Accent1 4 2 2 6 2 2" xfId="778" xr:uid="{00000000-0005-0000-0000-000064040000}"/>
    <cellStyle name="20% - Accent1 4 2 2 6 3" xfId="779" xr:uid="{00000000-0005-0000-0000-000065040000}"/>
    <cellStyle name="20% - Accent1 4 2 2 6 4" xfId="780" xr:uid="{00000000-0005-0000-0000-000066040000}"/>
    <cellStyle name="20% - Accent1 4 2 2 7" xfId="781" xr:uid="{00000000-0005-0000-0000-000067040000}"/>
    <cellStyle name="20% - Accent1 4 2 2 7 2" xfId="782" xr:uid="{00000000-0005-0000-0000-000068040000}"/>
    <cellStyle name="20% - Accent1 4 2 2 7 2 2" xfId="783" xr:uid="{00000000-0005-0000-0000-000069040000}"/>
    <cellStyle name="20% - Accent1 4 2 2 7 3" xfId="784" xr:uid="{00000000-0005-0000-0000-00006A040000}"/>
    <cellStyle name="20% - Accent1 4 2 2 7 4" xfId="785" xr:uid="{00000000-0005-0000-0000-00006B040000}"/>
    <cellStyle name="20% - Accent1 4 2 2 8" xfId="786" xr:uid="{00000000-0005-0000-0000-00006C040000}"/>
    <cellStyle name="20% - Accent1 4 2 2 8 2" xfId="787" xr:uid="{00000000-0005-0000-0000-00006D040000}"/>
    <cellStyle name="20% - Accent1 4 2 2 9" xfId="788" xr:uid="{00000000-0005-0000-0000-00006E040000}"/>
    <cellStyle name="20% - Accent1 4 2 3" xfId="789" xr:uid="{00000000-0005-0000-0000-00006F040000}"/>
    <cellStyle name="20% - Accent1 4 2 3 10" xfId="34488" xr:uid="{00000000-0005-0000-0000-000070040000}"/>
    <cellStyle name="20% - Accent1 4 2 3 2" xfId="790" xr:uid="{00000000-0005-0000-0000-000071040000}"/>
    <cellStyle name="20% - Accent1 4 2 3 2 2" xfId="791" xr:uid="{00000000-0005-0000-0000-000072040000}"/>
    <cellStyle name="20% - Accent1 4 2 3 2 2 2" xfId="792" xr:uid="{00000000-0005-0000-0000-000073040000}"/>
    <cellStyle name="20% - Accent1 4 2 3 2 2 2 2" xfId="793" xr:uid="{00000000-0005-0000-0000-000074040000}"/>
    <cellStyle name="20% - Accent1 4 2 3 2 2 3" xfId="794" xr:uid="{00000000-0005-0000-0000-000075040000}"/>
    <cellStyle name="20% - Accent1 4 2 3 2 2 4" xfId="795" xr:uid="{00000000-0005-0000-0000-000076040000}"/>
    <cellStyle name="20% - Accent1 4 2 3 2 2 5" xfId="36879" xr:uid="{00000000-0005-0000-0000-000077040000}"/>
    <cellStyle name="20% - Accent1 4 2 3 2 3" xfId="796" xr:uid="{00000000-0005-0000-0000-000078040000}"/>
    <cellStyle name="20% - Accent1 4 2 3 2 3 2" xfId="797" xr:uid="{00000000-0005-0000-0000-000079040000}"/>
    <cellStyle name="20% - Accent1 4 2 3 2 4" xfId="798" xr:uid="{00000000-0005-0000-0000-00007A040000}"/>
    <cellStyle name="20% - Accent1 4 2 3 2 5" xfId="799" xr:uid="{00000000-0005-0000-0000-00007B040000}"/>
    <cellStyle name="20% - Accent1 4 2 3 2 6" xfId="36878" xr:uid="{00000000-0005-0000-0000-00007C040000}"/>
    <cellStyle name="20% - Accent1 4 2 3 3" xfId="800" xr:uid="{00000000-0005-0000-0000-00007D040000}"/>
    <cellStyle name="20% - Accent1 4 2 3 3 2" xfId="801" xr:uid="{00000000-0005-0000-0000-00007E040000}"/>
    <cellStyle name="20% - Accent1 4 2 3 3 2 2" xfId="802" xr:uid="{00000000-0005-0000-0000-00007F040000}"/>
    <cellStyle name="20% - Accent1 4 2 3 3 2 2 2" xfId="803" xr:uid="{00000000-0005-0000-0000-000080040000}"/>
    <cellStyle name="20% - Accent1 4 2 3 3 2 3" xfId="804" xr:uid="{00000000-0005-0000-0000-000081040000}"/>
    <cellStyle name="20% - Accent1 4 2 3 3 2 4" xfId="805" xr:uid="{00000000-0005-0000-0000-000082040000}"/>
    <cellStyle name="20% - Accent1 4 2 3 3 2 5" xfId="36881" xr:uid="{00000000-0005-0000-0000-000083040000}"/>
    <cellStyle name="20% - Accent1 4 2 3 3 3" xfId="806" xr:uid="{00000000-0005-0000-0000-000084040000}"/>
    <cellStyle name="20% - Accent1 4 2 3 3 3 2" xfId="807" xr:uid="{00000000-0005-0000-0000-000085040000}"/>
    <cellStyle name="20% - Accent1 4 2 3 3 4" xfId="808" xr:uid="{00000000-0005-0000-0000-000086040000}"/>
    <cellStyle name="20% - Accent1 4 2 3 3 5" xfId="809" xr:uid="{00000000-0005-0000-0000-000087040000}"/>
    <cellStyle name="20% - Accent1 4 2 3 3 6" xfId="36880" xr:uid="{00000000-0005-0000-0000-000088040000}"/>
    <cellStyle name="20% - Accent1 4 2 3 4" xfId="810" xr:uid="{00000000-0005-0000-0000-000089040000}"/>
    <cellStyle name="20% - Accent1 4 2 3 4 2" xfId="811" xr:uid="{00000000-0005-0000-0000-00008A040000}"/>
    <cellStyle name="20% - Accent1 4 2 3 4 2 2" xfId="812" xr:uid="{00000000-0005-0000-0000-00008B040000}"/>
    <cellStyle name="20% - Accent1 4 2 3 4 3" xfId="813" xr:uid="{00000000-0005-0000-0000-00008C040000}"/>
    <cellStyle name="20% - Accent1 4 2 3 4 4" xfId="814" xr:uid="{00000000-0005-0000-0000-00008D040000}"/>
    <cellStyle name="20% - Accent1 4 2 3 4 5" xfId="36882" xr:uid="{00000000-0005-0000-0000-00008E040000}"/>
    <cellStyle name="20% - Accent1 4 2 3 5" xfId="815" xr:uid="{00000000-0005-0000-0000-00008F040000}"/>
    <cellStyle name="20% - Accent1 4 2 3 5 2" xfId="816" xr:uid="{00000000-0005-0000-0000-000090040000}"/>
    <cellStyle name="20% - Accent1 4 2 3 5 2 2" xfId="817" xr:uid="{00000000-0005-0000-0000-000091040000}"/>
    <cellStyle name="20% - Accent1 4 2 3 5 3" xfId="818" xr:uid="{00000000-0005-0000-0000-000092040000}"/>
    <cellStyle name="20% - Accent1 4 2 3 5 4" xfId="819" xr:uid="{00000000-0005-0000-0000-000093040000}"/>
    <cellStyle name="20% - Accent1 4 2 3 6" xfId="820" xr:uid="{00000000-0005-0000-0000-000094040000}"/>
    <cellStyle name="20% - Accent1 4 2 3 6 2" xfId="821" xr:uid="{00000000-0005-0000-0000-000095040000}"/>
    <cellStyle name="20% - Accent1 4 2 3 6 2 2" xfId="822" xr:uid="{00000000-0005-0000-0000-000096040000}"/>
    <cellStyle name="20% - Accent1 4 2 3 6 3" xfId="823" xr:uid="{00000000-0005-0000-0000-000097040000}"/>
    <cellStyle name="20% - Accent1 4 2 3 6 4" xfId="824" xr:uid="{00000000-0005-0000-0000-000098040000}"/>
    <cellStyle name="20% - Accent1 4 2 3 7" xfId="825" xr:uid="{00000000-0005-0000-0000-000099040000}"/>
    <cellStyle name="20% - Accent1 4 2 3 7 2" xfId="826" xr:uid="{00000000-0005-0000-0000-00009A040000}"/>
    <cellStyle name="20% - Accent1 4 2 3 8" xfId="827" xr:uid="{00000000-0005-0000-0000-00009B040000}"/>
    <cellStyle name="20% - Accent1 4 2 3 9" xfId="828" xr:uid="{00000000-0005-0000-0000-00009C040000}"/>
    <cellStyle name="20% - Accent1 4 2 4" xfId="829" xr:uid="{00000000-0005-0000-0000-00009D040000}"/>
    <cellStyle name="20% - Accent1 4 2 4 2" xfId="830" xr:uid="{00000000-0005-0000-0000-00009E040000}"/>
    <cellStyle name="20% - Accent1 4 2 4 2 2" xfId="831" xr:uid="{00000000-0005-0000-0000-00009F040000}"/>
    <cellStyle name="20% - Accent1 4 2 4 2 2 2" xfId="832" xr:uid="{00000000-0005-0000-0000-0000A0040000}"/>
    <cellStyle name="20% - Accent1 4 2 4 2 3" xfId="833" xr:uid="{00000000-0005-0000-0000-0000A1040000}"/>
    <cellStyle name="20% - Accent1 4 2 4 2 4" xfId="834" xr:uid="{00000000-0005-0000-0000-0000A2040000}"/>
    <cellStyle name="20% - Accent1 4 2 4 2 5" xfId="36884" xr:uid="{00000000-0005-0000-0000-0000A3040000}"/>
    <cellStyle name="20% - Accent1 4 2 4 3" xfId="835" xr:uid="{00000000-0005-0000-0000-0000A4040000}"/>
    <cellStyle name="20% - Accent1 4 2 4 3 2" xfId="836" xr:uid="{00000000-0005-0000-0000-0000A5040000}"/>
    <cellStyle name="20% - Accent1 4 2 4 4" xfId="837" xr:uid="{00000000-0005-0000-0000-0000A6040000}"/>
    <cellStyle name="20% - Accent1 4 2 4 5" xfId="838" xr:uid="{00000000-0005-0000-0000-0000A7040000}"/>
    <cellStyle name="20% - Accent1 4 2 4 6" xfId="36883" xr:uid="{00000000-0005-0000-0000-0000A8040000}"/>
    <cellStyle name="20% - Accent1 4 2 5" xfId="839" xr:uid="{00000000-0005-0000-0000-0000A9040000}"/>
    <cellStyle name="20% - Accent1 4 2 5 2" xfId="840" xr:uid="{00000000-0005-0000-0000-0000AA040000}"/>
    <cellStyle name="20% - Accent1 4 2 5 2 2" xfId="841" xr:uid="{00000000-0005-0000-0000-0000AB040000}"/>
    <cellStyle name="20% - Accent1 4 2 5 2 2 2" xfId="842" xr:uid="{00000000-0005-0000-0000-0000AC040000}"/>
    <cellStyle name="20% - Accent1 4 2 5 2 3" xfId="843" xr:uid="{00000000-0005-0000-0000-0000AD040000}"/>
    <cellStyle name="20% - Accent1 4 2 5 2 4" xfId="844" xr:uid="{00000000-0005-0000-0000-0000AE040000}"/>
    <cellStyle name="20% - Accent1 4 2 5 2 5" xfId="36886" xr:uid="{00000000-0005-0000-0000-0000AF040000}"/>
    <cellStyle name="20% - Accent1 4 2 5 3" xfId="845" xr:uid="{00000000-0005-0000-0000-0000B0040000}"/>
    <cellStyle name="20% - Accent1 4 2 5 3 2" xfId="846" xr:uid="{00000000-0005-0000-0000-0000B1040000}"/>
    <cellStyle name="20% - Accent1 4 2 5 4" xfId="847" xr:uid="{00000000-0005-0000-0000-0000B2040000}"/>
    <cellStyle name="20% - Accent1 4 2 5 5" xfId="848" xr:uid="{00000000-0005-0000-0000-0000B3040000}"/>
    <cellStyle name="20% - Accent1 4 2 5 6" xfId="36885" xr:uid="{00000000-0005-0000-0000-0000B4040000}"/>
    <cellStyle name="20% - Accent1 4 2 6" xfId="849" xr:uid="{00000000-0005-0000-0000-0000B5040000}"/>
    <cellStyle name="20% - Accent1 4 2 6 2" xfId="850" xr:uid="{00000000-0005-0000-0000-0000B6040000}"/>
    <cellStyle name="20% - Accent1 4 2 6 2 2" xfId="851" xr:uid="{00000000-0005-0000-0000-0000B7040000}"/>
    <cellStyle name="20% - Accent1 4 2 6 3" xfId="852" xr:uid="{00000000-0005-0000-0000-0000B8040000}"/>
    <cellStyle name="20% - Accent1 4 2 6 4" xfId="853" xr:uid="{00000000-0005-0000-0000-0000B9040000}"/>
    <cellStyle name="20% - Accent1 4 2 6 5" xfId="36887" xr:uid="{00000000-0005-0000-0000-0000BA040000}"/>
    <cellStyle name="20% - Accent1 4 2 7" xfId="854" xr:uid="{00000000-0005-0000-0000-0000BB040000}"/>
    <cellStyle name="20% - Accent1 4 2 7 2" xfId="855" xr:uid="{00000000-0005-0000-0000-0000BC040000}"/>
    <cellStyle name="20% - Accent1 4 2 7 2 2" xfId="856" xr:uid="{00000000-0005-0000-0000-0000BD040000}"/>
    <cellStyle name="20% - Accent1 4 2 7 3" xfId="857" xr:uid="{00000000-0005-0000-0000-0000BE040000}"/>
    <cellStyle name="20% - Accent1 4 2 7 4" xfId="858" xr:uid="{00000000-0005-0000-0000-0000BF040000}"/>
    <cellStyle name="20% - Accent1 4 2 8" xfId="859" xr:uid="{00000000-0005-0000-0000-0000C0040000}"/>
    <cellStyle name="20% - Accent1 4 2 8 2" xfId="860" xr:uid="{00000000-0005-0000-0000-0000C1040000}"/>
    <cellStyle name="20% - Accent1 4 2 8 2 2" xfId="861" xr:uid="{00000000-0005-0000-0000-0000C2040000}"/>
    <cellStyle name="20% - Accent1 4 2 8 3" xfId="862" xr:uid="{00000000-0005-0000-0000-0000C3040000}"/>
    <cellStyle name="20% - Accent1 4 2 8 4" xfId="863" xr:uid="{00000000-0005-0000-0000-0000C4040000}"/>
    <cellStyle name="20% - Accent1 4 2 9" xfId="864" xr:uid="{00000000-0005-0000-0000-0000C5040000}"/>
    <cellStyle name="20% - Accent1 4 2 9 2" xfId="865" xr:uid="{00000000-0005-0000-0000-0000C6040000}"/>
    <cellStyle name="20% - Accent1 4 3" xfId="866" xr:uid="{00000000-0005-0000-0000-0000C7040000}"/>
    <cellStyle name="20% - Accent1 4 3 10" xfId="867" xr:uid="{00000000-0005-0000-0000-0000C8040000}"/>
    <cellStyle name="20% - Accent1 4 3 11" xfId="34489" xr:uid="{00000000-0005-0000-0000-0000C9040000}"/>
    <cellStyle name="20% - Accent1 4 3 2" xfId="868" xr:uid="{00000000-0005-0000-0000-0000CA040000}"/>
    <cellStyle name="20% - Accent1 4 3 2 10" xfId="34490" xr:uid="{00000000-0005-0000-0000-0000CB040000}"/>
    <cellStyle name="20% - Accent1 4 3 2 2" xfId="869" xr:uid="{00000000-0005-0000-0000-0000CC040000}"/>
    <cellStyle name="20% - Accent1 4 3 2 2 2" xfId="870" xr:uid="{00000000-0005-0000-0000-0000CD040000}"/>
    <cellStyle name="20% - Accent1 4 3 2 2 2 2" xfId="871" xr:uid="{00000000-0005-0000-0000-0000CE040000}"/>
    <cellStyle name="20% - Accent1 4 3 2 2 2 2 2" xfId="872" xr:uid="{00000000-0005-0000-0000-0000CF040000}"/>
    <cellStyle name="20% - Accent1 4 3 2 2 2 3" xfId="873" xr:uid="{00000000-0005-0000-0000-0000D0040000}"/>
    <cellStyle name="20% - Accent1 4 3 2 2 2 4" xfId="874" xr:uid="{00000000-0005-0000-0000-0000D1040000}"/>
    <cellStyle name="20% - Accent1 4 3 2 2 2 5" xfId="36889" xr:uid="{00000000-0005-0000-0000-0000D2040000}"/>
    <cellStyle name="20% - Accent1 4 3 2 2 3" xfId="875" xr:uid="{00000000-0005-0000-0000-0000D3040000}"/>
    <cellStyle name="20% - Accent1 4 3 2 2 3 2" xfId="876" xr:uid="{00000000-0005-0000-0000-0000D4040000}"/>
    <cellStyle name="20% - Accent1 4 3 2 2 4" xfId="877" xr:uid="{00000000-0005-0000-0000-0000D5040000}"/>
    <cellStyle name="20% - Accent1 4 3 2 2 5" xfId="878" xr:uid="{00000000-0005-0000-0000-0000D6040000}"/>
    <cellStyle name="20% - Accent1 4 3 2 2 6" xfId="36888" xr:uid="{00000000-0005-0000-0000-0000D7040000}"/>
    <cellStyle name="20% - Accent1 4 3 2 3" xfId="879" xr:uid="{00000000-0005-0000-0000-0000D8040000}"/>
    <cellStyle name="20% - Accent1 4 3 2 3 2" xfId="880" xr:uid="{00000000-0005-0000-0000-0000D9040000}"/>
    <cellStyle name="20% - Accent1 4 3 2 3 2 2" xfId="881" xr:uid="{00000000-0005-0000-0000-0000DA040000}"/>
    <cellStyle name="20% - Accent1 4 3 2 3 2 2 2" xfId="882" xr:uid="{00000000-0005-0000-0000-0000DB040000}"/>
    <cellStyle name="20% - Accent1 4 3 2 3 2 3" xfId="883" xr:uid="{00000000-0005-0000-0000-0000DC040000}"/>
    <cellStyle name="20% - Accent1 4 3 2 3 2 4" xfId="884" xr:uid="{00000000-0005-0000-0000-0000DD040000}"/>
    <cellStyle name="20% - Accent1 4 3 2 3 2 5" xfId="36891" xr:uid="{00000000-0005-0000-0000-0000DE040000}"/>
    <cellStyle name="20% - Accent1 4 3 2 3 3" xfId="885" xr:uid="{00000000-0005-0000-0000-0000DF040000}"/>
    <cellStyle name="20% - Accent1 4 3 2 3 3 2" xfId="886" xr:uid="{00000000-0005-0000-0000-0000E0040000}"/>
    <cellStyle name="20% - Accent1 4 3 2 3 4" xfId="887" xr:uid="{00000000-0005-0000-0000-0000E1040000}"/>
    <cellStyle name="20% - Accent1 4 3 2 3 5" xfId="888" xr:uid="{00000000-0005-0000-0000-0000E2040000}"/>
    <cellStyle name="20% - Accent1 4 3 2 3 6" xfId="36890" xr:uid="{00000000-0005-0000-0000-0000E3040000}"/>
    <cellStyle name="20% - Accent1 4 3 2 4" xfId="889" xr:uid="{00000000-0005-0000-0000-0000E4040000}"/>
    <cellStyle name="20% - Accent1 4 3 2 4 2" xfId="890" xr:uid="{00000000-0005-0000-0000-0000E5040000}"/>
    <cellStyle name="20% - Accent1 4 3 2 4 2 2" xfId="891" xr:uid="{00000000-0005-0000-0000-0000E6040000}"/>
    <cellStyle name="20% - Accent1 4 3 2 4 3" xfId="892" xr:uid="{00000000-0005-0000-0000-0000E7040000}"/>
    <cellStyle name="20% - Accent1 4 3 2 4 4" xfId="893" xr:uid="{00000000-0005-0000-0000-0000E8040000}"/>
    <cellStyle name="20% - Accent1 4 3 2 4 5" xfId="36892" xr:uid="{00000000-0005-0000-0000-0000E9040000}"/>
    <cellStyle name="20% - Accent1 4 3 2 5" xfId="894" xr:uid="{00000000-0005-0000-0000-0000EA040000}"/>
    <cellStyle name="20% - Accent1 4 3 2 5 2" xfId="895" xr:uid="{00000000-0005-0000-0000-0000EB040000}"/>
    <cellStyle name="20% - Accent1 4 3 2 5 2 2" xfId="896" xr:uid="{00000000-0005-0000-0000-0000EC040000}"/>
    <cellStyle name="20% - Accent1 4 3 2 5 3" xfId="897" xr:uid="{00000000-0005-0000-0000-0000ED040000}"/>
    <cellStyle name="20% - Accent1 4 3 2 5 4" xfId="898" xr:uid="{00000000-0005-0000-0000-0000EE040000}"/>
    <cellStyle name="20% - Accent1 4 3 2 6" xfId="899" xr:uid="{00000000-0005-0000-0000-0000EF040000}"/>
    <cellStyle name="20% - Accent1 4 3 2 6 2" xfId="900" xr:uid="{00000000-0005-0000-0000-0000F0040000}"/>
    <cellStyle name="20% - Accent1 4 3 2 6 2 2" xfId="901" xr:uid="{00000000-0005-0000-0000-0000F1040000}"/>
    <cellStyle name="20% - Accent1 4 3 2 6 3" xfId="902" xr:uid="{00000000-0005-0000-0000-0000F2040000}"/>
    <cellStyle name="20% - Accent1 4 3 2 6 4" xfId="903" xr:uid="{00000000-0005-0000-0000-0000F3040000}"/>
    <cellStyle name="20% - Accent1 4 3 2 7" xfId="904" xr:uid="{00000000-0005-0000-0000-0000F4040000}"/>
    <cellStyle name="20% - Accent1 4 3 2 7 2" xfId="905" xr:uid="{00000000-0005-0000-0000-0000F5040000}"/>
    <cellStyle name="20% - Accent1 4 3 2 8" xfId="906" xr:uid="{00000000-0005-0000-0000-0000F6040000}"/>
    <cellStyle name="20% - Accent1 4 3 2 9" xfId="907" xr:uid="{00000000-0005-0000-0000-0000F7040000}"/>
    <cellStyle name="20% - Accent1 4 3 3" xfId="908" xr:uid="{00000000-0005-0000-0000-0000F8040000}"/>
    <cellStyle name="20% - Accent1 4 3 3 2" xfId="909" xr:uid="{00000000-0005-0000-0000-0000F9040000}"/>
    <cellStyle name="20% - Accent1 4 3 3 2 2" xfId="910" xr:uid="{00000000-0005-0000-0000-0000FA040000}"/>
    <cellStyle name="20% - Accent1 4 3 3 2 2 2" xfId="911" xr:uid="{00000000-0005-0000-0000-0000FB040000}"/>
    <cellStyle name="20% - Accent1 4 3 3 2 3" xfId="912" xr:uid="{00000000-0005-0000-0000-0000FC040000}"/>
    <cellStyle name="20% - Accent1 4 3 3 2 4" xfId="913" xr:uid="{00000000-0005-0000-0000-0000FD040000}"/>
    <cellStyle name="20% - Accent1 4 3 3 2 5" xfId="36894" xr:uid="{00000000-0005-0000-0000-0000FE040000}"/>
    <cellStyle name="20% - Accent1 4 3 3 3" xfId="914" xr:uid="{00000000-0005-0000-0000-0000FF040000}"/>
    <cellStyle name="20% - Accent1 4 3 3 3 2" xfId="915" xr:uid="{00000000-0005-0000-0000-000000050000}"/>
    <cellStyle name="20% - Accent1 4 3 3 4" xfId="916" xr:uid="{00000000-0005-0000-0000-000001050000}"/>
    <cellStyle name="20% - Accent1 4 3 3 5" xfId="917" xr:uid="{00000000-0005-0000-0000-000002050000}"/>
    <cellStyle name="20% - Accent1 4 3 3 6" xfId="36893" xr:uid="{00000000-0005-0000-0000-000003050000}"/>
    <cellStyle name="20% - Accent1 4 3 4" xfId="918" xr:uid="{00000000-0005-0000-0000-000004050000}"/>
    <cellStyle name="20% - Accent1 4 3 4 2" xfId="919" xr:uid="{00000000-0005-0000-0000-000005050000}"/>
    <cellStyle name="20% - Accent1 4 3 4 2 2" xfId="920" xr:uid="{00000000-0005-0000-0000-000006050000}"/>
    <cellStyle name="20% - Accent1 4 3 4 2 2 2" xfId="921" xr:uid="{00000000-0005-0000-0000-000007050000}"/>
    <cellStyle name="20% - Accent1 4 3 4 2 3" xfId="922" xr:uid="{00000000-0005-0000-0000-000008050000}"/>
    <cellStyle name="20% - Accent1 4 3 4 2 4" xfId="923" xr:uid="{00000000-0005-0000-0000-000009050000}"/>
    <cellStyle name="20% - Accent1 4 3 4 2 5" xfId="36896" xr:uid="{00000000-0005-0000-0000-00000A050000}"/>
    <cellStyle name="20% - Accent1 4 3 4 3" xfId="924" xr:uid="{00000000-0005-0000-0000-00000B050000}"/>
    <cellStyle name="20% - Accent1 4 3 4 3 2" xfId="925" xr:uid="{00000000-0005-0000-0000-00000C050000}"/>
    <cellStyle name="20% - Accent1 4 3 4 4" xfId="926" xr:uid="{00000000-0005-0000-0000-00000D050000}"/>
    <cellStyle name="20% - Accent1 4 3 4 5" xfId="927" xr:uid="{00000000-0005-0000-0000-00000E050000}"/>
    <cellStyle name="20% - Accent1 4 3 4 6" xfId="36895" xr:uid="{00000000-0005-0000-0000-00000F050000}"/>
    <cellStyle name="20% - Accent1 4 3 5" xfId="928" xr:uid="{00000000-0005-0000-0000-000010050000}"/>
    <cellStyle name="20% - Accent1 4 3 5 2" xfId="929" xr:uid="{00000000-0005-0000-0000-000011050000}"/>
    <cellStyle name="20% - Accent1 4 3 5 2 2" xfId="930" xr:uid="{00000000-0005-0000-0000-000012050000}"/>
    <cellStyle name="20% - Accent1 4 3 5 3" xfId="931" xr:uid="{00000000-0005-0000-0000-000013050000}"/>
    <cellStyle name="20% - Accent1 4 3 5 4" xfId="932" xr:uid="{00000000-0005-0000-0000-000014050000}"/>
    <cellStyle name="20% - Accent1 4 3 5 5" xfId="36897" xr:uid="{00000000-0005-0000-0000-000015050000}"/>
    <cellStyle name="20% - Accent1 4 3 6" xfId="933" xr:uid="{00000000-0005-0000-0000-000016050000}"/>
    <cellStyle name="20% - Accent1 4 3 6 2" xfId="934" xr:uid="{00000000-0005-0000-0000-000017050000}"/>
    <cellStyle name="20% - Accent1 4 3 6 2 2" xfId="935" xr:uid="{00000000-0005-0000-0000-000018050000}"/>
    <cellStyle name="20% - Accent1 4 3 6 3" xfId="936" xr:uid="{00000000-0005-0000-0000-000019050000}"/>
    <cellStyle name="20% - Accent1 4 3 6 4" xfId="937" xr:uid="{00000000-0005-0000-0000-00001A050000}"/>
    <cellStyle name="20% - Accent1 4 3 7" xfId="938" xr:uid="{00000000-0005-0000-0000-00001B050000}"/>
    <cellStyle name="20% - Accent1 4 3 7 2" xfId="939" xr:uid="{00000000-0005-0000-0000-00001C050000}"/>
    <cellStyle name="20% - Accent1 4 3 7 2 2" xfId="940" xr:uid="{00000000-0005-0000-0000-00001D050000}"/>
    <cellStyle name="20% - Accent1 4 3 7 3" xfId="941" xr:uid="{00000000-0005-0000-0000-00001E050000}"/>
    <cellStyle name="20% - Accent1 4 3 7 4" xfId="942" xr:uid="{00000000-0005-0000-0000-00001F050000}"/>
    <cellStyle name="20% - Accent1 4 3 8" xfId="943" xr:uid="{00000000-0005-0000-0000-000020050000}"/>
    <cellStyle name="20% - Accent1 4 3 8 2" xfId="944" xr:uid="{00000000-0005-0000-0000-000021050000}"/>
    <cellStyle name="20% - Accent1 4 3 9" xfId="945" xr:uid="{00000000-0005-0000-0000-000022050000}"/>
    <cellStyle name="20% - Accent1 4 4" xfId="946" xr:uid="{00000000-0005-0000-0000-000023050000}"/>
    <cellStyle name="20% - Accent1 4 4 10" xfId="34491" xr:uid="{00000000-0005-0000-0000-000024050000}"/>
    <cellStyle name="20% - Accent1 4 4 2" xfId="947" xr:uid="{00000000-0005-0000-0000-000025050000}"/>
    <cellStyle name="20% - Accent1 4 4 2 2" xfId="948" xr:uid="{00000000-0005-0000-0000-000026050000}"/>
    <cellStyle name="20% - Accent1 4 4 2 2 2" xfId="949" xr:uid="{00000000-0005-0000-0000-000027050000}"/>
    <cellStyle name="20% - Accent1 4 4 2 2 2 2" xfId="950" xr:uid="{00000000-0005-0000-0000-000028050000}"/>
    <cellStyle name="20% - Accent1 4 4 2 2 3" xfId="951" xr:uid="{00000000-0005-0000-0000-000029050000}"/>
    <cellStyle name="20% - Accent1 4 4 2 2 4" xfId="952" xr:uid="{00000000-0005-0000-0000-00002A050000}"/>
    <cellStyle name="20% - Accent1 4 4 2 2 5" xfId="36899" xr:uid="{00000000-0005-0000-0000-00002B050000}"/>
    <cellStyle name="20% - Accent1 4 4 2 3" xfId="953" xr:uid="{00000000-0005-0000-0000-00002C050000}"/>
    <cellStyle name="20% - Accent1 4 4 2 3 2" xfId="954" xr:uid="{00000000-0005-0000-0000-00002D050000}"/>
    <cellStyle name="20% - Accent1 4 4 2 4" xfId="955" xr:uid="{00000000-0005-0000-0000-00002E050000}"/>
    <cellStyle name="20% - Accent1 4 4 2 5" xfId="956" xr:uid="{00000000-0005-0000-0000-00002F050000}"/>
    <cellStyle name="20% - Accent1 4 4 2 6" xfId="36898" xr:uid="{00000000-0005-0000-0000-000030050000}"/>
    <cellStyle name="20% - Accent1 4 4 3" xfId="957" xr:uid="{00000000-0005-0000-0000-000031050000}"/>
    <cellStyle name="20% - Accent1 4 4 3 2" xfId="958" xr:uid="{00000000-0005-0000-0000-000032050000}"/>
    <cellStyle name="20% - Accent1 4 4 3 2 2" xfId="959" xr:uid="{00000000-0005-0000-0000-000033050000}"/>
    <cellStyle name="20% - Accent1 4 4 3 2 2 2" xfId="960" xr:uid="{00000000-0005-0000-0000-000034050000}"/>
    <cellStyle name="20% - Accent1 4 4 3 2 3" xfId="961" xr:uid="{00000000-0005-0000-0000-000035050000}"/>
    <cellStyle name="20% - Accent1 4 4 3 2 4" xfId="962" xr:uid="{00000000-0005-0000-0000-000036050000}"/>
    <cellStyle name="20% - Accent1 4 4 3 2 5" xfId="36901" xr:uid="{00000000-0005-0000-0000-000037050000}"/>
    <cellStyle name="20% - Accent1 4 4 3 3" xfId="963" xr:uid="{00000000-0005-0000-0000-000038050000}"/>
    <cellStyle name="20% - Accent1 4 4 3 3 2" xfId="964" xr:uid="{00000000-0005-0000-0000-000039050000}"/>
    <cellStyle name="20% - Accent1 4 4 3 4" xfId="965" xr:uid="{00000000-0005-0000-0000-00003A050000}"/>
    <cellStyle name="20% - Accent1 4 4 3 5" xfId="966" xr:uid="{00000000-0005-0000-0000-00003B050000}"/>
    <cellStyle name="20% - Accent1 4 4 3 6" xfId="36900" xr:uid="{00000000-0005-0000-0000-00003C050000}"/>
    <cellStyle name="20% - Accent1 4 4 4" xfId="967" xr:uid="{00000000-0005-0000-0000-00003D050000}"/>
    <cellStyle name="20% - Accent1 4 4 4 2" xfId="968" xr:uid="{00000000-0005-0000-0000-00003E050000}"/>
    <cellStyle name="20% - Accent1 4 4 4 2 2" xfId="969" xr:uid="{00000000-0005-0000-0000-00003F050000}"/>
    <cellStyle name="20% - Accent1 4 4 4 3" xfId="970" xr:uid="{00000000-0005-0000-0000-000040050000}"/>
    <cellStyle name="20% - Accent1 4 4 4 4" xfId="971" xr:uid="{00000000-0005-0000-0000-000041050000}"/>
    <cellStyle name="20% - Accent1 4 4 4 5" xfId="36902" xr:uid="{00000000-0005-0000-0000-000042050000}"/>
    <cellStyle name="20% - Accent1 4 4 5" xfId="972" xr:uid="{00000000-0005-0000-0000-000043050000}"/>
    <cellStyle name="20% - Accent1 4 4 5 2" xfId="973" xr:uid="{00000000-0005-0000-0000-000044050000}"/>
    <cellStyle name="20% - Accent1 4 4 5 2 2" xfId="974" xr:uid="{00000000-0005-0000-0000-000045050000}"/>
    <cellStyle name="20% - Accent1 4 4 5 3" xfId="975" xr:uid="{00000000-0005-0000-0000-000046050000}"/>
    <cellStyle name="20% - Accent1 4 4 5 4" xfId="976" xr:uid="{00000000-0005-0000-0000-000047050000}"/>
    <cellStyle name="20% - Accent1 4 4 6" xfId="977" xr:uid="{00000000-0005-0000-0000-000048050000}"/>
    <cellStyle name="20% - Accent1 4 4 6 2" xfId="978" xr:uid="{00000000-0005-0000-0000-000049050000}"/>
    <cellStyle name="20% - Accent1 4 4 6 2 2" xfId="979" xr:uid="{00000000-0005-0000-0000-00004A050000}"/>
    <cellStyle name="20% - Accent1 4 4 6 3" xfId="980" xr:uid="{00000000-0005-0000-0000-00004B050000}"/>
    <cellStyle name="20% - Accent1 4 4 6 4" xfId="981" xr:uid="{00000000-0005-0000-0000-00004C050000}"/>
    <cellStyle name="20% - Accent1 4 4 7" xfId="982" xr:uid="{00000000-0005-0000-0000-00004D050000}"/>
    <cellStyle name="20% - Accent1 4 4 7 2" xfId="983" xr:uid="{00000000-0005-0000-0000-00004E050000}"/>
    <cellStyle name="20% - Accent1 4 4 8" xfId="984" xr:uid="{00000000-0005-0000-0000-00004F050000}"/>
    <cellStyle name="20% - Accent1 4 4 9" xfId="985" xr:uid="{00000000-0005-0000-0000-000050050000}"/>
    <cellStyle name="20% - Accent1 4 5" xfId="986" xr:uid="{00000000-0005-0000-0000-000051050000}"/>
    <cellStyle name="20% - Accent1 4 5 2" xfId="987" xr:uid="{00000000-0005-0000-0000-000052050000}"/>
    <cellStyle name="20% - Accent1 4 5 2 2" xfId="988" xr:uid="{00000000-0005-0000-0000-000053050000}"/>
    <cellStyle name="20% - Accent1 4 5 2 2 2" xfId="989" xr:uid="{00000000-0005-0000-0000-000054050000}"/>
    <cellStyle name="20% - Accent1 4 5 2 3" xfId="990" xr:uid="{00000000-0005-0000-0000-000055050000}"/>
    <cellStyle name="20% - Accent1 4 5 2 4" xfId="991" xr:uid="{00000000-0005-0000-0000-000056050000}"/>
    <cellStyle name="20% - Accent1 4 5 2 5" xfId="36904" xr:uid="{00000000-0005-0000-0000-000057050000}"/>
    <cellStyle name="20% - Accent1 4 5 3" xfId="992" xr:uid="{00000000-0005-0000-0000-000058050000}"/>
    <cellStyle name="20% - Accent1 4 5 4" xfId="993" xr:uid="{00000000-0005-0000-0000-000059050000}"/>
    <cellStyle name="20% - Accent1 4 5 4 2" xfId="994" xr:uid="{00000000-0005-0000-0000-00005A050000}"/>
    <cellStyle name="20% - Accent1 4 5 5" xfId="995" xr:uid="{00000000-0005-0000-0000-00005B050000}"/>
    <cellStyle name="20% - Accent1 4 5 6" xfId="996" xr:uid="{00000000-0005-0000-0000-00005C050000}"/>
    <cellStyle name="20% - Accent1 4 5 7" xfId="36903" xr:uid="{00000000-0005-0000-0000-00005D050000}"/>
    <cellStyle name="20% - Accent1 4 6" xfId="997" xr:uid="{00000000-0005-0000-0000-00005E050000}"/>
    <cellStyle name="20% - Accent1 4 6 2" xfId="998" xr:uid="{00000000-0005-0000-0000-00005F050000}"/>
    <cellStyle name="20% - Accent1 4 6 2 2" xfId="999" xr:uid="{00000000-0005-0000-0000-000060050000}"/>
    <cellStyle name="20% - Accent1 4 6 2 2 2" xfId="1000" xr:uid="{00000000-0005-0000-0000-000061050000}"/>
    <cellStyle name="20% - Accent1 4 6 2 3" xfId="1001" xr:uid="{00000000-0005-0000-0000-000062050000}"/>
    <cellStyle name="20% - Accent1 4 6 2 4" xfId="1002" xr:uid="{00000000-0005-0000-0000-000063050000}"/>
    <cellStyle name="20% - Accent1 4 6 2 5" xfId="36906" xr:uid="{00000000-0005-0000-0000-000064050000}"/>
    <cellStyle name="20% - Accent1 4 6 3" xfId="1003" xr:uid="{00000000-0005-0000-0000-000065050000}"/>
    <cellStyle name="20% - Accent1 4 6 3 2" xfId="1004" xr:uid="{00000000-0005-0000-0000-000066050000}"/>
    <cellStyle name="20% - Accent1 4 6 3 2 2" xfId="1005" xr:uid="{00000000-0005-0000-0000-000067050000}"/>
    <cellStyle name="20% - Accent1 4 6 3 3" xfId="1006" xr:uid="{00000000-0005-0000-0000-000068050000}"/>
    <cellStyle name="20% - Accent1 4 6 3 4" xfId="1007" xr:uid="{00000000-0005-0000-0000-000069050000}"/>
    <cellStyle name="20% - Accent1 4 6 3 5" xfId="36907" xr:uid="{00000000-0005-0000-0000-00006A050000}"/>
    <cellStyle name="20% - Accent1 4 6 4" xfId="1008" xr:uid="{00000000-0005-0000-0000-00006B050000}"/>
    <cellStyle name="20% - Accent1 4 6 4 2" xfId="1009" xr:uid="{00000000-0005-0000-0000-00006C050000}"/>
    <cellStyle name="20% - Accent1 4 6 5" xfId="1010" xr:uid="{00000000-0005-0000-0000-00006D050000}"/>
    <cellStyle name="20% - Accent1 4 6 6" xfId="1011" xr:uid="{00000000-0005-0000-0000-00006E050000}"/>
    <cellStyle name="20% - Accent1 4 6 7" xfId="36905" xr:uid="{00000000-0005-0000-0000-00006F050000}"/>
    <cellStyle name="20% - Accent1 4 7" xfId="1012" xr:uid="{00000000-0005-0000-0000-000070050000}"/>
    <cellStyle name="20% - Accent1 4 7 2" xfId="1013" xr:uid="{00000000-0005-0000-0000-000071050000}"/>
    <cellStyle name="20% - Accent1 4 7 2 2" xfId="1014" xr:uid="{00000000-0005-0000-0000-000072050000}"/>
    <cellStyle name="20% - Accent1 4 7 3" xfId="1015" xr:uid="{00000000-0005-0000-0000-000073050000}"/>
    <cellStyle name="20% - Accent1 4 7 4" xfId="1016" xr:uid="{00000000-0005-0000-0000-000074050000}"/>
    <cellStyle name="20% - Accent1 4 7 5" xfId="36908" xr:uid="{00000000-0005-0000-0000-000075050000}"/>
    <cellStyle name="20% - Accent1 4 8" xfId="1017" xr:uid="{00000000-0005-0000-0000-000076050000}"/>
    <cellStyle name="20% - Accent1 4 8 2" xfId="1018" xr:uid="{00000000-0005-0000-0000-000077050000}"/>
    <cellStyle name="20% - Accent1 4 8 2 2" xfId="1019" xr:uid="{00000000-0005-0000-0000-000078050000}"/>
    <cellStyle name="20% - Accent1 4 8 3" xfId="1020" xr:uid="{00000000-0005-0000-0000-000079050000}"/>
    <cellStyle name="20% - Accent1 4 8 4" xfId="1021" xr:uid="{00000000-0005-0000-0000-00007A050000}"/>
    <cellStyle name="20% - Accent1 4 9" xfId="1022" xr:uid="{00000000-0005-0000-0000-00007B050000}"/>
    <cellStyle name="20% - Accent1 4 9 2" xfId="1023" xr:uid="{00000000-0005-0000-0000-00007C050000}"/>
    <cellStyle name="20% - Accent1 4 9 2 2" xfId="1024" xr:uid="{00000000-0005-0000-0000-00007D050000}"/>
    <cellStyle name="20% - Accent1 4 9 3" xfId="1025" xr:uid="{00000000-0005-0000-0000-00007E050000}"/>
    <cellStyle name="20% - Accent1 4 9 4" xfId="1026" xr:uid="{00000000-0005-0000-0000-00007F050000}"/>
    <cellStyle name="20% - Accent1 5" xfId="1027" xr:uid="{00000000-0005-0000-0000-000080050000}"/>
    <cellStyle name="20% - Accent1 5 10" xfId="1028" xr:uid="{00000000-0005-0000-0000-000081050000}"/>
    <cellStyle name="20% - Accent1 5 10 2" xfId="1029" xr:uid="{00000000-0005-0000-0000-000082050000}"/>
    <cellStyle name="20% - Accent1 5 11" xfId="1030" xr:uid="{00000000-0005-0000-0000-000083050000}"/>
    <cellStyle name="20% - Accent1 5 12" xfId="1031" xr:uid="{00000000-0005-0000-0000-000084050000}"/>
    <cellStyle name="20% - Accent1 5 13" xfId="34492" xr:uid="{00000000-0005-0000-0000-000085050000}"/>
    <cellStyle name="20% - Accent1 5 2" xfId="1032" xr:uid="{00000000-0005-0000-0000-000086050000}"/>
    <cellStyle name="20% - Accent1 5 2 10" xfId="1033" xr:uid="{00000000-0005-0000-0000-000087050000}"/>
    <cellStyle name="20% - Accent1 5 2 11" xfId="1034" xr:uid="{00000000-0005-0000-0000-000088050000}"/>
    <cellStyle name="20% - Accent1 5 2 12" xfId="34493" xr:uid="{00000000-0005-0000-0000-000089050000}"/>
    <cellStyle name="20% - Accent1 5 2 2" xfId="1035" xr:uid="{00000000-0005-0000-0000-00008A050000}"/>
    <cellStyle name="20% - Accent1 5 2 2 10" xfId="1036" xr:uid="{00000000-0005-0000-0000-00008B050000}"/>
    <cellStyle name="20% - Accent1 5 2 2 11" xfId="34494" xr:uid="{00000000-0005-0000-0000-00008C050000}"/>
    <cellStyle name="20% - Accent1 5 2 2 2" xfId="1037" xr:uid="{00000000-0005-0000-0000-00008D050000}"/>
    <cellStyle name="20% - Accent1 5 2 2 2 10" xfId="34495" xr:uid="{00000000-0005-0000-0000-00008E050000}"/>
    <cellStyle name="20% - Accent1 5 2 2 2 2" xfId="1038" xr:uid="{00000000-0005-0000-0000-00008F050000}"/>
    <cellStyle name="20% - Accent1 5 2 2 2 2 2" xfId="1039" xr:uid="{00000000-0005-0000-0000-000090050000}"/>
    <cellStyle name="20% - Accent1 5 2 2 2 2 2 2" xfId="1040" xr:uid="{00000000-0005-0000-0000-000091050000}"/>
    <cellStyle name="20% - Accent1 5 2 2 2 2 2 2 2" xfId="1041" xr:uid="{00000000-0005-0000-0000-000092050000}"/>
    <cellStyle name="20% - Accent1 5 2 2 2 2 2 3" xfId="1042" xr:uid="{00000000-0005-0000-0000-000093050000}"/>
    <cellStyle name="20% - Accent1 5 2 2 2 2 2 4" xfId="1043" xr:uid="{00000000-0005-0000-0000-000094050000}"/>
    <cellStyle name="20% - Accent1 5 2 2 2 2 2 5" xfId="36910" xr:uid="{00000000-0005-0000-0000-000095050000}"/>
    <cellStyle name="20% - Accent1 5 2 2 2 2 3" xfId="1044" xr:uid="{00000000-0005-0000-0000-000096050000}"/>
    <cellStyle name="20% - Accent1 5 2 2 2 2 3 2" xfId="1045" xr:uid="{00000000-0005-0000-0000-000097050000}"/>
    <cellStyle name="20% - Accent1 5 2 2 2 2 4" xfId="1046" xr:uid="{00000000-0005-0000-0000-000098050000}"/>
    <cellStyle name="20% - Accent1 5 2 2 2 2 5" xfId="1047" xr:uid="{00000000-0005-0000-0000-000099050000}"/>
    <cellStyle name="20% - Accent1 5 2 2 2 2 6" xfId="36909" xr:uid="{00000000-0005-0000-0000-00009A050000}"/>
    <cellStyle name="20% - Accent1 5 2 2 2 3" xfId="1048" xr:uid="{00000000-0005-0000-0000-00009B050000}"/>
    <cellStyle name="20% - Accent1 5 2 2 2 3 2" xfId="1049" xr:uid="{00000000-0005-0000-0000-00009C050000}"/>
    <cellStyle name="20% - Accent1 5 2 2 2 3 2 2" xfId="1050" xr:uid="{00000000-0005-0000-0000-00009D050000}"/>
    <cellStyle name="20% - Accent1 5 2 2 2 3 2 2 2" xfId="1051" xr:uid="{00000000-0005-0000-0000-00009E050000}"/>
    <cellStyle name="20% - Accent1 5 2 2 2 3 2 3" xfId="1052" xr:uid="{00000000-0005-0000-0000-00009F050000}"/>
    <cellStyle name="20% - Accent1 5 2 2 2 3 2 4" xfId="1053" xr:uid="{00000000-0005-0000-0000-0000A0050000}"/>
    <cellStyle name="20% - Accent1 5 2 2 2 3 2 5" xfId="36912" xr:uid="{00000000-0005-0000-0000-0000A1050000}"/>
    <cellStyle name="20% - Accent1 5 2 2 2 3 3" xfId="1054" xr:uid="{00000000-0005-0000-0000-0000A2050000}"/>
    <cellStyle name="20% - Accent1 5 2 2 2 3 3 2" xfId="1055" xr:uid="{00000000-0005-0000-0000-0000A3050000}"/>
    <cellStyle name="20% - Accent1 5 2 2 2 3 4" xfId="1056" xr:uid="{00000000-0005-0000-0000-0000A4050000}"/>
    <cellStyle name="20% - Accent1 5 2 2 2 3 5" xfId="1057" xr:uid="{00000000-0005-0000-0000-0000A5050000}"/>
    <cellStyle name="20% - Accent1 5 2 2 2 3 6" xfId="36911" xr:uid="{00000000-0005-0000-0000-0000A6050000}"/>
    <cellStyle name="20% - Accent1 5 2 2 2 4" xfId="1058" xr:uid="{00000000-0005-0000-0000-0000A7050000}"/>
    <cellStyle name="20% - Accent1 5 2 2 2 4 2" xfId="1059" xr:uid="{00000000-0005-0000-0000-0000A8050000}"/>
    <cellStyle name="20% - Accent1 5 2 2 2 4 2 2" xfId="1060" xr:uid="{00000000-0005-0000-0000-0000A9050000}"/>
    <cellStyle name="20% - Accent1 5 2 2 2 4 3" xfId="1061" xr:uid="{00000000-0005-0000-0000-0000AA050000}"/>
    <cellStyle name="20% - Accent1 5 2 2 2 4 4" xfId="1062" xr:uid="{00000000-0005-0000-0000-0000AB050000}"/>
    <cellStyle name="20% - Accent1 5 2 2 2 4 5" xfId="36913" xr:uid="{00000000-0005-0000-0000-0000AC050000}"/>
    <cellStyle name="20% - Accent1 5 2 2 2 5" xfId="1063" xr:uid="{00000000-0005-0000-0000-0000AD050000}"/>
    <cellStyle name="20% - Accent1 5 2 2 2 5 2" xfId="1064" xr:uid="{00000000-0005-0000-0000-0000AE050000}"/>
    <cellStyle name="20% - Accent1 5 2 2 2 5 2 2" xfId="1065" xr:uid="{00000000-0005-0000-0000-0000AF050000}"/>
    <cellStyle name="20% - Accent1 5 2 2 2 5 3" xfId="1066" xr:uid="{00000000-0005-0000-0000-0000B0050000}"/>
    <cellStyle name="20% - Accent1 5 2 2 2 5 4" xfId="1067" xr:uid="{00000000-0005-0000-0000-0000B1050000}"/>
    <cellStyle name="20% - Accent1 5 2 2 2 6" xfId="1068" xr:uid="{00000000-0005-0000-0000-0000B2050000}"/>
    <cellStyle name="20% - Accent1 5 2 2 2 6 2" xfId="1069" xr:uid="{00000000-0005-0000-0000-0000B3050000}"/>
    <cellStyle name="20% - Accent1 5 2 2 2 6 2 2" xfId="1070" xr:uid="{00000000-0005-0000-0000-0000B4050000}"/>
    <cellStyle name="20% - Accent1 5 2 2 2 6 3" xfId="1071" xr:uid="{00000000-0005-0000-0000-0000B5050000}"/>
    <cellStyle name="20% - Accent1 5 2 2 2 6 4" xfId="1072" xr:uid="{00000000-0005-0000-0000-0000B6050000}"/>
    <cellStyle name="20% - Accent1 5 2 2 2 7" xfId="1073" xr:uid="{00000000-0005-0000-0000-0000B7050000}"/>
    <cellStyle name="20% - Accent1 5 2 2 2 7 2" xfId="1074" xr:uid="{00000000-0005-0000-0000-0000B8050000}"/>
    <cellStyle name="20% - Accent1 5 2 2 2 8" xfId="1075" xr:uid="{00000000-0005-0000-0000-0000B9050000}"/>
    <cellStyle name="20% - Accent1 5 2 2 2 9" xfId="1076" xr:uid="{00000000-0005-0000-0000-0000BA050000}"/>
    <cellStyle name="20% - Accent1 5 2 2 3" xfId="1077" xr:uid="{00000000-0005-0000-0000-0000BB050000}"/>
    <cellStyle name="20% - Accent1 5 2 2 3 2" xfId="1078" xr:uid="{00000000-0005-0000-0000-0000BC050000}"/>
    <cellStyle name="20% - Accent1 5 2 2 3 2 2" xfId="1079" xr:uid="{00000000-0005-0000-0000-0000BD050000}"/>
    <cellStyle name="20% - Accent1 5 2 2 3 2 2 2" xfId="1080" xr:uid="{00000000-0005-0000-0000-0000BE050000}"/>
    <cellStyle name="20% - Accent1 5 2 2 3 2 3" xfId="1081" xr:uid="{00000000-0005-0000-0000-0000BF050000}"/>
    <cellStyle name="20% - Accent1 5 2 2 3 2 4" xfId="1082" xr:uid="{00000000-0005-0000-0000-0000C0050000}"/>
    <cellStyle name="20% - Accent1 5 2 2 3 2 5" xfId="36915" xr:uid="{00000000-0005-0000-0000-0000C1050000}"/>
    <cellStyle name="20% - Accent1 5 2 2 3 3" xfId="1083" xr:uid="{00000000-0005-0000-0000-0000C2050000}"/>
    <cellStyle name="20% - Accent1 5 2 2 3 3 2" xfId="1084" xr:uid="{00000000-0005-0000-0000-0000C3050000}"/>
    <cellStyle name="20% - Accent1 5 2 2 3 4" xfId="1085" xr:uid="{00000000-0005-0000-0000-0000C4050000}"/>
    <cellStyle name="20% - Accent1 5 2 2 3 5" xfId="1086" xr:uid="{00000000-0005-0000-0000-0000C5050000}"/>
    <cellStyle name="20% - Accent1 5 2 2 3 6" xfId="36914" xr:uid="{00000000-0005-0000-0000-0000C6050000}"/>
    <cellStyle name="20% - Accent1 5 2 2 4" xfId="1087" xr:uid="{00000000-0005-0000-0000-0000C7050000}"/>
    <cellStyle name="20% - Accent1 5 2 2 4 2" xfId="1088" xr:uid="{00000000-0005-0000-0000-0000C8050000}"/>
    <cellStyle name="20% - Accent1 5 2 2 4 2 2" xfId="1089" xr:uid="{00000000-0005-0000-0000-0000C9050000}"/>
    <cellStyle name="20% - Accent1 5 2 2 4 2 2 2" xfId="1090" xr:uid="{00000000-0005-0000-0000-0000CA050000}"/>
    <cellStyle name="20% - Accent1 5 2 2 4 2 3" xfId="1091" xr:uid="{00000000-0005-0000-0000-0000CB050000}"/>
    <cellStyle name="20% - Accent1 5 2 2 4 2 4" xfId="1092" xr:uid="{00000000-0005-0000-0000-0000CC050000}"/>
    <cellStyle name="20% - Accent1 5 2 2 4 2 5" xfId="36917" xr:uid="{00000000-0005-0000-0000-0000CD050000}"/>
    <cellStyle name="20% - Accent1 5 2 2 4 3" xfId="1093" xr:uid="{00000000-0005-0000-0000-0000CE050000}"/>
    <cellStyle name="20% - Accent1 5 2 2 4 3 2" xfId="1094" xr:uid="{00000000-0005-0000-0000-0000CF050000}"/>
    <cellStyle name="20% - Accent1 5 2 2 4 4" xfId="1095" xr:uid="{00000000-0005-0000-0000-0000D0050000}"/>
    <cellStyle name="20% - Accent1 5 2 2 4 5" xfId="1096" xr:uid="{00000000-0005-0000-0000-0000D1050000}"/>
    <cellStyle name="20% - Accent1 5 2 2 4 6" xfId="36916" xr:uid="{00000000-0005-0000-0000-0000D2050000}"/>
    <cellStyle name="20% - Accent1 5 2 2 5" xfId="1097" xr:uid="{00000000-0005-0000-0000-0000D3050000}"/>
    <cellStyle name="20% - Accent1 5 2 2 5 2" xfId="1098" xr:uid="{00000000-0005-0000-0000-0000D4050000}"/>
    <cellStyle name="20% - Accent1 5 2 2 5 2 2" xfId="1099" xr:uid="{00000000-0005-0000-0000-0000D5050000}"/>
    <cellStyle name="20% - Accent1 5 2 2 5 3" xfId="1100" xr:uid="{00000000-0005-0000-0000-0000D6050000}"/>
    <cellStyle name="20% - Accent1 5 2 2 5 4" xfId="1101" xr:uid="{00000000-0005-0000-0000-0000D7050000}"/>
    <cellStyle name="20% - Accent1 5 2 2 5 5" xfId="36918" xr:uid="{00000000-0005-0000-0000-0000D8050000}"/>
    <cellStyle name="20% - Accent1 5 2 2 6" xfId="1102" xr:uid="{00000000-0005-0000-0000-0000D9050000}"/>
    <cellStyle name="20% - Accent1 5 2 2 6 2" xfId="1103" xr:uid="{00000000-0005-0000-0000-0000DA050000}"/>
    <cellStyle name="20% - Accent1 5 2 2 6 2 2" xfId="1104" xr:uid="{00000000-0005-0000-0000-0000DB050000}"/>
    <cellStyle name="20% - Accent1 5 2 2 6 3" xfId="1105" xr:uid="{00000000-0005-0000-0000-0000DC050000}"/>
    <cellStyle name="20% - Accent1 5 2 2 6 4" xfId="1106" xr:uid="{00000000-0005-0000-0000-0000DD050000}"/>
    <cellStyle name="20% - Accent1 5 2 2 7" xfId="1107" xr:uid="{00000000-0005-0000-0000-0000DE050000}"/>
    <cellStyle name="20% - Accent1 5 2 2 7 2" xfId="1108" xr:uid="{00000000-0005-0000-0000-0000DF050000}"/>
    <cellStyle name="20% - Accent1 5 2 2 7 2 2" xfId="1109" xr:uid="{00000000-0005-0000-0000-0000E0050000}"/>
    <cellStyle name="20% - Accent1 5 2 2 7 3" xfId="1110" xr:uid="{00000000-0005-0000-0000-0000E1050000}"/>
    <cellStyle name="20% - Accent1 5 2 2 7 4" xfId="1111" xr:uid="{00000000-0005-0000-0000-0000E2050000}"/>
    <cellStyle name="20% - Accent1 5 2 2 8" xfId="1112" xr:uid="{00000000-0005-0000-0000-0000E3050000}"/>
    <cellStyle name="20% - Accent1 5 2 2 8 2" xfId="1113" xr:uid="{00000000-0005-0000-0000-0000E4050000}"/>
    <cellStyle name="20% - Accent1 5 2 2 9" xfId="1114" xr:uid="{00000000-0005-0000-0000-0000E5050000}"/>
    <cellStyle name="20% - Accent1 5 2 3" xfId="1115" xr:uid="{00000000-0005-0000-0000-0000E6050000}"/>
    <cellStyle name="20% - Accent1 5 2 3 10" xfId="34496" xr:uid="{00000000-0005-0000-0000-0000E7050000}"/>
    <cellStyle name="20% - Accent1 5 2 3 2" xfId="1116" xr:uid="{00000000-0005-0000-0000-0000E8050000}"/>
    <cellStyle name="20% - Accent1 5 2 3 2 2" xfId="1117" xr:uid="{00000000-0005-0000-0000-0000E9050000}"/>
    <cellStyle name="20% - Accent1 5 2 3 2 2 2" xfId="1118" xr:uid="{00000000-0005-0000-0000-0000EA050000}"/>
    <cellStyle name="20% - Accent1 5 2 3 2 2 2 2" xfId="1119" xr:uid="{00000000-0005-0000-0000-0000EB050000}"/>
    <cellStyle name="20% - Accent1 5 2 3 2 2 3" xfId="1120" xr:uid="{00000000-0005-0000-0000-0000EC050000}"/>
    <cellStyle name="20% - Accent1 5 2 3 2 2 4" xfId="1121" xr:uid="{00000000-0005-0000-0000-0000ED050000}"/>
    <cellStyle name="20% - Accent1 5 2 3 2 2 5" xfId="36920" xr:uid="{00000000-0005-0000-0000-0000EE050000}"/>
    <cellStyle name="20% - Accent1 5 2 3 2 3" xfId="1122" xr:uid="{00000000-0005-0000-0000-0000EF050000}"/>
    <cellStyle name="20% - Accent1 5 2 3 2 3 2" xfId="1123" xr:uid="{00000000-0005-0000-0000-0000F0050000}"/>
    <cellStyle name="20% - Accent1 5 2 3 2 4" xfId="1124" xr:uid="{00000000-0005-0000-0000-0000F1050000}"/>
    <cellStyle name="20% - Accent1 5 2 3 2 5" xfId="1125" xr:uid="{00000000-0005-0000-0000-0000F2050000}"/>
    <cellStyle name="20% - Accent1 5 2 3 2 6" xfId="36919" xr:uid="{00000000-0005-0000-0000-0000F3050000}"/>
    <cellStyle name="20% - Accent1 5 2 3 3" xfId="1126" xr:uid="{00000000-0005-0000-0000-0000F4050000}"/>
    <cellStyle name="20% - Accent1 5 2 3 3 2" xfId="1127" xr:uid="{00000000-0005-0000-0000-0000F5050000}"/>
    <cellStyle name="20% - Accent1 5 2 3 3 2 2" xfId="1128" xr:uid="{00000000-0005-0000-0000-0000F6050000}"/>
    <cellStyle name="20% - Accent1 5 2 3 3 2 2 2" xfId="1129" xr:uid="{00000000-0005-0000-0000-0000F7050000}"/>
    <cellStyle name="20% - Accent1 5 2 3 3 2 3" xfId="1130" xr:uid="{00000000-0005-0000-0000-0000F8050000}"/>
    <cellStyle name="20% - Accent1 5 2 3 3 2 4" xfId="1131" xr:uid="{00000000-0005-0000-0000-0000F9050000}"/>
    <cellStyle name="20% - Accent1 5 2 3 3 2 5" xfId="36922" xr:uid="{00000000-0005-0000-0000-0000FA050000}"/>
    <cellStyle name="20% - Accent1 5 2 3 3 3" xfId="1132" xr:uid="{00000000-0005-0000-0000-0000FB050000}"/>
    <cellStyle name="20% - Accent1 5 2 3 3 3 2" xfId="1133" xr:uid="{00000000-0005-0000-0000-0000FC050000}"/>
    <cellStyle name="20% - Accent1 5 2 3 3 4" xfId="1134" xr:uid="{00000000-0005-0000-0000-0000FD050000}"/>
    <cellStyle name="20% - Accent1 5 2 3 3 5" xfId="1135" xr:uid="{00000000-0005-0000-0000-0000FE050000}"/>
    <cellStyle name="20% - Accent1 5 2 3 3 6" xfId="36921" xr:uid="{00000000-0005-0000-0000-0000FF050000}"/>
    <cellStyle name="20% - Accent1 5 2 3 4" xfId="1136" xr:uid="{00000000-0005-0000-0000-000000060000}"/>
    <cellStyle name="20% - Accent1 5 2 3 4 2" xfId="1137" xr:uid="{00000000-0005-0000-0000-000001060000}"/>
    <cellStyle name="20% - Accent1 5 2 3 4 2 2" xfId="1138" xr:uid="{00000000-0005-0000-0000-000002060000}"/>
    <cellStyle name="20% - Accent1 5 2 3 4 3" xfId="1139" xr:uid="{00000000-0005-0000-0000-000003060000}"/>
    <cellStyle name="20% - Accent1 5 2 3 4 4" xfId="1140" xr:uid="{00000000-0005-0000-0000-000004060000}"/>
    <cellStyle name="20% - Accent1 5 2 3 4 5" xfId="36923" xr:uid="{00000000-0005-0000-0000-000005060000}"/>
    <cellStyle name="20% - Accent1 5 2 3 5" xfId="1141" xr:uid="{00000000-0005-0000-0000-000006060000}"/>
    <cellStyle name="20% - Accent1 5 2 3 5 2" xfId="1142" xr:uid="{00000000-0005-0000-0000-000007060000}"/>
    <cellStyle name="20% - Accent1 5 2 3 5 2 2" xfId="1143" xr:uid="{00000000-0005-0000-0000-000008060000}"/>
    <cellStyle name="20% - Accent1 5 2 3 5 3" xfId="1144" xr:uid="{00000000-0005-0000-0000-000009060000}"/>
    <cellStyle name="20% - Accent1 5 2 3 5 4" xfId="1145" xr:uid="{00000000-0005-0000-0000-00000A060000}"/>
    <cellStyle name="20% - Accent1 5 2 3 6" xfId="1146" xr:uid="{00000000-0005-0000-0000-00000B060000}"/>
    <cellStyle name="20% - Accent1 5 2 3 6 2" xfId="1147" xr:uid="{00000000-0005-0000-0000-00000C060000}"/>
    <cellStyle name="20% - Accent1 5 2 3 6 2 2" xfId="1148" xr:uid="{00000000-0005-0000-0000-00000D060000}"/>
    <cellStyle name="20% - Accent1 5 2 3 6 3" xfId="1149" xr:uid="{00000000-0005-0000-0000-00000E060000}"/>
    <cellStyle name="20% - Accent1 5 2 3 6 4" xfId="1150" xr:uid="{00000000-0005-0000-0000-00000F060000}"/>
    <cellStyle name="20% - Accent1 5 2 3 7" xfId="1151" xr:uid="{00000000-0005-0000-0000-000010060000}"/>
    <cellStyle name="20% - Accent1 5 2 3 7 2" xfId="1152" xr:uid="{00000000-0005-0000-0000-000011060000}"/>
    <cellStyle name="20% - Accent1 5 2 3 8" xfId="1153" xr:uid="{00000000-0005-0000-0000-000012060000}"/>
    <cellStyle name="20% - Accent1 5 2 3 9" xfId="1154" xr:uid="{00000000-0005-0000-0000-000013060000}"/>
    <cellStyle name="20% - Accent1 5 2 4" xfId="1155" xr:uid="{00000000-0005-0000-0000-000014060000}"/>
    <cellStyle name="20% - Accent1 5 2 4 2" xfId="1156" xr:uid="{00000000-0005-0000-0000-000015060000}"/>
    <cellStyle name="20% - Accent1 5 2 4 2 2" xfId="1157" xr:uid="{00000000-0005-0000-0000-000016060000}"/>
    <cellStyle name="20% - Accent1 5 2 4 2 2 2" xfId="1158" xr:uid="{00000000-0005-0000-0000-000017060000}"/>
    <cellStyle name="20% - Accent1 5 2 4 2 3" xfId="1159" xr:uid="{00000000-0005-0000-0000-000018060000}"/>
    <cellStyle name="20% - Accent1 5 2 4 2 4" xfId="1160" xr:uid="{00000000-0005-0000-0000-000019060000}"/>
    <cellStyle name="20% - Accent1 5 2 4 2 5" xfId="36925" xr:uid="{00000000-0005-0000-0000-00001A060000}"/>
    <cellStyle name="20% - Accent1 5 2 4 3" xfId="1161" xr:uid="{00000000-0005-0000-0000-00001B060000}"/>
    <cellStyle name="20% - Accent1 5 2 4 3 2" xfId="1162" xr:uid="{00000000-0005-0000-0000-00001C060000}"/>
    <cellStyle name="20% - Accent1 5 2 4 4" xfId="1163" xr:uid="{00000000-0005-0000-0000-00001D060000}"/>
    <cellStyle name="20% - Accent1 5 2 4 5" xfId="1164" xr:uid="{00000000-0005-0000-0000-00001E060000}"/>
    <cellStyle name="20% - Accent1 5 2 4 6" xfId="36924" xr:uid="{00000000-0005-0000-0000-00001F060000}"/>
    <cellStyle name="20% - Accent1 5 2 5" xfId="1165" xr:uid="{00000000-0005-0000-0000-000020060000}"/>
    <cellStyle name="20% - Accent1 5 2 5 2" xfId="1166" xr:uid="{00000000-0005-0000-0000-000021060000}"/>
    <cellStyle name="20% - Accent1 5 2 5 2 2" xfId="1167" xr:uid="{00000000-0005-0000-0000-000022060000}"/>
    <cellStyle name="20% - Accent1 5 2 5 2 2 2" xfId="1168" xr:uid="{00000000-0005-0000-0000-000023060000}"/>
    <cellStyle name="20% - Accent1 5 2 5 2 3" xfId="1169" xr:uid="{00000000-0005-0000-0000-000024060000}"/>
    <cellStyle name="20% - Accent1 5 2 5 2 4" xfId="1170" xr:uid="{00000000-0005-0000-0000-000025060000}"/>
    <cellStyle name="20% - Accent1 5 2 5 2 5" xfId="36927" xr:uid="{00000000-0005-0000-0000-000026060000}"/>
    <cellStyle name="20% - Accent1 5 2 5 3" xfId="1171" xr:uid="{00000000-0005-0000-0000-000027060000}"/>
    <cellStyle name="20% - Accent1 5 2 5 3 2" xfId="1172" xr:uid="{00000000-0005-0000-0000-000028060000}"/>
    <cellStyle name="20% - Accent1 5 2 5 4" xfId="1173" xr:uid="{00000000-0005-0000-0000-000029060000}"/>
    <cellStyle name="20% - Accent1 5 2 5 5" xfId="1174" xr:uid="{00000000-0005-0000-0000-00002A060000}"/>
    <cellStyle name="20% - Accent1 5 2 5 6" xfId="36926" xr:uid="{00000000-0005-0000-0000-00002B060000}"/>
    <cellStyle name="20% - Accent1 5 2 6" xfId="1175" xr:uid="{00000000-0005-0000-0000-00002C060000}"/>
    <cellStyle name="20% - Accent1 5 2 6 2" xfId="1176" xr:uid="{00000000-0005-0000-0000-00002D060000}"/>
    <cellStyle name="20% - Accent1 5 2 6 2 2" xfId="1177" xr:uid="{00000000-0005-0000-0000-00002E060000}"/>
    <cellStyle name="20% - Accent1 5 2 6 3" xfId="1178" xr:uid="{00000000-0005-0000-0000-00002F060000}"/>
    <cellStyle name="20% - Accent1 5 2 6 4" xfId="1179" xr:uid="{00000000-0005-0000-0000-000030060000}"/>
    <cellStyle name="20% - Accent1 5 2 6 5" xfId="36928" xr:uid="{00000000-0005-0000-0000-000031060000}"/>
    <cellStyle name="20% - Accent1 5 2 7" xfId="1180" xr:uid="{00000000-0005-0000-0000-000032060000}"/>
    <cellStyle name="20% - Accent1 5 2 7 2" xfId="1181" xr:uid="{00000000-0005-0000-0000-000033060000}"/>
    <cellStyle name="20% - Accent1 5 2 7 2 2" xfId="1182" xr:uid="{00000000-0005-0000-0000-000034060000}"/>
    <cellStyle name="20% - Accent1 5 2 7 3" xfId="1183" xr:uid="{00000000-0005-0000-0000-000035060000}"/>
    <cellStyle name="20% - Accent1 5 2 7 4" xfId="1184" xr:uid="{00000000-0005-0000-0000-000036060000}"/>
    <cellStyle name="20% - Accent1 5 2 8" xfId="1185" xr:uid="{00000000-0005-0000-0000-000037060000}"/>
    <cellStyle name="20% - Accent1 5 2 8 2" xfId="1186" xr:uid="{00000000-0005-0000-0000-000038060000}"/>
    <cellStyle name="20% - Accent1 5 2 8 2 2" xfId="1187" xr:uid="{00000000-0005-0000-0000-000039060000}"/>
    <cellStyle name="20% - Accent1 5 2 8 3" xfId="1188" xr:uid="{00000000-0005-0000-0000-00003A060000}"/>
    <cellStyle name="20% - Accent1 5 2 8 4" xfId="1189" xr:uid="{00000000-0005-0000-0000-00003B060000}"/>
    <cellStyle name="20% - Accent1 5 2 9" xfId="1190" xr:uid="{00000000-0005-0000-0000-00003C060000}"/>
    <cellStyle name="20% - Accent1 5 2 9 2" xfId="1191" xr:uid="{00000000-0005-0000-0000-00003D060000}"/>
    <cellStyle name="20% - Accent1 5 3" xfId="1192" xr:uid="{00000000-0005-0000-0000-00003E060000}"/>
    <cellStyle name="20% - Accent1 5 3 10" xfId="1193" xr:uid="{00000000-0005-0000-0000-00003F060000}"/>
    <cellStyle name="20% - Accent1 5 3 11" xfId="34497" xr:uid="{00000000-0005-0000-0000-000040060000}"/>
    <cellStyle name="20% - Accent1 5 3 2" xfId="1194" xr:uid="{00000000-0005-0000-0000-000041060000}"/>
    <cellStyle name="20% - Accent1 5 3 2 10" xfId="34498" xr:uid="{00000000-0005-0000-0000-000042060000}"/>
    <cellStyle name="20% - Accent1 5 3 2 2" xfId="1195" xr:uid="{00000000-0005-0000-0000-000043060000}"/>
    <cellStyle name="20% - Accent1 5 3 2 2 2" xfId="1196" xr:uid="{00000000-0005-0000-0000-000044060000}"/>
    <cellStyle name="20% - Accent1 5 3 2 2 2 2" xfId="1197" xr:uid="{00000000-0005-0000-0000-000045060000}"/>
    <cellStyle name="20% - Accent1 5 3 2 2 2 2 2" xfId="1198" xr:uid="{00000000-0005-0000-0000-000046060000}"/>
    <cellStyle name="20% - Accent1 5 3 2 2 2 3" xfId="1199" xr:uid="{00000000-0005-0000-0000-000047060000}"/>
    <cellStyle name="20% - Accent1 5 3 2 2 2 4" xfId="1200" xr:uid="{00000000-0005-0000-0000-000048060000}"/>
    <cellStyle name="20% - Accent1 5 3 2 2 2 5" xfId="36930" xr:uid="{00000000-0005-0000-0000-000049060000}"/>
    <cellStyle name="20% - Accent1 5 3 2 2 3" xfId="1201" xr:uid="{00000000-0005-0000-0000-00004A060000}"/>
    <cellStyle name="20% - Accent1 5 3 2 2 3 2" xfId="1202" xr:uid="{00000000-0005-0000-0000-00004B060000}"/>
    <cellStyle name="20% - Accent1 5 3 2 2 4" xfId="1203" xr:uid="{00000000-0005-0000-0000-00004C060000}"/>
    <cellStyle name="20% - Accent1 5 3 2 2 5" xfId="1204" xr:uid="{00000000-0005-0000-0000-00004D060000}"/>
    <cellStyle name="20% - Accent1 5 3 2 2 6" xfId="36929" xr:uid="{00000000-0005-0000-0000-00004E060000}"/>
    <cellStyle name="20% - Accent1 5 3 2 3" xfId="1205" xr:uid="{00000000-0005-0000-0000-00004F060000}"/>
    <cellStyle name="20% - Accent1 5 3 2 3 2" xfId="1206" xr:uid="{00000000-0005-0000-0000-000050060000}"/>
    <cellStyle name="20% - Accent1 5 3 2 3 2 2" xfId="1207" xr:uid="{00000000-0005-0000-0000-000051060000}"/>
    <cellStyle name="20% - Accent1 5 3 2 3 2 2 2" xfId="1208" xr:uid="{00000000-0005-0000-0000-000052060000}"/>
    <cellStyle name="20% - Accent1 5 3 2 3 2 3" xfId="1209" xr:uid="{00000000-0005-0000-0000-000053060000}"/>
    <cellStyle name="20% - Accent1 5 3 2 3 2 4" xfId="1210" xr:uid="{00000000-0005-0000-0000-000054060000}"/>
    <cellStyle name="20% - Accent1 5 3 2 3 2 5" xfId="36932" xr:uid="{00000000-0005-0000-0000-000055060000}"/>
    <cellStyle name="20% - Accent1 5 3 2 3 3" xfId="1211" xr:uid="{00000000-0005-0000-0000-000056060000}"/>
    <cellStyle name="20% - Accent1 5 3 2 3 3 2" xfId="1212" xr:uid="{00000000-0005-0000-0000-000057060000}"/>
    <cellStyle name="20% - Accent1 5 3 2 3 4" xfId="1213" xr:uid="{00000000-0005-0000-0000-000058060000}"/>
    <cellStyle name="20% - Accent1 5 3 2 3 5" xfId="1214" xr:uid="{00000000-0005-0000-0000-000059060000}"/>
    <cellStyle name="20% - Accent1 5 3 2 3 6" xfId="36931" xr:uid="{00000000-0005-0000-0000-00005A060000}"/>
    <cellStyle name="20% - Accent1 5 3 2 4" xfId="1215" xr:uid="{00000000-0005-0000-0000-00005B060000}"/>
    <cellStyle name="20% - Accent1 5 3 2 4 2" xfId="1216" xr:uid="{00000000-0005-0000-0000-00005C060000}"/>
    <cellStyle name="20% - Accent1 5 3 2 4 2 2" xfId="1217" xr:uid="{00000000-0005-0000-0000-00005D060000}"/>
    <cellStyle name="20% - Accent1 5 3 2 4 3" xfId="1218" xr:uid="{00000000-0005-0000-0000-00005E060000}"/>
    <cellStyle name="20% - Accent1 5 3 2 4 4" xfId="1219" xr:uid="{00000000-0005-0000-0000-00005F060000}"/>
    <cellStyle name="20% - Accent1 5 3 2 4 5" xfId="36933" xr:uid="{00000000-0005-0000-0000-000060060000}"/>
    <cellStyle name="20% - Accent1 5 3 2 5" xfId="1220" xr:uid="{00000000-0005-0000-0000-000061060000}"/>
    <cellStyle name="20% - Accent1 5 3 2 5 2" xfId="1221" xr:uid="{00000000-0005-0000-0000-000062060000}"/>
    <cellStyle name="20% - Accent1 5 3 2 5 2 2" xfId="1222" xr:uid="{00000000-0005-0000-0000-000063060000}"/>
    <cellStyle name="20% - Accent1 5 3 2 5 3" xfId="1223" xr:uid="{00000000-0005-0000-0000-000064060000}"/>
    <cellStyle name="20% - Accent1 5 3 2 5 4" xfId="1224" xr:uid="{00000000-0005-0000-0000-000065060000}"/>
    <cellStyle name="20% - Accent1 5 3 2 6" xfId="1225" xr:uid="{00000000-0005-0000-0000-000066060000}"/>
    <cellStyle name="20% - Accent1 5 3 2 6 2" xfId="1226" xr:uid="{00000000-0005-0000-0000-000067060000}"/>
    <cellStyle name="20% - Accent1 5 3 2 6 2 2" xfId="1227" xr:uid="{00000000-0005-0000-0000-000068060000}"/>
    <cellStyle name="20% - Accent1 5 3 2 6 3" xfId="1228" xr:uid="{00000000-0005-0000-0000-000069060000}"/>
    <cellStyle name="20% - Accent1 5 3 2 6 4" xfId="1229" xr:uid="{00000000-0005-0000-0000-00006A060000}"/>
    <cellStyle name="20% - Accent1 5 3 2 7" xfId="1230" xr:uid="{00000000-0005-0000-0000-00006B060000}"/>
    <cellStyle name="20% - Accent1 5 3 2 7 2" xfId="1231" xr:uid="{00000000-0005-0000-0000-00006C060000}"/>
    <cellStyle name="20% - Accent1 5 3 2 8" xfId="1232" xr:uid="{00000000-0005-0000-0000-00006D060000}"/>
    <cellStyle name="20% - Accent1 5 3 2 9" xfId="1233" xr:uid="{00000000-0005-0000-0000-00006E060000}"/>
    <cellStyle name="20% - Accent1 5 3 3" xfId="1234" xr:uid="{00000000-0005-0000-0000-00006F060000}"/>
    <cellStyle name="20% - Accent1 5 3 3 2" xfId="1235" xr:uid="{00000000-0005-0000-0000-000070060000}"/>
    <cellStyle name="20% - Accent1 5 3 3 2 2" xfId="1236" xr:uid="{00000000-0005-0000-0000-000071060000}"/>
    <cellStyle name="20% - Accent1 5 3 3 2 2 2" xfId="1237" xr:uid="{00000000-0005-0000-0000-000072060000}"/>
    <cellStyle name="20% - Accent1 5 3 3 2 3" xfId="1238" xr:uid="{00000000-0005-0000-0000-000073060000}"/>
    <cellStyle name="20% - Accent1 5 3 3 2 4" xfId="1239" xr:uid="{00000000-0005-0000-0000-000074060000}"/>
    <cellStyle name="20% - Accent1 5 3 3 2 5" xfId="36935" xr:uid="{00000000-0005-0000-0000-000075060000}"/>
    <cellStyle name="20% - Accent1 5 3 3 3" xfId="1240" xr:uid="{00000000-0005-0000-0000-000076060000}"/>
    <cellStyle name="20% - Accent1 5 3 3 3 2" xfId="1241" xr:uid="{00000000-0005-0000-0000-000077060000}"/>
    <cellStyle name="20% - Accent1 5 3 3 4" xfId="1242" xr:uid="{00000000-0005-0000-0000-000078060000}"/>
    <cellStyle name="20% - Accent1 5 3 3 5" xfId="1243" xr:uid="{00000000-0005-0000-0000-000079060000}"/>
    <cellStyle name="20% - Accent1 5 3 3 6" xfId="36934" xr:uid="{00000000-0005-0000-0000-00007A060000}"/>
    <cellStyle name="20% - Accent1 5 3 4" xfId="1244" xr:uid="{00000000-0005-0000-0000-00007B060000}"/>
    <cellStyle name="20% - Accent1 5 3 4 2" xfId="1245" xr:uid="{00000000-0005-0000-0000-00007C060000}"/>
    <cellStyle name="20% - Accent1 5 3 4 2 2" xfId="1246" xr:uid="{00000000-0005-0000-0000-00007D060000}"/>
    <cellStyle name="20% - Accent1 5 3 4 2 2 2" xfId="1247" xr:uid="{00000000-0005-0000-0000-00007E060000}"/>
    <cellStyle name="20% - Accent1 5 3 4 2 3" xfId="1248" xr:uid="{00000000-0005-0000-0000-00007F060000}"/>
    <cellStyle name="20% - Accent1 5 3 4 2 4" xfId="1249" xr:uid="{00000000-0005-0000-0000-000080060000}"/>
    <cellStyle name="20% - Accent1 5 3 4 2 5" xfId="36937" xr:uid="{00000000-0005-0000-0000-000081060000}"/>
    <cellStyle name="20% - Accent1 5 3 4 3" xfId="1250" xr:uid="{00000000-0005-0000-0000-000082060000}"/>
    <cellStyle name="20% - Accent1 5 3 4 3 2" xfId="1251" xr:uid="{00000000-0005-0000-0000-000083060000}"/>
    <cellStyle name="20% - Accent1 5 3 4 4" xfId="1252" xr:uid="{00000000-0005-0000-0000-000084060000}"/>
    <cellStyle name="20% - Accent1 5 3 4 5" xfId="1253" xr:uid="{00000000-0005-0000-0000-000085060000}"/>
    <cellStyle name="20% - Accent1 5 3 4 6" xfId="36936" xr:uid="{00000000-0005-0000-0000-000086060000}"/>
    <cellStyle name="20% - Accent1 5 3 5" xfId="1254" xr:uid="{00000000-0005-0000-0000-000087060000}"/>
    <cellStyle name="20% - Accent1 5 3 5 2" xfId="1255" xr:uid="{00000000-0005-0000-0000-000088060000}"/>
    <cellStyle name="20% - Accent1 5 3 5 2 2" xfId="1256" xr:uid="{00000000-0005-0000-0000-000089060000}"/>
    <cellStyle name="20% - Accent1 5 3 5 3" xfId="1257" xr:uid="{00000000-0005-0000-0000-00008A060000}"/>
    <cellStyle name="20% - Accent1 5 3 5 4" xfId="1258" xr:uid="{00000000-0005-0000-0000-00008B060000}"/>
    <cellStyle name="20% - Accent1 5 3 5 5" xfId="36938" xr:uid="{00000000-0005-0000-0000-00008C060000}"/>
    <cellStyle name="20% - Accent1 5 3 6" xfId="1259" xr:uid="{00000000-0005-0000-0000-00008D060000}"/>
    <cellStyle name="20% - Accent1 5 3 6 2" xfId="1260" xr:uid="{00000000-0005-0000-0000-00008E060000}"/>
    <cellStyle name="20% - Accent1 5 3 6 2 2" xfId="1261" xr:uid="{00000000-0005-0000-0000-00008F060000}"/>
    <cellStyle name="20% - Accent1 5 3 6 3" xfId="1262" xr:uid="{00000000-0005-0000-0000-000090060000}"/>
    <cellStyle name="20% - Accent1 5 3 6 4" xfId="1263" xr:uid="{00000000-0005-0000-0000-000091060000}"/>
    <cellStyle name="20% - Accent1 5 3 7" xfId="1264" xr:uid="{00000000-0005-0000-0000-000092060000}"/>
    <cellStyle name="20% - Accent1 5 3 7 2" xfId="1265" xr:uid="{00000000-0005-0000-0000-000093060000}"/>
    <cellStyle name="20% - Accent1 5 3 7 2 2" xfId="1266" xr:uid="{00000000-0005-0000-0000-000094060000}"/>
    <cellStyle name="20% - Accent1 5 3 7 3" xfId="1267" xr:uid="{00000000-0005-0000-0000-000095060000}"/>
    <cellStyle name="20% - Accent1 5 3 7 4" xfId="1268" xr:uid="{00000000-0005-0000-0000-000096060000}"/>
    <cellStyle name="20% - Accent1 5 3 8" xfId="1269" xr:uid="{00000000-0005-0000-0000-000097060000}"/>
    <cellStyle name="20% - Accent1 5 3 8 2" xfId="1270" xr:uid="{00000000-0005-0000-0000-000098060000}"/>
    <cellStyle name="20% - Accent1 5 3 9" xfId="1271" xr:uid="{00000000-0005-0000-0000-000099060000}"/>
    <cellStyle name="20% - Accent1 5 4" xfId="1272" xr:uid="{00000000-0005-0000-0000-00009A060000}"/>
    <cellStyle name="20% - Accent1 5 4 10" xfId="34499" xr:uid="{00000000-0005-0000-0000-00009B060000}"/>
    <cellStyle name="20% - Accent1 5 4 2" xfId="1273" xr:uid="{00000000-0005-0000-0000-00009C060000}"/>
    <cellStyle name="20% - Accent1 5 4 2 2" xfId="1274" xr:uid="{00000000-0005-0000-0000-00009D060000}"/>
    <cellStyle name="20% - Accent1 5 4 2 2 2" xfId="1275" xr:uid="{00000000-0005-0000-0000-00009E060000}"/>
    <cellStyle name="20% - Accent1 5 4 2 2 2 2" xfId="1276" xr:uid="{00000000-0005-0000-0000-00009F060000}"/>
    <cellStyle name="20% - Accent1 5 4 2 2 3" xfId="1277" xr:uid="{00000000-0005-0000-0000-0000A0060000}"/>
    <cellStyle name="20% - Accent1 5 4 2 2 4" xfId="1278" xr:uid="{00000000-0005-0000-0000-0000A1060000}"/>
    <cellStyle name="20% - Accent1 5 4 2 2 5" xfId="36940" xr:uid="{00000000-0005-0000-0000-0000A2060000}"/>
    <cellStyle name="20% - Accent1 5 4 2 3" xfId="1279" xr:uid="{00000000-0005-0000-0000-0000A3060000}"/>
    <cellStyle name="20% - Accent1 5 4 2 3 2" xfId="1280" xr:uid="{00000000-0005-0000-0000-0000A4060000}"/>
    <cellStyle name="20% - Accent1 5 4 2 4" xfId="1281" xr:uid="{00000000-0005-0000-0000-0000A5060000}"/>
    <cellStyle name="20% - Accent1 5 4 2 5" xfId="1282" xr:uid="{00000000-0005-0000-0000-0000A6060000}"/>
    <cellStyle name="20% - Accent1 5 4 2 6" xfId="36939" xr:uid="{00000000-0005-0000-0000-0000A7060000}"/>
    <cellStyle name="20% - Accent1 5 4 3" xfId="1283" xr:uid="{00000000-0005-0000-0000-0000A8060000}"/>
    <cellStyle name="20% - Accent1 5 4 3 2" xfId="1284" xr:uid="{00000000-0005-0000-0000-0000A9060000}"/>
    <cellStyle name="20% - Accent1 5 4 3 2 2" xfId="1285" xr:uid="{00000000-0005-0000-0000-0000AA060000}"/>
    <cellStyle name="20% - Accent1 5 4 3 2 2 2" xfId="1286" xr:uid="{00000000-0005-0000-0000-0000AB060000}"/>
    <cellStyle name="20% - Accent1 5 4 3 2 3" xfId="1287" xr:uid="{00000000-0005-0000-0000-0000AC060000}"/>
    <cellStyle name="20% - Accent1 5 4 3 2 4" xfId="1288" xr:uid="{00000000-0005-0000-0000-0000AD060000}"/>
    <cellStyle name="20% - Accent1 5 4 3 2 5" xfId="36942" xr:uid="{00000000-0005-0000-0000-0000AE060000}"/>
    <cellStyle name="20% - Accent1 5 4 3 3" xfId="1289" xr:uid="{00000000-0005-0000-0000-0000AF060000}"/>
    <cellStyle name="20% - Accent1 5 4 3 3 2" xfId="1290" xr:uid="{00000000-0005-0000-0000-0000B0060000}"/>
    <cellStyle name="20% - Accent1 5 4 3 4" xfId="1291" xr:uid="{00000000-0005-0000-0000-0000B1060000}"/>
    <cellStyle name="20% - Accent1 5 4 3 5" xfId="1292" xr:uid="{00000000-0005-0000-0000-0000B2060000}"/>
    <cellStyle name="20% - Accent1 5 4 3 6" xfId="36941" xr:uid="{00000000-0005-0000-0000-0000B3060000}"/>
    <cellStyle name="20% - Accent1 5 4 4" xfId="1293" xr:uid="{00000000-0005-0000-0000-0000B4060000}"/>
    <cellStyle name="20% - Accent1 5 4 4 2" xfId="1294" xr:uid="{00000000-0005-0000-0000-0000B5060000}"/>
    <cellStyle name="20% - Accent1 5 4 4 2 2" xfId="1295" xr:uid="{00000000-0005-0000-0000-0000B6060000}"/>
    <cellStyle name="20% - Accent1 5 4 4 3" xfId="1296" xr:uid="{00000000-0005-0000-0000-0000B7060000}"/>
    <cellStyle name="20% - Accent1 5 4 4 4" xfId="1297" xr:uid="{00000000-0005-0000-0000-0000B8060000}"/>
    <cellStyle name="20% - Accent1 5 4 4 5" xfId="36943" xr:uid="{00000000-0005-0000-0000-0000B9060000}"/>
    <cellStyle name="20% - Accent1 5 4 5" xfId="1298" xr:uid="{00000000-0005-0000-0000-0000BA060000}"/>
    <cellStyle name="20% - Accent1 5 4 5 2" xfId="1299" xr:uid="{00000000-0005-0000-0000-0000BB060000}"/>
    <cellStyle name="20% - Accent1 5 4 5 2 2" xfId="1300" xr:uid="{00000000-0005-0000-0000-0000BC060000}"/>
    <cellStyle name="20% - Accent1 5 4 5 3" xfId="1301" xr:uid="{00000000-0005-0000-0000-0000BD060000}"/>
    <cellStyle name="20% - Accent1 5 4 5 4" xfId="1302" xr:uid="{00000000-0005-0000-0000-0000BE060000}"/>
    <cellStyle name="20% - Accent1 5 4 6" xfId="1303" xr:uid="{00000000-0005-0000-0000-0000BF060000}"/>
    <cellStyle name="20% - Accent1 5 4 6 2" xfId="1304" xr:uid="{00000000-0005-0000-0000-0000C0060000}"/>
    <cellStyle name="20% - Accent1 5 4 6 2 2" xfId="1305" xr:uid="{00000000-0005-0000-0000-0000C1060000}"/>
    <cellStyle name="20% - Accent1 5 4 6 3" xfId="1306" xr:uid="{00000000-0005-0000-0000-0000C2060000}"/>
    <cellStyle name="20% - Accent1 5 4 6 4" xfId="1307" xr:uid="{00000000-0005-0000-0000-0000C3060000}"/>
    <cellStyle name="20% - Accent1 5 4 7" xfId="1308" xr:uid="{00000000-0005-0000-0000-0000C4060000}"/>
    <cellStyle name="20% - Accent1 5 4 7 2" xfId="1309" xr:uid="{00000000-0005-0000-0000-0000C5060000}"/>
    <cellStyle name="20% - Accent1 5 4 8" xfId="1310" xr:uid="{00000000-0005-0000-0000-0000C6060000}"/>
    <cellStyle name="20% - Accent1 5 4 9" xfId="1311" xr:uid="{00000000-0005-0000-0000-0000C7060000}"/>
    <cellStyle name="20% - Accent1 5 5" xfId="1312" xr:uid="{00000000-0005-0000-0000-0000C8060000}"/>
    <cellStyle name="20% - Accent1 5 5 2" xfId="1313" xr:uid="{00000000-0005-0000-0000-0000C9060000}"/>
    <cellStyle name="20% - Accent1 5 5 2 2" xfId="1314" xr:uid="{00000000-0005-0000-0000-0000CA060000}"/>
    <cellStyle name="20% - Accent1 5 5 2 2 2" xfId="1315" xr:uid="{00000000-0005-0000-0000-0000CB060000}"/>
    <cellStyle name="20% - Accent1 5 5 2 3" xfId="1316" xr:uid="{00000000-0005-0000-0000-0000CC060000}"/>
    <cellStyle name="20% - Accent1 5 5 2 4" xfId="1317" xr:uid="{00000000-0005-0000-0000-0000CD060000}"/>
    <cellStyle name="20% - Accent1 5 5 2 5" xfId="36945" xr:uid="{00000000-0005-0000-0000-0000CE060000}"/>
    <cellStyle name="20% - Accent1 5 5 3" xfId="1318" xr:uid="{00000000-0005-0000-0000-0000CF060000}"/>
    <cellStyle name="20% - Accent1 5 5 3 2" xfId="1319" xr:uid="{00000000-0005-0000-0000-0000D0060000}"/>
    <cellStyle name="20% - Accent1 5 5 3 2 2" xfId="1320" xr:uid="{00000000-0005-0000-0000-0000D1060000}"/>
    <cellStyle name="20% - Accent1 5 5 3 3" xfId="1321" xr:uid="{00000000-0005-0000-0000-0000D2060000}"/>
    <cellStyle name="20% - Accent1 5 5 3 4" xfId="1322" xr:uid="{00000000-0005-0000-0000-0000D3060000}"/>
    <cellStyle name="20% - Accent1 5 5 3 5" xfId="36946" xr:uid="{00000000-0005-0000-0000-0000D4060000}"/>
    <cellStyle name="20% - Accent1 5 5 4" xfId="1323" xr:uid="{00000000-0005-0000-0000-0000D5060000}"/>
    <cellStyle name="20% - Accent1 5 5 4 2" xfId="1324" xr:uid="{00000000-0005-0000-0000-0000D6060000}"/>
    <cellStyle name="20% - Accent1 5 5 5" xfId="1325" xr:uid="{00000000-0005-0000-0000-0000D7060000}"/>
    <cellStyle name="20% - Accent1 5 5 6" xfId="1326" xr:uid="{00000000-0005-0000-0000-0000D8060000}"/>
    <cellStyle name="20% - Accent1 5 5 7" xfId="36944" xr:uid="{00000000-0005-0000-0000-0000D9060000}"/>
    <cellStyle name="20% - Accent1 5 6" xfId="1327" xr:uid="{00000000-0005-0000-0000-0000DA060000}"/>
    <cellStyle name="20% - Accent1 5 6 2" xfId="1328" xr:uid="{00000000-0005-0000-0000-0000DB060000}"/>
    <cellStyle name="20% - Accent1 5 6 2 2" xfId="1329" xr:uid="{00000000-0005-0000-0000-0000DC060000}"/>
    <cellStyle name="20% - Accent1 5 6 2 2 2" xfId="1330" xr:uid="{00000000-0005-0000-0000-0000DD060000}"/>
    <cellStyle name="20% - Accent1 5 6 2 3" xfId="1331" xr:uid="{00000000-0005-0000-0000-0000DE060000}"/>
    <cellStyle name="20% - Accent1 5 6 2 4" xfId="1332" xr:uid="{00000000-0005-0000-0000-0000DF060000}"/>
    <cellStyle name="20% - Accent1 5 6 2 5" xfId="36948" xr:uid="{00000000-0005-0000-0000-0000E0060000}"/>
    <cellStyle name="20% - Accent1 5 6 3" xfId="1333" xr:uid="{00000000-0005-0000-0000-0000E1060000}"/>
    <cellStyle name="20% - Accent1 5 6 3 2" xfId="1334" xr:uid="{00000000-0005-0000-0000-0000E2060000}"/>
    <cellStyle name="20% - Accent1 5 6 4" xfId="1335" xr:uid="{00000000-0005-0000-0000-0000E3060000}"/>
    <cellStyle name="20% - Accent1 5 6 5" xfId="1336" xr:uid="{00000000-0005-0000-0000-0000E4060000}"/>
    <cellStyle name="20% - Accent1 5 6 6" xfId="36947" xr:uid="{00000000-0005-0000-0000-0000E5060000}"/>
    <cellStyle name="20% - Accent1 5 7" xfId="1337" xr:uid="{00000000-0005-0000-0000-0000E6060000}"/>
    <cellStyle name="20% - Accent1 5 7 2" xfId="1338" xr:uid="{00000000-0005-0000-0000-0000E7060000}"/>
    <cellStyle name="20% - Accent1 5 7 2 2" xfId="1339" xr:uid="{00000000-0005-0000-0000-0000E8060000}"/>
    <cellStyle name="20% - Accent1 5 7 3" xfId="1340" xr:uid="{00000000-0005-0000-0000-0000E9060000}"/>
    <cellStyle name="20% - Accent1 5 7 4" xfId="1341" xr:uid="{00000000-0005-0000-0000-0000EA060000}"/>
    <cellStyle name="20% - Accent1 5 7 5" xfId="36949" xr:uid="{00000000-0005-0000-0000-0000EB060000}"/>
    <cellStyle name="20% - Accent1 5 8" xfId="1342" xr:uid="{00000000-0005-0000-0000-0000EC060000}"/>
    <cellStyle name="20% - Accent1 5 8 2" xfId="1343" xr:uid="{00000000-0005-0000-0000-0000ED060000}"/>
    <cellStyle name="20% - Accent1 5 8 2 2" xfId="1344" xr:uid="{00000000-0005-0000-0000-0000EE060000}"/>
    <cellStyle name="20% - Accent1 5 8 3" xfId="1345" xr:uid="{00000000-0005-0000-0000-0000EF060000}"/>
    <cellStyle name="20% - Accent1 5 8 4" xfId="1346" xr:uid="{00000000-0005-0000-0000-0000F0060000}"/>
    <cellStyle name="20% - Accent1 5 9" xfId="1347" xr:uid="{00000000-0005-0000-0000-0000F1060000}"/>
    <cellStyle name="20% - Accent1 5 9 2" xfId="1348" xr:uid="{00000000-0005-0000-0000-0000F2060000}"/>
    <cellStyle name="20% - Accent1 5 9 2 2" xfId="1349" xr:uid="{00000000-0005-0000-0000-0000F3060000}"/>
    <cellStyle name="20% - Accent1 5 9 3" xfId="1350" xr:uid="{00000000-0005-0000-0000-0000F4060000}"/>
    <cellStyle name="20% - Accent1 5 9 4" xfId="1351" xr:uid="{00000000-0005-0000-0000-0000F5060000}"/>
    <cellStyle name="20% - Accent1 6" xfId="1352" xr:uid="{00000000-0005-0000-0000-0000F6060000}"/>
    <cellStyle name="20% - Accent1 7" xfId="1353" xr:uid="{00000000-0005-0000-0000-0000F7060000}"/>
    <cellStyle name="20% - Accent1 8" xfId="1354" xr:uid="{00000000-0005-0000-0000-0000F8060000}"/>
    <cellStyle name="20% - Accent1 9" xfId="1355" xr:uid="{00000000-0005-0000-0000-0000F9060000}"/>
    <cellStyle name="20% - Accent1 9 2" xfId="1356" xr:uid="{00000000-0005-0000-0000-0000FA060000}"/>
    <cellStyle name="20% - Accent1 9 2 2" xfId="1357" xr:uid="{00000000-0005-0000-0000-0000FB060000}"/>
    <cellStyle name="20% - Accent1 9 3" xfId="1358" xr:uid="{00000000-0005-0000-0000-0000FC060000}"/>
    <cellStyle name="20% - Accent1 9 4" xfId="1359" xr:uid="{00000000-0005-0000-0000-0000FD060000}"/>
    <cellStyle name="20% - Accent1 9 5" xfId="36950" xr:uid="{00000000-0005-0000-0000-0000FE060000}"/>
    <cellStyle name="20% - Accent2 10" xfId="41853" xr:uid="{428A0B4B-2F29-4E27-A48D-93B8829EF78A}"/>
    <cellStyle name="20% - Accent2 2" xfId="1360" xr:uid="{00000000-0005-0000-0000-0000FF060000}"/>
    <cellStyle name="20% - Accent2 2 10" xfId="1361" xr:uid="{00000000-0005-0000-0000-000000070000}"/>
    <cellStyle name="20% - Accent2 2 10 2" xfId="1362" xr:uid="{00000000-0005-0000-0000-000001070000}"/>
    <cellStyle name="20% - Accent2 2 10 2 2" xfId="1363" xr:uid="{00000000-0005-0000-0000-000002070000}"/>
    <cellStyle name="20% - Accent2 2 10 3" xfId="1364" xr:uid="{00000000-0005-0000-0000-000003070000}"/>
    <cellStyle name="20% - Accent2 2 10 4" xfId="1365" xr:uid="{00000000-0005-0000-0000-000004070000}"/>
    <cellStyle name="20% - Accent2 2 10 5" xfId="36951" xr:uid="{00000000-0005-0000-0000-000005070000}"/>
    <cellStyle name="20% - Accent2 2 11" xfId="1366" xr:uid="{00000000-0005-0000-0000-000006070000}"/>
    <cellStyle name="20% - Accent2 2 11 2" xfId="1367" xr:uid="{00000000-0005-0000-0000-000007070000}"/>
    <cellStyle name="20% - Accent2 2 12" xfId="1368" xr:uid="{00000000-0005-0000-0000-000008070000}"/>
    <cellStyle name="20% - Accent2 2 13" xfId="1369" xr:uid="{00000000-0005-0000-0000-000009070000}"/>
    <cellStyle name="20% - Accent2 2 14" xfId="41854" xr:uid="{5FC9E12F-47AD-422D-812E-7A0241E65CCE}"/>
    <cellStyle name="20% - Accent2 2 2" xfId="1370" xr:uid="{00000000-0005-0000-0000-00000A070000}"/>
    <cellStyle name="20% - Accent2 2 2 2" xfId="1371" xr:uid="{00000000-0005-0000-0000-00000B070000}"/>
    <cellStyle name="20% - Accent2 2 2 3" xfId="1372" xr:uid="{00000000-0005-0000-0000-00000C070000}"/>
    <cellStyle name="20% - Accent2 2 2 3 2" xfId="36953" xr:uid="{00000000-0005-0000-0000-00000D070000}"/>
    <cellStyle name="20% - Accent2 2 2 3 3" xfId="36952" xr:uid="{00000000-0005-0000-0000-00000E070000}"/>
    <cellStyle name="20% - Accent2 2 2 4" xfId="1373" xr:uid="{00000000-0005-0000-0000-00000F070000}"/>
    <cellStyle name="20% - Accent2 2 3" xfId="1374" xr:uid="{00000000-0005-0000-0000-000010070000}"/>
    <cellStyle name="20% - Accent2 2 3 10" xfId="1375" xr:uid="{00000000-0005-0000-0000-000011070000}"/>
    <cellStyle name="20% - Accent2 2 3 11" xfId="1376" xr:uid="{00000000-0005-0000-0000-000012070000}"/>
    <cellStyle name="20% - Accent2 2 3 12" xfId="34500" xr:uid="{00000000-0005-0000-0000-000013070000}"/>
    <cellStyle name="20% - Accent2 2 3 2" xfId="1377" xr:uid="{00000000-0005-0000-0000-000014070000}"/>
    <cellStyle name="20% - Accent2 2 3 2 10" xfId="1378" xr:uid="{00000000-0005-0000-0000-000015070000}"/>
    <cellStyle name="20% - Accent2 2 3 2 11" xfId="34501" xr:uid="{00000000-0005-0000-0000-000016070000}"/>
    <cellStyle name="20% - Accent2 2 3 2 2" xfId="1379" xr:uid="{00000000-0005-0000-0000-000017070000}"/>
    <cellStyle name="20% - Accent2 2 3 2 2 10" xfId="34502" xr:uid="{00000000-0005-0000-0000-000018070000}"/>
    <cellStyle name="20% - Accent2 2 3 2 2 2" xfId="1380" xr:uid="{00000000-0005-0000-0000-000019070000}"/>
    <cellStyle name="20% - Accent2 2 3 2 2 2 2" xfId="1381" xr:uid="{00000000-0005-0000-0000-00001A070000}"/>
    <cellStyle name="20% - Accent2 2 3 2 2 2 2 2" xfId="1382" xr:uid="{00000000-0005-0000-0000-00001B070000}"/>
    <cellStyle name="20% - Accent2 2 3 2 2 2 2 2 2" xfId="1383" xr:uid="{00000000-0005-0000-0000-00001C070000}"/>
    <cellStyle name="20% - Accent2 2 3 2 2 2 2 3" xfId="1384" xr:uid="{00000000-0005-0000-0000-00001D070000}"/>
    <cellStyle name="20% - Accent2 2 3 2 2 2 2 4" xfId="1385" xr:uid="{00000000-0005-0000-0000-00001E070000}"/>
    <cellStyle name="20% - Accent2 2 3 2 2 2 2 5" xfId="36955" xr:uid="{00000000-0005-0000-0000-00001F070000}"/>
    <cellStyle name="20% - Accent2 2 3 2 2 2 3" xfId="1386" xr:uid="{00000000-0005-0000-0000-000020070000}"/>
    <cellStyle name="20% - Accent2 2 3 2 2 2 3 2" xfId="1387" xr:uid="{00000000-0005-0000-0000-000021070000}"/>
    <cellStyle name="20% - Accent2 2 3 2 2 2 4" xfId="1388" xr:uid="{00000000-0005-0000-0000-000022070000}"/>
    <cellStyle name="20% - Accent2 2 3 2 2 2 5" xfId="1389" xr:uid="{00000000-0005-0000-0000-000023070000}"/>
    <cellStyle name="20% - Accent2 2 3 2 2 2 6" xfId="36954" xr:uid="{00000000-0005-0000-0000-000024070000}"/>
    <cellStyle name="20% - Accent2 2 3 2 2 3" xfId="1390" xr:uid="{00000000-0005-0000-0000-000025070000}"/>
    <cellStyle name="20% - Accent2 2 3 2 2 3 2" xfId="1391" xr:uid="{00000000-0005-0000-0000-000026070000}"/>
    <cellStyle name="20% - Accent2 2 3 2 2 3 2 2" xfId="1392" xr:uid="{00000000-0005-0000-0000-000027070000}"/>
    <cellStyle name="20% - Accent2 2 3 2 2 3 2 2 2" xfId="1393" xr:uid="{00000000-0005-0000-0000-000028070000}"/>
    <cellStyle name="20% - Accent2 2 3 2 2 3 2 3" xfId="1394" xr:uid="{00000000-0005-0000-0000-000029070000}"/>
    <cellStyle name="20% - Accent2 2 3 2 2 3 2 4" xfId="1395" xr:uid="{00000000-0005-0000-0000-00002A070000}"/>
    <cellStyle name="20% - Accent2 2 3 2 2 3 2 5" xfId="36957" xr:uid="{00000000-0005-0000-0000-00002B070000}"/>
    <cellStyle name="20% - Accent2 2 3 2 2 3 3" xfId="1396" xr:uid="{00000000-0005-0000-0000-00002C070000}"/>
    <cellStyle name="20% - Accent2 2 3 2 2 3 3 2" xfId="1397" xr:uid="{00000000-0005-0000-0000-00002D070000}"/>
    <cellStyle name="20% - Accent2 2 3 2 2 3 4" xfId="1398" xr:uid="{00000000-0005-0000-0000-00002E070000}"/>
    <cellStyle name="20% - Accent2 2 3 2 2 3 5" xfId="1399" xr:uid="{00000000-0005-0000-0000-00002F070000}"/>
    <cellStyle name="20% - Accent2 2 3 2 2 3 6" xfId="36956" xr:uid="{00000000-0005-0000-0000-000030070000}"/>
    <cellStyle name="20% - Accent2 2 3 2 2 4" xfId="1400" xr:uid="{00000000-0005-0000-0000-000031070000}"/>
    <cellStyle name="20% - Accent2 2 3 2 2 4 2" xfId="1401" xr:uid="{00000000-0005-0000-0000-000032070000}"/>
    <cellStyle name="20% - Accent2 2 3 2 2 4 2 2" xfId="1402" xr:uid="{00000000-0005-0000-0000-000033070000}"/>
    <cellStyle name="20% - Accent2 2 3 2 2 4 3" xfId="1403" xr:uid="{00000000-0005-0000-0000-000034070000}"/>
    <cellStyle name="20% - Accent2 2 3 2 2 4 4" xfId="1404" xr:uid="{00000000-0005-0000-0000-000035070000}"/>
    <cellStyle name="20% - Accent2 2 3 2 2 4 5" xfId="36958" xr:uid="{00000000-0005-0000-0000-000036070000}"/>
    <cellStyle name="20% - Accent2 2 3 2 2 5" xfId="1405" xr:uid="{00000000-0005-0000-0000-000037070000}"/>
    <cellStyle name="20% - Accent2 2 3 2 2 5 2" xfId="1406" xr:uid="{00000000-0005-0000-0000-000038070000}"/>
    <cellStyle name="20% - Accent2 2 3 2 2 5 2 2" xfId="1407" xr:uid="{00000000-0005-0000-0000-000039070000}"/>
    <cellStyle name="20% - Accent2 2 3 2 2 5 3" xfId="1408" xr:uid="{00000000-0005-0000-0000-00003A070000}"/>
    <cellStyle name="20% - Accent2 2 3 2 2 5 4" xfId="1409" xr:uid="{00000000-0005-0000-0000-00003B070000}"/>
    <cellStyle name="20% - Accent2 2 3 2 2 6" xfId="1410" xr:uid="{00000000-0005-0000-0000-00003C070000}"/>
    <cellStyle name="20% - Accent2 2 3 2 2 6 2" xfId="1411" xr:uid="{00000000-0005-0000-0000-00003D070000}"/>
    <cellStyle name="20% - Accent2 2 3 2 2 6 2 2" xfId="1412" xr:uid="{00000000-0005-0000-0000-00003E070000}"/>
    <cellStyle name="20% - Accent2 2 3 2 2 6 3" xfId="1413" xr:uid="{00000000-0005-0000-0000-00003F070000}"/>
    <cellStyle name="20% - Accent2 2 3 2 2 6 4" xfId="1414" xr:uid="{00000000-0005-0000-0000-000040070000}"/>
    <cellStyle name="20% - Accent2 2 3 2 2 7" xfId="1415" xr:uid="{00000000-0005-0000-0000-000041070000}"/>
    <cellStyle name="20% - Accent2 2 3 2 2 7 2" xfId="1416" xr:uid="{00000000-0005-0000-0000-000042070000}"/>
    <cellStyle name="20% - Accent2 2 3 2 2 8" xfId="1417" xr:uid="{00000000-0005-0000-0000-000043070000}"/>
    <cellStyle name="20% - Accent2 2 3 2 2 9" xfId="1418" xr:uid="{00000000-0005-0000-0000-000044070000}"/>
    <cellStyle name="20% - Accent2 2 3 2 3" xfId="1419" xr:uid="{00000000-0005-0000-0000-000045070000}"/>
    <cellStyle name="20% - Accent2 2 3 2 3 2" xfId="1420" xr:uid="{00000000-0005-0000-0000-000046070000}"/>
    <cellStyle name="20% - Accent2 2 3 2 3 2 2" xfId="1421" xr:uid="{00000000-0005-0000-0000-000047070000}"/>
    <cellStyle name="20% - Accent2 2 3 2 3 2 2 2" xfId="1422" xr:uid="{00000000-0005-0000-0000-000048070000}"/>
    <cellStyle name="20% - Accent2 2 3 2 3 2 3" xfId="1423" xr:uid="{00000000-0005-0000-0000-000049070000}"/>
    <cellStyle name="20% - Accent2 2 3 2 3 2 4" xfId="1424" xr:uid="{00000000-0005-0000-0000-00004A070000}"/>
    <cellStyle name="20% - Accent2 2 3 2 3 2 5" xfId="36960" xr:uid="{00000000-0005-0000-0000-00004B070000}"/>
    <cellStyle name="20% - Accent2 2 3 2 3 3" xfId="1425" xr:uid="{00000000-0005-0000-0000-00004C070000}"/>
    <cellStyle name="20% - Accent2 2 3 2 3 3 2" xfId="1426" xr:uid="{00000000-0005-0000-0000-00004D070000}"/>
    <cellStyle name="20% - Accent2 2 3 2 3 4" xfId="1427" xr:uid="{00000000-0005-0000-0000-00004E070000}"/>
    <cellStyle name="20% - Accent2 2 3 2 3 5" xfId="1428" xr:uid="{00000000-0005-0000-0000-00004F070000}"/>
    <cellStyle name="20% - Accent2 2 3 2 3 6" xfId="36959" xr:uid="{00000000-0005-0000-0000-000050070000}"/>
    <cellStyle name="20% - Accent2 2 3 2 4" xfId="1429" xr:uid="{00000000-0005-0000-0000-000051070000}"/>
    <cellStyle name="20% - Accent2 2 3 2 4 2" xfId="1430" xr:uid="{00000000-0005-0000-0000-000052070000}"/>
    <cellStyle name="20% - Accent2 2 3 2 4 2 2" xfId="1431" xr:uid="{00000000-0005-0000-0000-000053070000}"/>
    <cellStyle name="20% - Accent2 2 3 2 4 2 2 2" xfId="1432" xr:uid="{00000000-0005-0000-0000-000054070000}"/>
    <cellStyle name="20% - Accent2 2 3 2 4 2 3" xfId="1433" xr:uid="{00000000-0005-0000-0000-000055070000}"/>
    <cellStyle name="20% - Accent2 2 3 2 4 2 4" xfId="1434" xr:uid="{00000000-0005-0000-0000-000056070000}"/>
    <cellStyle name="20% - Accent2 2 3 2 4 2 5" xfId="36962" xr:uid="{00000000-0005-0000-0000-000057070000}"/>
    <cellStyle name="20% - Accent2 2 3 2 4 3" xfId="1435" xr:uid="{00000000-0005-0000-0000-000058070000}"/>
    <cellStyle name="20% - Accent2 2 3 2 4 3 2" xfId="1436" xr:uid="{00000000-0005-0000-0000-000059070000}"/>
    <cellStyle name="20% - Accent2 2 3 2 4 4" xfId="1437" xr:uid="{00000000-0005-0000-0000-00005A070000}"/>
    <cellStyle name="20% - Accent2 2 3 2 4 5" xfId="1438" xr:uid="{00000000-0005-0000-0000-00005B070000}"/>
    <cellStyle name="20% - Accent2 2 3 2 4 6" xfId="36961" xr:uid="{00000000-0005-0000-0000-00005C070000}"/>
    <cellStyle name="20% - Accent2 2 3 2 5" xfId="1439" xr:uid="{00000000-0005-0000-0000-00005D070000}"/>
    <cellStyle name="20% - Accent2 2 3 2 5 2" xfId="1440" xr:uid="{00000000-0005-0000-0000-00005E070000}"/>
    <cellStyle name="20% - Accent2 2 3 2 5 2 2" xfId="1441" xr:uid="{00000000-0005-0000-0000-00005F070000}"/>
    <cellStyle name="20% - Accent2 2 3 2 5 3" xfId="1442" xr:uid="{00000000-0005-0000-0000-000060070000}"/>
    <cellStyle name="20% - Accent2 2 3 2 5 4" xfId="1443" xr:uid="{00000000-0005-0000-0000-000061070000}"/>
    <cellStyle name="20% - Accent2 2 3 2 5 5" xfId="36963" xr:uid="{00000000-0005-0000-0000-000062070000}"/>
    <cellStyle name="20% - Accent2 2 3 2 6" xfId="1444" xr:uid="{00000000-0005-0000-0000-000063070000}"/>
    <cellStyle name="20% - Accent2 2 3 2 6 2" xfId="1445" xr:uid="{00000000-0005-0000-0000-000064070000}"/>
    <cellStyle name="20% - Accent2 2 3 2 6 2 2" xfId="1446" xr:uid="{00000000-0005-0000-0000-000065070000}"/>
    <cellStyle name="20% - Accent2 2 3 2 6 3" xfId="1447" xr:uid="{00000000-0005-0000-0000-000066070000}"/>
    <cellStyle name="20% - Accent2 2 3 2 6 4" xfId="1448" xr:uid="{00000000-0005-0000-0000-000067070000}"/>
    <cellStyle name="20% - Accent2 2 3 2 7" xfId="1449" xr:uid="{00000000-0005-0000-0000-000068070000}"/>
    <cellStyle name="20% - Accent2 2 3 2 7 2" xfId="1450" xr:uid="{00000000-0005-0000-0000-000069070000}"/>
    <cellStyle name="20% - Accent2 2 3 2 7 2 2" xfId="1451" xr:uid="{00000000-0005-0000-0000-00006A070000}"/>
    <cellStyle name="20% - Accent2 2 3 2 7 3" xfId="1452" xr:uid="{00000000-0005-0000-0000-00006B070000}"/>
    <cellStyle name="20% - Accent2 2 3 2 7 4" xfId="1453" xr:uid="{00000000-0005-0000-0000-00006C070000}"/>
    <cellStyle name="20% - Accent2 2 3 2 8" xfId="1454" xr:uid="{00000000-0005-0000-0000-00006D070000}"/>
    <cellStyle name="20% - Accent2 2 3 2 8 2" xfId="1455" xr:uid="{00000000-0005-0000-0000-00006E070000}"/>
    <cellStyle name="20% - Accent2 2 3 2 9" xfId="1456" xr:uid="{00000000-0005-0000-0000-00006F070000}"/>
    <cellStyle name="20% - Accent2 2 3 3" xfId="1457" xr:uid="{00000000-0005-0000-0000-000070070000}"/>
    <cellStyle name="20% - Accent2 2 3 3 10" xfId="34503" xr:uid="{00000000-0005-0000-0000-000071070000}"/>
    <cellStyle name="20% - Accent2 2 3 3 2" xfId="1458" xr:uid="{00000000-0005-0000-0000-000072070000}"/>
    <cellStyle name="20% - Accent2 2 3 3 2 2" xfId="1459" xr:uid="{00000000-0005-0000-0000-000073070000}"/>
    <cellStyle name="20% - Accent2 2 3 3 2 2 2" xfId="1460" xr:uid="{00000000-0005-0000-0000-000074070000}"/>
    <cellStyle name="20% - Accent2 2 3 3 2 2 2 2" xfId="1461" xr:uid="{00000000-0005-0000-0000-000075070000}"/>
    <cellStyle name="20% - Accent2 2 3 3 2 2 3" xfId="1462" xr:uid="{00000000-0005-0000-0000-000076070000}"/>
    <cellStyle name="20% - Accent2 2 3 3 2 2 4" xfId="1463" xr:uid="{00000000-0005-0000-0000-000077070000}"/>
    <cellStyle name="20% - Accent2 2 3 3 2 2 5" xfId="36965" xr:uid="{00000000-0005-0000-0000-000078070000}"/>
    <cellStyle name="20% - Accent2 2 3 3 2 3" xfId="1464" xr:uid="{00000000-0005-0000-0000-000079070000}"/>
    <cellStyle name="20% - Accent2 2 3 3 2 3 2" xfId="1465" xr:uid="{00000000-0005-0000-0000-00007A070000}"/>
    <cellStyle name="20% - Accent2 2 3 3 2 4" xfId="1466" xr:uid="{00000000-0005-0000-0000-00007B070000}"/>
    <cellStyle name="20% - Accent2 2 3 3 2 5" xfId="1467" xr:uid="{00000000-0005-0000-0000-00007C070000}"/>
    <cellStyle name="20% - Accent2 2 3 3 2 6" xfId="36964" xr:uid="{00000000-0005-0000-0000-00007D070000}"/>
    <cellStyle name="20% - Accent2 2 3 3 3" xfId="1468" xr:uid="{00000000-0005-0000-0000-00007E070000}"/>
    <cellStyle name="20% - Accent2 2 3 3 3 2" xfId="1469" xr:uid="{00000000-0005-0000-0000-00007F070000}"/>
    <cellStyle name="20% - Accent2 2 3 3 3 2 2" xfId="1470" xr:uid="{00000000-0005-0000-0000-000080070000}"/>
    <cellStyle name="20% - Accent2 2 3 3 3 2 2 2" xfId="1471" xr:uid="{00000000-0005-0000-0000-000081070000}"/>
    <cellStyle name="20% - Accent2 2 3 3 3 2 3" xfId="1472" xr:uid="{00000000-0005-0000-0000-000082070000}"/>
    <cellStyle name="20% - Accent2 2 3 3 3 2 4" xfId="1473" xr:uid="{00000000-0005-0000-0000-000083070000}"/>
    <cellStyle name="20% - Accent2 2 3 3 3 2 5" xfId="36967" xr:uid="{00000000-0005-0000-0000-000084070000}"/>
    <cellStyle name="20% - Accent2 2 3 3 3 3" xfId="1474" xr:uid="{00000000-0005-0000-0000-000085070000}"/>
    <cellStyle name="20% - Accent2 2 3 3 3 3 2" xfId="1475" xr:uid="{00000000-0005-0000-0000-000086070000}"/>
    <cellStyle name="20% - Accent2 2 3 3 3 4" xfId="1476" xr:uid="{00000000-0005-0000-0000-000087070000}"/>
    <cellStyle name="20% - Accent2 2 3 3 3 5" xfId="1477" xr:uid="{00000000-0005-0000-0000-000088070000}"/>
    <cellStyle name="20% - Accent2 2 3 3 3 6" xfId="36966" xr:uid="{00000000-0005-0000-0000-000089070000}"/>
    <cellStyle name="20% - Accent2 2 3 3 4" xfId="1478" xr:uid="{00000000-0005-0000-0000-00008A070000}"/>
    <cellStyle name="20% - Accent2 2 3 3 4 2" xfId="1479" xr:uid="{00000000-0005-0000-0000-00008B070000}"/>
    <cellStyle name="20% - Accent2 2 3 3 4 2 2" xfId="1480" xr:uid="{00000000-0005-0000-0000-00008C070000}"/>
    <cellStyle name="20% - Accent2 2 3 3 4 3" xfId="1481" xr:uid="{00000000-0005-0000-0000-00008D070000}"/>
    <cellStyle name="20% - Accent2 2 3 3 4 4" xfId="1482" xr:uid="{00000000-0005-0000-0000-00008E070000}"/>
    <cellStyle name="20% - Accent2 2 3 3 4 5" xfId="36968" xr:uid="{00000000-0005-0000-0000-00008F070000}"/>
    <cellStyle name="20% - Accent2 2 3 3 5" xfId="1483" xr:uid="{00000000-0005-0000-0000-000090070000}"/>
    <cellStyle name="20% - Accent2 2 3 3 5 2" xfId="1484" xr:uid="{00000000-0005-0000-0000-000091070000}"/>
    <cellStyle name="20% - Accent2 2 3 3 5 2 2" xfId="1485" xr:uid="{00000000-0005-0000-0000-000092070000}"/>
    <cellStyle name="20% - Accent2 2 3 3 5 3" xfId="1486" xr:uid="{00000000-0005-0000-0000-000093070000}"/>
    <cellStyle name="20% - Accent2 2 3 3 5 4" xfId="1487" xr:uid="{00000000-0005-0000-0000-000094070000}"/>
    <cellStyle name="20% - Accent2 2 3 3 6" xfId="1488" xr:uid="{00000000-0005-0000-0000-000095070000}"/>
    <cellStyle name="20% - Accent2 2 3 3 6 2" xfId="1489" xr:uid="{00000000-0005-0000-0000-000096070000}"/>
    <cellStyle name="20% - Accent2 2 3 3 6 2 2" xfId="1490" xr:uid="{00000000-0005-0000-0000-000097070000}"/>
    <cellStyle name="20% - Accent2 2 3 3 6 3" xfId="1491" xr:uid="{00000000-0005-0000-0000-000098070000}"/>
    <cellStyle name="20% - Accent2 2 3 3 6 4" xfId="1492" xr:uid="{00000000-0005-0000-0000-000099070000}"/>
    <cellStyle name="20% - Accent2 2 3 3 7" xfId="1493" xr:uid="{00000000-0005-0000-0000-00009A070000}"/>
    <cellStyle name="20% - Accent2 2 3 3 7 2" xfId="1494" xr:uid="{00000000-0005-0000-0000-00009B070000}"/>
    <cellStyle name="20% - Accent2 2 3 3 8" xfId="1495" xr:uid="{00000000-0005-0000-0000-00009C070000}"/>
    <cellStyle name="20% - Accent2 2 3 3 9" xfId="1496" xr:uid="{00000000-0005-0000-0000-00009D070000}"/>
    <cellStyle name="20% - Accent2 2 3 4" xfId="1497" xr:uid="{00000000-0005-0000-0000-00009E070000}"/>
    <cellStyle name="20% - Accent2 2 3 4 2" xfId="1498" xr:uid="{00000000-0005-0000-0000-00009F070000}"/>
    <cellStyle name="20% - Accent2 2 3 4 2 2" xfId="1499" xr:uid="{00000000-0005-0000-0000-0000A0070000}"/>
    <cellStyle name="20% - Accent2 2 3 4 2 2 2" xfId="1500" xr:uid="{00000000-0005-0000-0000-0000A1070000}"/>
    <cellStyle name="20% - Accent2 2 3 4 2 3" xfId="1501" xr:uid="{00000000-0005-0000-0000-0000A2070000}"/>
    <cellStyle name="20% - Accent2 2 3 4 2 4" xfId="1502" xr:uid="{00000000-0005-0000-0000-0000A3070000}"/>
    <cellStyle name="20% - Accent2 2 3 4 2 5" xfId="36970" xr:uid="{00000000-0005-0000-0000-0000A4070000}"/>
    <cellStyle name="20% - Accent2 2 3 4 3" xfId="1503" xr:uid="{00000000-0005-0000-0000-0000A5070000}"/>
    <cellStyle name="20% - Accent2 2 3 4 4" xfId="1504" xr:uid="{00000000-0005-0000-0000-0000A6070000}"/>
    <cellStyle name="20% - Accent2 2 3 4 4 2" xfId="1505" xr:uid="{00000000-0005-0000-0000-0000A7070000}"/>
    <cellStyle name="20% - Accent2 2 3 4 5" xfId="1506" xr:uid="{00000000-0005-0000-0000-0000A8070000}"/>
    <cellStyle name="20% - Accent2 2 3 4 6" xfId="1507" xr:uid="{00000000-0005-0000-0000-0000A9070000}"/>
    <cellStyle name="20% - Accent2 2 3 4 7" xfId="36969" xr:uid="{00000000-0005-0000-0000-0000AA070000}"/>
    <cellStyle name="20% - Accent2 2 3 5" xfId="1508" xr:uid="{00000000-0005-0000-0000-0000AB070000}"/>
    <cellStyle name="20% - Accent2 2 3 5 2" xfId="1509" xr:uid="{00000000-0005-0000-0000-0000AC070000}"/>
    <cellStyle name="20% - Accent2 2 3 5 2 2" xfId="1510" xr:uid="{00000000-0005-0000-0000-0000AD070000}"/>
    <cellStyle name="20% - Accent2 2 3 5 2 2 2" xfId="1511" xr:uid="{00000000-0005-0000-0000-0000AE070000}"/>
    <cellStyle name="20% - Accent2 2 3 5 2 3" xfId="1512" xr:uid="{00000000-0005-0000-0000-0000AF070000}"/>
    <cellStyle name="20% - Accent2 2 3 5 2 4" xfId="1513" xr:uid="{00000000-0005-0000-0000-0000B0070000}"/>
    <cellStyle name="20% - Accent2 2 3 5 2 5" xfId="36972" xr:uid="{00000000-0005-0000-0000-0000B1070000}"/>
    <cellStyle name="20% - Accent2 2 3 5 3" xfId="1514" xr:uid="{00000000-0005-0000-0000-0000B2070000}"/>
    <cellStyle name="20% - Accent2 2 3 5 3 2" xfId="1515" xr:uid="{00000000-0005-0000-0000-0000B3070000}"/>
    <cellStyle name="20% - Accent2 2 3 5 4" xfId="1516" xr:uid="{00000000-0005-0000-0000-0000B4070000}"/>
    <cellStyle name="20% - Accent2 2 3 5 5" xfId="1517" xr:uid="{00000000-0005-0000-0000-0000B5070000}"/>
    <cellStyle name="20% - Accent2 2 3 5 6" xfId="36971" xr:uid="{00000000-0005-0000-0000-0000B6070000}"/>
    <cellStyle name="20% - Accent2 2 3 6" xfId="1518" xr:uid="{00000000-0005-0000-0000-0000B7070000}"/>
    <cellStyle name="20% - Accent2 2 3 6 2" xfId="1519" xr:uid="{00000000-0005-0000-0000-0000B8070000}"/>
    <cellStyle name="20% - Accent2 2 3 6 2 2" xfId="1520" xr:uid="{00000000-0005-0000-0000-0000B9070000}"/>
    <cellStyle name="20% - Accent2 2 3 6 3" xfId="1521" xr:uid="{00000000-0005-0000-0000-0000BA070000}"/>
    <cellStyle name="20% - Accent2 2 3 6 4" xfId="1522" xr:uid="{00000000-0005-0000-0000-0000BB070000}"/>
    <cellStyle name="20% - Accent2 2 3 6 5" xfId="36973" xr:uid="{00000000-0005-0000-0000-0000BC070000}"/>
    <cellStyle name="20% - Accent2 2 3 7" xfId="1523" xr:uid="{00000000-0005-0000-0000-0000BD070000}"/>
    <cellStyle name="20% - Accent2 2 3 7 2" xfId="1524" xr:uid="{00000000-0005-0000-0000-0000BE070000}"/>
    <cellStyle name="20% - Accent2 2 3 7 2 2" xfId="1525" xr:uid="{00000000-0005-0000-0000-0000BF070000}"/>
    <cellStyle name="20% - Accent2 2 3 7 3" xfId="1526" xr:uid="{00000000-0005-0000-0000-0000C0070000}"/>
    <cellStyle name="20% - Accent2 2 3 7 4" xfId="1527" xr:uid="{00000000-0005-0000-0000-0000C1070000}"/>
    <cellStyle name="20% - Accent2 2 3 8" xfId="1528" xr:uid="{00000000-0005-0000-0000-0000C2070000}"/>
    <cellStyle name="20% - Accent2 2 3 8 2" xfId="1529" xr:uid="{00000000-0005-0000-0000-0000C3070000}"/>
    <cellStyle name="20% - Accent2 2 3 8 2 2" xfId="1530" xr:uid="{00000000-0005-0000-0000-0000C4070000}"/>
    <cellStyle name="20% - Accent2 2 3 8 3" xfId="1531" xr:uid="{00000000-0005-0000-0000-0000C5070000}"/>
    <cellStyle name="20% - Accent2 2 3 8 4" xfId="1532" xr:uid="{00000000-0005-0000-0000-0000C6070000}"/>
    <cellStyle name="20% - Accent2 2 3 9" xfId="1533" xr:uid="{00000000-0005-0000-0000-0000C7070000}"/>
    <cellStyle name="20% - Accent2 2 3 9 2" xfId="1534" xr:uid="{00000000-0005-0000-0000-0000C8070000}"/>
    <cellStyle name="20% - Accent2 2 4" xfId="1535" xr:uid="{00000000-0005-0000-0000-0000C9070000}"/>
    <cellStyle name="20% - Accent2 2 4 10" xfId="1536" xr:uid="{00000000-0005-0000-0000-0000CA070000}"/>
    <cellStyle name="20% - Accent2 2 4 11" xfId="34504" xr:uid="{00000000-0005-0000-0000-0000CB070000}"/>
    <cellStyle name="20% - Accent2 2 4 2" xfId="1537" xr:uid="{00000000-0005-0000-0000-0000CC070000}"/>
    <cellStyle name="20% - Accent2 2 4 2 10" xfId="34505" xr:uid="{00000000-0005-0000-0000-0000CD070000}"/>
    <cellStyle name="20% - Accent2 2 4 2 2" xfId="1538" xr:uid="{00000000-0005-0000-0000-0000CE070000}"/>
    <cellStyle name="20% - Accent2 2 4 2 2 2" xfId="1539" xr:uid="{00000000-0005-0000-0000-0000CF070000}"/>
    <cellStyle name="20% - Accent2 2 4 2 2 2 2" xfId="1540" xr:uid="{00000000-0005-0000-0000-0000D0070000}"/>
    <cellStyle name="20% - Accent2 2 4 2 2 2 2 2" xfId="1541" xr:uid="{00000000-0005-0000-0000-0000D1070000}"/>
    <cellStyle name="20% - Accent2 2 4 2 2 2 3" xfId="1542" xr:uid="{00000000-0005-0000-0000-0000D2070000}"/>
    <cellStyle name="20% - Accent2 2 4 2 2 2 4" xfId="1543" xr:uid="{00000000-0005-0000-0000-0000D3070000}"/>
    <cellStyle name="20% - Accent2 2 4 2 2 2 5" xfId="36975" xr:uid="{00000000-0005-0000-0000-0000D4070000}"/>
    <cellStyle name="20% - Accent2 2 4 2 2 3" xfId="1544" xr:uid="{00000000-0005-0000-0000-0000D5070000}"/>
    <cellStyle name="20% - Accent2 2 4 2 2 3 2" xfId="1545" xr:uid="{00000000-0005-0000-0000-0000D6070000}"/>
    <cellStyle name="20% - Accent2 2 4 2 2 4" xfId="1546" xr:uid="{00000000-0005-0000-0000-0000D7070000}"/>
    <cellStyle name="20% - Accent2 2 4 2 2 5" xfId="1547" xr:uid="{00000000-0005-0000-0000-0000D8070000}"/>
    <cellStyle name="20% - Accent2 2 4 2 2 6" xfId="36974" xr:uid="{00000000-0005-0000-0000-0000D9070000}"/>
    <cellStyle name="20% - Accent2 2 4 2 3" xfId="1548" xr:uid="{00000000-0005-0000-0000-0000DA070000}"/>
    <cellStyle name="20% - Accent2 2 4 2 3 2" xfId="1549" xr:uid="{00000000-0005-0000-0000-0000DB070000}"/>
    <cellStyle name="20% - Accent2 2 4 2 3 2 2" xfId="1550" xr:uid="{00000000-0005-0000-0000-0000DC070000}"/>
    <cellStyle name="20% - Accent2 2 4 2 3 2 2 2" xfId="1551" xr:uid="{00000000-0005-0000-0000-0000DD070000}"/>
    <cellStyle name="20% - Accent2 2 4 2 3 2 3" xfId="1552" xr:uid="{00000000-0005-0000-0000-0000DE070000}"/>
    <cellStyle name="20% - Accent2 2 4 2 3 2 4" xfId="1553" xr:uid="{00000000-0005-0000-0000-0000DF070000}"/>
    <cellStyle name="20% - Accent2 2 4 2 3 2 5" xfId="36977" xr:uid="{00000000-0005-0000-0000-0000E0070000}"/>
    <cellStyle name="20% - Accent2 2 4 2 3 3" xfId="1554" xr:uid="{00000000-0005-0000-0000-0000E1070000}"/>
    <cellStyle name="20% - Accent2 2 4 2 3 3 2" xfId="1555" xr:uid="{00000000-0005-0000-0000-0000E2070000}"/>
    <cellStyle name="20% - Accent2 2 4 2 3 4" xfId="1556" xr:uid="{00000000-0005-0000-0000-0000E3070000}"/>
    <cellStyle name="20% - Accent2 2 4 2 3 5" xfId="1557" xr:uid="{00000000-0005-0000-0000-0000E4070000}"/>
    <cellStyle name="20% - Accent2 2 4 2 3 6" xfId="36976" xr:uid="{00000000-0005-0000-0000-0000E5070000}"/>
    <cellStyle name="20% - Accent2 2 4 2 4" xfId="1558" xr:uid="{00000000-0005-0000-0000-0000E6070000}"/>
    <cellStyle name="20% - Accent2 2 4 2 4 2" xfId="1559" xr:uid="{00000000-0005-0000-0000-0000E7070000}"/>
    <cellStyle name="20% - Accent2 2 4 2 4 2 2" xfId="1560" xr:uid="{00000000-0005-0000-0000-0000E8070000}"/>
    <cellStyle name="20% - Accent2 2 4 2 4 3" xfId="1561" xr:uid="{00000000-0005-0000-0000-0000E9070000}"/>
    <cellStyle name="20% - Accent2 2 4 2 4 4" xfId="1562" xr:uid="{00000000-0005-0000-0000-0000EA070000}"/>
    <cellStyle name="20% - Accent2 2 4 2 4 5" xfId="36978" xr:uid="{00000000-0005-0000-0000-0000EB070000}"/>
    <cellStyle name="20% - Accent2 2 4 2 5" xfId="1563" xr:uid="{00000000-0005-0000-0000-0000EC070000}"/>
    <cellStyle name="20% - Accent2 2 4 2 5 2" xfId="1564" xr:uid="{00000000-0005-0000-0000-0000ED070000}"/>
    <cellStyle name="20% - Accent2 2 4 2 5 2 2" xfId="1565" xr:uid="{00000000-0005-0000-0000-0000EE070000}"/>
    <cellStyle name="20% - Accent2 2 4 2 5 3" xfId="1566" xr:uid="{00000000-0005-0000-0000-0000EF070000}"/>
    <cellStyle name="20% - Accent2 2 4 2 5 4" xfId="1567" xr:uid="{00000000-0005-0000-0000-0000F0070000}"/>
    <cellStyle name="20% - Accent2 2 4 2 6" xfId="1568" xr:uid="{00000000-0005-0000-0000-0000F1070000}"/>
    <cellStyle name="20% - Accent2 2 4 2 6 2" xfId="1569" xr:uid="{00000000-0005-0000-0000-0000F2070000}"/>
    <cellStyle name="20% - Accent2 2 4 2 6 2 2" xfId="1570" xr:uid="{00000000-0005-0000-0000-0000F3070000}"/>
    <cellStyle name="20% - Accent2 2 4 2 6 3" xfId="1571" xr:uid="{00000000-0005-0000-0000-0000F4070000}"/>
    <cellStyle name="20% - Accent2 2 4 2 6 4" xfId="1572" xr:uid="{00000000-0005-0000-0000-0000F5070000}"/>
    <cellStyle name="20% - Accent2 2 4 2 7" xfId="1573" xr:uid="{00000000-0005-0000-0000-0000F6070000}"/>
    <cellStyle name="20% - Accent2 2 4 2 7 2" xfId="1574" xr:uid="{00000000-0005-0000-0000-0000F7070000}"/>
    <cellStyle name="20% - Accent2 2 4 2 8" xfId="1575" xr:uid="{00000000-0005-0000-0000-0000F8070000}"/>
    <cellStyle name="20% - Accent2 2 4 2 9" xfId="1576" xr:uid="{00000000-0005-0000-0000-0000F9070000}"/>
    <cellStyle name="20% - Accent2 2 4 3" xfId="1577" xr:uid="{00000000-0005-0000-0000-0000FA070000}"/>
    <cellStyle name="20% - Accent2 2 4 3 2" xfId="1578" xr:uid="{00000000-0005-0000-0000-0000FB070000}"/>
    <cellStyle name="20% - Accent2 2 4 3 2 2" xfId="1579" xr:uid="{00000000-0005-0000-0000-0000FC070000}"/>
    <cellStyle name="20% - Accent2 2 4 3 2 2 2" xfId="1580" xr:uid="{00000000-0005-0000-0000-0000FD070000}"/>
    <cellStyle name="20% - Accent2 2 4 3 2 3" xfId="1581" xr:uid="{00000000-0005-0000-0000-0000FE070000}"/>
    <cellStyle name="20% - Accent2 2 4 3 2 4" xfId="1582" xr:uid="{00000000-0005-0000-0000-0000FF070000}"/>
    <cellStyle name="20% - Accent2 2 4 3 2 5" xfId="36980" xr:uid="{00000000-0005-0000-0000-000000080000}"/>
    <cellStyle name="20% - Accent2 2 4 3 3" xfId="1583" xr:uid="{00000000-0005-0000-0000-000001080000}"/>
    <cellStyle name="20% - Accent2 2 4 3 3 2" xfId="1584" xr:uid="{00000000-0005-0000-0000-000002080000}"/>
    <cellStyle name="20% - Accent2 2 4 3 4" xfId="1585" xr:uid="{00000000-0005-0000-0000-000003080000}"/>
    <cellStyle name="20% - Accent2 2 4 3 5" xfId="1586" xr:uid="{00000000-0005-0000-0000-000004080000}"/>
    <cellStyle name="20% - Accent2 2 4 3 6" xfId="36979" xr:uid="{00000000-0005-0000-0000-000005080000}"/>
    <cellStyle name="20% - Accent2 2 4 4" xfId="1587" xr:uid="{00000000-0005-0000-0000-000006080000}"/>
    <cellStyle name="20% - Accent2 2 4 4 2" xfId="1588" xr:uid="{00000000-0005-0000-0000-000007080000}"/>
    <cellStyle name="20% - Accent2 2 4 4 2 2" xfId="1589" xr:uid="{00000000-0005-0000-0000-000008080000}"/>
    <cellStyle name="20% - Accent2 2 4 4 2 2 2" xfId="1590" xr:uid="{00000000-0005-0000-0000-000009080000}"/>
    <cellStyle name="20% - Accent2 2 4 4 2 3" xfId="1591" xr:uid="{00000000-0005-0000-0000-00000A080000}"/>
    <cellStyle name="20% - Accent2 2 4 4 2 4" xfId="1592" xr:uid="{00000000-0005-0000-0000-00000B080000}"/>
    <cellStyle name="20% - Accent2 2 4 4 2 5" xfId="36982" xr:uid="{00000000-0005-0000-0000-00000C080000}"/>
    <cellStyle name="20% - Accent2 2 4 4 3" xfId="1593" xr:uid="{00000000-0005-0000-0000-00000D080000}"/>
    <cellStyle name="20% - Accent2 2 4 4 3 2" xfId="1594" xr:uid="{00000000-0005-0000-0000-00000E080000}"/>
    <cellStyle name="20% - Accent2 2 4 4 4" xfId="1595" xr:uid="{00000000-0005-0000-0000-00000F080000}"/>
    <cellStyle name="20% - Accent2 2 4 4 5" xfId="1596" xr:uid="{00000000-0005-0000-0000-000010080000}"/>
    <cellStyle name="20% - Accent2 2 4 4 6" xfId="36981" xr:uid="{00000000-0005-0000-0000-000011080000}"/>
    <cellStyle name="20% - Accent2 2 4 5" xfId="1597" xr:uid="{00000000-0005-0000-0000-000012080000}"/>
    <cellStyle name="20% - Accent2 2 4 5 2" xfId="1598" xr:uid="{00000000-0005-0000-0000-000013080000}"/>
    <cellStyle name="20% - Accent2 2 4 5 2 2" xfId="1599" xr:uid="{00000000-0005-0000-0000-000014080000}"/>
    <cellStyle name="20% - Accent2 2 4 5 3" xfId="1600" xr:uid="{00000000-0005-0000-0000-000015080000}"/>
    <cellStyle name="20% - Accent2 2 4 5 4" xfId="1601" xr:uid="{00000000-0005-0000-0000-000016080000}"/>
    <cellStyle name="20% - Accent2 2 4 5 5" xfId="36983" xr:uid="{00000000-0005-0000-0000-000017080000}"/>
    <cellStyle name="20% - Accent2 2 4 6" xfId="1602" xr:uid="{00000000-0005-0000-0000-000018080000}"/>
    <cellStyle name="20% - Accent2 2 4 6 2" xfId="1603" xr:uid="{00000000-0005-0000-0000-000019080000}"/>
    <cellStyle name="20% - Accent2 2 4 6 2 2" xfId="1604" xr:uid="{00000000-0005-0000-0000-00001A080000}"/>
    <cellStyle name="20% - Accent2 2 4 6 3" xfId="1605" xr:uid="{00000000-0005-0000-0000-00001B080000}"/>
    <cellStyle name="20% - Accent2 2 4 6 4" xfId="1606" xr:uid="{00000000-0005-0000-0000-00001C080000}"/>
    <cellStyle name="20% - Accent2 2 4 7" xfId="1607" xr:uid="{00000000-0005-0000-0000-00001D080000}"/>
    <cellStyle name="20% - Accent2 2 4 7 2" xfId="1608" xr:uid="{00000000-0005-0000-0000-00001E080000}"/>
    <cellStyle name="20% - Accent2 2 4 7 2 2" xfId="1609" xr:uid="{00000000-0005-0000-0000-00001F080000}"/>
    <cellStyle name="20% - Accent2 2 4 7 3" xfId="1610" xr:uid="{00000000-0005-0000-0000-000020080000}"/>
    <cellStyle name="20% - Accent2 2 4 7 4" xfId="1611" xr:uid="{00000000-0005-0000-0000-000021080000}"/>
    <cellStyle name="20% - Accent2 2 4 8" xfId="1612" xr:uid="{00000000-0005-0000-0000-000022080000}"/>
    <cellStyle name="20% - Accent2 2 4 8 2" xfId="1613" xr:uid="{00000000-0005-0000-0000-000023080000}"/>
    <cellStyle name="20% - Accent2 2 4 9" xfId="1614" xr:uid="{00000000-0005-0000-0000-000024080000}"/>
    <cellStyle name="20% - Accent2 2 5" xfId="1615" xr:uid="{00000000-0005-0000-0000-000025080000}"/>
    <cellStyle name="20% - Accent2 2 5 10" xfId="34506" xr:uid="{00000000-0005-0000-0000-000026080000}"/>
    <cellStyle name="20% - Accent2 2 5 2" xfId="1616" xr:uid="{00000000-0005-0000-0000-000027080000}"/>
    <cellStyle name="20% - Accent2 2 5 2 2" xfId="1617" xr:uid="{00000000-0005-0000-0000-000028080000}"/>
    <cellStyle name="20% - Accent2 2 5 2 2 2" xfId="1618" xr:uid="{00000000-0005-0000-0000-000029080000}"/>
    <cellStyle name="20% - Accent2 2 5 2 2 2 2" xfId="1619" xr:uid="{00000000-0005-0000-0000-00002A080000}"/>
    <cellStyle name="20% - Accent2 2 5 2 2 3" xfId="1620" xr:uid="{00000000-0005-0000-0000-00002B080000}"/>
    <cellStyle name="20% - Accent2 2 5 2 2 4" xfId="1621" xr:uid="{00000000-0005-0000-0000-00002C080000}"/>
    <cellStyle name="20% - Accent2 2 5 2 2 5" xfId="36985" xr:uid="{00000000-0005-0000-0000-00002D080000}"/>
    <cellStyle name="20% - Accent2 2 5 2 3" xfId="1622" xr:uid="{00000000-0005-0000-0000-00002E080000}"/>
    <cellStyle name="20% - Accent2 2 5 2 3 2" xfId="1623" xr:uid="{00000000-0005-0000-0000-00002F080000}"/>
    <cellStyle name="20% - Accent2 2 5 2 4" xfId="1624" xr:uid="{00000000-0005-0000-0000-000030080000}"/>
    <cellStyle name="20% - Accent2 2 5 2 5" xfId="1625" xr:uid="{00000000-0005-0000-0000-000031080000}"/>
    <cellStyle name="20% - Accent2 2 5 2 6" xfId="36984" xr:uid="{00000000-0005-0000-0000-000032080000}"/>
    <cellStyle name="20% - Accent2 2 5 3" xfId="1626" xr:uid="{00000000-0005-0000-0000-000033080000}"/>
    <cellStyle name="20% - Accent2 2 5 3 2" xfId="1627" xr:uid="{00000000-0005-0000-0000-000034080000}"/>
    <cellStyle name="20% - Accent2 2 5 3 2 2" xfId="1628" xr:uid="{00000000-0005-0000-0000-000035080000}"/>
    <cellStyle name="20% - Accent2 2 5 3 2 2 2" xfId="1629" xr:uid="{00000000-0005-0000-0000-000036080000}"/>
    <cellStyle name="20% - Accent2 2 5 3 2 3" xfId="1630" xr:uid="{00000000-0005-0000-0000-000037080000}"/>
    <cellStyle name="20% - Accent2 2 5 3 2 4" xfId="1631" xr:uid="{00000000-0005-0000-0000-000038080000}"/>
    <cellStyle name="20% - Accent2 2 5 3 2 5" xfId="36987" xr:uid="{00000000-0005-0000-0000-000039080000}"/>
    <cellStyle name="20% - Accent2 2 5 3 3" xfId="1632" xr:uid="{00000000-0005-0000-0000-00003A080000}"/>
    <cellStyle name="20% - Accent2 2 5 3 3 2" xfId="1633" xr:uid="{00000000-0005-0000-0000-00003B080000}"/>
    <cellStyle name="20% - Accent2 2 5 3 4" xfId="1634" xr:uid="{00000000-0005-0000-0000-00003C080000}"/>
    <cellStyle name="20% - Accent2 2 5 3 5" xfId="1635" xr:uid="{00000000-0005-0000-0000-00003D080000}"/>
    <cellStyle name="20% - Accent2 2 5 3 6" xfId="36986" xr:uid="{00000000-0005-0000-0000-00003E080000}"/>
    <cellStyle name="20% - Accent2 2 5 4" xfId="1636" xr:uid="{00000000-0005-0000-0000-00003F080000}"/>
    <cellStyle name="20% - Accent2 2 5 4 2" xfId="1637" xr:uid="{00000000-0005-0000-0000-000040080000}"/>
    <cellStyle name="20% - Accent2 2 5 4 2 2" xfId="1638" xr:uid="{00000000-0005-0000-0000-000041080000}"/>
    <cellStyle name="20% - Accent2 2 5 4 3" xfId="1639" xr:uid="{00000000-0005-0000-0000-000042080000}"/>
    <cellStyle name="20% - Accent2 2 5 4 4" xfId="1640" xr:uid="{00000000-0005-0000-0000-000043080000}"/>
    <cellStyle name="20% - Accent2 2 5 4 5" xfId="36988" xr:uid="{00000000-0005-0000-0000-000044080000}"/>
    <cellStyle name="20% - Accent2 2 5 5" xfId="1641" xr:uid="{00000000-0005-0000-0000-000045080000}"/>
    <cellStyle name="20% - Accent2 2 5 5 2" xfId="1642" xr:uid="{00000000-0005-0000-0000-000046080000}"/>
    <cellStyle name="20% - Accent2 2 5 5 2 2" xfId="1643" xr:uid="{00000000-0005-0000-0000-000047080000}"/>
    <cellStyle name="20% - Accent2 2 5 5 3" xfId="1644" xr:uid="{00000000-0005-0000-0000-000048080000}"/>
    <cellStyle name="20% - Accent2 2 5 5 4" xfId="1645" xr:uid="{00000000-0005-0000-0000-000049080000}"/>
    <cellStyle name="20% - Accent2 2 5 6" xfId="1646" xr:uid="{00000000-0005-0000-0000-00004A080000}"/>
    <cellStyle name="20% - Accent2 2 5 6 2" xfId="1647" xr:uid="{00000000-0005-0000-0000-00004B080000}"/>
    <cellStyle name="20% - Accent2 2 5 6 2 2" xfId="1648" xr:uid="{00000000-0005-0000-0000-00004C080000}"/>
    <cellStyle name="20% - Accent2 2 5 6 3" xfId="1649" xr:uid="{00000000-0005-0000-0000-00004D080000}"/>
    <cellStyle name="20% - Accent2 2 5 6 4" xfId="1650" xr:uid="{00000000-0005-0000-0000-00004E080000}"/>
    <cellStyle name="20% - Accent2 2 5 7" xfId="1651" xr:uid="{00000000-0005-0000-0000-00004F080000}"/>
    <cellStyle name="20% - Accent2 2 5 7 2" xfId="1652" xr:uid="{00000000-0005-0000-0000-000050080000}"/>
    <cellStyle name="20% - Accent2 2 5 8" xfId="1653" xr:uid="{00000000-0005-0000-0000-000051080000}"/>
    <cellStyle name="20% - Accent2 2 5 9" xfId="1654" xr:uid="{00000000-0005-0000-0000-000052080000}"/>
    <cellStyle name="20% - Accent2 2 6" xfId="1655" xr:uid="{00000000-0005-0000-0000-000053080000}"/>
    <cellStyle name="20% - Accent2 2 7" xfId="1656" xr:uid="{00000000-0005-0000-0000-000054080000}"/>
    <cellStyle name="20% - Accent2 2 8" xfId="1657" xr:uid="{00000000-0005-0000-0000-000055080000}"/>
    <cellStyle name="20% - Accent2 2 8 2" xfId="1658" xr:uid="{00000000-0005-0000-0000-000056080000}"/>
    <cellStyle name="20% - Accent2 2 8 3" xfId="34507" xr:uid="{00000000-0005-0000-0000-000057080000}"/>
    <cellStyle name="20% - Accent2 2 9" xfId="1659" xr:uid="{00000000-0005-0000-0000-000058080000}"/>
    <cellStyle name="20% - Accent2 2 9 2" xfId="1660" xr:uid="{00000000-0005-0000-0000-000059080000}"/>
    <cellStyle name="20% - Accent2 2 9 2 2" xfId="1661" xr:uid="{00000000-0005-0000-0000-00005A080000}"/>
    <cellStyle name="20% - Accent2 2 9 2 2 2" xfId="1662" xr:uid="{00000000-0005-0000-0000-00005B080000}"/>
    <cellStyle name="20% - Accent2 2 9 2 3" xfId="1663" xr:uid="{00000000-0005-0000-0000-00005C080000}"/>
    <cellStyle name="20% - Accent2 2 9 2 4" xfId="1664" xr:uid="{00000000-0005-0000-0000-00005D080000}"/>
    <cellStyle name="20% - Accent2 2 9 2 5" xfId="36990" xr:uid="{00000000-0005-0000-0000-00005E080000}"/>
    <cellStyle name="20% - Accent2 2 9 3" xfId="1665" xr:uid="{00000000-0005-0000-0000-00005F080000}"/>
    <cellStyle name="20% - Accent2 2 9 4" xfId="1666" xr:uid="{00000000-0005-0000-0000-000060080000}"/>
    <cellStyle name="20% - Accent2 2 9 4 2" xfId="1667" xr:uid="{00000000-0005-0000-0000-000061080000}"/>
    <cellStyle name="20% - Accent2 2 9 5" xfId="1668" xr:uid="{00000000-0005-0000-0000-000062080000}"/>
    <cellStyle name="20% - Accent2 2 9 6" xfId="1669" xr:uid="{00000000-0005-0000-0000-000063080000}"/>
    <cellStyle name="20% - Accent2 2 9 7" xfId="36989" xr:uid="{00000000-0005-0000-0000-000064080000}"/>
    <cellStyle name="20% - Accent2 3" xfId="1670" xr:uid="{00000000-0005-0000-0000-000065080000}"/>
    <cellStyle name="20% - Accent2 3 2" xfId="1671" xr:uid="{00000000-0005-0000-0000-000066080000}"/>
    <cellStyle name="20% - Accent2 3 2 10" xfId="1672" xr:uid="{00000000-0005-0000-0000-000067080000}"/>
    <cellStyle name="20% - Accent2 3 2 10 2" xfId="1673" xr:uid="{00000000-0005-0000-0000-000068080000}"/>
    <cellStyle name="20% - Accent2 3 2 11" xfId="1674" xr:uid="{00000000-0005-0000-0000-000069080000}"/>
    <cellStyle name="20% - Accent2 3 2 12" xfId="1675" xr:uid="{00000000-0005-0000-0000-00006A080000}"/>
    <cellStyle name="20% - Accent2 3 2 13" xfId="34508" xr:uid="{00000000-0005-0000-0000-00006B080000}"/>
    <cellStyle name="20% - Accent2 3 2 2" xfId="1676" xr:uid="{00000000-0005-0000-0000-00006C080000}"/>
    <cellStyle name="20% - Accent2 3 2 2 10" xfId="1677" xr:uid="{00000000-0005-0000-0000-00006D080000}"/>
    <cellStyle name="20% - Accent2 3 2 2 11" xfId="1678" xr:uid="{00000000-0005-0000-0000-00006E080000}"/>
    <cellStyle name="20% - Accent2 3 2 2 12" xfId="34509" xr:uid="{00000000-0005-0000-0000-00006F080000}"/>
    <cellStyle name="20% - Accent2 3 2 2 2" xfId="1679" xr:uid="{00000000-0005-0000-0000-000070080000}"/>
    <cellStyle name="20% - Accent2 3 2 2 2 10" xfId="1680" xr:uid="{00000000-0005-0000-0000-000071080000}"/>
    <cellStyle name="20% - Accent2 3 2 2 2 11" xfId="34510" xr:uid="{00000000-0005-0000-0000-000072080000}"/>
    <cellStyle name="20% - Accent2 3 2 2 2 2" xfId="1681" xr:uid="{00000000-0005-0000-0000-000073080000}"/>
    <cellStyle name="20% - Accent2 3 2 2 2 2 10" xfId="34511" xr:uid="{00000000-0005-0000-0000-000074080000}"/>
    <cellStyle name="20% - Accent2 3 2 2 2 2 2" xfId="1682" xr:uid="{00000000-0005-0000-0000-000075080000}"/>
    <cellStyle name="20% - Accent2 3 2 2 2 2 2 2" xfId="1683" xr:uid="{00000000-0005-0000-0000-000076080000}"/>
    <cellStyle name="20% - Accent2 3 2 2 2 2 2 2 2" xfId="1684" xr:uid="{00000000-0005-0000-0000-000077080000}"/>
    <cellStyle name="20% - Accent2 3 2 2 2 2 2 2 2 2" xfId="1685" xr:uid="{00000000-0005-0000-0000-000078080000}"/>
    <cellStyle name="20% - Accent2 3 2 2 2 2 2 2 3" xfId="1686" xr:uid="{00000000-0005-0000-0000-000079080000}"/>
    <cellStyle name="20% - Accent2 3 2 2 2 2 2 2 4" xfId="1687" xr:uid="{00000000-0005-0000-0000-00007A080000}"/>
    <cellStyle name="20% - Accent2 3 2 2 2 2 2 2 5" xfId="36992" xr:uid="{00000000-0005-0000-0000-00007B080000}"/>
    <cellStyle name="20% - Accent2 3 2 2 2 2 2 3" xfId="1688" xr:uid="{00000000-0005-0000-0000-00007C080000}"/>
    <cellStyle name="20% - Accent2 3 2 2 2 2 2 3 2" xfId="1689" xr:uid="{00000000-0005-0000-0000-00007D080000}"/>
    <cellStyle name="20% - Accent2 3 2 2 2 2 2 4" xfId="1690" xr:uid="{00000000-0005-0000-0000-00007E080000}"/>
    <cellStyle name="20% - Accent2 3 2 2 2 2 2 5" xfId="1691" xr:uid="{00000000-0005-0000-0000-00007F080000}"/>
    <cellStyle name="20% - Accent2 3 2 2 2 2 2 6" xfId="36991" xr:uid="{00000000-0005-0000-0000-000080080000}"/>
    <cellStyle name="20% - Accent2 3 2 2 2 2 3" xfId="1692" xr:uid="{00000000-0005-0000-0000-000081080000}"/>
    <cellStyle name="20% - Accent2 3 2 2 2 2 3 2" xfId="1693" xr:uid="{00000000-0005-0000-0000-000082080000}"/>
    <cellStyle name="20% - Accent2 3 2 2 2 2 3 2 2" xfId="1694" xr:uid="{00000000-0005-0000-0000-000083080000}"/>
    <cellStyle name="20% - Accent2 3 2 2 2 2 3 2 2 2" xfId="1695" xr:uid="{00000000-0005-0000-0000-000084080000}"/>
    <cellStyle name="20% - Accent2 3 2 2 2 2 3 2 3" xfId="1696" xr:uid="{00000000-0005-0000-0000-000085080000}"/>
    <cellStyle name="20% - Accent2 3 2 2 2 2 3 2 4" xfId="1697" xr:uid="{00000000-0005-0000-0000-000086080000}"/>
    <cellStyle name="20% - Accent2 3 2 2 2 2 3 2 5" xfId="36994" xr:uid="{00000000-0005-0000-0000-000087080000}"/>
    <cellStyle name="20% - Accent2 3 2 2 2 2 3 3" xfId="1698" xr:uid="{00000000-0005-0000-0000-000088080000}"/>
    <cellStyle name="20% - Accent2 3 2 2 2 2 3 3 2" xfId="1699" xr:uid="{00000000-0005-0000-0000-000089080000}"/>
    <cellStyle name="20% - Accent2 3 2 2 2 2 3 4" xfId="1700" xr:uid="{00000000-0005-0000-0000-00008A080000}"/>
    <cellStyle name="20% - Accent2 3 2 2 2 2 3 5" xfId="1701" xr:uid="{00000000-0005-0000-0000-00008B080000}"/>
    <cellStyle name="20% - Accent2 3 2 2 2 2 3 6" xfId="36993" xr:uid="{00000000-0005-0000-0000-00008C080000}"/>
    <cellStyle name="20% - Accent2 3 2 2 2 2 4" xfId="1702" xr:uid="{00000000-0005-0000-0000-00008D080000}"/>
    <cellStyle name="20% - Accent2 3 2 2 2 2 4 2" xfId="1703" xr:uid="{00000000-0005-0000-0000-00008E080000}"/>
    <cellStyle name="20% - Accent2 3 2 2 2 2 4 2 2" xfId="1704" xr:uid="{00000000-0005-0000-0000-00008F080000}"/>
    <cellStyle name="20% - Accent2 3 2 2 2 2 4 3" xfId="1705" xr:uid="{00000000-0005-0000-0000-000090080000}"/>
    <cellStyle name="20% - Accent2 3 2 2 2 2 4 4" xfId="1706" xr:uid="{00000000-0005-0000-0000-000091080000}"/>
    <cellStyle name="20% - Accent2 3 2 2 2 2 4 5" xfId="36995" xr:uid="{00000000-0005-0000-0000-000092080000}"/>
    <cellStyle name="20% - Accent2 3 2 2 2 2 5" xfId="1707" xr:uid="{00000000-0005-0000-0000-000093080000}"/>
    <cellStyle name="20% - Accent2 3 2 2 2 2 5 2" xfId="1708" xr:uid="{00000000-0005-0000-0000-000094080000}"/>
    <cellStyle name="20% - Accent2 3 2 2 2 2 5 2 2" xfId="1709" xr:uid="{00000000-0005-0000-0000-000095080000}"/>
    <cellStyle name="20% - Accent2 3 2 2 2 2 5 3" xfId="1710" xr:uid="{00000000-0005-0000-0000-000096080000}"/>
    <cellStyle name="20% - Accent2 3 2 2 2 2 5 4" xfId="1711" xr:uid="{00000000-0005-0000-0000-000097080000}"/>
    <cellStyle name="20% - Accent2 3 2 2 2 2 6" xfId="1712" xr:uid="{00000000-0005-0000-0000-000098080000}"/>
    <cellStyle name="20% - Accent2 3 2 2 2 2 6 2" xfId="1713" xr:uid="{00000000-0005-0000-0000-000099080000}"/>
    <cellStyle name="20% - Accent2 3 2 2 2 2 6 2 2" xfId="1714" xr:uid="{00000000-0005-0000-0000-00009A080000}"/>
    <cellStyle name="20% - Accent2 3 2 2 2 2 6 3" xfId="1715" xr:uid="{00000000-0005-0000-0000-00009B080000}"/>
    <cellStyle name="20% - Accent2 3 2 2 2 2 6 4" xfId="1716" xr:uid="{00000000-0005-0000-0000-00009C080000}"/>
    <cellStyle name="20% - Accent2 3 2 2 2 2 7" xfId="1717" xr:uid="{00000000-0005-0000-0000-00009D080000}"/>
    <cellStyle name="20% - Accent2 3 2 2 2 2 7 2" xfId="1718" xr:uid="{00000000-0005-0000-0000-00009E080000}"/>
    <cellStyle name="20% - Accent2 3 2 2 2 2 8" xfId="1719" xr:uid="{00000000-0005-0000-0000-00009F080000}"/>
    <cellStyle name="20% - Accent2 3 2 2 2 2 9" xfId="1720" xr:uid="{00000000-0005-0000-0000-0000A0080000}"/>
    <cellStyle name="20% - Accent2 3 2 2 2 3" xfId="1721" xr:uid="{00000000-0005-0000-0000-0000A1080000}"/>
    <cellStyle name="20% - Accent2 3 2 2 2 3 2" xfId="1722" xr:uid="{00000000-0005-0000-0000-0000A2080000}"/>
    <cellStyle name="20% - Accent2 3 2 2 2 3 2 2" xfId="1723" xr:uid="{00000000-0005-0000-0000-0000A3080000}"/>
    <cellStyle name="20% - Accent2 3 2 2 2 3 2 2 2" xfId="1724" xr:uid="{00000000-0005-0000-0000-0000A4080000}"/>
    <cellStyle name="20% - Accent2 3 2 2 2 3 2 3" xfId="1725" xr:uid="{00000000-0005-0000-0000-0000A5080000}"/>
    <cellStyle name="20% - Accent2 3 2 2 2 3 2 4" xfId="1726" xr:uid="{00000000-0005-0000-0000-0000A6080000}"/>
    <cellStyle name="20% - Accent2 3 2 2 2 3 2 5" xfId="36997" xr:uid="{00000000-0005-0000-0000-0000A7080000}"/>
    <cellStyle name="20% - Accent2 3 2 2 2 3 3" xfId="1727" xr:uid="{00000000-0005-0000-0000-0000A8080000}"/>
    <cellStyle name="20% - Accent2 3 2 2 2 3 3 2" xfId="1728" xr:uid="{00000000-0005-0000-0000-0000A9080000}"/>
    <cellStyle name="20% - Accent2 3 2 2 2 3 4" xfId="1729" xr:uid="{00000000-0005-0000-0000-0000AA080000}"/>
    <cellStyle name="20% - Accent2 3 2 2 2 3 5" xfId="1730" xr:uid="{00000000-0005-0000-0000-0000AB080000}"/>
    <cellStyle name="20% - Accent2 3 2 2 2 3 6" xfId="36996" xr:uid="{00000000-0005-0000-0000-0000AC080000}"/>
    <cellStyle name="20% - Accent2 3 2 2 2 4" xfId="1731" xr:uid="{00000000-0005-0000-0000-0000AD080000}"/>
    <cellStyle name="20% - Accent2 3 2 2 2 4 2" xfId="1732" xr:uid="{00000000-0005-0000-0000-0000AE080000}"/>
    <cellStyle name="20% - Accent2 3 2 2 2 4 2 2" xfId="1733" xr:uid="{00000000-0005-0000-0000-0000AF080000}"/>
    <cellStyle name="20% - Accent2 3 2 2 2 4 2 2 2" xfId="1734" xr:uid="{00000000-0005-0000-0000-0000B0080000}"/>
    <cellStyle name="20% - Accent2 3 2 2 2 4 2 3" xfId="1735" xr:uid="{00000000-0005-0000-0000-0000B1080000}"/>
    <cellStyle name="20% - Accent2 3 2 2 2 4 2 4" xfId="1736" xr:uid="{00000000-0005-0000-0000-0000B2080000}"/>
    <cellStyle name="20% - Accent2 3 2 2 2 4 2 5" xfId="36999" xr:uid="{00000000-0005-0000-0000-0000B3080000}"/>
    <cellStyle name="20% - Accent2 3 2 2 2 4 3" xfId="1737" xr:uid="{00000000-0005-0000-0000-0000B4080000}"/>
    <cellStyle name="20% - Accent2 3 2 2 2 4 3 2" xfId="1738" xr:uid="{00000000-0005-0000-0000-0000B5080000}"/>
    <cellStyle name="20% - Accent2 3 2 2 2 4 4" xfId="1739" xr:uid="{00000000-0005-0000-0000-0000B6080000}"/>
    <cellStyle name="20% - Accent2 3 2 2 2 4 5" xfId="1740" xr:uid="{00000000-0005-0000-0000-0000B7080000}"/>
    <cellStyle name="20% - Accent2 3 2 2 2 4 6" xfId="36998" xr:uid="{00000000-0005-0000-0000-0000B8080000}"/>
    <cellStyle name="20% - Accent2 3 2 2 2 5" xfId="1741" xr:uid="{00000000-0005-0000-0000-0000B9080000}"/>
    <cellStyle name="20% - Accent2 3 2 2 2 5 2" xfId="1742" xr:uid="{00000000-0005-0000-0000-0000BA080000}"/>
    <cellStyle name="20% - Accent2 3 2 2 2 5 2 2" xfId="1743" xr:uid="{00000000-0005-0000-0000-0000BB080000}"/>
    <cellStyle name="20% - Accent2 3 2 2 2 5 3" xfId="1744" xr:uid="{00000000-0005-0000-0000-0000BC080000}"/>
    <cellStyle name="20% - Accent2 3 2 2 2 5 4" xfId="1745" xr:uid="{00000000-0005-0000-0000-0000BD080000}"/>
    <cellStyle name="20% - Accent2 3 2 2 2 5 5" xfId="37000" xr:uid="{00000000-0005-0000-0000-0000BE080000}"/>
    <cellStyle name="20% - Accent2 3 2 2 2 6" xfId="1746" xr:uid="{00000000-0005-0000-0000-0000BF080000}"/>
    <cellStyle name="20% - Accent2 3 2 2 2 6 2" xfId="1747" xr:uid="{00000000-0005-0000-0000-0000C0080000}"/>
    <cellStyle name="20% - Accent2 3 2 2 2 6 2 2" xfId="1748" xr:uid="{00000000-0005-0000-0000-0000C1080000}"/>
    <cellStyle name="20% - Accent2 3 2 2 2 6 3" xfId="1749" xr:uid="{00000000-0005-0000-0000-0000C2080000}"/>
    <cellStyle name="20% - Accent2 3 2 2 2 6 4" xfId="1750" xr:uid="{00000000-0005-0000-0000-0000C3080000}"/>
    <cellStyle name="20% - Accent2 3 2 2 2 7" xfId="1751" xr:uid="{00000000-0005-0000-0000-0000C4080000}"/>
    <cellStyle name="20% - Accent2 3 2 2 2 7 2" xfId="1752" xr:uid="{00000000-0005-0000-0000-0000C5080000}"/>
    <cellStyle name="20% - Accent2 3 2 2 2 7 2 2" xfId="1753" xr:uid="{00000000-0005-0000-0000-0000C6080000}"/>
    <cellStyle name="20% - Accent2 3 2 2 2 7 3" xfId="1754" xr:uid="{00000000-0005-0000-0000-0000C7080000}"/>
    <cellStyle name="20% - Accent2 3 2 2 2 7 4" xfId="1755" xr:uid="{00000000-0005-0000-0000-0000C8080000}"/>
    <cellStyle name="20% - Accent2 3 2 2 2 8" xfId="1756" xr:uid="{00000000-0005-0000-0000-0000C9080000}"/>
    <cellStyle name="20% - Accent2 3 2 2 2 8 2" xfId="1757" xr:uid="{00000000-0005-0000-0000-0000CA080000}"/>
    <cellStyle name="20% - Accent2 3 2 2 2 9" xfId="1758" xr:uid="{00000000-0005-0000-0000-0000CB080000}"/>
    <cellStyle name="20% - Accent2 3 2 2 3" xfId="1759" xr:uid="{00000000-0005-0000-0000-0000CC080000}"/>
    <cellStyle name="20% - Accent2 3 2 2 3 10" xfId="34512" xr:uid="{00000000-0005-0000-0000-0000CD080000}"/>
    <cellStyle name="20% - Accent2 3 2 2 3 2" xfId="1760" xr:uid="{00000000-0005-0000-0000-0000CE080000}"/>
    <cellStyle name="20% - Accent2 3 2 2 3 2 2" xfId="1761" xr:uid="{00000000-0005-0000-0000-0000CF080000}"/>
    <cellStyle name="20% - Accent2 3 2 2 3 2 2 2" xfId="1762" xr:uid="{00000000-0005-0000-0000-0000D0080000}"/>
    <cellStyle name="20% - Accent2 3 2 2 3 2 2 2 2" xfId="1763" xr:uid="{00000000-0005-0000-0000-0000D1080000}"/>
    <cellStyle name="20% - Accent2 3 2 2 3 2 2 3" xfId="1764" xr:uid="{00000000-0005-0000-0000-0000D2080000}"/>
    <cellStyle name="20% - Accent2 3 2 2 3 2 2 4" xfId="1765" xr:uid="{00000000-0005-0000-0000-0000D3080000}"/>
    <cellStyle name="20% - Accent2 3 2 2 3 2 2 5" xfId="37002" xr:uid="{00000000-0005-0000-0000-0000D4080000}"/>
    <cellStyle name="20% - Accent2 3 2 2 3 2 3" xfId="1766" xr:uid="{00000000-0005-0000-0000-0000D5080000}"/>
    <cellStyle name="20% - Accent2 3 2 2 3 2 3 2" xfId="1767" xr:uid="{00000000-0005-0000-0000-0000D6080000}"/>
    <cellStyle name="20% - Accent2 3 2 2 3 2 4" xfId="1768" xr:uid="{00000000-0005-0000-0000-0000D7080000}"/>
    <cellStyle name="20% - Accent2 3 2 2 3 2 5" xfId="1769" xr:uid="{00000000-0005-0000-0000-0000D8080000}"/>
    <cellStyle name="20% - Accent2 3 2 2 3 2 6" xfId="37001" xr:uid="{00000000-0005-0000-0000-0000D9080000}"/>
    <cellStyle name="20% - Accent2 3 2 2 3 3" xfId="1770" xr:uid="{00000000-0005-0000-0000-0000DA080000}"/>
    <cellStyle name="20% - Accent2 3 2 2 3 3 2" xfId="1771" xr:uid="{00000000-0005-0000-0000-0000DB080000}"/>
    <cellStyle name="20% - Accent2 3 2 2 3 3 2 2" xfId="1772" xr:uid="{00000000-0005-0000-0000-0000DC080000}"/>
    <cellStyle name="20% - Accent2 3 2 2 3 3 2 2 2" xfId="1773" xr:uid="{00000000-0005-0000-0000-0000DD080000}"/>
    <cellStyle name="20% - Accent2 3 2 2 3 3 2 3" xfId="1774" xr:uid="{00000000-0005-0000-0000-0000DE080000}"/>
    <cellStyle name="20% - Accent2 3 2 2 3 3 2 4" xfId="1775" xr:uid="{00000000-0005-0000-0000-0000DF080000}"/>
    <cellStyle name="20% - Accent2 3 2 2 3 3 2 5" xfId="37004" xr:uid="{00000000-0005-0000-0000-0000E0080000}"/>
    <cellStyle name="20% - Accent2 3 2 2 3 3 3" xfId="1776" xr:uid="{00000000-0005-0000-0000-0000E1080000}"/>
    <cellStyle name="20% - Accent2 3 2 2 3 3 3 2" xfId="1777" xr:uid="{00000000-0005-0000-0000-0000E2080000}"/>
    <cellStyle name="20% - Accent2 3 2 2 3 3 4" xfId="1778" xr:uid="{00000000-0005-0000-0000-0000E3080000}"/>
    <cellStyle name="20% - Accent2 3 2 2 3 3 5" xfId="1779" xr:uid="{00000000-0005-0000-0000-0000E4080000}"/>
    <cellStyle name="20% - Accent2 3 2 2 3 3 6" xfId="37003" xr:uid="{00000000-0005-0000-0000-0000E5080000}"/>
    <cellStyle name="20% - Accent2 3 2 2 3 4" xfId="1780" xr:uid="{00000000-0005-0000-0000-0000E6080000}"/>
    <cellStyle name="20% - Accent2 3 2 2 3 4 2" xfId="1781" xr:uid="{00000000-0005-0000-0000-0000E7080000}"/>
    <cellStyle name="20% - Accent2 3 2 2 3 4 2 2" xfId="1782" xr:uid="{00000000-0005-0000-0000-0000E8080000}"/>
    <cellStyle name="20% - Accent2 3 2 2 3 4 3" xfId="1783" xr:uid="{00000000-0005-0000-0000-0000E9080000}"/>
    <cellStyle name="20% - Accent2 3 2 2 3 4 4" xfId="1784" xr:uid="{00000000-0005-0000-0000-0000EA080000}"/>
    <cellStyle name="20% - Accent2 3 2 2 3 4 5" xfId="37005" xr:uid="{00000000-0005-0000-0000-0000EB080000}"/>
    <cellStyle name="20% - Accent2 3 2 2 3 5" xfId="1785" xr:uid="{00000000-0005-0000-0000-0000EC080000}"/>
    <cellStyle name="20% - Accent2 3 2 2 3 5 2" xfId="1786" xr:uid="{00000000-0005-0000-0000-0000ED080000}"/>
    <cellStyle name="20% - Accent2 3 2 2 3 5 2 2" xfId="1787" xr:uid="{00000000-0005-0000-0000-0000EE080000}"/>
    <cellStyle name="20% - Accent2 3 2 2 3 5 3" xfId="1788" xr:uid="{00000000-0005-0000-0000-0000EF080000}"/>
    <cellStyle name="20% - Accent2 3 2 2 3 5 4" xfId="1789" xr:uid="{00000000-0005-0000-0000-0000F0080000}"/>
    <cellStyle name="20% - Accent2 3 2 2 3 6" xfId="1790" xr:uid="{00000000-0005-0000-0000-0000F1080000}"/>
    <cellStyle name="20% - Accent2 3 2 2 3 6 2" xfId="1791" xr:uid="{00000000-0005-0000-0000-0000F2080000}"/>
    <cellStyle name="20% - Accent2 3 2 2 3 6 2 2" xfId="1792" xr:uid="{00000000-0005-0000-0000-0000F3080000}"/>
    <cellStyle name="20% - Accent2 3 2 2 3 6 3" xfId="1793" xr:uid="{00000000-0005-0000-0000-0000F4080000}"/>
    <cellStyle name="20% - Accent2 3 2 2 3 6 4" xfId="1794" xr:uid="{00000000-0005-0000-0000-0000F5080000}"/>
    <cellStyle name="20% - Accent2 3 2 2 3 7" xfId="1795" xr:uid="{00000000-0005-0000-0000-0000F6080000}"/>
    <cellStyle name="20% - Accent2 3 2 2 3 7 2" xfId="1796" xr:uid="{00000000-0005-0000-0000-0000F7080000}"/>
    <cellStyle name="20% - Accent2 3 2 2 3 8" xfId="1797" xr:uid="{00000000-0005-0000-0000-0000F8080000}"/>
    <cellStyle name="20% - Accent2 3 2 2 3 9" xfId="1798" xr:uid="{00000000-0005-0000-0000-0000F9080000}"/>
    <cellStyle name="20% - Accent2 3 2 2 4" xfId="1799" xr:uid="{00000000-0005-0000-0000-0000FA080000}"/>
    <cellStyle name="20% - Accent2 3 2 2 4 2" xfId="1800" xr:uid="{00000000-0005-0000-0000-0000FB080000}"/>
    <cellStyle name="20% - Accent2 3 2 2 4 2 2" xfId="1801" xr:uid="{00000000-0005-0000-0000-0000FC080000}"/>
    <cellStyle name="20% - Accent2 3 2 2 4 2 2 2" xfId="1802" xr:uid="{00000000-0005-0000-0000-0000FD080000}"/>
    <cellStyle name="20% - Accent2 3 2 2 4 2 3" xfId="1803" xr:uid="{00000000-0005-0000-0000-0000FE080000}"/>
    <cellStyle name="20% - Accent2 3 2 2 4 2 4" xfId="1804" xr:uid="{00000000-0005-0000-0000-0000FF080000}"/>
    <cellStyle name="20% - Accent2 3 2 2 4 2 5" xfId="37007" xr:uid="{00000000-0005-0000-0000-000000090000}"/>
    <cellStyle name="20% - Accent2 3 2 2 4 3" xfId="1805" xr:uid="{00000000-0005-0000-0000-000001090000}"/>
    <cellStyle name="20% - Accent2 3 2 2 4 3 2" xfId="1806" xr:uid="{00000000-0005-0000-0000-000002090000}"/>
    <cellStyle name="20% - Accent2 3 2 2 4 4" xfId="1807" xr:uid="{00000000-0005-0000-0000-000003090000}"/>
    <cellStyle name="20% - Accent2 3 2 2 4 5" xfId="1808" xr:uid="{00000000-0005-0000-0000-000004090000}"/>
    <cellStyle name="20% - Accent2 3 2 2 4 6" xfId="37006" xr:uid="{00000000-0005-0000-0000-000005090000}"/>
    <cellStyle name="20% - Accent2 3 2 2 5" xfId="1809" xr:uid="{00000000-0005-0000-0000-000006090000}"/>
    <cellStyle name="20% - Accent2 3 2 2 5 2" xfId="1810" xr:uid="{00000000-0005-0000-0000-000007090000}"/>
    <cellStyle name="20% - Accent2 3 2 2 5 2 2" xfId="1811" xr:uid="{00000000-0005-0000-0000-000008090000}"/>
    <cellStyle name="20% - Accent2 3 2 2 5 2 2 2" xfId="1812" xr:uid="{00000000-0005-0000-0000-000009090000}"/>
    <cellStyle name="20% - Accent2 3 2 2 5 2 3" xfId="1813" xr:uid="{00000000-0005-0000-0000-00000A090000}"/>
    <cellStyle name="20% - Accent2 3 2 2 5 2 4" xfId="1814" xr:uid="{00000000-0005-0000-0000-00000B090000}"/>
    <cellStyle name="20% - Accent2 3 2 2 5 2 5" xfId="37009" xr:uid="{00000000-0005-0000-0000-00000C090000}"/>
    <cellStyle name="20% - Accent2 3 2 2 5 3" xfId="1815" xr:uid="{00000000-0005-0000-0000-00000D090000}"/>
    <cellStyle name="20% - Accent2 3 2 2 5 3 2" xfId="1816" xr:uid="{00000000-0005-0000-0000-00000E090000}"/>
    <cellStyle name="20% - Accent2 3 2 2 5 4" xfId="1817" xr:uid="{00000000-0005-0000-0000-00000F090000}"/>
    <cellStyle name="20% - Accent2 3 2 2 5 5" xfId="1818" xr:uid="{00000000-0005-0000-0000-000010090000}"/>
    <cellStyle name="20% - Accent2 3 2 2 5 6" xfId="37008" xr:uid="{00000000-0005-0000-0000-000011090000}"/>
    <cellStyle name="20% - Accent2 3 2 2 6" xfId="1819" xr:uid="{00000000-0005-0000-0000-000012090000}"/>
    <cellStyle name="20% - Accent2 3 2 2 6 2" xfId="1820" xr:uid="{00000000-0005-0000-0000-000013090000}"/>
    <cellStyle name="20% - Accent2 3 2 2 6 2 2" xfId="1821" xr:uid="{00000000-0005-0000-0000-000014090000}"/>
    <cellStyle name="20% - Accent2 3 2 2 6 3" xfId="1822" xr:uid="{00000000-0005-0000-0000-000015090000}"/>
    <cellStyle name="20% - Accent2 3 2 2 6 4" xfId="1823" xr:uid="{00000000-0005-0000-0000-000016090000}"/>
    <cellStyle name="20% - Accent2 3 2 2 6 5" xfId="37010" xr:uid="{00000000-0005-0000-0000-000017090000}"/>
    <cellStyle name="20% - Accent2 3 2 2 7" xfId="1824" xr:uid="{00000000-0005-0000-0000-000018090000}"/>
    <cellStyle name="20% - Accent2 3 2 2 7 2" xfId="1825" xr:uid="{00000000-0005-0000-0000-000019090000}"/>
    <cellStyle name="20% - Accent2 3 2 2 7 2 2" xfId="1826" xr:uid="{00000000-0005-0000-0000-00001A090000}"/>
    <cellStyle name="20% - Accent2 3 2 2 7 3" xfId="1827" xr:uid="{00000000-0005-0000-0000-00001B090000}"/>
    <cellStyle name="20% - Accent2 3 2 2 7 4" xfId="1828" xr:uid="{00000000-0005-0000-0000-00001C090000}"/>
    <cellStyle name="20% - Accent2 3 2 2 8" xfId="1829" xr:uid="{00000000-0005-0000-0000-00001D090000}"/>
    <cellStyle name="20% - Accent2 3 2 2 8 2" xfId="1830" xr:uid="{00000000-0005-0000-0000-00001E090000}"/>
    <cellStyle name="20% - Accent2 3 2 2 8 2 2" xfId="1831" xr:uid="{00000000-0005-0000-0000-00001F090000}"/>
    <cellStyle name="20% - Accent2 3 2 2 8 3" xfId="1832" xr:uid="{00000000-0005-0000-0000-000020090000}"/>
    <cellStyle name="20% - Accent2 3 2 2 8 4" xfId="1833" xr:uid="{00000000-0005-0000-0000-000021090000}"/>
    <cellStyle name="20% - Accent2 3 2 2 9" xfId="1834" xr:uid="{00000000-0005-0000-0000-000022090000}"/>
    <cellStyle name="20% - Accent2 3 2 2 9 2" xfId="1835" xr:uid="{00000000-0005-0000-0000-000023090000}"/>
    <cellStyle name="20% - Accent2 3 2 3" xfId="1836" xr:uid="{00000000-0005-0000-0000-000024090000}"/>
    <cellStyle name="20% - Accent2 3 2 3 10" xfId="1837" xr:uid="{00000000-0005-0000-0000-000025090000}"/>
    <cellStyle name="20% - Accent2 3 2 3 11" xfId="34513" xr:uid="{00000000-0005-0000-0000-000026090000}"/>
    <cellStyle name="20% - Accent2 3 2 3 2" xfId="1838" xr:uid="{00000000-0005-0000-0000-000027090000}"/>
    <cellStyle name="20% - Accent2 3 2 3 2 10" xfId="34514" xr:uid="{00000000-0005-0000-0000-000028090000}"/>
    <cellStyle name="20% - Accent2 3 2 3 2 2" xfId="1839" xr:uid="{00000000-0005-0000-0000-000029090000}"/>
    <cellStyle name="20% - Accent2 3 2 3 2 2 2" xfId="1840" xr:uid="{00000000-0005-0000-0000-00002A090000}"/>
    <cellStyle name="20% - Accent2 3 2 3 2 2 2 2" xfId="1841" xr:uid="{00000000-0005-0000-0000-00002B090000}"/>
    <cellStyle name="20% - Accent2 3 2 3 2 2 2 2 2" xfId="1842" xr:uid="{00000000-0005-0000-0000-00002C090000}"/>
    <cellStyle name="20% - Accent2 3 2 3 2 2 2 3" xfId="1843" xr:uid="{00000000-0005-0000-0000-00002D090000}"/>
    <cellStyle name="20% - Accent2 3 2 3 2 2 2 4" xfId="1844" xr:uid="{00000000-0005-0000-0000-00002E090000}"/>
    <cellStyle name="20% - Accent2 3 2 3 2 2 2 5" xfId="37012" xr:uid="{00000000-0005-0000-0000-00002F090000}"/>
    <cellStyle name="20% - Accent2 3 2 3 2 2 3" xfId="1845" xr:uid="{00000000-0005-0000-0000-000030090000}"/>
    <cellStyle name="20% - Accent2 3 2 3 2 2 3 2" xfId="1846" xr:uid="{00000000-0005-0000-0000-000031090000}"/>
    <cellStyle name="20% - Accent2 3 2 3 2 2 4" xfId="1847" xr:uid="{00000000-0005-0000-0000-000032090000}"/>
    <cellStyle name="20% - Accent2 3 2 3 2 2 5" xfId="1848" xr:uid="{00000000-0005-0000-0000-000033090000}"/>
    <cellStyle name="20% - Accent2 3 2 3 2 2 6" xfId="37011" xr:uid="{00000000-0005-0000-0000-000034090000}"/>
    <cellStyle name="20% - Accent2 3 2 3 2 3" xfId="1849" xr:uid="{00000000-0005-0000-0000-000035090000}"/>
    <cellStyle name="20% - Accent2 3 2 3 2 3 2" xfId="1850" xr:uid="{00000000-0005-0000-0000-000036090000}"/>
    <cellStyle name="20% - Accent2 3 2 3 2 3 2 2" xfId="1851" xr:uid="{00000000-0005-0000-0000-000037090000}"/>
    <cellStyle name="20% - Accent2 3 2 3 2 3 2 2 2" xfId="1852" xr:uid="{00000000-0005-0000-0000-000038090000}"/>
    <cellStyle name="20% - Accent2 3 2 3 2 3 2 3" xfId="1853" xr:uid="{00000000-0005-0000-0000-000039090000}"/>
    <cellStyle name="20% - Accent2 3 2 3 2 3 2 4" xfId="1854" xr:uid="{00000000-0005-0000-0000-00003A090000}"/>
    <cellStyle name="20% - Accent2 3 2 3 2 3 2 5" xfId="37014" xr:uid="{00000000-0005-0000-0000-00003B090000}"/>
    <cellStyle name="20% - Accent2 3 2 3 2 3 3" xfId="1855" xr:uid="{00000000-0005-0000-0000-00003C090000}"/>
    <cellStyle name="20% - Accent2 3 2 3 2 3 3 2" xfId="1856" xr:uid="{00000000-0005-0000-0000-00003D090000}"/>
    <cellStyle name="20% - Accent2 3 2 3 2 3 4" xfId="1857" xr:uid="{00000000-0005-0000-0000-00003E090000}"/>
    <cellStyle name="20% - Accent2 3 2 3 2 3 5" xfId="1858" xr:uid="{00000000-0005-0000-0000-00003F090000}"/>
    <cellStyle name="20% - Accent2 3 2 3 2 3 6" xfId="37013" xr:uid="{00000000-0005-0000-0000-000040090000}"/>
    <cellStyle name="20% - Accent2 3 2 3 2 4" xfId="1859" xr:uid="{00000000-0005-0000-0000-000041090000}"/>
    <cellStyle name="20% - Accent2 3 2 3 2 4 2" xfId="1860" xr:uid="{00000000-0005-0000-0000-000042090000}"/>
    <cellStyle name="20% - Accent2 3 2 3 2 4 2 2" xfId="1861" xr:uid="{00000000-0005-0000-0000-000043090000}"/>
    <cellStyle name="20% - Accent2 3 2 3 2 4 3" xfId="1862" xr:uid="{00000000-0005-0000-0000-000044090000}"/>
    <cellStyle name="20% - Accent2 3 2 3 2 4 4" xfId="1863" xr:uid="{00000000-0005-0000-0000-000045090000}"/>
    <cellStyle name="20% - Accent2 3 2 3 2 4 5" xfId="37015" xr:uid="{00000000-0005-0000-0000-000046090000}"/>
    <cellStyle name="20% - Accent2 3 2 3 2 5" xfId="1864" xr:uid="{00000000-0005-0000-0000-000047090000}"/>
    <cellStyle name="20% - Accent2 3 2 3 2 5 2" xfId="1865" xr:uid="{00000000-0005-0000-0000-000048090000}"/>
    <cellStyle name="20% - Accent2 3 2 3 2 5 2 2" xfId="1866" xr:uid="{00000000-0005-0000-0000-000049090000}"/>
    <cellStyle name="20% - Accent2 3 2 3 2 5 3" xfId="1867" xr:uid="{00000000-0005-0000-0000-00004A090000}"/>
    <cellStyle name="20% - Accent2 3 2 3 2 5 4" xfId="1868" xr:uid="{00000000-0005-0000-0000-00004B090000}"/>
    <cellStyle name="20% - Accent2 3 2 3 2 6" xfId="1869" xr:uid="{00000000-0005-0000-0000-00004C090000}"/>
    <cellStyle name="20% - Accent2 3 2 3 2 6 2" xfId="1870" xr:uid="{00000000-0005-0000-0000-00004D090000}"/>
    <cellStyle name="20% - Accent2 3 2 3 2 6 2 2" xfId="1871" xr:uid="{00000000-0005-0000-0000-00004E090000}"/>
    <cellStyle name="20% - Accent2 3 2 3 2 6 3" xfId="1872" xr:uid="{00000000-0005-0000-0000-00004F090000}"/>
    <cellStyle name="20% - Accent2 3 2 3 2 6 4" xfId="1873" xr:uid="{00000000-0005-0000-0000-000050090000}"/>
    <cellStyle name="20% - Accent2 3 2 3 2 7" xfId="1874" xr:uid="{00000000-0005-0000-0000-000051090000}"/>
    <cellStyle name="20% - Accent2 3 2 3 2 7 2" xfId="1875" xr:uid="{00000000-0005-0000-0000-000052090000}"/>
    <cellStyle name="20% - Accent2 3 2 3 2 8" xfId="1876" xr:uid="{00000000-0005-0000-0000-000053090000}"/>
    <cellStyle name="20% - Accent2 3 2 3 2 9" xfId="1877" xr:uid="{00000000-0005-0000-0000-000054090000}"/>
    <cellStyle name="20% - Accent2 3 2 3 3" xfId="1878" xr:uid="{00000000-0005-0000-0000-000055090000}"/>
    <cellStyle name="20% - Accent2 3 2 3 3 2" xfId="1879" xr:uid="{00000000-0005-0000-0000-000056090000}"/>
    <cellStyle name="20% - Accent2 3 2 3 3 2 2" xfId="1880" xr:uid="{00000000-0005-0000-0000-000057090000}"/>
    <cellStyle name="20% - Accent2 3 2 3 3 2 2 2" xfId="1881" xr:uid="{00000000-0005-0000-0000-000058090000}"/>
    <cellStyle name="20% - Accent2 3 2 3 3 2 3" xfId="1882" xr:uid="{00000000-0005-0000-0000-000059090000}"/>
    <cellStyle name="20% - Accent2 3 2 3 3 2 4" xfId="1883" xr:uid="{00000000-0005-0000-0000-00005A090000}"/>
    <cellStyle name="20% - Accent2 3 2 3 3 2 5" xfId="37017" xr:uid="{00000000-0005-0000-0000-00005B090000}"/>
    <cellStyle name="20% - Accent2 3 2 3 3 3" xfId="1884" xr:uid="{00000000-0005-0000-0000-00005C090000}"/>
    <cellStyle name="20% - Accent2 3 2 3 3 3 2" xfId="1885" xr:uid="{00000000-0005-0000-0000-00005D090000}"/>
    <cellStyle name="20% - Accent2 3 2 3 3 4" xfId="1886" xr:uid="{00000000-0005-0000-0000-00005E090000}"/>
    <cellStyle name="20% - Accent2 3 2 3 3 5" xfId="1887" xr:uid="{00000000-0005-0000-0000-00005F090000}"/>
    <cellStyle name="20% - Accent2 3 2 3 3 6" xfId="37016" xr:uid="{00000000-0005-0000-0000-000060090000}"/>
    <cellStyle name="20% - Accent2 3 2 3 4" xfId="1888" xr:uid="{00000000-0005-0000-0000-000061090000}"/>
    <cellStyle name="20% - Accent2 3 2 3 4 2" xfId="1889" xr:uid="{00000000-0005-0000-0000-000062090000}"/>
    <cellStyle name="20% - Accent2 3 2 3 4 2 2" xfId="1890" xr:uid="{00000000-0005-0000-0000-000063090000}"/>
    <cellStyle name="20% - Accent2 3 2 3 4 2 2 2" xfId="1891" xr:uid="{00000000-0005-0000-0000-000064090000}"/>
    <cellStyle name="20% - Accent2 3 2 3 4 2 3" xfId="1892" xr:uid="{00000000-0005-0000-0000-000065090000}"/>
    <cellStyle name="20% - Accent2 3 2 3 4 2 4" xfId="1893" xr:uid="{00000000-0005-0000-0000-000066090000}"/>
    <cellStyle name="20% - Accent2 3 2 3 4 2 5" xfId="37019" xr:uid="{00000000-0005-0000-0000-000067090000}"/>
    <cellStyle name="20% - Accent2 3 2 3 4 3" xfId="1894" xr:uid="{00000000-0005-0000-0000-000068090000}"/>
    <cellStyle name="20% - Accent2 3 2 3 4 3 2" xfId="1895" xr:uid="{00000000-0005-0000-0000-000069090000}"/>
    <cellStyle name="20% - Accent2 3 2 3 4 4" xfId="1896" xr:uid="{00000000-0005-0000-0000-00006A090000}"/>
    <cellStyle name="20% - Accent2 3 2 3 4 5" xfId="1897" xr:uid="{00000000-0005-0000-0000-00006B090000}"/>
    <cellStyle name="20% - Accent2 3 2 3 4 6" xfId="37018" xr:uid="{00000000-0005-0000-0000-00006C090000}"/>
    <cellStyle name="20% - Accent2 3 2 3 5" xfId="1898" xr:uid="{00000000-0005-0000-0000-00006D090000}"/>
    <cellStyle name="20% - Accent2 3 2 3 5 2" xfId="1899" xr:uid="{00000000-0005-0000-0000-00006E090000}"/>
    <cellStyle name="20% - Accent2 3 2 3 5 2 2" xfId="1900" xr:uid="{00000000-0005-0000-0000-00006F090000}"/>
    <cellStyle name="20% - Accent2 3 2 3 5 3" xfId="1901" xr:uid="{00000000-0005-0000-0000-000070090000}"/>
    <cellStyle name="20% - Accent2 3 2 3 5 4" xfId="1902" xr:uid="{00000000-0005-0000-0000-000071090000}"/>
    <cellStyle name="20% - Accent2 3 2 3 5 5" xfId="37020" xr:uid="{00000000-0005-0000-0000-000072090000}"/>
    <cellStyle name="20% - Accent2 3 2 3 6" xfId="1903" xr:uid="{00000000-0005-0000-0000-000073090000}"/>
    <cellStyle name="20% - Accent2 3 2 3 6 2" xfId="1904" xr:uid="{00000000-0005-0000-0000-000074090000}"/>
    <cellStyle name="20% - Accent2 3 2 3 6 2 2" xfId="1905" xr:uid="{00000000-0005-0000-0000-000075090000}"/>
    <cellStyle name="20% - Accent2 3 2 3 6 3" xfId="1906" xr:uid="{00000000-0005-0000-0000-000076090000}"/>
    <cellStyle name="20% - Accent2 3 2 3 6 4" xfId="1907" xr:uid="{00000000-0005-0000-0000-000077090000}"/>
    <cellStyle name="20% - Accent2 3 2 3 7" xfId="1908" xr:uid="{00000000-0005-0000-0000-000078090000}"/>
    <cellStyle name="20% - Accent2 3 2 3 7 2" xfId="1909" xr:uid="{00000000-0005-0000-0000-000079090000}"/>
    <cellStyle name="20% - Accent2 3 2 3 7 2 2" xfId="1910" xr:uid="{00000000-0005-0000-0000-00007A090000}"/>
    <cellStyle name="20% - Accent2 3 2 3 7 3" xfId="1911" xr:uid="{00000000-0005-0000-0000-00007B090000}"/>
    <cellStyle name="20% - Accent2 3 2 3 7 4" xfId="1912" xr:uid="{00000000-0005-0000-0000-00007C090000}"/>
    <cellStyle name="20% - Accent2 3 2 3 8" xfId="1913" xr:uid="{00000000-0005-0000-0000-00007D090000}"/>
    <cellStyle name="20% - Accent2 3 2 3 8 2" xfId="1914" xr:uid="{00000000-0005-0000-0000-00007E090000}"/>
    <cellStyle name="20% - Accent2 3 2 3 9" xfId="1915" xr:uid="{00000000-0005-0000-0000-00007F090000}"/>
    <cellStyle name="20% - Accent2 3 2 4" xfId="1916" xr:uid="{00000000-0005-0000-0000-000080090000}"/>
    <cellStyle name="20% - Accent2 3 2 4 10" xfId="34515" xr:uid="{00000000-0005-0000-0000-000081090000}"/>
    <cellStyle name="20% - Accent2 3 2 4 2" xfId="1917" xr:uid="{00000000-0005-0000-0000-000082090000}"/>
    <cellStyle name="20% - Accent2 3 2 4 2 2" xfId="1918" xr:uid="{00000000-0005-0000-0000-000083090000}"/>
    <cellStyle name="20% - Accent2 3 2 4 2 2 2" xfId="1919" xr:uid="{00000000-0005-0000-0000-000084090000}"/>
    <cellStyle name="20% - Accent2 3 2 4 2 2 2 2" xfId="1920" xr:uid="{00000000-0005-0000-0000-000085090000}"/>
    <cellStyle name="20% - Accent2 3 2 4 2 2 3" xfId="1921" xr:uid="{00000000-0005-0000-0000-000086090000}"/>
    <cellStyle name="20% - Accent2 3 2 4 2 2 4" xfId="1922" xr:uid="{00000000-0005-0000-0000-000087090000}"/>
    <cellStyle name="20% - Accent2 3 2 4 2 2 5" xfId="37022" xr:uid="{00000000-0005-0000-0000-000088090000}"/>
    <cellStyle name="20% - Accent2 3 2 4 2 3" xfId="1923" xr:uid="{00000000-0005-0000-0000-000089090000}"/>
    <cellStyle name="20% - Accent2 3 2 4 2 3 2" xfId="1924" xr:uid="{00000000-0005-0000-0000-00008A090000}"/>
    <cellStyle name="20% - Accent2 3 2 4 2 4" xfId="1925" xr:uid="{00000000-0005-0000-0000-00008B090000}"/>
    <cellStyle name="20% - Accent2 3 2 4 2 5" xfId="1926" xr:uid="{00000000-0005-0000-0000-00008C090000}"/>
    <cellStyle name="20% - Accent2 3 2 4 2 6" xfId="37021" xr:uid="{00000000-0005-0000-0000-00008D090000}"/>
    <cellStyle name="20% - Accent2 3 2 4 3" xfId="1927" xr:uid="{00000000-0005-0000-0000-00008E090000}"/>
    <cellStyle name="20% - Accent2 3 2 4 3 2" xfId="1928" xr:uid="{00000000-0005-0000-0000-00008F090000}"/>
    <cellStyle name="20% - Accent2 3 2 4 3 2 2" xfId="1929" xr:uid="{00000000-0005-0000-0000-000090090000}"/>
    <cellStyle name="20% - Accent2 3 2 4 3 2 2 2" xfId="1930" xr:uid="{00000000-0005-0000-0000-000091090000}"/>
    <cellStyle name="20% - Accent2 3 2 4 3 2 3" xfId="1931" xr:uid="{00000000-0005-0000-0000-000092090000}"/>
    <cellStyle name="20% - Accent2 3 2 4 3 2 4" xfId="1932" xr:uid="{00000000-0005-0000-0000-000093090000}"/>
    <cellStyle name="20% - Accent2 3 2 4 3 2 5" xfId="37024" xr:uid="{00000000-0005-0000-0000-000094090000}"/>
    <cellStyle name="20% - Accent2 3 2 4 3 3" xfId="1933" xr:uid="{00000000-0005-0000-0000-000095090000}"/>
    <cellStyle name="20% - Accent2 3 2 4 3 3 2" xfId="1934" xr:uid="{00000000-0005-0000-0000-000096090000}"/>
    <cellStyle name="20% - Accent2 3 2 4 3 4" xfId="1935" xr:uid="{00000000-0005-0000-0000-000097090000}"/>
    <cellStyle name="20% - Accent2 3 2 4 3 5" xfId="1936" xr:uid="{00000000-0005-0000-0000-000098090000}"/>
    <cellStyle name="20% - Accent2 3 2 4 3 6" xfId="37023" xr:uid="{00000000-0005-0000-0000-000099090000}"/>
    <cellStyle name="20% - Accent2 3 2 4 4" xfId="1937" xr:uid="{00000000-0005-0000-0000-00009A090000}"/>
    <cellStyle name="20% - Accent2 3 2 4 4 2" xfId="1938" xr:uid="{00000000-0005-0000-0000-00009B090000}"/>
    <cellStyle name="20% - Accent2 3 2 4 4 2 2" xfId="1939" xr:uid="{00000000-0005-0000-0000-00009C090000}"/>
    <cellStyle name="20% - Accent2 3 2 4 4 3" xfId="1940" xr:uid="{00000000-0005-0000-0000-00009D090000}"/>
    <cellStyle name="20% - Accent2 3 2 4 4 4" xfId="1941" xr:uid="{00000000-0005-0000-0000-00009E090000}"/>
    <cellStyle name="20% - Accent2 3 2 4 4 5" xfId="37025" xr:uid="{00000000-0005-0000-0000-00009F090000}"/>
    <cellStyle name="20% - Accent2 3 2 4 5" xfId="1942" xr:uid="{00000000-0005-0000-0000-0000A0090000}"/>
    <cellStyle name="20% - Accent2 3 2 4 5 2" xfId="1943" xr:uid="{00000000-0005-0000-0000-0000A1090000}"/>
    <cellStyle name="20% - Accent2 3 2 4 5 2 2" xfId="1944" xr:uid="{00000000-0005-0000-0000-0000A2090000}"/>
    <cellStyle name="20% - Accent2 3 2 4 5 3" xfId="1945" xr:uid="{00000000-0005-0000-0000-0000A3090000}"/>
    <cellStyle name="20% - Accent2 3 2 4 5 4" xfId="1946" xr:uid="{00000000-0005-0000-0000-0000A4090000}"/>
    <cellStyle name="20% - Accent2 3 2 4 6" xfId="1947" xr:uid="{00000000-0005-0000-0000-0000A5090000}"/>
    <cellStyle name="20% - Accent2 3 2 4 6 2" xfId="1948" xr:uid="{00000000-0005-0000-0000-0000A6090000}"/>
    <cellStyle name="20% - Accent2 3 2 4 6 2 2" xfId="1949" xr:uid="{00000000-0005-0000-0000-0000A7090000}"/>
    <cellStyle name="20% - Accent2 3 2 4 6 3" xfId="1950" xr:uid="{00000000-0005-0000-0000-0000A8090000}"/>
    <cellStyle name="20% - Accent2 3 2 4 6 4" xfId="1951" xr:uid="{00000000-0005-0000-0000-0000A9090000}"/>
    <cellStyle name="20% - Accent2 3 2 4 7" xfId="1952" xr:uid="{00000000-0005-0000-0000-0000AA090000}"/>
    <cellStyle name="20% - Accent2 3 2 4 7 2" xfId="1953" xr:uid="{00000000-0005-0000-0000-0000AB090000}"/>
    <cellStyle name="20% - Accent2 3 2 4 8" xfId="1954" xr:uid="{00000000-0005-0000-0000-0000AC090000}"/>
    <cellStyle name="20% - Accent2 3 2 4 9" xfId="1955" xr:uid="{00000000-0005-0000-0000-0000AD090000}"/>
    <cellStyle name="20% - Accent2 3 2 5" xfId="1956" xr:uid="{00000000-0005-0000-0000-0000AE090000}"/>
    <cellStyle name="20% - Accent2 3 2 5 2" xfId="1957" xr:uid="{00000000-0005-0000-0000-0000AF090000}"/>
    <cellStyle name="20% - Accent2 3 2 5 2 2" xfId="1958" xr:uid="{00000000-0005-0000-0000-0000B0090000}"/>
    <cellStyle name="20% - Accent2 3 2 5 2 2 2" xfId="1959" xr:uid="{00000000-0005-0000-0000-0000B1090000}"/>
    <cellStyle name="20% - Accent2 3 2 5 2 3" xfId="1960" xr:uid="{00000000-0005-0000-0000-0000B2090000}"/>
    <cellStyle name="20% - Accent2 3 2 5 2 4" xfId="1961" xr:uid="{00000000-0005-0000-0000-0000B3090000}"/>
    <cellStyle name="20% - Accent2 3 2 5 2 5" xfId="37027" xr:uid="{00000000-0005-0000-0000-0000B4090000}"/>
    <cellStyle name="20% - Accent2 3 2 5 3" xfId="1962" xr:uid="{00000000-0005-0000-0000-0000B5090000}"/>
    <cellStyle name="20% - Accent2 3 2 5 3 2" xfId="1963" xr:uid="{00000000-0005-0000-0000-0000B6090000}"/>
    <cellStyle name="20% - Accent2 3 2 5 4" xfId="1964" xr:uid="{00000000-0005-0000-0000-0000B7090000}"/>
    <cellStyle name="20% - Accent2 3 2 5 5" xfId="1965" xr:uid="{00000000-0005-0000-0000-0000B8090000}"/>
    <cellStyle name="20% - Accent2 3 2 5 6" xfId="37026" xr:uid="{00000000-0005-0000-0000-0000B9090000}"/>
    <cellStyle name="20% - Accent2 3 2 6" xfId="1966" xr:uid="{00000000-0005-0000-0000-0000BA090000}"/>
    <cellStyle name="20% - Accent2 3 2 6 2" xfId="1967" xr:uid="{00000000-0005-0000-0000-0000BB090000}"/>
    <cellStyle name="20% - Accent2 3 2 6 2 2" xfId="1968" xr:uid="{00000000-0005-0000-0000-0000BC090000}"/>
    <cellStyle name="20% - Accent2 3 2 6 2 2 2" xfId="1969" xr:uid="{00000000-0005-0000-0000-0000BD090000}"/>
    <cellStyle name="20% - Accent2 3 2 6 2 3" xfId="1970" xr:uid="{00000000-0005-0000-0000-0000BE090000}"/>
    <cellStyle name="20% - Accent2 3 2 6 2 4" xfId="1971" xr:uid="{00000000-0005-0000-0000-0000BF090000}"/>
    <cellStyle name="20% - Accent2 3 2 6 2 5" xfId="37029" xr:uid="{00000000-0005-0000-0000-0000C0090000}"/>
    <cellStyle name="20% - Accent2 3 2 6 3" xfId="1972" xr:uid="{00000000-0005-0000-0000-0000C1090000}"/>
    <cellStyle name="20% - Accent2 3 2 6 3 2" xfId="1973" xr:uid="{00000000-0005-0000-0000-0000C2090000}"/>
    <cellStyle name="20% - Accent2 3 2 6 4" xfId="1974" xr:uid="{00000000-0005-0000-0000-0000C3090000}"/>
    <cellStyle name="20% - Accent2 3 2 6 5" xfId="1975" xr:uid="{00000000-0005-0000-0000-0000C4090000}"/>
    <cellStyle name="20% - Accent2 3 2 6 6" xfId="37028" xr:uid="{00000000-0005-0000-0000-0000C5090000}"/>
    <cellStyle name="20% - Accent2 3 2 7" xfId="1976" xr:uid="{00000000-0005-0000-0000-0000C6090000}"/>
    <cellStyle name="20% - Accent2 3 2 7 2" xfId="1977" xr:uid="{00000000-0005-0000-0000-0000C7090000}"/>
    <cellStyle name="20% - Accent2 3 2 7 2 2" xfId="1978" xr:uid="{00000000-0005-0000-0000-0000C8090000}"/>
    <cellStyle name="20% - Accent2 3 2 7 3" xfId="1979" xr:uid="{00000000-0005-0000-0000-0000C9090000}"/>
    <cellStyle name="20% - Accent2 3 2 7 4" xfId="1980" xr:uid="{00000000-0005-0000-0000-0000CA090000}"/>
    <cellStyle name="20% - Accent2 3 2 7 5" xfId="37030" xr:uid="{00000000-0005-0000-0000-0000CB090000}"/>
    <cellStyle name="20% - Accent2 3 2 8" xfId="1981" xr:uid="{00000000-0005-0000-0000-0000CC090000}"/>
    <cellStyle name="20% - Accent2 3 2 8 2" xfId="1982" xr:uid="{00000000-0005-0000-0000-0000CD090000}"/>
    <cellStyle name="20% - Accent2 3 2 8 2 2" xfId="1983" xr:uid="{00000000-0005-0000-0000-0000CE090000}"/>
    <cellStyle name="20% - Accent2 3 2 8 3" xfId="1984" xr:uid="{00000000-0005-0000-0000-0000CF090000}"/>
    <cellStyle name="20% - Accent2 3 2 8 4" xfId="1985" xr:uid="{00000000-0005-0000-0000-0000D0090000}"/>
    <cellStyle name="20% - Accent2 3 2 9" xfId="1986" xr:uid="{00000000-0005-0000-0000-0000D1090000}"/>
    <cellStyle name="20% - Accent2 3 2 9 2" xfId="1987" xr:uid="{00000000-0005-0000-0000-0000D2090000}"/>
    <cellStyle name="20% - Accent2 3 2 9 2 2" xfId="1988" xr:uid="{00000000-0005-0000-0000-0000D3090000}"/>
    <cellStyle name="20% - Accent2 3 2 9 3" xfId="1989" xr:uid="{00000000-0005-0000-0000-0000D4090000}"/>
    <cellStyle name="20% - Accent2 3 2 9 4" xfId="1990" xr:uid="{00000000-0005-0000-0000-0000D5090000}"/>
    <cellStyle name="20% - Accent2 3 3" xfId="1991" xr:uid="{00000000-0005-0000-0000-0000D6090000}"/>
    <cellStyle name="20% - Accent2 3 4" xfId="1992" xr:uid="{00000000-0005-0000-0000-0000D7090000}"/>
    <cellStyle name="20% - Accent2 3 5" xfId="1993" xr:uid="{00000000-0005-0000-0000-0000D8090000}"/>
    <cellStyle name="20% - Accent2 4" xfId="1994" xr:uid="{00000000-0005-0000-0000-0000D9090000}"/>
    <cellStyle name="20% - Accent2 4 10" xfId="1995" xr:uid="{00000000-0005-0000-0000-0000DA090000}"/>
    <cellStyle name="20% - Accent2 4 10 2" xfId="1996" xr:uid="{00000000-0005-0000-0000-0000DB090000}"/>
    <cellStyle name="20% - Accent2 4 11" xfId="1997" xr:uid="{00000000-0005-0000-0000-0000DC090000}"/>
    <cellStyle name="20% - Accent2 4 12" xfId="1998" xr:uid="{00000000-0005-0000-0000-0000DD090000}"/>
    <cellStyle name="20% - Accent2 4 13" xfId="34516" xr:uid="{00000000-0005-0000-0000-0000DE090000}"/>
    <cellStyle name="20% - Accent2 4 2" xfId="1999" xr:uid="{00000000-0005-0000-0000-0000DF090000}"/>
    <cellStyle name="20% - Accent2 4 2 10" xfId="2000" xr:uid="{00000000-0005-0000-0000-0000E0090000}"/>
    <cellStyle name="20% - Accent2 4 2 11" xfId="2001" xr:uid="{00000000-0005-0000-0000-0000E1090000}"/>
    <cellStyle name="20% - Accent2 4 2 12" xfId="34517" xr:uid="{00000000-0005-0000-0000-0000E2090000}"/>
    <cellStyle name="20% - Accent2 4 2 2" xfId="2002" xr:uid="{00000000-0005-0000-0000-0000E3090000}"/>
    <cellStyle name="20% - Accent2 4 2 2 10" xfId="2003" xr:uid="{00000000-0005-0000-0000-0000E4090000}"/>
    <cellStyle name="20% - Accent2 4 2 2 11" xfId="34518" xr:uid="{00000000-0005-0000-0000-0000E5090000}"/>
    <cellStyle name="20% - Accent2 4 2 2 2" xfId="2004" xr:uid="{00000000-0005-0000-0000-0000E6090000}"/>
    <cellStyle name="20% - Accent2 4 2 2 2 10" xfId="34519" xr:uid="{00000000-0005-0000-0000-0000E7090000}"/>
    <cellStyle name="20% - Accent2 4 2 2 2 2" xfId="2005" xr:uid="{00000000-0005-0000-0000-0000E8090000}"/>
    <cellStyle name="20% - Accent2 4 2 2 2 2 2" xfId="2006" xr:uid="{00000000-0005-0000-0000-0000E9090000}"/>
    <cellStyle name="20% - Accent2 4 2 2 2 2 2 2" xfId="2007" xr:uid="{00000000-0005-0000-0000-0000EA090000}"/>
    <cellStyle name="20% - Accent2 4 2 2 2 2 2 2 2" xfId="2008" xr:uid="{00000000-0005-0000-0000-0000EB090000}"/>
    <cellStyle name="20% - Accent2 4 2 2 2 2 2 3" xfId="2009" xr:uid="{00000000-0005-0000-0000-0000EC090000}"/>
    <cellStyle name="20% - Accent2 4 2 2 2 2 2 4" xfId="2010" xr:uid="{00000000-0005-0000-0000-0000ED090000}"/>
    <cellStyle name="20% - Accent2 4 2 2 2 2 2 5" xfId="37032" xr:uid="{00000000-0005-0000-0000-0000EE090000}"/>
    <cellStyle name="20% - Accent2 4 2 2 2 2 3" xfId="2011" xr:uid="{00000000-0005-0000-0000-0000EF090000}"/>
    <cellStyle name="20% - Accent2 4 2 2 2 2 3 2" xfId="2012" xr:uid="{00000000-0005-0000-0000-0000F0090000}"/>
    <cellStyle name="20% - Accent2 4 2 2 2 2 4" xfId="2013" xr:uid="{00000000-0005-0000-0000-0000F1090000}"/>
    <cellStyle name="20% - Accent2 4 2 2 2 2 5" xfId="2014" xr:uid="{00000000-0005-0000-0000-0000F2090000}"/>
    <cellStyle name="20% - Accent2 4 2 2 2 2 6" xfId="37031" xr:uid="{00000000-0005-0000-0000-0000F3090000}"/>
    <cellStyle name="20% - Accent2 4 2 2 2 3" xfId="2015" xr:uid="{00000000-0005-0000-0000-0000F4090000}"/>
    <cellStyle name="20% - Accent2 4 2 2 2 3 2" xfId="2016" xr:uid="{00000000-0005-0000-0000-0000F5090000}"/>
    <cellStyle name="20% - Accent2 4 2 2 2 3 2 2" xfId="2017" xr:uid="{00000000-0005-0000-0000-0000F6090000}"/>
    <cellStyle name="20% - Accent2 4 2 2 2 3 2 2 2" xfId="2018" xr:uid="{00000000-0005-0000-0000-0000F7090000}"/>
    <cellStyle name="20% - Accent2 4 2 2 2 3 2 3" xfId="2019" xr:uid="{00000000-0005-0000-0000-0000F8090000}"/>
    <cellStyle name="20% - Accent2 4 2 2 2 3 2 4" xfId="2020" xr:uid="{00000000-0005-0000-0000-0000F9090000}"/>
    <cellStyle name="20% - Accent2 4 2 2 2 3 2 5" xfId="37034" xr:uid="{00000000-0005-0000-0000-0000FA090000}"/>
    <cellStyle name="20% - Accent2 4 2 2 2 3 3" xfId="2021" xr:uid="{00000000-0005-0000-0000-0000FB090000}"/>
    <cellStyle name="20% - Accent2 4 2 2 2 3 3 2" xfId="2022" xr:uid="{00000000-0005-0000-0000-0000FC090000}"/>
    <cellStyle name="20% - Accent2 4 2 2 2 3 4" xfId="2023" xr:uid="{00000000-0005-0000-0000-0000FD090000}"/>
    <cellStyle name="20% - Accent2 4 2 2 2 3 5" xfId="2024" xr:uid="{00000000-0005-0000-0000-0000FE090000}"/>
    <cellStyle name="20% - Accent2 4 2 2 2 3 6" xfId="37033" xr:uid="{00000000-0005-0000-0000-0000FF090000}"/>
    <cellStyle name="20% - Accent2 4 2 2 2 4" xfId="2025" xr:uid="{00000000-0005-0000-0000-0000000A0000}"/>
    <cellStyle name="20% - Accent2 4 2 2 2 4 2" xfId="2026" xr:uid="{00000000-0005-0000-0000-0000010A0000}"/>
    <cellStyle name="20% - Accent2 4 2 2 2 4 2 2" xfId="2027" xr:uid="{00000000-0005-0000-0000-0000020A0000}"/>
    <cellStyle name="20% - Accent2 4 2 2 2 4 3" xfId="2028" xr:uid="{00000000-0005-0000-0000-0000030A0000}"/>
    <cellStyle name="20% - Accent2 4 2 2 2 4 4" xfId="2029" xr:uid="{00000000-0005-0000-0000-0000040A0000}"/>
    <cellStyle name="20% - Accent2 4 2 2 2 4 5" xfId="37035" xr:uid="{00000000-0005-0000-0000-0000050A0000}"/>
    <cellStyle name="20% - Accent2 4 2 2 2 5" xfId="2030" xr:uid="{00000000-0005-0000-0000-0000060A0000}"/>
    <cellStyle name="20% - Accent2 4 2 2 2 5 2" xfId="2031" xr:uid="{00000000-0005-0000-0000-0000070A0000}"/>
    <cellStyle name="20% - Accent2 4 2 2 2 5 2 2" xfId="2032" xr:uid="{00000000-0005-0000-0000-0000080A0000}"/>
    <cellStyle name="20% - Accent2 4 2 2 2 5 3" xfId="2033" xr:uid="{00000000-0005-0000-0000-0000090A0000}"/>
    <cellStyle name="20% - Accent2 4 2 2 2 5 4" xfId="2034" xr:uid="{00000000-0005-0000-0000-00000A0A0000}"/>
    <cellStyle name="20% - Accent2 4 2 2 2 6" xfId="2035" xr:uid="{00000000-0005-0000-0000-00000B0A0000}"/>
    <cellStyle name="20% - Accent2 4 2 2 2 6 2" xfId="2036" xr:uid="{00000000-0005-0000-0000-00000C0A0000}"/>
    <cellStyle name="20% - Accent2 4 2 2 2 6 2 2" xfId="2037" xr:uid="{00000000-0005-0000-0000-00000D0A0000}"/>
    <cellStyle name="20% - Accent2 4 2 2 2 6 3" xfId="2038" xr:uid="{00000000-0005-0000-0000-00000E0A0000}"/>
    <cellStyle name="20% - Accent2 4 2 2 2 6 4" xfId="2039" xr:uid="{00000000-0005-0000-0000-00000F0A0000}"/>
    <cellStyle name="20% - Accent2 4 2 2 2 7" xfId="2040" xr:uid="{00000000-0005-0000-0000-0000100A0000}"/>
    <cellStyle name="20% - Accent2 4 2 2 2 7 2" xfId="2041" xr:uid="{00000000-0005-0000-0000-0000110A0000}"/>
    <cellStyle name="20% - Accent2 4 2 2 2 8" xfId="2042" xr:uid="{00000000-0005-0000-0000-0000120A0000}"/>
    <cellStyle name="20% - Accent2 4 2 2 2 9" xfId="2043" xr:uid="{00000000-0005-0000-0000-0000130A0000}"/>
    <cellStyle name="20% - Accent2 4 2 2 3" xfId="2044" xr:uid="{00000000-0005-0000-0000-0000140A0000}"/>
    <cellStyle name="20% - Accent2 4 2 2 3 2" xfId="2045" xr:uid="{00000000-0005-0000-0000-0000150A0000}"/>
    <cellStyle name="20% - Accent2 4 2 2 3 2 2" xfId="2046" xr:uid="{00000000-0005-0000-0000-0000160A0000}"/>
    <cellStyle name="20% - Accent2 4 2 2 3 2 2 2" xfId="2047" xr:uid="{00000000-0005-0000-0000-0000170A0000}"/>
    <cellStyle name="20% - Accent2 4 2 2 3 2 3" xfId="2048" xr:uid="{00000000-0005-0000-0000-0000180A0000}"/>
    <cellStyle name="20% - Accent2 4 2 2 3 2 4" xfId="2049" xr:uid="{00000000-0005-0000-0000-0000190A0000}"/>
    <cellStyle name="20% - Accent2 4 2 2 3 2 5" xfId="37037" xr:uid="{00000000-0005-0000-0000-00001A0A0000}"/>
    <cellStyle name="20% - Accent2 4 2 2 3 3" xfId="2050" xr:uid="{00000000-0005-0000-0000-00001B0A0000}"/>
    <cellStyle name="20% - Accent2 4 2 2 3 3 2" xfId="2051" xr:uid="{00000000-0005-0000-0000-00001C0A0000}"/>
    <cellStyle name="20% - Accent2 4 2 2 3 4" xfId="2052" xr:uid="{00000000-0005-0000-0000-00001D0A0000}"/>
    <cellStyle name="20% - Accent2 4 2 2 3 5" xfId="2053" xr:uid="{00000000-0005-0000-0000-00001E0A0000}"/>
    <cellStyle name="20% - Accent2 4 2 2 3 6" xfId="37036" xr:uid="{00000000-0005-0000-0000-00001F0A0000}"/>
    <cellStyle name="20% - Accent2 4 2 2 4" xfId="2054" xr:uid="{00000000-0005-0000-0000-0000200A0000}"/>
    <cellStyle name="20% - Accent2 4 2 2 4 2" xfId="2055" xr:uid="{00000000-0005-0000-0000-0000210A0000}"/>
    <cellStyle name="20% - Accent2 4 2 2 4 2 2" xfId="2056" xr:uid="{00000000-0005-0000-0000-0000220A0000}"/>
    <cellStyle name="20% - Accent2 4 2 2 4 2 2 2" xfId="2057" xr:uid="{00000000-0005-0000-0000-0000230A0000}"/>
    <cellStyle name="20% - Accent2 4 2 2 4 2 3" xfId="2058" xr:uid="{00000000-0005-0000-0000-0000240A0000}"/>
    <cellStyle name="20% - Accent2 4 2 2 4 2 4" xfId="2059" xr:uid="{00000000-0005-0000-0000-0000250A0000}"/>
    <cellStyle name="20% - Accent2 4 2 2 4 2 5" xfId="37039" xr:uid="{00000000-0005-0000-0000-0000260A0000}"/>
    <cellStyle name="20% - Accent2 4 2 2 4 3" xfId="2060" xr:uid="{00000000-0005-0000-0000-0000270A0000}"/>
    <cellStyle name="20% - Accent2 4 2 2 4 3 2" xfId="2061" xr:uid="{00000000-0005-0000-0000-0000280A0000}"/>
    <cellStyle name="20% - Accent2 4 2 2 4 4" xfId="2062" xr:uid="{00000000-0005-0000-0000-0000290A0000}"/>
    <cellStyle name="20% - Accent2 4 2 2 4 5" xfId="2063" xr:uid="{00000000-0005-0000-0000-00002A0A0000}"/>
    <cellStyle name="20% - Accent2 4 2 2 4 6" xfId="37038" xr:uid="{00000000-0005-0000-0000-00002B0A0000}"/>
    <cellStyle name="20% - Accent2 4 2 2 5" xfId="2064" xr:uid="{00000000-0005-0000-0000-00002C0A0000}"/>
    <cellStyle name="20% - Accent2 4 2 2 5 2" xfId="2065" xr:uid="{00000000-0005-0000-0000-00002D0A0000}"/>
    <cellStyle name="20% - Accent2 4 2 2 5 2 2" xfId="2066" xr:uid="{00000000-0005-0000-0000-00002E0A0000}"/>
    <cellStyle name="20% - Accent2 4 2 2 5 3" xfId="2067" xr:uid="{00000000-0005-0000-0000-00002F0A0000}"/>
    <cellStyle name="20% - Accent2 4 2 2 5 4" xfId="2068" xr:uid="{00000000-0005-0000-0000-0000300A0000}"/>
    <cellStyle name="20% - Accent2 4 2 2 5 5" xfId="37040" xr:uid="{00000000-0005-0000-0000-0000310A0000}"/>
    <cellStyle name="20% - Accent2 4 2 2 6" xfId="2069" xr:uid="{00000000-0005-0000-0000-0000320A0000}"/>
    <cellStyle name="20% - Accent2 4 2 2 6 2" xfId="2070" xr:uid="{00000000-0005-0000-0000-0000330A0000}"/>
    <cellStyle name="20% - Accent2 4 2 2 6 2 2" xfId="2071" xr:uid="{00000000-0005-0000-0000-0000340A0000}"/>
    <cellStyle name="20% - Accent2 4 2 2 6 3" xfId="2072" xr:uid="{00000000-0005-0000-0000-0000350A0000}"/>
    <cellStyle name="20% - Accent2 4 2 2 6 4" xfId="2073" xr:uid="{00000000-0005-0000-0000-0000360A0000}"/>
    <cellStyle name="20% - Accent2 4 2 2 7" xfId="2074" xr:uid="{00000000-0005-0000-0000-0000370A0000}"/>
    <cellStyle name="20% - Accent2 4 2 2 7 2" xfId="2075" xr:uid="{00000000-0005-0000-0000-0000380A0000}"/>
    <cellStyle name="20% - Accent2 4 2 2 7 2 2" xfId="2076" xr:uid="{00000000-0005-0000-0000-0000390A0000}"/>
    <cellStyle name="20% - Accent2 4 2 2 7 3" xfId="2077" xr:uid="{00000000-0005-0000-0000-00003A0A0000}"/>
    <cellStyle name="20% - Accent2 4 2 2 7 4" xfId="2078" xr:uid="{00000000-0005-0000-0000-00003B0A0000}"/>
    <cellStyle name="20% - Accent2 4 2 2 8" xfId="2079" xr:uid="{00000000-0005-0000-0000-00003C0A0000}"/>
    <cellStyle name="20% - Accent2 4 2 2 8 2" xfId="2080" xr:uid="{00000000-0005-0000-0000-00003D0A0000}"/>
    <cellStyle name="20% - Accent2 4 2 2 9" xfId="2081" xr:uid="{00000000-0005-0000-0000-00003E0A0000}"/>
    <cellStyle name="20% - Accent2 4 2 3" xfId="2082" xr:uid="{00000000-0005-0000-0000-00003F0A0000}"/>
    <cellStyle name="20% - Accent2 4 2 3 10" xfId="34520" xr:uid="{00000000-0005-0000-0000-0000400A0000}"/>
    <cellStyle name="20% - Accent2 4 2 3 2" xfId="2083" xr:uid="{00000000-0005-0000-0000-0000410A0000}"/>
    <cellStyle name="20% - Accent2 4 2 3 2 2" xfId="2084" xr:uid="{00000000-0005-0000-0000-0000420A0000}"/>
    <cellStyle name="20% - Accent2 4 2 3 2 2 2" xfId="2085" xr:uid="{00000000-0005-0000-0000-0000430A0000}"/>
    <cellStyle name="20% - Accent2 4 2 3 2 2 2 2" xfId="2086" xr:uid="{00000000-0005-0000-0000-0000440A0000}"/>
    <cellStyle name="20% - Accent2 4 2 3 2 2 3" xfId="2087" xr:uid="{00000000-0005-0000-0000-0000450A0000}"/>
    <cellStyle name="20% - Accent2 4 2 3 2 2 4" xfId="2088" xr:uid="{00000000-0005-0000-0000-0000460A0000}"/>
    <cellStyle name="20% - Accent2 4 2 3 2 2 5" xfId="37042" xr:uid="{00000000-0005-0000-0000-0000470A0000}"/>
    <cellStyle name="20% - Accent2 4 2 3 2 3" xfId="2089" xr:uid="{00000000-0005-0000-0000-0000480A0000}"/>
    <cellStyle name="20% - Accent2 4 2 3 2 3 2" xfId="2090" xr:uid="{00000000-0005-0000-0000-0000490A0000}"/>
    <cellStyle name="20% - Accent2 4 2 3 2 4" xfId="2091" xr:uid="{00000000-0005-0000-0000-00004A0A0000}"/>
    <cellStyle name="20% - Accent2 4 2 3 2 5" xfId="2092" xr:uid="{00000000-0005-0000-0000-00004B0A0000}"/>
    <cellStyle name="20% - Accent2 4 2 3 2 6" xfId="37041" xr:uid="{00000000-0005-0000-0000-00004C0A0000}"/>
    <cellStyle name="20% - Accent2 4 2 3 3" xfId="2093" xr:uid="{00000000-0005-0000-0000-00004D0A0000}"/>
    <cellStyle name="20% - Accent2 4 2 3 3 2" xfId="2094" xr:uid="{00000000-0005-0000-0000-00004E0A0000}"/>
    <cellStyle name="20% - Accent2 4 2 3 3 2 2" xfId="2095" xr:uid="{00000000-0005-0000-0000-00004F0A0000}"/>
    <cellStyle name="20% - Accent2 4 2 3 3 2 2 2" xfId="2096" xr:uid="{00000000-0005-0000-0000-0000500A0000}"/>
    <cellStyle name="20% - Accent2 4 2 3 3 2 3" xfId="2097" xr:uid="{00000000-0005-0000-0000-0000510A0000}"/>
    <cellStyle name="20% - Accent2 4 2 3 3 2 4" xfId="2098" xr:uid="{00000000-0005-0000-0000-0000520A0000}"/>
    <cellStyle name="20% - Accent2 4 2 3 3 2 5" xfId="37044" xr:uid="{00000000-0005-0000-0000-0000530A0000}"/>
    <cellStyle name="20% - Accent2 4 2 3 3 3" xfId="2099" xr:uid="{00000000-0005-0000-0000-0000540A0000}"/>
    <cellStyle name="20% - Accent2 4 2 3 3 3 2" xfId="2100" xr:uid="{00000000-0005-0000-0000-0000550A0000}"/>
    <cellStyle name="20% - Accent2 4 2 3 3 4" xfId="2101" xr:uid="{00000000-0005-0000-0000-0000560A0000}"/>
    <cellStyle name="20% - Accent2 4 2 3 3 5" xfId="2102" xr:uid="{00000000-0005-0000-0000-0000570A0000}"/>
    <cellStyle name="20% - Accent2 4 2 3 3 6" xfId="37043" xr:uid="{00000000-0005-0000-0000-0000580A0000}"/>
    <cellStyle name="20% - Accent2 4 2 3 4" xfId="2103" xr:uid="{00000000-0005-0000-0000-0000590A0000}"/>
    <cellStyle name="20% - Accent2 4 2 3 4 2" xfId="2104" xr:uid="{00000000-0005-0000-0000-00005A0A0000}"/>
    <cellStyle name="20% - Accent2 4 2 3 4 2 2" xfId="2105" xr:uid="{00000000-0005-0000-0000-00005B0A0000}"/>
    <cellStyle name="20% - Accent2 4 2 3 4 3" xfId="2106" xr:uid="{00000000-0005-0000-0000-00005C0A0000}"/>
    <cellStyle name="20% - Accent2 4 2 3 4 4" xfId="2107" xr:uid="{00000000-0005-0000-0000-00005D0A0000}"/>
    <cellStyle name="20% - Accent2 4 2 3 4 5" xfId="37045" xr:uid="{00000000-0005-0000-0000-00005E0A0000}"/>
    <cellStyle name="20% - Accent2 4 2 3 5" xfId="2108" xr:uid="{00000000-0005-0000-0000-00005F0A0000}"/>
    <cellStyle name="20% - Accent2 4 2 3 5 2" xfId="2109" xr:uid="{00000000-0005-0000-0000-0000600A0000}"/>
    <cellStyle name="20% - Accent2 4 2 3 5 2 2" xfId="2110" xr:uid="{00000000-0005-0000-0000-0000610A0000}"/>
    <cellStyle name="20% - Accent2 4 2 3 5 3" xfId="2111" xr:uid="{00000000-0005-0000-0000-0000620A0000}"/>
    <cellStyle name="20% - Accent2 4 2 3 5 4" xfId="2112" xr:uid="{00000000-0005-0000-0000-0000630A0000}"/>
    <cellStyle name="20% - Accent2 4 2 3 6" xfId="2113" xr:uid="{00000000-0005-0000-0000-0000640A0000}"/>
    <cellStyle name="20% - Accent2 4 2 3 6 2" xfId="2114" xr:uid="{00000000-0005-0000-0000-0000650A0000}"/>
    <cellStyle name="20% - Accent2 4 2 3 6 2 2" xfId="2115" xr:uid="{00000000-0005-0000-0000-0000660A0000}"/>
    <cellStyle name="20% - Accent2 4 2 3 6 3" xfId="2116" xr:uid="{00000000-0005-0000-0000-0000670A0000}"/>
    <cellStyle name="20% - Accent2 4 2 3 6 4" xfId="2117" xr:uid="{00000000-0005-0000-0000-0000680A0000}"/>
    <cellStyle name="20% - Accent2 4 2 3 7" xfId="2118" xr:uid="{00000000-0005-0000-0000-0000690A0000}"/>
    <cellStyle name="20% - Accent2 4 2 3 7 2" xfId="2119" xr:uid="{00000000-0005-0000-0000-00006A0A0000}"/>
    <cellStyle name="20% - Accent2 4 2 3 8" xfId="2120" xr:uid="{00000000-0005-0000-0000-00006B0A0000}"/>
    <cellStyle name="20% - Accent2 4 2 3 9" xfId="2121" xr:uid="{00000000-0005-0000-0000-00006C0A0000}"/>
    <cellStyle name="20% - Accent2 4 2 4" xfId="2122" xr:uid="{00000000-0005-0000-0000-00006D0A0000}"/>
    <cellStyle name="20% - Accent2 4 2 4 2" xfId="2123" xr:uid="{00000000-0005-0000-0000-00006E0A0000}"/>
    <cellStyle name="20% - Accent2 4 2 4 2 2" xfId="2124" xr:uid="{00000000-0005-0000-0000-00006F0A0000}"/>
    <cellStyle name="20% - Accent2 4 2 4 2 2 2" xfId="2125" xr:uid="{00000000-0005-0000-0000-0000700A0000}"/>
    <cellStyle name="20% - Accent2 4 2 4 2 3" xfId="2126" xr:uid="{00000000-0005-0000-0000-0000710A0000}"/>
    <cellStyle name="20% - Accent2 4 2 4 2 4" xfId="2127" xr:uid="{00000000-0005-0000-0000-0000720A0000}"/>
    <cellStyle name="20% - Accent2 4 2 4 2 5" xfId="37047" xr:uid="{00000000-0005-0000-0000-0000730A0000}"/>
    <cellStyle name="20% - Accent2 4 2 4 3" xfId="2128" xr:uid="{00000000-0005-0000-0000-0000740A0000}"/>
    <cellStyle name="20% - Accent2 4 2 4 3 2" xfId="2129" xr:uid="{00000000-0005-0000-0000-0000750A0000}"/>
    <cellStyle name="20% - Accent2 4 2 4 4" xfId="2130" xr:uid="{00000000-0005-0000-0000-0000760A0000}"/>
    <cellStyle name="20% - Accent2 4 2 4 5" xfId="2131" xr:uid="{00000000-0005-0000-0000-0000770A0000}"/>
    <cellStyle name="20% - Accent2 4 2 4 6" xfId="37046" xr:uid="{00000000-0005-0000-0000-0000780A0000}"/>
    <cellStyle name="20% - Accent2 4 2 5" xfId="2132" xr:uid="{00000000-0005-0000-0000-0000790A0000}"/>
    <cellStyle name="20% - Accent2 4 2 5 2" xfId="2133" xr:uid="{00000000-0005-0000-0000-00007A0A0000}"/>
    <cellStyle name="20% - Accent2 4 2 5 2 2" xfId="2134" xr:uid="{00000000-0005-0000-0000-00007B0A0000}"/>
    <cellStyle name="20% - Accent2 4 2 5 2 2 2" xfId="2135" xr:uid="{00000000-0005-0000-0000-00007C0A0000}"/>
    <cellStyle name="20% - Accent2 4 2 5 2 3" xfId="2136" xr:uid="{00000000-0005-0000-0000-00007D0A0000}"/>
    <cellStyle name="20% - Accent2 4 2 5 2 4" xfId="2137" xr:uid="{00000000-0005-0000-0000-00007E0A0000}"/>
    <cellStyle name="20% - Accent2 4 2 5 2 5" xfId="37049" xr:uid="{00000000-0005-0000-0000-00007F0A0000}"/>
    <cellStyle name="20% - Accent2 4 2 5 3" xfId="2138" xr:uid="{00000000-0005-0000-0000-0000800A0000}"/>
    <cellStyle name="20% - Accent2 4 2 5 3 2" xfId="2139" xr:uid="{00000000-0005-0000-0000-0000810A0000}"/>
    <cellStyle name="20% - Accent2 4 2 5 4" xfId="2140" xr:uid="{00000000-0005-0000-0000-0000820A0000}"/>
    <cellStyle name="20% - Accent2 4 2 5 5" xfId="2141" xr:uid="{00000000-0005-0000-0000-0000830A0000}"/>
    <cellStyle name="20% - Accent2 4 2 5 6" xfId="37048" xr:uid="{00000000-0005-0000-0000-0000840A0000}"/>
    <cellStyle name="20% - Accent2 4 2 6" xfId="2142" xr:uid="{00000000-0005-0000-0000-0000850A0000}"/>
    <cellStyle name="20% - Accent2 4 2 6 2" xfId="2143" xr:uid="{00000000-0005-0000-0000-0000860A0000}"/>
    <cellStyle name="20% - Accent2 4 2 6 2 2" xfId="2144" xr:uid="{00000000-0005-0000-0000-0000870A0000}"/>
    <cellStyle name="20% - Accent2 4 2 6 3" xfId="2145" xr:uid="{00000000-0005-0000-0000-0000880A0000}"/>
    <cellStyle name="20% - Accent2 4 2 6 4" xfId="2146" xr:uid="{00000000-0005-0000-0000-0000890A0000}"/>
    <cellStyle name="20% - Accent2 4 2 6 5" xfId="37050" xr:uid="{00000000-0005-0000-0000-00008A0A0000}"/>
    <cellStyle name="20% - Accent2 4 2 7" xfId="2147" xr:uid="{00000000-0005-0000-0000-00008B0A0000}"/>
    <cellStyle name="20% - Accent2 4 2 7 2" xfId="2148" xr:uid="{00000000-0005-0000-0000-00008C0A0000}"/>
    <cellStyle name="20% - Accent2 4 2 7 2 2" xfId="2149" xr:uid="{00000000-0005-0000-0000-00008D0A0000}"/>
    <cellStyle name="20% - Accent2 4 2 7 3" xfId="2150" xr:uid="{00000000-0005-0000-0000-00008E0A0000}"/>
    <cellStyle name="20% - Accent2 4 2 7 4" xfId="2151" xr:uid="{00000000-0005-0000-0000-00008F0A0000}"/>
    <cellStyle name="20% - Accent2 4 2 8" xfId="2152" xr:uid="{00000000-0005-0000-0000-0000900A0000}"/>
    <cellStyle name="20% - Accent2 4 2 8 2" xfId="2153" xr:uid="{00000000-0005-0000-0000-0000910A0000}"/>
    <cellStyle name="20% - Accent2 4 2 8 2 2" xfId="2154" xr:uid="{00000000-0005-0000-0000-0000920A0000}"/>
    <cellStyle name="20% - Accent2 4 2 8 3" xfId="2155" xr:uid="{00000000-0005-0000-0000-0000930A0000}"/>
    <cellStyle name="20% - Accent2 4 2 8 4" xfId="2156" xr:uid="{00000000-0005-0000-0000-0000940A0000}"/>
    <cellStyle name="20% - Accent2 4 2 9" xfId="2157" xr:uid="{00000000-0005-0000-0000-0000950A0000}"/>
    <cellStyle name="20% - Accent2 4 2 9 2" xfId="2158" xr:uid="{00000000-0005-0000-0000-0000960A0000}"/>
    <cellStyle name="20% - Accent2 4 3" xfId="2159" xr:uid="{00000000-0005-0000-0000-0000970A0000}"/>
    <cellStyle name="20% - Accent2 4 3 10" xfId="2160" xr:uid="{00000000-0005-0000-0000-0000980A0000}"/>
    <cellStyle name="20% - Accent2 4 3 11" xfId="34521" xr:uid="{00000000-0005-0000-0000-0000990A0000}"/>
    <cellStyle name="20% - Accent2 4 3 2" xfId="2161" xr:uid="{00000000-0005-0000-0000-00009A0A0000}"/>
    <cellStyle name="20% - Accent2 4 3 2 10" xfId="34522" xr:uid="{00000000-0005-0000-0000-00009B0A0000}"/>
    <cellStyle name="20% - Accent2 4 3 2 2" xfId="2162" xr:uid="{00000000-0005-0000-0000-00009C0A0000}"/>
    <cellStyle name="20% - Accent2 4 3 2 2 2" xfId="2163" xr:uid="{00000000-0005-0000-0000-00009D0A0000}"/>
    <cellStyle name="20% - Accent2 4 3 2 2 2 2" xfId="2164" xr:uid="{00000000-0005-0000-0000-00009E0A0000}"/>
    <cellStyle name="20% - Accent2 4 3 2 2 2 2 2" xfId="2165" xr:uid="{00000000-0005-0000-0000-00009F0A0000}"/>
    <cellStyle name="20% - Accent2 4 3 2 2 2 3" xfId="2166" xr:uid="{00000000-0005-0000-0000-0000A00A0000}"/>
    <cellStyle name="20% - Accent2 4 3 2 2 2 4" xfId="2167" xr:uid="{00000000-0005-0000-0000-0000A10A0000}"/>
    <cellStyle name="20% - Accent2 4 3 2 2 2 5" xfId="37052" xr:uid="{00000000-0005-0000-0000-0000A20A0000}"/>
    <cellStyle name="20% - Accent2 4 3 2 2 3" xfId="2168" xr:uid="{00000000-0005-0000-0000-0000A30A0000}"/>
    <cellStyle name="20% - Accent2 4 3 2 2 3 2" xfId="2169" xr:uid="{00000000-0005-0000-0000-0000A40A0000}"/>
    <cellStyle name="20% - Accent2 4 3 2 2 4" xfId="2170" xr:uid="{00000000-0005-0000-0000-0000A50A0000}"/>
    <cellStyle name="20% - Accent2 4 3 2 2 5" xfId="2171" xr:uid="{00000000-0005-0000-0000-0000A60A0000}"/>
    <cellStyle name="20% - Accent2 4 3 2 2 6" xfId="37051" xr:uid="{00000000-0005-0000-0000-0000A70A0000}"/>
    <cellStyle name="20% - Accent2 4 3 2 3" xfId="2172" xr:uid="{00000000-0005-0000-0000-0000A80A0000}"/>
    <cellStyle name="20% - Accent2 4 3 2 3 2" xfId="2173" xr:uid="{00000000-0005-0000-0000-0000A90A0000}"/>
    <cellStyle name="20% - Accent2 4 3 2 3 2 2" xfId="2174" xr:uid="{00000000-0005-0000-0000-0000AA0A0000}"/>
    <cellStyle name="20% - Accent2 4 3 2 3 2 2 2" xfId="2175" xr:uid="{00000000-0005-0000-0000-0000AB0A0000}"/>
    <cellStyle name="20% - Accent2 4 3 2 3 2 3" xfId="2176" xr:uid="{00000000-0005-0000-0000-0000AC0A0000}"/>
    <cellStyle name="20% - Accent2 4 3 2 3 2 4" xfId="2177" xr:uid="{00000000-0005-0000-0000-0000AD0A0000}"/>
    <cellStyle name="20% - Accent2 4 3 2 3 2 5" xfId="37054" xr:uid="{00000000-0005-0000-0000-0000AE0A0000}"/>
    <cellStyle name="20% - Accent2 4 3 2 3 3" xfId="2178" xr:uid="{00000000-0005-0000-0000-0000AF0A0000}"/>
    <cellStyle name="20% - Accent2 4 3 2 3 3 2" xfId="2179" xr:uid="{00000000-0005-0000-0000-0000B00A0000}"/>
    <cellStyle name="20% - Accent2 4 3 2 3 4" xfId="2180" xr:uid="{00000000-0005-0000-0000-0000B10A0000}"/>
    <cellStyle name="20% - Accent2 4 3 2 3 5" xfId="2181" xr:uid="{00000000-0005-0000-0000-0000B20A0000}"/>
    <cellStyle name="20% - Accent2 4 3 2 3 6" xfId="37053" xr:uid="{00000000-0005-0000-0000-0000B30A0000}"/>
    <cellStyle name="20% - Accent2 4 3 2 4" xfId="2182" xr:uid="{00000000-0005-0000-0000-0000B40A0000}"/>
    <cellStyle name="20% - Accent2 4 3 2 4 2" xfId="2183" xr:uid="{00000000-0005-0000-0000-0000B50A0000}"/>
    <cellStyle name="20% - Accent2 4 3 2 4 2 2" xfId="2184" xr:uid="{00000000-0005-0000-0000-0000B60A0000}"/>
    <cellStyle name="20% - Accent2 4 3 2 4 3" xfId="2185" xr:uid="{00000000-0005-0000-0000-0000B70A0000}"/>
    <cellStyle name="20% - Accent2 4 3 2 4 4" xfId="2186" xr:uid="{00000000-0005-0000-0000-0000B80A0000}"/>
    <cellStyle name="20% - Accent2 4 3 2 4 5" xfId="37055" xr:uid="{00000000-0005-0000-0000-0000B90A0000}"/>
    <cellStyle name="20% - Accent2 4 3 2 5" xfId="2187" xr:uid="{00000000-0005-0000-0000-0000BA0A0000}"/>
    <cellStyle name="20% - Accent2 4 3 2 5 2" xfId="2188" xr:uid="{00000000-0005-0000-0000-0000BB0A0000}"/>
    <cellStyle name="20% - Accent2 4 3 2 5 2 2" xfId="2189" xr:uid="{00000000-0005-0000-0000-0000BC0A0000}"/>
    <cellStyle name="20% - Accent2 4 3 2 5 3" xfId="2190" xr:uid="{00000000-0005-0000-0000-0000BD0A0000}"/>
    <cellStyle name="20% - Accent2 4 3 2 5 4" xfId="2191" xr:uid="{00000000-0005-0000-0000-0000BE0A0000}"/>
    <cellStyle name="20% - Accent2 4 3 2 6" xfId="2192" xr:uid="{00000000-0005-0000-0000-0000BF0A0000}"/>
    <cellStyle name="20% - Accent2 4 3 2 6 2" xfId="2193" xr:uid="{00000000-0005-0000-0000-0000C00A0000}"/>
    <cellStyle name="20% - Accent2 4 3 2 6 2 2" xfId="2194" xr:uid="{00000000-0005-0000-0000-0000C10A0000}"/>
    <cellStyle name="20% - Accent2 4 3 2 6 3" xfId="2195" xr:uid="{00000000-0005-0000-0000-0000C20A0000}"/>
    <cellStyle name="20% - Accent2 4 3 2 6 4" xfId="2196" xr:uid="{00000000-0005-0000-0000-0000C30A0000}"/>
    <cellStyle name="20% - Accent2 4 3 2 7" xfId="2197" xr:uid="{00000000-0005-0000-0000-0000C40A0000}"/>
    <cellStyle name="20% - Accent2 4 3 2 7 2" xfId="2198" xr:uid="{00000000-0005-0000-0000-0000C50A0000}"/>
    <cellStyle name="20% - Accent2 4 3 2 8" xfId="2199" xr:uid="{00000000-0005-0000-0000-0000C60A0000}"/>
    <cellStyle name="20% - Accent2 4 3 2 9" xfId="2200" xr:uid="{00000000-0005-0000-0000-0000C70A0000}"/>
    <cellStyle name="20% - Accent2 4 3 3" xfId="2201" xr:uid="{00000000-0005-0000-0000-0000C80A0000}"/>
    <cellStyle name="20% - Accent2 4 3 3 2" xfId="2202" xr:uid="{00000000-0005-0000-0000-0000C90A0000}"/>
    <cellStyle name="20% - Accent2 4 3 3 2 2" xfId="2203" xr:uid="{00000000-0005-0000-0000-0000CA0A0000}"/>
    <cellStyle name="20% - Accent2 4 3 3 2 2 2" xfId="2204" xr:uid="{00000000-0005-0000-0000-0000CB0A0000}"/>
    <cellStyle name="20% - Accent2 4 3 3 2 3" xfId="2205" xr:uid="{00000000-0005-0000-0000-0000CC0A0000}"/>
    <cellStyle name="20% - Accent2 4 3 3 2 4" xfId="2206" xr:uid="{00000000-0005-0000-0000-0000CD0A0000}"/>
    <cellStyle name="20% - Accent2 4 3 3 2 5" xfId="37057" xr:uid="{00000000-0005-0000-0000-0000CE0A0000}"/>
    <cellStyle name="20% - Accent2 4 3 3 3" xfId="2207" xr:uid="{00000000-0005-0000-0000-0000CF0A0000}"/>
    <cellStyle name="20% - Accent2 4 3 3 3 2" xfId="2208" xr:uid="{00000000-0005-0000-0000-0000D00A0000}"/>
    <cellStyle name="20% - Accent2 4 3 3 4" xfId="2209" xr:uid="{00000000-0005-0000-0000-0000D10A0000}"/>
    <cellStyle name="20% - Accent2 4 3 3 5" xfId="2210" xr:uid="{00000000-0005-0000-0000-0000D20A0000}"/>
    <cellStyle name="20% - Accent2 4 3 3 6" xfId="37056" xr:uid="{00000000-0005-0000-0000-0000D30A0000}"/>
    <cellStyle name="20% - Accent2 4 3 4" xfId="2211" xr:uid="{00000000-0005-0000-0000-0000D40A0000}"/>
    <cellStyle name="20% - Accent2 4 3 4 2" xfId="2212" xr:uid="{00000000-0005-0000-0000-0000D50A0000}"/>
    <cellStyle name="20% - Accent2 4 3 4 2 2" xfId="2213" xr:uid="{00000000-0005-0000-0000-0000D60A0000}"/>
    <cellStyle name="20% - Accent2 4 3 4 2 2 2" xfId="2214" xr:uid="{00000000-0005-0000-0000-0000D70A0000}"/>
    <cellStyle name="20% - Accent2 4 3 4 2 3" xfId="2215" xr:uid="{00000000-0005-0000-0000-0000D80A0000}"/>
    <cellStyle name="20% - Accent2 4 3 4 2 4" xfId="2216" xr:uid="{00000000-0005-0000-0000-0000D90A0000}"/>
    <cellStyle name="20% - Accent2 4 3 4 2 5" xfId="37059" xr:uid="{00000000-0005-0000-0000-0000DA0A0000}"/>
    <cellStyle name="20% - Accent2 4 3 4 3" xfId="2217" xr:uid="{00000000-0005-0000-0000-0000DB0A0000}"/>
    <cellStyle name="20% - Accent2 4 3 4 3 2" xfId="2218" xr:uid="{00000000-0005-0000-0000-0000DC0A0000}"/>
    <cellStyle name="20% - Accent2 4 3 4 4" xfId="2219" xr:uid="{00000000-0005-0000-0000-0000DD0A0000}"/>
    <cellStyle name="20% - Accent2 4 3 4 5" xfId="2220" xr:uid="{00000000-0005-0000-0000-0000DE0A0000}"/>
    <cellStyle name="20% - Accent2 4 3 4 6" xfId="37058" xr:uid="{00000000-0005-0000-0000-0000DF0A0000}"/>
    <cellStyle name="20% - Accent2 4 3 5" xfId="2221" xr:uid="{00000000-0005-0000-0000-0000E00A0000}"/>
    <cellStyle name="20% - Accent2 4 3 5 2" xfId="2222" xr:uid="{00000000-0005-0000-0000-0000E10A0000}"/>
    <cellStyle name="20% - Accent2 4 3 5 2 2" xfId="2223" xr:uid="{00000000-0005-0000-0000-0000E20A0000}"/>
    <cellStyle name="20% - Accent2 4 3 5 3" xfId="2224" xr:uid="{00000000-0005-0000-0000-0000E30A0000}"/>
    <cellStyle name="20% - Accent2 4 3 5 4" xfId="2225" xr:uid="{00000000-0005-0000-0000-0000E40A0000}"/>
    <cellStyle name="20% - Accent2 4 3 5 5" xfId="37060" xr:uid="{00000000-0005-0000-0000-0000E50A0000}"/>
    <cellStyle name="20% - Accent2 4 3 6" xfId="2226" xr:uid="{00000000-0005-0000-0000-0000E60A0000}"/>
    <cellStyle name="20% - Accent2 4 3 6 2" xfId="2227" xr:uid="{00000000-0005-0000-0000-0000E70A0000}"/>
    <cellStyle name="20% - Accent2 4 3 6 2 2" xfId="2228" xr:uid="{00000000-0005-0000-0000-0000E80A0000}"/>
    <cellStyle name="20% - Accent2 4 3 6 3" xfId="2229" xr:uid="{00000000-0005-0000-0000-0000E90A0000}"/>
    <cellStyle name="20% - Accent2 4 3 6 4" xfId="2230" xr:uid="{00000000-0005-0000-0000-0000EA0A0000}"/>
    <cellStyle name="20% - Accent2 4 3 7" xfId="2231" xr:uid="{00000000-0005-0000-0000-0000EB0A0000}"/>
    <cellStyle name="20% - Accent2 4 3 7 2" xfId="2232" xr:uid="{00000000-0005-0000-0000-0000EC0A0000}"/>
    <cellStyle name="20% - Accent2 4 3 7 2 2" xfId="2233" xr:uid="{00000000-0005-0000-0000-0000ED0A0000}"/>
    <cellStyle name="20% - Accent2 4 3 7 3" xfId="2234" xr:uid="{00000000-0005-0000-0000-0000EE0A0000}"/>
    <cellStyle name="20% - Accent2 4 3 7 4" xfId="2235" xr:uid="{00000000-0005-0000-0000-0000EF0A0000}"/>
    <cellStyle name="20% - Accent2 4 3 8" xfId="2236" xr:uid="{00000000-0005-0000-0000-0000F00A0000}"/>
    <cellStyle name="20% - Accent2 4 3 8 2" xfId="2237" xr:uid="{00000000-0005-0000-0000-0000F10A0000}"/>
    <cellStyle name="20% - Accent2 4 3 9" xfId="2238" xr:uid="{00000000-0005-0000-0000-0000F20A0000}"/>
    <cellStyle name="20% - Accent2 4 4" xfId="2239" xr:uid="{00000000-0005-0000-0000-0000F30A0000}"/>
    <cellStyle name="20% - Accent2 4 4 10" xfId="34523" xr:uid="{00000000-0005-0000-0000-0000F40A0000}"/>
    <cellStyle name="20% - Accent2 4 4 2" xfId="2240" xr:uid="{00000000-0005-0000-0000-0000F50A0000}"/>
    <cellStyle name="20% - Accent2 4 4 2 2" xfId="2241" xr:uid="{00000000-0005-0000-0000-0000F60A0000}"/>
    <cellStyle name="20% - Accent2 4 4 2 2 2" xfId="2242" xr:uid="{00000000-0005-0000-0000-0000F70A0000}"/>
    <cellStyle name="20% - Accent2 4 4 2 2 2 2" xfId="2243" xr:uid="{00000000-0005-0000-0000-0000F80A0000}"/>
    <cellStyle name="20% - Accent2 4 4 2 2 3" xfId="2244" xr:uid="{00000000-0005-0000-0000-0000F90A0000}"/>
    <cellStyle name="20% - Accent2 4 4 2 2 4" xfId="2245" xr:uid="{00000000-0005-0000-0000-0000FA0A0000}"/>
    <cellStyle name="20% - Accent2 4 4 2 2 5" xfId="37062" xr:uid="{00000000-0005-0000-0000-0000FB0A0000}"/>
    <cellStyle name="20% - Accent2 4 4 2 3" xfId="2246" xr:uid="{00000000-0005-0000-0000-0000FC0A0000}"/>
    <cellStyle name="20% - Accent2 4 4 2 3 2" xfId="2247" xr:uid="{00000000-0005-0000-0000-0000FD0A0000}"/>
    <cellStyle name="20% - Accent2 4 4 2 4" xfId="2248" xr:uid="{00000000-0005-0000-0000-0000FE0A0000}"/>
    <cellStyle name="20% - Accent2 4 4 2 5" xfId="2249" xr:uid="{00000000-0005-0000-0000-0000FF0A0000}"/>
    <cellStyle name="20% - Accent2 4 4 2 6" xfId="37061" xr:uid="{00000000-0005-0000-0000-0000000B0000}"/>
    <cellStyle name="20% - Accent2 4 4 3" xfId="2250" xr:uid="{00000000-0005-0000-0000-0000010B0000}"/>
    <cellStyle name="20% - Accent2 4 4 3 2" xfId="2251" xr:uid="{00000000-0005-0000-0000-0000020B0000}"/>
    <cellStyle name="20% - Accent2 4 4 3 2 2" xfId="2252" xr:uid="{00000000-0005-0000-0000-0000030B0000}"/>
    <cellStyle name="20% - Accent2 4 4 3 2 2 2" xfId="2253" xr:uid="{00000000-0005-0000-0000-0000040B0000}"/>
    <cellStyle name="20% - Accent2 4 4 3 2 3" xfId="2254" xr:uid="{00000000-0005-0000-0000-0000050B0000}"/>
    <cellStyle name="20% - Accent2 4 4 3 2 4" xfId="2255" xr:uid="{00000000-0005-0000-0000-0000060B0000}"/>
    <cellStyle name="20% - Accent2 4 4 3 2 5" xfId="37064" xr:uid="{00000000-0005-0000-0000-0000070B0000}"/>
    <cellStyle name="20% - Accent2 4 4 3 3" xfId="2256" xr:uid="{00000000-0005-0000-0000-0000080B0000}"/>
    <cellStyle name="20% - Accent2 4 4 3 3 2" xfId="2257" xr:uid="{00000000-0005-0000-0000-0000090B0000}"/>
    <cellStyle name="20% - Accent2 4 4 3 4" xfId="2258" xr:uid="{00000000-0005-0000-0000-00000A0B0000}"/>
    <cellStyle name="20% - Accent2 4 4 3 5" xfId="2259" xr:uid="{00000000-0005-0000-0000-00000B0B0000}"/>
    <cellStyle name="20% - Accent2 4 4 3 6" xfId="37063" xr:uid="{00000000-0005-0000-0000-00000C0B0000}"/>
    <cellStyle name="20% - Accent2 4 4 4" xfId="2260" xr:uid="{00000000-0005-0000-0000-00000D0B0000}"/>
    <cellStyle name="20% - Accent2 4 4 4 2" xfId="2261" xr:uid="{00000000-0005-0000-0000-00000E0B0000}"/>
    <cellStyle name="20% - Accent2 4 4 4 2 2" xfId="2262" xr:uid="{00000000-0005-0000-0000-00000F0B0000}"/>
    <cellStyle name="20% - Accent2 4 4 4 3" xfId="2263" xr:uid="{00000000-0005-0000-0000-0000100B0000}"/>
    <cellStyle name="20% - Accent2 4 4 4 4" xfId="2264" xr:uid="{00000000-0005-0000-0000-0000110B0000}"/>
    <cellStyle name="20% - Accent2 4 4 4 5" xfId="37065" xr:uid="{00000000-0005-0000-0000-0000120B0000}"/>
    <cellStyle name="20% - Accent2 4 4 5" xfId="2265" xr:uid="{00000000-0005-0000-0000-0000130B0000}"/>
    <cellStyle name="20% - Accent2 4 4 5 2" xfId="2266" xr:uid="{00000000-0005-0000-0000-0000140B0000}"/>
    <cellStyle name="20% - Accent2 4 4 5 2 2" xfId="2267" xr:uid="{00000000-0005-0000-0000-0000150B0000}"/>
    <cellStyle name="20% - Accent2 4 4 5 3" xfId="2268" xr:uid="{00000000-0005-0000-0000-0000160B0000}"/>
    <cellStyle name="20% - Accent2 4 4 5 4" xfId="2269" xr:uid="{00000000-0005-0000-0000-0000170B0000}"/>
    <cellStyle name="20% - Accent2 4 4 6" xfId="2270" xr:uid="{00000000-0005-0000-0000-0000180B0000}"/>
    <cellStyle name="20% - Accent2 4 4 6 2" xfId="2271" xr:uid="{00000000-0005-0000-0000-0000190B0000}"/>
    <cellStyle name="20% - Accent2 4 4 6 2 2" xfId="2272" xr:uid="{00000000-0005-0000-0000-00001A0B0000}"/>
    <cellStyle name="20% - Accent2 4 4 6 3" xfId="2273" xr:uid="{00000000-0005-0000-0000-00001B0B0000}"/>
    <cellStyle name="20% - Accent2 4 4 6 4" xfId="2274" xr:uid="{00000000-0005-0000-0000-00001C0B0000}"/>
    <cellStyle name="20% - Accent2 4 4 7" xfId="2275" xr:uid="{00000000-0005-0000-0000-00001D0B0000}"/>
    <cellStyle name="20% - Accent2 4 4 7 2" xfId="2276" xr:uid="{00000000-0005-0000-0000-00001E0B0000}"/>
    <cellStyle name="20% - Accent2 4 4 8" xfId="2277" xr:uid="{00000000-0005-0000-0000-00001F0B0000}"/>
    <cellStyle name="20% - Accent2 4 4 9" xfId="2278" xr:uid="{00000000-0005-0000-0000-0000200B0000}"/>
    <cellStyle name="20% - Accent2 4 5" xfId="2279" xr:uid="{00000000-0005-0000-0000-0000210B0000}"/>
    <cellStyle name="20% - Accent2 4 5 2" xfId="2280" xr:uid="{00000000-0005-0000-0000-0000220B0000}"/>
    <cellStyle name="20% - Accent2 4 5 2 2" xfId="2281" xr:uid="{00000000-0005-0000-0000-0000230B0000}"/>
    <cellStyle name="20% - Accent2 4 5 2 2 2" xfId="2282" xr:uid="{00000000-0005-0000-0000-0000240B0000}"/>
    <cellStyle name="20% - Accent2 4 5 2 3" xfId="2283" xr:uid="{00000000-0005-0000-0000-0000250B0000}"/>
    <cellStyle name="20% - Accent2 4 5 2 4" xfId="2284" xr:uid="{00000000-0005-0000-0000-0000260B0000}"/>
    <cellStyle name="20% - Accent2 4 5 2 5" xfId="37067" xr:uid="{00000000-0005-0000-0000-0000270B0000}"/>
    <cellStyle name="20% - Accent2 4 5 3" xfId="2285" xr:uid="{00000000-0005-0000-0000-0000280B0000}"/>
    <cellStyle name="20% - Accent2 4 5 4" xfId="2286" xr:uid="{00000000-0005-0000-0000-0000290B0000}"/>
    <cellStyle name="20% - Accent2 4 5 4 2" xfId="2287" xr:uid="{00000000-0005-0000-0000-00002A0B0000}"/>
    <cellStyle name="20% - Accent2 4 5 5" xfId="2288" xr:uid="{00000000-0005-0000-0000-00002B0B0000}"/>
    <cellStyle name="20% - Accent2 4 5 6" xfId="2289" xr:uid="{00000000-0005-0000-0000-00002C0B0000}"/>
    <cellStyle name="20% - Accent2 4 5 7" xfId="37066" xr:uid="{00000000-0005-0000-0000-00002D0B0000}"/>
    <cellStyle name="20% - Accent2 4 6" xfId="2290" xr:uid="{00000000-0005-0000-0000-00002E0B0000}"/>
    <cellStyle name="20% - Accent2 4 6 2" xfId="2291" xr:uid="{00000000-0005-0000-0000-00002F0B0000}"/>
    <cellStyle name="20% - Accent2 4 6 2 2" xfId="2292" xr:uid="{00000000-0005-0000-0000-0000300B0000}"/>
    <cellStyle name="20% - Accent2 4 6 2 2 2" xfId="2293" xr:uid="{00000000-0005-0000-0000-0000310B0000}"/>
    <cellStyle name="20% - Accent2 4 6 2 3" xfId="2294" xr:uid="{00000000-0005-0000-0000-0000320B0000}"/>
    <cellStyle name="20% - Accent2 4 6 2 4" xfId="2295" xr:uid="{00000000-0005-0000-0000-0000330B0000}"/>
    <cellStyle name="20% - Accent2 4 6 2 5" xfId="37069" xr:uid="{00000000-0005-0000-0000-0000340B0000}"/>
    <cellStyle name="20% - Accent2 4 6 3" xfId="2296" xr:uid="{00000000-0005-0000-0000-0000350B0000}"/>
    <cellStyle name="20% - Accent2 4 6 3 2" xfId="2297" xr:uid="{00000000-0005-0000-0000-0000360B0000}"/>
    <cellStyle name="20% - Accent2 4 6 3 2 2" xfId="2298" xr:uid="{00000000-0005-0000-0000-0000370B0000}"/>
    <cellStyle name="20% - Accent2 4 6 3 3" xfId="2299" xr:uid="{00000000-0005-0000-0000-0000380B0000}"/>
    <cellStyle name="20% - Accent2 4 6 3 4" xfId="2300" xr:uid="{00000000-0005-0000-0000-0000390B0000}"/>
    <cellStyle name="20% - Accent2 4 6 3 5" xfId="37070" xr:uid="{00000000-0005-0000-0000-00003A0B0000}"/>
    <cellStyle name="20% - Accent2 4 6 4" xfId="2301" xr:uid="{00000000-0005-0000-0000-00003B0B0000}"/>
    <cellStyle name="20% - Accent2 4 6 4 2" xfId="2302" xr:uid="{00000000-0005-0000-0000-00003C0B0000}"/>
    <cellStyle name="20% - Accent2 4 6 5" xfId="2303" xr:uid="{00000000-0005-0000-0000-00003D0B0000}"/>
    <cellStyle name="20% - Accent2 4 6 6" xfId="2304" xr:uid="{00000000-0005-0000-0000-00003E0B0000}"/>
    <cellStyle name="20% - Accent2 4 6 7" xfId="37068" xr:uid="{00000000-0005-0000-0000-00003F0B0000}"/>
    <cellStyle name="20% - Accent2 4 7" xfId="2305" xr:uid="{00000000-0005-0000-0000-0000400B0000}"/>
    <cellStyle name="20% - Accent2 4 7 2" xfId="2306" xr:uid="{00000000-0005-0000-0000-0000410B0000}"/>
    <cellStyle name="20% - Accent2 4 7 2 2" xfId="2307" xr:uid="{00000000-0005-0000-0000-0000420B0000}"/>
    <cellStyle name="20% - Accent2 4 7 3" xfId="2308" xr:uid="{00000000-0005-0000-0000-0000430B0000}"/>
    <cellStyle name="20% - Accent2 4 7 4" xfId="2309" xr:uid="{00000000-0005-0000-0000-0000440B0000}"/>
    <cellStyle name="20% - Accent2 4 7 5" xfId="37071" xr:uid="{00000000-0005-0000-0000-0000450B0000}"/>
    <cellStyle name="20% - Accent2 4 8" xfId="2310" xr:uid="{00000000-0005-0000-0000-0000460B0000}"/>
    <cellStyle name="20% - Accent2 4 8 2" xfId="2311" xr:uid="{00000000-0005-0000-0000-0000470B0000}"/>
    <cellStyle name="20% - Accent2 4 8 2 2" xfId="2312" xr:uid="{00000000-0005-0000-0000-0000480B0000}"/>
    <cellStyle name="20% - Accent2 4 8 3" xfId="2313" xr:uid="{00000000-0005-0000-0000-0000490B0000}"/>
    <cellStyle name="20% - Accent2 4 8 4" xfId="2314" xr:uid="{00000000-0005-0000-0000-00004A0B0000}"/>
    <cellStyle name="20% - Accent2 4 9" xfId="2315" xr:uid="{00000000-0005-0000-0000-00004B0B0000}"/>
    <cellStyle name="20% - Accent2 4 9 2" xfId="2316" xr:uid="{00000000-0005-0000-0000-00004C0B0000}"/>
    <cellStyle name="20% - Accent2 4 9 2 2" xfId="2317" xr:uid="{00000000-0005-0000-0000-00004D0B0000}"/>
    <cellStyle name="20% - Accent2 4 9 3" xfId="2318" xr:uid="{00000000-0005-0000-0000-00004E0B0000}"/>
    <cellStyle name="20% - Accent2 4 9 4" xfId="2319" xr:uid="{00000000-0005-0000-0000-00004F0B0000}"/>
    <cellStyle name="20% - Accent2 5" xfId="2320" xr:uid="{00000000-0005-0000-0000-0000500B0000}"/>
    <cellStyle name="20% - Accent2 5 10" xfId="2321" xr:uid="{00000000-0005-0000-0000-0000510B0000}"/>
    <cellStyle name="20% - Accent2 5 10 2" xfId="2322" xr:uid="{00000000-0005-0000-0000-0000520B0000}"/>
    <cellStyle name="20% - Accent2 5 11" xfId="2323" xr:uid="{00000000-0005-0000-0000-0000530B0000}"/>
    <cellStyle name="20% - Accent2 5 12" xfId="2324" xr:uid="{00000000-0005-0000-0000-0000540B0000}"/>
    <cellStyle name="20% - Accent2 5 13" xfId="34524" xr:uid="{00000000-0005-0000-0000-0000550B0000}"/>
    <cellStyle name="20% - Accent2 5 2" xfId="2325" xr:uid="{00000000-0005-0000-0000-0000560B0000}"/>
    <cellStyle name="20% - Accent2 5 2 10" xfId="2326" xr:uid="{00000000-0005-0000-0000-0000570B0000}"/>
    <cellStyle name="20% - Accent2 5 2 11" xfId="2327" xr:uid="{00000000-0005-0000-0000-0000580B0000}"/>
    <cellStyle name="20% - Accent2 5 2 12" xfId="34525" xr:uid="{00000000-0005-0000-0000-0000590B0000}"/>
    <cellStyle name="20% - Accent2 5 2 2" xfId="2328" xr:uid="{00000000-0005-0000-0000-00005A0B0000}"/>
    <cellStyle name="20% - Accent2 5 2 2 10" xfId="2329" xr:uid="{00000000-0005-0000-0000-00005B0B0000}"/>
    <cellStyle name="20% - Accent2 5 2 2 11" xfId="34526" xr:uid="{00000000-0005-0000-0000-00005C0B0000}"/>
    <cellStyle name="20% - Accent2 5 2 2 2" xfId="2330" xr:uid="{00000000-0005-0000-0000-00005D0B0000}"/>
    <cellStyle name="20% - Accent2 5 2 2 2 10" xfId="34527" xr:uid="{00000000-0005-0000-0000-00005E0B0000}"/>
    <cellStyle name="20% - Accent2 5 2 2 2 2" xfId="2331" xr:uid="{00000000-0005-0000-0000-00005F0B0000}"/>
    <cellStyle name="20% - Accent2 5 2 2 2 2 2" xfId="2332" xr:uid="{00000000-0005-0000-0000-0000600B0000}"/>
    <cellStyle name="20% - Accent2 5 2 2 2 2 2 2" xfId="2333" xr:uid="{00000000-0005-0000-0000-0000610B0000}"/>
    <cellStyle name="20% - Accent2 5 2 2 2 2 2 2 2" xfId="2334" xr:uid="{00000000-0005-0000-0000-0000620B0000}"/>
    <cellStyle name="20% - Accent2 5 2 2 2 2 2 3" xfId="2335" xr:uid="{00000000-0005-0000-0000-0000630B0000}"/>
    <cellStyle name="20% - Accent2 5 2 2 2 2 2 4" xfId="2336" xr:uid="{00000000-0005-0000-0000-0000640B0000}"/>
    <cellStyle name="20% - Accent2 5 2 2 2 2 2 5" xfId="37073" xr:uid="{00000000-0005-0000-0000-0000650B0000}"/>
    <cellStyle name="20% - Accent2 5 2 2 2 2 3" xfId="2337" xr:uid="{00000000-0005-0000-0000-0000660B0000}"/>
    <cellStyle name="20% - Accent2 5 2 2 2 2 3 2" xfId="2338" xr:uid="{00000000-0005-0000-0000-0000670B0000}"/>
    <cellStyle name="20% - Accent2 5 2 2 2 2 4" xfId="2339" xr:uid="{00000000-0005-0000-0000-0000680B0000}"/>
    <cellStyle name="20% - Accent2 5 2 2 2 2 5" xfId="2340" xr:uid="{00000000-0005-0000-0000-0000690B0000}"/>
    <cellStyle name="20% - Accent2 5 2 2 2 2 6" xfId="37072" xr:uid="{00000000-0005-0000-0000-00006A0B0000}"/>
    <cellStyle name="20% - Accent2 5 2 2 2 3" xfId="2341" xr:uid="{00000000-0005-0000-0000-00006B0B0000}"/>
    <cellStyle name="20% - Accent2 5 2 2 2 3 2" xfId="2342" xr:uid="{00000000-0005-0000-0000-00006C0B0000}"/>
    <cellStyle name="20% - Accent2 5 2 2 2 3 2 2" xfId="2343" xr:uid="{00000000-0005-0000-0000-00006D0B0000}"/>
    <cellStyle name="20% - Accent2 5 2 2 2 3 2 2 2" xfId="2344" xr:uid="{00000000-0005-0000-0000-00006E0B0000}"/>
    <cellStyle name="20% - Accent2 5 2 2 2 3 2 3" xfId="2345" xr:uid="{00000000-0005-0000-0000-00006F0B0000}"/>
    <cellStyle name="20% - Accent2 5 2 2 2 3 2 4" xfId="2346" xr:uid="{00000000-0005-0000-0000-0000700B0000}"/>
    <cellStyle name="20% - Accent2 5 2 2 2 3 2 5" xfId="37075" xr:uid="{00000000-0005-0000-0000-0000710B0000}"/>
    <cellStyle name="20% - Accent2 5 2 2 2 3 3" xfId="2347" xr:uid="{00000000-0005-0000-0000-0000720B0000}"/>
    <cellStyle name="20% - Accent2 5 2 2 2 3 3 2" xfId="2348" xr:uid="{00000000-0005-0000-0000-0000730B0000}"/>
    <cellStyle name="20% - Accent2 5 2 2 2 3 4" xfId="2349" xr:uid="{00000000-0005-0000-0000-0000740B0000}"/>
    <cellStyle name="20% - Accent2 5 2 2 2 3 5" xfId="2350" xr:uid="{00000000-0005-0000-0000-0000750B0000}"/>
    <cellStyle name="20% - Accent2 5 2 2 2 3 6" xfId="37074" xr:uid="{00000000-0005-0000-0000-0000760B0000}"/>
    <cellStyle name="20% - Accent2 5 2 2 2 4" xfId="2351" xr:uid="{00000000-0005-0000-0000-0000770B0000}"/>
    <cellStyle name="20% - Accent2 5 2 2 2 4 2" xfId="2352" xr:uid="{00000000-0005-0000-0000-0000780B0000}"/>
    <cellStyle name="20% - Accent2 5 2 2 2 4 2 2" xfId="2353" xr:uid="{00000000-0005-0000-0000-0000790B0000}"/>
    <cellStyle name="20% - Accent2 5 2 2 2 4 3" xfId="2354" xr:uid="{00000000-0005-0000-0000-00007A0B0000}"/>
    <cellStyle name="20% - Accent2 5 2 2 2 4 4" xfId="2355" xr:uid="{00000000-0005-0000-0000-00007B0B0000}"/>
    <cellStyle name="20% - Accent2 5 2 2 2 4 5" xfId="37076" xr:uid="{00000000-0005-0000-0000-00007C0B0000}"/>
    <cellStyle name="20% - Accent2 5 2 2 2 5" xfId="2356" xr:uid="{00000000-0005-0000-0000-00007D0B0000}"/>
    <cellStyle name="20% - Accent2 5 2 2 2 5 2" xfId="2357" xr:uid="{00000000-0005-0000-0000-00007E0B0000}"/>
    <cellStyle name="20% - Accent2 5 2 2 2 5 2 2" xfId="2358" xr:uid="{00000000-0005-0000-0000-00007F0B0000}"/>
    <cellStyle name="20% - Accent2 5 2 2 2 5 3" xfId="2359" xr:uid="{00000000-0005-0000-0000-0000800B0000}"/>
    <cellStyle name="20% - Accent2 5 2 2 2 5 4" xfId="2360" xr:uid="{00000000-0005-0000-0000-0000810B0000}"/>
    <cellStyle name="20% - Accent2 5 2 2 2 6" xfId="2361" xr:uid="{00000000-0005-0000-0000-0000820B0000}"/>
    <cellStyle name="20% - Accent2 5 2 2 2 6 2" xfId="2362" xr:uid="{00000000-0005-0000-0000-0000830B0000}"/>
    <cellStyle name="20% - Accent2 5 2 2 2 6 2 2" xfId="2363" xr:uid="{00000000-0005-0000-0000-0000840B0000}"/>
    <cellStyle name="20% - Accent2 5 2 2 2 6 3" xfId="2364" xr:uid="{00000000-0005-0000-0000-0000850B0000}"/>
    <cellStyle name="20% - Accent2 5 2 2 2 6 4" xfId="2365" xr:uid="{00000000-0005-0000-0000-0000860B0000}"/>
    <cellStyle name="20% - Accent2 5 2 2 2 7" xfId="2366" xr:uid="{00000000-0005-0000-0000-0000870B0000}"/>
    <cellStyle name="20% - Accent2 5 2 2 2 7 2" xfId="2367" xr:uid="{00000000-0005-0000-0000-0000880B0000}"/>
    <cellStyle name="20% - Accent2 5 2 2 2 8" xfId="2368" xr:uid="{00000000-0005-0000-0000-0000890B0000}"/>
    <cellStyle name="20% - Accent2 5 2 2 2 9" xfId="2369" xr:uid="{00000000-0005-0000-0000-00008A0B0000}"/>
    <cellStyle name="20% - Accent2 5 2 2 3" xfId="2370" xr:uid="{00000000-0005-0000-0000-00008B0B0000}"/>
    <cellStyle name="20% - Accent2 5 2 2 3 2" xfId="2371" xr:uid="{00000000-0005-0000-0000-00008C0B0000}"/>
    <cellStyle name="20% - Accent2 5 2 2 3 2 2" xfId="2372" xr:uid="{00000000-0005-0000-0000-00008D0B0000}"/>
    <cellStyle name="20% - Accent2 5 2 2 3 2 2 2" xfId="2373" xr:uid="{00000000-0005-0000-0000-00008E0B0000}"/>
    <cellStyle name="20% - Accent2 5 2 2 3 2 3" xfId="2374" xr:uid="{00000000-0005-0000-0000-00008F0B0000}"/>
    <cellStyle name="20% - Accent2 5 2 2 3 2 4" xfId="2375" xr:uid="{00000000-0005-0000-0000-0000900B0000}"/>
    <cellStyle name="20% - Accent2 5 2 2 3 2 5" xfId="37078" xr:uid="{00000000-0005-0000-0000-0000910B0000}"/>
    <cellStyle name="20% - Accent2 5 2 2 3 3" xfId="2376" xr:uid="{00000000-0005-0000-0000-0000920B0000}"/>
    <cellStyle name="20% - Accent2 5 2 2 3 3 2" xfId="2377" xr:uid="{00000000-0005-0000-0000-0000930B0000}"/>
    <cellStyle name="20% - Accent2 5 2 2 3 4" xfId="2378" xr:uid="{00000000-0005-0000-0000-0000940B0000}"/>
    <cellStyle name="20% - Accent2 5 2 2 3 5" xfId="2379" xr:uid="{00000000-0005-0000-0000-0000950B0000}"/>
    <cellStyle name="20% - Accent2 5 2 2 3 6" xfId="37077" xr:uid="{00000000-0005-0000-0000-0000960B0000}"/>
    <cellStyle name="20% - Accent2 5 2 2 4" xfId="2380" xr:uid="{00000000-0005-0000-0000-0000970B0000}"/>
    <cellStyle name="20% - Accent2 5 2 2 4 2" xfId="2381" xr:uid="{00000000-0005-0000-0000-0000980B0000}"/>
    <cellStyle name="20% - Accent2 5 2 2 4 2 2" xfId="2382" xr:uid="{00000000-0005-0000-0000-0000990B0000}"/>
    <cellStyle name="20% - Accent2 5 2 2 4 2 2 2" xfId="2383" xr:uid="{00000000-0005-0000-0000-00009A0B0000}"/>
    <cellStyle name="20% - Accent2 5 2 2 4 2 3" xfId="2384" xr:uid="{00000000-0005-0000-0000-00009B0B0000}"/>
    <cellStyle name="20% - Accent2 5 2 2 4 2 4" xfId="2385" xr:uid="{00000000-0005-0000-0000-00009C0B0000}"/>
    <cellStyle name="20% - Accent2 5 2 2 4 2 5" xfId="37080" xr:uid="{00000000-0005-0000-0000-00009D0B0000}"/>
    <cellStyle name="20% - Accent2 5 2 2 4 3" xfId="2386" xr:uid="{00000000-0005-0000-0000-00009E0B0000}"/>
    <cellStyle name="20% - Accent2 5 2 2 4 3 2" xfId="2387" xr:uid="{00000000-0005-0000-0000-00009F0B0000}"/>
    <cellStyle name="20% - Accent2 5 2 2 4 4" xfId="2388" xr:uid="{00000000-0005-0000-0000-0000A00B0000}"/>
    <cellStyle name="20% - Accent2 5 2 2 4 5" xfId="2389" xr:uid="{00000000-0005-0000-0000-0000A10B0000}"/>
    <cellStyle name="20% - Accent2 5 2 2 4 6" xfId="37079" xr:uid="{00000000-0005-0000-0000-0000A20B0000}"/>
    <cellStyle name="20% - Accent2 5 2 2 5" xfId="2390" xr:uid="{00000000-0005-0000-0000-0000A30B0000}"/>
    <cellStyle name="20% - Accent2 5 2 2 5 2" xfId="2391" xr:uid="{00000000-0005-0000-0000-0000A40B0000}"/>
    <cellStyle name="20% - Accent2 5 2 2 5 2 2" xfId="2392" xr:uid="{00000000-0005-0000-0000-0000A50B0000}"/>
    <cellStyle name="20% - Accent2 5 2 2 5 3" xfId="2393" xr:uid="{00000000-0005-0000-0000-0000A60B0000}"/>
    <cellStyle name="20% - Accent2 5 2 2 5 4" xfId="2394" xr:uid="{00000000-0005-0000-0000-0000A70B0000}"/>
    <cellStyle name="20% - Accent2 5 2 2 5 5" xfId="37081" xr:uid="{00000000-0005-0000-0000-0000A80B0000}"/>
    <cellStyle name="20% - Accent2 5 2 2 6" xfId="2395" xr:uid="{00000000-0005-0000-0000-0000A90B0000}"/>
    <cellStyle name="20% - Accent2 5 2 2 6 2" xfId="2396" xr:uid="{00000000-0005-0000-0000-0000AA0B0000}"/>
    <cellStyle name="20% - Accent2 5 2 2 6 2 2" xfId="2397" xr:uid="{00000000-0005-0000-0000-0000AB0B0000}"/>
    <cellStyle name="20% - Accent2 5 2 2 6 3" xfId="2398" xr:uid="{00000000-0005-0000-0000-0000AC0B0000}"/>
    <cellStyle name="20% - Accent2 5 2 2 6 4" xfId="2399" xr:uid="{00000000-0005-0000-0000-0000AD0B0000}"/>
    <cellStyle name="20% - Accent2 5 2 2 7" xfId="2400" xr:uid="{00000000-0005-0000-0000-0000AE0B0000}"/>
    <cellStyle name="20% - Accent2 5 2 2 7 2" xfId="2401" xr:uid="{00000000-0005-0000-0000-0000AF0B0000}"/>
    <cellStyle name="20% - Accent2 5 2 2 7 2 2" xfId="2402" xr:uid="{00000000-0005-0000-0000-0000B00B0000}"/>
    <cellStyle name="20% - Accent2 5 2 2 7 3" xfId="2403" xr:uid="{00000000-0005-0000-0000-0000B10B0000}"/>
    <cellStyle name="20% - Accent2 5 2 2 7 4" xfId="2404" xr:uid="{00000000-0005-0000-0000-0000B20B0000}"/>
    <cellStyle name="20% - Accent2 5 2 2 8" xfId="2405" xr:uid="{00000000-0005-0000-0000-0000B30B0000}"/>
    <cellStyle name="20% - Accent2 5 2 2 8 2" xfId="2406" xr:uid="{00000000-0005-0000-0000-0000B40B0000}"/>
    <cellStyle name="20% - Accent2 5 2 2 9" xfId="2407" xr:uid="{00000000-0005-0000-0000-0000B50B0000}"/>
    <cellStyle name="20% - Accent2 5 2 3" xfId="2408" xr:uid="{00000000-0005-0000-0000-0000B60B0000}"/>
    <cellStyle name="20% - Accent2 5 2 3 10" xfId="34528" xr:uid="{00000000-0005-0000-0000-0000B70B0000}"/>
    <cellStyle name="20% - Accent2 5 2 3 2" xfId="2409" xr:uid="{00000000-0005-0000-0000-0000B80B0000}"/>
    <cellStyle name="20% - Accent2 5 2 3 2 2" xfId="2410" xr:uid="{00000000-0005-0000-0000-0000B90B0000}"/>
    <cellStyle name="20% - Accent2 5 2 3 2 2 2" xfId="2411" xr:uid="{00000000-0005-0000-0000-0000BA0B0000}"/>
    <cellStyle name="20% - Accent2 5 2 3 2 2 2 2" xfId="2412" xr:uid="{00000000-0005-0000-0000-0000BB0B0000}"/>
    <cellStyle name="20% - Accent2 5 2 3 2 2 3" xfId="2413" xr:uid="{00000000-0005-0000-0000-0000BC0B0000}"/>
    <cellStyle name="20% - Accent2 5 2 3 2 2 4" xfId="2414" xr:uid="{00000000-0005-0000-0000-0000BD0B0000}"/>
    <cellStyle name="20% - Accent2 5 2 3 2 2 5" xfId="37083" xr:uid="{00000000-0005-0000-0000-0000BE0B0000}"/>
    <cellStyle name="20% - Accent2 5 2 3 2 3" xfId="2415" xr:uid="{00000000-0005-0000-0000-0000BF0B0000}"/>
    <cellStyle name="20% - Accent2 5 2 3 2 3 2" xfId="2416" xr:uid="{00000000-0005-0000-0000-0000C00B0000}"/>
    <cellStyle name="20% - Accent2 5 2 3 2 4" xfId="2417" xr:uid="{00000000-0005-0000-0000-0000C10B0000}"/>
    <cellStyle name="20% - Accent2 5 2 3 2 5" xfId="2418" xr:uid="{00000000-0005-0000-0000-0000C20B0000}"/>
    <cellStyle name="20% - Accent2 5 2 3 2 6" xfId="37082" xr:uid="{00000000-0005-0000-0000-0000C30B0000}"/>
    <cellStyle name="20% - Accent2 5 2 3 3" xfId="2419" xr:uid="{00000000-0005-0000-0000-0000C40B0000}"/>
    <cellStyle name="20% - Accent2 5 2 3 3 2" xfId="2420" xr:uid="{00000000-0005-0000-0000-0000C50B0000}"/>
    <cellStyle name="20% - Accent2 5 2 3 3 2 2" xfId="2421" xr:uid="{00000000-0005-0000-0000-0000C60B0000}"/>
    <cellStyle name="20% - Accent2 5 2 3 3 2 2 2" xfId="2422" xr:uid="{00000000-0005-0000-0000-0000C70B0000}"/>
    <cellStyle name="20% - Accent2 5 2 3 3 2 3" xfId="2423" xr:uid="{00000000-0005-0000-0000-0000C80B0000}"/>
    <cellStyle name="20% - Accent2 5 2 3 3 2 4" xfId="2424" xr:uid="{00000000-0005-0000-0000-0000C90B0000}"/>
    <cellStyle name="20% - Accent2 5 2 3 3 2 5" xfId="37085" xr:uid="{00000000-0005-0000-0000-0000CA0B0000}"/>
    <cellStyle name="20% - Accent2 5 2 3 3 3" xfId="2425" xr:uid="{00000000-0005-0000-0000-0000CB0B0000}"/>
    <cellStyle name="20% - Accent2 5 2 3 3 3 2" xfId="2426" xr:uid="{00000000-0005-0000-0000-0000CC0B0000}"/>
    <cellStyle name="20% - Accent2 5 2 3 3 4" xfId="2427" xr:uid="{00000000-0005-0000-0000-0000CD0B0000}"/>
    <cellStyle name="20% - Accent2 5 2 3 3 5" xfId="2428" xr:uid="{00000000-0005-0000-0000-0000CE0B0000}"/>
    <cellStyle name="20% - Accent2 5 2 3 3 6" xfId="37084" xr:uid="{00000000-0005-0000-0000-0000CF0B0000}"/>
    <cellStyle name="20% - Accent2 5 2 3 4" xfId="2429" xr:uid="{00000000-0005-0000-0000-0000D00B0000}"/>
    <cellStyle name="20% - Accent2 5 2 3 4 2" xfId="2430" xr:uid="{00000000-0005-0000-0000-0000D10B0000}"/>
    <cellStyle name="20% - Accent2 5 2 3 4 2 2" xfId="2431" xr:uid="{00000000-0005-0000-0000-0000D20B0000}"/>
    <cellStyle name="20% - Accent2 5 2 3 4 3" xfId="2432" xr:uid="{00000000-0005-0000-0000-0000D30B0000}"/>
    <cellStyle name="20% - Accent2 5 2 3 4 4" xfId="2433" xr:uid="{00000000-0005-0000-0000-0000D40B0000}"/>
    <cellStyle name="20% - Accent2 5 2 3 4 5" xfId="37086" xr:uid="{00000000-0005-0000-0000-0000D50B0000}"/>
    <cellStyle name="20% - Accent2 5 2 3 5" xfId="2434" xr:uid="{00000000-0005-0000-0000-0000D60B0000}"/>
    <cellStyle name="20% - Accent2 5 2 3 5 2" xfId="2435" xr:uid="{00000000-0005-0000-0000-0000D70B0000}"/>
    <cellStyle name="20% - Accent2 5 2 3 5 2 2" xfId="2436" xr:uid="{00000000-0005-0000-0000-0000D80B0000}"/>
    <cellStyle name="20% - Accent2 5 2 3 5 3" xfId="2437" xr:uid="{00000000-0005-0000-0000-0000D90B0000}"/>
    <cellStyle name="20% - Accent2 5 2 3 5 4" xfId="2438" xr:uid="{00000000-0005-0000-0000-0000DA0B0000}"/>
    <cellStyle name="20% - Accent2 5 2 3 6" xfId="2439" xr:uid="{00000000-0005-0000-0000-0000DB0B0000}"/>
    <cellStyle name="20% - Accent2 5 2 3 6 2" xfId="2440" xr:uid="{00000000-0005-0000-0000-0000DC0B0000}"/>
    <cellStyle name="20% - Accent2 5 2 3 6 2 2" xfId="2441" xr:uid="{00000000-0005-0000-0000-0000DD0B0000}"/>
    <cellStyle name="20% - Accent2 5 2 3 6 3" xfId="2442" xr:uid="{00000000-0005-0000-0000-0000DE0B0000}"/>
    <cellStyle name="20% - Accent2 5 2 3 6 4" xfId="2443" xr:uid="{00000000-0005-0000-0000-0000DF0B0000}"/>
    <cellStyle name="20% - Accent2 5 2 3 7" xfId="2444" xr:uid="{00000000-0005-0000-0000-0000E00B0000}"/>
    <cellStyle name="20% - Accent2 5 2 3 7 2" xfId="2445" xr:uid="{00000000-0005-0000-0000-0000E10B0000}"/>
    <cellStyle name="20% - Accent2 5 2 3 8" xfId="2446" xr:uid="{00000000-0005-0000-0000-0000E20B0000}"/>
    <cellStyle name="20% - Accent2 5 2 3 9" xfId="2447" xr:uid="{00000000-0005-0000-0000-0000E30B0000}"/>
    <cellStyle name="20% - Accent2 5 2 4" xfId="2448" xr:uid="{00000000-0005-0000-0000-0000E40B0000}"/>
    <cellStyle name="20% - Accent2 5 2 4 2" xfId="2449" xr:uid="{00000000-0005-0000-0000-0000E50B0000}"/>
    <cellStyle name="20% - Accent2 5 2 4 2 2" xfId="2450" xr:uid="{00000000-0005-0000-0000-0000E60B0000}"/>
    <cellStyle name="20% - Accent2 5 2 4 2 2 2" xfId="2451" xr:uid="{00000000-0005-0000-0000-0000E70B0000}"/>
    <cellStyle name="20% - Accent2 5 2 4 2 3" xfId="2452" xr:uid="{00000000-0005-0000-0000-0000E80B0000}"/>
    <cellStyle name="20% - Accent2 5 2 4 2 4" xfId="2453" xr:uid="{00000000-0005-0000-0000-0000E90B0000}"/>
    <cellStyle name="20% - Accent2 5 2 4 2 5" xfId="37088" xr:uid="{00000000-0005-0000-0000-0000EA0B0000}"/>
    <cellStyle name="20% - Accent2 5 2 4 3" xfId="2454" xr:uid="{00000000-0005-0000-0000-0000EB0B0000}"/>
    <cellStyle name="20% - Accent2 5 2 4 3 2" xfId="2455" xr:uid="{00000000-0005-0000-0000-0000EC0B0000}"/>
    <cellStyle name="20% - Accent2 5 2 4 4" xfId="2456" xr:uid="{00000000-0005-0000-0000-0000ED0B0000}"/>
    <cellStyle name="20% - Accent2 5 2 4 5" xfId="2457" xr:uid="{00000000-0005-0000-0000-0000EE0B0000}"/>
    <cellStyle name="20% - Accent2 5 2 4 6" xfId="37087" xr:uid="{00000000-0005-0000-0000-0000EF0B0000}"/>
    <cellStyle name="20% - Accent2 5 2 5" xfId="2458" xr:uid="{00000000-0005-0000-0000-0000F00B0000}"/>
    <cellStyle name="20% - Accent2 5 2 5 2" xfId="2459" xr:uid="{00000000-0005-0000-0000-0000F10B0000}"/>
    <cellStyle name="20% - Accent2 5 2 5 2 2" xfId="2460" xr:uid="{00000000-0005-0000-0000-0000F20B0000}"/>
    <cellStyle name="20% - Accent2 5 2 5 2 2 2" xfId="2461" xr:uid="{00000000-0005-0000-0000-0000F30B0000}"/>
    <cellStyle name="20% - Accent2 5 2 5 2 3" xfId="2462" xr:uid="{00000000-0005-0000-0000-0000F40B0000}"/>
    <cellStyle name="20% - Accent2 5 2 5 2 4" xfId="2463" xr:uid="{00000000-0005-0000-0000-0000F50B0000}"/>
    <cellStyle name="20% - Accent2 5 2 5 2 5" xfId="37090" xr:uid="{00000000-0005-0000-0000-0000F60B0000}"/>
    <cellStyle name="20% - Accent2 5 2 5 3" xfId="2464" xr:uid="{00000000-0005-0000-0000-0000F70B0000}"/>
    <cellStyle name="20% - Accent2 5 2 5 3 2" xfId="2465" xr:uid="{00000000-0005-0000-0000-0000F80B0000}"/>
    <cellStyle name="20% - Accent2 5 2 5 4" xfId="2466" xr:uid="{00000000-0005-0000-0000-0000F90B0000}"/>
    <cellStyle name="20% - Accent2 5 2 5 5" xfId="2467" xr:uid="{00000000-0005-0000-0000-0000FA0B0000}"/>
    <cellStyle name="20% - Accent2 5 2 5 6" xfId="37089" xr:uid="{00000000-0005-0000-0000-0000FB0B0000}"/>
    <cellStyle name="20% - Accent2 5 2 6" xfId="2468" xr:uid="{00000000-0005-0000-0000-0000FC0B0000}"/>
    <cellStyle name="20% - Accent2 5 2 6 2" xfId="2469" xr:uid="{00000000-0005-0000-0000-0000FD0B0000}"/>
    <cellStyle name="20% - Accent2 5 2 6 2 2" xfId="2470" xr:uid="{00000000-0005-0000-0000-0000FE0B0000}"/>
    <cellStyle name="20% - Accent2 5 2 6 3" xfId="2471" xr:uid="{00000000-0005-0000-0000-0000FF0B0000}"/>
    <cellStyle name="20% - Accent2 5 2 6 4" xfId="2472" xr:uid="{00000000-0005-0000-0000-0000000C0000}"/>
    <cellStyle name="20% - Accent2 5 2 6 5" xfId="37091" xr:uid="{00000000-0005-0000-0000-0000010C0000}"/>
    <cellStyle name="20% - Accent2 5 2 7" xfId="2473" xr:uid="{00000000-0005-0000-0000-0000020C0000}"/>
    <cellStyle name="20% - Accent2 5 2 7 2" xfId="2474" xr:uid="{00000000-0005-0000-0000-0000030C0000}"/>
    <cellStyle name="20% - Accent2 5 2 7 2 2" xfId="2475" xr:uid="{00000000-0005-0000-0000-0000040C0000}"/>
    <cellStyle name="20% - Accent2 5 2 7 3" xfId="2476" xr:uid="{00000000-0005-0000-0000-0000050C0000}"/>
    <cellStyle name="20% - Accent2 5 2 7 4" xfId="2477" xr:uid="{00000000-0005-0000-0000-0000060C0000}"/>
    <cellStyle name="20% - Accent2 5 2 8" xfId="2478" xr:uid="{00000000-0005-0000-0000-0000070C0000}"/>
    <cellStyle name="20% - Accent2 5 2 8 2" xfId="2479" xr:uid="{00000000-0005-0000-0000-0000080C0000}"/>
    <cellStyle name="20% - Accent2 5 2 8 2 2" xfId="2480" xr:uid="{00000000-0005-0000-0000-0000090C0000}"/>
    <cellStyle name="20% - Accent2 5 2 8 3" xfId="2481" xr:uid="{00000000-0005-0000-0000-00000A0C0000}"/>
    <cellStyle name="20% - Accent2 5 2 8 4" xfId="2482" xr:uid="{00000000-0005-0000-0000-00000B0C0000}"/>
    <cellStyle name="20% - Accent2 5 2 9" xfId="2483" xr:uid="{00000000-0005-0000-0000-00000C0C0000}"/>
    <cellStyle name="20% - Accent2 5 2 9 2" xfId="2484" xr:uid="{00000000-0005-0000-0000-00000D0C0000}"/>
    <cellStyle name="20% - Accent2 5 3" xfId="2485" xr:uid="{00000000-0005-0000-0000-00000E0C0000}"/>
    <cellStyle name="20% - Accent2 5 3 10" xfId="2486" xr:uid="{00000000-0005-0000-0000-00000F0C0000}"/>
    <cellStyle name="20% - Accent2 5 3 11" xfId="34529" xr:uid="{00000000-0005-0000-0000-0000100C0000}"/>
    <cellStyle name="20% - Accent2 5 3 2" xfId="2487" xr:uid="{00000000-0005-0000-0000-0000110C0000}"/>
    <cellStyle name="20% - Accent2 5 3 2 10" xfId="34530" xr:uid="{00000000-0005-0000-0000-0000120C0000}"/>
    <cellStyle name="20% - Accent2 5 3 2 2" xfId="2488" xr:uid="{00000000-0005-0000-0000-0000130C0000}"/>
    <cellStyle name="20% - Accent2 5 3 2 2 2" xfId="2489" xr:uid="{00000000-0005-0000-0000-0000140C0000}"/>
    <cellStyle name="20% - Accent2 5 3 2 2 2 2" xfId="2490" xr:uid="{00000000-0005-0000-0000-0000150C0000}"/>
    <cellStyle name="20% - Accent2 5 3 2 2 2 2 2" xfId="2491" xr:uid="{00000000-0005-0000-0000-0000160C0000}"/>
    <cellStyle name="20% - Accent2 5 3 2 2 2 3" xfId="2492" xr:uid="{00000000-0005-0000-0000-0000170C0000}"/>
    <cellStyle name="20% - Accent2 5 3 2 2 2 4" xfId="2493" xr:uid="{00000000-0005-0000-0000-0000180C0000}"/>
    <cellStyle name="20% - Accent2 5 3 2 2 2 5" xfId="37093" xr:uid="{00000000-0005-0000-0000-0000190C0000}"/>
    <cellStyle name="20% - Accent2 5 3 2 2 3" xfId="2494" xr:uid="{00000000-0005-0000-0000-00001A0C0000}"/>
    <cellStyle name="20% - Accent2 5 3 2 2 3 2" xfId="2495" xr:uid="{00000000-0005-0000-0000-00001B0C0000}"/>
    <cellStyle name="20% - Accent2 5 3 2 2 4" xfId="2496" xr:uid="{00000000-0005-0000-0000-00001C0C0000}"/>
    <cellStyle name="20% - Accent2 5 3 2 2 5" xfId="2497" xr:uid="{00000000-0005-0000-0000-00001D0C0000}"/>
    <cellStyle name="20% - Accent2 5 3 2 2 6" xfId="37092" xr:uid="{00000000-0005-0000-0000-00001E0C0000}"/>
    <cellStyle name="20% - Accent2 5 3 2 3" xfId="2498" xr:uid="{00000000-0005-0000-0000-00001F0C0000}"/>
    <cellStyle name="20% - Accent2 5 3 2 3 2" xfId="2499" xr:uid="{00000000-0005-0000-0000-0000200C0000}"/>
    <cellStyle name="20% - Accent2 5 3 2 3 2 2" xfId="2500" xr:uid="{00000000-0005-0000-0000-0000210C0000}"/>
    <cellStyle name="20% - Accent2 5 3 2 3 2 2 2" xfId="2501" xr:uid="{00000000-0005-0000-0000-0000220C0000}"/>
    <cellStyle name="20% - Accent2 5 3 2 3 2 3" xfId="2502" xr:uid="{00000000-0005-0000-0000-0000230C0000}"/>
    <cellStyle name="20% - Accent2 5 3 2 3 2 4" xfId="2503" xr:uid="{00000000-0005-0000-0000-0000240C0000}"/>
    <cellStyle name="20% - Accent2 5 3 2 3 2 5" xfId="37095" xr:uid="{00000000-0005-0000-0000-0000250C0000}"/>
    <cellStyle name="20% - Accent2 5 3 2 3 3" xfId="2504" xr:uid="{00000000-0005-0000-0000-0000260C0000}"/>
    <cellStyle name="20% - Accent2 5 3 2 3 3 2" xfId="2505" xr:uid="{00000000-0005-0000-0000-0000270C0000}"/>
    <cellStyle name="20% - Accent2 5 3 2 3 4" xfId="2506" xr:uid="{00000000-0005-0000-0000-0000280C0000}"/>
    <cellStyle name="20% - Accent2 5 3 2 3 5" xfId="2507" xr:uid="{00000000-0005-0000-0000-0000290C0000}"/>
    <cellStyle name="20% - Accent2 5 3 2 3 6" xfId="37094" xr:uid="{00000000-0005-0000-0000-00002A0C0000}"/>
    <cellStyle name="20% - Accent2 5 3 2 4" xfId="2508" xr:uid="{00000000-0005-0000-0000-00002B0C0000}"/>
    <cellStyle name="20% - Accent2 5 3 2 4 2" xfId="2509" xr:uid="{00000000-0005-0000-0000-00002C0C0000}"/>
    <cellStyle name="20% - Accent2 5 3 2 4 2 2" xfId="2510" xr:uid="{00000000-0005-0000-0000-00002D0C0000}"/>
    <cellStyle name="20% - Accent2 5 3 2 4 3" xfId="2511" xr:uid="{00000000-0005-0000-0000-00002E0C0000}"/>
    <cellStyle name="20% - Accent2 5 3 2 4 4" xfId="2512" xr:uid="{00000000-0005-0000-0000-00002F0C0000}"/>
    <cellStyle name="20% - Accent2 5 3 2 4 5" xfId="37096" xr:uid="{00000000-0005-0000-0000-0000300C0000}"/>
    <cellStyle name="20% - Accent2 5 3 2 5" xfId="2513" xr:uid="{00000000-0005-0000-0000-0000310C0000}"/>
    <cellStyle name="20% - Accent2 5 3 2 5 2" xfId="2514" xr:uid="{00000000-0005-0000-0000-0000320C0000}"/>
    <cellStyle name="20% - Accent2 5 3 2 5 2 2" xfId="2515" xr:uid="{00000000-0005-0000-0000-0000330C0000}"/>
    <cellStyle name="20% - Accent2 5 3 2 5 3" xfId="2516" xr:uid="{00000000-0005-0000-0000-0000340C0000}"/>
    <cellStyle name="20% - Accent2 5 3 2 5 4" xfId="2517" xr:uid="{00000000-0005-0000-0000-0000350C0000}"/>
    <cellStyle name="20% - Accent2 5 3 2 6" xfId="2518" xr:uid="{00000000-0005-0000-0000-0000360C0000}"/>
    <cellStyle name="20% - Accent2 5 3 2 6 2" xfId="2519" xr:uid="{00000000-0005-0000-0000-0000370C0000}"/>
    <cellStyle name="20% - Accent2 5 3 2 6 2 2" xfId="2520" xr:uid="{00000000-0005-0000-0000-0000380C0000}"/>
    <cellStyle name="20% - Accent2 5 3 2 6 3" xfId="2521" xr:uid="{00000000-0005-0000-0000-0000390C0000}"/>
    <cellStyle name="20% - Accent2 5 3 2 6 4" xfId="2522" xr:uid="{00000000-0005-0000-0000-00003A0C0000}"/>
    <cellStyle name="20% - Accent2 5 3 2 7" xfId="2523" xr:uid="{00000000-0005-0000-0000-00003B0C0000}"/>
    <cellStyle name="20% - Accent2 5 3 2 7 2" xfId="2524" xr:uid="{00000000-0005-0000-0000-00003C0C0000}"/>
    <cellStyle name="20% - Accent2 5 3 2 8" xfId="2525" xr:uid="{00000000-0005-0000-0000-00003D0C0000}"/>
    <cellStyle name="20% - Accent2 5 3 2 9" xfId="2526" xr:uid="{00000000-0005-0000-0000-00003E0C0000}"/>
    <cellStyle name="20% - Accent2 5 3 3" xfId="2527" xr:uid="{00000000-0005-0000-0000-00003F0C0000}"/>
    <cellStyle name="20% - Accent2 5 3 3 2" xfId="2528" xr:uid="{00000000-0005-0000-0000-0000400C0000}"/>
    <cellStyle name="20% - Accent2 5 3 3 2 2" xfId="2529" xr:uid="{00000000-0005-0000-0000-0000410C0000}"/>
    <cellStyle name="20% - Accent2 5 3 3 2 2 2" xfId="2530" xr:uid="{00000000-0005-0000-0000-0000420C0000}"/>
    <cellStyle name="20% - Accent2 5 3 3 2 3" xfId="2531" xr:uid="{00000000-0005-0000-0000-0000430C0000}"/>
    <cellStyle name="20% - Accent2 5 3 3 2 4" xfId="2532" xr:uid="{00000000-0005-0000-0000-0000440C0000}"/>
    <cellStyle name="20% - Accent2 5 3 3 2 5" xfId="37098" xr:uid="{00000000-0005-0000-0000-0000450C0000}"/>
    <cellStyle name="20% - Accent2 5 3 3 3" xfId="2533" xr:uid="{00000000-0005-0000-0000-0000460C0000}"/>
    <cellStyle name="20% - Accent2 5 3 3 3 2" xfId="2534" xr:uid="{00000000-0005-0000-0000-0000470C0000}"/>
    <cellStyle name="20% - Accent2 5 3 3 4" xfId="2535" xr:uid="{00000000-0005-0000-0000-0000480C0000}"/>
    <cellStyle name="20% - Accent2 5 3 3 5" xfId="2536" xr:uid="{00000000-0005-0000-0000-0000490C0000}"/>
    <cellStyle name="20% - Accent2 5 3 3 6" xfId="37097" xr:uid="{00000000-0005-0000-0000-00004A0C0000}"/>
    <cellStyle name="20% - Accent2 5 3 4" xfId="2537" xr:uid="{00000000-0005-0000-0000-00004B0C0000}"/>
    <cellStyle name="20% - Accent2 5 3 4 2" xfId="2538" xr:uid="{00000000-0005-0000-0000-00004C0C0000}"/>
    <cellStyle name="20% - Accent2 5 3 4 2 2" xfId="2539" xr:uid="{00000000-0005-0000-0000-00004D0C0000}"/>
    <cellStyle name="20% - Accent2 5 3 4 2 2 2" xfId="2540" xr:uid="{00000000-0005-0000-0000-00004E0C0000}"/>
    <cellStyle name="20% - Accent2 5 3 4 2 3" xfId="2541" xr:uid="{00000000-0005-0000-0000-00004F0C0000}"/>
    <cellStyle name="20% - Accent2 5 3 4 2 4" xfId="2542" xr:uid="{00000000-0005-0000-0000-0000500C0000}"/>
    <cellStyle name="20% - Accent2 5 3 4 2 5" xfId="37100" xr:uid="{00000000-0005-0000-0000-0000510C0000}"/>
    <cellStyle name="20% - Accent2 5 3 4 3" xfId="2543" xr:uid="{00000000-0005-0000-0000-0000520C0000}"/>
    <cellStyle name="20% - Accent2 5 3 4 3 2" xfId="2544" xr:uid="{00000000-0005-0000-0000-0000530C0000}"/>
    <cellStyle name="20% - Accent2 5 3 4 4" xfId="2545" xr:uid="{00000000-0005-0000-0000-0000540C0000}"/>
    <cellStyle name="20% - Accent2 5 3 4 5" xfId="2546" xr:uid="{00000000-0005-0000-0000-0000550C0000}"/>
    <cellStyle name="20% - Accent2 5 3 4 6" xfId="37099" xr:uid="{00000000-0005-0000-0000-0000560C0000}"/>
    <cellStyle name="20% - Accent2 5 3 5" xfId="2547" xr:uid="{00000000-0005-0000-0000-0000570C0000}"/>
    <cellStyle name="20% - Accent2 5 3 5 2" xfId="2548" xr:uid="{00000000-0005-0000-0000-0000580C0000}"/>
    <cellStyle name="20% - Accent2 5 3 5 2 2" xfId="2549" xr:uid="{00000000-0005-0000-0000-0000590C0000}"/>
    <cellStyle name="20% - Accent2 5 3 5 3" xfId="2550" xr:uid="{00000000-0005-0000-0000-00005A0C0000}"/>
    <cellStyle name="20% - Accent2 5 3 5 4" xfId="2551" xr:uid="{00000000-0005-0000-0000-00005B0C0000}"/>
    <cellStyle name="20% - Accent2 5 3 5 5" xfId="37101" xr:uid="{00000000-0005-0000-0000-00005C0C0000}"/>
    <cellStyle name="20% - Accent2 5 3 6" xfId="2552" xr:uid="{00000000-0005-0000-0000-00005D0C0000}"/>
    <cellStyle name="20% - Accent2 5 3 6 2" xfId="2553" xr:uid="{00000000-0005-0000-0000-00005E0C0000}"/>
    <cellStyle name="20% - Accent2 5 3 6 2 2" xfId="2554" xr:uid="{00000000-0005-0000-0000-00005F0C0000}"/>
    <cellStyle name="20% - Accent2 5 3 6 3" xfId="2555" xr:uid="{00000000-0005-0000-0000-0000600C0000}"/>
    <cellStyle name="20% - Accent2 5 3 6 4" xfId="2556" xr:uid="{00000000-0005-0000-0000-0000610C0000}"/>
    <cellStyle name="20% - Accent2 5 3 7" xfId="2557" xr:uid="{00000000-0005-0000-0000-0000620C0000}"/>
    <cellStyle name="20% - Accent2 5 3 7 2" xfId="2558" xr:uid="{00000000-0005-0000-0000-0000630C0000}"/>
    <cellStyle name="20% - Accent2 5 3 7 2 2" xfId="2559" xr:uid="{00000000-0005-0000-0000-0000640C0000}"/>
    <cellStyle name="20% - Accent2 5 3 7 3" xfId="2560" xr:uid="{00000000-0005-0000-0000-0000650C0000}"/>
    <cellStyle name="20% - Accent2 5 3 7 4" xfId="2561" xr:uid="{00000000-0005-0000-0000-0000660C0000}"/>
    <cellStyle name="20% - Accent2 5 3 8" xfId="2562" xr:uid="{00000000-0005-0000-0000-0000670C0000}"/>
    <cellStyle name="20% - Accent2 5 3 8 2" xfId="2563" xr:uid="{00000000-0005-0000-0000-0000680C0000}"/>
    <cellStyle name="20% - Accent2 5 3 9" xfId="2564" xr:uid="{00000000-0005-0000-0000-0000690C0000}"/>
    <cellStyle name="20% - Accent2 5 4" xfId="2565" xr:uid="{00000000-0005-0000-0000-00006A0C0000}"/>
    <cellStyle name="20% - Accent2 5 4 10" xfId="34531" xr:uid="{00000000-0005-0000-0000-00006B0C0000}"/>
    <cellStyle name="20% - Accent2 5 4 2" xfId="2566" xr:uid="{00000000-0005-0000-0000-00006C0C0000}"/>
    <cellStyle name="20% - Accent2 5 4 2 2" xfId="2567" xr:uid="{00000000-0005-0000-0000-00006D0C0000}"/>
    <cellStyle name="20% - Accent2 5 4 2 2 2" xfId="2568" xr:uid="{00000000-0005-0000-0000-00006E0C0000}"/>
    <cellStyle name="20% - Accent2 5 4 2 2 2 2" xfId="2569" xr:uid="{00000000-0005-0000-0000-00006F0C0000}"/>
    <cellStyle name="20% - Accent2 5 4 2 2 3" xfId="2570" xr:uid="{00000000-0005-0000-0000-0000700C0000}"/>
    <cellStyle name="20% - Accent2 5 4 2 2 4" xfId="2571" xr:uid="{00000000-0005-0000-0000-0000710C0000}"/>
    <cellStyle name="20% - Accent2 5 4 2 2 5" xfId="37103" xr:uid="{00000000-0005-0000-0000-0000720C0000}"/>
    <cellStyle name="20% - Accent2 5 4 2 3" xfId="2572" xr:uid="{00000000-0005-0000-0000-0000730C0000}"/>
    <cellStyle name="20% - Accent2 5 4 2 3 2" xfId="2573" xr:uid="{00000000-0005-0000-0000-0000740C0000}"/>
    <cellStyle name="20% - Accent2 5 4 2 4" xfId="2574" xr:uid="{00000000-0005-0000-0000-0000750C0000}"/>
    <cellStyle name="20% - Accent2 5 4 2 5" xfId="2575" xr:uid="{00000000-0005-0000-0000-0000760C0000}"/>
    <cellStyle name="20% - Accent2 5 4 2 6" xfId="37102" xr:uid="{00000000-0005-0000-0000-0000770C0000}"/>
    <cellStyle name="20% - Accent2 5 4 3" xfId="2576" xr:uid="{00000000-0005-0000-0000-0000780C0000}"/>
    <cellStyle name="20% - Accent2 5 4 3 2" xfId="2577" xr:uid="{00000000-0005-0000-0000-0000790C0000}"/>
    <cellStyle name="20% - Accent2 5 4 3 2 2" xfId="2578" xr:uid="{00000000-0005-0000-0000-00007A0C0000}"/>
    <cellStyle name="20% - Accent2 5 4 3 2 2 2" xfId="2579" xr:uid="{00000000-0005-0000-0000-00007B0C0000}"/>
    <cellStyle name="20% - Accent2 5 4 3 2 3" xfId="2580" xr:uid="{00000000-0005-0000-0000-00007C0C0000}"/>
    <cellStyle name="20% - Accent2 5 4 3 2 4" xfId="2581" xr:uid="{00000000-0005-0000-0000-00007D0C0000}"/>
    <cellStyle name="20% - Accent2 5 4 3 2 5" xfId="37105" xr:uid="{00000000-0005-0000-0000-00007E0C0000}"/>
    <cellStyle name="20% - Accent2 5 4 3 3" xfId="2582" xr:uid="{00000000-0005-0000-0000-00007F0C0000}"/>
    <cellStyle name="20% - Accent2 5 4 3 3 2" xfId="2583" xr:uid="{00000000-0005-0000-0000-0000800C0000}"/>
    <cellStyle name="20% - Accent2 5 4 3 4" xfId="2584" xr:uid="{00000000-0005-0000-0000-0000810C0000}"/>
    <cellStyle name="20% - Accent2 5 4 3 5" xfId="2585" xr:uid="{00000000-0005-0000-0000-0000820C0000}"/>
    <cellStyle name="20% - Accent2 5 4 3 6" xfId="37104" xr:uid="{00000000-0005-0000-0000-0000830C0000}"/>
    <cellStyle name="20% - Accent2 5 4 4" xfId="2586" xr:uid="{00000000-0005-0000-0000-0000840C0000}"/>
    <cellStyle name="20% - Accent2 5 4 4 2" xfId="2587" xr:uid="{00000000-0005-0000-0000-0000850C0000}"/>
    <cellStyle name="20% - Accent2 5 4 4 2 2" xfId="2588" xr:uid="{00000000-0005-0000-0000-0000860C0000}"/>
    <cellStyle name="20% - Accent2 5 4 4 3" xfId="2589" xr:uid="{00000000-0005-0000-0000-0000870C0000}"/>
    <cellStyle name="20% - Accent2 5 4 4 4" xfId="2590" xr:uid="{00000000-0005-0000-0000-0000880C0000}"/>
    <cellStyle name="20% - Accent2 5 4 4 5" xfId="37106" xr:uid="{00000000-0005-0000-0000-0000890C0000}"/>
    <cellStyle name="20% - Accent2 5 4 5" xfId="2591" xr:uid="{00000000-0005-0000-0000-00008A0C0000}"/>
    <cellStyle name="20% - Accent2 5 4 5 2" xfId="2592" xr:uid="{00000000-0005-0000-0000-00008B0C0000}"/>
    <cellStyle name="20% - Accent2 5 4 5 2 2" xfId="2593" xr:uid="{00000000-0005-0000-0000-00008C0C0000}"/>
    <cellStyle name="20% - Accent2 5 4 5 3" xfId="2594" xr:uid="{00000000-0005-0000-0000-00008D0C0000}"/>
    <cellStyle name="20% - Accent2 5 4 5 4" xfId="2595" xr:uid="{00000000-0005-0000-0000-00008E0C0000}"/>
    <cellStyle name="20% - Accent2 5 4 6" xfId="2596" xr:uid="{00000000-0005-0000-0000-00008F0C0000}"/>
    <cellStyle name="20% - Accent2 5 4 6 2" xfId="2597" xr:uid="{00000000-0005-0000-0000-0000900C0000}"/>
    <cellStyle name="20% - Accent2 5 4 6 2 2" xfId="2598" xr:uid="{00000000-0005-0000-0000-0000910C0000}"/>
    <cellStyle name="20% - Accent2 5 4 6 3" xfId="2599" xr:uid="{00000000-0005-0000-0000-0000920C0000}"/>
    <cellStyle name="20% - Accent2 5 4 6 4" xfId="2600" xr:uid="{00000000-0005-0000-0000-0000930C0000}"/>
    <cellStyle name="20% - Accent2 5 4 7" xfId="2601" xr:uid="{00000000-0005-0000-0000-0000940C0000}"/>
    <cellStyle name="20% - Accent2 5 4 7 2" xfId="2602" xr:uid="{00000000-0005-0000-0000-0000950C0000}"/>
    <cellStyle name="20% - Accent2 5 4 8" xfId="2603" xr:uid="{00000000-0005-0000-0000-0000960C0000}"/>
    <cellStyle name="20% - Accent2 5 4 9" xfId="2604" xr:uid="{00000000-0005-0000-0000-0000970C0000}"/>
    <cellStyle name="20% - Accent2 5 5" xfId="2605" xr:uid="{00000000-0005-0000-0000-0000980C0000}"/>
    <cellStyle name="20% - Accent2 5 5 2" xfId="2606" xr:uid="{00000000-0005-0000-0000-0000990C0000}"/>
    <cellStyle name="20% - Accent2 5 5 2 2" xfId="2607" xr:uid="{00000000-0005-0000-0000-00009A0C0000}"/>
    <cellStyle name="20% - Accent2 5 5 2 2 2" xfId="2608" xr:uid="{00000000-0005-0000-0000-00009B0C0000}"/>
    <cellStyle name="20% - Accent2 5 5 2 3" xfId="2609" xr:uid="{00000000-0005-0000-0000-00009C0C0000}"/>
    <cellStyle name="20% - Accent2 5 5 2 4" xfId="2610" xr:uid="{00000000-0005-0000-0000-00009D0C0000}"/>
    <cellStyle name="20% - Accent2 5 5 2 5" xfId="37108" xr:uid="{00000000-0005-0000-0000-00009E0C0000}"/>
    <cellStyle name="20% - Accent2 5 5 3" xfId="2611" xr:uid="{00000000-0005-0000-0000-00009F0C0000}"/>
    <cellStyle name="20% - Accent2 5 5 3 2" xfId="2612" xr:uid="{00000000-0005-0000-0000-0000A00C0000}"/>
    <cellStyle name="20% - Accent2 5 5 3 2 2" xfId="2613" xr:uid="{00000000-0005-0000-0000-0000A10C0000}"/>
    <cellStyle name="20% - Accent2 5 5 3 3" xfId="2614" xr:uid="{00000000-0005-0000-0000-0000A20C0000}"/>
    <cellStyle name="20% - Accent2 5 5 3 4" xfId="2615" xr:uid="{00000000-0005-0000-0000-0000A30C0000}"/>
    <cellStyle name="20% - Accent2 5 5 3 5" xfId="37109" xr:uid="{00000000-0005-0000-0000-0000A40C0000}"/>
    <cellStyle name="20% - Accent2 5 5 4" xfId="2616" xr:uid="{00000000-0005-0000-0000-0000A50C0000}"/>
    <cellStyle name="20% - Accent2 5 5 4 2" xfId="2617" xr:uid="{00000000-0005-0000-0000-0000A60C0000}"/>
    <cellStyle name="20% - Accent2 5 5 5" xfId="2618" xr:uid="{00000000-0005-0000-0000-0000A70C0000}"/>
    <cellStyle name="20% - Accent2 5 5 6" xfId="2619" xr:uid="{00000000-0005-0000-0000-0000A80C0000}"/>
    <cellStyle name="20% - Accent2 5 5 7" xfId="37107" xr:uid="{00000000-0005-0000-0000-0000A90C0000}"/>
    <cellStyle name="20% - Accent2 5 6" xfId="2620" xr:uid="{00000000-0005-0000-0000-0000AA0C0000}"/>
    <cellStyle name="20% - Accent2 5 6 2" xfId="2621" xr:uid="{00000000-0005-0000-0000-0000AB0C0000}"/>
    <cellStyle name="20% - Accent2 5 6 2 2" xfId="2622" xr:uid="{00000000-0005-0000-0000-0000AC0C0000}"/>
    <cellStyle name="20% - Accent2 5 6 2 2 2" xfId="2623" xr:uid="{00000000-0005-0000-0000-0000AD0C0000}"/>
    <cellStyle name="20% - Accent2 5 6 2 3" xfId="2624" xr:uid="{00000000-0005-0000-0000-0000AE0C0000}"/>
    <cellStyle name="20% - Accent2 5 6 2 4" xfId="2625" xr:uid="{00000000-0005-0000-0000-0000AF0C0000}"/>
    <cellStyle name="20% - Accent2 5 6 2 5" xfId="37111" xr:uid="{00000000-0005-0000-0000-0000B00C0000}"/>
    <cellStyle name="20% - Accent2 5 6 3" xfId="2626" xr:uid="{00000000-0005-0000-0000-0000B10C0000}"/>
    <cellStyle name="20% - Accent2 5 6 3 2" xfId="2627" xr:uid="{00000000-0005-0000-0000-0000B20C0000}"/>
    <cellStyle name="20% - Accent2 5 6 4" xfId="2628" xr:uid="{00000000-0005-0000-0000-0000B30C0000}"/>
    <cellStyle name="20% - Accent2 5 6 5" xfId="2629" xr:uid="{00000000-0005-0000-0000-0000B40C0000}"/>
    <cellStyle name="20% - Accent2 5 6 6" xfId="37110" xr:uid="{00000000-0005-0000-0000-0000B50C0000}"/>
    <cellStyle name="20% - Accent2 5 7" xfId="2630" xr:uid="{00000000-0005-0000-0000-0000B60C0000}"/>
    <cellStyle name="20% - Accent2 5 7 2" xfId="2631" xr:uid="{00000000-0005-0000-0000-0000B70C0000}"/>
    <cellStyle name="20% - Accent2 5 7 2 2" xfId="2632" xr:uid="{00000000-0005-0000-0000-0000B80C0000}"/>
    <cellStyle name="20% - Accent2 5 7 3" xfId="2633" xr:uid="{00000000-0005-0000-0000-0000B90C0000}"/>
    <cellStyle name="20% - Accent2 5 7 4" xfId="2634" xr:uid="{00000000-0005-0000-0000-0000BA0C0000}"/>
    <cellStyle name="20% - Accent2 5 7 5" xfId="37112" xr:uid="{00000000-0005-0000-0000-0000BB0C0000}"/>
    <cellStyle name="20% - Accent2 5 8" xfId="2635" xr:uid="{00000000-0005-0000-0000-0000BC0C0000}"/>
    <cellStyle name="20% - Accent2 5 8 2" xfId="2636" xr:uid="{00000000-0005-0000-0000-0000BD0C0000}"/>
    <cellStyle name="20% - Accent2 5 8 2 2" xfId="2637" xr:uid="{00000000-0005-0000-0000-0000BE0C0000}"/>
    <cellStyle name="20% - Accent2 5 8 3" xfId="2638" xr:uid="{00000000-0005-0000-0000-0000BF0C0000}"/>
    <cellStyle name="20% - Accent2 5 8 4" xfId="2639" xr:uid="{00000000-0005-0000-0000-0000C00C0000}"/>
    <cellStyle name="20% - Accent2 5 9" xfId="2640" xr:uid="{00000000-0005-0000-0000-0000C10C0000}"/>
    <cellStyle name="20% - Accent2 5 9 2" xfId="2641" xr:uid="{00000000-0005-0000-0000-0000C20C0000}"/>
    <cellStyle name="20% - Accent2 5 9 2 2" xfId="2642" xr:uid="{00000000-0005-0000-0000-0000C30C0000}"/>
    <cellStyle name="20% - Accent2 5 9 3" xfId="2643" xr:uid="{00000000-0005-0000-0000-0000C40C0000}"/>
    <cellStyle name="20% - Accent2 5 9 4" xfId="2644" xr:uid="{00000000-0005-0000-0000-0000C50C0000}"/>
    <cellStyle name="20% - Accent2 6" xfId="2645" xr:uid="{00000000-0005-0000-0000-0000C60C0000}"/>
    <cellStyle name="20% - Accent2 7" xfId="2646" xr:uid="{00000000-0005-0000-0000-0000C70C0000}"/>
    <cellStyle name="20% - Accent2 8" xfId="2647" xr:uid="{00000000-0005-0000-0000-0000C80C0000}"/>
    <cellStyle name="20% - Accent2 9" xfId="2648" xr:uid="{00000000-0005-0000-0000-0000C90C0000}"/>
    <cellStyle name="20% - Accent2 9 2" xfId="2649" xr:uid="{00000000-0005-0000-0000-0000CA0C0000}"/>
    <cellStyle name="20% - Accent2 9 2 2" xfId="2650" xr:uid="{00000000-0005-0000-0000-0000CB0C0000}"/>
    <cellStyle name="20% - Accent2 9 3" xfId="2651" xr:uid="{00000000-0005-0000-0000-0000CC0C0000}"/>
    <cellStyle name="20% - Accent2 9 4" xfId="2652" xr:uid="{00000000-0005-0000-0000-0000CD0C0000}"/>
    <cellStyle name="20% - Accent2 9 5" xfId="37113" xr:uid="{00000000-0005-0000-0000-0000CE0C0000}"/>
    <cellStyle name="20% - Accent3 2" xfId="2653" xr:uid="{00000000-0005-0000-0000-0000CF0C0000}"/>
    <cellStyle name="20% - Accent3 2 10" xfId="2654" xr:uid="{00000000-0005-0000-0000-0000D00C0000}"/>
    <cellStyle name="20% - Accent3 2 10 2" xfId="2655" xr:uid="{00000000-0005-0000-0000-0000D10C0000}"/>
    <cellStyle name="20% - Accent3 2 10 2 2" xfId="2656" xr:uid="{00000000-0005-0000-0000-0000D20C0000}"/>
    <cellStyle name="20% - Accent3 2 10 3" xfId="2657" xr:uid="{00000000-0005-0000-0000-0000D30C0000}"/>
    <cellStyle name="20% - Accent3 2 10 4" xfId="2658" xr:uid="{00000000-0005-0000-0000-0000D40C0000}"/>
    <cellStyle name="20% - Accent3 2 10 5" xfId="37114" xr:uid="{00000000-0005-0000-0000-0000D50C0000}"/>
    <cellStyle name="20% - Accent3 2 11" xfId="2659" xr:uid="{00000000-0005-0000-0000-0000D60C0000}"/>
    <cellStyle name="20% - Accent3 2 11 2" xfId="2660" xr:uid="{00000000-0005-0000-0000-0000D70C0000}"/>
    <cellStyle name="20% - Accent3 2 12" xfId="2661" xr:uid="{00000000-0005-0000-0000-0000D80C0000}"/>
    <cellStyle name="20% - Accent3 2 13" xfId="2662" xr:uid="{00000000-0005-0000-0000-0000D90C0000}"/>
    <cellStyle name="20% - Accent3 2 2" xfId="2663" xr:uid="{00000000-0005-0000-0000-0000DA0C0000}"/>
    <cellStyle name="20% - Accent3 2 2 2" xfId="2664" xr:uid="{00000000-0005-0000-0000-0000DB0C0000}"/>
    <cellStyle name="20% - Accent3 2 2 3" xfId="2665" xr:uid="{00000000-0005-0000-0000-0000DC0C0000}"/>
    <cellStyle name="20% - Accent3 2 2 3 2" xfId="37116" xr:uid="{00000000-0005-0000-0000-0000DD0C0000}"/>
    <cellStyle name="20% - Accent3 2 2 3 3" xfId="37115" xr:uid="{00000000-0005-0000-0000-0000DE0C0000}"/>
    <cellStyle name="20% - Accent3 2 2 4" xfId="2666" xr:uid="{00000000-0005-0000-0000-0000DF0C0000}"/>
    <cellStyle name="20% - Accent3 2 3" xfId="2667" xr:uid="{00000000-0005-0000-0000-0000E00C0000}"/>
    <cellStyle name="20% - Accent3 2 3 10" xfId="2668" xr:uid="{00000000-0005-0000-0000-0000E10C0000}"/>
    <cellStyle name="20% - Accent3 2 3 11" xfId="2669" xr:uid="{00000000-0005-0000-0000-0000E20C0000}"/>
    <cellStyle name="20% - Accent3 2 3 12" xfId="34532" xr:uid="{00000000-0005-0000-0000-0000E30C0000}"/>
    <cellStyle name="20% - Accent3 2 3 2" xfId="2670" xr:uid="{00000000-0005-0000-0000-0000E40C0000}"/>
    <cellStyle name="20% - Accent3 2 3 2 10" xfId="2671" xr:uid="{00000000-0005-0000-0000-0000E50C0000}"/>
    <cellStyle name="20% - Accent3 2 3 2 11" xfId="34533" xr:uid="{00000000-0005-0000-0000-0000E60C0000}"/>
    <cellStyle name="20% - Accent3 2 3 2 2" xfId="2672" xr:uid="{00000000-0005-0000-0000-0000E70C0000}"/>
    <cellStyle name="20% - Accent3 2 3 2 2 10" xfId="34534" xr:uid="{00000000-0005-0000-0000-0000E80C0000}"/>
    <cellStyle name="20% - Accent3 2 3 2 2 2" xfId="2673" xr:uid="{00000000-0005-0000-0000-0000E90C0000}"/>
    <cellStyle name="20% - Accent3 2 3 2 2 2 2" xfId="2674" xr:uid="{00000000-0005-0000-0000-0000EA0C0000}"/>
    <cellStyle name="20% - Accent3 2 3 2 2 2 2 2" xfId="2675" xr:uid="{00000000-0005-0000-0000-0000EB0C0000}"/>
    <cellStyle name="20% - Accent3 2 3 2 2 2 2 2 2" xfId="2676" xr:uid="{00000000-0005-0000-0000-0000EC0C0000}"/>
    <cellStyle name="20% - Accent3 2 3 2 2 2 2 3" xfId="2677" xr:uid="{00000000-0005-0000-0000-0000ED0C0000}"/>
    <cellStyle name="20% - Accent3 2 3 2 2 2 2 4" xfId="2678" xr:uid="{00000000-0005-0000-0000-0000EE0C0000}"/>
    <cellStyle name="20% - Accent3 2 3 2 2 2 2 5" xfId="37118" xr:uid="{00000000-0005-0000-0000-0000EF0C0000}"/>
    <cellStyle name="20% - Accent3 2 3 2 2 2 3" xfId="2679" xr:uid="{00000000-0005-0000-0000-0000F00C0000}"/>
    <cellStyle name="20% - Accent3 2 3 2 2 2 3 2" xfId="2680" xr:uid="{00000000-0005-0000-0000-0000F10C0000}"/>
    <cellStyle name="20% - Accent3 2 3 2 2 2 4" xfId="2681" xr:uid="{00000000-0005-0000-0000-0000F20C0000}"/>
    <cellStyle name="20% - Accent3 2 3 2 2 2 5" xfId="2682" xr:uid="{00000000-0005-0000-0000-0000F30C0000}"/>
    <cellStyle name="20% - Accent3 2 3 2 2 2 6" xfId="37117" xr:uid="{00000000-0005-0000-0000-0000F40C0000}"/>
    <cellStyle name="20% - Accent3 2 3 2 2 3" xfId="2683" xr:uid="{00000000-0005-0000-0000-0000F50C0000}"/>
    <cellStyle name="20% - Accent3 2 3 2 2 3 2" xfId="2684" xr:uid="{00000000-0005-0000-0000-0000F60C0000}"/>
    <cellStyle name="20% - Accent3 2 3 2 2 3 2 2" xfId="2685" xr:uid="{00000000-0005-0000-0000-0000F70C0000}"/>
    <cellStyle name="20% - Accent3 2 3 2 2 3 2 2 2" xfId="2686" xr:uid="{00000000-0005-0000-0000-0000F80C0000}"/>
    <cellStyle name="20% - Accent3 2 3 2 2 3 2 3" xfId="2687" xr:uid="{00000000-0005-0000-0000-0000F90C0000}"/>
    <cellStyle name="20% - Accent3 2 3 2 2 3 2 4" xfId="2688" xr:uid="{00000000-0005-0000-0000-0000FA0C0000}"/>
    <cellStyle name="20% - Accent3 2 3 2 2 3 2 5" xfId="37120" xr:uid="{00000000-0005-0000-0000-0000FB0C0000}"/>
    <cellStyle name="20% - Accent3 2 3 2 2 3 3" xfId="2689" xr:uid="{00000000-0005-0000-0000-0000FC0C0000}"/>
    <cellStyle name="20% - Accent3 2 3 2 2 3 3 2" xfId="2690" xr:uid="{00000000-0005-0000-0000-0000FD0C0000}"/>
    <cellStyle name="20% - Accent3 2 3 2 2 3 4" xfId="2691" xr:uid="{00000000-0005-0000-0000-0000FE0C0000}"/>
    <cellStyle name="20% - Accent3 2 3 2 2 3 5" xfId="2692" xr:uid="{00000000-0005-0000-0000-0000FF0C0000}"/>
    <cellStyle name="20% - Accent3 2 3 2 2 3 6" xfId="37119" xr:uid="{00000000-0005-0000-0000-0000000D0000}"/>
    <cellStyle name="20% - Accent3 2 3 2 2 4" xfId="2693" xr:uid="{00000000-0005-0000-0000-0000010D0000}"/>
    <cellStyle name="20% - Accent3 2 3 2 2 4 2" xfId="2694" xr:uid="{00000000-0005-0000-0000-0000020D0000}"/>
    <cellStyle name="20% - Accent3 2 3 2 2 4 2 2" xfId="2695" xr:uid="{00000000-0005-0000-0000-0000030D0000}"/>
    <cellStyle name="20% - Accent3 2 3 2 2 4 3" xfId="2696" xr:uid="{00000000-0005-0000-0000-0000040D0000}"/>
    <cellStyle name="20% - Accent3 2 3 2 2 4 4" xfId="2697" xr:uid="{00000000-0005-0000-0000-0000050D0000}"/>
    <cellStyle name="20% - Accent3 2 3 2 2 4 5" xfId="37121" xr:uid="{00000000-0005-0000-0000-0000060D0000}"/>
    <cellStyle name="20% - Accent3 2 3 2 2 5" xfId="2698" xr:uid="{00000000-0005-0000-0000-0000070D0000}"/>
    <cellStyle name="20% - Accent3 2 3 2 2 5 2" xfId="2699" xr:uid="{00000000-0005-0000-0000-0000080D0000}"/>
    <cellStyle name="20% - Accent3 2 3 2 2 5 2 2" xfId="2700" xr:uid="{00000000-0005-0000-0000-0000090D0000}"/>
    <cellStyle name="20% - Accent3 2 3 2 2 5 3" xfId="2701" xr:uid="{00000000-0005-0000-0000-00000A0D0000}"/>
    <cellStyle name="20% - Accent3 2 3 2 2 5 4" xfId="2702" xr:uid="{00000000-0005-0000-0000-00000B0D0000}"/>
    <cellStyle name="20% - Accent3 2 3 2 2 6" xfId="2703" xr:uid="{00000000-0005-0000-0000-00000C0D0000}"/>
    <cellStyle name="20% - Accent3 2 3 2 2 6 2" xfId="2704" xr:uid="{00000000-0005-0000-0000-00000D0D0000}"/>
    <cellStyle name="20% - Accent3 2 3 2 2 6 2 2" xfId="2705" xr:uid="{00000000-0005-0000-0000-00000E0D0000}"/>
    <cellStyle name="20% - Accent3 2 3 2 2 6 3" xfId="2706" xr:uid="{00000000-0005-0000-0000-00000F0D0000}"/>
    <cellStyle name="20% - Accent3 2 3 2 2 6 4" xfId="2707" xr:uid="{00000000-0005-0000-0000-0000100D0000}"/>
    <cellStyle name="20% - Accent3 2 3 2 2 7" xfId="2708" xr:uid="{00000000-0005-0000-0000-0000110D0000}"/>
    <cellStyle name="20% - Accent3 2 3 2 2 7 2" xfId="2709" xr:uid="{00000000-0005-0000-0000-0000120D0000}"/>
    <cellStyle name="20% - Accent3 2 3 2 2 8" xfId="2710" xr:uid="{00000000-0005-0000-0000-0000130D0000}"/>
    <cellStyle name="20% - Accent3 2 3 2 2 9" xfId="2711" xr:uid="{00000000-0005-0000-0000-0000140D0000}"/>
    <cellStyle name="20% - Accent3 2 3 2 3" xfId="2712" xr:uid="{00000000-0005-0000-0000-0000150D0000}"/>
    <cellStyle name="20% - Accent3 2 3 2 3 2" xfId="2713" xr:uid="{00000000-0005-0000-0000-0000160D0000}"/>
    <cellStyle name="20% - Accent3 2 3 2 3 2 2" xfId="2714" xr:uid="{00000000-0005-0000-0000-0000170D0000}"/>
    <cellStyle name="20% - Accent3 2 3 2 3 2 2 2" xfId="2715" xr:uid="{00000000-0005-0000-0000-0000180D0000}"/>
    <cellStyle name="20% - Accent3 2 3 2 3 2 3" xfId="2716" xr:uid="{00000000-0005-0000-0000-0000190D0000}"/>
    <cellStyle name="20% - Accent3 2 3 2 3 2 4" xfId="2717" xr:uid="{00000000-0005-0000-0000-00001A0D0000}"/>
    <cellStyle name="20% - Accent3 2 3 2 3 2 5" xfId="37123" xr:uid="{00000000-0005-0000-0000-00001B0D0000}"/>
    <cellStyle name="20% - Accent3 2 3 2 3 3" xfId="2718" xr:uid="{00000000-0005-0000-0000-00001C0D0000}"/>
    <cellStyle name="20% - Accent3 2 3 2 3 3 2" xfId="2719" xr:uid="{00000000-0005-0000-0000-00001D0D0000}"/>
    <cellStyle name="20% - Accent3 2 3 2 3 4" xfId="2720" xr:uid="{00000000-0005-0000-0000-00001E0D0000}"/>
    <cellStyle name="20% - Accent3 2 3 2 3 5" xfId="2721" xr:uid="{00000000-0005-0000-0000-00001F0D0000}"/>
    <cellStyle name="20% - Accent3 2 3 2 3 6" xfId="37122" xr:uid="{00000000-0005-0000-0000-0000200D0000}"/>
    <cellStyle name="20% - Accent3 2 3 2 4" xfId="2722" xr:uid="{00000000-0005-0000-0000-0000210D0000}"/>
    <cellStyle name="20% - Accent3 2 3 2 4 2" xfId="2723" xr:uid="{00000000-0005-0000-0000-0000220D0000}"/>
    <cellStyle name="20% - Accent3 2 3 2 4 2 2" xfId="2724" xr:uid="{00000000-0005-0000-0000-0000230D0000}"/>
    <cellStyle name="20% - Accent3 2 3 2 4 2 2 2" xfId="2725" xr:uid="{00000000-0005-0000-0000-0000240D0000}"/>
    <cellStyle name="20% - Accent3 2 3 2 4 2 3" xfId="2726" xr:uid="{00000000-0005-0000-0000-0000250D0000}"/>
    <cellStyle name="20% - Accent3 2 3 2 4 2 4" xfId="2727" xr:uid="{00000000-0005-0000-0000-0000260D0000}"/>
    <cellStyle name="20% - Accent3 2 3 2 4 2 5" xfId="37125" xr:uid="{00000000-0005-0000-0000-0000270D0000}"/>
    <cellStyle name="20% - Accent3 2 3 2 4 3" xfId="2728" xr:uid="{00000000-0005-0000-0000-0000280D0000}"/>
    <cellStyle name="20% - Accent3 2 3 2 4 3 2" xfId="2729" xr:uid="{00000000-0005-0000-0000-0000290D0000}"/>
    <cellStyle name="20% - Accent3 2 3 2 4 4" xfId="2730" xr:uid="{00000000-0005-0000-0000-00002A0D0000}"/>
    <cellStyle name="20% - Accent3 2 3 2 4 5" xfId="2731" xr:uid="{00000000-0005-0000-0000-00002B0D0000}"/>
    <cellStyle name="20% - Accent3 2 3 2 4 6" xfId="37124" xr:uid="{00000000-0005-0000-0000-00002C0D0000}"/>
    <cellStyle name="20% - Accent3 2 3 2 5" xfId="2732" xr:uid="{00000000-0005-0000-0000-00002D0D0000}"/>
    <cellStyle name="20% - Accent3 2 3 2 5 2" xfId="2733" xr:uid="{00000000-0005-0000-0000-00002E0D0000}"/>
    <cellStyle name="20% - Accent3 2 3 2 5 2 2" xfId="2734" xr:uid="{00000000-0005-0000-0000-00002F0D0000}"/>
    <cellStyle name="20% - Accent3 2 3 2 5 3" xfId="2735" xr:uid="{00000000-0005-0000-0000-0000300D0000}"/>
    <cellStyle name="20% - Accent3 2 3 2 5 4" xfId="2736" xr:uid="{00000000-0005-0000-0000-0000310D0000}"/>
    <cellStyle name="20% - Accent3 2 3 2 5 5" xfId="37126" xr:uid="{00000000-0005-0000-0000-0000320D0000}"/>
    <cellStyle name="20% - Accent3 2 3 2 6" xfId="2737" xr:uid="{00000000-0005-0000-0000-0000330D0000}"/>
    <cellStyle name="20% - Accent3 2 3 2 6 2" xfId="2738" xr:uid="{00000000-0005-0000-0000-0000340D0000}"/>
    <cellStyle name="20% - Accent3 2 3 2 6 2 2" xfId="2739" xr:uid="{00000000-0005-0000-0000-0000350D0000}"/>
    <cellStyle name="20% - Accent3 2 3 2 6 3" xfId="2740" xr:uid="{00000000-0005-0000-0000-0000360D0000}"/>
    <cellStyle name="20% - Accent3 2 3 2 6 4" xfId="2741" xr:uid="{00000000-0005-0000-0000-0000370D0000}"/>
    <cellStyle name="20% - Accent3 2 3 2 7" xfId="2742" xr:uid="{00000000-0005-0000-0000-0000380D0000}"/>
    <cellStyle name="20% - Accent3 2 3 2 7 2" xfId="2743" xr:uid="{00000000-0005-0000-0000-0000390D0000}"/>
    <cellStyle name="20% - Accent3 2 3 2 7 2 2" xfId="2744" xr:uid="{00000000-0005-0000-0000-00003A0D0000}"/>
    <cellStyle name="20% - Accent3 2 3 2 7 3" xfId="2745" xr:uid="{00000000-0005-0000-0000-00003B0D0000}"/>
    <cellStyle name="20% - Accent3 2 3 2 7 4" xfId="2746" xr:uid="{00000000-0005-0000-0000-00003C0D0000}"/>
    <cellStyle name="20% - Accent3 2 3 2 8" xfId="2747" xr:uid="{00000000-0005-0000-0000-00003D0D0000}"/>
    <cellStyle name="20% - Accent3 2 3 2 8 2" xfId="2748" xr:uid="{00000000-0005-0000-0000-00003E0D0000}"/>
    <cellStyle name="20% - Accent3 2 3 2 9" xfId="2749" xr:uid="{00000000-0005-0000-0000-00003F0D0000}"/>
    <cellStyle name="20% - Accent3 2 3 3" xfId="2750" xr:uid="{00000000-0005-0000-0000-0000400D0000}"/>
    <cellStyle name="20% - Accent3 2 3 3 10" xfId="34535" xr:uid="{00000000-0005-0000-0000-0000410D0000}"/>
    <cellStyle name="20% - Accent3 2 3 3 2" xfId="2751" xr:uid="{00000000-0005-0000-0000-0000420D0000}"/>
    <cellStyle name="20% - Accent3 2 3 3 2 2" xfId="2752" xr:uid="{00000000-0005-0000-0000-0000430D0000}"/>
    <cellStyle name="20% - Accent3 2 3 3 2 2 2" xfId="2753" xr:uid="{00000000-0005-0000-0000-0000440D0000}"/>
    <cellStyle name="20% - Accent3 2 3 3 2 2 2 2" xfId="2754" xr:uid="{00000000-0005-0000-0000-0000450D0000}"/>
    <cellStyle name="20% - Accent3 2 3 3 2 2 3" xfId="2755" xr:uid="{00000000-0005-0000-0000-0000460D0000}"/>
    <cellStyle name="20% - Accent3 2 3 3 2 2 4" xfId="2756" xr:uid="{00000000-0005-0000-0000-0000470D0000}"/>
    <cellStyle name="20% - Accent3 2 3 3 2 2 5" xfId="37128" xr:uid="{00000000-0005-0000-0000-0000480D0000}"/>
    <cellStyle name="20% - Accent3 2 3 3 2 3" xfId="2757" xr:uid="{00000000-0005-0000-0000-0000490D0000}"/>
    <cellStyle name="20% - Accent3 2 3 3 2 3 2" xfId="2758" xr:uid="{00000000-0005-0000-0000-00004A0D0000}"/>
    <cellStyle name="20% - Accent3 2 3 3 2 4" xfId="2759" xr:uid="{00000000-0005-0000-0000-00004B0D0000}"/>
    <cellStyle name="20% - Accent3 2 3 3 2 5" xfId="2760" xr:uid="{00000000-0005-0000-0000-00004C0D0000}"/>
    <cellStyle name="20% - Accent3 2 3 3 2 6" xfId="37127" xr:uid="{00000000-0005-0000-0000-00004D0D0000}"/>
    <cellStyle name="20% - Accent3 2 3 3 3" xfId="2761" xr:uid="{00000000-0005-0000-0000-00004E0D0000}"/>
    <cellStyle name="20% - Accent3 2 3 3 3 2" xfId="2762" xr:uid="{00000000-0005-0000-0000-00004F0D0000}"/>
    <cellStyle name="20% - Accent3 2 3 3 3 2 2" xfId="2763" xr:uid="{00000000-0005-0000-0000-0000500D0000}"/>
    <cellStyle name="20% - Accent3 2 3 3 3 2 2 2" xfId="2764" xr:uid="{00000000-0005-0000-0000-0000510D0000}"/>
    <cellStyle name="20% - Accent3 2 3 3 3 2 3" xfId="2765" xr:uid="{00000000-0005-0000-0000-0000520D0000}"/>
    <cellStyle name="20% - Accent3 2 3 3 3 2 4" xfId="2766" xr:uid="{00000000-0005-0000-0000-0000530D0000}"/>
    <cellStyle name="20% - Accent3 2 3 3 3 2 5" xfId="37130" xr:uid="{00000000-0005-0000-0000-0000540D0000}"/>
    <cellStyle name="20% - Accent3 2 3 3 3 3" xfId="2767" xr:uid="{00000000-0005-0000-0000-0000550D0000}"/>
    <cellStyle name="20% - Accent3 2 3 3 3 3 2" xfId="2768" xr:uid="{00000000-0005-0000-0000-0000560D0000}"/>
    <cellStyle name="20% - Accent3 2 3 3 3 4" xfId="2769" xr:uid="{00000000-0005-0000-0000-0000570D0000}"/>
    <cellStyle name="20% - Accent3 2 3 3 3 5" xfId="2770" xr:uid="{00000000-0005-0000-0000-0000580D0000}"/>
    <cellStyle name="20% - Accent3 2 3 3 3 6" xfId="37129" xr:uid="{00000000-0005-0000-0000-0000590D0000}"/>
    <cellStyle name="20% - Accent3 2 3 3 4" xfId="2771" xr:uid="{00000000-0005-0000-0000-00005A0D0000}"/>
    <cellStyle name="20% - Accent3 2 3 3 4 2" xfId="2772" xr:uid="{00000000-0005-0000-0000-00005B0D0000}"/>
    <cellStyle name="20% - Accent3 2 3 3 4 2 2" xfId="2773" xr:uid="{00000000-0005-0000-0000-00005C0D0000}"/>
    <cellStyle name="20% - Accent3 2 3 3 4 3" xfId="2774" xr:uid="{00000000-0005-0000-0000-00005D0D0000}"/>
    <cellStyle name="20% - Accent3 2 3 3 4 4" xfId="2775" xr:uid="{00000000-0005-0000-0000-00005E0D0000}"/>
    <cellStyle name="20% - Accent3 2 3 3 4 5" xfId="37131" xr:uid="{00000000-0005-0000-0000-00005F0D0000}"/>
    <cellStyle name="20% - Accent3 2 3 3 5" xfId="2776" xr:uid="{00000000-0005-0000-0000-0000600D0000}"/>
    <cellStyle name="20% - Accent3 2 3 3 5 2" xfId="2777" xr:uid="{00000000-0005-0000-0000-0000610D0000}"/>
    <cellStyle name="20% - Accent3 2 3 3 5 2 2" xfId="2778" xr:uid="{00000000-0005-0000-0000-0000620D0000}"/>
    <cellStyle name="20% - Accent3 2 3 3 5 3" xfId="2779" xr:uid="{00000000-0005-0000-0000-0000630D0000}"/>
    <cellStyle name="20% - Accent3 2 3 3 5 4" xfId="2780" xr:uid="{00000000-0005-0000-0000-0000640D0000}"/>
    <cellStyle name="20% - Accent3 2 3 3 6" xfId="2781" xr:uid="{00000000-0005-0000-0000-0000650D0000}"/>
    <cellStyle name="20% - Accent3 2 3 3 6 2" xfId="2782" xr:uid="{00000000-0005-0000-0000-0000660D0000}"/>
    <cellStyle name="20% - Accent3 2 3 3 6 2 2" xfId="2783" xr:uid="{00000000-0005-0000-0000-0000670D0000}"/>
    <cellStyle name="20% - Accent3 2 3 3 6 3" xfId="2784" xr:uid="{00000000-0005-0000-0000-0000680D0000}"/>
    <cellStyle name="20% - Accent3 2 3 3 6 4" xfId="2785" xr:uid="{00000000-0005-0000-0000-0000690D0000}"/>
    <cellStyle name="20% - Accent3 2 3 3 7" xfId="2786" xr:uid="{00000000-0005-0000-0000-00006A0D0000}"/>
    <cellStyle name="20% - Accent3 2 3 3 7 2" xfId="2787" xr:uid="{00000000-0005-0000-0000-00006B0D0000}"/>
    <cellStyle name="20% - Accent3 2 3 3 8" xfId="2788" xr:uid="{00000000-0005-0000-0000-00006C0D0000}"/>
    <cellStyle name="20% - Accent3 2 3 3 9" xfId="2789" xr:uid="{00000000-0005-0000-0000-00006D0D0000}"/>
    <cellStyle name="20% - Accent3 2 3 4" xfId="2790" xr:uid="{00000000-0005-0000-0000-00006E0D0000}"/>
    <cellStyle name="20% - Accent3 2 3 4 2" xfId="2791" xr:uid="{00000000-0005-0000-0000-00006F0D0000}"/>
    <cellStyle name="20% - Accent3 2 3 4 2 2" xfId="2792" xr:uid="{00000000-0005-0000-0000-0000700D0000}"/>
    <cellStyle name="20% - Accent3 2 3 4 2 2 2" xfId="2793" xr:uid="{00000000-0005-0000-0000-0000710D0000}"/>
    <cellStyle name="20% - Accent3 2 3 4 2 3" xfId="2794" xr:uid="{00000000-0005-0000-0000-0000720D0000}"/>
    <cellStyle name="20% - Accent3 2 3 4 2 4" xfId="2795" xr:uid="{00000000-0005-0000-0000-0000730D0000}"/>
    <cellStyle name="20% - Accent3 2 3 4 2 5" xfId="37133" xr:uid="{00000000-0005-0000-0000-0000740D0000}"/>
    <cellStyle name="20% - Accent3 2 3 4 3" xfId="2796" xr:uid="{00000000-0005-0000-0000-0000750D0000}"/>
    <cellStyle name="20% - Accent3 2 3 4 4" xfId="2797" xr:uid="{00000000-0005-0000-0000-0000760D0000}"/>
    <cellStyle name="20% - Accent3 2 3 4 4 2" xfId="2798" xr:uid="{00000000-0005-0000-0000-0000770D0000}"/>
    <cellStyle name="20% - Accent3 2 3 4 5" xfId="2799" xr:uid="{00000000-0005-0000-0000-0000780D0000}"/>
    <cellStyle name="20% - Accent3 2 3 4 6" xfId="2800" xr:uid="{00000000-0005-0000-0000-0000790D0000}"/>
    <cellStyle name="20% - Accent3 2 3 4 7" xfId="37132" xr:uid="{00000000-0005-0000-0000-00007A0D0000}"/>
    <cellStyle name="20% - Accent3 2 3 5" xfId="2801" xr:uid="{00000000-0005-0000-0000-00007B0D0000}"/>
    <cellStyle name="20% - Accent3 2 3 5 2" xfId="2802" xr:uid="{00000000-0005-0000-0000-00007C0D0000}"/>
    <cellStyle name="20% - Accent3 2 3 5 2 2" xfId="2803" xr:uid="{00000000-0005-0000-0000-00007D0D0000}"/>
    <cellStyle name="20% - Accent3 2 3 5 2 2 2" xfId="2804" xr:uid="{00000000-0005-0000-0000-00007E0D0000}"/>
    <cellStyle name="20% - Accent3 2 3 5 2 3" xfId="2805" xr:uid="{00000000-0005-0000-0000-00007F0D0000}"/>
    <cellStyle name="20% - Accent3 2 3 5 2 4" xfId="2806" xr:uid="{00000000-0005-0000-0000-0000800D0000}"/>
    <cellStyle name="20% - Accent3 2 3 5 2 5" xfId="37135" xr:uid="{00000000-0005-0000-0000-0000810D0000}"/>
    <cellStyle name="20% - Accent3 2 3 5 3" xfId="2807" xr:uid="{00000000-0005-0000-0000-0000820D0000}"/>
    <cellStyle name="20% - Accent3 2 3 5 3 2" xfId="2808" xr:uid="{00000000-0005-0000-0000-0000830D0000}"/>
    <cellStyle name="20% - Accent3 2 3 5 4" xfId="2809" xr:uid="{00000000-0005-0000-0000-0000840D0000}"/>
    <cellStyle name="20% - Accent3 2 3 5 5" xfId="2810" xr:uid="{00000000-0005-0000-0000-0000850D0000}"/>
    <cellStyle name="20% - Accent3 2 3 5 6" xfId="37134" xr:uid="{00000000-0005-0000-0000-0000860D0000}"/>
    <cellStyle name="20% - Accent3 2 3 6" xfId="2811" xr:uid="{00000000-0005-0000-0000-0000870D0000}"/>
    <cellStyle name="20% - Accent3 2 3 6 2" xfId="2812" xr:uid="{00000000-0005-0000-0000-0000880D0000}"/>
    <cellStyle name="20% - Accent3 2 3 6 2 2" xfId="2813" xr:uid="{00000000-0005-0000-0000-0000890D0000}"/>
    <cellStyle name="20% - Accent3 2 3 6 3" xfId="2814" xr:uid="{00000000-0005-0000-0000-00008A0D0000}"/>
    <cellStyle name="20% - Accent3 2 3 6 4" xfId="2815" xr:uid="{00000000-0005-0000-0000-00008B0D0000}"/>
    <cellStyle name="20% - Accent3 2 3 6 5" xfId="37136" xr:uid="{00000000-0005-0000-0000-00008C0D0000}"/>
    <cellStyle name="20% - Accent3 2 3 7" xfId="2816" xr:uid="{00000000-0005-0000-0000-00008D0D0000}"/>
    <cellStyle name="20% - Accent3 2 3 7 2" xfId="2817" xr:uid="{00000000-0005-0000-0000-00008E0D0000}"/>
    <cellStyle name="20% - Accent3 2 3 7 2 2" xfId="2818" xr:uid="{00000000-0005-0000-0000-00008F0D0000}"/>
    <cellStyle name="20% - Accent3 2 3 7 3" xfId="2819" xr:uid="{00000000-0005-0000-0000-0000900D0000}"/>
    <cellStyle name="20% - Accent3 2 3 7 4" xfId="2820" xr:uid="{00000000-0005-0000-0000-0000910D0000}"/>
    <cellStyle name="20% - Accent3 2 3 8" xfId="2821" xr:uid="{00000000-0005-0000-0000-0000920D0000}"/>
    <cellStyle name="20% - Accent3 2 3 8 2" xfId="2822" xr:uid="{00000000-0005-0000-0000-0000930D0000}"/>
    <cellStyle name="20% - Accent3 2 3 8 2 2" xfId="2823" xr:uid="{00000000-0005-0000-0000-0000940D0000}"/>
    <cellStyle name="20% - Accent3 2 3 8 3" xfId="2824" xr:uid="{00000000-0005-0000-0000-0000950D0000}"/>
    <cellStyle name="20% - Accent3 2 3 8 4" xfId="2825" xr:uid="{00000000-0005-0000-0000-0000960D0000}"/>
    <cellStyle name="20% - Accent3 2 3 9" xfId="2826" xr:uid="{00000000-0005-0000-0000-0000970D0000}"/>
    <cellStyle name="20% - Accent3 2 3 9 2" xfId="2827" xr:uid="{00000000-0005-0000-0000-0000980D0000}"/>
    <cellStyle name="20% - Accent3 2 4" xfId="2828" xr:uid="{00000000-0005-0000-0000-0000990D0000}"/>
    <cellStyle name="20% - Accent3 2 4 10" xfId="2829" xr:uid="{00000000-0005-0000-0000-00009A0D0000}"/>
    <cellStyle name="20% - Accent3 2 4 11" xfId="34536" xr:uid="{00000000-0005-0000-0000-00009B0D0000}"/>
    <cellStyle name="20% - Accent3 2 4 2" xfId="2830" xr:uid="{00000000-0005-0000-0000-00009C0D0000}"/>
    <cellStyle name="20% - Accent3 2 4 2 10" xfId="34537" xr:uid="{00000000-0005-0000-0000-00009D0D0000}"/>
    <cellStyle name="20% - Accent3 2 4 2 2" xfId="2831" xr:uid="{00000000-0005-0000-0000-00009E0D0000}"/>
    <cellStyle name="20% - Accent3 2 4 2 2 2" xfId="2832" xr:uid="{00000000-0005-0000-0000-00009F0D0000}"/>
    <cellStyle name="20% - Accent3 2 4 2 2 2 2" xfId="2833" xr:uid="{00000000-0005-0000-0000-0000A00D0000}"/>
    <cellStyle name="20% - Accent3 2 4 2 2 2 2 2" xfId="2834" xr:uid="{00000000-0005-0000-0000-0000A10D0000}"/>
    <cellStyle name="20% - Accent3 2 4 2 2 2 3" xfId="2835" xr:uid="{00000000-0005-0000-0000-0000A20D0000}"/>
    <cellStyle name="20% - Accent3 2 4 2 2 2 4" xfId="2836" xr:uid="{00000000-0005-0000-0000-0000A30D0000}"/>
    <cellStyle name="20% - Accent3 2 4 2 2 2 5" xfId="37138" xr:uid="{00000000-0005-0000-0000-0000A40D0000}"/>
    <cellStyle name="20% - Accent3 2 4 2 2 3" xfId="2837" xr:uid="{00000000-0005-0000-0000-0000A50D0000}"/>
    <cellStyle name="20% - Accent3 2 4 2 2 3 2" xfId="2838" xr:uid="{00000000-0005-0000-0000-0000A60D0000}"/>
    <cellStyle name="20% - Accent3 2 4 2 2 4" xfId="2839" xr:uid="{00000000-0005-0000-0000-0000A70D0000}"/>
    <cellStyle name="20% - Accent3 2 4 2 2 5" xfId="2840" xr:uid="{00000000-0005-0000-0000-0000A80D0000}"/>
    <cellStyle name="20% - Accent3 2 4 2 2 6" xfId="37137" xr:uid="{00000000-0005-0000-0000-0000A90D0000}"/>
    <cellStyle name="20% - Accent3 2 4 2 3" xfId="2841" xr:uid="{00000000-0005-0000-0000-0000AA0D0000}"/>
    <cellStyle name="20% - Accent3 2 4 2 3 2" xfId="2842" xr:uid="{00000000-0005-0000-0000-0000AB0D0000}"/>
    <cellStyle name="20% - Accent3 2 4 2 3 2 2" xfId="2843" xr:uid="{00000000-0005-0000-0000-0000AC0D0000}"/>
    <cellStyle name="20% - Accent3 2 4 2 3 2 2 2" xfId="2844" xr:uid="{00000000-0005-0000-0000-0000AD0D0000}"/>
    <cellStyle name="20% - Accent3 2 4 2 3 2 3" xfId="2845" xr:uid="{00000000-0005-0000-0000-0000AE0D0000}"/>
    <cellStyle name="20% - Accent3 2 4 2 3 2 4" xfId="2846" xr:uid="{00000000-0005-0000-0000-0000AF0D0000}"/>
    <cellStyle name="20% - Accent3 2 4 2 3 2 5" xfId="37140" xr:uid="{00000000-0005-0000-0000-0000B00D0000}"/>
    <cellStyle name="20% - Accent3 2 4 2 3 3" xfId="2847" xr:uid="{00000000-0005-0000-0000-0000B10D0000}"/>
    <cellStyle name="20% - Accent3 2 4 2 3 3 2" xfId="2848" xr:uid="{00000000-0005-0000-0000-0000B20D0000}"/>
    <cellStyle name="20% - Accent3 2 4 2 3 4" xfId="2849" xr:uid="{00000000-0005-0000-0000-0000B30D0000}"/>
    <cellStyle name="20% - Accent3 2 4 2 3 5" xfId="2850" xr:uid="{00000000-0005-0000-0000-0000B40D0000}"/>
    <cellStyle name="20% - Accent3 2 4 2 3 6" xfId="37139" xr:uid="{00000000-0005-0000-0000-0000B50D0000}"/>
    <cellStyle name="20% - Accent3 2 4 2 4" xfId="2851" xr:uid="{00000000-0005-0000-0000-0000B60D0000}"/>
    <cellStyle name="20% - Accent3 2 4 2 4 2" xfId="2852" xr:uid="{00000000-0005-0000-0000-0000B70D0000}"/>
    <cellStyle name="20% - Accent3 2 4 2 4 2 2" xfId="2853" xr:uid="{00000000-0005-0000-0000-0000B80D0000}"/>
    <cellStyle name="20% - Accent3 2 4 2 4 3" xfId="2854" xr:uid="{00000000-0005-0000-0000-0000B90D0000}"/>
    <cellStyle name="20% - Accent3 2 4 2 4 4" xfId="2855" xr:uid="{00000000-0005-0000-0000-0000BA0D0000}"/>
    <cellStyle name="20% - Accent3 2 4 2 4 5" xfId="37141" xr:uid="{00000000-0005-0000-0000-0000BB0D0000}"/>
    <cellStyle name="20% - Accent3 2 4 2 5" xfId="2856" xr:uid="{00000000-0005-0000-0000-0000BC0D0000}"/>
    <cellStyle name="20% - Accent3 2 4 2 5 2" xfId="2857" xr:uid="{00000000-0005-0000-0000-0000BD0D0000}"/>
    <cellStyle name="20% - Accent3 2 4 2 5 2 2" xfId="2858" xr:uid="{00000000-0005-0000-0000-0000BE0D0000}"/>
    <cellStyle name="20% - Accent3 2 4 2 5 3" xfId="2859" xr:uid="{00000000-0005-0000-0000-0000BF0D0000}"/>
    <cellStyle name="20% - Accent3 2 4 2 5 4" xfId="2860" xr:uid="{00000000-0005-0000-0000-0000C00D0000}"/>
    <cellStyle name="20% - Accent3 2 4 2 6" xfId="2861" xr:uid="{00000000-0005-0000-0000-0000C10D0000}"/>
    <cellStyle name="20% - Accent3 2 4 2 6 2" xfId="2862" xr:uid="{00000000-0005-0000-0000-0000C20D0000}"/>
    <cellStyle name="20% - Accent3 2 4 2 6 2 2" xfId="2863" xr:uid="{00000000-0005-0000-0000-0000C30D0000}"/>
    <cellStyle name="20% - Accent3 2 4 2 6 3" xfId="2864" xr:uid="{00000000-0005-0000-0000-0000C40D0000}"/>
    <cellStyle name="20% - Accent3 2 4 2 6 4" xfId="2865" xr:uid="{00000000-0005-0000-0000-0000C50D0000}"/>
    <cellStyle name="20% - Accent3 2 4 2 7" xfId="2866" xr:uid="{00000000-0005-0000-0000-0000C60D0000}"/>
    <cellStyle name="20% - Accent3 2 4 2 7 2" xfId="2867" xr:uid="{00000000-0005-0000-0000-0000C70D0000}"/>
    <cellStyle name="20% - Accent3 2 4 2 8" xfId="2868" xr:uid="{00000000-0005-0000-0000-0000C80D0000}"/>
    <cellStyle name="20% - Accent3 2 4 2 9" xfId="2869" xr:uid="{00000000-0005-0000-0000-0000C90D0000}"/>
    <cellStyle name="20% - Accent3 2 4 3" xfId="2870" xr:uid="{00000000-0005-0000-0000-0000CA0D0000}"/>
    <cellStyle name="20% - Accent3 2 4 3 2" xfId="2871" xr:uid="{00000000-0005-0000-0000-0000CB0D0000}"/>
    <cellStyle name="20% - Accent3 2 4 3 2 2" xfId="2872" xr:uid="{00000000-0005-0000-0000-0000CC0D0000}"/>
    <cellStyle name="20% - Accent3 2 4 3 2 2 2" xfId="2873" xr:uid="{00000000-0005-0000-0000-0000CD0D0000}"/>
    <cellStyle name="20% - Accent3 2 4 3 2 3" xfId="2874" xr:uid="{00000000-0005-0000-0000-0000CE0D0000}"/>
    <cellStyle name="20% - Accent3 2 4 3 2 4" xfId="2875" xr:uid="{00000000-0005-0000-0000-0000CF0D0000}"/>
    <cellStyle name="20% - Accent3 2 4 3 2 5" xfId="37143" xr:uid="{00000000-0005-0000-0000-0000D00D0000}"/>
    <cellStyle name="20% - Accent3 2 4 3 3" xfId="2876" xr:uid="{00000000-0005-0000-0000-0000D10D0000}"/>
    <cellStyle name="20% - Accent3 2 4 3 3 2" xfId="2877" xr:uid="{00000000-0005-0000-0000-0000D20D0000}"/>
    <cellStyle name="20% - Accent3 2 4 3 4" xfId="2878" xr:uid="{00000000-0005-0000-0000-0000D30D0000}"/>
    <cellStyle name="20% - Accent3 2 4 3 5" xfId="2879" xr:uid="{00000000-0005-0000-0000-0000D40D0000}"/>
    <cellStyle name="20% - Accent3 2 4 3 6" xfId="37142" xr:uid="{00000000-0005-0000-0000-0000D50D0000}"/>
    <cellStyle name="20% - Accent3 2 4 4" xfId="2880" xr:uid="{00000000-0005-0000-0000-0000D60D0000}"/>
    <cellStyle name="20% - Accent3 2 4 4 2" xfId="2881" xr:uid="{00000000-0005-0000-0000-0000D70D0000}"/>
    <cellStyle name="20% - Accent3 2 4 4 2 2" xfId="2882" xr:uid="{00000000-0005-0000-0000-0000D80D0000}"/>
    <cellStyle name="20% - Accent3 2 4 4 2 2 2" xfId="2883" xr:uid="{00000000-0005-0000-0000-0000D90D0000}"/>
    <cellStyle name="20% - Accent3 2 4 4 2 3" xfId="2884" xr:uid="{00000000-0005-0000-0000-0000DA0D0000}"/>
    <cellStyle name="20% - Accent3 2 4 4 2 4" xfId="2885" xr:uid="{00000000-0005-0000-0000-0000DB0D0000}"/>
    <cellStyle name="20% - Accent3 2 4 4 2 5" xfId="37145" xr:uid="{00000000-0005-0000-0000-0000DC0D0000}"/>
    <cellStyle name="20% - Accent3 2 4 4 3" xfId="2886" xr:uid="{00000000-0005-0000-0000-0000DD0D0000}"/>
    <cellStyle name="20% - Accent3 2 4 4 3 2" xfId="2887" xr:uid="{00000000-0005-0000-0000-0000DE0D0000}"/>
    <cellStyle name="20% - Accent3 2 4 4 4" xfId="2888" xr:uid="{00000000-0005-0000-0000-0000DF0D0000}"/>
    <cellStyle name="20% - Accent3 2 4 4 5" xfId="2889" xr:uid="{00000000-0005-0000-0000-0000E00D0000}"/>
    <cellStyle name="20% - Accent3 2 4 4 6" xfId="37144" xr:uid="{00000000-0005-0000-0000-0000E10D0000}"/>
    <cellStyle name="20% - Accent3 2 4 5" xfId="2890" xr:uid="{00000000-0005-0000-0000-0000E20D0000}"/>
    <cellStyle name="20% - Accent3 2 4 5 2" xfId="2891" xr:uid="{00000000-0005-0000-0000-0000E30D0000}"/>
    <cellStyle name="20% - Accent3 2 4 5 2 2" xfId="2892" xr:uid="{00000000-0005-0000-0000-0000E40D0000}"/>
    <cellStyle name="20% - Accent3 2 4 5 3" xfId="2893" xr:uid="{00000000-0005-0000-0000-0000E50D0000}"/>
    <cellStyle name="20% - Accent3 2 4 5 4" xfId="2894" xr:uid="{00000000-0005-0000-0000-0000E60D0000}"/>
    <cellStyle name="20% - Accent3 2 4 5 5" xfId="37146" xr:uid="{00000000-0005-0000-0000-0000E70D0000}"/>
    <cellStyle name="20% - Accent3 2 4 6" xfId="2895" xr:uid="{00000000-0005-0000-0000-0000E80D0000}"/>
    <cellStyle name="20% - Accent3 2 4 6 2" xfId="2896" xr:uid="{00000000-0005-0000-0000-0000E90D0000}"/>
    <cellStyle name="20% - Accent3 2 4 6 2 2" xfId="2897" xr:uid="{00000000-0005-0000-0000-0000EA0D0000}"/>
    <cellStyle name="20% - Accent3 2 4 6 3" xfId="2898" xr:uid="{00000000-0005-0000-0000-0000EB0D0000}"/>
    <cellStyle name="20% - Accent3 2 4 6 4" xfId="2899" xr:uid="{00000000-0005-0000-0000-0000EC0D0000}"/>
    <cellStyle name="20% - Accent3 2 4 7" xfId="2900" xr:uid="{00000000-0005-0000-0000-0000ED0D0000}"/>
    <cellStyle name="20% - Accent3 2 4 7 2" xfId="2901" xr:uid="{00000000-0005-0000-0000-0000EE0D0000}"/>
    <cellStyle name="20% - Accent3 2 4 7 2 2" xfId="2902" xr:uid="{00000000-0005-0000-0000-0000EF0D0000}"/>
    <cellStyle name="20% - Accent3 2 4 7 3" xfId="2903" xr:uid="{00000000-0005-0000-0000-0000F00D0000}"/>
    <cellStyle name="20% - Accent3 2 4 7 4" xfId="2904" xr:uid="{00000000-0005-0000-0000-0000F10D0000}"/>
    <cellStyle name="20% - Accent3 2 4 8" xfId="2905" xr:uid="{00000000-0005-0000-0000-0000F20D0000}"/>
    <cellStyle name="20% - Accent3 2 4 8 2" xfId="2906" xr:uid="{00000000-0005-0000-0000-0000F30D0000}"/>
    <cellStyle name="20% - Accent3 2 4 9" xfId="2907" xr:uid="{00000000-0005-0000-0000-0000F40D0000}"/>
    <cellStyle name="20% - Accent3 2 5" xfId="2908" xr:uid="{00000000-0005-0000-0000-0000F50D0000}"/>
    <cellStyle name="20% - Accent3 2 5 10" xfId="34538" xr:uid="{00000000-0005-0000-0000-0000F60D0000}"/>
    <cellStyle name="20% - Accent3 2 5 2" xfId="2909" xr:uid="{00000000-0005-0000-0000-0000F70D0000}"/>
    <cellStyle name="20% - Accent3 2 5 2 2" xfId="2910" xr:uid="{00000000-0005-0000-0000-0000F80D0000}"/>
    <cellStyle name="20% - Accent3 2 5 2 2 2" xfId="2911" xr:uid="{00000000-0005-0000-0000-0000F90D0000}"/>
    <cellStyle name="20% - Accent3 2 5 2 2 2 2" xfId="2912" xr:uid="{00000000-0005-0000-0000-0000FA0D0000}"/>
    <cellStyle name="20% - Accent3 2 5 2 2 3" xfId="2913" xr:uid="{00000000-0005-0000-0000-0000FB0D0000}"/>
    <cellStyle name="20% - Accent3 2 5 2 2 4" xfId="2914" xr:uid="{00000000-0005-0000-0000-0000FC0D0000}"/>
    <cellStyle name="20% - Accent3 2 5 2 2 5" xfId="37148" xr:uid="{00000000-0005-0000-0000-0000FD0D0000}"/>
    <cellStyle name="20% - Accent3 2 5 2 3" xfId="2915" xr:uid="{00000000-0005-0000-0000-0000FE0D0000}"/>
    <cellStyle name="20% - Accent3 2 5 2 3 2" xfId="2916" xr:uid="{00000000-0005-0000-0000-0000FF0D0000}"/>
    <cellStyle name="20% - Accent3 2 5 2 4" xfId="2917" xr:uid="{00000000-0005-0000-0000-0000000E0000}"/>
    <cellStyle name="20% - Accent3 2 5 2 5" xfId="2918" xr:uid="{00000000-0005-0000-0000-0000010E0000}"/>
    <cellStyle name="20% - Accent3 2 5 2 6" xfId="37147" xr:uid="{00000000-0005-0000-0000-0000020E0000}"/>
    <cellStyle name="20% - Accent3 2 5 3" xfId="2919" xr:uid="{00000000-0005-0000-0000-0000030E0000}"/>
    <cellStyle name="20% - Accent3 2 5 3 2" xfId="2920" xr:uid="{00000000-0005-0000-0000-0000040E0000}"/>
    <cellStyle name="20% - Accent3 2 5 3 2 2" xfId="2921" xr:uid="{00000000-0005-0000-0000-0000050E0000}"/>
    <cellStyle name="20% - Accent3 2 5 3 2 2 2" xfId="2922" xr:uid="{00000000-0005-0000-0000-0000060E0000}"/>
    <cellStyle name="20% - Accent3 2 5 3 2 3" xfId="2923" xr:uid="{00000000-0005-0000-0000-0000070E0000}"/>
    <cellStyle name="20% - Accent3 2 5 3 2 4" xfId="2924" xr:uid="{00000000-0005-0000-0000-0000080E0000}"/>
    <cellStyle name="20% - Accent3 2 5 3 2 5" xfId="37150" xr:uid="{00000000-0005-0000-0000-0000090E0000}"/>
    <cellStyle name="20% - Accent3 2 5 3 3" xfId="2925" xr:uid="{00000000-0005-0000-0000-00000A0E0000}"/>
    <cellStyle name="20% - Accent3 2 5 3 3 2" xfId="2926" xr:uid="{00000000-0005-0000-0000-00000B0E0000}"/>
    <cellStyle name="20% - Accent3 2 5 3 4" xfId="2927" xr:uid="{00000000-0005-0000-0000-00000C0E0000}"/>
    <cellStyle name="20% - Accent3 2 5 3 5" xfId="2928" xr:uid="{00000000-0005-0000-0000-00000D0E0000}"/>
    <cellStyle name="20% - Accent3 2 5 3 6" xfId="37149" xr:uid="{00000000-0005-0000-0000-00000E0E0000}"/>
    <cellStyle name="20% - Accent3 2 5 4" xfId="2929" xr:uid="{00000000-0005-0000-0000-00000F0E0000}"/>
    <cellStyle name="20% - Accent3 2 5 4 2" xfId="2930" xr:uid="{00000000-0005-0000-0000-0000100E0000}"/>
    <cellStyle name="20% - Accent3 2 5 4 2 2" xfId="2931" xr:uid="{00000000-0005-0000-0000-0000110E0000}"/>
    <cellStyle name="20% - Accent3 2 5 4 3" xfId="2932" xr:uid="{00000000-0005-0000-0000-0000120E0000}"/>
    <cellStyle name="20% - Accent3 2 5 4 4" xfId="2933" xr:uid="{00000000-0005-0000-0000-0000130E0000}"/>
    <cellStyle name="20% - Accent3 2 5 4 5" xfId="37151" xr:uid="{00000000-0005-0000-0000-0000140E0000}"/>
    <cellStyle name="20% - Accent3 2 5 5" xfId="2934" xr:uid="{00000000-0005-0000-0000-0000150E0000}"/>
    <cellStyle name="20% - Accent3 2 5 5 2" xfId="2935" xr:uid="{00000000-0005-0000-0000-0000160E0000}"/>
    <cellStyle name="20% - Accent3 2 5 5 2 2" xfId="2936" xr:uid="{00000000-0005-0000-0000-0000170E0000}"/>
    <cellStyle name="20% - Accent3 2 5 5 3" xfId="2937" xr:uid="{00000000-0005-0000-0000-0000180E0000}"/>
    <cellStyle name="20% - Accent3 2 5 5 4" xfId="2938" xr:uid="{00000000-0005-0000-0000-0000190E0000}"/>
    <cellStyle name="20% - Accent3 2 5 6" xfId="2939" xr:uid="{00000000-0005-0000-0000-00001A0E0000}"/>
    <cellStyle name="20% - Accent3 2 5 6 2" xfId="2940" xr:uid="{00000000-0005-0000-0000-00001B0E0000}"/>
    <cellStyle name="20% - Accent3 2 5 6 2 2" xfId="2941" xr:uid="{00000000-0005-0000-0000-00001C0E0000}"/>
    <cellStyle name="20% - Accent3 2 5 6 3" xfId="2942" xr:uid="{00000000-0005-0000-0000-00001D0E0000}"/>
    <cellStyle name="20% - Accent3 2 5 6 4" xfId="2943" xr:uid="{00000000-0005-0000-0000-00001E0E0000}"/>
    <cellStyle name="20% - Accent3 2 5 7" xfId="2944" xr:uid="{00000000-0005-0000-0000-00001F0E0000}"/>
    <cellStyle name="20% - Accent3 2 5 7 2" xfId="2945" xr:uid="{00000000-0005-0000-0000-0000200E0000}"/>
    <cellStyle name="20% - Accent3 2 5 8" xfId="2946" xr:uid="{00000000-0005-0000-0000-0000210E0000}"/>
    <cellStyle name="20% - Accent3 2 5 9" xfId="2947" xr:uid="{00000000-0005-0000-0000-0000220E0000}"/>
    <cellStyle name="20% - Accent3 2 6" xfId="2948" xr:uid="{00000000-0005-0000-0000-0000230E0000}"/>
    <cellStyle name="20% - Accent3 2 7" xfId="2949" xr:uid="{00000000-0005-0000-0000-0000240E0000}"/>
    <cellStyle name="20% - Accent3 2 8" xfId="2950" xr:uid="{00000000-0005-0000-0000-0000250E0000}"/>
    <cellStyle name="20% - Accent3 2 8 2" xfId="2951" xr:uid="{00000000-0005-0000-0000-0000260E0000}"/>
    <cellStyle name="20% - Accent3 2 8 3" xfId="34539" xr:uid="{00000000-0005-0000-0000-0000270E0000}"/>
    <cellStyle name="20% - Accent3 2 9" xfId="2952" xr:uid="{00000000-0005-0000-0000-0000280E0000}"/>
    <cellStyle name="20% - Accent3 2 9 2" xfId="2953" xr:uid="{00000000-0005-0000-0000-0000290E0000}"/>
    <cellStyle name="20% - Accent3 2 9 2 2" xfId="2954" xr:uid="{00000000-0005-0000-0000-00002A0E0000}"/>
    <cellStyle name="20% - Accent3 2 9 2 2 2" xfId="2955" xr:uid="{00000000-0005-0000-0000-00002B0E0000}"/>
    <cellStyle name="20% - Accent3 2 9 2 3" xfId="2956" xr:uid="{00000000-0005-0000-0000-00002C0E0000}"/>
    <cellStyle name="20% - Accent3 2 9 2 4" xfId="2957" xr:uid="{00000000-0005-0000-0000-00002D0E0000}"/>
    <cellStyle name="20% - Accent3 2 9 2 5" xfId="37153" xr:uid="{00000000-0005-0000-0000-00002E0E0000}"/>
    <cellStyle name="20% - Accent3 2 9 3" xfId="2958" xr:uid="{00000000-0005-0000-0000-00002F0E0000}"/>
    <cellStyle name="20% - Accent3 2 9 4" xfId="2959" xr:uid="{00000000-0005-0000-0000-0000300E0000}"/>
    <cellStyle name="20% - Accent3 2 9 4 2" xfId="2960" xr:uid="{00000000-0005-0000-0000-0000310E0000}"/>
    <cellStyle name="20% - Accent3 2 9 5" xfId="2961" xr:uid="{00000000-0005-0000-0000-0000320E0000}"/>
    <cellStyle name="20% - Accent3 2 9 6" xfId="2962" xr:uid="{00000000-0005-0000-0000-0000330E0000}"/>
    <cellStyle name="20% - Accent3 2 9 7" xfId="37152" xr:uid="{00000000-0005-0000-0000-0000340E0000}"/>
    <cellStyle name="20% - Accent3 3" xfId="2963" xr:uid="{00000000-0005-0000-0000-0000350E0000}"/>
    <cellStyle name="20% - Accent3 3 2" xfId="2964" xr:uid="{00000000-0005-0000-0000-0000360E0000}"/>
    <cellStyle name="20% - Accent3 3 2 10" xfId="2965" xr:uid="{00000000-0005-0000-0000-0000370E0000}"/>
    <cellStyle name="20% - Accent3 3 2 10 2" xfId="2966" xr:uid="{00000000-0005-0000-0000-0000380E0000}"/>
    <cellStyle name="20% - Accent3 3 2 11" xfId="2967" xr:uid="{00000000-0005-0000-0000-0000390E0000}"/>
    <cellStyle name="20% - Accent3 3 2 12" xfId="2968" xr:uid="{00000000-0005-0000-0000-00003A0E0000}"/>
    <cellStyle name="20% - Accent3 3 2 13" xfId="34541" xr:uid="{00000000-0005-0000-0000-00003B0E0000}"/>
    <cellStyle name="20% - Accent3 3 2 2" xfId="2969" xr:uid="{00000000-0005-0000-0000-00003C0E0000}"/>
    <cellStyle name="20% - Accent3 3 2 2 10" xfId="2970" xr:uid="{00000000-0005-0000-0000-00003D0E0000}"/>
    <cellStyle name="20% - Accent3 3 2 2 11" xfId="2971" xr:uid="{00000000-0005-0000-0000-00003E0E0000}"/>
    <cellStyle name="20% - Accent3 3 2 2 12" xfId="34542" xr:uid="{00000000-0005-0000-0000-00003F0E0000}"/>
    <cellStyle name="20% - Accent3 3 2 2 2" xfId="2972" xr:uid="{00000000-0005-0000-0000-0000400E0000}"/>
    <cellStyle name="20% - Accent3 3 2 2 2 10" xfId="2973" xr:uid="{00000000-0005-0000-0000-0000410E0000}"/>
    <cellStyle name="20% - Accent3 3 2 2 2 11" xfId="34543" xr:uid="{00000000-0005-0000-0000-0000420E0000}"/>
    <cellStyle name="20% - Accent3 3 2 2 2 2" xfId="2974" xr:uid="{00000000-0005-0000-0000-0000430E0000}"/>
    <cellStyle name="20% - Accent3 3 2 2 2 2 10" xfId="34544" xr:uid="{00000000-0005-0000-0000-0000440E0000}"/>
    <cellStyle name="20% - Accent3 3 2 2 2 2 2" xfId="2975" xr:uid="{00000000-0005-0000-0000-0000450E0000}"/>
    <cellStyle name="20% - Accent3 3 2 2 2 2 2 2" xfId="2976" xr:uid="{00000000-0005-0000-0000-0000460E0000}"/>
    <cellStyle name="20% - Accent3 3 2 2 2 2 2 2 2" xfId="2977" xr:uid="{00000000-0005-0000-0000-0000470E0000}"/>
    <cellStyle name="20% - Accent3 3 2 2 2 2 2 2 2 2" xfId="2978" xr:uid="{00000000-0005-0000-0000-0000480E0000}"/>
    <cellStyle name="20% - Accent3 3 2 2 2 2 2 2 3" xfId="2979" xr:uid="{00000000-0005-0000-0000-0000490E0000}"/>
    <cellStyle name="20% - Accent3 3 2 2 2 2 2 2 4" xfId="2980" xr:uid="{00000000-0005-0000-0000-00004A0E0000}"/>
    <cellStyle name="20% - Accent3 3 2 2 2 2 2 2 5" xfId="37155" xr:uid="{00000000-0005-0000-0000-00004B0E0000}"/>
    <cellStyle name="20% - Accent3 3 2 2 2 2 2 3" xfId="2981" xr:uid="{00000000-0005-0000-0000-00004C0E0000}"/>
    <cellStyle name="20% - Accent3 3 2 2 2 2 2 3 2" xfId="2982" xr:uid="{00000000-0005-0000-0000-00004D0E0000}"/>
    <cellStyle name="20% - Accent3 3 2 2 2 2 2 4" xfId="2983" xr:uid="{00000000-0005-0000-0000-00004E0E0000}"/>
    <cellStyle name="20% - Accent3 3 2 2 2 2 2 5" xfId="2984" xr:uid="{00000000-0005-0000-0000-00004F0E0000}"/>
    <cellStyle name="20% - Accent3 3 2 2 2 2 2 6" xfId="37154" xr:uid="{00000000-0005-0000-0000-0000500E0000}"/>
    <cellStyle name="20% - Accent3 3 2 2 2 2 3" xfId="2985" xr:uid="{00000000-0005-0000-0000-0000510E0000}"/>
    <cellStyle name="20% - Accent3 3 2 2 2 2 3 2" xfId="2986" xr:uid="{00000000-0005-0000-0000-0000520E0000}"/>
    <cellStyle name="20% - Accent3 3 2 2 2 2 3 2 2" xfId="2987" xr:uid="{00000000-0005-0000-0000-0000530E0000}"/>
    <cellStyle name="20% - Accent3 3 2 2 2 2 3 2 2 2" xfId="2988" xr:uid="{00000000-0005-0000-0000-0000540E0000}"/>
    <cellStyle name="20% - Accent3 3 2 2 2 2 3 2 3" xfId="2989" xr:uid="{00000000-0005-0000-0000-0000550E0000}"/>
    <cellStyle name="20% - Accent3 3 2 2 2 2 3 2 4" xfId="2990" xr:uid="{00000000-0005-0000-0000-0000560E0000}"/>
    <cellStyle name="20% - Accent3 3 2 2 2 2 3 2 5" xfId="37157" xr:uid="{00000000-0005-0000-0000-0000570E0000}"/>
    <cellStyle name="20% - Accent3 3 2 2 2 2 3 3" xfId="2991" xr:uid="{00000000-0005-0000-0000-0000580E0000}"/>
    <cellStyle name="20% - Accent3 3 2 2 2 2 3 3 2" xfId="2992" xr:uid="{00000000-0005-0000-0000-0000590E0000}"/>
    <cellStyle name="20% - Accent3 3 2 2 2 2 3 4" xfId="2993" xr:uid="{00000000-0005-0000-0000-00005A0E0000}"/>
    <cellStyle name="20% - Accent3 3 2 2 2 2 3 5" xfId="2994" xr:uid="{00000000-0005-0000-0000-00005B0E0000}"/>
    <cellStyle name="20% - Accent3 3 2 2 2 2 3 6" xfId="37156" xr:uid="{00000000-0005-0000-0000-00005C0E0000}"/>
    <cellStyle name="20% - Accent3 3 2 2 2 2 4" xfId="2995" xr:uid="{00000000-0005-0000-0000-00005D0E0000}"/>
    <cellStyle name="20% - Accent3 3 2 2 2 2 4 2" xfId="2996" xr:uid="{00000000-0005-0000-0000-00005E0E0000}"/>
    <cellStyle name="20% - Accent3 3 2 2 2 2 4 2 2" xfId="2997" xr:uid="{00000000-0005-0000-0000-00005F0E0000}"/>
    <cellStyle name="20% - Accent3 3 2 2 2 2 4 3" xfId="2998" xr:uid="{00000000-0005-0000-0000-0000600E0000}"/>
    <cellStyle name="20% - Accent3 3 2 2 2 2 4 4" xfId="2999" xr:uid="{00000000-0005-0000-0000-0000610E0000}"/>
    <cellStyle name="20% - Accent3 3 2 2 2 2 4 5" xfId="37158" xr:uid="{00000000-0005-0000-0000-0000620E0000}"/>
    <cellStyle name="20% - Accent3 3 2 2 2 2 5" xfId="3000" xr:uid="{00000000-0005-0000-0000-0000630E0000}"/>
    <cellStyle name="20% - Accent3 3 2 2 2 2 5 2" xfId="3001" xr:uid="{00000000-0005-0000-0000-0000640E0000}"/>
    <cellStyle name="20% - Accent3 3 2 2 2 2 5 2 2" xfId="3002" xr:uid="{00000000-0005-0000-0000-0000650E0000}"/>
    <cellStyle name="20% - Accent3 3 2 2 2 2 5 3" xfId="3003" xr:uid="{00000000-0005-0000-0000-0000660E0000}"/>
    <cellStyle name="20% - Accent3 3 2 2 2 2 5 4" xfId="3004" xr:uid="{00000000-0005-0000-0000-0000670E0000}"/>
    <cellStyle name="20% - Accent3 3 2 2 2 2 6" xfId="3005" xr:uid="{00000000-0005-0000-0000-0000680E0000}"/>
    <cellStyle name="20% - Accent3 3 2 2 2 2 6 2" xfId="3006" xr:uid="{00000000-0005-0000-0000-0000690E0000}"/>
    <cellStyle name="20% - Accent3 3 2 2 2 2 6 2 2" xfId="3007" xr:uid="{00000000-0005-0000-0000-00006A0E0000}"/>
    <cellStyle name="20% - Accent3 3 2 2 2 2 6 3" xfId="3008" xr:uid="{00000000-0005-0000-0000-00006B0E0000}"/>
    <cellStyle name="20% - Accent3 3 2 2 2 2 6 4" xfId="3009" xr:uid="{00000000-0005-0000-0000-00006C0E0000}"/>
    <cellStyle name="20% - Accent3 3 2 2 2 2 7" xfId="3010" xr:uid="{00000000-0005-0000-0000-00006D0E0000}"/>
    <cellStyle name="20% - Accent3 3 2 2 2 2 7 2" xfId="3011" xr:uid="{00000000-0005-0000-0000-00006E0E0000}"/>
    <cellStyle name="20% - Accent3 3 2 2 2 2 8" xfId="3012" xr:uid="{00000000-0005-0000-0000-00006F0E0000}"/>
    <cellStyle name="20% - Accent3 3 2 2 2 2 9" xfId="3013" xr:uid="{00000000-0005-0000-0000-0000700E0000}"/>
    <cellStyle name="20% - Accent3 3 2 2 2 3" xfId="3014" xr:uid="{00000000-0005-0000-0000-0000710E0000}"/>
    <cellStyle name="20% - Accent3 3 2 2 2 3 2" xfId="3015" xr:uid="{00000000-0005-0000-0000-0000720E0000}"/>
    <cellStyle name="20% - Accent3 3 2 2 2 3 2 2" xfId="3016" xr:uid="{00000000-0005-0000-0000-0000730E0000}"/>
    <cellStyle name="20% - Accent3 3 2 2 2 3 2 2 2" xfId="3017" xr:uid="{00000000-0005-0000-0000-0000740E0000}"/>
    <cellStyle name="20% - Accent3 3 2 2 2 3 2 3" xfId="3018" xr:uid="{00000000-0005-0000-0000-0000750E0000}"/>
    <cellStyle name="20% - Accent3 3 2 2 2 3 2 4" xfId="3019" xr:uid="{00000000-0005-0000-0000-0000760E0000}"/>
    <cellStyle name="20% - Accent3 3 2 2 2 3 2 5" xfId="37160" xr:uid="{00000000-0005-0000-0000-0000770E0000}"/>
    <cellStyle name="20% - Accent3 3 2 2 2 3 3" xfId="3020" xr:uid="{00000000-0005-0000-0000-0000780E0000}"/>
    <cellStyle name="20% - Accent3 3 2 2 2 3 3 2" xfId="3021" xr:uid="{00000000-0005-0000-0000-0000790E0000}"/>
    <cellStyle name="20% - Accent3 3 2 2 2 3 4" xfId="3022" xr:uid="{00000000-0005-0000-0000-00007A0E0000}"/>
    <cellStyle name="20% - Accent3 3 2 2 2 3 5" xfId="3023" xr:uid="{00000000-0005-0000-0000-00007B0E0000}"/>
    <cellStyle name="20% - Accent3 3 2 2 2 3 6" xfId="37159" xr:uid="{00000000-0005-0000-0000-00007C0E0000}"/>
    <cellStyle name="20% - Accent3 3 2 2 2 4" xfId="3024" xr:uid="{00000000-0005-0000-0000-00007D0E0000}"/>
    <cellStyle name="20% - Accent3 3 2 2 2 4 2" xfId="3025" xr:uid="{00000000-0005-0000-0000-00007E0E0000}"/>
    <cellStyle name="20% - Accent3 3 2 2 2 4 2 2" xfId="3026" xr:uid="{00000000-0005-0000-0000-00007F0E0000}"/>
    <cellStyle name="20% - Accent3 3 2 2 2 4 2 2 2" xfId="3027" xr:uid="{00000000-0005-0000-0000-0000800E0000}"/>
    <cellStyle name="20% - Accent3 3 2 2 2 4 2 3" xfId="3028" xr:uid="{00000000-0005-0000-0000-0000810E0000}"/>
    <cellStyle name="20% - Accent3 3 2 2 2 4 2 4" xfId="3029" xr:uid="{00000000-0005-0000-0000-0000820E0000}"/>
    <cellStyle name="20% - Accent3 3 2 2 2 4 2 5" xfId="37162" xr:uid="{00000000-0005-0000-0000-0000830E0000}"/>
    <cellStyle name="20% - Accent3 3 2 2 2 4 3" xfId="3030" xr:uid="{00000000-0005-0000-0000-0000840E0000}"/>
    <cellStyle name="20% - Accent3 3 2 2 2 4 3 2" xfId="3031" xr:uid="{00000000-0005-0000-0000-0000850E0000}"/>
    <cellStyle name="20% - Accent3 3 2 2 2 4 4" xfId="3032" xr:uid="{00000000-0005-0000-0000-0000860E0000}"/>
    <cellStyle name="20% - Accent3 3 2 2 2 4 5" xfId="3033" xr:uid="{00000000-0005-0000-0000-0000870E0000}"/>
    <cellStyle name="20% - Accent3 3 2 2 2 4 6" xfId="37161" xr:uid="{00000000-0005-0000-0000-0000880E0000}"/>
    <cellStyle name="20% - Accent3 3 2 2 2 5" xfId="3034" xr:uid="{00000000-0005-0000-0000-0000890E0000}"/>
    <cellStyle name="20% - Accent3 3 2 2 2 5 2" xfId="3035" xr:uid="{00000000-0005-0000-0000-00008A0E0000}"/>
    <cellStyle name="20% - Accent3 3 2 2 2 5 2 2" xfId="3036" xr:uid="{00000000-0005-0000-0000-00008B0E0000}"/>
    <cellStyle name="20% - Accent3 3 2 2 2 5 3" xfId="3037" xr:uid="{00000000-0005-0000-0000-00008C0E0000}"/>
    <cellStyle name="20% - Accent3 3 2 2 2 5 4" xfId="3038" xr:uid="{00000000-0005-0000-0000-00008D0E0000}"/>
    <cellStyle name="20% - Accent3 3 2 2 2 5 5" xfId="37163" xr:uid="{00000000-0005-0000-0000-00008E0E0000}"/>
    <cellStyle name="20% - Accent3 3 2 2 2 6" xfId="3039" xr:uid="{00000000-0005-0000-0000-00008F0E0000}"/>
    <cellStyle name="20% - Accent3 3 2 2 2 6 2" xfId="3040" xr:uid="{00000000-0005-0000-0000-0000900E0000}"/>
    <cellStyle name="20% - Accent3 3 2 2 2 6 2 2" xfId="3041" xr:uid="{00000000-0005-0000-0000-0000910E0000}"/>
    <cellStyle name="20% - Accent3 3 2 2 2 6 3" xfId="3042" xr:uid="{00000000-0005-0000-0000-0000920E0000}"/>
    <cellStyle name="20% - Accent3 3 2 2 2 6 4" xfId="3043" xr:uid="{00000000-0005-0000-0000-0000930E0000}"/>
    <cellStyle name="20% - Accent3 3 2 2 2 7" xfId="3044" xr:uid="{00000000-0005-0000-0000-0000940E0000}"/>
    <cellStyle name="20% - Accent3 3 2 2 2 7 2" xfId="3045" xr:uid="{00000000-0005-0000-0000-0000950E0000}"/>
    <cellStyle name="20% - Accent3 3 2 2 2 7 2 2" xfId="3046" xr:uid="{00000000-0005-0000-0000-0000960E0000}"/>
    <cellStyle name="20% - Accent3 3 2 2 2 7 3" xfId="3047" xr:uid="{00000000-0005-0000-0000-0000970E0000}"/>
    <cellStyle name="20% - Accent3 3 2 2 2 7 4" xfId="3048" xr:uid="{00000000-0005-0000-0000-0000980E0000}"/>
    <cellStyle name="20% - Accent3 3 2 2 2 8" xfId="3049" xr:uid="{00000000-0005-0000-0000-0000990E0000}"/>
    <cellStyle name="20% - Accent3 3 2 2 2 8 2" xfId="3050" xr:uid="{00000000-0005-0000-0000-00009A0E0000}"/>
    <cellStyle name="20% - Accent3 3 2 2 2 9" xfId="3051" xr:uid="{00000000-0005-0000-0000-00009B0E0000}"/>
    <cellStyle name="20% - Accent3 3 2 2 3" xfId="3052" xr:uid="{00000000-0005-0000-0000-00009C0E0000}"/>
    <cellStyle name="20% - Accent3 3 2 2 3 10" xfId="34545" xr:uid="{00000000-0005-0000-0000-00009D0E0000}"/>
    <cellStyle name="20% - Accent3 3 2 2 3 2" xfId="3053" xr:uid="{00000000-0005-0000-0000-00009E0E0000}"/>
    <cellStyle name="20% - Accent3 3 2 2 3 2 2" xfId="3054" xr:uid="{00000000-0005-0000-0000-00009F0E0000}"/>
    <cellStyle name="20% - Accent3 3 2 2 3 2 2 2" xfId="3055" xr:uid="{00000000-0005-0000-0000-0000A00E0000}"/>
    <cellStyle name="20% - Accent3 3 2 2 3 2 2 2 2" xfId="3056" xr:uid="{00000000-0005-0000-0000-0000A10E0000}"/>
    <cellStyle name="20% - Accent3 3 2 2 3 2 2 3" xfId="3057" xr:uid="{00000000-0005-0000-0000-0000A20E0000}"/>
    <cellStyle name="20% - Accent3 3 2 2 3 2 2 4" xfId="3058" xr:uid="{00000000-0005-0000-0000-0000A30E0000}"/>
    <cellStyle name="20% - Accent3 3 2 2 3 2 2 5" xfId="37165" xr:uid="{00000000-0005-0000-0000-0000A40E0000}"/>
    <cellStyle name="20% - Accent3 3 2 2 3 2 3" xfId="3059" xr:uid="{00000000-0005-0000-0000-0000A50E0000}"/>
    <cellStyle name="20% - Accent3 3 2 2 3 2 3 2" xfId="3060" xr:uid="{00000000-0005-0000-0000-0000A60E0000}"/>
    <cellStyle name="20% - Accent3 3 2 2 3 2 4" xfId="3061" xr:uid="{00000000-0005-0000-0000-0000A70E0000}"/>
    <cellStyle name="20% - Accent3 3 2 2 3 2 5" xfId="3062" xr:uid="{00000000-0005-0000-0000-0000A80E0000}"/>
    <cellStyle name="20% - Accent3 3 2 2 3 2 6" xfId="37164" xr:uid="{00000000-0005-0000-0000-0000A90E0000}"/>
    <cellStyle name="20% - Accent3 3 2 2 3 3" xfId="3063" xr:uid="{00000000-0005-0000-0000-0000AA0E0000}"/>
    <cellStyle name="20% - Accent3 3 2 2 3 3 2" xfId="3064" xr:uid="{00000000-0005-0000-0000-0000AB0E0000}"/>
    <cellStyle name="20% - Accent3 3 2 2 3 3 2 2" xfId="3065" xr:uid="{00000000-0005-0000-0000-0000AC0E0000}"/>
    <cellStyle name="20% - Accent3 3 2 2 3 3 2 2 2" xfId="3066" xr:uid="{00000000-0005-0000-0000-0000AD0E0000}"/>
    <cellStyle name="20% - Accent3 3 2 2 3 3 2 3" xfId="3067" xr:uid="{00000000-0005-0000-0000-0000AE0E0000}"/>
    <cellStyle name="20% - Accent3 3 2 2 3 3 2 4" xfId="3068" xr:uid="{00000000-0005-0000-0000-0000AF0E0000}"/>
    <cellStyle name="20% - Accent3 3 2 2 3 3 2 5" xfId="37167" xr:uid="{00000000-0005-0000-0000-0000B00E0000}"/>
    <cellStyle name="20% - Accent3 3 2 2 3 3 3" xfId="3069" xr:uid="{00000000-0005-0000-0000-0000B10E0000}"/>
    <cellStyle name="20% - Accent3 3 2 2 3 3 3 2" xfId="3070" xr:uid="{00000000-0005-0000-0000-0000B20E0000}"/>
    <cellStyle name="20% - Accent3 3 2 2 3 3 4" xfId="3071" xr:uid="{00000000-0005-0000-0000-0000B30E0000}"/>
    <cellStyle name="20% - Accent3 3 2 2 3 3 5" xfId="3072" xr:uid="{00000000-0005-0000-0000-0000B40E0000}"/>
    <cellStyle name="20% - Accent3 3 2 2 3 3 6" xfId="37166" xr:uid="{00000000-0005-0000-0000-0000B50E0000}"/>
    <cellStyle name="20% - Accent3 3 2 2 3 4" xfId="3073" xr:uid="{00000000-0005-0000-0000-0000B60E0000}"/>
    <cellStyle name="20% - Accent3 3 2 2 3 4 2" xfId="3074" xr:uid="{00000000-0005-0000-0000-0000B70E0000}"/>
    <cellStyle name="20% - Accent3 3 2 2 3 4 2 2" xfId="3075" xr:uid="{00000000-0005-0000-0000-0000B80E0000}"/>
    <cellStyle name="20% - Accent3 3 2 2 3 4 3" xfId="3076" xr:uid="{00000000-0005-0000-0000-0000B90E0000}"/>
    <cellStyle name="20% - Accent3 3 2 2 3 4 4" xfId="3077" xr:uid="{00000000-0005-0000-0000-0000BA0E0000}"/>
    <cellStyle name="20% - Accent3 3 2 2 3 4 5" xfId="37168" xr:uid="{00000000-0005-0000-0000-0000BB0E0000}"/>
    <cellStyle name="20% - Accent3 3 2 2 3 5" xfId="3078" xr:uid="{00000000-0005-0000-0000-0000BC0E0000}"/>
    <cellStyle name="20% - Accent3 3 2 2 3 5 2" xfId="3079" xr:uid="{00000000-0005-0000-0000-0000BD0E0000}"/>
    <cellStyle name="20% - Accent3 3 2 2 3 5 2 2" xfId="3080" xr:uid="{00000000-0005-0000-0000-0000BE0E0000}"/>
    <cellStyle name="20% - Accent3 3 2 2 3 5 3" xfId="3081" xr:uid="{00000000-0005-0000-0000-0000BF0E0000}"/>
    <cellStyle name="20% - Accent3 3 2 2 3 5 4" xfId="3082" xr:uid="{00000000-0005-0000-0000-0000C00E0000}"/>
    <cellStyle name="20% - Accent3 3 2 2 3 6" xfId="3083" xr:uid="{00000000-0005-0000-0000-0000C10E0000}"/>
    <cellStyle name="20% - Accent3 3 2 2 3 6 2" xfId="3084" xr:uid="{00000000-0005-0000-0000-0000C20E0000}"/>
    <cellStyle name="20% - Accent3 3 2 2 3 6 2 2" xfId="3085" xr:uid="{00000000-0005-0000-0000-0000C30E0000}"/>
    <cellStyle name="20% - Accent3 3 2 2 3 6 3" xfId="3086" xr:uid="{00000000-0005-0000-0000-0000C40E0000}"/>
    <cellStyle name="20% - Accent3 3 2 2 3 6 4" xfId="3087" xr:uid="{00000000-0005-0000-0000-0000C50E0000}"/>
    <cellStyle name="20% - Accent3 3 2 2 3 7" xfId="3088" xr:uid="{00000000-0005-0000-0000-0000C60E0000}"/>
    <cellStyle name="20% - Accent3 3 2 2 3 7 2" xfId="3089" xr:uid="{00000000-0005-0000-0000-0000C70E0000}"/>
    <cellStyle name="20% - Accent3 3 2 2 3 8" xfId="3090" xr:uid="{00000000-0005-0000-0000-0000C80E0000}"/>
    <cellStyle name="20% - Accent3 3 2 2 3 9" xfId="3091" xr:uid="{00000000-0005-0000-0000-0000C90E0000}"/>
    <cellStyle name="20% - Accent3 3 2 2 4" xfId="3092" xr:uid="{00000000-0005-0000-0000-0000CA0E0000}"/>
    <cellStyle name="20% - Accent3 3 2 2 4 2" xfId="3093" xr:uid="{00000000-0005-0000-0000-0000CB0E0000}"/>
    <cellStyle name="20% - Accent3 3 2 2 4 2 2" xfId="3094" xr:uid="{00000000-0005-0000-0000-0000CC0E0000}"/>
    <cellStyle name="20% - Accent3 3 2 2 4 2 2 2" xfId="3095" xr:uid="{00000000-0005-0000-0000-0000CD0E0000}"/>
    <cellStyle name="20% - Accent3 3 2 2 4 2 3" xfId="3096" xr:uid="{00000000-0005-0000-0000-0000CE0E0000}"/>
    <cellStyle name="20% - Accent3 3 2 2 4 2 4" xfId="3097" xr:uid="{00000000-0005-0000-0000-0000CF0E0000}"/>
    <cellStyle name="20% - Accent3 3 2 2 4 2 5" xfId="37170" xr:uid="{00000000-0005-0000-0000-0000D00E0000}"/>
    <cellStyle name="20% - Accent3 3 2 2 4 3" xfId="3098" xr:uid="{00000000-0005-0000-0000-0000D10E0000}"/>
    <cellStyle name="20% - Accent3 3 2 2 4 3 2" xfId="3099" xr:uid="{00000000-0005-0000-0000-0000D20E0000}"/>
    <cellStyle name="20% - Accent3 3 2 2 4 4" xfId="3100" xr:uid="{00000000-0005-0000-0000-0000D30E0000}"/>
    <cellStyle name="20% - Accent3 3 2 2 4 5" xfId="3101" xr:uid="{00000000-0005-0000-0000-0000D40E0000}"/>
    <cellStyle name="20% - Accent3 3 2 2 4 6" xfId="37169" xr:uid="{00000000-0005-0000-0000-0000D50E0000}"/>
    <cellStyle name="20% - Accent3 3 2 2 5" xfId="3102" xr:uid="{00000000-0005-0000-0000-0000D60E0000}"/>
    <cellStyle name="20% - Accent3 3 2 2 5 2" xfId="3103" xr:uid="{00000000-0005-0000-0000-0000D70E0000}"/>
    <cellStyle name="20% - Accent3 3 2 2 5 2 2" xfId="3104" xr:uid="{00000000-0005-0000-0000-0000D80E0000}"/>
    <cellStyle name="20% - Accent3 3 2 2 5 2 2 2" xfId="3105" xr:uid="{00000000-0005-0000-0000-0000D90E0000}"/>
    <cellStyle name="20% - Accent3 3 2 2 5 2 3" xfId="3106" xr:uid="{00000000-0005-0000-0000-0000DA0E0000}"/>
    <cellStyle name="20% - Accent3 3 2 2 5 2 4" xfId="3107" xr:uid="{00000000-0005-0000-0000-0000DB0E0000}"/>
    <cellStyle name="20% - Accent3 3 2 2 5 2 5" xfId="37172" xr:uid="{00000000-0005-0000-0000-0000DC0E0000}"/>
    <cellStyle name="20% - Accent3 3 2 2 5 3" xfId="3108" xr:uid="{00000000-0005-0000-0000-0000DD0E0000}"/>
    <cellStyle name="20% - Accent3 3 2 2 5 3 2" xfId="3109" xr:uid="{00000000-0005-0000-0000-0000DE0E0000}"/>
    <cellStyle name="20% - Accent3 3 2 2 5 4" xfId="3110" xr:uid="{00000000-0005-0000-0000-0000DF0E0000}"/>
    <cellStyle name="20% - Accent3 3 2 2 5 5" xfId="3111" xr:uid="{00000000-0005-0000-0000-0000E00E0000}"/>
    <cellStyle name="20% - Accent3 3 2 2 5 6" xfId="37171" xr:uid="{00000000-0005-0000-0000-0000E10E0000}"/>
    <cellStyle name="20% - Accent3 3 2 2 6" xfId="3112" xr:uid="{00000000-0005-0000-0000-0000E20E0000}"/>
    <cellStyle name="20% - Accent3 3 2 2 6 2" xfId="3113" xr:uid="{00000000-0005-0000-0000-0000E30E0000}"/>
    <cellStyle name="20% - Accent3 3 2 2 6 2 2" xfId="3114" xr:uid="{00000000-0005-0000-0000-0000E40E0000}"/>
    <cellStyle name="20% - Accent3 3 2 2 6 3" xfId="3115" xr:uid="{00000000-0005-0000-0000-0000E50E0000}"/>
    <cellStyle name="20% - Accent3 3 2 2 6 4" xfId="3116" xr:uid="{00000000-0005-0000-0000-0000E60E0000}"/>
    <cellStyle name="20% - Accent3 3 2 2 6 5" xfId="37173" xr:uid="{00000000-0005-0000-0000-0000E70E0000}"/>
    <cellStyle name="20% - Accent3 3 2 2 7" xfId="3117" xr:uid="{00000000-0005-0000-0000-0000E80E0000}"/>
    <cellStyle name="20% - Accent3 3 2 2 7 2" xfId="3118" xr:uid="{00000000-0005-0000-0000-0000E90E0000}"/>
    <cellStyle name="20% - Accent3 3 2 2 7 2 2" xfId="3119" xr:uid="{00000000-0005-0000-0000-0000EA0E0000}"/>
    <cellStyle name="20% - Accent3 3 2 2 7 3" xfId="3120" xr:uid="{00000000-0005-0000-0000-0000EB0E0000}"/>
    <cellStyle name="20% - Accent3 3 2 2 7 4" xfId="3121" xr:uid="{00000000-0005-0000-0000-0000EC0E0000}"/>
    <cellStyle name="20% - Accent3 3 2 2 8" xfId="3122" xr:uid="{00000000-0005-0000-0000-0000ED0E0000}"/>
    <cellStyle name="20% - Accent3 3 2 2 8 2" xfId="3123" xr:uid="{00000000-0005-0000-0000-0000EE0E0000}"/>
    <cellStyle name="20% - Accent3 3 2 2 8 2 2" xfId="3124" xr:uid="{00000000-0005-0000-0000-0000EF0E0000}"/>
    <cellStyle name="20% - Accent3 3 2 2 8 3" xfId="3125" xr:uid="{00000000-0005-0000-0000-0000F00E0000}"/>
    <cellStyle name="20% - Accent3 3 2 2 8 4" xfId="3126" xr:uid="{00000000-0005-0000-0000-0000F10E0000}"/>
    <cellStyle name="20% - Accent3 3 2 2 9" xfId="3127" xr:uid="{00000000-0005-0000-0000-0000F20E0000}"/>
    <cellStyle name="20% - Accent3 3 2 2 9 2" xfId="3128" xr:uid="{00000000-0005-0000-0000-0000F30E0000}"/>
    <cellStyle name="20% - Accent3 3 2 3" xfId="3129" xr:uid="{00000000-0005-0000-0000-0000F40E0000}"/>
    <cellStyle name="20% - Accent3 3 2 3 10" xfId="3130" xr:uid="{00000000-0005-0000-0000-0000F50E0000}"/>
    <cellStyle name="20% - Accent3 3 2 3 11" xfId="34546" xr:uid="{00000000-0005-0000-0000-0000F60E0000}"/>
    <cellStyle name="20% - Accent3 3 2 3 2" xfId="3131" xr:uid="{00000000-0005-0000-0000-0000F70E0000}"/>
    <cellStyle name="20% - Accent3 3 2 3 2 10" xfId="34547" xr:uid="{00000000-0005-0000-0000-0000F80E0000}"/>
    <cellStyle name="20% - Accent3 3 2 3 2 2" xfId="3132" xr:uid="{00000000-0005-0000-0000-0000F90E0000}"/>
    <cellStyle name="20% - Accent3 3 2 3 2 2 2" xfId="3133" xr:uid="{00000000-0005-0000-0000-0000FA0E0000}"/>
    <cellStyle name="20% - Accent3 3 2 3 2 2 2 2" xfId="3134" xr:uid="{00000000-0005-0000-0000-0000FB0E0000}"/>
    <cellStyle name="20% - Accent3 3 2 3 2 2 2 2 2" xfId="3135" xr:uid="{00000000-0005-0000-0000-0000FC0E0000}"/>
    <cellStyle name="20% - Accent3 3 2 3 2 2 2 3" xfId="3136" xr:uid="{00000000-0005-0000-0000-0000FD0E0000}"/>
    <cellStyle name="20% - Accent3 3 2 3 2 2 2 4" xfId="3137" xr:uid="{00000000-0005-0000-0000-0000FE0E0000}"/>
    <cellStyle name="20% - Accent3 3 2 3 2 2 2 5" xfId="37175" xr:uid="{00000000-0005-0000-0000-0000FF0E0000}"/>
    <cellStyle name="20% - Accent3 3 2 3 2 2 3" xfId="3138" xr:uid="{00000000-0005-0000-0000-0000000F0000}"/>
    <cellStyle name="20% - Accent3 3 2 3 2 2 3 2" xfId="3139" xr:uid="{00000000-0005-0000-0000-0000010F0000}"/>
    <cellStyle name="20% - Accent3 3 2 3 2 2 4" xfId="3140" xr:uid="{00000000-0005-0000-0000-0000020F0000}"/>
    <cellStyle name="20% - Accent3 3 2 3 2 2 5" xfId="3141" xr:uid="{00000000-0005-0000-0000-0000030F0000}"/>
    <cellStyle name="20% - Accent3 3 2 3 2 2 6" xfId="37174" xr:uid="{00000000-0005-0000-0000-0000040F0000}"/>
    <cellStyle name="20% - Accent3 3 2 3 2 3" xfId="3142" xr:uid="{00000000-0005-0000-0000-0000050F0000}"/>
    <cellStyle name="20% - Accent3 3 2 3 2 3 2" xfId="3143" xr:uid="{00000000-0005-0000-0000-0000060F0000}"/>
    <cellStyle name="20% - Accent3 3 2 3 2 3 2 2" xfId="3144" xr:uid="{00000000-0005-0000-0000-0000070F0000}"/>
    <cellStyle name="20% - Accent3 3 2 3 2 3 2 2 2" xfId="3145" xr:uid="{00000000-0005-0000-0000-0000080F0000}"/>
    <cellStyle name="20% - Accent3 3 2 3 2 3 2 3" xfId="3146" xr:uid="{00000000-0005-0000-0000-0000090F0000}"/>
    <cellStyle name="20% - Accent3 3 2 3 2 3 2 4" xfId="3147" xr:uid="{00000000-0005-0000-0000-00000A0F0000}"/>
    <cellStyle name="20% - Accent3 3 2 3 2 3 2 5" xfId="37177" xr:uid="{00000000-0005-0000-0000-00000B0F0000}"/>
    <cellStyle name="20% - Accent3 3 2 3 2 3 3" xfId="3148" xr:uid="{00000000-0005-0000-0000-00000C0F0000}"/>
    <cellStyle name="20% - Accent3 3 2 3 2 3 3 2" xfId="3149" xr:uid="{00000000-0005-0000-0000-00000D0F0000}"/>
    <cellStyle name="20% - Accent3 3 2 3 2 3 4" xfId="3150" xr:uid="{00000000-0005-0000-0000-00000E0F0000}"/>
    <cellStyle name="20% - Accent3 3 2 3 2 3 5" xfId="3151" xr:uid="{00000000-0005-0000-0000-00000F0F0000}"/>
    <cellStyle name="20% - Accent3 3 2 3 2 3 6" xfId="37176" xr:uid="{00000000-0005-0000-0000-0000100F0000}"/>
    <cellStyle name="20% - Accent3 3 2 3 2 4" xfId="3152" xr:uid="{00000000-0005-0000-0000-0000110F0000}"/>
    <cellStyle name="20% - Accent3 3 2 3 2 4 2" xfId="3153" xr:uid="{00000000-0005-0000-0000-0000120F0000}"/>
    <cellStyle name="20% - Accent3 3 2 3 2 4 2 2" xfId="3154" xr:uid="{00000000-0005-0000-0000-0000130F0000}"/>
    <cellStyle name="20% - Accent3 3 2 3 2 4 3" xfId="3155" xr:uid="{00000000-0005-0000-0000-0000140F0000}"/>
    <cellStyle name="20% - Accent3 3 2 3 2 4 4" xfId="3156" xr:uid="{00000000-0005-0000-0000-0000150F0000}"/>
    <cellStyle name="20% - Accent3 3 2 3 2 4 5" xfId="37178" xr:uid="{00000000-0005-0000-0000-0000160F0000}"/>
    <cellStyle name="20% - Accent3 3 2 3 2 5" xfId="3157" xr:uid="{00000000-0005-0000-0000-0000170F0000}"/>
    <cellStyle name="20% - Accent3 3 2 3 2 5 2" xfId="3158" xr:uid="{00000000-0005-0000-0000-0000180F0000}"/>
    <cellStyle name="20% - Accent3 3 2 3 2 5 2 2" xfId="3159" xr:uid="{00000000-0005-0000-0000-0000190F0000}"/>
    <cellStyle name="20% - Accent3 3 2 3 2 5 3" xfId="3160" xr:uid="{00000000-0005-0000-0000-00001A0F0000}"/>
    <cellStyle name="20% - Accent3 3 2 3 2 5 4" xfId="3161" xr:uid="{00000000-0005-0000-0000-00001B0F0000}"/>
    <cellStyle name="20% - Accent3 3 2 3 2 6" xfId="3162" xr:uid="{00000000-0005-0000-0000-00001C0F0000}"/>
    <cellStyle name="20% - Accent3 3 2 3 2 6 2" xfId="3163" xr:uid="{00000000-0005-0000-0000-00001D0F0000}"/>
    <cellStyle name="20% - Accent3 3 2 3 2 6 2 2" xfId="3164" xr:uid="{00000000-0005-0000-0000-00001E0F0000}"/>
    <cellStyle name="20% - Accent3 3 2 3 2 6 3" xfId="3165" xr:uid="{00000000-0005-0000-0000-00001F0F0000}"/>
    <cellStyle name="20% - Accent3 3 2 3 2 6 4" xfId="3166" xr:uid="{00000000-0005-0000-0000-0000200F0000}"/>
    <cellStyle name="20% - Accent3 3 2 3 2 7" xfId="3167" xr:uid="{00000000-0005-0000-0000-0000210F0000}"/>
    <cellStyle name="20% - Accent3 3 2 3 2 7 2" xfId="3168" xr:uid="{00000000-0005-0000-0000-0000220F0000}"/>
    <cellStyle name="20% - Accent3 3 2 3 2 8" xfId="3169" xr:uid="{00000000-0005-0000-0000-0000230F0000}"/>
    <cellStyle name="20% - Accent3 3 2 3 2 9" xfId="3170" xr:uid="{00000000-0005-0000-0000-0000240F0000}"/>
    <cellStyle name="20% - Accent3 3 2 3 3" xfId="3171" xr:uid="{00000000-0005-0000-0000-0000250F0000}"/>
    <cellStyle name="20% - Accent3 3 2 3 3 2" xfId="3172" xr:uid="{00000000-0005-0000-0000-0000260F0000}"/>
    <cellStyle name="20% - Accent3 3 2 3 3 2 2" xfId="3173" xr:uid="{00000000-0005-0000-0000-0000270F0000}"/>
    <cellStyle name="20% - Accent3 3 2 3 3 2 2 2" xfId="3174" xr:uid="{00000000-0005-0000-0000-0000280F0000}"/>
    <cellStyle name="20% - Accent3 3 2 3 3 2 3" xfId="3175" xr:uid="{00000000-0005-0000-0000-0000290F0000}"/>
    <cellStyle name="20% - Accent3 3 2 3 3 2 4" xfId="3176" xr:uid="{00000000-0005-0000-0000-00002A0F0000}"/>
    <cellStyle name="20% - Accent3 3 2 3 3 2 5" xfId="37180" xr:uid="{00000000-0005-0000-0000-00002B0F0000}"/>
    <cellStyle name="20% - Accent3 3 2 3 3 3" xfId="3177" xr:uid="{00000000-0005-0000-0000-00002C0F0000}"/>
    <cellStyle name="20% - Accent3 3 2 3 3 3 2" xfId="3178" xr:uid="{00000000-0005-0000-0000-00002D0F0000}"/>
    <cellStyle name="20% - Accent3 3 2 3 3 4" xfId="3179" xr:uid="{00000000-0005-0000-0000-00002E0F0000}"/>
    <cellStyle name="20% - Accent3 3 2 3 3 5" xfId="3180" xr:uid="{00000000-0005-0000-0000-00002F0F0000}"/>
    <cellStyle name="20% - Accent3 3 2 3 3 6" xfId="37179" xr:uid="{00000000-0005-0000-0000-0000300F0000}"/>
    <cellStyle name="20% - Accent3 3 2 3 4" xfId="3181" xr:uid="{00000000-0005-0000-0000-0000310F0000}"/>
    <cellStyle name="20% - Accent3 3 2 3 4 2" xfId="3182" xr:uid="{00000000-0005-0000-0000-0000320F0000}"/>
    <cellStyle name="20% - Accent3 3 2 3 4 2 2" xfId="3183" xr:uid="{00000000-0005-0000-0000-0000330F0000}"/>
    <cellStyle name="20% - Accent3 3 2 3 4 2 2 2" xfId="3184" xr:uid="{00000000-0005-0000-0000-0000340F0000}"/>
    <cellStyle name="20% - Accent3 3 2 3 4 2 3" xfId="3185" xr:uid="{00000000-0005-0000-0000-0000350F0000}"/>
    <cellStyle name="20% - Accent3 3 2 3 4 2 4" xfId="3186" xr:uid="{00000000-0005-0000-0000-0000360F0000}"/>
    <cellStyle name="20% - Accent3 3 2 3 4 2 5" xfId="37182" xr:uid="{00000000-0005-0000-0000-0000370F0000}"/>
    <cellStyle name="20% - Accent3 3 2 3 4 3" xfId="3187" xr:uid="{00000000-0005-0000-0000-0000380F0000}"/>
    <cellStyle name="20% - Accent3 3 2 3 4 3 2" xfId="3188" xr:uid="{00000000-0005-0000-0000-0000390F0000}"/>
    <cellStyle name="20% - Accent3 3 2 3 4 4" xfId="3189" xr:uid="{00000000-0005-0000-0000-00003A0F0000}"/>
    <cellStyle name="20% - Accent3 3 2 3 4 5" xfId="3190" xr:uid="{00000000-0005-0000-0000-00003B0F0000}"/>
    <cellStyle name="20% - Accent3 3 2 3 4 6" xfId="37181" xr:uid="{00000000-0005-0000-0000-00003C0F0000}"/>
    <cellStyle name="20% - Accent3 3 2 3 5" xfId="3191" xr:uid="{00000000-0005-0000-0000-00003D0F0000}"/>
    <cellStyle name="20% - Accent3 3 2 3 5 2" xfId="3192" xr:uid="{00000000-0005-0000-0000-00003E0F0000}"/>
    <cellStyle name="20% - Accent3 3 2 3 5 2 2" xfId="3193" xr:uid="{00000000-0005-0000-0000-00003F0F0000}"/>
    <cellStyle name="20% - Accent3 3 2 3 5 3" xfId="3194" xr:uid="{00000000-0005-0000-0000-0000400F0000}"/>
    <cellStyle name="20% - Accent3 3 2 3 5 4" xfId="3195" xr:uid="{00000000-0005-0000-0000-0000410F0000}"/>
    <cellStyle name="20% - Accent3 3 2 3 5 5" xfId="37183" xr:uid="{00000000-0005-0000-0000-0000420F0000}"/>
    <cellStyle name="20% - Accent3 3 2 3 6" xfId="3196" xr:uid="{00000000-0005-0000-0000-0000430F0000}"/>
    <cellStyle name="20% - Accent3 3 2 3 6 2" xfId="3197" xr:uid="{00000000-0005-0000-0000-0000440F0000}"/>
    <cellStyle name="20% - Accent3 3 2 3 6 2 2" xfId="3198" xr:uid="{00000000-0005-0000-0000-0000450F0000}"/>
    <cellStyle name="20% - Accent3 3 2 3 6 3" xfId="3199" xr:uid="{00000000-0005-0000-0000-0000460F0000}"/>
    <cellStyle name="20% - Accent3 3 2 3 6 4" xfId="3200" xr:uid="{00000000-0005-0000-0000-0000470F0000}"/>
    <cellStyle name="20% - Accent3 3 2 3 7" xfId="3201" xr:uid="{00000000-0005-0000-0000-0000480F0000}"/>
    <cellStyle name="20% - Accent3 3 2 3 7 2" xfId="3202" xr:uid="{00000000-0005-0000-0000-0000490F0000}"/>
    <cellStyle name="20% - Accent3 3 2 3 7 2 2" xfId="3203" xr:uid="{00000000-0005-0000-0000-00004A0F0000}"/>
    <cellStyle name="20% - Accent3 3 2 3 7 3" xfId="3204" xr:uid="{00000000-0005-0000-0000-00004B0F0000}"/>
    <cellStyle name="20% - Accent3 3 2 3 7 4" xfId="3205" xr:uid="{00000000-0005-0000-0000-00004C0F0000}"/>
    <cellStyle name="20% - Accent3 3 2 3 8" xfId="3206" xr:uid="{00000000-0005-0000-0000-00004D0F0000}"/>
    <cellStyle name="20% - Accent3 3 2 3 8 2" xfId="3207" xr:uid="{00000000-0005-0000-0000-00004E0F0000}"/>
    <cellStyle name="20% - Accent3 3 2 3 9" xfId="3208" xr:uid="{00000000-0005-0000-0000-00004F0F0000}"/>
    <cellStyle name="20% - Accent3 3 2 4" xfId="3209" xr:uid="{00000000-0005-0000-0000-0000500F0000}"/>
    <cellStyle name="20% - Accent3 3 2 4 10" xfId="34548" xr:uid="{00000000-0005-0000-0000-0000510F0000}"/>
    <cellStyle name="20% - Accent3 3 2 4 2" xfId="3210" xr:uid="{00000000-0005-0000-0000-0000520F0000}"/>
    <cellStyle name="20% - Accent3 3 2 4 2 2" xfId="3211" xr:uid="{00000000-0005-0000-0000-0000530F0000}"/>
    <cellStyle name="20% - Accent3 3 2 4 2 2 2" xfId="3212" xr:uid="{00000000-0005-0000-0000-0000540F0000}"/>
    <cellStyle name="20% - Accent3 3 2 4 2 2 2 2" xfId="3213" xr:uid="{00000000-0005-0000-0000-0000550F0000}"/>
    <cellStyle name="20% - Accent3 3 2 4 2 2 3" xfId="3214" xr:uid="{00000000-0005-0000-0000-0000560F0000}"/>
    <cellStyle name="20% - Accent3 3 2 4 2 2 4" xfId="3215" xr:uid="{00000000-0005-0000-0000-0000570F0000}"/>
    <cellStyle name="20% - Accent3 3 2 4 2 2 5" xfId="37185" xr:uid="{00000000-0005-0000-0000-0000580F0000}"/>
    <cellStyle name="20% - Accent3 3 2 4 2 3" xfId="3216" xr:uid="{00000000-0005-0000-0000-0000590F0000}"/>
    <cellStyle name="20% - Accent3 3 2 4 2 3 2" xfId="3217" xr:uid="{00000000-0005-0000-0000-00005A0F0000}"/>
    <cellStyle name="20% - Accent3 3 2 4 2 4" xfId="3218" xr:uid="{00000000-0005-0000-0000-00005B0F0000}"/>
    <cellStyle name="20% - Accent3 3 2 4 2 5" xfId="3219" xr:uid="{00000000-0005-0000-0000-00005C0F0000}"/>
    <cellStyle name="20% - Accent3 3 2 4 2 6" xfId="37184" xr:uid="{00000000-0005-0000-0000-00005D0F0000}"/>
    <cellStyle name="20% - Accent3 3 2 4 3" xfId="3220" xr:uid="{00000000-0005-0000-0000-00005E0F0000}"/>
    <cellStyle name="20% - Accent3 3 2 4 3 2" xfId="3221" xr:uid="{00000000-0005-0000-0000-00005F0F0000}"/>
    <cellStyle name="20% - Accent3 3 2 4 3 2 2" xfId="3222" xr:uid="{00000000-0005-0000-0000-0000600F0000}"/>
    <cellStyle name="20% - Accent3 3 2 4 3 2 2 2" xfId="3223" xr:uid="{00000000-0005-0000-0000-0000610F0000}"/>
    <cellStyle name="20% - Accent3 3 2 4 3 2 3" xfId="3224" xr:uid="{00000000-0005-0000-0000-0000620F0000}"/>
    <cellStyle name="20% - Accent3 3 2 4 3 2 4" xfId="3225" xr:uid="{00000000-0005-0000-0000-0000630F0000}"/>
    <cellStyle name="20% - Accent3 3 2 4 3 2 5" xfId="37187" xr:uid="{00000000-0005-0000-0000-0000640F0000}"/>
    <cellStyle name="20% - Accent3 3 2 4 3 3" xfId="3226" xr:uid="{00000000-0005-0000-0000-0000650F0000}"/>
    <cellStyle name="20% - Accent3 3 2 4 3 3 2" xfId="3227" xr:uid="{00000000-0005-0000-0000-0000660F0000}"/>
    <cellStyle name="20% - Accent3 3 2 4 3 4" xfId="3228" xr:uid="{00000000-0005-0000-0000-0000670F0000}"/>
    <cellStyle name="20% - Accent3 3 2 4 3 5" xfId="3229" xr:uid="{00000000-0005-0000-0000-0000680F0000}"/>
    <cellStyle name="20% - Accent3 3 2 4 3 6" xfId="37186" xr:uid="{00000000-0005-0000-0000-0000690F0000}"/>
    <cellStyle name="20% - Accent3 3 2 4 4" xfId="3230" xr:uid="{00000000-0005-0000-0000-00006A0F0000}"/>
    <cellStyle name="20% - Accent3 3 2 4 4 2" xfId="3231" xr:uid="{00000000-0005-0000-0000-00006B0F0000}"/>
    <cellStyle name="20% - Accent3 3 2 4 4 2 2" xfId="3232" xr:uid="{00000000-0005-0000-0000-00006C0F0000}"/>
    <cellStyle name="20% - Accent3 3 2 4 4 3" xfId="3233" xr:uid="{00000000-0005-0000-0000-00006D0F0000}"/>
    <cellStyle name="20% - Accent3 3 2 4 4 4" xfId="3234" xr:uid="{00000000-0005-0000-0000-00006E0F0000}"/>
    <cellStyle name="20% - Accent3 3 2 4 4 5" xfId="37188" xr:uid="{00000000-0005-0000-0000-00006F0F0000}"/>
    <cellStyle name="20% - Accent3 3 2 4 5" xfId="3235" xr:uid="{00000000-0005-0000-0000-0000700F0000}"/>
    <cellStyle name="20% - Accent3 3 2 4 5 2" xfId="3236" xr:uid="{00000000-0005-0000-0000-0000710F0000}"/>
    <cellStyle name="20% - Accent3 3 2 4 5 2 2" xfId="3237" xr:uid="{00000000-0005-0000-0000-0000720F0000}"/>
    <cellStyle name="20% - Accent3 3 2 4 5 3" xfId="3238" xr:uid="{00000000-0005-0000-0000-0000730F0000}"/>
    <cellStyle name="20% - Accent3 3 2 4 5 4" xfId="3239" xr:uid="{00000000-0005-0000-0000-0000740F0000}"/>
    <cellStyle name="20% - Accent3 3 2 4 6" xfId="3240" xr:uid="{00000000-0005-0000-0000-0000750F0000}"/>
    <cellStyle name="20% - Accent3 3 2 4 6 2" xfId="3241" xr:uid="{00000000-0005-0000-0000-0000760F0000}"/>
    <cellStyle name="20% - Accent3 3 2 4 6 2 2" xfId="3242" xr:uid="{00000000-0005-0000-0000-0000770F0000}"/>
    <cellStyle name="20% - Accent3 3 2 4 6 3" xfId="3243" xr:uid="{00000000-0005-0000-0000-0000780F0000}"/>
    <cellStyle name="20% - Accent3 3 2 4 6 4" xfId="3244" xr:uid="{00000000-0005-0000-0000-0000790F0000}"/>
    <cellStyle name="20% - Accent3 3 2 4 7" xfId="3245" xr:uid="{00000000-0005-0000-0000-00007A0F0000}"/>
    <cellStyle name="20% - Accent3 3 2 4 7 2" xfId="3246" xr:uid="{00000000-0005-0000-0000-00007B0F0000}"/>
    <cellStyle name="20% - Accent3 3 2 4 8" xfId="3247" xr:uid="{00000000-0005-0000-0000-00007C0F0000}"/>
    <cellStyle name="20% - Accent3 3 2 4 9" xfId="3248" xr:uid="{00000000-0005-0000-0000-00007D0F0000}"/>
    <cellStyle name="20% - Accent3 3 2 5" xfId="3249" xr:uid="{00000000-0005-0000-0000-00007E0F0000}"/>
    <cellStyle name="20% - Accent3 3 2 5 2" xfId="3250" xr:uid="{00000000-0005-0000-0000-00007F0F0000}"/>
    <cellStyle name="20% - Accent3 3 2 5 2 2" xfId="3251" xr:uid="{00000000-0005-0000-0000-0000800F0000}"/>
    <cellStyle name="20% - Accent3 3 2 5 2 2 2" xfId="3252" xr:uid="{00000000-0005-0000-0000-0000810F0000}"/>
    <cellStyle name="20% - Accent3 3 2 5 2 3" xfId="3253" xr:uid="{00000000-0005-0000-0000-0000820F0000}"/>
    <cellStyle name="20% - Accent3 3 2 5 2 4" xfId="3254" xr:uid="{00000000-0005-0000-0000-0000830F0000}"/>
    <cellStyle name="20% - Accent3 3 2 5 2 5" xfId="37190" xr:uid="{00000000-0005-0000-0000-0000840F0000}"/>
    <cellStyle name="20% - Accent3 3 2 5 3" xfId="3255" xr:uid="{00000000-0005-0000-0000-0000850F0000}"/>
    <cellStyle name="20% - Accent3 3 2 5 3 2" xfId="3256" xr:uid="{00000000-0005-0000-0000-0000860F0000}"/>
    <cellStyle name="20% - Accent3 3 2 5 4" xfId="3257" xr:uid="{00000000-0005-0000-0000-0000870F0000}"/>
    <cellStyle name="20% - Accent3 3 2 5 5" xfId="3258" xr:uid="{00000000-0005-0000-0000-0000880F0000}"/>
    <cellStyle name="20% - Accent3 3 2 5 6" xfId="37189" xr:uid="{00000000-0005-0000-0000-0000890F0000}"/>
    <cellStyle name="20% - Accent3 3 2 6" xfId="3259" xr:uid="{00000000-0005-0000-0000-00008A0F0000}"/>
    <cellStyle name="20% - Accent3 3 2 6 2" xfId="3260" xr:uid="{00000000-0005-0000-0000-00008B0F0000}"/>
    <cellStyle name="20% - Accent3 3 2 6 2 2" xfId="3261" xr:uid="{00000000-0005-0000-0000-00008C0F0000}"/>
    <cellStyle name="20% - Accent3 3 2 6 2 2 2" xfId="3262" xr:uid="{00000000-0005-0000-0000-00008D0F0000}"/>
    <cellStyle name="20% - Accent3 3 2 6 2 3" xfId="3263" xr:uid="{00000000-0005-0000-0000-00008E0F0000}"/>
    <cellStyle name="20% - Accent3 3 2 6 2 4" xfId="3264" xr:uid="{00000000-0005-0000-0000-00008F0F0000}"/>
    <cellStyle name="20% - Accent3 3 2 6 2 5" xfId="37192" xr:uid="{00000000-0005-0000-0000-0000900F0000}"/>
    <cellStyle name="20% - Accent3 3 2 6 3" xfId="3265" xr:uid="{00000000-0005-0000-0000-0000910F0000}"/>
    <cellStyle name="20% - Accent3 3 2 6 3 2" xfId="3266" xr:uid="{00000000-0005-0000-0000-0000920F0000}"/>
    <cellStyle name="20% - Accent3 3 2 6 4" xfId="3267" xr:uid="{00000000-0005-0000-0000-0000930F0000}"/>
    <cellStyle name="20% - Accent3 3 2 6 5" xfId="3268" xr:uid="{00000000-0005-0000-0000-0000940F0000}"/>
    <cellStyle name="20% - Accent3 3 2 6 6" xfId="37191" xr:uid="{00000000-0005-0000-0000-0000950F0000}"/>
    <cellStyle name="20% - Accent3 3 2 7" xfId="3269" xr:uid="{00000000-0005-0000-0000-0000960F0000}"/>
    <cellStyle name="20% - Accent3 3 2 7 2" xfId="3270" xr:uid="{00000000-0005-0000-0000-0000970F0000}"/>
    <cellStyle name="20% - Accent3 3 2 7 2 2" xfId="3271" xr:uid="{00000000-0005-0000-0000-0000980F0000}"/>
    <cellStyle name="20% - Accent3 3 2 7 3" xfId="3272" xr:uid="{00000000-0005-0000-0000-0000990F0000}"/>
    <cellStyle name="20% - Accent3 3 2 7 4" xfId="3273" xr:uid="{00000000-0005-0000-0000-00009A0F0000}"/>
    <cellStyle name="20% - Accent3 3 2 7 5" xfId="37193" xr:uid="{00000000-0005-0000-0000-00009B0F0000}"/>
    <cellStyle name="20% - Accent3 3 2 8" xfId="3274" xr:uid="{00000000-0005-0000-0000-00009C0F0000}"/>
    <cellStyle name="20% - Accent3 3 2 8 2" xfId="3275" xr:uid="{00000000-0005-0000-0000-00009D0F0000}"/>
    <cellStyle name="20% - Accent3 3 2 8 2 2" xfId="3276" xr:uid="{00000000-0005-0000-0000-00009E0F0000}"/>
    <cellStyle name="20% - Accent3 3 2 8 3" xfId="3277" xr:uid="{00000000-0005-0000-0000-00009F0F0000}"/>
    <cellStyle name="20% - Accent3 3 2 8 4" xfId="3278" xr:uid="{00000000-0005-0000-0000-0000A00F0000}"/>
    <cellStyle name="20% - Accent3 3 2 9" xfId="3279" xr:uid="{00000000-0005-0000-0000-0000A10F0000}"/>
    <cellStyle name="20% - Accent3 3 2 9 2" xfId="3280" xr:uid="{00000000-0005-0000-0000-0000A20F0000}"/>
    <cellStyle name="20% - Accent3 3 2 9 2 2" xfId="3281" xr:uid="{00000000-0005-0000-0000-0000A30F0000}"/>
    <cellStyle name="20% - Accent3 3 2 9 3" xfId="3282" xr:uid="{00000000-0005-0000-0000-0000A40F0000}"/>
    <cellStyle name="20% - Accent3 3 2 9 4" xfId="3283" xr:uid="{00000000-0005-0000-0000-0000A50F0000}"/>
    <cellStyle name="20% - Accent3 3 3" xfId="3284" xr:uid="{00000000-0005-0000-0000-0000A60F0000}"/>
    <cellStyle name="20% - Accent3 3 4" xfId="3285" xr:uid="{00000000-0005-0000-0000-0000A70F0000}"/>
    <cellStyle name="20% - Accent3 3 5" xfId="3286" xr:uid="{00000000-0005-0000-0000-0000A80F0000}"/>
    <cellStyle name="20% - Accent3 3 5 2" xfId="3287" xr:uid="{00000000-0005-0000-0000-0000A90F0000}"/>
    <cellStyle name="20% - Accent3 3 5 2 2" xfId="3288" xr:uid="{00000000-0005-0000-0000-0000AA0F0000}"/>
    <cellStyle name="20% - Accent3 3 5 2 3" xfId="37195" xr:uid="{00000000-0005-0000-0000-0000AB0F0000}"/>
    <cellStyle name="20% - Accent3 3 5 3" xfId="3289" xr:uid="{00000000-0005-0000-0000-0000AC0F0000}"/>
    <cellStyle name="20% - Accent3 3 5 4" xfId="3290" xr:uid="{00000000-0005-0000-0000-0000AD0F0000}"/>
    <cellStyle name="20% - Accent3 3 5 5" xfId="37194" xr:uid="{00000000-0005-0000-0000-0000AE0F0000}"/>
    <cellStyle name="20% - Accent3 3 6" xfId="3291" xr:uid="{00000000-0005-0000-0000-0000AF0F0000}"/>
    <cellStyle name="20% - Accent3 3 6 2" xfId="3292" xr:uid="{00000000-0005-0000-0000-0000B00F0000}"/>
    <cellStyle name="20% - Accent3 3 6 2 2" xfId="3293" xr:uid="{00000000-0005-0000-0000-0000B10F0000}"/>
    <cellStyle name="20% - Accent3 3 6 3" xfId="3294" xr:uid="{00000000-0005-0000-0000-0000B20F0000}"/>
    <cellStyle name="20% - Accent3 3 6 4" xfId="3295" xr:uid="{00000000-0005-0000-0000-0000B30F0000}"/>
    <cellStyle name="20% - Accent3 3 7" xfId="3296" xr:uid="{00000000-0005-0000-0000-0000B40F0000}"/>
    <cellStyle name="20% - Accent3 3 8" xfId="34540" xr:uid="{00000000-0005-0000-0000-0000B50F0000}"/>
    <cellStyle name="20% - Accent3 4" xfId="3297" xr:uid="{00000000-0005-0000-0000-0000B60F0000}"/>
    <cellStyle name="20% - Accent3 4 10" xfId="3298" xr:uid="{00000000-0005-0000-0000-0000B70F0000}"/>
    <cellStyle name="20% - Accent3 4 10 2" xfId="3299" xr:uid="{00000000-0005-0000-0000-0000B80F0000}"/>
    <cellStyle name="20% - Accent3 4 11" xfId="3300" xr:uid="{00000000-0005-0000-0000-0000B90F0000}"/>
    <cellStyle name="20% - Accent3 4 12" xfId="3301" xr:uid="{00000000-0005-0000-0000-0000BA0F0000}"/>
    <cellStyle name="20% - Accent3 4 13" xfId="34549" xr:uid="{00000000-0005-0000-0000-0000BB0F0000}"/>
    <cellStyle name="20% - Accent3 4 2" xfId="3302" xr:uid="{00000000-0005-0000-0000-0000BC0F0000}"/>
    <cellStyle name="20% - Accent3 4 2 10" xfId="3303" xr:uid="{00000000-0005-0000-0000-0000BD0F0000}"/>
    <cellStyle name="20% - Accent3 4 2 11" xfId="3304" xr:uid="{00000000-0005-0000-0000-0000BE0F0000}"/>
    <cellStyle name="20% - Accent3 4 2 12" xfId="34550" xr:uid="{00000000-0005-0000-0000-0000BF0F0000}"/>
    <cellStyle name="20% - Accent3 4 2 2" xfId="3305" xr:uid="{00000000-0005-0000-0000-0000C00F0000}"/>
    <cellStyle name="20% - Accent3 4 2 2 10" xfId="3306" xr:uid="{00000000-0005-0000-0000-0000C10F0000}"/>
    <cellStyle name="20% - Accent3 4 2 2 11" xfId="34551" xr:uid="{00000000-0005-0000-0000-0000C20F0000}"/>
    <cellStyle name="20% - Accent3 4 2 2 2" xfId="3307" xr:uid="{00000000-0005-0000-0000-0000C30F0000}"/>
    <cellStyle name="20% - Accent3 4 2 2 2 10" xfId="34552" xr:uid="{00000000-0005-0000-0000-0000C40F0000}"/>
    <cellStyle name="20% - Accent3 4 2 2 2 2" xfId="3308" xr:uid="{00000000-0005-0000-0000-0000C50F0000}"/>
    <cellStyle name="20% - Accent3 4 2 2 2 2 2" xfId="3309" xr:uid="{00000000-0005-0000-0000-0000C60F0000}"/>
    <cellStyle name="20% - Accent3 4 2 2 2 2 2 2" xfId="3310" xr:uid="{00000000-0005-0000-0000-0000C70F0000}"/>
    <cellStyle name="20% - Accent3 4 2 2 2 2 2 2 2" xfId="3311" xr:uid="{00000000-0005-0000-0000-0000C80F0000}"/>
    <cellStyle name="20% - Accent3 4 2 2 2 2 2 3" xfId="3312" xr:uid="{00000000-0005-0000-0000-0000C90F0000}"/>
    <cellStyle name="20% - Accent3 4 2 2 2 2 2 4" xfId="3313" xr:uid="{00000000-0005-0000-0000-0000CA0F0000}"/>
    <cellStyle name="20% - Accent3 4 2 2 2 2 2 5" xfId="37197" xr:uid="{00000000-0005-0000-0000-0000CB0F0000}"/>
    <cellStyle name="20% - Accent3 4 2 2 2 2 3" xfId="3314" xr:uid="{00000000-0005-0000-0000-0000CC0F0000}"/>
    <cellStyle name="20% - Accent3 4 2 2 2 2 3 2" xfId="3315" xr:uid="{00000000-0005-0000-0000-0000CD0F0000}"/>
    <cellStyle name="20% - Accent3 4 2 2 2 2 4" xfId="3316" xr:uid="{00000000-0005-0000-0000-0000CE0F0000}"/>
    <cellStyle name="20% - Accent3 4 2 2 2 2 5" xfId="3317" xr:uid="{00000000-0005-0000-0000-0000CF0F0000}"/>
    <cellStyle name="20% - Accent3 4 2 2 2 2 6" xfId="37196" xr:uid="{00000000-0005-0000-0000-0000D00F0000}"/>
    <cellStyle name="20% - Accent3 4 2 2 2 3" xfId="3318" xr:uid="{00000000-0005-0000-0000-0000D10F0000}"/>
    <cellStyle name="20% - Accent3 4 2 2 2 3 2" xfId="3319" xr:uid="{00000000-0005-0000-0000-0000D20F0000}"/>
    <cellStyle name="20% - Accent3 4 2 2 2 3 2 2" xfId="3320" xr:uid="{00000000-0005-0000-0000-0000D30F0000}"/>
    <cellStyle name="20% - Accent3 4 2 2 2 3 2 2 2" xfId="3321" xr:uid="{00000000-0005-0000-0000-0000D40F0000}"/>
    <cellStyle name="20% - Accent3 4 2 2 2 3 2 3" xfId="3322" xr:uid="{00000000-0005-0000-0000-0000D50F0000}"/>
    <cellStyle name="20% - Accent3 4 2 2 2 3 2 4" xfId="3323" xr:uid="{00000000-0005-0000-0000-0000D60F0000}"/>
    <cellStyle name="20% - Accent3 4 2 2 2 3 2 5" xfId="37199" xr:uid="{00000000-0005-0000-0000-0000D70F0000}"/>
    <cellStyle name="20% - Accent3 4 2 2 2 3 3" xfId="3324" xr:uid="{00000000-0005-0000-0000-0000D80F0000}"/>
    <cellStyle name="20% - Accent3 4 2 2 2 3 3 2" xfId="3325" xr:uid="{00000000-0005-0000-0000-0000D90F0000}"/>
    <cellStyle name="20% - Accent3 4 2 2 2 3 4" xfId="3326" xr:uid="{00000000-0005-0000-0000-0000DA0F0000}"/>
    <cellStyle name="20% - Accent3 4 2 2 2 3 5" xfId="3327" xr:uid="{00000000-0005-0000-0000-0000DB0F0000}"/>
    <cellStyle name="20% - Accent3 4 2 2 2 3 6" xfId="37198" xr:uid="{00000000-0005-0000-0000-0000DC0F0000}"/>
    <cellStyle name="20% - Accent3 4 2 2 2 4" xfId="3328" xr:uid="{00000000-0005-0000-0000-0000DD0F0000}"/>
    <cellStyle name="20% - Accent3 4 2 2 2 4 2" xfId="3329" xr:uid="{00000000-0005-0000-0000-0000DE0F0000}"/>
    <cellStyle name="20% - Accent3 4 2 2 2 4 2 2" xfId="3330" xr:uid="{00000000-0005-0000-0000-0000DF0F0000}"/>
    <cellStyle name="20% - Accent3 4 2 2 2 4 3" xfId="3331" xr:uid="{00000000-0005-0000-0000-0000E00F0000}"/>
    <cellStyle name="20% - Accent3 4 2 2 2 4 4" xfId="3332" xr:uid="{00000000-0005-0000-0000-0000E10F0000}"/>
    <cellStyle name="20% - Accent3 4 2 2 2 4 5" xfId="37200" xr:uid="{00000000-0005-0000-0000-0000E20F0000}"/>
    <cellStyle name="20% - Accent3 4 2 2 2 5" xfId="3333" xr:uid="{00000000-0005-0000-0000-0000E30F0000}"/>
    <cellStyle name="20% - Accent3 4 2 2 2 5 2" xfId="3334" xr:uid="{00000000-0005-0000-0000-0000E40F0000}"/>
    <cellStyle name="20% - Accent3 4 2 2 2 5 2 2" xfId="3335" xr:uid="{00000000-0005-0000-0000-0000E50F0000}"/>
    <cellStyle name="20% - Accent3 4 2 2 2 5 3" xfId="3336" xr:uid="{00000000-0005-0000-0000-0000E60F0000}"/>
    <cellStyle name="20% - Accent3 4 2 2 2 5 4" xfId="3337" xr:uid="{00000000-0005-0000-0000-0000E70F0000}"/>
    <cellStyle name="20% - Accent3 4 2 2 2 6" xfId="3338" xr:uid="{00000000-0005-0000-0000-0000E80F0000}"/>
    <cellStyle name="20% - Accent3 4 2 2 2 6 2" xfId="3339" xr:uid="{00000000-0005-0000-0000-0000E90F0000}"/>
    <cellStyle name="20% - Accent3 4 2 2 2 6 2 2" xfId="3340" xr:uid="{00000000-0005-0000-0000-0000EA0F0000}"/>
    <cellStyle name="20% - Accent3 4 2 2 2 6 3" xfId="3341" xr:uid="{00000000-0005-0000-0000-0000EB0F0000}"/>
    <cellStyle name="20% - Accent3 4 2 2 2 6 4" xfId="3342" xr:uid="{00000000-0005-0000-0000-0000EC0F0000}"/>
    <cellStyle name="20% - Accent3 4 2 2 2 7" xfId="3343" xr:uid="{00000000-0005-0000-0000-0000ED0F0000}"/>
    <cellStyle name="20% - Accent3 4 2 2 2 7 2" xfId="3344" xr:uid="{00000000-0005-0000-0000-0000EE0F0000}"/>
    <cellStyle name="20% - Accent3 4 2 2 2 8" xfId="3345" xr:uid="{00000000-0005-0000-0000-0000EF0F0000}"/>
    <cellStyle name="20% - Accent3 4 2 2 2 9" xfId="3346" xr:uid="{00000000-0005-0000-0000-0000F00F0000}"/>
    <cellStyle name="20% - Accent3 4 2 2 3" xfId="3347" xr:uid="{00000000-0005-0000-0000-0000F10F0000}"/>
    <cellStyle name="20% - Accent3 4 2 2 3 2" xfId="3348" xr:uid="{00000000-0005-0000-0000-0000F20F0000}"/>
    <cellStyle name="20% - Accent3 4 2 2 3 2 2" xfId="3349" xr:uid="{00000000-0005-0000-0000-0000F30F0000}"/>
    <cellStyle name="20% - Accent3 4 2 2 3 2 2 2" xfId="3350" xr:uid="{00000000-0005-0000-0000-0000F40F0000}"/>
    <cellStyle name="20% - Accent3 4 2 2 3 2 3" xfId="3351" xr:uid="{00000000-0005-0000-0000-0000F50F0000}"/>
    <cellStyle name="20% - Accent3 4 2 2 3 2 4" xfId="3352" xr:uid="{00000000-0005-0000-0000-0000F60F0000}"/>
    <cellStyle name="20% - Accent3 4 2 2 3 2 5" xfId="37202" xr:uid="{00000000-0005-0000-0000-0000F70F0000}"/>
    <cellStyle name="20% - Accent3 4 2 2 3 3" xfId="3353" xr:uid="{00000000-0005-0000-0000-0000F80F0000}"/>
    <cellStyle name="20% - Accent3 4 2 2 3 3 2" xfId="3354" xr:uid="{00000000-0005-0000-0000-0000F90F0000}"/>
    <cellStyle name="20% - Accent3 4 2 2 3 4" xfId="3355" xr:uid="{00000000-0005-0000-0000-0000FA0F0000}"/>
    <cellStyle name="20% - Accent3 4 2 2 3 5" xfId="3356" xr:uid="{00000000-0005-0000-0000-0000FB0F0000}"/>
    <cellStyle name="20% - Accent3 4 2 2 3 6" xfId="37201" xr:uid="{00000000-0005-0000-0000-0000FC0F0000}"/>
    <cellStyle name="20% - Accent3 4 2 2 4" xfId="3357" xr:uid="{00000000-0005-0000-0000-0000FD0F0000}"/>
    <cellStyle name="20% - Accent3 4 2 2 4 2" xfId="3358" xr:uid="{00000000-0005-0000-0000-0000FE0F0000}"/>
    <cellStyle name="20% - Accent3 4 2 2 4 2 2" xfId="3359" xr:uid="{00000000-0005-0000-0000-0000FF0F0000}"/>
    <cellStyle name="20% - Accent3 4 2 2 4 2 2 2" xfId="3360" xr:uid="{00000000-0005-0000-0000-000000100000}"/>
    <cellStyle name="20% - Accent3 4 2 2 4 2 3" xfId="3361" xr:uid="{00000000-0005-0000-0000-000001100000}"/>
    <cellStyle name="20% - Accent3 4 2 2 4 2 4" xfId="3362" xr:uid="{00000000-0005-0000-0000-000002100000}"/>
    <cellStyle name="20% - Accent3 4 2 2 4 2 5" xfId="37204" xr:uid="{00000000-0005-0000-0000-000003100000}"/>
    <cellStyle name="20% - Accent3 4 2 2 4 3" xfId="3363" xr:uid="{00000000-0005-0000-0000-000004100000}"/>
    <cellStyle name="20% - Accent3 4 2 2 4 3 2" xfId="3364" xr:uid="{00000000-0005-0000-0000-000005100000}"/>
    <cellStyle name="20% - Accent3 4 2 2 4 4" xfId="3365" xr:uid="{00000000-0005-0000-0000-000006100000}"/>
    <cellStyle name="20% - Accent3 4 2 2 4 5" xfId="3366" xr:uid="{00000000-0005-0000-0000-000007100000}"/>
    <cellStyle name="20% - Accent3 4 2 2 4 6" xfId="37203" xr:uid="{00000000-0005-0000-0000-000008100000}"/>
    <cellStyle name="20% - Accent3 4 2 2 5" xfId="3367" xr:uid="{00000000-0005-0000-0000-000009100000}"/>
    <cellStyle name="20% - Accent3 4 2 2 5 2" xfId="3368" xr:uid="{00000000-0005-0000-0000-00000A100000}"/>
    <cellStyle name="20% - Accent3 4 2 2 5 2 2" xfId="3369" xr:uid="{00000000-0005-0000-0000-00000B100000}"/>
    <cellStyle name="20% - Accent3 4 2 2 5 3" xfId="3370" xr:uid="{00000000-0005-0000-0000-00000C100000}"/>
    <cellStyle name="20% - Accent3 4 2 2 5 4" xfId="3371" xr:uid="{00000000-0005-0000-0000-00000D100000}"/>
    <cellStyle name="20% - Accent3 4 2 2 5 5" xfId="37205" xr:uid="{00000000-0005-0000-0000-00000E100000}"/>
    <cellStyle name="20% - Accent3 4 2 2 6" xfId="3372" xr:uid="{00000000-0005-0000-0000-00000F100000}"/>
    <cellStyle name="20% - Accent3 4 2 2 6 2" xfId="3373" xr:uid="{00000000-0005-0000-0000-000010100000}"/>
    <cellStyle name="20% - Accent3 4 2 2 6 2 2" xfId="3374" xr:uid="{00000000-0005-0000-0000-000011100000}"/>
    <cellStyle name="20% - Accent3 4 2 2 6 3" xfId="3375" xr:uid="{00000000-0005-0000-0000-000012100000}"/>
    <cellStyle name="20% - Accent3 4 2 2 6 4" xfId="3376" xr:uid="{00000000-0005-0000-0000-000013100000}"/>
    <cellStyle name="20% - Accent3 4 2 2 7" xfId="3377" xr:uid="{00000000-0005-0000-0000-000014100000}"/>
    <cellStyle name="20% - Accent3 4 2 2 7 2" xfId="3378" xr:uid="{00000000-0005-0000-0000-000015100000}"/>
    <cellStyle name="20% - Accent3 4 2 2 7 2 2" xfId="3379" xr:uid="{00000000-0005-0000-0000-000016100000}"/>
    <cellStyle name="20% - Accent3 4 2 2 7 3" xfId="3380" xr:uid="{00000000-0005-0000-0000-000017100000}"/>
    <cellStyle name="20% - Accent3 4 2 2 7 4" xfId="3381" xr:uid="{00000000-0005-0000-0000-000018100000}"/>
    <cellStyle name="20% - Accent3 4 2 2 8" xfId="3382" xr:uid="{00000000-0005-0000-0000-000019100000}"/>
    <cellStyle name="20% - Accent3 4 2 2 8 2" xfId="3383" xr:uid="{00000000-0005-0000-0000-00001A100000}"/>
    <cellStyle name="20% - Accent3 4 2 2 9" xfId="3384" xr:uid="{00000000-0005-0000-0000-00001B100000}"/>
    <cellStyle name="20% - Accent3 4 2 3" xfId="3385" xr:uid="{00000000-0005-0000-0000-00001C100000}"/>
    <cellStyle name="20% - Accent3 4 2 3 10" xfId="34553" xr:uid="{00000000-0005-0000-0000-00001D100000}"/>
    <cellStyle name="20% - Accent3 4 2 3 2" xfId="3386" xr:uid="{00000000-0005-0000-0000-00001E100000}"/>
    <cellStyle name="20% - Accent3 4 2 3 2 2" xfId="3387" xr:uid="{00000000-0005-0000-0000-00001F100000}"/>
    <cellStyle name="20% - Accent3 4 2 3 2 2 2" xfId="3388" xr:uid="{00000000-0005-0000-0000-000020100000}"/>
    <cellStyle name="20% - Accent3 4 2 3 2 2 2 2" xfId="3389" xr:uid="{00000000-0005-0000-0000-000021100000}"/>
    <cellStyle name="20% - Accent3 4 2 3 2 2 3" xfId="3390" xr:uid="{00000000-0005-0000-0000-000022100000}"/>
    <cellStyle name="20% - Accent3 4 2 3 2 2 4" xfId="3391" xr:uid="{00000000-0005-0000-0000-000023100000}"/>
    <cellStyle name="20% - Accent3 4 2 3 2 2 5" xfId="37207" xr:uid="{00000000-0005-0000-0000-000024100000}"/>
    <cellStyle name="20% - Accent3 4 2 3 2 3" xfId="3392" xr:uid="{00000000-0005-0000-0000-000025100000}"/>
    <cellStyle name="20% - Accent3 4 2 3 2 3 2" xfId="3393" xr:uid="{00000000-0005-0000-0000-000026100000}"/>
    <cellStyle name="20% - Accent3 4 2 3 2 4" xfId="3394" xr:uid="{00000000-0005-0000-0000-000027100000}"/>
    <cellStyle name="20% - Accent3 4 2 3 2 5" xfId="3395" xr:uid="{00000000-0005-0000-0000-000028100000}"/>
    <cellStyle name="20% - Accent3 4 2 3 2 6" xfId="37206" xr:uid="{00000000-0005-0000-0000-000029100000}"/>
    <cellStyle name="20% - Accent3 4 2 3 3" xfId="3396" xr:uid="{00000000-0005-0000-0000-00002A100000}"/>
    <cellStyle name="20% - Accent3 4 2 3 3 2" xfId="3397" xr:uid="{00000000-0005-0000-0000-00002B100000}"/>
    <cellStyle name="20% - Accent3 4 2 3 3 2 2" xfId="3398" xr:uid="{00000000-0005-0000-0000-00002C100000}"/>
    <cellStyle name="20% - Accent3 4 2 3 3 2 2 2" xfId="3399" xr:uid="{00000000-0005-0000-0000-00002D100000}"/>
    <cellStyle name="20% - Accent3 4 2 3 3 2 3" xfId="3400" xr:uid="{00000000-0005-0000-0000-00002E100000}"/>
    <cellStyle name="20% - Accent3 4 2 3 3 2 4" xfId="3401" xr:uid="{00000000-0005-0000-0000-00002F100000}"/>
    <cellStyle name="20% - Accent3 4 2 3 3 2 5" xfId="37209" xr:uid="{00000000-0005-0000-0000-000030100000}"/>
    <cellStyle name="20% - Accent3 4 2 3 3 3" xfId="3402" xr:uid="{00000000-0005-0000-0000-000031100000}"/>
    <cellStyle name="20% - Accent3 4 2 3 3 3 2" xfId="3403" xr:uid="{00000000-0005-0000-0000-000032100000}"/>
    <cellStyle name="20% - Accent3 4 2 3 3 4" xfId="3404" xr:uid="{00000000-0005-0000-0000-000033100000}"/>
    <cellStyle name="20% - Accent3 4 2 3 3 5" xfId="3405" xr:uid="{00000000-0005-0000-0000-000034100000}"/>
    <cellStyle name="20% - Accent3 4 2 3 3 6" xfId="37208" xr:uid="{00000000-0005-0000-0000-000035100000}"/>
    <cellStyle name="20% - Accent3 4 2 3 4" xfId="3406" xr:uid="{00000000-0005-0000-0000-000036100000}"/>
    <cellStyle name="20% - Accent3 4 2 3 4 2" xfId="3407" xr:uid="{00000000-0005-0000-0000-000037100000}"/>
    <cellStyle name="20% - Accent3 4 2 3 4 2 2" xfId="3408" xr:uid="{00000000-0005-0000-0000-000038100000}"/>
    <cellStyle name="20% - Accent3 4 2 3 4 3" xfId="3409" xr:uid="{00000000-0005-0000-0000-000039100000}"/>
    <cellStyle name="20% - Accent3 4 2 3 4 4" xfId="3410" xr:uid="{00000000-0005-0000-0000-00003A100000}"/>
    <cellStyle name="20% - Accent3 4 2 3 4 5" xfId="37210" xr:uid="{00000000-0005-0000-0000-00003B100000}"/>
    <cellStyle name="20% - Accent3 4 2 3 5" xfId="3411" xr:uid="{00000000-0005-0000-0000-00003C100000}"/>
    <cellStyle name="20% - Accent3 4 2 3 5 2" xfId="3412" xr:uid="{00000000-0005-0000-0000-00003D100000}"/>
    <cellStyle name="20% - Accent3 4 2 3 5 2 2" xfId="3413" xr:uid="{00000000-0005-0000-0000-00003E100000}"/>
    <cellStyle name="20% - Accent3 4 2 3 5 3" xfId="3414" xr:uid="{00000000-0005-0000-0000-00003F100000}"/>
    <cellStyle name="20% - Accent3 4 2 3 5 4" xfId="3415" xr:uid="{00000000-0005-0000-0000-000040100000}"/>
    <cellStyle name="20% - Accent3 4 2 3 6" xfId="3416" xr:uid="{00000000-0005-0000-0000-000041100000}"/>
    <cellStyle name="20% - Accent3 4 2 3 6 2" xfId="3417" xr:uid="{00000000-0005-0000-0000-000042100000}"/>
    <cellStyle name="20% - Accent3 4 2 3 6 2 2" xfId="3418" xr:uid="{00000000-0005-0000-0000-000043100000}"/>
    <cellStyle name="20% - Accent3 4 2 3 6 3" xfId="3419" xr:uid="{00000000-0005-0000-0000-000044100000}"/>
    <cellStyle name="20% - Accent3 4 2 3 6 4" xfId="3420" xr:uid="{00000000-0005-0000-0000-000045100000}"/>
    <cellStyle name="20% - Accent3 4 2 3 7" xfId="3421" xr:uid="{00000000-0005-0000-0000-000046100000}"/>
    <cellStyle name="20% - Accent3 4 2 3 7 2" xfId="3422" xr:uid="{00000000-0005-0000-0000-000047100000}"/>
    <cellStyle name="20% - Accent3 4 2 3 8" xfId="3423" xr:uid="{00000000-0005-0000-0000-000048100000}"/>
    <cellStyle name="20% - Accent3 4 2 3 9" xfId="3424" xr:uid="{00000000-0005-0000-0000-000049100000}"/>
    <cellStyle name="20% - Accent3 4 2 4" xfId="3425" xr:uid="{00000000-0005-0000-0000-00004A100000}"/>
    <cellStyle name="20% - Accent3 4 2 4 2" xfId="3426" xr:uid="{00000000-0005-0000-0000-00004B100000}"/>
    <cellStyle name="20% - Accent3 4 2 4 2 2" xfId="3427" xr:uid="{00000000-0005-0000-0000-00004C100000}"/>
    <cellStyle name="20% - Accent3 4 2 4 2 2 2" xfId="3428" xr:uid="{00000000-0005-0000-0000-00004D100000}"/>
    <cellStyle name="20% - Accent3 4 2 4 2 3" xfId="3429" xr:uid="{00000000-0005-0000-0000-00004E100000}"/>
    <cellStyle name="20% - Accent3 4 2 4 2 4" xfId="3430" xr:uid="{00000000-0005-0000-0000-00004F100000}"/>
    <cellStyle name="20% - Accent3 4 2 4 2 5" xfId="37212" xr:uid="{00000000-0005-0000-0000-000050100000}"/>
    <cellStyle name="20% - Accent3 4 2 4 3" xfId="3431" xr:uid="{00000000-0005-0000-0000-000051100000}"/>
    <cellStyle name="20% - Accent3 4 2 4 3 2" xfId="3432" xr:uid="{00000000-0005-0000-0000-000052100000}"/>
    <cellStyle name="20% - Accent3 4 2 4 4" xfId="3433" xr:uid="{00000000-0005-0000-0000-000053100000}"/>
    <cellStyle name="20% - Accent3 4 2 4 5" xfId="3434" xr:uid="{00000000-0005-0000-0000-000054100000}"/>
    <cellStyle name="20% - Accent3 4 2 4 6" xfId="37211" xr:uid="{00000000-0005-0000-0000-000055100000}"/>
    <cellStyle name="20% - Accent3 4 2 5" xfId="3435" xr:uid="{00000000-0005-0000-0000-000056100000}"/>
    <cellStyle name="20% - Accent3 4 2 5 2" xfId="3436" xr:uid="{00000000-0005-0000-0000-000057100000}"/>
    <cellStyle name="20% - Accent3 4 2 5 2 2" xfId="3437" xr:uid="{00000000-0005-0000-0000-000058100000}"/>
    <cellStyle name="20% - Accent3 4 2 5 2 2 2" xfId="3438" xr:uid="{00000000-0005-0000-0000-000059100000}"/>
    <cellStyle name="20% - Accent3 4 2 5 2 3" xfId="3439" xr:uid="{00000000-0005-0000-0000-00005A100000}"/>
    <cellStyle name="20% - Accent3 4 2 5 2 4" xfId="3440" xr:uid="{00000000-0005-0000-0000-00005B100000}"/>
    <cellStyle name="20% - Accent3 4 2 5 2 5" xfId="37214" xr:uid="{00000000-0005-0000-0000-00005C100000}"/>
    <cellStyle name="20% - Accent3 4 2 5 3" xfId="3441" xr:uid="{00000000-0005-0000-0000-00005D100000}"/>
    <cellStyle name="20% - Accent3 4 2 5 3 2" xfId="3442" xr:uid="{00000000-0005-0000-0000-00005E100000}"/>
    <cellStyle name="20% - Accent3 4 2 5 4" xfId="3443" xr:uid="{00000000-0005-0000-0000-00005F100000}"/>
    <cellStyle name="20% - Accent3 4 2 5 5" xfId="3444" xr:uid="{00000000-0005-0000-0000-000060100000}"/>
    <cellStyle name="20% - Accent3 4 2 5 6" xfId="37213" xr:uid="{00000000-0005-0000-0000-000061100000}"/>
    <cellStyle name="20% - Accent3 4 2 6" xfId="3445" xr:uid="{00000000-0005-0000-0000-000062100000}"/>
    <cellStyle name="20% - Accent3 4 2 6 2" xfId="3446" xr:uid="{00000000-0005-0000-0000-000063100000}"/>
    <cellStyle name="20% - Accent3 4 2 6 2 2" xfId="3447" xr:uid="{00000000-0005-0000-0000-000064100000}"/>
    <cellStyle name="20% - Accent3 4 2 6 3" xfId="3448" xr:uid="{00000000-0005-0000-0000-000065100000}"/>
    <cellStyle name="20% - Accent3 4 2 6 4" xfId="3449" xr:uid="{00000000-0005-0000-0000-000066100000}"/>
    <cellStyle name="20% - Accent3 4 2 6 5" xfId="37215" xr:uid="{00000000-0005-0000-0000-000067100000}"/>
    <cellStyle name="20% - Accent3 4 2 7" xfId="3450" xr:uid="{00000000-0005-0000-0000-000068100000}"/>
    <cellStyle name="20% - Accent3 4 2 7 2" xfId="3451" xr:uid="{00000000-0005-0000-0000-000069100000}"/>
    <cellStyle name="20% - Accent3 4 2 7 2 2" xfId="3452" xr:uid="{00000000-0005-0000-0000-00006A100000}"/>
    <cellStyle name="20% - Accent3 4 2 7 3" xfId="3453" xr:uid="{00000000-0005-0000-0000-00006B100000}"/>
    <cellStyle name="20% - Accent3 4 2 7 4" xfId="3454" xr:uid="{00000000-0005-0000-0000-00006C100000}"/>
    <cellStyle name="20% - Accent3 4 2 8" xfId="3455" xr:uid="{00000000-0005-0000-0000-00006D100000}"/>
    <cellStyle name="20% - Accent3 4 2 8 2" xfId="3456" xr:uid="{00000000-0005-0000-0000-00006E100000}"/>
    <cellStyle name="20% - Accent3 4 2 8 2 2" xfId="3457" xr:uid="{00000000-0005-0000-0000-00006F100000}"/>
    <cellStyle name="20% - Accent3 4 2 8 3" xfId="3458" xr:uid="{00000000-0005-0000-0000-000070100000}"/>
    <cellStyle name="20% - Accent3 4 2 8 4" xfId="3459" xr:uid="{00000000-0005-0000-0000-000071100000}"/>
    <cellStyle name="20% - Accent3 4 2 9" xfId="3460" xr:uid="{00000000-0005-0000-0000-000072100000}"/>
    <cellStyle name="20% - Accent3 4 2 9 2" xfId="3461" xr:uid="{00000000-0005-0000-0000-000073100000}"/>
    <cellStyle name="20% - Accent3 4 3" xfId="3462" xr:uid="{00000000-0005-0000-0000-000074100000}"/>
    <cellStyle name="20% - Accent3 4 3 10" xfId="3463" xr:uid="{00000000-0005-0000-0000-000075100000}"/>
    <cellStyle name="20% - Accent3 4 3 11" xfId="34554" xr:uid="{00000000-0005-0000-0000-000076100000}"/>
    <cellStyle name="20% - Accent3 4 3 2" xfId="3464" xr:uid="{00000000-0005-0000-0000-000077100000}"/>
    <cellStyle name="20% - Accent3 4 3 2 10" xfId="34555" xr:uid="{00000000-0005-0000-0000-000078100000}"/>
    <cellStyle name="20% - Accent3 4 3 2 2" xfId="3465" xr:uid="{00000000-0005-0000-0000-000079100000}"/>
    <cellStyle name="20% - Accent3 4 3 2 2 2" xfId="3466" xr:uid="{00000000-0005-0000-0000-00007A100000}"/>
    <cellStyle name="20% - Accent3 4 3 2 2 2 2" xfId="3467" xr:uid="{00000000-0005-0000-0000-00007B100000}"/>
    <cellStyle name="20% - Accent3 4 3 2 2 2 2 2" xfId="3468" xr:uid="{00000000-0005-0000-0000-00007C100000}"/>
    <cellStyle name="20% - Accent3 4 3 2 2 2 3" xfId="3469" xr:uid="{00000000-0005-0000-0000-00007D100000}"/>
    <cellStyle name="20% - Accent3 4 3 2 2 2 4" xfId="3470" xr:uid="{00000000-0005-0000-0000-00007E100000}"/>
    <cellStyle name="20% - Accent3 4 3 2 2 2 5" xfId="37217" xr:uid="{00000000-0005-0000-0000-00007F100000}"/>
    <cellStyle name="20% - Accent3 4 3 2 2 3" xfId="3471" xr:uid="{00000000-0005-0000-0000-000080100000}"/>
    <cellStyle name="20% - Accent3 4 3 2 2 3 2" xfId="3472" xr:uid="{00000000-0005-0000-0000-000081100000}"/>
    <cellStyle name="20% - Accent3 4 3 2 2 4" xfId="3473" xr:uid="{00000000-0005-0000-0000-000082100000}"/>
    <cellStyle name="20% - Accent3 4 3 2 2 5" xfId="3474" xr:uid="{00000000-0005-0000-0000-000083100000}"/>
    <cellStyle name="20% - Accent3 4 3 2 2 6" xfId="37216" xr:uid="{00000000-0005-0000-0000-000084100000}"/>
    <cellStyle name="20% - Accent3 4 3 2 3" xfId="3475" xr:uid="{00000000-0005-0000-0000-000085100000}"/>
    <cellStyle name="20% - Accent3 4 3 2 3 2" xfId="3476" xr:uid="{00000000-0005-0000-0000-000086100000}"/>
    <cellStyle name="20% - Accent3 4 3 2 3 2 2" xfId="3477" xr:uid="{00000000-0005-0000-0000-000087100000}"/>
    <cellStyle name="20% - Accent3 4 3 2 3 2 2 2" xfId="3478" xr:uid="{00000000-0005-0000-0000-000088100000}"/>
    <cellStyle name="20% - Accent3 4 3 2 3 2 3" xfId="3479" xr:uid="{00000000-0005-0000-0000-000089100000}"/>
    <cellStyle name="20% - Accent3 4 3 2 3 2 4" xfId="3480" xr:uid="{00000000-0005-0000-0000-00008A100000}"/>
    <cellStyle name="20% - Accent3 4 3 2 3 2 5" xfId="37219" xr:uid="{00000000-0005-0000-0000-00008B100000}"/>
    <cellStyle name="20% - Accent3 4 3 2 3 3" xfId="3481" xr:uid="{00000000-0005-0000-0000-00008C100000}"/>
    <cellStyle name="20% - Accent3 4 3 2 3 3 2" xfId="3482" xr:uid="{00000000-0005-0000-0000-00008D100000}"/>
    <cellStyle name="20% - Accent3 4 3 2 3 4" xfId="3483" xr:uid="{00000000-0005-0000-0000-00008E100000}"/>
    <cellStyle name="20% - Accent3 4 3 2 3 5" xfId="3484" xr:uid="{00000000-0005-0000-0000-00008F100000}"/>
    <cellStyle name="20% - Accent3 4 3 2 3 6" xfId="37218" xr:uid="{00000000-0005-0000-0000-000090100000}"/>
    <cellStyle name="20% - Accent3 4 3 2 4" xfId="3485" xr:uid="{00000000-0005-0000-0000-000091100000}"/>
    <cellStyle name="20% - Accent3 4 3 2 4 2" xfId="3486" xr:uid="{00000000-0005-0000-0000-000092100000}"/>
    <cellStyle name="20% - Accent3 4 3 2 4 2 2" xfId="3487" xr:uid="{00000000-0005-0000-0000-000093100000}"/>
    <cellStyle name="20% - Accent3 4 3 2 4 3" xfId="3488" xr:uid="{00000000-0005-0000-0000-000094100000}"/>
    <cellStyle name="20% - Accent3 4 3 2 4 4" xfId="3489" xr:uid="{00000000-0005-0000-0000-000095100000}"/>
    <cellStyle name="20% - Accent3 4 3 2 4 5" xfId="37220" xr:uid="{00000000-0005-0000-0000-000096100000}"/>
    <cellStyle name="20% - Accent3 4 3 2 5" xfId="3490" xr:uid="{00000000-0005-0000-0000-000097100000}"/>
    <cellStyle name="20% - Accent3 4 3 2 5 2" xfId="3491" xr:uid="{00000000-0005-0000-0000-000098100000}"/>
    <cellStyle name="20% - Accent3 4 3 2 5 2 2" xfId="3492" xr:uid="{00000000-0005-0000-0000-000099100000}"/>
    <cellStyle name="20% - Accent3 4 3 2 5 3" xfId="3493" xr:uid="{00000000-0005-0000-0000-00009A100000}"/>
    <cellStyle name="20% - Accent3 4 3 2 5 4" xfId="3494" xr:uid="{00000000-0005-0000-0000-00009B100000}"/>
    <cellStyle name="20% - Accent3 4 3 2 6" xfId="3495" xr:uid="{00000000-0005-0000-0000-00009C100000}"/>
    <cellStyle name="20% - Accent3 4 3 2 6 2" xfId="3496" xr:uid="{00000000-0005-0000-0000-00009D100000}"/>
    <cellStyle name="20% - Accent3 4 3 2 6 2 2" xfId="3497" xr:uid="{00000000-0005-0000-0000-00009E100000}"/>
    <cellStyle name="20% - Accent3 4 3 2 6 3" xfId="3498" xr:uid="{00000000-0005-0000-0000-00009F100000}"/>
    <cellStyle name="20% - Accent3 4 3 2 6 4" xfId="3499" xr:uid="{00000000-0005-0000-0000-0000A0100000}"/>
    <cellStyle name="20% - Accent3 4 3 2 7" xfId="3500" xr:uid="{00000000-0005-0000-0000-0000A1100000}"/>
    <cellStyle name="20% - Accent3 4 3 2 7 2" xfId="3501" xr:uid="{00000000-0005-0000-0000-0000A2100000}"/>
    <cellStyle name="20% - Accent3 4 3 2 8" xfId="3502" xr:uid="{00000000-0005-0000-0000-0000A3100000}"/>
    <cellStyle name="20% - Accent3 4 3 2 9" xfId="3503" xr:uid="{00000000-0005-0000-0000-0000A4100000}"/>
    <cellStyle name="20% - Accent3 4 3 3" xfId="3504" xr:uid="{00000000-0005-0000-0000-0000A5100000}"/>
    <cellStyle name="20% - Accent3 4 3 3 2" xfId="3505" xr:uid="{00000000-0005-0000-0000-0000A6100000}"/>
    <cellStyle name="20% - Accent3 4 3 3 2 2" xfId="3506" xr:uid="{00000000-0005-0000-0000-0000A7100000}"/>
    <cellStyle name="20% - Accent3 4 3 3 2 2 2" xfId="3507" xr:uid="{00000000-0005-0000-0000-0000A8100000}"/>
    <cellStyle name="20% - Accent3 4 3 3 2 3" xfId="3508" xr:uid="{00000000-0005-0000-0000-0000A9100000}"/>
    <cellStyle name="20% - Accent3 4 3 3 2 4" xfId="3509" xr:uid="{00000000-0005-0000-0000-0000AA100000}"/>
    <cellStyle name="20% - Accent3 4 3 3 2 5" xfId="37222" xr:uid="{00000000-0005-0000-0000-0000AB100000}"/>
    <cellStyle name="20% - Accent3 4 3 3 3" xfId="3510" xr:uid="{00000000-0005-0000-0000-0000AC100000}"/>
    <cellStyle name="20% - Accent3 4 3 3 3 2" xfId="3511" xr:uid="{00000000-0005-0000-0000-0000AD100000}"/>
    <cellStyle name="20% - Accent3 4 3 3 4" xfId="3512" xr:uid="{00000000-0005-0000-0000-0000AE100000}"/>
    <cellStyle name="20% - Accent3 4 3 3 5" xfId="3513" xr:uid="{00000000-0005-0000-0000-0000AF100000}"/>
    <cellStyle name="20% - Accent3 4 3 3 6" xfId="37221" xr:uid="{00000000-0005-0000-0000-0000B0100000}"/>
    <cellStyle name="20% - Accent3 4 3 4" xfId="3514" xr:uid="{00000000-0005-0000-0000-0000B1100000}"/>
    <cellStyle name="20% - Accent3 4 3 4 2" xfId="3515" xr:uid="{00000000-0005-0000-0000-0000B2100000}"/>
    <cellStyle name="20% - Accent3 4 3 4 2 2" xfId="3516" xr:uid="{00000000-0005-0000-0000-0000B3100000}"/>
    <cellStyle name="20% - Accent3 4 3 4 2 2 2" xfId="3517" xr:uid="{00000000-0005-0000-0000-0000B4100000}"/>
    <cellStyle name="20% - Accent3 4 3 4 2 3" xfId="3518" xr:uid="{00000000-0005-0000-0000-0000B5100000}"/>
    <cellStyle name="20% - Accent3 4 3 4 2 4" xfId="3519" xr:uid="{00000000-0005-0000-0000-0000B6100000}"/>
    <cellStyle name="20% - Accent3 4 3 4 2 5" xfId="37224" xr:uid="{00000000-0005-0000-0000-0000B7100000}"/>
    <cellStyle name="20% - Accent3 4 3 4 3" xfId="3520" xr:uid="{00000000-0005-0000-0000-0000B8100000}"/>
    <cellStyle name="20% - Accent3 4 3 4 3 2" xfId="3521" xr:uid="{00000000-0005-0000-0000-0000B9100000}"/>
    <cellStyle name="20% - Accent3 4 3 4 4" xfId="3522" xr:uid="{00000000-0005-0000-0000-0000BA100000}"/>
    <cellStyle name="20% - Accent3 4 3 4 5" xfId="3523" xr:uid="{00000000-0005-0000-0000-0000BB100000}"/>
    <cellStyle name="20% - Accent3 4 3 4 6" xfId="37223" xr:uid="{00000000-0005-0000-0000-0000BC100000}"/>
    <cellStyle name="20% - Accent3 4 3 5" xfId="3524" xr:uid="{00000000-0005-0000-0000-0000BD100000}"/>
    <cellStyle name="20% - Accent3 4 3 5 2" xfId="3525" xr:uid="{00000000-0005-0000-0000-0000BE100000}"/>
    <cellStyle name="20% - Accent3 4 3 5 2 2" xfId="3526" xr:uid="{00000000-0005-0000-0000-0000BF100000}"/>
    <cellStyle name="20% - Accent3 4 3 5 3" xfId="3527" xr:uid="{00000000-0005-0000-0000-0000C0100000}"/>
    <cellStyle name="20% - Accent3 4 3 5 4" xfId="3528" xr:uid="{00000000-0005-0000-0000-0000C1100000}"/>
    <cellStyle name="20% - Accent3 4 3 5 5" xfId="37225" xr:uid="{00000000-0005-0000-0000-0000C2100000}"/>
    <cellStyle name="20% - Accent3 4 3 6" xfId="3529" xr:uid="{00000000-0005-0000-0000-0000C3100000}"/>
    <cellStyle name="20% - Accent3 4 3 6 2" xfId="3530" xr:uid="{00000000-0005-0000-0000-0000C4100000}"/>
    <cellStyle name="20% - Accent3 4 3 6 2 2" xfId="3531" xr:uid="{00000000-0005-0000-0000-0000C5100000}"/>
    <cellStyle name="20% - Accent3 4 3 6 3" xfId="3532" xr:uid="{00000000-0005-0000-0000-0000C6100000}"/>
    <cellStyle name="20% - Accent3 4 3 6 4" xfId="3533" xr:uid="{00000000-0005-0000-0000-0000C7100000}"/>
    <cellStyle name="20% - Accent3 4 3 7" xfId="3534" xr:uid="{00000000-0005-0000-0000-0000C8100000}"/>
    <cellStyle name="20% - Accent3 4 3 7 2" xfId="3535" xr:uid="{00000000-0005-0000-0000-0000C9100000}"/>
    <cellStyle name="20% - Accent3 4 3 7 2 2" xfId="3536" xr:uid="{00000000-0005-0000-0000-0000CA100000}"/>
    <cellStyle name="20% - Accent3 4 3 7 3" xfId="3537" xr:uid="{00000000-0005-0000-0000-0000CB100000}"/>
    <cellStyle name="20% - Accent3 4 3 7 4" xfId="3538" xr:uid="{00000000-0005-0000-0000-0000CC100000}"/>
    <cellStyle name="20% - Accent3 4 3 8" xfId="3539" xr:uid="{00000000-0005-0000-0000-0000CD100000}"/>
    <cellStyle name="20% - Accent3 4 3 8 2" xfId="3540" xr:uid="{00000000-0005-0000-0000-0000CE100000}"/>
    <cellStyle name="20% - Accent3 4 3 9" xfId="3541" xr:uid="{00000000-0005-0000-0000-0000CF100000}"/>
    <cellStyle name="20% - Accent3 4 4" xfId="3542" xr:uid="{00000000-0005-0000-0000-0000D0100000}"/>
    <cellStyle name="20% - Accent3 4 4 10" xfId="34556" xr:uid="{00000000-0005-0000-0000-0000D1100000}"/>
    <cellStyle name="20% - Accent3 4 4 2" xfId="3543" xr:uid="{00000000-0005-0000-0000-0000D2100000}"/>
    <cellStyle name="20% - Accent3 4 4 2 2" xfId="3544" xr:uid="{00000000-0005-0000-0000-0000D3100000}"/>
    <cellStyle name="20% - Accent3 4 4 2 2 2" xfId="3545" xr:uid="{00000000-0005-0000-0000-0000D4100000}"/>
    <cellStyle name="20% - Accent3 4 4 2 2 2 2" xfId="3546" xr:uid="{00000000-0005-0000-0000-0000D5100000}"/>
    <cellStyle name="20% - Accent3 4 4 2 2 3" xfId="3547" xr:uid="{00000000-0005-0000-0000-0000D6100000}"/>
    <cellStyle name="20% - Accent3 4 4 2 2 4" xfId="3548" xr:uid="{00000000-0005-0000-0000-0000D7100000}"/>
    <cellStyle name="20% - Accent3 4 4 2 2 5" xfId="37227" xr:uid="{00000000-0005-0000-0000-0000D8100000}"/>
    <cellStyle name="20% - Accent3 4 4 2 3" xfId="3549" xr:uid="{00000000-0005-0000-0000-0000D9100000}"/>
    <cellStyle name="20% - Accent3 4 4 2 3 2" xfId="3550" xr:uid="{00000000-0005-0000-0000-0000DA100000}"/>
    <cellStyle name="20% - Accent3 4 4 2 4" xfId="3551" xr:uid="{00000000-0005-0000-0000-0000DB100000}"/>
    <cellStyle name="20% - Accent3 4 4 2 5" xfId="3552" xr:uid="{00000000-0005-0000-0000-0000DC100000}"/>
    <cellStyle name="20% - Accent3 4 4 2 6" xfId="37226" xr:uid="{00000000-0005-0000-0000-0000DD100000}"/>
    <cellStyle name="20% - Accent3 4 4 3" xfId="3553" xr:uid="{00000000-0005-0000-0000-0000DE100000}"/>
    <cellStyle name="20% - Accent3 4 4 3 2" xfId="3554" xr:uid="{00000000-0005-0000-0000-0000DF100000}"/>
    <cellStyle name="20% - Accent3 4 4 3 2 2" xfId="3555" xr:uid="{00000000-0005-0000-0000-0000E0100000}"/>
    <cellStyle name="20% - Accent3 4 4 3 2 2 2" xfId="3556" xr:uid="{00000000-0005-0000-0000-0000E1100000}"/>
    <cellStyle name="20% - Accent3 4 4 3 2 3" xfId="3557" xr:uid="{00000000-0005-0000-0000-0000E2100000}"/>
    <cellStyle name="20% - Accent3 4 4 3 2 4" xfId="3558" xr:uid="{00000000-0005-0000-0000-0000E3100000}"/>
    <cellStyle name="20% - Accent3 4 4 3 2 5" xfId="37229" xr:uid="{00000000-0005-0000-0000-0000E4100000}"/>
    <cellStyle name="20% - Accent3 4 4 3 3" xfId="3559" xr:uid="{00000000-0005-0000-0000-0000E5100000}"/>
    <cellStyle name="20% - Accent3 4 4 3 3 2" xfId="3560" xr:uid="{00000000-0005-0000-0000-0000E6100000}"/>
    <cellStyle name="20% - Accent3 4 4 3 4" xfId="3561" xr:uid="{00000000-0005-0000-0000-0000E7100000}"/>
    <cellStyle name="20% - Accent3 4 4 3 5" xfId="3562" xr:uid="{00000000-0005-0000-0000-0000E8100000}"/>
    <cellStyle name="20% - Accent3 4 4 3 6" xfId="37228" xr:uid="{00000000-0005-0000-0000-0000E9100000}"/>
    <cellStyle name="20% - Accent3 4 4 4" xfId="3563" xr:uid="{00000000-0005-0000-0000-0000EA100000}"/>
    <cellStyle name="20% - Accent3 4 4 4 2" xfId="3564" xr:uid="{00000000-0005-0000-0000-0000EB100000}"/>
    <cellStyle name="20% - Accent3 4 4 4 2 2" xfId="3565" xr:uid="{00000000-0005-0000-0000-0000EC100000}"/>
    <cellStyle name="20% - Accent3 4 4 4 3" xfId="3566" xr:uid="{00000000-0005-0000-0000-0000ED100000}"/>
    <cellStyle name="20% - Accent3 4 4 4 4" xfId="3567" xr:uid="{00000000-0005-0000-0000-0000EE100000}"/>
    <cellStyle name="20% - Accent3 4 4 4 5" xfId="37230" xr:uid="{00000000-0005-0000-0000-0000EF100000}"/>
    <cellStyle name="20% - Accent3 4 4 5" xfId="3568" xr:uid="{00000000-0005-0000-0000-0000F0100000}"/>
    <cellStyle name="20% - Accent3 4 4 5 2" xfId="3569" xr:uid="{00000000-0005-0000-0000-0000F1100000}"/>
    <cellStyle name="20% - Accent3 4 4 5 2 2" xfId="3570" xr:uid="{00000000-0005-0000-0000-0000F2100000}"/>
    <cellStyle name="20% - Accent3 4 4 5 3" xfId="3571" xr:uid="{00000000-0005-0000-0000-0000F3100000}"/>
    <cellStyle name="20% - Accent3 4 4 5 4" xfId="3572" xr:uid="{00000000-0005-0000-0000-0000F4100000}"/>
    <cellStyle name="20% - Accent3 4 4 6" xfId="3573" xr:uid="{00000000-0005-0000-0000-0000F5100000}"/>
    <cellStyle name="20% - Accent3 4 4 6 2" xfId="3574" xr:uid="{00000000-0005-0000-0000-0000F6100000}"/>
    <cellStyle name="20% - Accent3 4 4 6 2 2" xfId="3575" xr:uid="{00000000-0005-0000-0000-0000F7100000}"/>
    <cellStyle name="20% - Accent3 4 4 6 3" xfId="3576" xr:uid="{00000000-0005-0000-0000-0000F8100000}"/>
    <cellStyle name="20% - Accent3 4 4 6 4" xfId="3577" xr:uid="{00000000-0005-0000-0000-0000F9100000}"/>
    <cellStyle name="20% - Accent3 4 4 7" xfId="3578" xr:uid="{00000000-0005-0000-0000-0000FA100000}"/>
    <cellStyle name="20% - Accent3 4 4 7 2" xfId="3579" xr:uid="{00000000-0005-0000-0000-0000FB100000}"/>
    <cellStyle name="20% - Accent3 4 4 8" xfId="3580" xr:uid="{00000000-0005-0000-0000-0000FC100000}"/>
    <cellStyle name="20% - Accent3 4 4 9" xfId="3581" xr:uid="{00000000-0005-0000-0000-0000FD100000}"/>
    <cellStyle name="20% - Accent3 4 5" xfId="3582" xr:uid="{00000000-0005-0000-0000-0000FE100000}"/>
    <cellStyle name="20% - Accent3 4 5 2" xfId="3583" xr:uid="{00000000-0005-0000-0000-0000FF100000}"/>
    <cellStyle name="20% - Accent3 4 5 2 2" xfId="3584" xr:uid="{00000000-0005-0000-0000-000000110000}"/>
    <cellStyle name="20% - Accent3 4 5 2 2 2" xfId="3585" xr:uid="{00000000-0005-0000-0000-000001110000}"/>
    <cellStyle name="20% - Accent3 4 5 2 3" xfId="3586" xr:uid="{00000000-0005-0000-0000-000002110000}"/>
    <cellStyle name="20% - Accent3 4 5 2 4" xfId="3587" xr:uid="{00000000-0005-0000-0000-000003110000}"/>
    <cellStyle name="20% - Accent3 4 5 2 5" xfId="37232" xr:uid="{00000000-0005-0000-0000-000004110000}"/>
    <cellStyle name="20% - Accent3 4 5 3" xfId="3588" xr:uid="{00000000-0005-0000-0000-000005110000}"/>
    <cellStyle name="20% - Accent3 4 5 3 2" xfId="3589" xr:uid="{00000000-0005-0000-0000-000006110000}"/>
    <cellStyle name="20% - Accent3 4 5 3 2 2" xfId="3590" xr:uid="{00000000-0005-0000-0000-000007110000}"/>
    <cellStyle name="20% - Accent3 4 5 3 3" xfId="3591" xr:uid="{00000000-0005-0000-0000-000008110000}"/>
    <cellStyle name="20% - Accent3 4 5 3 4" xfId="3592" xr:uid="{00000000-0005-0000-0000-000009110000}"/>
    <cellStyle name="20% - Accent3 4 5 4" xfId="3593" xr:uid="{00000000-0005-0000-0000-00000A110000}"/>
    <cellStyle name="20% - Accent3 4 5 4 2" xfId="3594" xr:uid="{00000000-0005-0000-0000-00000B110000}"/>
    <cellStyle name="20% - Accent3 4 5 5" xfId="3595" xr:uid="{00000000-0005-0000-0000-00000C110000}"/>
    <cellStyle name="20% - Accent3 4 5 6" xfId="3596" xr:uid="{00000000-0005-0000-0000-00000D110000}"/>
    <cellStyle name="20% - Accent3 4 5 7" xfId="37231" xr:uid="{00000000-0005-0000-0000-00000E110000}"/>
    <cellStyle name="20% - Accent3 4 6" xfId="3597" xr:uid="{00000000-0005-0000-0000-00000F110000}"/>
    <cellStyle name="20% - Accent3 4 6 2" xfId="3598" xr:uid="{00000000-0005-0000-0000-000010110000}"/>
    <cellStyle name="20% - Accent3 4 6 2 2" xfId="3599" xr:uid="{00000000-0005-0000-0000-000011110000}"/>
    <cellStyle name="20% - Accent3 4 6 2 2 2" xfId="3600" xr:uid="{00000000-0005-0000-0000-000012110000}"/>
    <cellStyle name="20% - Accent3 4 6 2 3" xfId="3601" xr:uid="{00000000-0005-0000-0000-000013110000}"/>
    <cellStyle name="20% - Accent3 4 6 2 4" xfId="3602" xr:uid="{00000000-0005-0000-0000-000014110000}"/>
    <cellStyle name="20% - Accent3 4 6 2 5" xfId="37234" xr:uid="{00000000-0005-0000-0000-000015110000}"/>
    <cellStyle name="20% - Accent3 4 6 3" xfId="3603" xr:uid="{00000000-0005-0000-0000-000016110000}"/>
    <cellStyle name="20% - Accent3 4 6 4" xfId="3604" xr:uid="{00000000-0005-0000-0000-000017110000}"/>
    <cellStyle name="20% - Accent3 4 6 4 2" xfId="3605" xr:uid="{00000000-0005-0000-0000-000018110000}"/>
    <cellStyle name="20% - Accent3 4 6 5" xfId="3606" xr:uid="{00000000-0005-0000-0000-000019110000}"/>
    <cellStyle name="20% - Accent3 4 6 6" xfId="3607" xr:uid="{00000000-0005-0000-0000-00001A110000}"/>
    <cellStyle name="20% - Accent3 4 6 7" xfId="37233" xr:uid="{00000000-0005-0000-0000-00001B110000}"/>
    <cellStyle name="20% - Accent3 4 7" xfId="3608" xr:uid="{00000000-0005-0000-0000-00001C110000}"/>
    <cellStyle name="20% - Accent3 4 7 2" xfId="3609" xr:uid="{00000000-0005-0000-0000-00001D110000}"/>
    <cellStyle name="20% - Accent3 4 7 2 2" xfId="3610" xr:uid="{00000000-0005-0000-0000-00001E110000}"/>
    <cellStyle name="20% - Accent3 4 7 3" xfId="3611" xr:uid="{00000000-0005-0000-0000-00001F110000}"/>
    <cellStyle name="20% - Accent3 4 7 4" xfId="3612" xr:uid="{00000000-0005-0000-0000-000020110000}"/>
    <cellStyle name="20% - Accent3 4 7 5" xfId="37235" xr:uid="{00000000-0005-0000-0000-000021110000}"/>
    <cellStyle name="20% - Accent3 4 8" xfId="3613" xr:uid="{00000000-0005-0000-0000-000022110000}"/>
    <cellStyle name="20% - Accent3 4 8 2" xfId="3614" xr:uid="{00000000-0005-0000-0000-000023110000}"/>
    <cellStyle name="20% - Accent3 4 8 2 2" xfId="3615" xr:uid="{00000000-0005-0000-0000-000024110000}"/>
    <cellStyle name="20% - Accent3 4 8 3" xfId="3616" xr:uid="{00000000-0005-0000-0000-000025110000}"/>
    <cellStyle name="20% - Accent3 4 8 4" xfId="3617" xr:uid="{00000000-0005-0000-0000-000026110000}"/>
    <cellStyle name="20% - Accent3 4 8 5" xfId="37236" xr:uid="{00000000-0005-0000-0000-000027110000}"/>
    <cellStyle name="20% - Accent3 4 9" xfId="3618" xr:uid="{00000000-0005-0000-0000-000028110000}"/>
    <cellStyle name="20% - Accent3 5" xfId="3619" xr:uid="{00000000-0005-0000-0000-000029110000}"/>
    <cellStyle name="20% - Accent3 5 10" xfId="3620" xr:uid="{00000000-0005-0000-0000-00002A110000}"/>
    <cellStyle name="20% - Accent3 5 10 2" xfId="3621" xr:uid="{00000000-0005-0000-0000-00002B110000}"/>
    <cellStyle name="20% - Accent3 5 11" xfId="3622" xr:uid="{00000000-0005-0000-0000-00002C110000}"/>
    <cellStyle name="20% - Accent3 5 12" xfId="3623" xr:uid="{00000000-0005-0000-0000-00002D110000}"/>
    <cellStyle name="20% - Accent3 5 13" xfId="34557" xr:uid="{00000000-0005-0000-0000-00002E110000}"/>
    <cellStyle name="20% - Accent3 5 2" xfId="3624" xr:uid="{00000000-0005-0000-0000-00002F110000}"/>
    <cellStyle name="20% - Accent3 5 2 10" xfId="3625" xr:uid="{00000000-0005-0000-0000-000030110000}"/>
    <cellStyle name="20% - Accent3 5 2 11" xfId="3626" xr:uid="{00000000-0005-0000-0000-000031110000}"/>
    <cellStyle name="20% - Accent3 5 2 12" xfId="34558" xr:uid="{00000000-0005-0000-0000-000032110000}"/>
    <cellStyle name="20% - Accent3 5 2 2" xfId="3627" xr:uid="{00000000-0005-0000-0000-000033110000}"/>
    <cellStyle name="20% - Accent3 5 2 2 10" xfId="3628" xr:uid="{00000000-0005-0000-0000-000034110000}"/>
    <cellStyle name="20% - Accent3 5 2 2 11" xfId="34559" xr:uid="{00000000-0005-0000-0000-000035110000}"/>
    <cellStyle name="20% - Accent3 5 2 2 2" xfId="3629" xr:uid="{00000000-0005-0000-0000-000036110000}"/>
    <cellStyle name="20% - Accent3 5 2 2 2 10" xfId="34560" xr:uid="{00000000-0005-0000-0000-000037110000}"/>
    <cellStyle name="20% - Accent3 5 2 2 2 2" xfId="3630" xr:uid="{00000000-0005-0000-0000-000038110000}"/>
    <cellStyle name="20% - Accent3 5 2 2 2 2 2" xfId="3631" xr:uid="{00000000-0005-0000-0000-000039110000}"/>
    <cellStyle name="20% - Accent3 5 2 2 2 2 2 2" xfId="3632" xr:uid="{00000000-0005-0000-0000-00003A110000}"/>
    <cellStyle name="20% - Accent3 5 2 2 2 2 2 2 2" xfId="3633" xr:uid="{00000000-0005-0000-0000-00003B110000}"/>
    <cellStyle name="20% - Accent3 5 2 2 2 2 2 3" xfId="3634" xr:uid="{00000000-0005-0000-0000-00003C110000}"/>
    <cellStyle name="20% - Accent3 5 2 2 2 2 2 4" xfId="3635" xr:uid="{00000000-0005-0000-0000-00003D110000}"/>
    <cellStyle name="20% - Accent3 5 2 2 2 2 2 5" xfId="37238" xr:uid="{00000000-0005-0000-0000-00003E110000}"/>
    <cellStyle name="20% - Accent3 5 2 2 2 2 3" xfId="3636" xr:uid="{00000000-0005-0000-0000-00003F110000}"/>
    <cellStyle name="20% - Accent3 5 2 2 2 2 3 2" xfId="3637" xr:uid="{00000000-0005-0000-0000-000040110000}"/>
    <cellStyle name="20% - Accent3 5 2 2 2 2 4" xfId="3638" xr:uid="{00000000-0005-0000-0000-000041110000}"/>
    <cellStyle name="20% - Accent3 5 2 2 2 2 5" xfId="3639" xr:uid="{00000000-0005-0000-0000-000042110000}"/>
    <cellStyle name="20% - Accent3 5 2 2 2 2 6" xfId="37237" xr:uid="{00000000-0005-0000-0000-000043110000}"/>
    <cellStyle name="20% - Accent3 5 2 2 2 3" xfId="3640" xr:uid="{00000000-0005-0000-0000-000044110000}"/>
    <cellStyle name="20% - Accent3 5 2 2 2 3 2" xfId="3641" xr:uid="{00000000-0005-0000-0000-000045110000}"/>
    <cellStyle name="20% - Accent3 5 2 2 2 3 2 2" xfId="3642" xr:uid="{00000000-0005-0000-0000-000046110000}"/>
    <cellStyle name="20% - Accent3 5 2 2 2 3 2 2 2" xfId="3643" xr:uid="{00000000-0005-0000-0000-000047110000}"/>
    <cellStyle name="20% - Accent3 5 2 2 2 3 2 3" xfId="3644" xr:uid="{00000000-0005-0000-0000-000048110000}"/>
    <cellStyle name="20% - Accent3 5 2 2 2 3 2 4" xfId="3645" xr:uid="{00000000-0005-0000-0000-000049110000}"/>
    <cellStyle name="20% - Accent3 5 2 2 2 3 2 5" xfId="37240" xr:uid="{00000000-0005-0000-0000-00004A110000}"/>
    <cellStyle name="20% - Accent3 5 2 2 2 3 3" xfId="3646" xr:uid="{00000000-0005-0000-0000-00004B110000}"/>
    <cellStyle name="20% - Accent3 5 2 2 2 3 3 2" xfId="3647" xr:uid="{00000000-0005-0000-0000-00004C110000}"/>
    <cellStyle name="20% - Accent3 5 2 2 2 3 4" xfId="3648" xr:uid="{00000000-0005-0000-0000-00004D110000}"/>
    <cellStyle name="20% - Accent3 5 2 2 2 3 5" xfId="3649" xr:uid="{00000000-0005-0000-0000-00004E110000}"/>
    <cellStyle name="20% - Accent3 5 2 2 2 3 6" xfId="37239" xr:uid="{00000000-0005-0000-0000-00004F110000}"/>
    <cellStyle name="20% - Accent3 5 2 2 2 4" xfId="3650" xr:uid="{00000000-0005-0000-0000-000050110000}"/>
    <cellStyle name="20% - Accent3 5 2 2 2 4 2" xfId="3651" xr:uid="{00000000-0005-0000-0000-000051110000}"/>
    <cellStyle name="20% - Accent3 5 2 2 2 4 2 2" xfId="3652" xr:uid="{00000000-0005-0000-0000-000052110000}"/>
    <cellStyle name="20% - Accent3 5 2 2 2 4 3" xfId="3653" xr:uid="{00000000-0005-0000-0000-000053110000}"/>
    <cellStyle name="20% - Accent3 5 2 2 2 4 4" xfId="3654" xr:uid="{00000000-0005-0000-0000-000054110000}"/>
    <cellStyle name="20% - Accent3 5 2 2 2 4 5" xfId="37241" xr:uid="{00000000-0005-0000-0000-000055110000}"/>
    <cellStyle name="20% - Accent3 5 2 2 2 5" xfId="3655" xr:uid="{00000000-0005-0000-0000-000056110000}"/>
    <cellStyle name="20% - Accent3 5 2 2 2 5 2" xfId="3656" xr:uid="{00000000-0005-0000-0000-000057110000}"/>
    <cellStyle name="20% - Accent3 5 2 2 2 5 2 2" xfId="3657" xr:uid="{00000000-0005-0000-0000-000058110000}"/>
    <cellStyle name="20% - Accent3 5 2 2 2 5 3" xfId="3658" xr:uid="{00000000-0005-0000-0000-000059110000}"/>
    <cellStyle name="20% - Accent3 5 2 2 2 5 4" xfId="3659" xr:uid="{00000000-0005-0000-0000-00005A110000}"/>
    <cellStyle name="20% - Accent3 5 2 2 2 6" xfId="3660" xr:uid="{00000000-0005-0000-0000-00005B110000}"/>
    <cellStyle name="20% - Accent3 5 2 2 2 6 2" xfId="3661" xr:uid="{00000000-0005-0000-0000-00005C110000}"/>
    <cellStyle name="20% - Accent3 5 2 2 2 6 2 2" xfId="3662" xr:uid="{00000000-0005-0000-0000-00005D110000}"/>
    <cellStyle name="20% - Accent3 5 2 2 2 6 3" xfId="3663" xr:uid="{00000000-0005-0000-0000-00005E110000}"/>
    <cellStyle name="20% - Accent3 5 2 2 2 6 4" xfId="3664" xr:uid="{00000000-0005-0000-0000-00005F110000}"/>
    <cellStyle name="20% - Accent3 5 2 2 2 7" xfId="3665" xr:uid="{00000000-0005-0000-0000-000060110000}"/>
    <cellStyle name="20% - Accent3 5 2 2 2 7 2" xfId="3666" xr:uid="{00000000-0005-0000-0000-000061110000}"/>
    <cellStyle name="20% - Accent3 5 2 2 2 8" xfId="3667" xr:uid="{00000000-0005-0000-0000-000062110000}"/>
    <cellStyle name="20% - Accent3 5 2 2 2 9" xfId="3668" xr:uid="{00000000-0005-0000-0000-000063110000}"/>
    <cellStyle name="20% - Accent3 5 2 2 3" xfId="3669" xr:uid="{00000000-0005-0000-0000-000064110000}"/>
    <cellStyle name="20% - Accent3 5 2 2 3 2" xfId="3670" xr:uid="{00000000-0005-0000-0000-000065110000}"/>
    <cellStyle name="20% - Accent3 5 2 2 3 2 2" xfId="3671" xr:uid="{00000000-0005-0000-0000-000066110000}"/>
    <cellStyle name="20% - Accent3 5 2 2 3 2 2 2" xfId="3672" xr:uid="{00000000-0005-0000-0000-000067110000}"/>
    <cellStyle name="20% - Accent3 5 2 2 3 2 3" xfId="3673" xr:uid="{00000000-0005-0000-0000-000068110000}"/>
    <cellStyle name="20% - Accent3 5 2 2 3 2 4" xfId="3674" xr:uid="{00000000-0005-0000-0000-000069110000}"/>
    <cellStyle name="20% - Accent3 5 2 2 3 2 5" xfId="37243" xr:uid="{00000000-0005-0000-0000-00006A110000}"/>
    <cellStyle name="20% - Accent3 5 2 2 3 3" xfId="3675" xr:uid="{00000000-0005-0000-0000-00006B110000}"/>
    <cellStyle name="20% - Accent3 5 2 2 3 3 2" xfId="3676" xr:uid="{00000000-0005-0000-0000-00006C110000}"/>
    <cellStyle name="20% - Accent3 5 2 2 3 4" xfId="3677" xr:uid="{00000000-0005-0000-0000-00006D110000}"/>
    <cellStyle name="20% - Accent3 5 2 2 3 5" xfId="3678" xr:uid="{00000000-0005-0000-0000-00006E110000}"/>
    <cellStyle name="20% - Accent3 5 2 2 3 6" xfId="37242" xr:uid="{00000000-0005-0000-0000-00006F110000}"/>
    <cellStyle name="20% - Accent3 5 2 2 4" xfId="3679" xr:uid="{00000000-0005-0000-0000-000070110000}"/>
    <cellStyle name="20% - Accent3 5 2 2 4 2" xfId="3680" xr:uid="{00000000-0005-0000-0000-000071110000}"/>
    <cellStyle name="20% - Accent3 5 2 2 4 2 2" xfId="3681" xr:uid="{00000000-0005-0000-0000-000072110000}"/>
    <cellStyle name="20% - Accent3 5 2 2 4 2 2 2" xfId="3682" xr:uid="{00000000-0005-0000-0000-000073110000}"/>
    <cellStyle name="20% - Accent3 5 2 2 4 2 3" xfId="3683" xr:uid="{00000000-0005-0000-0000-000074110000}"/>
    <cellStyle name="20% - Accent3 5 2 2 4 2 4" xfId="3684" xr:uid="{00000000-0005-0000-0000-000075110000}"/>
    <cellStyle name="20% - Accent3 5 2 2 4 2 5" xfId="37245" xr:uid="{00000000-0005-0000-0000-000076110000}"/>
    <cellStyle name="20% - Accent3 5 2 2 4 3" xfId="3685" xr:uid="{00000000-0005-0000-0000-000077110000}"/>
    <cellStyle name="20% - Accent3 5 2 2 4 3 2" xfId="3686" xr:uid="{00000000-0005-0000-0000-000078110000}"/>
    <cellStyle name="20% - Accent3 5 2 2 4 4" xfId="3687" xr:uid="{00000000-0005-0000-0000-000079110000}"/>
    <cellStyle name="20% - Accent3 5 2 2 4 5" xfId="3688" xr:uid="{00000000-0005-0000-0000-00007A110000}"/>
    <cellStyle name="20% - Accent3 5 2 2 4 6" xfId="37244" xr:uid="{00000000-0005-0000-0000-00007B110000}"/>
    <cellStyle name="20% - Accent3 5 2 2 5" xfId="3689" xr:uid="{00000000-0005-0000-0000-00007C110000}"/>
    <cellStyle name="20% - Accent3 5 2 2 5 2" xfId="3690" xr:uid="{00000000-0005-0000-0000-00007D110000}"/>
    <cellStyle name="20% - Accent3 5 2 2 5 2 2" xfId="3691" xr:uid="{00000000-0005-0000-0000-00007E110000}"/>
    <cellStyle name="20% - Accent3 5 2 2 5 3" xfId="3692" xr:uid="{00000000-0005-0000-0000-00007F110000}"/>
    <cellStyle name="20% - Accent3 5 2 2 5 4" xfId="3693" xr:uid="{00000000-0005-0000-0000-000080110000}"/>
    <cellStyle name="20% - Accent3 5 2 2 5 5" xfId="37246" xr:uid="{00000000-0005-0000-0000-000081110000}"/>
    <cellStyle name="20% - Accent3 5 2 2 6" xfId="3694" xr:uid="{00000000-0005-0000-0000-000082110000}"/>
    <cellStyle name="20% - Accent3 5 2 2 6 2" xfId="3695" xr:uid="{00000000-0005-0000-0000-000083110000}"/>
    <cellStyle name="20% - Accent3 5 2 2 6 2 2" xfId="3696" xr:uid="{00000000-0005-0000-0000-000084110000}"/>
    <cellStyle name="20% - Accent3 5 2 2 6 3" xfId="3697" xr:uid="{00000000-0005-0000-0000-000085110000}"/>
    <cellStyle name="20% - Accent3 5 2 2 6 4" xfId="3698" xr:uid="{00000000-0005-0000-0000-000086110000}"/>
    <cellStyle name="20% - Accent3 5 2 2 7" xfId="3699" xr:uid="{00000000-0005-0000-0000-000087110000}"/>
    <cellStyle name="20% - Accent3 5 2 2 7 2" xfId="3700" xr:uid="{00000000-0005-0000-0000-000088110000}"/>
    <cellStyle name="20% - Accent3 5 2 2 7 2 2" xfId="3701" xr:uid="{00000000-0005-0000-0000-000089110000}"/>
    <cellStyle name="20% - Accent3 5 2 2 7 3" xfId="3702" xr:uid="{00000000-0005-0000-0000-00008A110000}"/>
    <cellStyle name="20% - Accent3 5 2 2 7 4" xfId="3703" xr:uid="{00000000-0005-0000-0000-00008B110000}"/>
    <cellStyle name="20% - Accent3 5 2 2 8" xfId="3704" xr:uid="{00000000-0005-0000-0000-00008C110000}"/>
    <cellStyle name="20% - Accent3 5 2 2 8 2" xfId="3705" xr:uid="{00000000-0005-0000-0000-00008D110000}"/>
    <cellStyle name="20% - Accent3 5 2 2 9" xfId="3706" xr:uid="{00000000-0005-0000-0000-00008E110000}"/>
    <cellStyle name="20% - Accent3 5 2 3" xfId="3707" xr:uid="{00000000-0005-0000-0000-00008F110000}"/>
    <cellStyle name="20% - Accent3 5 2 3 10" xfId="34561" xr:uid="{00000000-0005-0000-0000-000090110000}"/>
    <cellStyle name="20% - Accent3 5 2 3 2" xfId="3708" xr:uid="{00000000-0005-0000-0000-000091110000}"/>
    <cellStyle name="20% - Accent3 5 2 3 2 2" xfId="3709" xr:uid="{00000000-0005-0000-0000-000092110000}"/>
    <cellStyle name="20% - Accent3 5 2 3 2 2 2" xfId="3710" xr:uid="{00000000-0005-0000-0000-000093110000}"/>
    <cellStyle name="20% - Accent3 5 2 3 2 2 2 2" xfId="3711" xr:uid="{00000000-0005-0000-0000-000094110000}"/>
    <cellStyle name="20% - Accent3 5 2 3 2 2 3" xfId="3712" xr:uid="{00000000-0005-0000-0000-000095110000}"/>
    <cellStyle name="20% - Accent3 5 2 3 2 2 4" xfId="3713" xr:uid="{00000000-0005-0000-0000-000096110000}"/>
    <cellStyle name="20% - Accent3 5 2 3 2 2 5" xfId="37248" xr:uid="{00000000-0005-0000-0000-000097110000}"/>
    <cellStyle name="20% - Accent3 5 2 3 2 3" xfId="3714" xr:uid="{00000000-0005-0000-0000-000098110000}"/>
    <cellStyle name="20% - Accent3 5 2 3 2 3 2" xfId="3715" xr:uid="{00000000-0005-0000-0000-000099110000}"/>
    <cellStyle name="20% - Accent3 5 2 3 2 4" xfId="3716" xr:uid="{00000000-0005-0000-0000-00009A110000}"/>
    <cellStyle name="20% - Accent3 5 2 3 2 5" xfId="3717" xr:uid="{00000000-0005-0000-0000-00009B110000}"/>
    <cellStyle name="20% - Accent3 5 2 3 2 6" xfId="37247" xr:uid="{00000000-0005-0000-0000-00009C110000}"/>
    <cellStyle name="20% - Accent3 5 2 3 3" xfId="3718" xr:uid="{00000000-0005-0000-0000-00009D110000}"/>
    <cellStyle name="20% - Accent3 5 2 3 3 2" xfId="3719" xr:uid="{00000000-0005-0000-0000-00009E110000}"/>
    <cellStyle name="20% - Accent3 5 2 3 3 2 2" xfId="3720" xr:uid="{00000000-0005-0000-0000-00009F110000}"/>
    <cellStyle name="20% - Accent3 5 2 3 3 2 2 2" xfId="3721" xr:uid="{00000000-0005-0000-0000-0000A0110000}"/>
    <cellStyle name="20% - Accent3 5 2 3 3 2 3" xfId="3722" xr:uid="{00000000-0005-0000-0000-0000A1110000}"/>
    <cellStyle name="20% - Accent3 5 2 3 3 2 4" xfId="3723" xr:uid="{00000000-0005-0000-0000-0000A2110000}"/>
    <cellStyle name="20% - Accent3 5 2 3 3 2 5" xfId="37250" xr:uid="{00000000-0005-0000-0000-0000A3110000}"/>
    <cellStyle name="20% - Accent3 5 2 3 3 3" xfId="3724" xr:uid="{00000000-0005-0000-0000-0000A4110000}"/>
    <cellStyle name="20% - Accent3 5 2 3 3 3 2" xfId="3725" xr:uid="{00000000-0005-0000-0000-0000A5110000}"/>
    <cellStyle name="20% - Accent3 5 2 3 3 4" xfId="3726" xr:uid="{00000000-0005-0000-0000-0000A6110000}"/>
    <cellStyle name="20% - Accent3 5 2 3 3 5" xfId="3727" xr:uid="{00000000-0005-0000-0000-0000A7110000}"/>
    <cellStyle name="20% - Accent3 5 2 3 3 6" xfId="37249" xr:uid="{00000000-0005-0000-0000-0000A8110000}"/>
    <cellStyle name="20% - Accent3 5 2 3 4" xfId="3728" xr:uid="{00000000-0005-0000-0000-0000A9110000}"/>
    <cellStyle name="20% - Accent3 5 2 3 4 2" xfId="3729" xr:uid="{00000000-0005-0000-0000-0000AA110000}"/>
    <cellStyle name="20% - Accent3 5 2 3 4 2 2" xfId="3730" xr:uid="{00000000-0005-0000-0000-0000AB110000}"/>
    <cellStyle name="20% - Accent3 5 2 3 4 3" xfId="3731" xr:uid="{00000000-0005-0000-0000-0000AC110000}"/>
    <cellStyle name="20% - Accent3 5 2 3 4 4" xfId="3732" xr:uid="{00000000-0005-0000-0000-0000AD110000}"/>
    <cellStyle name="20% - Accent3 5 2 3 4 5" xfId="37251" xr:uid="{00000000-0005-0000-0000-0000AE110000}"/>
    <cellStyle name="20% - Accent3 5 2 3 5" xfId="3733" xr:uid="{00000000-0005-0000-0000-0000AF110000}"/>
    <cellStyle name="20% - Accent3 5 2 3 5 2" xfId="3734" xr:uid="{00000000-0005-0000-0000-0000B0110000}"/>
    <cellStyle name="20% - Accent3 5 2 3 5 2 2" xfId="3735" xr:uid="{00000000-0005-0000-0000-0000B1110000}"/>
    <cellStyle name="20% - Accent3 5 2 3 5 3" xfId="3736" xr:uid="{00000000-0005-0000-0000-0000B2110000}"/>
    <cellStyle name="20% - Accent3 5 2 3 5 4" xfId="3737" xr:uid="{00000000-0005-0000-0000-0000B3110000}"/>
    <cellStyle name="20% - Accent3 5 2 3 6" xfId="3738" xr:uid="{00000000-0005-0000-0000-0000B4110000}"/>
    <cellStyle name="20% - Accent3 5 2 3 6 2" xfId="3739" xr:uid="{00000000-0005-0000-0000-0000B5110000}"/>
    <cellStyle name="20% - Accent3 5 2 3 6 2 2" xfId="3740" xr:uid="{00000000-0005-0000-0000-0000B6110000}"/>
    <cellStyle name="20% - Accent3 5 2 3 6 3" xfId="3741" xr:uid="{00000000-0005-0000-0000-0000B7110000}"/>
    <cellStyle name="20% - Accent3 5 2 3 6 4" xfId="3742" xr:uid="{00000000-0005-0000-0000-0000B8110000}"/>
    <cellStyle name="20% - Accent3 5 2 3 7" xfId="3743" xr:uid="{00000000-0005-0000-0000-0000B9110000}"/>
    <cellStyle name="20% - Accent3 5 2 3 7 2" xfId="3744" xr:uid="{00000000-0005-0000-0000-0000BA110000}"/>
    <cellStyle name="20% - Accent3 5 2 3 8" xfId="3745" xr:uid="{00000000-0005-0000-0000-0000BB110000}"/>
    <cellStyle name="20% - Accent3 5 2 3 9" xfId="3746" xr:uid="{00000000-0005-0000-0000-0000BC110000}"/>
    <cellStyle name="20% - Accent3 5 2 4" xfId="3747" xr:uid="{00000000-0005-0000-0000-0000BD110000}"/>
    <cellStyle name="20% - Accent3 5 2 4 2" xfId="3748" xr:uid="{00000000-0005-0000-0000-0000BE110000}"/>
    <cellStyle name="20% - Accent3 5 2 4 2 2" xfId="3749" xr:uid="{00000000-0005-0000-0000-0000BF110000}"/>
    <cellStyle name="20% - Accent3 5 2 4 2 2 2" xfId="3750" xr:uid="{00000000-0005-0000-0000-0000C0110000}"/>
    <cellStyle name="20% - Accent3 5 2 4 2 3" xfId="3751" xr:uid="{00000000-0005-0000-0000-0000C1110000}"/>
    <cellStyle name="20% - Accent3 5 2 4 2 4" xfId="3752" xr:uid="{00000000-0005-0000-0000-0000C2110000}"/>
    <cellStyle name="20% - Accent3 5 2 4 2 5" xfId="37253" xr:uid="{00000000-0005-0000-0000-0000C3110000}"/>
    <cellStyle name="20% - Accent3 5 2 4 3" xfId="3753" xr:uid="{00000000-0005-0000-0000-0000C4110000}"/>
    <cellStyle name="20% - Accent3 5 2 4 3 2" xfId="3754" xr:uid="{00000000-0005-0000-0000-0000C5110000}"/>
    <cellStyle name="20% - Accent3 5 2 4 4" xfId="3755" xr:uid="{00000000-0005-0000-0000-0000C6110000}"/>
    <cellStyle name="20% - Accent3 5 2 4 5" xfId="3756" xr:uid="{00000000-0005-0000-0000-0000C7110000}"/>
    <cellStyle name="20% - Accent3 5 2 4 6" xfId="37252" xr:uid="{00000000-0005-0000-0000-0000C8110000}"/>
    <cellStyle name="20% - Accent3 5 2 5" xfId="3757" xr:uid="{00000000-0005-0000-0000-0000C9110000}"/>
    <cellStyle name="20% - Accent3 5 2 5 2" xfId="3758" xr:uid="{00000000-0005-0000-0000-0000CA110000}"/>
    <cellStyle name="20% - Accent3 5 2 5 2 2" xfId="3759" xr:uid="{00000000-0005-0000-0000-0000CB110000}"/>
    <cellStyle name="20% - Accent3 5 2 5 2 2 2" xfId="3760" xr:uid="{00000000-0005-0000-0000-0000CC110000}"/>
    <cellStyle name="20% - Accent3 5 2 5 2 3" xfId="3761" xr:uid="{00000000-0005-0000-0000-0000CD110000}"/>
    <cellStyle name="20% - Accent3 5 2 5 2 4" xfId="3762" xr:uid="{00000000-0005-0000-0000-0000CE110000}"/>
    <cellStyle name="20% - Accent3 5 2 5 2 5" xfId="37255" xr:uid="{00000000-0005-0000-0000-0000CF110000}"/>
    <cellStyle name="20% - Accent3 5 2 5 3" xfId="3763" xr:uid="{00000000-0005-0000-0000-0000D0110000}"/>
    <cellStyle name="20% - Accent3 5 2 5 3 2" xfId="3764" xr:uid="{00000000-0005-0000-0000-0000D1110000}"/>
    <cellStyle name="20% - Accent3 5 2 5 4" xfId="3765" xr:uid="{00000000-0005-0000-0000-0000D2110000}"/>
    <cellStyle name="20% - Accent3 5 2 5 5" xfId="3766" xr:uid="{00000000-0005-0000-0000-0000D3110000}"/>
    <cellStyle name="20% - Accent3 5 2 5 6" xfId="37254" xr:uid="{00000000-0005-0000-0000-0000D4110000}"/>
    <cellStyle name="20% - Accent3 5 2 6" xfId="3767" xr:uid="{00000000-0005-0000-0000-0000D5110000}"/>
    <cellStyle name="20% - Accent3 5 2 6 2" xfId="3768" xr:uid="{00000000-0005-0000-0000-0000D6110000}"/>
    <cellStyle name="20% - Accent3 5 2 6 2 2" xfId="3769" xr:uid="{00000000-0005-0000-0000-0000D7110000}"/>
    <cellStyle name="20% - Accent3 5 2 6 3" xfId="3770" xr:uid="{00000000-0005-0000-0000-0000D8110000}"/>
    <cellStyle name="20% - Accent3 5 2 6 4" xfId="3771" xr:uid="{00000000-0005-0000-0000-0000D9110000}"/>
    <cellStyle name="20% - Accent3 5 2 6 5" xfId="37256" xr:uid="{00000000-0005-0000-0000-0000DA110000}"/>
    <cellStyle name="20% - Accent3 5 2 7" xfId="3772" xr:uid="{00000000-0005-0000-0000-0000DB110000}"/>
    <cellStyle name="20% - Accent3 5 2 7 2" xfId="3773" xr:uid="{00000000-0005-0000-0000-0000DC110000}"/>
    <cellStyle name="20% - Accent3 5 2 7 2 2" xfId="3774" xr:uid="{00000000-0005-0000-0000-0000DD110000}"/>
    <cellStyle name="20% - Accent3 5 2 7 3" xfId="3775" xr:uid="{00000000-0005-0000-0000-0000DE110000}"/>
    <cellStyle name="20% - Accent3 5 2 7 4" xfId="3776" xr:uid="{00000000-0005-0000-0000-0000DF110000}"/>
    <cellStyle name="20% - Accent3 5 2 8" xfId="3777" xr:uid="{00000000-0005-0000-0000-0000E0110000}"/>
    <cellStyle name="20% - Accent3 5 2 8 2" xfId="3778" xr:uid="{00000000-0005-0000-0000-0000E1110000}"/>
    <cellStyle name="20% - Accent3 5 2 8 2 2" xfId="3779" xr:uid="{00000000-0005-0000-0000-0000E2110000}"/>
    <cellStyle name="20% - Accent3 5 2 8 3" xfId="3780" xr:uid="{00000000-0005-0000-0000-0000E3110000}"/>
    <cellStyle name="20% - Accent3 5 2 8 4" xfId="3781" xr:uid="{00000000-0005-0000-0000-0000E4110000}"/>
    <cellStyle name="20% - Accent3 5 2 9" xfId="3782" xr:uid="{00000000-0005-0000-0000-0000E5110000}"/>
    <cellStyle name="20% - Accent3 5 2 9 2" xfId="3783" xr:uid="{00000000-0005-0000-0000-0000E6110000}"/>
    <cellStyle name="20% - Accent3 5 3" xfId="3784" xr:uid="{00000000-0005-0000-0000-0000E7110000}"/>
    <cellStyle name="20% - Accent3 5 3 10" xfId="3785" xr:uid="{00000000-0005-0000-0000-0000E8110000}"/>
    <cellStyle name="20% - Accent3 5 3 11" xfId="34562" xr:uid="{00000000-0005-0000-0000-0000E9110000}"/>
    <cellStyle name="20% - Accent3 5 3 2" xfId="3786" xr:uid="{00000000-0005-0000-0000-0000EA110000}"/>
    <cellStyle name="20% - Accent3 5 3 2 10" xfId="34563" xr:uid="{00000000-0005-0000-0000-0000EB110000}"/>
    <cellStyle name="20% - Accent3 5 3 2 2" xfId="3787" xr:uid="{00000000-0005-0000-0000-0000EC110000}"/>
    <cellStyle name="20% - Accent3 5 3 2 2 2" xfId="3788" xr:uid="{00000000-0005-0000-0000-0000ED110000}"/>
    <cellStyle name="20% - Accent3 5 3 2 2 2 2" xfId="3789" xr:uid="{00000000-0005-0000-0000-0000EE110000}"/>
    <cellStyle name="20% - Accent3 5 3 2 2 2 2 2" xfId="3790" xr:uid="{00000000-0005-0000-0000-0000EF110000}"/>
    <cellStyle name="20% - Accent3 5 3 2 2 2 3" xfId="3791" xr:uid="{00000000-0005-0000-0000-0000F0110000}"/>
    <cellStyle name="20% - Accent3 5 3 2 2 2 4" xfId="3792" xr:uid="{00000000-0005-0000-0000-0000F1110000}"/>
    <cellStyle name="20% - Accent3 5 3 2 2 2 5" xfId="37258" xr:uid="{00000000-0005-0000-0000-0000F2110000}"/>
    <cellStyle name="20% - Accent3 5 3 2 2 3" xfId="3793" xr:uid="{00000000-0005-0000-0000-0000F3110000}"/>
    <cellStyle name="20% - Accent3 5 3 2 2 3 2" xfId="3794" xr:uid="{00000000-0005-0000-0000-0000F4110000}"/>
    <cellStyle name="20% - Accent3 5 3 2 2 4" xfId="3795" xr:uid="{00000000-0005-0000-0000-0000F5110000}"/>
    <cellStyle name="20% - Accent3 5 3 2 2 5" xfId="3796" xr:uid="{00000000-0005-0000-0000-0000F6110000}"/>
    <cellStyle name="20% - Accent3 5 3 2 2 6" xfId="37257" xr:uid="{00000000-0005-0000-0000-0000F7110000}"/>
    <cellStyle name="20% - Accent3 5 3 2 3" xfId="3797" xr:uid="{00000000-0005-0000-0000-0000F8110000}"/>
    <cellStyle name="20% - Accent3 5 3 2 3 2" xfId="3798" xr:uid="{00000000-0005-0000-0000-0000F9110000}"/>
    <cellStyle name="20% - Accent3 5 3 2 3 2 2" xfId="3799" xr:uid="{00000000-0005-0000-0000-0000FA110000}"/>
    <cellStyle name="20% - Accent3 5 3 2 3 2 2 2" xfId="3800" xr:uid="{00000000-0005-0000-0000-0000FB110000}"/>
    <cellStyle name="20% - Accent3 5 3 2 3 2 3" xfId="3801" xr:uid="{00000000-0005-0000-0000-0000FC110000}"/>
    <cellStyle name="20% - Accent3 5 3 2 3 2 4" xfId="3802" xr:uid="{00000000-0005-0000-0000-0000FD110000}"/>
    <cellStyle name="20% - Accent3 5 3 2 3 2 5" xfId="37260" xr:uid="{00000000-0005-0000-0000-0000FE110000}"/>
    <cellStyle name="20% - Accent3 5 3 2 3 3" xfId="3803" xr:uid="{00000000-0005-0000-0000-0000FF110000}"/>
    <cellStyle name="20% - Accent3 5 3 2 3 3 2" xfId="3804" xr:uid="{00000000-0005-0000-0000-000000120000}"/>
    <cellStyle name="20% - Accent3 5 3 2 3 4" xfId="3805" xr:uid="{00000000-0005-0000-0000-000001120000}"/>
    <cellStyle name="20% - Accent3 5 3 2 3 5" xfId="3806" xr:uid="{00000000-0005-0000-0000-000002120000}"/>
    <cellStyle name="20% - Accent3 5 3 2 3 6" xfId="37259" xr:uid="{00000000-0005-0000-0000-000003120000}"/>
    <cellStyle name="20% - Accent3 5 3 2 4" xfId="3807" xr:uid="{00000000-0005-0000-0000-000004120000}"/>
    <cellStyle name="20% - Accent3 5 3 2 4 2" xfId="3808" xr:uid="{00000000-0005-0000-0000-000005120000}"/>
    <cellStyle name="20% - Accent3 5 3 2 4 2 2" xfId="3809" xr:uid="{00000000-0005-0000-0000-000006120000}"/>
    <cellStyle name="20% - Accent3 5 3 2 4 3" xfId="3810" xr:uid="{00000000-0005-0000-0000-000007120000}"/>
    <cellStyle name="20% - Accent3 5 3 2 4 4" xfId="3811" xr:uid="{00000000-0005-0000-0000-000008120000}"/>
    <cellStyle name="20% - Accent3 5 3 2 4 5" xfId="37261" xr:uid="{00000000-0005-0000-0000-000009120000}"/>
    <cellStyle name="20% - Accent3 5 3 2 5" xfId="3812" xr:uid="{00000000-0005-0000-0000-00000A120000}"/>
    <cellStyle name="20% - Accent3 5 3 2 5 2" xfId="3813" xr:uid="{00000000-0005-0000-0000-00000B120000}"/>
    <cellStyle name="20% - Accent3 5 3 2 5 2 2" xfId="3814" xr:uid="{00000000-0005-0000-0000-00000C120000}"/>
    <cellStyle name="20% - Accent3 5 3 2 5 3" xfId="3815" xr:uid="{00000000-0005-0000-0000-00000D120000}"/>
    <cellStyle name="20% - Accent3 5 3 2 5 4" xfId="3816" xr:uid="{00000000-0005-0000-0000-00000E120000}"/>
    <cellStyle name="20% - Accent3 5 3 2 6" xfId="3817" xr:uid="{00000000-0005-0000-0000-00000F120000}"/>
    <cellStyle name="20% - Accent3 5 3 2 6 2" xfId="3818" xr:uid="{00000000-0005-0000-0000-000010120000}"/>
    <cellStyle name="20% - Accent3 5 3 2 6 2 2" xfId="3819" xr:uid="{00000000-0005-0000-0000-000011120000}"/>
    <cellStyle name="20% - Accent3 5 3 2 6 3" xfId="3820" xr:uid="{00000000-0005-0000-0000-000012120000}"/>
    <cellStyle name="20% - Accent3 5 3 2 6 4" xfId="3821" xr:uid="{00000000-0005-0000-0000-000013120000}"/>
    <cellStyle name="20% - Accent3 5 3 2 7" xfId="3822" xr:uid="{00000000-0005-0000-0000-000014120000}"/>
    <cellStyle name="20% - Accent3 5 3 2 7 2" xfId="3823" xr:uid="{00000000-0005-0000-0000-000015120000}"/>
    <cellStyle name="20% - Accent3 5 3 2 8" xfId="3824" xr:uid="{00000000-0005-0000-0000-000016120000}"/>
    <cellStyle name="20% - Accent3 5 3 2 9" xfId="3825" xr:uid="{00000000-0005-0000-0000-000017120000}"/>
    <cellStyle name="20% - Accent3 5 3 3" xfId="3826" xr:uid="{00000000-0005-0000-0000-000018120000}"/>
    <cellStyle name="20% - Accent3 5 3 3 2" xfId="3827" xr:uid="{00000000-0005-0000-0000-000019120000}"/>
    <cellStyle name="20% - Accent3 5 3 3 2 2" xfId="3828" xr:uid="{00000000-0005-0000-0000-00001A120000}"/>
    <cellStyle name="20% - Accent3 5 3 3 2 2 2" xfId="3829" xr:uid="{00000000-0005-0000-0000-00001B120000}"/>
    <cellStyle name="20% - Accent3 5 3 3 2 3" xfId="3830" xr:uid="{00000000-0005-0000-0000-00001C120000}"/>
    <cellStyle name="20% - Accent3 5 3 3 2 4" xfId="3831" xr:uid="{00000000-0005-0000-0000-00001D120000}"/>
    <cellStyle name="20% - Accent3 5 3 3 2 5" xfId="37263" xr:uid="{00000000-0005-0000-0000-00001E120000}"/>
    <cellStyle name="20% - Accent3 5 3 3 3" xfId="3832" xr:uid="{00000000-0005-0000-0000-00001F120000}"/>
    <cellStyle name="20% - Accent3 5 3 3 3 2" xfId="3833" xr:uid="{00000000-0005-0000-0000-000020120000}"/>
    <cellStyle name="20% - Accent3 5 3 3 4" xfId="3834" xr:uid="{00000000-0005-0000-0000-000021120000}"/>
    <cellStyle name="20% - Accent3 5 3 3 5" xfId="3835" xr:uid="{00000000-0005-0000-0000-000022120000}"/>
    <cellStyle name="20% - Accent3 5 3 3 6" xfId="37262" xr:uid="{00000000-0005-0000-0000-000023120000}"/>
    <cellStyle name="20% - Accent3 5 3 4" xfId="3836" xr:uid="{00000000-0005-0000-0000-000024120000}"/>
    <cellStyle name="20% - Accent3 5 3 4 2" xfId="3837" xr:uid="{00000000-0005-0000-0000-000025120000}"/>
    <cellStyle name="20% - Accent3 5 3 4 2 2" xfId="3838" xr:uid="{00000000-0005-0000-0000-000026120000}"/>
    <cellStyle name="20% - Accent3 5 3 4 2 2 2" xfId="3839" xr:uid="{00000000-0005-0000-0000-000027120000}"/>
    <cellStyle name="20% - Accent3 5 3 4 2 3" xfId="3840" xr:uid="{00000000-0005-0000-0000-000028120000}"/>
    <cellStyle name="20% - Accent3 5 3 4 2 4" xfId="3841" xr:uid="{00000000-0005-0000-0000-000029120000}"/>
    <cellStyle name="20% - Accent3 5 3 4 2 5" xfId="37265" xr:uid="{00000000-0005-0000-0000-00002A120000}"/>
    <cellStyle name="20% - Accent3 5 3 4 3" xfId="3842" xr:uid="{00000000-0005-0000-0000-00002B120000}"/>
    <cellStyle name="20% - Accent3 5 3 4 3 2" xfId="3843" xr:uid="{00000000-0005-0000-0000-00002C120000}"/>
    <cellStyle name="20% - Accent3 5 3 4 4" xfId="3844" xr:uid="{00000000-0005-0000-0000-00002D120000}"/>
    <cellStyle name="20% - Accent3 5 3 4 5" xfId="3845" xr:uid="{00000000-0005-0000-0000-00002E120000}"/>
    <cellStyle name="20% - Accent3 5 3 4 6" xfId="37264" xr:uid="{00000000-0005-0000-0000-00002F120000}"/>
    <cellStyle name="20% - Accent3 5 3 5" xfId="3846" xr:uid="{00000000-0005-0000-0000-000030120000}"/>
    <cellStyle name="20% - Accent3 5 3 5 2" xfId="3847" xr:uid="{00000000-0005-0000-0000-000031120000}"/>
    <cellStyle name="20% - Accent3 5 3 5 2 2" xfId="3848" xr:uid="{00000000-0005-0000-0000-000032120000}"/>
    <cellStyle name="20% - Accent3 5 3 5 3" xfId="3849" xr:uid="{00000000-0005-0000-0000-000033120000}"/>
    <cellStyle name="20% - Accent3 5 3 5 4" xfId="3850" xr:uid="{00000000-0005-0000-0000-000034120000}"/>
    <cellStyle name="20% - Accent3 5 3 5 5" xfId="37266" xr:uid="{00000000-0005-0000-0000-000035120000}"/>
    <cellStyle name="20% - Accent3 5 3 6" xfId="3851" xr:uid="{00000000-0005-0000-0000-000036120000}"/>
    <cellStyle name="20% - Accent3 5 3 6 2" xfId="3852" xr:uid="{00000000-0005-0000-0000-000037120000}"/>
    <cellStyle name="20% - Accent3 5 3 6 2 2" xfId="3853" xr:uid="{00000000-0005-0000-0000-000038120000}"/>
    <cellStyle name="20% - Accent3 5 3 6 3" xfId="3854" xr:uid="{00000000-0005-0000-0000-000039120000}"/>
    <cellStyle name="20% - Accent3 5 3 6 4" xfId="3855" xr:uid="{00000000-0005-0000-0000-00003A120000}"/>
    <cellStyle name="20% - Accent3 5 3 7" xfId="3856" xr:uid="{00000000-0005-0000-0000-00003B120000}"/>
    <cellStyle name="20% - Accent3 5 3 7 2" xfId="3857" xr:uid="{00000000-0005-0000-0000-00003C120000}"/>
    <cellStyle name="20% - Accent3 5 3 7 2 2" xfId="3858" xr:uid="{00000000-0005-0000-0000-00003D120000}"/>
    <cellStyle name="20% - Accent3 5 3 7 3" xfId="3859" xr:uid="{00000000-0005-0000-0000-00003E120000}"/>
    <cellStyle name="20% - Accent3 5 3 7 4" xfId="3860" xr:uid="{00000000-0005-0000-0000-00003F120000}"/>
    <cellStyle name="20% - Accent3 5 3 8" xfId="3861" xr:uid="{00000000-0005-0000-0000-000040120000}"/>
    <cellStyle name="20% - Accent3 5 3 8 2" xfId="3862" xr:uid="{00000000-0005-0000-0000-000041120000}"/>
    <cellStyle name="20% - Accent3 5 3 9" xfId="3863" xr:uid="{00000000-0005-0000-0000-000042120000}"/>
    <cellStyle name="20% - Accent3 5 4" xfId="3864" xr:uid="{00000000-0005-0000-0000-000043120000}"/>
    <cellStyle name="20% - Accent3 5 4 10" xfId="34564" xr:uid="{00000000-0005-0000-0000-000044120000}"/>
    <cellStyle name="20% - Accent3 5 4 2" xfId="3865" xr:uid="{00000000-0005-0000-0000-000045120000}"/>
    <cellStyle name="20% - Accent3 5 4 2 2" xfId="3866" xr:uid="{00000000-0005-0000-0000-000046120000}"/>
    <cellStyle name="20% - Accent3 5 4 2 2 2" xfId="3867" xr:uid="{00000000-0005-0000-0000-000047120000}"/>
    <cellStyle name="20% - Accent3 5 4 2 2 2 2" xfId="3868" xr:uid="{00000000-0005-0000-0000-000048120000}"/>
    <cellStyle name="20% - Accent3 5 4 2 2 3" xfId="3869" xr:uid="{00000000-0005-0000-0000-000049120000}"/>
    <cellStyle name="20% - Accent3 5 4 2 2 4" xfId="3870" xr:uid="{00000000-0005-0000-0000-00004A120000}"/>
    <cellStyle name="20% - Accent3 5 4 2 2 5" xfId="37268" xr:uid="{00000000-0005-0000-0000-00004B120000}"/>
    <cellStyle name="20% - Accent3 5 4 2 3" xfId="3871" xr:uid="{00000000-0005-0000-0000-00004C120000}"/>
    <cellStyle name="20% - Accent3 5 4 2 3 2" xfId="3872" xr:uid="{00000000-0005-0000-0000-00004D120000}"/>
    <cellStyle name="20% - Accent3 5 4 2 4" xfId="3873" xr:uid="{00000000-0005-0000-0000-00004E120000}"/>
    <cellStyle name="20% - Accent3 5 4 2 5" xfId="3874" xr:uid="{00000000-0005-0000-0000-00004F120000}"/>
    <cellStyle name="20% - Accent3 5 4 2 6" xfId="37267" xr:uid="{00000000-0005-0000-0000-000050120000}"/>
    <cellStyle name="20% - Accent3 5 4 3" xfId="3875" xr:uid="{00000000-0005-0000-0000-000051120000}"/>
    <cellStyle name="20% - Accent3 5 4 3 2" xfId="3876" xr:uid="{00000000-0005-0000-0000-000052120000}"/>
    <cellStyle name="20% - Accent3 5 4 3 2 2" xfId="3877" xr:uid="{00000000-0005-0000-0000-000053120000}"/>
    <cellStyle name="20% - Accent3 5 4 3 2 2 2" xfId="3878" xr:uid="{00000000-0005-0000-0000-000054120000}"/>
    <cellStyle name="20% - Accent3 5 4 3 2 3" xfId="3879" xr:uid="{00000000-0005-0000-0000-000055120000}"/>
    <cellStyle name="20% - Accent3 5 4 3 2 4" xfId="3880" xr:uid="{00000000-0005-0000-0000-000056120000}"/>
    <cellStyle name="20% - Accent3 5 4 3 2 5" xfId="37270" xr:uid="{00000000-0005-0000-0000-000057120000}"/>
    <cellStyle name="20% - Accent3 5 4 3 3" xfId="3881" xr:uid="{00000000-0005-0000-0000-000058120000}"/>
    <cellStyle name="20% - Accent3 5 4 3 3 2" xfId="3882" xr:uid="{00000000-0005-0000-0000-000059120000}"/>
    <cellStyle name="20% - Accent3 5 4 3 4" xfId="3883" xr:uid="{00000000-0005-0000-0000-00005A120000}"/>
    <cellStyle name="20% - Accent3 5 4 3 5" xfId="3884" xr:uid="{00000000-0005-0000-0000-00005B120000}"/>
    <cellStyle name="20% - Accent3 5 4 3 6" xfId="37269" xr:uid="{00000000-0005-0000-0000-00005C120000}"/>
    <cellStyle name="20% - Accent3 5 4 4" xfId="3885" xr:uid="{00000000-0005-0000-0000-00005D120000}"/>
    <cellStyle name="20% - Accent3 5 4 4 2" xfId="3886" xr:uid="{00000000-0005-0000-0000-00005E120000}"/>
    <cellStyle name="20% - Accent3 5 4 4 2 2" xfId="3887" xr:uid="{00000000-0005-0000-0000-00005F120000}"/>
    <cellStyle name="20% - Accent3 5 4 4 3" xfId="3888" xr:uid="{00000000-0005-0000-0000-000060120000}"/>
    <cellStyle name="20% - Accent3 5 4 4 4" xfId="3889" xr:uid="{00000000-0005-0000-0000-000061120000}"/>
    <cellStyle name="20% - Accent3 5 4 4 5" xfId="37271" xr:uid="{00000000-0005-0000-0000-000062120000}"/>
    <cellStyle name="20% - Accent3 5 4 5" xfId="3890" xr:uid="{00000000-0005-0000-0000-000063120000}"/>
    <cellStyle name="20% - Accent3 5 4 5 2" xfId="3891" xr:uid="{00000000-0005-0000-0000-000064120000}"/>
    <cellStyle name="20% - Accent3 5 4 5 2 2" xfId="3892" xr:uid="{00000000-0005-0000-0000-000065120000}"/>
    <cellStyle name="20% - Accent3 5 4 5 3" xfId="3893" xr:uid="{00000000-0005-0000-0000-000066120000}"/>
    <cellStyle name="20% - Accent3 5 4 5 4" xfId="3894" xr:uid="{00000000-0005-0000-0000-000067120000}"/>
    <cellStyle name="20% - Accent3 5 4 6" xfId="3895" xr:uid="{00000000-0005-0000-0000-000068120000}"/>
    <cellStyle name="20% - Accent3 5 4 6 2" xfId="3896" xr:uid="{00000000-0005-0000-0000-000069120000}"/>
    <cellStyle name="20% - Accent3 5 4 6 2 2" xfId="3897" xr:uid="{00000000-0005-0000-0000-00006A120000}"/>
    <cellStyle name="20% - Accent3 5 4 6 3" xfId="3898" xr:uid="{00000000-0005-0000-0000-00006B120000}"/>
    <cellStyle name="20% - Accent3 5 4 6 4" xfId="3899" xr:uid="{00000000-0005-0000-0000-00006C120000}"/>
    <cellStyle name="20% - Accent3 5 4 7" xfId="3900" xr:uid="{00000000-0005-0000-0000-00006D120000}"/>
    <cellStyle name="20% - Accent3 5 4 7 2" xfId="3901" xr:uid="{00000000-0005-0000-0000-00006E120000}"/>
    <cellStyle name="20% - Accent3 5 4 8" xfId="3902" xr:uid="{00000000-0005-0000-0000-00006F120000}"/>
    <cellStyle name="20% - Accent3 5 4 9" xfId="3903" xr:uid="{00000000-0005-0000-0000-000070120000}"/>
    <cellStyle name="20% - Accent3 5 5" xfId="3904" xr:uid="{00000000-0005-0000-0000-000071120000}"/>
    <cellStyle name="20% - Accent3 5 5 2" xfId="3905" xr:uid="{00000000-0005-0000-0000-000072120000}"/>
    <cellStyle name="20% - Accent3 5 5 2 2" xfId="3906" xr:uid="{00000000-0005-0000-0000-000073120000}"/>
    <cellStyle name="20% - Accent3 5 5 2 2 2" xfId="3907" xr:uid="{00000000-0005-0000-0000-000074120000}"/>
    <cellStyle name="20% - Accent3 5 5 2 3" xfId="3908" xr:uid="{00000000-0005-0000-0000-000075120000}"/>
    <cellStyle name="20% - Accent3 5 5 2 4" xfId="3909" xr:uid="{00000000-0005-0000-0000-000076120000}"/>
    <cellStyle name="20% - Accent3 5 5 2 5" xfId="37273" xr:uid="{00000000-0005-0000-0000-000077120000}"/>
    <cellStyle name="20% - Accent3 5 5 3" xfId="3910" xr:uid="{00000000-0005-0000-0000-000078120000}"/>
    <cellStyle name="20% - Accent3 5 5 3 2" xfId="3911" xr:uid="{00000000-0005-0000-0000-000079120000}"/>
    <cellStyle name="20% - Accent3 5 5 3 2 2" xfId="3912" xr:uid="{00000000-0005-0000-0000-00007A120000}"/>
    <cellStyle name="20% - Accent3 5 5 3 3" xfId="3913" xr:uid="{00000000-0005-0000-0000-00007B120000}"/>
    <cellStyle name="20% - Accent3 5 5 3 4" xfId="3914" xr:uid="{00000000-0005-0000-0000-00007C120000}"/>
    <cellStyle name="20% - Accent3 5 5 3 5" xfId="37274" xr:uid="{00000000-0005-0000-0000-00007D120000}"/>
    <cellStyle name="20% - Accent3 5 5 4" xfId="3915" xr:uid="{00000000-0005-0000-0000-00007E120000}"/>
    <cellStyle name="20% - Accent3 5 5 4 2" xfId="3916" xr:uid="{00000000-0005-0000-0000-00007F120000}"/>
    <cellStyle name="20% - Accent3 5 5 5" xfId="3917" xr:uid="{00000000-0005-0000-0000-000080120000}"/>
    <cellStyle name="20% - Accent3 5 5 6" xfId="3918" xr:uid="{00000000-0005-0000-0000-000081120000}"/>
    <cellStyle name="20% - Accent3 5 5 7" xfId="37272" xr:uid="{00000000-0005-0000-0000-000082120000}"/>
    <cellStyle name="20% - Accent3 5 6" xfId="3919" xr:uid="{00000000-0005-0000-0000-000083120000}"/>
    <cellStyle name="20% - Accent3 5 6 2" xfId="3920" xr:uid="{00000000-0005-0000-0000-000084120000}"/>
    <cellStyle name="20% - Accent3 5 6 2 2" xfId="3921" xr:uid="{00000000-0005-0000-0000-000085120000}"/>
    <cellStyle name="20% - Accent3 5 6 2 2 2" xfId="3922" xr:uid="{00000000-0005-0000-0000-000086120000}"/>
    <cellStyle name="20% - Accent3 5 6 2 3" xfId="3923" xr:uid="{00000000-0005-0000-0000-000087120000}"/>
    <cellStyle name="20% - Accent3 5 6 2 4" xfId="3924" xr:uid="{00000000-0005-0000-0000-000088120000}"/>
    <cellStyle name="20% - Accent3 5 6 2 5" xfId="37276" xr:uid="{00000000-0005-0000-0000-000089120000}"/>
    <cellStyle name="20% - Accent3 5 6 3" xfId="3925" xr:uid="{00000000-0005-0000-0000-00008A120000}"/>
    <cellStyle name="20% - Accent3 5 6 3 2" xfId="3926" xr:uid="{00000000-0005-0000-0000-00008B120000}"/>
    <cellStyle name="20% - Accent3 5 6 4" xfId="3927" xr:uid="{00000000-0005-0000-0000-00008C120000}"/>
    <cellStyle name="20% - Accent3 5 6 5" xfId="3928" xr:uid="{00000000-0005-0000-0000-00008D120000}"/>
    <cellStyle name="20% - Accent3 5 6 6" xfId="37275" xr:uid="{00000000-0005-0000-0000-00008E120000}"/>
    <cellStyle name="20% - Accent3 5 7" xfId="3929" xr:uid="{00000000-0005-0000-0000-00008F120000}"/>
    <cellStyle name="20% - Accent3 5 7 2" xfId="3930" xr:uid="{00000000-0005-0000-0000-000090120000}"/>
    <cellStyle name="20% - Accent3 5 7 2 2" xfId="3931" xr:uid="{00000000-0005-0000-0000-000091120000}"/>
    <cellStyle name="20% - Accent3 5 7 3" xfId="3932" xr:uid="{00000000-0005-0000-0000-000092120000}"/>
    <cellStyle name="20% - Accent3 5 7 4" xfId="3933" xr:uid="{00000000-0005-0000-0000-000093120000}"/>
    <cellStyle name="20% - Accent3 5 7 5" xfId="37277" xr:uid="{00000000-0005-0000-0000-000094120000}"/>
    <cellStyle name="20% - Accent3 5 8" xfId="3934" xr:uid="{00000000-0005-0000-0000-000095120000}"/>
    <cellStyle name="20% - Accent3 5 8 2" xfId="3935" xr:uid="{00000000-0005-0000-0000-000096120000}"/>
    <cellStyle name="20% - Accent3 5 8 2 2" xfId="3936" xr:uid="{00000000-0005-0000-0000-000097120000}"/>
    <cellStyle name="20% - Accent3 5 8 3" xfId="3937" xr:uid="{00000000-0005-0000-0000-000098120000}"/>
    <cellStyle name="20% - Accent3 5 8 4" xfId="3938" xr:uid="{00000000-0005-0000-0000-000099120000}"/>
    <cellStyle name="20% - Accent3 5 9" xfId="3939" xr:uid="{00000000-0005-0000-0000-00009A120000}"/>
    <cellStyle name="20% - Accent3 5 9 2" xfId="3940" xr:uid="{00000000-0005-0000-0000-00009B120000}"/>
    <cellStyle name="20% - Accent3 5 9 2 2" xfId="3941" xr:uid="{00000000-0005-0000-0000-00009C120000}"/>
    <cellStyle name="20% - Accent3 5 9 3" xfId="3942" xr:uid="{00000000-0005-0000-0000-00009D120000}"/>
    <cellStyle name="20% - Accent3 5 9 4" xfId="3943" xr:uid="{00000000-0005-0000-0000-00009E120000}"/>
    <cellStyle name="20% - Accent3 6" xfId="3944" xr:uid="{00000000-0005-0000-0000-00009F120000}"/>
    <cellStyle name="20% - Accent3 6 2" xfId="3945" xr:uid="{00000000-0005-0000-0000-0000A0120000}"/>
    <cellStyle name="20% - Accent3 6 2 2" xfId="3946" xr:uid="{00000000-0005-0000-0000-0000A1120000}"/>
    <cellStyle name="20% - Accent3 6 2 2 2" xfId="3947" xr:uid="{00000000-0005-0000-0000-0000A2120000}"/>
    <cellStyle name="20% - Accent3 6 2 3" xfId="3948" xr:uid="{00000000-0005-0000-0000-0000A3120000}"/>
    <cellStyle name="20% - Accent3 6 2 4" xfId="3949" xr:uid="{00000000-0005-0000-0000-0000A4120000}"/>
    <cellStyle name="20% - Accent3 6 2 5" xfId="37278" xr:uid="{00000000-0005-0000-0000-0000A5120000}"/>
    <cellStyle name="20% - Accent3 7" xfId="3950" xr:uid="{00000000-0005-0000-0000-0000A6120000}"/>
    <cellStyle name="20% - Accent3 8" xfId="3951" xr:uid="{00000000-0005-0000-0000-0000A7120000}"/>
    <cellStyle name="20% - Accent3 9" xfId="3952" xr:uid="{00000000-0005-0000-0000-0000A8120000}"/>
    <cellStyle name="20% - Accent3 9 2" xfId="3953" xr:uid="{00000000-0005-0000-0000-0000A9120000}"/>
    <cellStyle name="20% - Accent3 9 2 2" xfId="3954" xr:uid="{00000000-0005-0000-0000-0000AA120000}"/>
    <cellStyle name="20% - Accent3 9 3" xfId="3955" xr:uid="{00000000-0005-0000-0000-0000AB120000}"/>
    <cellStyle name="20% - Accent3 9 4" xfId="3956" xr:uid="{00000000-0005-0000-0000-0000AC120000}"/>
    <cellStyle name="20% - Accent3 9 5" xfId="37279" xr:uid="{00000000-0005-0000-0000-0000AD120000}"/>
    <cellStyle name="20% - Accent4 10" xfId="41855" xr:uid="{1BEDE93C-7E18-4B19-9FEC-C7C890B3BEBD}"/>
    <cellStyle name="20% - Accent4 2" xfId="3957" xr:uid="{00000000-0005-0000-0000-0000AE120000}"/>
    <cellStyle name="20% - Accent4 2 10" xfId="41856" xr:uid="{BF9892E7-4F79-4C57-88D6-893BEA552E96}"/>
    <cellStyle name="20% - Accent4 2 2" xfId="3958" xr:uid="{00000000-0005-0000-0000-0000AF120000}"/>
    <cellStyle name="20% - Accent4 2 2 2" xfId="3959" xr:uid="{00000000-0005-0000-0000-0000B0120000}"/>
    <cellStyle name="20% - Accent4 2 2 3" xfId="3960" xr:uid="{00000000-0005-0000-0000-0000B1120000}"/>
    <cellStyle name="20% - Accent4 2 2 3 2" xfId="37281" xr:uid="{00000000-0005-0000-0000-0000B2120000}"/>
    <cellStyle name="20% - Accent4 2 2 3 3" xfId="37280" xr:uid="{00000000-0005-0000-0000-0000B3120000}"/>
    <cellStyle name="20% - Accent4 2 2 4" xfId="3961" xr:uid="{00000000-0005-0000-0000-0000B4120000}"/>
    <cellStyle name="20% - Accent4 2 3" xfId="3962" xr:uid="{00000000-0005-0000-0000-0000B5120000}"/>
    <cellStyle name="20% - Accent4 2 3 2" xfId="3963" xr:uid="{00000000-0005-0000-0000-0000B6120000}"/>
    <cellStyle name="20% - Accent4 2 3 2 10" xfId="3964" xr:uid="{00000000-0005-0000-0000-0000B7120000}"/>
    <cellStyle name="20% - Accent4 2 3 2 11" xfId="34566" xr:uid="{00000000-0005-0000-0000-0000B8120000}"/>
    <cellStyle name="20% - Accent4 2 3 2 2" xfId="3965" xr:uid="{00000000-0005-0000-0000-0000B9120000}"/>
    <cellStyle name="20% - Accent4 2 3 2 2 10" xfId="34567" xr:uid="{00000000-0005-0000-0000-0000BA120000}"/>
    <cellStyle name="20% - Accent4 2 3 2 2 2" xfId="3966" xr:uid="{00000000-0005-0000-0000-0000BB120000}"/>
    <cellStyle name="20% - Accent4 2 3 2 2 2 2" xfId="3967" xr:uid="{00000000-0005-0000-0000-0000BC120000}"/>
    <cellStyle name="20% - Accent4 2 3 2 2 2 2 2" xfId="3968" xr:uid="{00000000-0005-0000-0000-0000BD120000}"/>
    <cellStyle name="20% - Accent4 2 3 2 2 2 2 2 2" xfId="3969" xr:uid="{00000000-0005-0000-0000-0000BE120000}"/>
    <cellStyle name="20% - Accent4 2 3 2 2 2 2 3" xfId="3970" xr:uid="{00000000-0005-0000-0000-0000BF120000}"/>
    <cellStyle name="20% - Accent4 2 3 2 2 2 2 4" xfId="3971" xr:uid="{00000000-0005-0000-0000-0000C0120000}"/>
    <cellStyle name="20% - Accent4 2 3 2 2 2 2 5" xfId="37283" xr:uid="{00000000-0005-0000-0000-0000C1120000}"/>
    <cellStyle name="20% - Accent4 2 3 2 2 2 3" xfId="3972" xr:uid="{00000000-0005-0000-0000-0000C2120000}"/>
    <cellStyle name="20% - Accent4 2 3 2 2 2 3 2" xfId="3973" xr:uid="{00000000-0005-0000-0000-0000C3120000}"/>
    <cellStyle name="20% - Accent4 2 3 2 2 2 4" xfId="3974" xr:uid="{00000000-0005-0000-0000-0000C4120000}"/>
    <cellStyle name="20% - Accent4 2 3 2 2 2 5" xfId="3975" xr:uid="{00000000-0005-0000-0000-0000C5120000}"/>
    <cellStyle name="20% - Accent4 2 3 2 2 2 6" xfId="37282" xr:uid="{00000000-0005-0000-0000-0000C6120000}"/>
    <cellStyle name="20% - Accent4 2 3 2 2 3" xfId="3976" xr:uid="{00000000-0005-0000-0000-0000C7120000}"/>
    <cellStyle name="20% - Accent4 2 3 2 2 3 2" xfId="3977" xr:uid="{00000000-0005-0000-0000-0000C8120000}"/>
    <cellStyle name="20% - Accent4 2 3 2 2 3 2 2" xfId="3978" xr:uid="{00000000-0005-0000-0000-0000C9120000}"/>
    <cellStyle name="20% - Accent4 2 3 2 2 3 2 2 2" xfId="3979" xr:uid="{00000000-0005-0000-0000-0000CA120000}"/>
    <cellStyle name="20% - Accent4 2 3 2 2 3 2 3" xfId="3980" xr:uid="{00000000-0005-0000-0000-0000CB120000}"/>
    <cellStyle name="20% - Accent4 2 3 2 2 3 2 4" xfId="3981" xr:uid="{00000000-0005-0000-0000-0000CC120000}"/>
    <cellStyle name="20% - Accent4 2 3 2 2 3 2 5" xfId="37285" xr:uid="{00000000-0005-0000-0000-0000CD120000}"/>
    <cellStyle name="20% - Accent4 2 3 2 2 3 3" xfId="3982" xr:uid="{00000000-0005-0000-0000-0000CE120000}"/>
    <cellStyle name="20% - Accent4 2 3 2 2 3 3 2" xfId="3983" xr:uid="{00000000-0005-0000-0000-0000CF120000}"/>
    <cellStyle name="20% - Accent4 2 3 2 2 3 4" xfId="3984" xr:uid="{00000000-0005-0000-0000-0000D0120000}"/>
    <cellStyle name="20% - Accent4 2 3 2 2 3 5" xfId="3985" xr:uid="{00000000-0005-0000-0000-0000D1120000}"/>
    <cellStyle name="20% - Accent4 2 3 2 2 3 6" xfId="37284" xr:uid="{00000000-0005-0000-0000-0000D2120000}"/>
    <cellStyle name="20% - Accent4 2 3 2 2 4" xfId="3986" xr:uid="{00000000-0005-0000-0000-0000D3120000}"/>
    <cellStyle name="20% - Accent4 2 3 2 2 4 2" xfId="3987" xr:uid="{00000000-0005-0000-0000-0000D4120000}"/>
    <cellStyle name="20% - Accent4 2 3 2 2 4 2 2" xfId="3988" xr:uid="{00000000-0005-0000-0000-0000D5120000}"/>
    <cellStyle name="20% - Accent4 2 3 2 2 4 3" xfId="3989" xr:uid="{00000000-0005-0000-0000-0000D6120000}"/>
    <cellStyle name="20% - Accent4 2 3 2 2 4 4" xfId="3990" xr:uid="{00000000-0005-0000-0000-0000D7120000}"/>
    <cellStyle name="20% - Accent4 2 3 2 2 4 5" xfId="37286" xr:uid="{00000000-0005-0000-0000-0000D8120000}"/>
    <cellStyle name="20% - Accent4 2 3 2 2 5" xfId="3991" xr:uid="{00000000-0005-0000-0000-0000D9120000}"/>
    <cellStyle name="20% - Accent4 2 3 2 2 5 2" xfId="3992" xr:uid="{00000000-0005-0000-0000-0000DA120000}"/>
    <cellStyle name="20% - Accent4 2 3 2 2 5 2 2" xfId="3993" xr:uid="{00000000-0005-0000-0000-0000DB120000}"/>
    <cellStyle name="20% - Accent4 2 3 2 2 5 3" xfId="3994" xr:uid="{00000000-0005-0000-0000-0000DC120000}"/>
    <cellStyle name="20% - Accent4 2 3 2 2 5 4" xfId="3995" xr:uid="{00000000-0005-0000-0000-0000DD120000}"/>
    <cellStyle name="20% - Accent4 2 3 2 2 6" xfId="3996" xr:uid="{00000000-0005-0000-0000-0000DE120000}"/>
    <cellStyle name="20% - Accent4 2 3 2 2 6 2" xfId="3997" xr:uid="{00000000-0005-0000-0000-0000DF120000}"/>
    <cellStyle name="20% - Accent4 2 3 2 2 6 2 2" xfId="3998" xr:uid="{00000000-0005-0000-0000-0000E0120000}"/>
    <cellStyle name="20% - Accent4 2 3 2 2 6 3" xfId="3999" xr:uid="{00000000-0005-0000-0000-0000E1120000}"/>
    <cellStyle name="20% - Accent4 2 3 2 2 6 4" xfId="4000" xr:uid="{00000000-0005-0000-0000-0000E2120000}"/>
    <cellStyle name="20% - Accent4 2 3 2 2 7" xfId="4001" xr:uid="{00000000-0005-0000-0000-0000E3120000}"/>
    <cellStyle name="20% - Accent4 2 3 2 2 7 2" xfId="4002" xr:uid="{00000000-0005-0000-0000-0000E4120000}"/>
    <cellStyle name="20% - Accent4 2 3 2 2 8" xfId="4003" xr:uid="{00000000-0005-0000-0000-0000E5120000}"/>
    <cellStyle name="20% - Accent4 2 3 2 2 9" xfId="4004" xr:uid="{00000000-0005-0000-0000-0000E6120000}"/>
    <cellStyle name="20% - Accent4 2 3 2 3" xfId="4005" xr:uid="{00000000-0005-0000-0000-0000E7120000}"/>
    <cellStyle name="20% - Accent4 2 3 2 3 2" xfId="4006" xr:uid="{00000000-0005-0000-0000-0000E8120000}"/>
    <cellStyle name="20% - Accent4 2 3 2 3 2 2" xfId="4007" xr:uid="{00000000-0005-0000-0000-0000E9120000}"/>
    <cellStyle name="20% - Accent4 2 3 2 3 2 2 2" xfId="4008" xr:uid="{00000000-0005-0000-0000-0000EA120000}"/>
    <cellStyle name="20% - Accent4 2 3 2 3 2 3" xfId="4009" xr:uid="{00000000-0005-0000-0000-0000EB120000}"/>
    <cellStyle name="20% - Accent4 2 3 2 3 2 4" xfId="4010" xr:uid="{00000000-0005-0000-0000-0000EC120000}"/>
    <cellStyle name="20% - Accent4 2 3 2 3 2 5" xfId="37288" xr:uid="{00000000-0005-0000-0000-0000ED120000}"/>
    <cellStyle name="20% - Accent4 2 3 2 3 3" xfId="4011" xr:uid="{00000000-0005-0000-0000-0000EE120000}"/>
    <cellStyle name="20% - Accent4 2 3 2 3 3 2" xfId="4012" xr:uid="{00000000-0005-0000-0000-0000EF120000}"/>
    <cellStyle name="20% - Accent4 2 3 2 3 4" xfId="4013" xr:uid="{00000000-0005-0000-0000-0000F0120000}"/>
    <cellStyle name="20% - Accent4 2 3 2 3 5" xfId="4014" xr:uid="{00000000-0005-0000-0000-0000F1120000}"/>
    <cellStyle name="20% - Accent4 2 3 2 3 6" xfId="37287" xr:uid="{00000000-0005-0000-0000-0000F2120000}"/>
    <cellStyle name="20% - Accent4 2 3 2 4" xfId="4015" xr:uid="{00000000-0005-0000-0000-0000F3120000}"/>
    <cellStyle name="20% - Accent4 2 3 2 4 2" xfId="4016" xr:uid="{00000000-0005-0000-0000-0000F4120000}"/>
    <cellStyle name="20% - Accent4 2 3 2 4 2 2" xfId="4017" xr:uid="{00000000-0005-0000-0000-0000F5120000}"/>
    <cellStyle name="20% - Accent4 2 3 2 4 2 2 2" xfId="4018" xr:uid="{00000000-0005-0000-0000-0000F6120000}"/>
    <cellStyle name="20% - Accent4 2 3 2 4 2 3" xfId="4019" xr:uid="{00000000-0005-0000-0000-0000F7120000}"/>
    <cellStyle name="20% - Accent4 2 3 2 4 2 4" xfId="4020" xr:uid="{00000000-0005-0000-0000-0000F8120000}"/>
    <cellStyle name="20% - Accent4 2 3 2 4 2 5" xfId="37290" xr:uid="{00000000-0005-0000-0000-0000F9120000}"/>
    <cellStyle name="20% - Accent4 2 3 2 4 3" xfId="4021" xr:uid="{00000000-0005-0000-0000-0000FA120000}"/>
    <cellStyle name="20% - Accent4 2 3 2 4 3 2" xfId="4022" xr:uid="{00000000-0005-0000-0000-0000FB120000}"/>
    <cellStyle name="20% - Accent4 2 3 2 4 4" xfId="4023" xr:uid="{00000000-0005-0000-0000-0000FC120000}"/>
    <cellStyle name="20% - Accent4 2 3 2 4 5" xfId="4024" xr:uid="{00000000-0005-0000-0000-0000FD120000}"/>
    <cellStyle name="20% - Accent4 2 3 2 4 6" xfId="37289" xr:uid="{00000000-0005-0000-0000-0000FE120000}"/>
    <cellStyle name="20% - Accent4 2 3 2 5" xfId="4025" xr:uid="{00000000-0005-0000-0000-0000FF120000}"/>
    <cellStyle name="20% - Accent4 2 3 2 5 2" xfId="4026" xr:uid="{00000000-0005-0000-0000-000000130000}"/>
    <cellStyle name="20% - Accent4 2 3 2 5 2 2" xfId="4027" xr:uid="{00000000-0005-0000-0000-000001130000}"/>
    <cellStyle name="20% - Accent4 2 3 2 5 3" xfId="4028" xr:uid="{00000000-0005-0000-0000-000002130000}"/>
    <cellStyle name="20% - Accent4 2 3 2 5 4" xfId="4029" xr:uid="{00000000-0005-0000-0000-000003130000}"/>
    <cellStyle name="20% - Accent4 2 3 2 5 5" xfId="37291" xr:uid="{00000000-0005-0000-0000-000004130000}"/>
    <cellStyle name="20% - Accent4 2 3 2 6" xfId="4030" xr:uid="{00000000-0005-0000-0000-000005130000}"/>
    <cellStyle name="20% - Accent4 2 3 2 6 2" xfId="4031" xr:uid="{00000000-0005-0000-0000-000006130000}"/>
    <cellStyle name="20% - Accent4 2 3 2 6 2 2" xfId="4032" xr:uid="{00000000-0005-0000-0000-000007130000}"/>
    <cellStyle name="20% - Accent4 2 3 2 6 3" xfId="4033" xr:uid="{00000000-0005-0000-0000-000008130000}"/>
    <cellStyle name="20% - Accent4 2 3 2 6 4" xfId="4034" xr:uid="{00000000-0005-0000-0000-000009130000}"/>
    <cellStyle name="20% - Accent4 2 3 2 7" xfId="4035" xr:uid="{00000000-0005-0000-0000-00000A130000}"/>
    <cellStyle name="20% - Accent4 2 3 2 7 2" xfId="4036" xr:uid="{00000000-0005-0000-0000-00000B130000}"/>
    <cellStyle name="20% - Accent4 2 3 2 7 2 2" xfId="4037" xr:uid="{00000000-0005-0000-0000-00000C130000}"/>
    <cellStyle name="20% - Accent4 2 3 2 7 3" xfId="4038" xr:uid="{00000000-0005-0000-0000-00000D130000}"/>
    <cellStyle name="20% - Accent4 2 3 2 7 4" xfId="4039" xr:uid="{00000000-0005-0000-0000-00000E130000}"/>
    <cellStyle name="20% - Accent4 2 3 2 8" xfId="4040" xr:uid="{00000000-0005-0000-0000-00000F130000}"/>
    <cellStyle name="20% - Accent4 2 3 2 8 2" xfId="4041" xr:uid="{00000000-0005-0000-0000-000010130000}"/>
    <cellStyle name="20% - Accent4 2 3 2 9" xfId="4042" xr:uid="{00000000-0005-0000-0000-000011130000}"/>
    <cellStyle name="20% - Accent4 2 3 3" xfId="4043" xr:uid="{00000000-0005-0000-0000-000012130000}"/>
    <cellStyle name="20% - Accent4 2 3 3 10" xfId="34568" xr:uid="{00000000-0005-0000-0000-000013130000}"/>
    <cellStyle name="20% - Accent4 2 3 3 2" xfId="4044" xr:uid="{00000000-0005-0000-0000-000014130000}"/>
    <cellStyle name="20% - Accent4 2 3 3 2 2" xfId="4045" xr:uid="{00000000-0005-0000-0000-000015130000}"/>
    <cellStyle name="20% - Accent4 2 3 3 2 2 2" xfId="4046" xr:uid="{00000000-0005-0000-0000-000016130000}"/>
    <cellStyle name="20% - Accent4 2 3 3 2 2 2 2" xfId="4047" xr:uid="{00000000-0005-0000-0000-000017130000}"/>
    <cellStyle name="20% - Accent4 2 3 3 2 2 3" xfId="4048" xr:uid="{00000000-0005-0000-0000-000018130000}"/>
    <cellStyle name="20% - Accent4 2 3 3 2 2 4" xfId="4049" xr:uid="{00000000-0005-0000-0000-000019130000}"/>
    <cellStyle name="20% - Accent4 2 3 3 2 2 5" xfId="37293" xr:uid="{00000000-0005-0000-0000-00001A130000}"/>
    <cellStyle name="20% - Accent4 2 3 3 2 3" xfId="4050" xr:uid="{00000000-0005-0000-0000-00001B130000}"/>
    <cellStyle name="20% - Accent4 2 3 3 2 3 2" xfId="4051" xr:uid="{00000000-0005-0000-0000-00001C130000}"/>
    <cellStyle name="20% - Accent4 2 3 3 2 4" xfId="4052" xr:uid="{00000000-0005-0000-0000-00001D130000}"/>
    <cellStyle name="20% - Accent4 2 3 3 2 5" xfId="4053" xr:uid="{00000000-0005-0000-0000-00001E130000}"/>
    <cellStyle name="20% - Accent4 2 3 3 2 6" xfId="37292" xr:uid="{00000000-0005-0000-0000-00001F130000}"/>
    <cellStyle name="20% - Accent4 2 3 3 3" xfId="4054" xr:uid="{00000000-0005-0000-0000-000020130000}"/>
    <cellStyle name="20% - Accent4 2 3 3 3 2" xfId="4055" xr:uid="{00000000-0005-0000-0000-000021130000}"/>
    <cellStyle name="20% - Accent4 2 3 3 3 2 2" xfId="4056" xr:uid="{00000000-0005-0000-0000-000022130000}"/>
    <cellStyle name="20% - Accent4 2 3 3 3 2 2 2" xfId="4057" xr:uid="{00000000-0005-0000-0000-000023130000}"/>
    <cellStyle name="20% - Accent4 2 3 3 3 2 3" xfId="4058" xr:uid="{00000000-0005-0000-0000-000024130000}"/>
    <cellStyle name="20% - Accent4 2 3 3 3 2 4" xfId="4059" xr:uid="{00000000-0005-0000-0000-000025130000}"/>
    <cellStyle name="20% - Accent4 2 3 3 3 2 5" xfId="37295" xr:uid="{00000000-0005-0000-0000-000026130000}"/>
    <cellStyle name="20% - Accent4 2 3 3 3 3" xfId="4060" xr:uid="{00000000-0005-0000-0000-000027130000}"/>
    <cellStyle name="20% - Accent4 2 3 3 3 3 2" xfId="4061" xr:uid="{00000000-0005-0000-0000-000028130000}"/>
    <cellStyle name="20% - Accent4 2 3 3 3 4" xfId="4062" xr:uid="{00000000-0005-0000-0000-000029130000}"/>
    <cellStyle name="20% - Accent4 2 3 3 3 5" xfId="4063" xr:uid="{00000000-0005-0000-0000-00002A130000}"/>
    <cellStyle name="20% - Accent4 2 3 3 3 6" xfId="37294" xr:uid="{00000000-0005-0000-0000-00002B130000}"/>
    <cellStyle name="20% - Accent4 2 3 3 4" xfId="4064" xr:uid="{00000000-0005-0000-0000-00002C130000}"/>
    <cellStyle name="20% - Accent4 2 3 3 4 2" xfId="4065" xr:uid="{00000000-0005-0000-0000-00002D130000}"/>
    <cellStyle name="20% - Accent4 2 3 3 4 2 2" xfId="4066" xr:uid="{00000000-0005-0000-0000-00002E130000}"/>
    <cellStyle name="20% - Accent4 2 3 3 4 3" xfId="4067" xr:uid="{00000000-0005-0000-0000-00002F130000}"/>
    <cellStyle name="20% - Accent4 2 3 3 4 4" xfId="4068" xr:uid="{00000000-0005-0000-0000-000030130000}"/>
    <cellStyle name="20% - Accent4 2 3 3 4 5" xfId="37296" xr:uid="{00000000-0005-0000-0000-000031130000}"/>
    <cellStyle name="20% - Accent4 2 3 3 5" xfId="4069" xr:uid="{00000000-0005-0000-0000-000032130000}"/>
    <cellStyle name="20% - Accent4 2 3 3 5 2" xfId="4070" xr:uid="{00000000-0005-0000-0000-000033130000}"/>
    <cellStyle name="20% - Accent4 2 3 3 5 2 2" xfId="4071" xr:uid="{00000000-0005-0000-0000-000034130000}"/>
    <cellStyle name="20% - Accent4 2 3 3 5 3" xfId="4072" xr:uid="{00000000-0005-0000-0000-000035130000}"/>
    <cellStyle name="20% - Accent4 2 3 3 5 4" xfId="4073" xr:uid="{00000000-0005-0000-0000-000036130000}"/>
    <cellStyle name="20% - Accent4 2 3 3 6" xfId="4074" xr:uid="{00000000-0005-0000-0000-000037130000}"/>
    <cellStyle name="20% - Accent4 2 3 3 6 2" xfId="4075" xr:uid="{00000000-0005-0000-0000-000038130000}"/>
    <cellStyle name="20% - Accent4 2 3 3 6 2 2" xfId="4076" xr:uid="{00000000-0005-0000-0000-000039130000}"/>
    <cellStyle name="20% - Accent4 2 3 3 6 3" xfId="4077" xr:uid="{00000000-0005-0000-0000-00003A130000}"/>
    <cellStyle name="20% - Accent4 2 3 3 6 4" xfId="4078" xr:uid="{00000000-0005-0000-0000-00003B130000}"/>
    <cellStyle name="20% - Accent4 2 3 3 7" xfId="4079" xr:uid="{00000000-0005-0000-0000-00003C130000}"/>
    <cellStyle name="20% - Accent4 2 3 3 7 2" xfId="4080" xr:uid="{00000000-0005-0000-0000-00003D130000}"/>
    <cellStyle name="20% - Accent4 2 3 3 8" xfId="4081" xr:uid="{00000000-0005-0000-0000-00003E130000}"/>
    <cellStyle name="20% - Accent4 2 3 3 9" xfId="4082" xr:uid="{00000000-0005-0000-0000-00003F130000}"/>
    <cellStyle name="20% - Accent4 2 3 4" xfId="4083" xr:uid="{00000000-0005-0000-0000-000040130000}"/>
    <cellStyle name="20% - Accent4 2 3 4 2" xfId="4084" xr:uid="{00000000-0005-0000-0000-000041130000}"/>
    <cellStyle name="20% - Accent4 2 3 4 2 2" xfId="4085" xr:uid="{00000000-0005-0000-0000-000042130000}"/>
    <cellStyle name="20% - Accent4 2 3 4 2 2 2" xfId="4086" xr:uid="{00000000-0005-0000-0000-000043130000}"/>
    <cellStyle name="20% - Accent4 2 3 4 2 2 2 2" xfId="4087" xr:uid="{00000000-0005-0000-0000-000044130000}"/>
    <cellStyle name="20% - Accent4 2 3 4 2 2 3" xfId="4088" xr:uid="{00000000-0005-0000-0000-000045130000}"/>
    <cellStyle name="20% - Accent4 2 3 4 2 2 4" xfId="4089" xr:uid="{00000000-0005-0000-0000-000046130000}"/>
    <cellStyle name="20% - Accent4 2 3 4 2 2 5" xfId="37299" xr:uid="{00000000-0005-0000-0000-000047130000}"/>
    <cellStyle name="20% - Accent4 2 3 4 2 3" xfId="4090" xr:uid="{00000000-0005-0000-0000-000048130000}"/>
    <cellStyle name="20% - Accent4 2 3 4 2 3 2" xfId="4091" xr:uid="{00000000-0005-0000-0000-000049130000}"/>
    <cellStyle name="20% - Accent4 2 3 4 2 4" xfId="4092" xr:uid="{00000000-0005-0000-0000-00004A130000}"/>
    <cellStyle name="20% - Accent4 2 3 4 2 5" xfId="4093" xr:uid="{00000000-0005-0000-0000-00004B130000}"/>
    <cellStyle name="20% - Accent4 2 3 4 2 6" xfId="37298" xr:uid="{00000000-0005-0000-0000-00004C130000}"/>
    <cellStyle name="20% - Accent4 2 3 4 3" xfId="4094" xr:uid="{00000000-0005-0000-0000-00004D130000}"/>
    <cellStyle name="20% - Accent4 2 3 4 3 2" xfId="4095" xr:uid="{00000000-0005-0000-0000-00004E130000}"/>
    <cellStyle name="20% - Accent4 2 3 4 3 2 2" xfId="4096" xr:uid="{00000000-0005-0000-0000-00004F130000}"/>
    <cellStyle name="20% - Accent4 2 3 4 3 3" xfId="4097" xr:uid="{00000000-0005-0000-0000-000050130000}"/>
    <cellStyle name="20% - Accent4 2 3 4 3 4" xfId="4098" xr:uid="{00000000-0005-0000-0000-000051130000}"/>
    <cellStyle name="20% - Accent4 2 3 4 3 5" xfId="37300" xr:uid="{00000000-0005-0000-0000-000052130000}"/>
    <cellStyle name="20% - Accent4 2 3 4 4" xfId="4099" xr:uid="{00000000-0005-0000-0000-000053130000}"/>
    <cellStyle name="20% - Accent4 2 3 4 5" xfId="4100" xr:uid="{00000000-0005-0000-0000-000054130000}"/>
    <cellStyle name="20% - Accent4 2 3 4 5 2" xfId="4101" xr:uid="{00000000-0005-0000-0000-000055130000}"/>
    <cellStyle name="20% - Accent4 2 3 4 6" xfId="4102" xr:uid="{00000000-0005-0000-0000-000056130000}"/>
    <cellStyle name="20% - Accent4 2 3 4 7" xfId="4103" xr:uid="{00000000-0005-0000-0000-000057130000}"/>
    <cellStyle name="20% - Accent4 2 3 4 8" xfId="37297" xr:uid="{00000000-0005-0000-0000-000058130000}"/>
    <cellStyle name="20% - Accent4 2 3 5" xfId="4104" xr:uid="{00000000-0005-0000-0000-000059130000}"/>
    <cellStyle name="20% - Accent4 2 3 5 2" xfId="4105" xr:uid="{00000000-0005-0000-0000-00005A130000}"/>
    <cellStyle name="20% - Accent4 2 3 5 2 2" xfId="4106" xr:uid="{00000000-0005-0000-0000-00005B130000}"/>
    <cellStyle name="20% - Accent4 2 3 5 2 2 2" xfId="4107" xr:uid="{00000000-0005-0000-0000-00005C130000}"/>
    <cellStyle name="20% - Accent4 2 3 5 2 3" xfId="4108" xr:uid="{00000000-0005-0000-0000-00005D130000}"/>
    <cellStyle name="20% - Accent4 2 3 5 2 4" xfId="4109" xr:uid="{00000000-0005-0000-0000-00005E130000}"/>
    <cellStyle name="20% - Accent4 2 3 5 2 5" xfId="37302" xr:uid="{00000000-0005-0000-0000-00005F130000}"/>
    <cellStyle name="20% - Accent4 2 3 5 3" xfId="4110" xr:uid="{00000000-0005-0000-0000-000060130000}"/>
    <cellStyle name="20% - Accent4 2 3 5 3 2" xfId="4111" xr:uid="{00000000-0005-0000-0000-000061130000}"/>
    <cellStyle name="20% - Accent4 2 3 5 4" xfId="4112" xr:uid="{00000000-0005-0000-0000-000062130000}"/>
    <cellStyle name="20% - Accent4 2 3 5 5" xfId="4113" xr:uid="{00000000-0005-0000-0000-000063130000}"/>
    <cellStyle name="20% - Accent4 2 3 5 6" xfId="37301" xr:uid="{00000000-0005-0000-0000-000064130000}"/>
    <cellStyle name="20% - Accent4 2 3 6" xfId="4114" xr:uid="{00000000-0005-0000-0000-000065130000}"/>
    <cellStyle name="20% - Accent4 2 3 6 2" xfId="4115" xr:uid="{00000000-0005-0000-0000-000066130000}"/>
    <cellStyle name="20% - Accent4 2 3 6 2 2" xfId="4116" xr:uid="{00000000-0005-0000-0000-000067130000}"/>
    <cellStyle name="20% - Accent4 2 3 6 3" xfId="4117" xr:uid="{00000000-0005-0000-0000-000068130000}"/>
    <cellStyle name="20% - Accent4 2 3 6 4" xfId="4118" xr:uid="{00000000-0005-0000-0000-000069130000}"/>
    <cellStyle name="20% - Accent4 2 3 7" xfId="4119" xr:uid="{00000000-0005-0000-0000-00006A130000}"/>
    <cellStyle name="20% - Accent4 2 3 7 2" xfId="4120" xr:uid="{00000000-0005-0000-0000-00006B130000}"/>
    <cellStyle name="20% - Accent4 2 3 7 2 2" xfId="4121" xr:uid="{00000000-0005-0000-0000-00006C130000}"/>
    <cellStyle name="20% - Accent4 2 3 7 3" xfId="4122" xr:uid="{00000000-0005-0000-0000-00006D130000}"/>
    <cellStyle name="20% - Accent4 2 3 7 4" xfId="4123" xr:uid="{00000000-0005-0000-0000-00006E130000}"/>
    <cellStyle name="20% - Accent4 2 3 8" xfId="34565" xr:uid="{00000000-0005-0000-0000-00006F130000}"/>
    <cellStyle name="20% - Accent4 2 4" xfId="4124" xr:uid="{00000000-0005-0000-0000-000070130000}"/>
    <cellStyle name="20% - Accent4 2 4 10" xfId="4125" xr:uid="{00000000-0005-0000-0000-000071130000}"/>
    <cellStyle name="20% - Accent4 2 4 11" xfId="34569" xr:uid="{00000000-0005-0000-0000-000072130000}"/>
    <cellStyle name="20% - Accent4 2 4 2" xfId="4126" xr:uid="{00000000-0005-0000-0000-000073130000}"/>
    <cellStyle name="20% - Accent4 2 4 2 10" xfId="34570" xr:uid="{00000000-0005-0000-0000-000074130000}"/>
    <cellStyle name="20% - Accent4 2 4 2 2" xfId="4127" xr:uid="{00000000-0005-0000-0000-000075130000}"/>
    <cellStyle name="20% - Accent4 2 4 2 2 2" xfId="4128" xr:uid="{00000000-0005-0000-0000-000076130000}"/>
    <cellStyle name="20% - Accent4 2 4 2 2 2 2" xfId="4129" xr:uid="{00000000-0005-0000-0000-000077130000}"/>
    <cellStyle name="20% - Accent4 2 4 2 2 2 2 2" xfId="4130" xr:uid="{00000000-0005-0000-0000-000078130000}"/>
    <cellStyle name="20% - Accent4 2 4 2 2 2 3" xfId="4131" xr:uid="{00000000-0005-0000-0000-000079130000}"/>
    <cellStyle name="20% - Accent4 2 4 2 2 2 4" xfId="4132" xr:uid="{00000000-0005-0000-0000-00007A130000}"/>
    <cellStyle name="20% - Accent4 2 4 2 2 2 5" xfId="37304" xr:uid="{00000000-0005-0000-0000-00007B130000}"/>
    <cellStyle name="20% - Accent4 2 4 2 2 3" xfId="4133" xr:uid="{00000000-0005-0000-0000-00007C130000}"/>
    <cellStyle name="20% - Accent4 2 4 2 2 3 2" xfId="4134" xr:uid="{00000000-0005-0000-0000-00007D130000}"/>
    <cellStyle name="20% - Accent4 2 4 2 2 4" xfId="4135" xr:uid="{00000000-0005-0000-0000-00007E130000}"/>
    <cellStyle name="20% - Accent4 2 4 2 2 5" xfId="4136" xr:uid="{00000000-0005-0000-0000-00007F130000}"/>
    <cellStyle name="20% - Accent4 2 4 2 2 6" xfId="37303" xr:uid="{00000000-0005-0000-0000-000080130000}"/>
    <cellStyle name="20% - Accent4 2 4 2 3" xfId="4137" xr:uid="{00000000-0005-0000-0000-000081130000}"/>
    <cellStyle name="20% - Accent4 2 4 2 3 2" xfId="4138" xr:uid="{00000000-0005-0000-0000-000082130000}"/>
    <cellStyle name="20% - Accent4 2 4 2 3 2 2" xfId="4139" xr:uid="{00000000-0005-0000-0000-000083130000}"/>
    <cellStyle name="20% - Accent4 2 4 2 3 2 2 2" xfId="4140" xr:uid="{00000000-0005-0000-0000-000084130000}"/>
    <cellStyle name="20% - Accent4 2 4 2 3 2 3" xfId="4141" xr:uid="{00000000-0005-0000-0000-000085130000}"/>
    <cellStyle name="20% - Accent4 2 4 2 3 2 4" xfId="4142" xr:uid="{00000000-0005-0000-0000-000086130000}"/>
    <cellStyle name="20% - Accent4 2 4 2 3 2 5" xfId="37306" xr:uid="{00000000-0005-0000-0000-000087130000}"/>
    <cellStyle name="20% - Accent4 2 4 2 3 3" xfId="4143" xr:uid="{00000000-0005-0000-0000-000088130000}"/>
    <cellStyle name="20% - Accent4 2 4 2 3 3 2" xfId="4144" xr:uid="{00000000-0005-0000-0000-000089130000}"/>
    <cellStyle name="20% - Accent4 2 4 2 3 4" xfId="4145" xr:uid="{00000000-0005-0000-0000-00008A130000}"/>
    <cellStyle name="20% - Accent4 2 4 2 3 5" xfId="4146" xr:uid="{00000000-0005-0000-0000-00008B130000}"/>
    <cellStyle name="20% - Accent4 2 4 2 3 6" xfId="37305" xr:uid="{00000000-0005-0000-0000-00008C130000}"/>
    <cellStyle name="20% - Accent4 2 4 2 4" xfId="4147" xr:uid="{00000000-0005-0000-0000-00008D130000}"/>
    <cellStyle name="20% - Accent4 2 4 2 4 2" xfId="4148" xr:uid="{00000000-0005-0000-0000-00008E130000}"/>
    <cellStyle name="20% - Accent4 2 4 2 4 2 2" xfId="4149" xr:uid="{00000000-0005-0000-0000-00008F130000}"/>
    <cellStyle name="20% - Accent4 2 4 2 4 3" xfId="4150" xr:uid="{00000000-0005-0000-0000-000090130000}"/>
    <cellStyle name="20% - Accent4 2 4 2 4 4" xfId="4151" xr:uid="{00000000-0005-0000-0000-000091130000}"/>
    <cellStyle name="20% - Accent4 2 4 2 4 5" xfId="37307" xr:uid="{00000000-0005-0000-0000-000092130000}"/>
    <cellStyle name="20% - Accent4 2 4 2 5" xfId="4152" xr:uid="{00000000-0005-0000-0000-000093130000}"/>
    <cellStyle name="20% - Accent4 2 4 2 5 2" xfId="4153" xr:uid="{00000000-0005-0000-0000-000094130000}"/>
    <cellStyle name="20% - Accent4 2 4 2 5 2 2" xfId="4154" xr:uid="{00000000-0005-0000-0000-000095130000}"/>
    <cellStyle name="20% - Accent4 2 4 2 5 3" xfId="4155" xr:uid="{00000000-0005-0000-0000-000096130000}"/>
    <cellStyle name="20% - Accent4 2 4 2 5 4" xfId="4156" xr:uid="{00000000-0005-0000-0000-000097130000}"/>
    <cellStyle name="20% - Accent4 2 4 2 6" xfId="4157" xr:uid="{00000000-0005-0000-0000-000098130000}"/>
    <cellStyle name="20% - Accent4 2 4 2 6 2" xfId="4158" xr:uid="{00000000-0005-0000-0000-000099130000}"/>
    <cellStyle name="20% - Accent4 2 4 2 6 2 2" xfId="4159" xr:uid="{00000000-0005-0000-0000-00009A130000}"/>
    <cellStyle name="20% - Accent4 2 4 2 6 3" xfId="4160" xr:uid="{00000000-0005-0000-0000-00009B130000}"/>
    <cellStyle name="20% - Accent4 2 4 2 6 4" xfId="4161" xr:uid="{00000000-0005-0000-0000-00009C130000}"/>
    <cellStyle name="20% - Accent4 2 4 2 7" xfId="4162" xr:uid="{00000000-0005-0000-0000-00009D130000}"/>
    <cellStyle name="20% - Accent4 2 4 2 7 2" xfId="4163" xr:uid="{00000000-0005-0000-0000-00009E130000}"/>
    <cellStyle name="20% - Accent4 2 4 2 8" xfId="4164" xr:uid="{00000000-0005-0000-0000-00009F130000}"/>
    <cellStyle name="20% - Accent4 2 4 2 9" xfId="4165" xr:uid="{00000000-0005-0000-0000-0000A0130000}"/>
    <cellStyle name="20% - Accent4 2 4 3" xfId="4166" xr:uid="{00000000-0005-0000-0000-0000A1130000}"/>
    <cellStyle name="20% - Accent4 2 4 3 2" xfId="4167" xr:uid="{00000000-0005-0000-0000-0000A2130000}"/>
    <cellStyle name="20% - Accent4 2 4 3 2 2" xfId="4168" xr:uid="{00000000-0005-0000-0000-0000A3130000}"/>
    <cellStyle name="20% - Accent4 2 4 3 2 2 2" xfId="4169" xr:uid="{00000000-0005-0000-0000-0000A4130000}"/>
    <cellStyle name="20% - Accent4 2 4 3 2 3" xfId="4170" xr:uid="{00000000-0005-0000-0000-0000A5130000}"/>
    <cellStyle name="20% - Accent4 2 4 3 2 4" xfId="4171" xr:uid="{00000000-0005-0000-0000-0000A6130000}"/>
    <cellStyle name="20% - Accent4 2 4 3 2 5" xfId="37309" xr:uid="{00000000-0005-0000-0000-0000A7130000}"/>
    <cellStyle name="20% - Accent4 2 4 3 3" xfId="4172" xr:uid="{00000000-0005-0000-0000-0000A8130000}"/>
    <cellStyle name="20% - Accent4 2 4 3 3 2" xfId="4173" xr:uid="{00000000-0005-0000-0000-0000A9130000}"/>
    <cellStyle name="20% - Accent4 2 4 3 4" xfId="4174" xr:uid="{00000000-0005-0000-0000-0000AA130000}"/>
    <cellStyle name="20% - Accent4 2 4 3 5" xfId="4175" xr:uid="{00000000-0005-0000-0000-0000AB130000}"/>
    <cellStyle name="20% - Accent4 2 4 3 6" xfId="37308" xr:uid="{00000000-0005-0000-0000-0000AC130000}"/>
    <cellStyle name="20% - Accent4 2 4 4" xfId="4176" xr:uid="{00000000-0005-0000-0000-0000AD130000}"/>
    <cellStyle name="20% - Accent4 2 4 4 2" xfId="4177" xr:uid="{00000000-0005-0000-0000-0000AE130000}"/>
    <cellStyle name="20% - Accent4 2 4 4 2 2" xfId="4178" xr:uid="{00000000-0005-0000-0000-0000AF130000}"/>
    <cellStyle name="20% - Accent4 2 4 4 2 2 2" xfId="4179" xr:uid="{00000000-0005-0000-0000-0000B0130000}"/>
    <cellStyle name="20% - Accent4 2 4 4 2 3" xfId="4180" xr:uid="{00000000-0005-0000-0000-0000B1130000}"/>
    <cellStyle name="20% - Accent4 2 4 4 2 4" xfId="4181" xr:uid="{00000000-0005-0000-0000-0000B2130000}"/>
    <cellStyle name="20% - Accent4 2 4 4 2 5" xfId="37311" xr:uid="{00000000-0005-0000-0000-0000B3130000}"/>
    <cellStyle name="20% - Accent4 2 4 4 3" xfId="4182" xr:uid="{00000000-0005-0000-0000-0000B4130000}"/>
    <cellStyle name="20% - Accent4 2 4 4 3 2" xfId="4183" xr:uid="{00000000-0005-0000-0000-0000B5130000}"/>
    <cellStyle name="20% - Accent4 2 4 4 4" xfId="4184" xr:uid="{00000000-0005-0000-0000-0000B6130000}"/>
    <cellStyle name="20% - Accent4 2 4 4 5" xfId="4185" xr:uid="{00000000-0005-0000-0000-0000B7130000}"/>
    <cellStyle name="20% - Accent4 2 4 4 6" xfId="37310" xr:uid="{00000000-0005-0000-0000-0000B8130000}"/>
    <cellStyle name="20% - Accent4 2 4 5" xfId="4186" xr:uid="{00000000-0005-0000-0000-0000B9130000}"/>
    <cellStyle name="20% - Accent4 2 4 5 2" xfId="4187" xr:uid="{00000000-0005-0000-0000-0000BA130000}"/>
    <cellStyle name="20% - Accent4 2 4 5 2 2" xfId="4188" xr:uid="{00000000-0005-0000-0000-0000BB130000}"/>
    <cellStyle name="20% - Accent4 2 4 5 3" xfId="4189" xr:uid="{00000000-0005-0000-0000-0000BC130000}"/>
    <cellStyle name="20% - Accent4 2 4 5 4" xfId="4190" xr:uid="{00000000-0005-0000-0000-0000BD130000}"/>
    <cellStyle name="20% - Accent4 2 4 5 5" xfId="37312" xr:uid="{00000000-0005-0000-0000-0000BE130000}"/>
    <cellStyle name="20% - Accent4 2 4 6" xfId="4191" xr:uid="{00000000-0005-0000-0000-0000BF130000}"/>
    <cellStyle name="20% - Accent4 2 4 6 2" xfId="4192" xr:uid="{00000000-0005-0000-0000-0000C0130000}"/>
    <cellStyle name="20% - Accent4 2 4 6 2 2" xfId="4193" xr:uid="{00000000-0005-0000-0000-0000C1130000}"/>
    <cellStyle name="20% - Accent4 2 4 6 3" xfId="4194" xr:uid="{00000000-0005-0000-0000-0000C2130000}"/>
    <cellStyle name="20% - Accent4 2 4 6 4" xfId="4195" xr:uid="{00000000-0005-0000-0000-0000C3130000}"/>
    <cellStyle name="20% - Accent4 2 4 7" xfId="4196" xr:uid="{00000000-0005-0000-0000-0000C4130000}"/>
    <cellStyle name="20% - Accent4 2 4 7 2" xfId="4197" xr:uid="{00000000-0005-0000-0000-0000C5130000}"/>
    <cellStyle name="20% - Accent4 2 4 7 2 2" xfId="4198" xr:uid="{00000000-0005-0000-0000-0000C6130000}"/>
    <cellStyle name="20% - Accent4 2 4 7 3" xfId="4199" xr:uid="{00000000-0005-0000-0000-0000C7130000}"/>
    <cellStyle name="20% - Accent4 2 4 7 4" xfId="4200" xr:uid="{00000000-0005-0000-0000-0000C8130000}"/>
    <cellStyle name="20% - Accent4 2 4 8" xfId="4201" xr:uid="{00000000-0005-0000-0000-0000C9130000}"/>
    <cellStyle name="20% - Accent4 2 4 8 2" xfId="4202" xr:uid="{00000000-0005-0000-0000-0000CA130000}"/>
    <cellStyle name="20% - Accent4 2 4 9" xfId="4203" xr:uid="{00000000-0005-0000-0000-0000CB130000}"/>
    <cellStyle name="20% - Accent4 2 5" xfId="4204" xr:uid="{00000000-0005-0000-0000-0000CC130000}"/>
    <cellStyle name="20% - Accent4 2 5 10" xfId="34571" xr:uid="{00000000-0005-0000-0000-0000CD130000}"/>
    <cellStyle name="20% - Accent4 2 5 2" xfId="4205" xr:uid="{00000000-0005-0000-0000-0000CE130000}"/>
    <cellStyle name="20% - Accent4 2 5 2 2" xfId="4206" xr:uid="{00000000-0005-0000-0000-0000CF130000}"/>
    <cellStyle name="20% - Accent4 2 5 2 2 2" xfId="4207" xr:uid="{00000000-0005-0000-0000-0000D0130000}"/>
    <cellStyle name="20% - Accent4 2 5 2 2 2 2" xfId="4208" xr:uid="{00000000-0005-0000-0000-0000D1130000}"/>
    <cellStyle name="20% - Accent4 2 5 2 2 3" xfId="4209" xr:uid="{00000000-0005-0000-0000-0000D2130000}"/>
    <cellStyle name="20% - Accent4 2 5 2 2 4" xfId="4210" xr:uid="{00000000-0005-0000-0000-0000D3130000}"/>
    <cellStyle name="20% - Accent4 2 5 2 2 5" xfId="37314" xr:uid="{00000000-0005-0000-0000-0000D4130000}"/>
    <cellStyle name="20% - Accent4 2 5 2 3" xfId="4211" xr:uid="{00000000-0005-0000-0000-0000D5130000}"/>
    <cellStyle name="20% - Accent4 2 5 2 3 2" xfId="4212" xr:uid="{00000000-0005-0000-0000-0000D6130000}"/>
    <cellStyle name="20% - Accent4 2 5 2 4" xfId="4213" xr:uid="{00000000-0005-0000-0000-0000D7130000}"/>
    <cellStyle name="20% - Accent4 2 5 2 5" xfId="4214" xr:uid="{00000000-0005-0000-0000-0000D8130000}"/>
    <cellStyle name="20% - Accent4 2 5 2 6" xfId="37313" xr:uid="{00000000-0005-0000-0000-0000D9130000}"/>
    <cellStyle name="20% - Accent4 2 5 3" xfId="4215" xr:uid="{00000000-0005-0000-0000-0000DA130000}"/>
    <cellStyle name="20% - Accent4 2 5 3 2" xfId="4216" xr:uid="{00000000-0005-0000-0000-0000DB130000}"/>
    <cellStyle name="20% - Accent4 2 5 3 2 2" xfId="4217" xr:uid="{00000000-0005-0000-0000-0000DC130000}"/>
    <cellStyle name="20% - Accent4 2 5 3 2 2 2" xfId="4218" xr:uid="{00000000-0005-0000-0000-0000DD130000}"/>
    <cellStyle name="20% - Accent4 2 5 3 2 3" xfId="4219" xr:uid="{00000000-0005-0000-0000-0000DE130000}"/>
    <cellStyle name="20% - Accent4 2 5 3 2 4" xfId="4220" xr:uid="{00000000-0005-0000-0000-0000DF130000}"/>
    <cellStyle name="20% - Accent4 2 5 3 2 5" xfId="37316" xr:uid="{00000000-0005-0000-0000-0000E0130000}"/>
    <cellStyle name="20% - Accent4 2 5 3 3" xfId="4221" xr:uid="{00000000-0005-0000-0000-0000E1130000}"/>
    <cellStyle name="20% - Accent4 2 5 3 3 2" xfId="4222" xr:uid="{00000000-0005-0000-0000-0000E2130000}"/>
    <cellStyle name="20% - Accent4 2 5 3 4" xfId="4223" xr:uid="{00000000-0005-0000-0000-0000E3130000}"/>
    <cellStyle name="20% - Accent4 2 5 3 5" xfId="4224" xr:uid="{00000000-0005-0000-0000-0000E4130000}"/>
    <cellStyle name="20% - Accent4 2 5 3 6" xfId="37315" xr:uid="{00000000-0005-0000-0000-0000E5130000}"/>
    <cellStyle name="20% - Accent4 2 5 4" xfId="4225" xr:uid="{00000000-0005-0000-0000-0000E6130000}"/>
    <cellStyle name="20% - Accent4 2 5 4 2" xfId="4226" xr:uid="{00000000-0005-0000-0000-0000E7130000}"/>
    <cellStyle name="20% - Accent4 2 5 4 2 2" xfId="4227" xr:uid="{00000000-0005-0000-0000-0000E8130000}"/>
    <cellStyle name="20% - Accent4 2 5 4 3" xfId="4228" xr:uid="{00000000-0005-0000-0000-0000E9130000}"/>
    <cellStyle name="20% - Accent4 2 5 4 4" xfId="4229" xr:uid="{00000000-0005-0000-0000-0000EA130000}"/>
    <cellStyle name="20% - Accent4 2 5 4 5" xfId="37317" xr:uid="{00000000-0005-0000-0000-0000EB130000}"/>
    <cellStyle name="20% - Accent4 2 5 5" xfId="4230" xr:uid="{00000000-0005-0000-0000-0000EC130000}"/>
    <cellStyle name="20% - Accent4 2 5 5 2" xfId="4231" xr:uid="{00000000-0005-0000-0000-0000ED130000}"/>
    <cellStyle name="20% - Accent4 2 5 5 2 2" xfId="4232" xr:uid="{00000000-0005-0000-0000-0000EE130000}"/>
    <cellStyle name="20% - Accent4 2 5 5 3" xfId="4233" xr:uid="{00000000-0005-0000-0000-0000EF130000}"/>
    <cellStyle name="20% - Accent4 2 5 5 4" xfId="4234" xr:uid="{00000000-0005-0000-0000-0000F0130000}"/>
    <cellStyle name="20% - Accent4 2 5 6" xfId="4235" xr:uid="{00000000-0005-0000-0000-0000F1130000}"/>
    <cellStyle name="20% - Accent4 2 5 6 2" xfId="4236" xr:uid="{00000000-0005-0000-0000-0000F2130000}"/>
    <cellStyle name="20% - Accent4 2 5 6 2 2" xfId="4237" xr:uid="{00000000-0005-0000-0000-0000F3130000}"/>
    <cellStyle name="20% - Accent4 2 5 6 3" xfId="4238" xr:uid="{00000000-0005-0000-0000-0000F4130000}"/>
    <cellStyle name="20% - Accent4 2 5 6 4" xfId="4239" xr:uid="{00000000-0005-0000-0000-0000F5130000}"/>
    <cellStyle name="20% - Accent4 2 5 7" xfId="4240" xr:uid="{00000000-0005-0000-0000-0000F6130000}"/>
    <cellStyle name="20% - Accent4 2 5 7 2" xfId="4241" xr:uid="{00000000-0005-0000-0000-0000F7130000}"/>
    <cellStyle name="20% - Accent4 2 5 8" xfId="4242" xr:uid="{00000000-0005-0000-0000-0000F8130000}"/>
    <cellStyle name="20% - Accent4 2 5 9" xfId="4243" xr:uid="{00000000-0005-0000-0000-0000F9130000}"/>
    <cellStyle name="20% - Accent4 2 6" xfId="4244" xr:uid="{00000000-0005-0000-0000-0000FA130000}"/>
    <cellStyle name="20% - Accent4 2 7" xfId="4245" xr:uid="{00000000-0005-0000-0000-0000FB130000}"/>
    <cellStyle name="20% - Accent4 2 8" xfId="4246" xr:uid="{00000000-0005-0000-0000-0000FC130000}"/>
    <cellStyle name="20% - Accent4 2 8 2" xfId="4247" xr:uid="{00000000-0005-0000-0000-0000FD130000}"/>
    <cellStyle name="20% - Accent4 2 8 3" xfId="34572" xr:uid="{00000000-0005-0000-0000-0000FE130000}"/>
    <cellStyle name="20% - Accent4 2 9" xfId="4248" xr:uid="{00000000-0005-0000-0000-0000FF130000}"/>
    <cellStyle name="20% - Accent4 3" xfId="4249" xr:uid="{00000000-0005-0000-0000-000000140000}"/>
    <cellStyle name="20% - Accent4 3 2" xfId="4250" xr:uid="{00000000-0005-0000-0000-000001140000}"/>
    <cellStyle name="20% - Accent4 3 2 10" xfId="4251" xr:uid="{00000000-0005-0000-0000-000002140000}"/>
    <cellStyle name="20% - Accent4 3 2 10 2" xfId="4252" xr:uid="{00000000-0005-0000-0000-000003140000}"/>
    <cellStyle name="20% - Accent4 3 2 11" xfId="4253" xr:uid="{00000000-0005-0000-0000-000004140000}"/>
    <cellStyle name="20% - Accent4 3 2 12" xfId="4254" xr:uid="{00000000-0005-0000-0000-000005140000}"/>
    <cellStyle name="20% - Accent4 3 2 13" xfId="34573" xr:uid="{00000000-0005-0000-0000-000006140000}"/>
    <cellStyle name="20% - Accent4 3 2 2" xfId="4255" xr:uid="{00000000-0005-0000-0000-000007140000}"/>
    <cellStyle name="20% - Accent4 3 2 2 10" xfId="4256" xr:uid="{00000000-0005-0000-0000-000008140000}"/>
    <cellStyle name="20% - Accent4 3 2 2 11" xfId="4257" xr:uid="{00000000-0005-0000-0000-000009140000}"/>
    <cellStyle name="20% - Accent4 3 2 2 12" xfId="34574" xr:uid="{00000000-0005-0000-0000-00000A140000}"/>
    <cellStyle name="20% - Accent4 3 2 2 2" xfId="4258" xr:uid="{00000000-0005-0000-0000-00000B140000}"/>
    <cellStyle name="20% - Accent4 3 2 2 2 10" xfId="4259" xr:uid="{00000000-0005-0000-0000-00000C140000}"/>
    <cellStyle name="20% - Accent4 3 2 2 2 11" xfId="34575" xr:uid="{00000000-0005-0000-0000-00000D140000}"/>
    <cellStyle name="20% - Accent4 3 2 2 2 2" xfId="4260" xr:uid="{00000000-0005-0000-0000-00000E140000}"/>
    <cellStyle name="20% - Accent4 3 2 2 2 2 10" xfId="34576" xr:uid="{00000000-0005-0000-0000-00000F140000}"/>
    <cellStyle name="20% - Accent4 3 2 2 2 2 2" xfId="4261" xr:uid="{00000000-0005-0000-0000-000010140000}"/>
    <cellStyle name="20% - Accent4 3 2 2 2 2 2 2" xfId="4262" xr:uid="{00000000-0005-0000-0000-000011140000}"/>
    <cellStyle name="20% - Accent4 3 2 2 2 2 2 2 2" xfId="4263" xr:uid="{00000000-0005-0000-0000-000012140000}"/>
    <cellStyle name="20% - Accent4 3 2 2 2 2 2 2 2 2" xfId="4264" xr:uid="{00000000-0005-0000-0000-000013140000}"/>
    <cellStyle name="20% - Accent4 3 2 2 2 2 2 2 3" xfId="4265" xr:uid="{00000000-0005-0000-0000-000014140000}"/>
    <cellStyle name="20% - Accent4 3 2 2 2 2 2 2 4" xfId="4266" xr:uid="{00000000-0005-0000-0000-000015140000}"/>
    <cellStyle name="20% - Accent4 3 2 2 2 2 2 2 5" xfId="37319" xr:uid="{00000000-0005-0000-0000-000016140000}"/>
    <cellStyle name="20% - Accent4 3 2 2 2 2 2 3" xfId="4267" xr:uid="{00000000-0005-0000-0000-000017140000}"/>
    <cellStyle name="20% - Accent4 3 2 2 2 2 2 3 2" xfId="4268" xr:uid="{00000000-0005-0000-0000-000018140000}"/>
    <cellStyle name="20% - Accent4 3 2 2 2 2 2 4" xfId="4269" xr:uid="{00000000-0005-0000-0000-000019140000}"/>
    <cellStyle name="20% - Accent4 3 2 2 2 2 2 5" xfId="4270" xr:uid="{00000000-0005-0000-0000-00001A140000}"/>
    <cellStyle name="20% - Accent4 3 2 2 2 2 2 6" xfId="37318" xr:uid="{00000000-0005-0000-0000-00001B140000}"/>
    <cellStyle name="20% - Accent4 3 2 2 2 2 3" xfId="4271" xr:uid="{00000000-0005-0000-0000-00001C140000}"/>
    <cellStyle name="20% - Accent4 3 2 2 2 2 3 2" xfId="4272" xr:uid="{00000000-0005-0000-0000-00001D140000}"/>
    <cellStyle name="20% - Accent4 3 2 2 2 2 3 2 2" xfId="4273" xr:uid="{00000000-0005-0000-0000-00001E140000}"/>
    <cellStyle name="20% - Accent4 3 2 2 2 2 3 2 2 2" xfId="4274" xr:uid="{00000000-0005-0000-0000-00001F140000}"/>
    <cellStyle name="20% - Accent4 3 2 2 2 2 3 2 3" xfId="4275" xr:uid="{00000000-0005-0000-0000-000020140000}"/>
    <cellStyle name="20% - Accent4 3 2 2 2 2 3 2 4" xfId="4276" xr:uid="{00000000-0005-0000-0000-000021140000}"/>
    <cellStyle name="20% - Accent4 3 2 2 2 2 3 2 5" xfId="37321" xr:uid="{00000000-0005-0000-0000-000022140000}"/>
    <cellStyle name="20% - Accent4 3 2 2 2 2 3 3" xfId="4277" xr:uid="{00000000-0005-0000-0000-000023140000}"/>
    <cellStyle name="20% - Accent4 3 2 2 2 2 3 3 2" xfId="4278" xr:uid="{00000000-0005-0000-0000-000024140000}"/>
    <cellStyle name="20% - Accent4 3 2 2 2 2 3 4" xfId="4279" xr:uid="{00000000-0005-0000-0000-000025140000}"/>
    <cellStyle name="20% - Accent4 3 2 2 2 2 3 5" xfId="4280" xr:uid="{00000000-0005-0000-0000-000026140000}"/>
    <cellStyle name="20% - Accent4 3 2 2 2 2 3 6" xfId="37320" xr:uid="{00000000-0005-0000-0000-000027140000}"/>
    <cellStyle name="20% - Accent4 3 2 2 2 2 4" xfId="4281" xr:uid="{00000000-0005-0000-0000-000028140000}"/>
    <cellStyle name="20% - Accent4 3 2 2 2 2 4 2" xfId="4282" xr:uid="{00000000-0005-0000-0000-000029140000}"/>
    <cellStyle name="20% - Accent4 3 2 2 2 2 4 2 2" xfId="4283" xr:uid="{00000000-0005-0000-0000-00002A140000}"/>
    <cellStyle name="20% - Accent4 3 2 2 2 2 4 3" xfId="4284" xr:uid="{00000000-0005-0000-0000-00002B140000}"/>
    <cellStyle name="20% - Accent4 3 2 2 2 2 4 4" xfId="4285" xr:uid="{00000000-0005-0000-0000-00002C140000}"/>
    <cellStyle name="20% - Accent4 3 2 2 2 2 4 5" xfId="37322" xr:uid="{00000000-0005-0000-0000-00002D140000}"/>
    <cellStyle name="20% - Accent4 3 2 2 2 2 5" xfId="4286" xr:uid="{00000000-0005-0000-0000-00002E140000}"/>
    <cellStyle name="20% - Accent4 3 2 2 2 2 5 2" xfId="4287" xr:uid="{00000000-0005-0000-0000-00002F140000}"/>
    <cellStyle name="20% - Accent4 3 2 2 2 2 5 2 2" xfId="4288" xr:uid="{00000000-0005-0000-0000-000030140000}"/>
    <cellStyle name="20% - Accent4 3 2 2 2 2 5 3" xfId="4289" xr:uid="{00000000-0005-0000-0000-000031140000}"/>
    <cellStyle name="20% - Accent4 3 2 2 2 2 5 4" xfId="4290" xr:uid="{00000000-0005-0000-0000-000032140000}"/>
    <cellStyle name="20% - Accent4 3 2 2 2 2 6" xfId="4291" xr:uid="{00000000-0005-0000-0000-000033140000}"/>
    <cellStyle name="20% - Accent4 3 2 2 2 2 6 2" xfId="4292" xr:uid="{00000000-0005-0000-0000-000034140000}"/>
    <cellStyle name="20% - Accent4 3 2 2 2 2 6 2 2" xfId="4293" xr:uid="{00000000-0005-0000-0000-000035140000}"/>
    <cellStyle name="20% - Accent4 3 2 2 2 2 6 3" xfId="4294" xr:uid="{00000000-0005-0000-0000-000036140000}"/>
    <cellStyle name="20% - Accent4 3 2 2 2 2 6 4" xfId="4295" xr:uid="{00000000-0005-0000-0000-000037140000}"/>
    <cellStyle name="20% - Accent4 3 2 2 2 2 7" xfId="4296" xr:uid="{00000000-0005-0000-0000-000038140000}"/>
    <cellStyle name="20% - Accent4 3 2 2 2 2 7 2" xfId="4297" xr:uid="{00000000-0005-0000-0000-000039140000}"/>
    <cellStyle name="20% - Accent4 3 2 2 2 2 8" xfId="4298" xr:uid="{00000000-0005-0000-0000-00003A140000}"/>
    <cellStyle name="20% - Accent4 3 2 2 2 2 9" xfId="4299" xr:uid="{00000000-0005-0000-0000-00003B140000}"/>
    <cellStyle name="20% - Accent4 3 2 2 2 3" xfId="4300" xr:uid="{00000000-0005-0000-0000-00003C140000}"/>
    <cellStyle name="20% - Accent4 3 2 2 2 3 2" xfId="4301" xr:uid="{00000000-0005-0000-0000-00003D140000}"/>
    <cellStyle name="20% - Accent4 3 2 2 2 3 2 2" xfId="4302" xr:uid="{00000000-0005-0000-0000-00003E140000}"/>
    <cellStyle name="20% - Accent4 3 2 2 2 3 2 2 2" xfId="4303" xr:uid="{00000000-0005-0000-0000-00003F140000}"/>
    <cellStyle name="20% - Accent4 3 2 2 2 3 2 3" xfId="4304" xr:uid="{00000000-0005-0000-0000-000040140000}"/>
    <cellStyle name="20% - Accent4 3 2 2 2 3 2 4" xfId="4305" xr:uid="{00000000-0005-0000-0000-000041140000}"/>
    <cellStyle name="20% - Accent4 3 2 2 2 3 2 5" xfId="37324" xr:uid="{00000000-0005-0000-0000-000042140000}"/>
    <cellStyle name="20% - Accent4 3 2 2 2 3 3" xfId="4306" xr:uid="{00000000-0005-0000-0000-000043140000}"/>
    <cellStyle name="20% - Accent4 3 2 2 2 3 3 2" xfId="4307" xr:uid="{00000000-0005-0000-0000-000044140000}"/>
    <cellStyle name="20% - Accent4 3 2 2 2 3 4" xfId="4308" xr:uid="{00000000-0005-0000-0000-000045140000}"/>
    <cellStyle name="20% - Accent4 3 2 2 2 3 5" xfId="4309" xr:uid="{00000000-0005-0000-0000-000046140000}"/>
    <cellStyle name="20% - Accent4 3 2 2 2 3 6" xfId="37323" xr:uid="{00000000-0005-0000-0000-000047140000}"/>
    <cellStyle name="20% - Accent4 3 2 2 2 4" xfId="4310" xr:uid="{00000000-0005-0000-0000-000048140000}"/>
    <cellStyle name="20% - Accent4 3 2 2 2 4 2" xfId="4311" xr:uid="{00000000-0005-0000-0000-000049140000}"/>
    <cellStyle name="20% - Accent4 3 2 2 2 4 2 2" xfId="4312" xr:uid="{00000000-0005-0000-0000-00004A140000}"/>
    <cellStyle name="20% - Accent4 3 2 2 2 4 2 2 2" xfId="4313" xr:uid="{00000000-0005-0000-0000-00004B140000}"/>
    <cellStyle name="20% - Accent4 3 2 2 2 4 2 3" xfId="4314" xr:uid="{00000000-0005-0000-0000-00004C140000}"/>
    <cellStyle name="20% - Accent4 3 2 2 2 4 2 4" xfId="4315" xr:uid="{00000000-0005-0000-0000-00004D140000}"/>
    <cellStyle name="20% - Accent4 3 2 2 2 4 2 5" xfId="37326" xr:uid="{00000000-0005-0000-0000-00004E140000}"/>
    <cellStyle name="20% - Accent4 3 2 2 2 4 3" xfId="4316" xr:uid="{00000000-0005-0000-0000-00004F140000}"/>
    <cellStyle name="20% - Accent4 3 2 2 2 4 3 2" xfId="4317" xr:uid="{00000000-0005-0000-0000-000050140000}"/>
    <cellStyle name="20% - Accent4 3 2 2 2 4 4" xfId="4318" xr:uid="{00000000-0005-0000-0000-000051140000}"/>
    <cellStyle name="20% - Accent4 3 2 2 2 4 5" xfId="4319" xr:uid="{00000000-0005-0000-0000-000052140000}"/>
    <cellStyle name="20% - Accent4 3 2 2 2 4 6" xfId="37325" xr:uid="{00000000-0005-0000-0000-000053140000}"/>
    <cellStyle name="20% - Accent4 3 2 2 2 5" xfId="4320" xr:uid="{00000000-0005-0000-0000-000054140000}"/>
    <cellStyle name="20% - Accent4 3 2 2 2 5 2" xfId="4321" xr:uid="{00000000-0005-0000-0000-000055140000}"/>
    <cellStyle name="20% - Accent4 3 2 2 2 5 2 2" xfId="4322" xr:uid="{00000000-0005-0000-0000-000056140000}"/>
    <cellStyle name="20% - Accent4 3 2 2 2 5 3" xfId="4323" xr:uid="{00000000-0005-0000-0000-000057140000}"/>
    <cellStyle name="20% - Accent4 3 2 2 2 5 4" xfId="4324" xr:uid="{00000000-0005-0000-0000-000058140000}"/>
    <cellStyle name="20% - Accent4 3 2 2 2 5 5" xfId="37327" xr:uid="{00000000-0005-0000-0000-000059140000}"/>
    <cellStyle name="20% - Accent4 3 2 2 2 6" xfId="4325" xr:uid="{00000000-0005-0000-0000-00005A140000}"/>
    <cellStyle name="20% - Accent4 3 2 2 2 6 2" xfId="4326" xr:uid="{00000000-0005-0000-0000-00005B140000}"/>
    <cellStyle name="20% - Accent4 3 2 2 2 6 2 2" xfId="4327" xr:uid="{00000000-0005-0000-0000-00005C140000}"/>
    <cellStyle name="20% - Accent4 3 2 2 2 6 3" xfId="4328" xr:uid="{00000000-0005-0000-0000-00005D140000}"/>
    <cellStyle name="20% - Accent4 3 2 2 2 6 4" xfId="4329" xr:uid="{00000000-0005-0000-0000-00005E140000}"/>
    <cellStyle name="20% - Accent4 3 2 2 2 7" xfId="4330" xr:uid="{00000000-0005-0000-0000-00005F140000}"/>
    <cellStyle name="20% - Accent4 3 2 2 2 7 2" xfId="4331" xr:uid="{00000000-0005-0000-0000-000060140000}"/>
    <cellStyle name="20% - Accent4 3 2 2 2 7 2 2" xfId="4332" xr:uid="{00000000-0005-0000-0000-000061140000}"/>
    <cellStyle name="20% - Accent4 3 2 2 2 7 3" xfId="4333" xr:uid="{00000000-0005-0000-0000-000062140000}"/>
    <cellStyle name="20% - Accent4 3 2 2 2 7 4" xfId="4334" xr:uid="{00000000-0005-0000-0000-000063140000}"/>
    <cellStyle name="20% - Accent4 3 2 2 2 8" xfId="4335" xr:uid="{00000000-0005-0000-0000-000064140000}"/>
    <cellStyle name="20% - Accent4 3 2 2 2 8 2" xfId="4336" xr:uid="{00000000-0005-0000-0000-000065140000}"/>
    <cellStyle name="20% - Accent4 3 2 2 2 9" xfId="4337" xr:uid="{00000000-0005-0000-0000-000066140000}"/>
    <cellStyle name="20% - Accent4 3 2 2 3" xfId="4338" xr:uid="{00000000-0005-0000-0000-000067140000}"/>
    <cellStyle name="20% - Accent4 3 2 2 3 10" xfId="34577" xr:uid="{00000000-0005-0000-0000-000068140000}"/>
    <cellStyle name="20% - Accent4 3 2 2 3 2" xfId="4339" xr:uid="{00000000-0005-0000-0000-000069140000}"/>
    <cellStyle name="20% - Accent4 3 2 2 3 2 2" xfId="4340" xr:uid="{00000000-0005-0000-0000-00006A140000}"/>
    <cellStyle name="20% - Accent4 3 2 2 3 2 2 2" xfId="4341" xr:uid="{00000000-0005-0000-0000-00006B140000}"/>
    <cellStyle name="20% - Accent4 3 2 2 3 2 2 2 2" xfId="4342" xr:uid="{00000000-0005-0000-0000-00006C140000}"/>
    <cellStyle name="20% - Accent4 3 2 2 3 2 2 3" xfId="4343" xr:uid="{00000000-0005-0000-0000-00006D140000}"/>
    <cellStyle name="20% - Accent4 3 2 2 3 2 2 4" xfId="4344" xr:uid="{00000000-0005-0000-0000-00006E140000}"/>
    <cellStyle name="20% - Accent4 3 2 2 3 2 2 5" xfId="37329" xr:uid="{00000000-0005-0000-0000-00006F140000}"/>
    <cellStyle name="20% - Accent4 3 2 2 3 2 3" xfId="4345" xr:uid="{00000000-0005-0000-0000-000070140000}"/>
    <cellStyle name="20% - Accent4 3 2 2 3 2 3 2" xfId="4346" xr:uid="{00000000-0005-0000-0000-000071140000}"/>
    <cellStyle name="20% - Accent4 3 2 2 3 2 4" xfId="4347" xr:uid="{00000000-0005-0000-0000-000072140000}"/>
    <cellStyle name="20% - Accent4 3 2 2 3 2 5" xfId="4348" xr:uid="{00000000-0005-0000-0000-000073140000}"/>
    <cellStyle name="20% - Accent4 3 2 2 3 2 6" xfId="37328" xr:uid="{00000000-0005-0000-0000-000074140000}"/>
    <cellStyle name="20% - Accent4 3 2 2 3 3" xfId="4349" xr:uid="{00000000-0005-0000-0000-000075140000}"/>
    <cellStyle name="20% - Accent4 3 2 2 3 3 2" xfId="4350" xr:uid="{00000000-0005-0000-0000-000076140000}"/>
    <cellStyle name="20% - Accent4 3 2 2 3 3 2 2" xfId="4351" xr:uid="{00000000-0005-0000-0000-000077140000}"/>
    <cellStyle name="20% - Accent4 3 2 2 3 3 2 2 2" xfId="4352" xr:uid="{00000000-0005-0000-0000-000078140000}"/>
    <cellStyle name="20% - Accent4 3 2 2 3 3 2 3" xfId="4353" xr:uid="{00000000-0005-0000-0000-000079140000}"/>
    <cellStyle name="20% - Accent4 3 2 2 3 3 2 4" xfId="4354" xr:uid="{00000000-0005-0000-0000-00007A140000}"/>
    <cellStyle name="20% - Accent4 3 2 2 3 3 2 5" xfId="37331" xr:uid="{00000000-0005-0000-0000-00007B140000}"/>
    <cellStyle name="20% - Accent4 3 2 2 3 3 3" xfId="4355" xr:uid="{00000000-0005-0000-0000-00007C140000}"/>
    <cellStyle name="20% - Accent4 3 2 2 3 3 3 2" xfId="4356" xr:uid="{00000000-0005-0000-0000-00007D140000}"/>
    <cellStyle name="20% - Accent4 3 2 2 3 3 4" xfId="4357" xr:uid="{00000000-0005-0000-0000-00007E140000}"/>
    <cellStyle name="20% - Accent4 3 2 2 3 3 5" xfId="4358" xr:uid="{00000000-0005-0000-0000-00007F140000}"/>
    <cellStyle name="20% - Accent4 3 2 2 3 3 6" xfId="37330" xr:uid="{00000000-0005-0000-0000-000080140000}"/>
    <cellStyle name="20% - Accent4 3 2 2 3 4" xfId="4359" xr:uid="{00000000-0005-0000-0000-000081140000}"/>
    <cellStyle name="20% - Accent4 3 2 2 3 4 2" xfId="4360" xr:uid="{00000000-0005-0000-0000-000082140000}"/>
    <cellStyle name="20% - Accent4 3 2 2 3 4 2 2" xfId="4361" xr:uid="{00000000-0005-0000-0000-000083140000}"/>
    <cellStyle name="20% - Accent4 3 2 2 3 4 3" xfId="4362" xr:uid="{00000000-0005-0000-0000-000084140000}"/>
    <cellStyle name="20% - Accent4 3 2 2 3 4 4" xfId="4363" xr:uid="{00000000-0005-0000-0000-000085140000}"/>
    <cellStyle name="20% - Accent4 3 2 2 3 4 5" xfId="37332" xr:uid="{00000000-0005-0000-0000-000086140000}"/>
    <cellStyle name="20% - Accent4 3 2 2 3 5" xfId="4364" xr:uid="{00000000-0005-0000-0000-000087140000}"/>
    <cellStyle name="20% - Accent4 3 2 2 3 5 2" xfId="4365" xr:uid="{00000000-0005-0000-0000-000088140000}"/>
    <cellStyle name="20% - Accent4 3 2 2 3 5 2 2" xfId="4366" xr:uid="{00000000-0005-0000-0000-000089140000}"/>
    <cellStyle name="20% - Accent4 3 2 2 3 5 3" xfId="4367" xr:uid="{00000000-0005-0000-0000-00008A140000}"/>
    <cellStyle name="20% - Accent4 3 2 2 3 5 4" xfId="4368" xr:uid="{00000000-0005-0000-0000-00008B140000}"/>
    <cellStyle name="20% - Accent4 3 2 2 3 6" xfId="4369" xr:uid="{00000000-0005-0000-0000-00008C140000}"/>
    <cellStyle name="20% - Accent4 3 2 2 3 6 2" xfId="4370" xr:uid="{00000000-0005-0000-0000-00008D140000}"/>
    <cellStyle name="20% - Accent4 3 2 2 3 6 2 2" xfId="4371" xr:uid="{00000000-0005-0000-0000-00008E140000}"/>
    <cellStyle name="20% - Accent4 3 2 2 3 6 3" xfId="4372" xr:uid="{00000000-0005-0000-0000-00008F140000}"/>
    <cellStyle name="20% - Accent4 3 2 2 3 6 4" xfId="4373" xr:uid="{00000000-0005-0000-0000-000090140000}"/>
    <cellStyle name="20% - Accent4 3 2 2 3 7" xfId="4374" xr:uid="{00000000-0005-0000-0000-000091140000}"/>
    <cellStyle name="20% - Accent4 3 2 2 3 7 2" xfId="4375" xr:uid="{00000000-0005-0000-0000-000092140000}"/>
    <cellStyle name="20% - Accent4 3 2 2 3 8" xfId="4376" xr:uid="{00000000-0005-0000-0000-000093140000}"/>
    <cellStyle name="20% - Accent4 3 2 2 3 9" xfId="4377" xr:uid="{00000000-0005-0000-0000-000094140000}"/>
    <cellStyle name="20% - Accent4 3 2 2 4" xfId="4378" xr:uid="{00000000-0005-0000-0000-000095140000}"/>
    <cellStyle name="20% - Accent4 3 2 2 4 2" xfId="4379" xr:uid="{00000000-0005-0000-0000-000096140000}"/>
    <cellStyle name="20% - Accent4 3 2 2 4 2 2" xfId="4380" xr:uid="{00000000-0005-0000-0000-000097140000}"/>
    <cellStyle name="20% - Accent4 3 2 2 4 2 2 2" xfId="4381" xr:uid="{00000000-0005-0000-0000-000098140000}"/>
    <cellStyle name="20% - Accent4 3 2 2 4 2 3" xfId="4382" xr:uid="{00000000-0005-0000-0000-000099140000}"/>
    <cellStyle name="20% - Accent4 3 2 2 4 2 4" xfId="4383" xr:uid="{00000000-0005-0000-0000-00009A140000}"/>
    <cellStyle name="20% - Accent4 3 2 2 4 2 5" xfId="37334" xr:uid="{00000000-0005-0000-0000-00009B140000}"/>
    <cellStyle name="20% - Accent4 3 2 2 4 3" xfId="4384" xr:uid="{00000000-0005-0000-0000-00009C140000}"/>
    <cellStyle name="20% - Accent4 3 2 2 4 3 2" xfId="4385" xr:uid="{00000000-0005-0000-0000-00009D140000}"/>
    <cellStyle name="20% - Accent4 3 2 2 4 4" xfId="4386" xr:uid="{00000000-0005-0000-0000-00009E140000}"/>
    <cellStyle name="20% - Accent4 3 2 2 4 5" xfId="4387" xr:uid="{00000000-0005-0000-0000-00009F140000}"/>
    <cellStyle name="20% - Accent4 3 2 2 4 6" xfId="37333" xr:uid="{00000000-0005-0000-0000-0000A0140000}"/>
    <cellStyle name="20% - Accent4 3 2 2 5" xfId="4388" xr:uid="{00000000-0005-0000-0000-0000A1140000}"/>
    <cellStyle name="20% - Accent4 3 2 2 5 2" xfId="4389" xr:uid="{00000000-0005-0000-0000-0000A2140000}"/>
    <cellStyle name="20% - Accent4 3 2 2 5 2 2" xfId="4390" xr:uid="{00000000-0005-0000-0000-0000A3140000}"/>
    <cellStyle name="20% - Accent4 3 2 2 5 2 2 2" xfId="4391" xr:uid="{00000000-0005-0000-0000-0000A4140000}"/>
    <cellStyle name="20% - Accent4 3 2 2 5 2 3" xfId="4392" xr:uid="{00000000-0005-0000-0000-0000A5140000}"/>
    <cellStyle name="20% - Accent4 3 2 2 5 2 4" xfId="4393" xr:uid="{00000000-0005-0000-0000-0000A6140000}"/>
    <cellStyle name="20% - Accent4 3 2 2 5 2 5" xfId="37336" xr:uid="{00000000-0005-0000-0000-0000A7140000}"/>
    <cellStyle name="20% - Accent4 3 2 2 5 3" xfId="4394" xr:uid="{00000000-0005-0000-0000-0000A8140000}"/>
    <cellStyle name="20% - Accent4 3 2 2 5 3 2" xfId="4395" xr:uid="{00000000-0005-0000-0000-0000A9140000}"/>
    <cellStyle name="20% - Accent4 3 2 2 5 4" xfId="4396" xr:uid="{00000000-0005-0000-0000-0000AA140000}"/>
    <cellStyle name="20% - Accent4 3 2 2 5 5" xfId="4397" xr:uid="{00000000-0005-0000-0000-0000AB140000}"/>
    <cellStyle name="20% - Accent4 3 2 2 5 6" xfId="37335" xr:uid="{00000000-0005-0000-0000-0000AC140000}"/>
    <cellStyle name="20% - Accent4 3 2 2 6" xfId="4398" xr:uid="{00000000-0005-0000-0000-0000AD140000}"/>
    <cellStyle name="20% - Accent4 3 2 2 6 2" xfId="4399" xr:uid="{00000000-0005-0000-0000-0000AE140000}"/>
    <cellStyle name="20% - Accent4 3 2 2 6 2 2" xfId="4400" xr:uid="{00000000-0005-0000-0000-0000AF140000}"/>
    <cellStyle name="20% - Accent4 3 2 2 6 3" xfId="4401" xr:uid="{00000000-0005-0000-0000-0000B0140000}"/>
    <cellStyle name="20% - Accent4 3 2 2 6 4" xfId="4402" xr:uid="{00000000-0005-0000-0000-0000B1140000}"/>
    <cellStyle name="20% - Accent4 3 2 2 6 5" xfId="37337" xr:uid="{00000000-0005-0000-0000-0000B2140000}"/>
    <cellStyle name="20% - Accent4 3 2 2 7" xfId="4403" xr:uid="{00000000-0005-0000-0000-0000B3140000}"/>
    <cellStyle name="20% - Accent4 3 2 2 7 2" xfId="4404" xr:uid="{00000000-0005-0000-0000-0000B4140000}"/>
    <cellStyle name="20% - Accent4 3 2 2 7 2 2" xfId="4405" xr:uid="{00000000-0005-0000-0000-0000B5140000}"/>
    <cellStyle name="20% - Accent4 3 2 2 7 3" xfId="4406" xr:uid="{00000000-0005-0000-0000-0000B6140000}"/>
    <cellStyle name="20% - Accent4 3 2 2 7 4" xfId="4407" xr:uid="{00000000-0005-0000-0000-0000B7140000}"/>
    <cellStyle name="20% - Accent4 3 2 2 8" xfId="4408" xr:uid="{00000000-0005-0000-0000-0000B8140000}"/>
    <cellStyle name="20% - Accent4 3 2 2 8 2" xfId="4409" xr:uid="{00000000-0005-0000-0000-0000B9140000}"/>
    <cellStyle name="20% - Accent4 3 2 2 8 2 2" xfId="4410" xr:uid="{00000000-0005-0000-0000-0000BA140000}"/>
    <cellStyle name="20% - Accent4 3 2 2 8 3" xfId="4411" xr:uid="{00000000-0005-0000-0000-0000BB140000}"/>
    <cellStyle name="20% - Accent4 3 2 2 8 4" xfId="4412" xr:uid="{00000000-0005-0000-0000-0000BC140000}"/>
    <cellStyle name="20% - Accent4 3 2 2 9" xfId="4413" xr:uid="{00000000-0005-0000-0000-0000BD140000}"/>
    <cellStyle name="20% - Accent4 3 2 2 9 2" xfId="4414" xr:uid="{00000000-0005-0000-0000-0000BE140000}"/>
    <cellStyle name="20% - Accent4 3 2 3" xfId="4415" xr:uid="{00000000-0005-0000-0000-0000BF140000}"/>
    <cellStyle name="20% - Accent4 3 2 3 10" xfId="4416" xr:uid="{00000000-0005-0000-0000-0000C0140000}"/>
    <cellStyle name="20% - Accent4 3 2 3 11" xfId="34578" xr:uid="{00000000-0005-0000-0000-0000C1140000}"/>
    <cellStyle name="20% - Accent4 3 2 3 2" xfId="4417" xr:uid="{00000000-0005-0000-0000-0000C2140000}"/>
    <cellStyle name="20% - Accent4 3 2 3 2 10" xfId="34579" xr:uid="{00000000-0005-0000-0000-0000C3140000}"/>
    <cellStyle name="20% - Accent4 3 2 3 2 2" xfId="4418" xr:uid="{00000000-0005-0000-0000-0000C4140000}"/>
    <cellStyle name="20% - Accent4 3 2 3 2 2 2" xfId="4419" xr:uid="{00000000-0005-0000-0000-0000C5140000}"/>
    <cellStyle name="20% - Accent4 3 2 3 2 2 2 2" xfId="4420" xr:uid="{00000000-0005-0000-0000-0000C6140000}"/>
    <cellStyle name="20% - Accent4 3 2 3 2 2 2 2 2" xfId="4421" xr:uid="{00000000-0005-0000-0000-0000C7140000}"/>
    <cellStyle name="20% - Accent4 3 2 3 2 2 2 3" xfId="4422" xr:uid="{00000000-0005-0000-0000-0000C8140000}"/>
    <cellStyle name="20% - Accent4 3 2 3 2 2 2 4" xfId="4423" xr:uid="{00000000-0005-0000-0000-0000C9140000}"/>
    <cellStyle name="20% - Accent4 3 2 3 2 2 2 5" xfId="37339" xr:uid="{00000000-0005-0000-0000-0000CA140000}"/>
    <cellStyle name="20% - Accent4 3 2 3 2 2 3" xfId="4424" xr:uid="{00000000-0005-0000-0000-0000CB140000}"/>
    <cellStyle name="20% - Accent4 3 2 3 2 2 3 2" xfId="4425" xr:uid="{00000000-0005-0000-0000-0000CC140000}"/>
    <cellStyle name="20% - Accent4 3 2 3 2 2 4" xfId="4426" xr:uid="{00000000-0005-0000-0000-0000CD140000}"/>
    <cellStyle name="20% - Accent4 3 2 3 2 2 5" xfId="4427" xr:uid="{00000000-0005-0000-0000-0000CE140000}"/>
    <cellStyle name="20% - Accent4 3 2 3 2 2 6" xfId="37338" xr:uid="{00000000-0005-0000-0000-0000CF140000}"/>
    <cellStyle name="20% - Accent4 3 2 3 2 3" xfId="4428" xr:uid="{00000000-0005-0000-0000-0000D0140000}"/>
    <cellStyle name="20% - Accent4 3 2 3 2 3 2" xfId="4429" xr:uid="{00000000-0005-0000-0000-0000D1140000}"/>
    <cellStyle name="20% - Accent4 3 2 3 2 3 2 2" xfId="4430" xr:uid="{00000000-0005-0000-0000-0000D2140000}"/>
    <cellStyle name="20% - Accent4 3 2 3 2 3 2 2 2" xfId="4431" xr:uid="{00000000-0005-0000-0000-0000D3140000}"/>
    <cellStyle name="20% - Accent4 3 2 3 2 3 2 3" xfId="4432" xr:uid="{00000000-0005-0000-0000-0000D4140000}"/>
    <cellStyle name="20% - Accent4 3 2 3 2 3 2 4" xfId="4433" xr:uid="{00000000-0005-0000-0000-0000D5140000}"/>
    <cellStyle name="20% - Accent4 3 2 3 2 3 2 5" xfId="37341" xr:uid="{00000000-0005-0000-0000-0000D6140000}"/>
    <cellStyle name="20% - Accent4 3 2 3 2 3 3" xfId="4434" xr:uid="{00000000-0005-0000-0000-0000D7140000}"/>
    <cellStyle name="20% - Accent4 3 2 3 2 3 3 2" xfId="4435" xr:uid="{00000000-0005-0000-0000-0000D8140000}"/>
    <cellStyle name="20% - Accent4 3 2 3 2 3 4" xfId="4436" xr:uid="{00000000-0005-0000-0000-0000D9140000}"/>
    <cellStyle name="20% - Accent4 3 2 3 2 3 5" xfId="4437" xr:uid="{00000000-0005-0000-0000-0000DA140000}"/>
    <cellStyle name="20% - Accent4 3 2 3 2 3 6" xfId="37340" xr:uid="{00000000-0005-0000-0000-0000DB140000}"/>
    <cellStyle name="20% - Accent4 3 2 3 2 4" xfId="4438" xr:uid="{00000000-0005-0000-0000-0000DC140000}"/>
    <cellStyle name="20% - Accent4 3 2 3 2 4 2" xfId="4439" xr:uid="{00000000-0005-0000-0000-0000DD140000}"/>
    <cellStyle name="20% - Accent4 3 2 3 2 4 2 2" xfId="4440" xr:uid="{00000000-0005-0000-0000-0000DE140000}"/>
    <cellStyle name="20% - Accent4 3 2 3 2 4 3" xfId="4441" xr:uid="{00000000-0005-0000-0000-0000DF140000}"/>
    <cellStyle name="20% - Accent4 3 2 3 2 4 4" xfId="4442" xr:uid="{00000000-0005-0000-0000-0000E0140000}"/>
    <cellStyle name="20% - Accent4 3 2 3 2 4 5" xfId="37342" xr:uid="{00000000-0005-0000-0000-0000E1140000}"/>
    <cellStyle name="20% - Accent4 3 2 3 2 5" xfId="4443" xr:uid="{00000000-0005-0000-0000-0000E2140000}"/>
    <cellStyle name="20% - Accent4 3 2 3 2 5 2" xfId="4444" xr:uid="{00000000-0005-0000-0000-0000E3140000}"/>
    <cellStyle name="20% - Accent4 3 2 3 2 5 2 2" xfId="4445" xr:uid="{00000000-0005-0000-0000-0000E4140000}"/>
    <cellStyle name="20% - Accent4 3 2 3 2 5 3" xfId="4446" xr:uid="{00000000-0005-0000-0000-0000E5140000}"/>
    <cellStyle name="20% - Accent4 3 2 3 2 5 4" xfId="4447" xr:uid="{00000000-0005-0000-0000-0000E6140000}"/>
    <cellStyle name="20% - Accent4 3 2 3 2 6" xfId="4448" xr:uid="{00000000-0005-0000-0000-0000E7140000}"/>
    <cellStyle name="20% - Accent4 3 2 3 2 6 2" xfId="4449" xr:uid="{00000000-0005-0000-0000-0000E8140000}"/>
    <cellStyle name="20% - Accent4 3 2 3 2 6 2 2" xfId="4450" xr:uid="{00000000-0005-0000-0000-0000E9140000}"/>
    <cellStyle name="20% - Accent4 3 2 3 2 6 3" xfId="4451" xr:uid="{00000000-0005-0000-0000-0000EA140000}"/>
    <cellStyle name="20% - Accent4 3 2 3 2 6 4" xfId="4452" xr:uid="{00000000-0005-0000-0000-0000EB140000}"/>
    <cellStyle name="20% - Accent4 3 2 3 2 7" xfId="4453" xr:uid="{00000000-0005-0000-0000-0000EC140000}"/>
    <cellStyle name="20% - Accent4 3 2 3 2 7 2" xfId="4454" xr:uid="{00000000-0005-0000-0000-0000ED140000}"/>
    <cellStyle name="20% - Accent4 3 2 3 2 8" xfId="4455" xr:uid="{00000000-0005-0000-0000-0000EE140000}"/>
    <cellStyle name="20% - Accent4 3 2 3 2 9" xfId="4456" xr:uid="{00000000-0005-0000-0000-0000EF140000}"/>
    <cellStyle name="20% - Accent4 3 2 3 3" xfId="4457" xr:uid="{00000000-0005-0000-0000-0000F0140000}"/>
    <cellStyle name="20% - Accent4 3 2 3 3 2" xfId="4458" xr:uid="{00000000-0005-0000-0000-0000F1140000}"/>
    <cellStyle name="20% - Accent4 3 2 3 3 2 2" xfId="4459" xr:uid="{00000000-0005-0000-0000-0000F2140000}"/>
    <cellStyle name="20% - Accent4 3 2 3 3 2 2 2" xfId="4460" xr:uid="{00000000-0005-0000-0000-0000F3140000}"/>
    <cellStyle name="20% - Accent4 3 2 3 3 2 3" xfId="4461" xr:uid="{00000000-0005-0000-0000-0000F4140000}"/>
    <cellStyle name="20% - Accent4 3 2 3 3 2 4" xfId="4462" xr:uid="{00000000-0005-0000-0000-0000F5140000}"/>
    <cellStyle name="20% - Accent4 3 2 3 3 2 5" xfId="37344" xr:uid="{00000000-0005-0000-0000-0000F6140000}"/>
    <cellStyle name="20% - Accent4 3 2 3 3 3" xfId="4463" xr:uid="{00000000-0005-0000-0000-0000F7140000}"/>
    <cellStyle name="20% - Accent4 3 2 3 3 3 2" xfId="4464" xr:uid="{00000000-0005-0000-0000-0000F8140000}"/>
    <cellStyle name="20% - Accent4 3 2 3 3 4" xfId="4465" xr:uid="{00000000-0005-0000-0000-0000F9140000}"/>
    <cellStyle name="20% - Accent4 3 2 3 3 5" xfId="4466" xr:uid="{00000000-0005-0000-0000-0000FA140000}"/>
    <cellStyle name="20% - Accent4 3 2 3 3 6" xfId="37343" xr:uid="{00000000-0005-0000-0000-0000FB140000}"/>
    <cellStyle name="20% - Accent4 3 2 3 4" xfId="4467" xr:uid="{00000000-0005-0000-0000-0000FC140000}"/>
    <cellStyle name="20% - Accent4 3 2 3 4 2" xfId="4468" xr:uid="{00000000-0005-0000-0000-0000FD140000}"/>
    <cellStyle name="20% - Accent4 3 2 3 4 2 2" xfId="4469" xr:uid="{00000000-0005-0000-0000-0000FE140000}"/>
    <cellStyle name="20% - Accent4 3 2 3 4 2 2 2" xfId="4470" xr:uid="{00000000-0005-0000-0000-0000FF140000}"/>
    <cellStyle name="20% - Accent4 3 2 3 4 2 3" xfId="4471" xr:uid="{00000000-0005-0000-0000-000000150000}"/>
    <cellStyle name="20% - Accent4 3 2 3 4 2 4" xfId="4472" xr:uid="{00000000-0005-0000-0000-000001150000}"/>
    <cellStyle name="20% - Accent4 3 2 3 4 2 5" xfId="37346" xr:uid="{00000000-0005-0000-0000-000002150000}"/>
    <cellStyle name="20% - Accent4 3 2 3 4 3" xfId="4473" xr:uid="{00000000-0005-0000-0000-000003150000}"/>
    <cellStyle name="20% - Accent4 3 2 3 4 3 2" xfId="4474" xr:uid="{00000000-0005-0000-0000-000004150000}"/>
    <cellStyle name="20% - Accent4 3 2 3 4 4" xfId="4475" xr:uid="{00000000-0005-0000-0000-000005150000}"/>
    <cellStyle name="20% - Accent4 3 2 3 4 5" xfId="4476" xr:uid="{00000000-0005-0000-0000-000006150000}"/>
    <cellStyle name="20% - Accent4 3 2 3 4 6" xfId="37345" xr:uid="{00000000-0005-0000-0000-000007150000}"/>
    <cellStyle name="20% - Accent4 3 2 3 5" xfId="4477" xr:uid="{00000000-0005-0000-0000-000008150000}"/>
    <cellStyle name="20% - Accent4 3 2 3 5 2" xfId="4478" xr:uid="{00000000-0005-0000-0000-000009150000}"/>
    <cellStyle name="20% - Accent4 3 2 3 5 2 2" xfId="4479" xr:uid="{00000000-0005-0000-0000-00000A150000}"/>
    <cellStyle name="20% - Accent4 3 2 3 5 3" xfId="4480" xr:uid="{00000000-0005-0000-0000-00000B150000}"/>
    <cellStyle name="20% - Accent4 3 2 3 5 4" xfId="4481" xr:uid="{00000000-0005-0000-0000-00000C150000}"/>
    <cellStyle name="20% - Accent4 3 2 3 5 5" xfId="37347" xr:uid="{00000000-0005-0000-0000-00000D150000}"/>
    <cellStyle name="20% - Accent4 3 2 3 6" xfId="4482" xr:uid="{00000000-0005-0000-0000-00000E150000}"/>
    <cellStyle name="20% - Accent4 3 2 3 6 2" xfId="4483" xr:uid="{00000000-0005-0000-0000-00000F150000}"/>
    <cellStyle name="20% - Accent4 3 2 3 6 2 2" xfId="4484" xr:uid="{00000000-0005-0000-0000-000010150000}"/>
    <cellStyle name="20% - Accent4 3 2 3 6 3" xfId="4485" xr:uid="{00000000-0005-0000-0000-000011150000}"/>
    <cellStyle name="20% - Accent4 3 2 3 6 4" xfId="4486" xr:uid="{00000000-0005-0000-0000-000012150000}"/>
    <cellStyle name="20% - Accent4 3 2 3 7" xfId="4487" xr:uid="{00000000-0005-0000-0000-000013150000}"/>
    <cellStyle name="20% - Accent4 3 2 3 7 2" xfId="4488" xr:uid="{00000000-0005-0000-0000-000014150000}"/>
    <cellStyle name="20% - Accent4 3 2 3 7 2 2" xfId="4489" xr:uid="{00000000-0005-0000-0000-000015150000}"/>
    <cellStyle name="20% - Accent4 3 2 3 7 3" xfId="4490" xr:uid="{00000000-0005-0000-0000-000016150000}"/>
    <cellStyle name="20% - Accent4 3 2 3 7 4" xfId="4491" xr:uid="{00000000-0005-0000-0000-000017150000}"/>
    <cellStyle name="20% - Accent4 3 2 3 8" xfId="4492" xr:uid="{00000000-0005-0000-0000-000018150000}"/>
    <cellStyle name="20% - Accent4 3 2 3 8 2" xfId="4493" xr:uid="{00000000-0005-0000-0000-000019150000}"/>
    <cellStyle name="20% - Accent4 3 2 3 9" xfId="4494" xr:uid="{00000000-0005-0000-0000-00001A150000}"/>
    <cellStyle name="20% - Accent4 3 2 4" xfId="4495" xr:uid="{00000000-0005-0000-0000-00001B150000}"/>
    <cellStyle name="20% - Accent4 3 2 4 10" xfId="34580" xr:uid="{00000000-0005-0000-0000-00001C150000}"/>
    <cellStyle name="20% - Accent4 3 2 4 2" xfId="4496" xr:uid="{00000000-0005-0000-0000-00001D150000}"/>
    <cellStyle name="20% - Accent4 3 2 4 2 2" xfId="4497" xr:uid="{00000000-0005-0000-0000-00001E150000}"/>
    <cellStyle name="20% - Accent4 3 2 4 2 2 2" xfId="4498" xr:uid="{00000000-0005-0000-0000-00001F150000}"/>
    <cellStyle name="20% - Accent4 3 2 4 2 2 2 2" xfId="4499" xr:uid="{00000000-0005-0000-0000-000020150000}"/>
    <cellStyle name="20% - Accent4 3 2 4 2 2 3" xfId="4500" xr:uid="{00000000-0005-0000-0000-000021150000}"/>
    <cellStyle name="20% - Accent4 3 2 4 2 2 4" xfId="4501" xr:uid="{00000000-0005-0000-0000-000022150000}"/>
    <cellStyle name="20% - Accent4 3 2 4 2 2 5" xfId="37349" xr:uid="{00000000-0005-0000-0000-000023150000}"/>
    <cellStyle name="20% - Accent4 3 2 4 2 3" xfId="4502" xr:uid="{00000000-0005-0000-0000-000024150000}"/>
    <cellStyle name="20% - Accent4 3 2 4 2 3 2" xfId="4503" xr:uid="{00000000-0005-0000-0000-000025150000}"/>
    <cellStyle name="20% - Accent4 3 2 4 2 4" xfId="4504" xr:uid="{00000000-0005-0000-0000-000026150000}"/>
    <cellStyle name="20% - Accent4 3 2 4 2 5" xfId="4505" xr:uid="{00000000-0005-0000-0000-000027150000}"/>
    <cellStyle name="20% - Accent4 3 2 4 2 6" xfId="37348" xr:uid="{00000000-0005-0000-0000-000028150000}"/>
    <cellStyle name="20% - Accent4 3 2 4 3" xfId="4506" xr:uid="{00000000-0005-0000-0000-000029150000}"/>
    <cellStyle name="20% - Accent4 3 2 4 3 2" xfId="4507" xr:uid="{00000000-0005-0000-0000-00002A150000}"/>
    <cellStyle name="20% - Accent4 3 2 4 3 2 2" xfId="4508" xr:uid="{00000000-0005-0000-0000-00002B150000}"/>
    <cellStyle name="20% - Accent4 3 2 4 3 2 2 2" xfId="4509" xr:uid="{00000000-0005-0000-0000-00002C150000}"/>
    <cellStyle name="20% - Accent4 3 2 4 3 2 3" xfId="4510" xr:uid="{00000000-0005-0000-0000-00002D150000}"/>
    <cellStyle name="20% - Accent4 3 2 4 3 2 4" xfId="4511" xr:uid="{00000000-0005-0000-0000-00002E150000}"/>
    <cellStyle name="20% - Accent4 3 2 4 3 2 5" xfId="37351" xr:uid="{00000000-0005-0000-0000-00002F150000}"/>
    <cellStyle name="20% - Accent4 3 2 4 3 3" xfId="4512" xr:uid="{00000000-0005-0000-0000-000030150000}"/>
    <cellStyle name="20% - Accent4 3 2 4 3 3 2" xfId="4513" xr:uid="{00000000-0005-0000-0000-000031150000}"/>
    <cellStyle name="20% - Accent4 3 2 4 3 4" xfId="4514" xr:uid="{00000000-0005-0000-0000-000032150000}"/>
    <cellStyle name="20% - Accent4 3 2 4 3 5" xfId="4515" xr:uid="{00000000-0005-0000-0000-000033150000}"/>
    <cellStyle name="20% - Accent4 3 2 4 3 6" xfId="37350" xr:uid="{00000000-0005-0000-0000-000034150000}"/>
    <cellStyle name="20% - Accent4 3 2 4 4" xfId="4516" xr:uid="{00000000-0005-0000-0000-000035150000}"/>
    <cellStyle name="20% - Accent4 3 2 4 4 2" xfId="4517" xr:uid="{00000000-0005-0000-0000-000036150000}"/>
    <cellStyle name="20% - Accent4 3 2 4 4 2 2" xfId="4518" xr:uid="{00000000-0005-0000-0000-000037150000}"/>
    <cellStyle name="20% - Accent4 3 2 4 4 3" xfId="4519" xr:uid="{00000000-0005-0000-0000-000038150000}"/>
    <cellStyle name="20% - Accent4 3 2 4 4 4" xfId="4520" xr:uid="{00000000-0005-0000-0000-000039150000}"/>
    <cellStyle name="20% - Accent4 3 2 4 4 5" xfId="37352" xr:uid="{00000000-0005-0000-0000-00003A150000}"/>
    <cellStyle name="20% - Accent4 3 2 4 5" xfId="4521" xr:uid="{00000000-0005-0000-0000-00003B150000}"/>
    <cellStyle name="20% - Accent4 3 2 4 5 2" xfId="4522" xr:uid="{00000000-0005-0000-0000-00003C150000}"/>
    <cellStyle name="20% - Accent4 3 2 4 5 2 2" xfId="4523" xr:uid="{00000000-0005-0000-0000-00003D150000}"/>
    <cellStyle name="20% - Accent4 3 2 4 5 3" xfId="4524" xr:uid="{00000000-0005-0000-0000-00003E150000}"/>
    <cellStyle name="20% - Accent4 3 2 4 5 4" xfId="4525" xr:uid="{00000000-0005-0000-0000-00003F150000}"/>
    <cellStyle name="20% - Accent4 3 2 4 6" xfId="4526" xr:uid="{00000000-0005-0000-0000-000040150000}"/>
    <cellStyle name="20% - Accent4 3 2 4 6 2" xfId="4527" xr:uid="{00000000-0005-0000-0000-000041150000}"/>
    <cellStyle name="20% - Accent4 3 2 4 6 2 2" xfId="4528" xr:uid="{00000000-0005-0000-0000-000042150000}"/>
    <cellStyle name="20% - Accent4 3 2 4 6 3" xfId="4529" xr:uid="{00000000-0005-0000-0000-000043150000}"/>
    <cellStyle name="20% - Accent4 3 2 4 6 4" xfId="4530" xr:uid="{00000000-0005-0000-0000-000044150000}"/>
    <cellStyle name="20% - Accent4 3 2 4 7" xfId="4531" xr:uid="{00000000-0005-0000-0000-000045150000}"/>
    <cellStyle name="20% - Accent4 3 2 4 7 2" xfId="4532" xr:uid="{00000000-0005-0000-0000-000046150000}"/>
    <cellStyle name="20% - Accent4 3 2 4 8" xfId="4533" xr:uid="{00000000-0005-0000-0000-000047150000}"/>
    <cellStyle name="20% - Accent4 3 2 4 9" xfId="4534" xr:uid="{00000000-0005-0000-0000-000048150000}"/>
    <cellStyle name="20% - Accent4 3 2 5" xfId="4535" xr:uid="{00000000-0005-0000-0000-000049150000}"/>
    <cellStyle name="20% - Accent4 3 2 5 2" xfId="4536" xr:uid="{00000000-0005-0000-0000-00004A150000}"/>
    <cellStyle name="20% - Accent4 3 2 5 2 2" xfId="4537" xr:uid="{00000000-0005-0000-0000-00004B150000}"/>
    <cellStyle name="20% - Accent4 3 2 5 2 2 2" xfId="4538" xr:uid="{00000000-0005-0000-0000-00004C150000}"/>
    <cellStyle name="20% - Accent4 3 2 5 2 3" xfId="4539" xr:uid="{00000000-0005-0000-0000-00004D150000}"/>
    <cellStyle name="20% - Accent4 3 2 5 2 4" xfId="4540" xr:uid="{00000000-0005-0000-0000-00004E150000}"/>
    <cellStyle name="20% - Accent4 3 2 5 2 5" xfId="37354" xr:uid="{00000000-0005-0000-0000-00004F150000}"/>
    <cellStyle name="20% - Accent4 3 2 5 3" xfId="4541" xr:uid="{00000000-0005-0000-0000-000050150000}"/>
    <cellStyle name="20% - Accent4 3 2 5 3 2" xfId="4542" xr:uid="{00000000-0005-0000-0000-000051150000}"/>
    <cellStyle name="20% - Accent4 3 2 5 4" xfId="4543" xr:uid="{00000000-0005-0000-0000-000052150000}"/>
    <cellStyle name="20% - Accent4 3 2 5 5" xfId="4544" xr:uid="{00000000-0005-0000-0000-000053150000}"/>
    <cellStyle name="20% - Accent4 3 2 5 6" xfId="37353" xr:uid="{00000000-0005-0000-0000-000054150000}"/>
    <cellStyle name="20% - Accent4 3 2 6" xfId="4545" xr:uid="{00000000-0005-0000-0000-000055150000}"/>
    <cellStyle name="20% - Accent4 3 2 6 2" xfId="4546" xr:uid="{00000000-0005-0000-0000-000056150000}"/>
    <cellStyle name="20% - Accent4 3 2 6 2 2" xfId="4547" xr:uid="{00000000-0005-0000-0000-000057150000}"/>
    <cellStyle name="20% - Accent4 3 2 6 2 2 2" xfId="4548" xr:uid="{00000000-0005-0000-0000-000058150000}"/>
    <cellStyle name="20% - Accent4 3 2 6 2 3" xfId="4549" xr:uid="{00000000-0005-0000-0000-000059150000}"/>
    <cellStyle name="20% - Accent4 3 2 6 2 4" xfId="4550" xr:uid="{00000000-0005-0000-0000-00005A150000}"/>
    <cellStyle name="20% - Accent4 3 2 6 2 5" xfId="37356" xr:uid="{00000000-0005-0000-0000-00005B150000}"/>
    <cellStyle name="20% - Accent4 3 2 6 3" xfId="4551" xr:uid="{00000000-0005-0000-0000-00005C150000}"/>
    <cellStyle name="20% - Accent4 3 2 6 3 2" xfId="4552" xr:uid="{00000000-0005-0000-0000-00005D150000}"/>
    <cellStyle name="20% - Accent4 3 2 6 4" xfId="4553" xr:uid="{00000000-0005-0000-0000-00005E150000}"/>
    <cellStyle name="20% - Accent4 3 2 6 5" xfId="4554" xr:uid="{00000000-0005-0000-0000-00005F150000}"/>
    <cellStyle name="20% - Accent4 3 2 6 6" xfId="37355" xr:uid="{00000000-0005-0000-0000-000060150000}"/>
    <cellStyle name="20% - Accent4 3 2 7" xfId="4555" xr:uid="{00000000-0005-0000-0000-000061150000}"/>
    <cellStyle name="20% - Accent4 3 2 7 2" xfId="4556" xr:uid="{00000000-0005-0000-0000-000062150000}"/>
    <cellStyle name="20% - Accent4 3 2 7 2 2" xfId="4557" xr:uid="{00000000-0005-0000-0000-000063150000}"/>
    <cellStyle name="20% - Accent4 3 2 7 3" xfId="4558" xr:uid="{00000000-0005-0000-0000-000064150000}"/>
    <cellStyle name="20% - Accent4 3 2 7 4" xfId="4559" xr:uid="{00000000-0005-0000-0000-000065150000}"/>
    <cellStyle name="20% - Accent4 3 2 7 5" xfId="37357" xr:uid="{00000000-0005-0000-0000-000066150000}"/>
    <cellStyle name="20% - Accent4 3 2 8" xfId="4560" xr:uid="{00000000-0005-0000-0000-000067150000}"/>
    <cellStyle name="20% - Accent4 3 2 8 2" xfId="4561" xr:uid="{00000000-0005-0000-0000-000068150000}"/>
    <cellStyle name="20% - Accent4 3 2 8 2 2" xfId="4562" xr:uid="{00000000-0005-0000-0000-000069150000}"/>
    <cellStyle name="20% - Accent4 3 2 8 3" xfId="4563" xr:uid="{00000000-0005-0000-0000-00006A150000}"/>
    <cellStyle name="20% - Accent4 3 2 8 4" xfId="4564" xr:uid="{00000000-0005-0000-0000-00006B150000}"/>
    <cellStyle name="20% - Accent4 3 2 9" xfId="4565" xr:uid="{00000000-0005-0000-0000-00006C150000}"/>
    <cellStyle name="20% - Accent4 3 2 9 2" xfId="4566" xr:uid="{00000000-0005-0000-0000-00006D150000}"/>
    <cellStyle name="20% - Accent4 3 2 9 2 2" xfId="4567" xr:uid="{00000000-0005-0000-0000-00006E150000}"/>
    <cellStyle name="20% - Accent4 3 2 9 3" xfId="4568" xr:uid="{00000000-0005-0000-0000-00006F150000}"/>
    <cellStyle name="20% - Accent4 3 2 9 4" xfId="4569" xr:uid="{00000000-0005-0000-0000-000070150000}"/>
    <cellStyle name="20% - Accent4 3 3" xfId="4570" xr:uid="{00000000-0005-0000-0000-000071150000}"/>
    <cellStyle name="20% - Accent4 3 4" xfId="4571" xr:uid="{00000000-0005-0000-0000-000072150000}"/>
    <cellStyle name="20% - Accent4 3 4 2" xfId="4572" xr:uid="{00000000-0005-0000-0000-000073150000}"/>
    <cellStyle name="20% - Accent4 3 4 2 2" xfId="4573" xr:uid="{00000000-0005-0000-0000-000074150000}"/>
    <cellStyle name="20% - Accent4 3 4 2 2 2" xfId="4574" xr:uid="{00000000-0005-0000-0000-000075150000}"/>
    <cellStyle name="20% - Accent4 3 4 2 3" xfId="4575" xr:uid="{00000000-0005-0000-0000-000076150000}"/>
    <cellStyle name="20% - Accent4 3 4 2 4" xfId="4576" xr:uid="{00000000-0005-0000-0000-000077150000}"/>
    <cellStyle name="20% - Accent4 3 4 2 5" xfId="37359" xr:uid="{00000000-0005-0000-0000-000078150000}"/>
    <cellStyle name="20% - Accent4 3 4 3" xfId="4577" xr:uid="{00000000-0005-0000-0000-000079150000}"/>
    <cellStyle name="20% - Accent4 3 4 4" xfId="4578" xr:uid="{00000000-0005-0000-0000-00007A150000}"/>
    <cellStyle name="20% - Accent4 3 4 4 2" xfId="4579" xr:uid="{00000000-0005-0000-0000-00007B150000}"/>
    <cellStyle name="20% - Accent4 3 4 5" xfId="4580" xr:uid="{00000000-0005-0000-0000-00007C150000}"/>
    <cellStyle name="20% - Accent4 3 4 6" xfId="4581" xr:uid="{00000000-0005-0000-0000-00007D150000}"/>
    <cellStyle name="20% - Accent4 3 4 7" xfId="37358" xr:uid="{00000000-0005-0000-0000-00007E150000}"/>
    <cellStyle name="20% - Accent4 3 5" xfId="4582" xr:uid="{00000000-0005-0000-0000-00007F150000}"/>
    <cellStyle name="20% - Accent4 3 5 2" xfId="4583" xr:uid="{00000000-0005-0000-0000-000080150000}"/>
    <cellStyle name="20% - Accent4 3 5 2 2" xfId="4584" xr:uid="{00000000-0005-0000-0000-000081150000}"/>
    <cellStyle name="20% - Accent4 3 5 3" xfId="4585" xr:uid="{00000000-0005-0000-0000-000082150000}"/>
    <cellStyle name="20% - Accent4 3 5 4" xfId="4586" xr:uid="{00000000-0005-0000-0000-000083150000}"/>
    <cellStyle name="20% - Accent4 3 5 5" xfId="37360" xr:uid="{00000000-0005-0000-0000-000084150000}"/>
    <cellStyle name="20% - Accent4 3 6" xfId="4587" xr:uid="{00000000-0005-0000-0000-000085150000}"/>
    <cellStyle name="20% - Accent4 3 7" xfId="4588" xr:uid="{00000000-0005-0000-0000-000086150000}"/>
    <cellStyle name="20% - Accent4 3 7 2" xfId="4589" xr:uid="{00000000-0005-0000-0000-000087150000}"/>
    <cellStyle name="20% - Accent4 3 8" xfId="4590" xr:uid="{00000000-0005-0000-0000-000088150000}"/>
    <cellStyle name="20% - Accent4 3 9" xfId="4591" xr:uid="{00000000-0005-0000-0000-000089150000}"/>
    <cellStyle name="20% - Accent4 4" xfId="4592" xr:uid="{00000000-0005-0000-0000-00008A150000}"/>
    <cellStyle name="20% - Accent4 4 2" xfId="4593" xr:uid="{00000000-0005-0000-0000-00008B150000}"/>
    <cellStyle name="20% - Accent4 4 2 10" xfId="4594" xr:uid="{00000000-0005-0000-0000-00008C150000}"/>
    <cellStyle name="20% - Accent4 4 2 11" xfId="4595" xr:uid="{00000000-0005-0000-0000-00008D150000}"/>
    <cellStyle name="20% - Accent4 4 2 12" xfId="34582" xr:uid="{00000000-0005-0000-0000-00008E150000}"/>
    <cellStyle name="20% - Accent4 4 2 2" xfId="4596" xr:uid="{00000000-0005-0000-0000-00008F150000}"/>
    <cellStyle name="20% - Accent4 4 2 2 10" xfId="4597" xr:uid="{00000000-0005-0000-0000-000090150000}"/>
    <cellStyle name="20% - Accent4 4 2 2 11" xfId="34583" xr:uid="{00000000-0005-0000-0000-000091150000}"/>
    <cellStyle name="20% - Accent4 4 2 2 2" xfId="4598" xr:uid="{00000000-0005-0000-0000-000092150000}"/>
    <cellStyle name="20% - Accent4 4 2 2 2 10" xfId="34584" xr:uid="{00000000-0005-0000-0000-000093150000}"/>
    <cellStyle name="20% - Accent4 4 2 2 2 2" xfId="4599" xr:uid="{00000000-0005-0000-0000-000094150000}"/>
    <cellStyle name="20% - Accent4 4 2 2 2 2 2" xfId="4600" xr:uid="{00000000-0005-0000-0000-000095150000}"/>
    <cellStyle name="20% - Accent4 4 2 2 2 2 2 2" xfId="4601" xr:uid="{00000000-0005-0000-0000-000096150000}"/>
    <cellStyle name="20% - Accent4 4 2 2 2 2 2 2 2" xfId="4602" xr:uid="{00000000-0005-0000-0000-000097150000}"/>
    <cellStyle name="20% - Accent4 4 2 2 2 2 2 3" xfId="4603" xr:uid="{00000000-0005-0000-0000-000098150000}"/>
    <cellStyle name="20% - Accent4 4 2 2 2 2 2 4" xfId="4604" xr:uid="{00000000-0005-0000-0000-000099150000}"/>
    <cellStyle name="20% - Accent4 4 2 2 2 2 2 5" xfId="37362" xr:uid="{00000000-0005-0000-0000-00009A150000}"/>
    <cellStyle name="20% - Accent4 4 2 2 2 2 3" xfId="4605" xr:uid="{00000000-0005-0000-0000-00009B150000}"/>
    <cellStyle name="20% - Accent4 4 2 2 2 2 3 2" xfId="4606" xr:uid="{00000000-0005-0000-0000-00009C150000}"/>
    <cellStyle name="20% - Accent4 4 2 2 2 2 4" xfId="4607" xr:uid="{00000000-0005-0000-0000-00009D150000}"/>
    <cellStyle name="20% - Accent4 4 2 2 2 2 5" xfId="4608" xr:uid="{00000000-0005-0000-0000-00009E150000}"/>
    <cellStyle name="20% - Accent4 4 2 2 2 2 6" xfId="37361" xr:uid="{00000000-0005-0000-0000-00009F150000}"/>
    <cellStyle name="20% - Accent4 4 2 2 2 3" xfId="4609" xr:uid="{00000000-0005-0000-0000-0000A0150000}"/>
    <cellStyle name="20% - Accent4 4 2 2 2 3 2" xfId="4610" xr:uid="{00000000-0005-0000-0000-0000A1150000}"/>
    <cellStyle name="20% - Accent4 4 2 2 2 3 2 2" xfId="4611" xr:uid="{00000000-0005-0000-0000-0000A2150000}"/>
    <cellStyle name="20% - Accent4 4 2 2 2 3 2 2 2" xfId="4612" xr:uid="{00000000-0005-0000-0000-0000A3150000}"/>
    <cellStyle name="20% - Accent4 4 2 2 2 3 2 3" xfId="4613" xr:uid="{00000000-0005-0000-0000-0000A4150000}"/>
    <cellStyle name="20% - Accent4 4 2 2 2 3 2 4" xfId="4614" xr:uid="{00000000-0005-0000-0000-0000A5150000}"/>
    <cellStyle name="20% - Accent4 4 2 2 2 3 2 5" xfId="37364" xr:uid="{00000000-0005-0000-0000-0000A6150000}"/>
    <cellStyle name="20% - Accent4 4 2 2 2 3 3" xfId="4615" xr:uid="{00000000-0005-0000-0000-0000A7150000}"/>
    <cellStyle name="20% - Accent4 4 2 2 2 3 3 2" xfId="4616" xr:uid="{00000000-0005-0000-0000-0000A8150000}"/>
    <cellStyle name="20% - Accent4 4 2 2 2 3 4" xfId="4617" xr:uid="{00000000-0005-0000-0000-0000A9150000}"/>
    <cellStyle name="20% - Accent4 4 2 2 2 3 5" xfId="4618" xr:uid="{00000000-0005-0000-0000-0000AA150000}"/>
    <cellStyle name="20% - Accent4 4 2 2 2 3 6" xfId="37363" xr:uid="{00000000-0005-0000-0000-0000AB150000}"/>
    <cellStyle name="20% - Accent4 4 2 2 2 4" xfId="4619" xr:uid="{00000000-0005-0000-0000-0000AC150000}"/>
    <cellStyle name="20% - Accent4 4 2 2 2 4 2" xfId="4620" xr:uid="{00000000-0005-0000-0000-0000AD150000}"/>
    <cellStyle name="20% - Accent4 4 2 2 2 4 2 2" xfId="4621" xr:uid="{00000000-0005-0000-0000-0000AE150000}"/>
    <cellStyle name="20% - Accent4 4 2 2 2 4 3" xfId="4622" xr:uid="{00000000-0005-0000-0000-0000AF150000}"/>
    <cellStyle name="20% - Accent4 4 2 2 2 4 4" xfId="4623" xr:uid="{00000000-0005-0000-0000-0000B0150000}"/>
    <cellStyle name="20% - Accent4 4 2 2 2 4 5" xfId="37365" xr:uid="{00000000-0005-0000-0000-0000B1150000}"/>
    <cellStyle name="20% - Accent4 4 2 2 2 5" xfId="4624" xr:uid="{00000000-0005-0000-0000-0000B2150000}"/>
    <cellStyle name="20% - Accent4 4 2 2 2 5 2" xfId="4625" xr:uid="{00000000-0005-0000-0000-0000B3150000}"/>
    <cellStyle name="20% - Accent4 4 2 2 2 5 2 2" xfId="4626" xr:uid="{00000000-0005-0000-0000-0000B4150000}"/>
    <cellStyle name="20% - Accent4 4 2 2 2 5 3" xfId="4627" xr:uid="{00000000-0005-0000-0000-0000B5150000}"/>
    <cellStyle name="20% - Accent4 4 2 2 2 5 4" xfId="4628" xr:uid="{00000000-0005-0000-0000-0000B6150000}"/>
    <cellStyle name="20% - Accent4 4 2 2 2 6" xfId="4629" xr:uid="{00000000-0005-0000-0000-0000B7150000}"/>
    <cellStyle name="20% - Accent4 4 2 2 2 6 2" xfId="4630" xr:uid="{00000000-0005-0000-0000-0000B8150000}"/>
    <cellStyle name="20% - Accent4 4 2 2 2 6 2 2" xfId="4631" xr:uid="{00000000-0005-0000-0000-0000B9150000}"/>
    <cellStyle name="20% - Accent4 4 2 2 2 6 3" xfId="4632" xr:uid="{00000000-0005-0000-0000-0000BA150000}"/>
    <cellStyle name="20% - Accent4 4 2 2 2 6 4" xfId="4633" xr:uid="{00000000-0005-0000-0000-0000BB150000}"/>
    <cellStyle name="20% - Accent4 4 2 2 2 7" xfId="4634" xr:uid="{00000000-0005-0000-0000-0000BC150000}"/>
    <cellStyle name="20% - Accent4 4 2 2 2 7 2" xfId="4635" xr:uid="{00000000-0005-0000-0000-0000BD150000}"/>
    <cellStyle name="20% - Accent4 4 2 2 2 8" xfId="4636" xr:uid="{00000000-0005-0000-0000-0000BE150000}"/>
    <cellStyle name="20% - Accent4 4 2 2 2 9" xfId="4637" xr:uid="{00000000-0005-0000-0000-0000BF150000}"/>
    <cellStyle name="20% - Accent4 4 2 2 3" xfId="4638" xr:uid="{00000000-0005-0000-0000-0000C0150000}"/>
    <cellStyle name="20% - Accent4 4 2 2 3 2" xfId="4639" xr:uid="{00000000-0005-0000-0000-0000C1150000}"/>
    <cellStyle name="20% - Accent4 4 2 2 3 2 2" xfId="4640" xr:uid="{00000000-0005-0000-0000-0000C2150000}"/>
    <cellStyle name="20% - Accent4 4 2 2 3 2 2 2" xfId="4641" xr:uid="{00000000-0005-0000-0000-0000C3150000}"/>
    <cellStyle name="20% - Accent4 4 2 2 3 2 3" xfId="4642" xr:uid="{00000000-0005-0000-0000-0000C4150000}"/>
    <cellStyle name="20% - Accent4 4 2 2 3 2 4" xfId="4643" xr:uid="{00000000-0005-0000-0000-0000C5150000}"/>
    <cellStyle name="20% - Accent4 4 2 2 3 2 5" xfId="37367" xr:uid="{00000000-0005-0000-0000-0000C6150000}"/>
    <cellStyle name="20% - Accent4 4 2 2 3 3" xfId="4644" xr:uid="{00000000-0005-0000-0000-0000C7150000}"/>
    <cellStyle name="20% - Accent4 4 2 2 3 3 2" xfId="4645" xr:uid="{00000000-0005-0000-0000-0000C8150000}"/>
    <cellStyle name="20% - Accent4 4 2 2 3 4" xfId="4646" xr:uid="{00000000-0005-0000-0000-0000C9150000}"/>
    <cellStyle name="20% - Accent4 4 2 2 3 5" xfId="4647" xr:uid="{00000000-0005-0000-0000-0000CA150000}"/>
    <cellStyle name="20% - Accent4 4 2 2 3 6" xfId="37366" xr:uid="{00000000-0005-0000-0000-0000CB150000}"/>
    <cellStyle name="20% - Accent4 4 2 2 4" xfId="4648" xr:uid="{00000000-0005-0000-0000-0000CC150000}"/>
    <cellStyle name="20% - Accent4 4 2 2 4 2" xfId="4649" xr:uid="{00000000-0005-0000-0000-0000CD150000}"/>
    <cellStyle name="20% - Accent4 4 2 2 4 2 2" xfId="4650" xr:uid="{00000000-0005-0000-0000-0000CE150000}"/>
    <cellStyle name="20% - Accent4 4 2 2 4 2 2 2" xfId="4651" xr:uid="{00000000-0005-0000-0000-0000CF150000}"/>
    <cellStyle name="20% - Accent4 4 2 2 4 2 3" xfId="4652" xr:uid="{00000000-0005-0000-0000-0000D0150000}"/>
    <cellStyle name="20% - Accent4 4 2 2 4 2 4" xfId="4653" xr:uid="{00000000-0005-0000-0000-0000D1150000}"/>
    <cellStyle name="20% - Accent4 4 2 2 4 2 5" xfId="37369" xr:uid="{00000000-0005-0000-0000-0000D2150000}"/>
    <cellStyle name="20% - Accent4 4 2 2 4 3" xfId="4654" xr:uid="{00000000-0005-0000-0000-0000D3150000}"/>
    <cellStyle name="20% - Accent4 4 2 2 4 3 2" xfId="4655" xr:uid="{00000000-0005-0000-0000-0000D4150000}"/>
    <cellStyle name="20% - Accent4 4 2 2 4 4" xfId="4656" xr:uid="{00000000-0005-0000-0000-0000D5150000}"/>
    <cellStyle name="20% - Accent4 4 2 2 4 5" xfId="4657" xr:uid="{00000000-0005-0000-0000-0000D6150000}"/>
    <cellStyle name="20% - Accent4 4 2 2 4 6" xfId="37368" xr:uid="{00000000-0005-0000-0000-0000D7150000}"/>
    <cellStyle name="20% - Accent4 4 2 2 5" xfId="4658" xr:uid="{00000000-0005-0000-0000-0000D8150000}"/>
    <cellStyle name="20% - Accent4 4 2 2 5 2" xfId="4659" xr:uid="{00000000-0005-0000-0000-0000D9150000}"/>
    <cellStyle name="20% - Accent4 4 2 2 5 2 2" xfId="4660" xr:uid="{00000000-0005-0000-0000-0000DA150000}"/>
    <cellStyle name="20% - Accent4 4 2 2 5 3" xfId="4661" xr:uid="{00000000-0005-0000-0000-0000DB150000}"/>
    <cellStyle name="20% - Accent4 4 2 2 5 4" xfId="4662" xr:uid="{00000000-0005-0000-0000-0000DC150000}"/>
    <cellStyle name="20% - Accent4 4 2 2 5 5" xfId="37370" xr:uid="{00000000-0005-0000-0000-0000DD150000}"/>
    <cellStyle name="20% - Accent4 4 2 2 6" xfId="4663" xr:uid="{00000000-0005-0000-0000-0000DE150000}"/>
    <cellStyle name="20% - Accent4 4 2 2 6 2" xfId="4664" xr:uid="{00000000-0005-0000-0000-0000DF150000}"/>
    <cellStyle name="20% - Accent4 4 2 2 6 2 2" xfId="4665" xr:uid="{00000000-0005-0000-0000-0000E0150000}"/>
    <cellStyle name="20% - Accent4 4 2 2 6 3" xfId="4666" xr:uid="{00000000-0005-0000-0000-0000E1150000}"/>
    <cellStyle name="20% - Accent4 4 2 2 6 4" xfId="4667" xr:uid="{00000000-0005-0000-0000-0000E2150000}"/>
    <cellStyle name="20% - Accent4 4 2 2 7" xfId="4668" xr:uid="{00000000-0005-0000-0000-0000E3150000}"/>
    <cellStyle name="20% - Accent4 4 2 2 7 2" xfId="4669" xr:uid="{00000000-0005-0000-0000-0000E4150000}"/>
    <cellStyle name="20% - Accent4 4 2 2 7 2 2" xfId="4670" xr:uid="{00000000-0005-0000-0000-0000E5150000}"/>
    <cellStyle name="20% - Accent4 4 2 2 7 3" xfId="4671" xr:uid="{00000000-0005-0000-0000-0000E6150000}"/>
    <cellStyle name="20% - Accent4 4 2 2 7 4" xfId="4672" xr:uid="{00000000-0005-0000-0000-0000E7150000}"/>
    <cellStyle name="20% - Accent4 4 2 2 8" xfId="4673" xr:uid="{00000000-0005-0000-0000-0000E8150000}"/>
    <cellStyle name="20% - Accent4 4 2 2 8 2" xfId="4674" xr:uid="{00000000-0005-0000-0000-0000E9150000}"/>
    <cellStyle name="20% - Accent4 4 2 2 9" xfId="4675" xr:uid="{00000000-0005-0000-0000-0000EA150000}"/>
    <cellStyle name="20% - Accent4 4 2 3" xfId="4676" xr:uid="{00000000-0005-0000-0000-0000EB150000}"/>
    <cellStyle name="20% - Accent4 4 2 3 10" xfId="34585" xr:uid="{00000000-0005-0000-0000-0000EC150000}"/>
    <cellStyle name="20% - Accent4 4 2 3 2" xfId="4677" xr:uid="{00000000-0005-0000-0000-0000ED150000}"/>
    <cellStyle name="20% - Accent4 4 2 3 2 2" xfId="4678" xr:uid="{00000000-0005-0000-0000-0000EE150000}"/>
    <cellStyle name="20% - Accent4 4 2 3 2 2 2" xfId="4679" xr:uid="{00000000-0005-0000-0000-0000EF150000}"/>
    <cellStyle name="20% - Accent4 4 2 3 2 2 2 2" xfId="4680" xr:uid="{00000000-0005-0000-0000-0000F0150000}"/>
    <cellStyle name="20% - Accent4 4 2 3 2 2 3" xfId="4681" xr:uid="{00000000-0005-0000-0000-0000F1150000}"/>
    <cellStyle name="20% - Accent4 4 2 3 2 2 4" xfId="4682" xr:uid="{00000000-0005-0000-0000-0000F2150000}"/>
    <cellStyle name="20% - Accent4 4 2 3 2 2 5" xfId="37372" xr:uid="{00000000-0005-0000-0000-0000F3150000}"/>
    <cellStyle name="20% - Accent4 4 2 3 2 3" xfId="4683" xr:uid="{00000000-0005-0000-0000-0000F4150000}"/>
    <cellStyle name="20% - Accent4 4 2 3 2 3 2" xfId="4684" xr:uid="{00000000-0005-0000-0000-0000F5150000}"/>
    <cellStyle name="20% - Accent4 4 2 3 2 4" xfId="4685" xr:uid="{00000000-0005-0000-0000-0000F6150000}"/>
    <cellStyle name="20% - Accent4 4 2 3 2 5" xfId="4686" xr:uid="{00000000-0005-0000-0000-0000F7150000}"/>
    <cellStyle name="20% - Accent4 4 2 3 2 6" xfId="37371" xr:uid="{00000000-0005-0000-0000-0000F8150000}"/>
    <cellStyle name="20% - Accent4 4 2 3 3" xfId="4687" xr:uid="{00000000-0005-0000-0000-0000F9150000}"/>
    <cellStyle name="20% - Accent4 4 2 3 3 2" xfId="4688" xr:uid="{00000000-0005-0000-0000-0000FA150000}"/>
    <cellStyle name="20% - Accent4 4 2 3 3 2 2" xfId="4689" xr:uid="{00000000-0005-0000-0000-0000FB150000}"/>
    <cellStyle name="20% - Accent4 4 2 3 3 2 2 2" xfId="4690" xr:uid="{00000000-0005-0000-0000-0000FC150000}"/>
    <cellStyle name="20% - Accent4 4 2 3 3 2 3" xfId="4691" xr:uid="{00000000-0005-0000-0000-0000FD150000}"/>
    <cellStyle name="20% - Accent4 4 2 3 3 2 4" xfId="4692" xr:uid="{00000000-0005-0000-0000-0000FE150000}"/>
    <cellStyle name="20% - Accent4 4 2 3 3 2 5" xfId="37374" xr:uid="{00000000-0005-0000-0000-0000FF150000}"/>
    <cellStyle name="20% - Accent4 4 2 3 3 3" xfId="4693" xr:uid="{00000000-0005-0000-0000-000000160000}"/>
    <cellStyle name="20% - Accent4 4 2 3 3 3 2" xfId="4694" xr:uid="{00000000-0005-0000-0000-000001160000}"/>
    <cellStyle name="20% - Accent4 4 2 3 3 4" xfId="4695" xr:uid="{00000000-0005-0000-0000-000002160000}"/>
    <cellStyle name="20% - Accent4 4 2 3 3 5" xfId="4696" xr:uid="{00000000-0005-0000-0000-000003160000}"/>
    <cellStyle name="20% - Accent4 4 2 3 3 6" xfId="37373" xr:uid="{00000000-0005-0000-0000-000004160000}"/>
    <cellStyle name="20% - Accent4 4 2 3 4" xfId="4697" xr:uid="{00000000-0005-0000-0000-000005160000}"/>
    <cellStyle name="20% - Accent4 4 2 3 4 2" xfId="4698" xr:uid="{00000000-0005-0000-0000-000006160000}"/>
    <cellStyle name="20% - Accent4 4 2 3 4 2 2" xfId="4699" xr:uid="{00000000-0005-0000-0000-000007160000}"/>
    <cellStyle name="20% - Accent4 4 2 3 4 3" xfId="4700" xr:uid="{00000000-0005-0000-0000-000008160000}"/>
    <cellStyle name="20% - Accent4 4 2 3 4 4" xfId="4701" xr:uid="{00000000-0005-0000-0000-000009160000}"/>
    <cellStyle name="20% - Accent4 4 2 3 4 5" xfId="37375" xr:uid="{00000000-0005-0000-0000-00000A160000}"/>
    <cellStyle name="20% - Accent4 4 2 3 5" xfId="4702" xr:uid="{00000000-0005-0000-0000-00000B160000}"/>
    <cellStyle name="20% - Accent4 4 2 3 5 2" xfId="4703" xr:uid="{00000000-0005-0000-0000-00000C160000}"/>
    <cellStyle name="20% - Accent4 4 2 3 5 2 2" xfId="4704" xr:uid="{00000000-0005-0000-0000-00000D160000}"/>
    <cellStyle name="20% - Accent4 4 2 3 5 3" xfId="4705" xr:uid="{00000000-0005-0000-0000-00000E160000}"/>
    <cellStyle name="20% - Accent4 4 2 3 5 4" xfId="4706" xr:uid="{00000000-0005-0000-0000-00000F160000}"/>
    <cellStyle name="20% - Accent4 4 2 3 6" xfId="4707" xr:uid="{00000000-0005-0000-0000-000010160000}"/>
    <cellStyle name="20% - Accent4 4 2 3 6 2" xfId="4708" xr:uid="{00000000-0005-0000-0000-000011160000}"/>
    <cellStyle name="20% - Accent4 4 2 3 6 2 2" xfId="4709" xr:uid="{00000000-0005-0000-0000-000012160000}"/>
    <cellStyle name="20% - Accent4 4 2 3 6 3" xfId="4710" xr:uid="{00000000-0005-0000-0000-000013160000}"/>
    <cellStyle name="20% - Accent4 4 2 3 6 4" xfId="4711" xr:uid="{00000000-0005-0000-0000-000014160000}"/>
    <cellStyle name="20% - Accent4 4 2 3 7" xfId="4712" xr:uid="{00000000-0005-0000-0000-000015160000}"/>
    <cellStyle name="20% - Accent4 4 2 3 7 2" xfId="4713" xr:uid="{00000000-0005-0000-0000-000016160000}"/>
    <cellStyle name="20% - Accent4 4 2 3 8" xfId="4714" xr:uid="{00000000-0005-0000-0000-000017160000}"/>
    <cellStyle name="20% - Accent4 4 2 3 9" xfId="4715" xr:uid="{00000000-0005-0000-0000-000018160000}"/>
    <cellStyle name="20% - Accent4 4 2 4" xfId="4716" xr:uid="{00000000-0005-0000-0000-000019160000}"/>
    <cellStyle name="20% - Accent4 4 2 4 2" xfId="4717" xr:uid="{00000000-0005-0000-0000-00001A160000}"/>
    <cellStyle name="20% - Accent4 4 2 4 2 2" xfId="4718" xr:uid="{00000000-0005-0000-0000-00001B160000}"/>
    <cellStyle name="20% - Accent4 4 2 4 2 2 2" xfId="4719" xr:uid="{00000000-0005-0000-0000-00001C160000}"/>
    <cellStyle name="20% - Accent4 4 2 4 2 3" xfId="4720" xr:uid="{00000000-0005-0000-0000-00001D160000}"/>
    <cellStyle name="20% - Accent4 4 2 4 2 4" xfId="4721" xr:uid="{00000000-0005-0000-0000-00001E160000}"/>
    <cellStyle name="20% - Accent4 4 2 4 2 5" xfId="37377" xr:uid="{00000000-0005-0000-0000-00001F160000}"/>
    <cellStyle name="20% - Accent4 4 2 4 3" xfId="4722" xr:uid="{00000000-0005-0000-0000-000020160000}"/>
    <cellStyle name="20% - Accent4 4 2 4 3 2" xfId="4723" xr:uid="{00000000-0005-0000-0000-000021160000}"/>
    <cellStyle name="20% - Accent4 4 2 4 4" xfId="4724" xr:uid="{00000000-0005-0000-0000-000022160000}"/>
    <cellStyle name="20% - Accent4 4 2 4 5" xfId="4725" xr:uid="{00000000-0005-0000-0000-000023160000}"/>
    <cellStyle name="20% - Accent4 4 2 4 6" xfId="37376" xr:uid="{00000000-0005-0000-0000-000024160000}"/>
    <cellStyle name="20% - Accent4 4 2 5" xfId="4726" xr:uid="{00000000-0005-0000-0000-000025160000}"/>
    <cellStyle name="20% - Accent4 4 2 5 2" xfId="4727" xr:uid="{00000000-0005-0000-0000-000026160000}"/>
    <cellStyle name="20% - Accent4 4 2 5 2 2" xfId="4728" xr:uid="{00000000-0005-0000-0000-000027160000}"/>
    <cellStyle name="20% - Accent4 4 2 5 2 2 2" xfId="4729" xr:uid="{00000000-0005-0000-0000-000028160000}"/>
    <cellStyle name="20% - Accent4 4 2 5 2 3" xfId="4730" xr:uid="{00000000-0005-0000-0000-000029160000}"/>
    <cellStyle name="20% - Accent4 4 2 5 2 4" xfId="4731" xr:uid="{00000000-0005-0000-0000-00002A160000}"/>
    <cellStyle name="20% - Accent4 4 2 5 2 5" xfId="37379" xr:uid="{00000000-0005-0000-0000-00002B160000}"/>
    <cellStyle name="20% - Accent4 4 2 5 3" xfId="4732" xr:uid="{00000000-0005-0000-0000-00002C160000}"/>
    <cellStyle name="20% - Accent4 4 2 5 3 2" xfId="4733" xr:uid="{00000000-0005-0000-0000-00002D160000}"/>
    <cellStyle name="20% - Accent4 4 2 5 4" xfId="4734" xr:uid="{00000000-0005-0000-0000-00002E160000}"/>
    <cellStyle name="20% - Accent4 4 2 5 5" xfId="4735" xr:uid="{00000000-0005-0000-0000-00002F160000}"/>
    <cellStyle name="20% - Accent4 4 2 5 6" xfId="37378" xr:uid="{00000000-0005-0000-0000-000030160000}"/>
    <cellStyle name="20% - Accent4 4 2 6" xfId="4736" xr:uid="{00000000-0005-0000-0000-000031160000}"/>
    <cellStyle name="20% - Accent4 4 2 6 2" xfId="4737" xr:uid="{00000000-0005-0000-0000-000032160000}"/>
    <cellStyle name="20% - Accent4 4 2 6 2 2" xfId="4738" xr:uid="{00000000-0005-0000-0000-000033160000}"/>
    <cellStyle name="20% - Accent4 4 2 6 3" xfId="4739" xr:uid="{00000000-0005-0000-0000-000034160000}"/>
    <cellStyle name="20% - Accent4 4 2 6 4" xfId="4740" xr:uid="{00000000-0005-0000-0000-000035160000}"/>
    <cellStyle name="20% - Accent4 4 2 6 5" xfId="37380" xr:uid="{00000000-0005-0000-0000-000036160000}"/>
    <cellStyle name="20% - Accent4 4 2 7" xfId="4741" xr:uid="{00000000-0005-0000-0000-000037160000}"/>
    <cellStyle name="20% - Accent4 4 2 7 2" xfId="4742" xr:uid="{00000000-0005-0000-0000-000038160000}"/>
    <cellStyle name="20% - Accent4 4 2 7 2 2" xfId="4743" xr:uid="{00000000-0005-0000-0000-000039160000}"/>
    <cellStyle name="20% - Accent4 4 2 7 3" xfId="4744" xr:uid="{00000000-0005-0000-0000-00003A160000}"/>
    <cellStyle name="20% - Accent4 4 2 7 4" xfId="4745" xr:uid="{00000000-0005-0000-0000-00003B160000}"/>
    <cellStyle name="20% - Accent4 4 2 8" xfId="4746" xr:uid="{00000000-0005-0000-0000-00003C160000}"/>
    <cellStyle name="20% - Accent4 4 2 8 2" xfId="4747" xr:uid="{00000000-0005-0000-0000-00003D160000}"/>
    <cellStyle name="20% - Accent4 4 2 8 2 2" xfId="4748" xr:uid="{00000000-0005-0000-0000-00003E160000}"/>
    <cellStyle name="20% - Accent4 4 2 8 3" xfId="4749" xr:uid="{00000000-0005-0000-0000-00003F160000}"/>
    <cellStyle name="20% - Accent4 4 2 8 4" xfId="4750" xr:uid="{00000000-0005-0000-0000-000040160000}"/>
    <cellStyle name="20% - Accent4 4 2 9" xfId="4751" xr:uid="{00000000-0005-0000-0000-000041160000}"/>
    <cellStyle name="20% - Accent4 4 2 9 2" xfId="4752" xr:uid="{00000000-0005-0000-0000-000042160000}"/>
    <cellStyle name="20% - Accent4 4 3" xfId="4753" xr:uid="{00000000-0005-0000-0000-000043160000}"/>
    <cellStyle name="20% - Accent4 4 3 10" xfId="4754" xr:uid="{00000000-0005-0000-0000-000044160000}"/>
    <cellStyle name="20% - Accent4 4 3 11" xfId="34586" xr:uid="{00000000-0005-0000-0000-000045160000}"/>
    <cellStyle name="20% - Accent4 4 3 2" xfId="4755" xr:uid="{00000000-0005-0000-0000-000046160000}"/>
    <cellStyle name="20% - Accent4 4 3 2 10" xfId="34587" xr:uid="{00000000-0005-0000-0000-000047160000}"/>
    <cellStyle name="20% - Accent4 4 3 2 2" xfId="4756" xr:uid="{00000000-0005-0000-0000-000048160000}"/>
    <cellStyle name="20% - Accent4 4 3 2 2 2" xfId="4757" xr:uid="{00000000-0005-0000-0000-000049160000}"/>
    <cellStyle name="20% - Accent4 4 3 2 2 2 2" xfId="4758" xr:uid="{00000000-0005-0000-0000-00004A160000}"/>
    <cellStyle name="20% - Accent4 4 3 2 2 2 2 2" xfId="4759" xr:uid="{00000000-0005-0000-0000-00004B160000}"/>
    <cellStyle name="20% - Accent4 4 3 2 2 2 3" xfId="4760" xr:uid="{00000000-0005-0000-0000-00004C160000}"/>
    <cellStyle name="20% - Accent4 4 3 2 2 2 4" xfId="4761" xr:uid="{00000000-0005-0000-0000-00004D160000}"/>
    <cellStyle name="20% - Accent4 4 3 2 2 2 5" xfId="37382" xr:uid="{00000000-0005-0000-0000-00004E160000}"/>
    <cellStyle name="20% - Accent4 4 3 2 2 3" xfId="4762" xr:uid="{00000000-0005-0000-0000-00004F160000}"/>
    <cellStyle name="20% - Accent4 4 3 2 2 3 2" xfId="4763" xr:uid="{00000000-0005-0000-0000-000050160000}"/>
    <cellStyle name="20% - Accent4 4 3 2 2 4" xfId="4764" xr:uid="{00000000-0005-0000-0000-000051160000}"/>
    <cellStyle name="20% - Accent4 4 3 2 2 5" xfId="4765" xr:uid="{00000000-0005-0000-0000-000052160000}"/>
    <cellStyle name="20% - Accent4 4 3 2 2 6" xfId="37381" xr:uid="{00000000-0005-0000-0000-000053160000}"/>
    <cellStyle name="20% - Accent4 4 3 2 3" xfId="4766" xr:uid="{00000000-0005-0000-0000-000054160000}"/>
    <cellStyle name="20% - Accent4 4 3 2 3 2" xfId="4767" xr:uid="{00000000-0005-0000-0000-000055160000}"/>
    <cellStyle name="20% - Accent4 4 3 2 3 2 2" xfId="4768" xr:uid="{00000000-0005-0000-0000-000056160000}"/>
    <cellStyle name="20% - Accent4 4 3 2 3 2 2 2" xfId="4769" xr:uid="{00000000-0005-0000-0000-000057160000}"/>
    <cellStyle name="20% - Accent4 4 3 2 3 2 3" xfId="4770" xr:uid="{00000000-0005-0000-0000-000058160000}"/>
    <cellStyle name="20% - Accent4 4 3 2 3 2 4" xfId="4771" xr:uid="{00000000-0005-0000-0000-000059160000}"/>
    <cellStyle name="20% - Accent4 4 3 2 3 2 5" xfId="37384" xr:uid="{00000000-0005-0000-0000-00005A160000}"/>
    <cellStyle name="20% - Accent4 4 3 2 3 3" xfId="4772" xr:uid="{00000000-0005-0000-0000-00005B160000}"/>
    <cellStyle name="20% - Accent4 4 3 2 3 3 2" xfId="4773" xr:uid="{00000000-0005-0000-0000-00005C160000}"/>
    <cellStyle name="20% - Accent4 4 3 2 3 4" xfId="4774" xr:uid="{00000000-0005-0000-0000-00005D160000}"/>
    <cellStyle name="20% - Accent4 4 3 2 3 5" xfId="4775" xr:uid="{00000000-0005-0000-0000-00005E160000}"/>
    <cellStyle name="20% - Accent4 4 3 2 3 6" xfId="37383" xr:uid="{00000000-0005-0000-0000-00005F160000}"/>
    <cellStyle name="20% - Accent4 4 3 2 4" xfId="4776" xr:uid="{00000000-0005-0000-0000-000060160000}"/>
    <cellStyle name="20% - Accent4 4 3 2 4 2" xfId="4777" xr:uid="{00000000-0005-0000-0000-000061160000}"/>
    <cellStyle name="20% - Accent4 4 3 2 4 2 2" xfId="4778" xr:uid="{00000000-0005-0000-0000-000062160000}"/>
    <cellStyle name="20% - Accent4 4 3 2 4 3" xfId="4779" xr:uid="{00000000-0005-0000-0000-000063160000}"/>
    <cellStyle name="20% - Accent4 4 3 2 4 4" xfId="4780" xr:uid="{00000000-0005-0000-0000-000064160000}"/>
    <cellStyle name="20% - Accent4 4 3 2 4 5" xfId="37385" xr:uid="{00000000-0005-0000-0000-000065160000}"/>
    <cellStyle name="20% - Accent4 4 3 2 5" xfId="4781" xr:uid="{00000000-0005-0000-0000-000066160000}"/>
    <cellStyle name="20% - Accent4 4 3 2 5 2" xfId="4782" xr:uid="{00000000-0005-0000-0000-000067160000}"/>
    <cellStyle name="20% - Accent4 4 3 2 5 2 2" xfId="4783" xr:uid="{00000000-0005-0000-0000-000068160000}"/>
    <cellStyle name="20% - Accent4 4 3 2 5 3" xfId="4784" xr:uid="{00000000-0005-0000-0000-000069160000}"/>
    <cellStyle name="20% - Accent4 4 3 2 5 4" xfId="4785" xr:uid="{00000000-0005-0000-0000-00006A160000}"/>
    <cellStyle name="20% - Accent4 4 3 2 6" xfId="4786" xr:uid="{00000000-0005-0000-0000-00006B160000}"/>
    <cellStyle name="20% - Accent4 4 3 2 6 2" xfId="4787" xr:uid="{00000000-0005-0000-0000-00006C160000}"/>
    <cellStyle name="20% - Accent4 4 3 2 6 2 2" xfId="4788" xr:uid="{00000000-0005-0000-0000-00006D160000}"/>
    <cellStyle name="20% - Accent4 4 3 2 6 3" xfId="4789" xr:uid="{00000000-0005-0000-0000-00006E160000}"/>
    <cellStyle name="20% - Accent4 4 3 2 6 4" xfId="4790" xr:uid="{00000000-0005-0000-0000-00006F160000}"/>
    <cellStyle name="20% - Accent4 4 3 2 7" xfId="4791" xr:uid="{00000000-0005-0000-0000-000070160000}"/>
    <cellStyle name="20% - Accent4 4 3 2 7 2" xfId="4792" xr:uid="{00000000-0005-0000-0000-000071160000}"/>
    <cellStyle name="20% - Accent4 4 3 2 8" xfId="4793" xr:uid="{00000000-0005-0000-0000-000072160000}"/>
    <cellStyle name="20% - Accent4 4 3 2 9" xfId="4794" xr:uid="{00000000-0005-0000-0000-000073160000}"/>
    <cellStyle name="20% - Accent4 4 3 3" xfId="4795" xr:uid="{00000000-0005-0000-0000-000074160000}"/>
    <cellStyle name="20% - Accent4 4 3 3 2" xfId="4796" xr:uid="{00000000-0005-0000-0000-000075160000}"/>
    <cellStyle name="20% - Accent4 4 3 3 2 2" xfId="4797" xr:uid="{00000000-0005-0000-0000-000076160000}"/>
    <cellStyle name="20% - Accent4 4 3 3 2 2 2" xfId="4798" xr:uid="{00000000-0005-0000-0000-000077160000}"/>
    <cellStyle name="20% - Accent4 4 3 3 2 3" xfId="4799" xr:uid="{00000000-0005-0000-0000-000078160000}"/>
    <cellStyle name="20% - Accent4 4 3 3 2 4" xfId="4800" xr:uid="{00000000-0005-0000-0000-000079160000}"/>
    <cellStyle name="20% - Accent4 4 3 3 2 5" xfId="37387" xr:uid="{00000000-0005-0000-0000-00007A160000}"/>
    <cellStyle name="20% - Accent4 4 3 3 3" xfId="4801" xr:uid="{00000000-0005-0000-0000-00007B160000}"/>
    <cellStyle name="20% - Accent4 4 3 3 3 2" xfId="4802" xr:uid="{00000000-0005-0000-0000-00007C160000}"/>
    <cellStyle name="20% - Accent4 4 3 3 4" xfId="4803" xr:uid="{00000000-0005-0000-0000-00007D160000}"/>
    <cellStyle name="20% - Accent4 4 3 3 5" xfId="4804" xr:uid="{00000000-0005-0000-0000-00007E160000}"/>
    <cellStyle name="20% - Accent4 4 3 3 6" xfId="37386" xr:uid="{00000000-0005-0000-0000-00007F160000}"/>
    <cellStyle name="20% - Accent4 4 3 4" xfId="4805" xr:uid="{00000000-0005-0000-0000-000080160000}"/>
    <cellStyle name="20% - Accent4 4 3 4 2" xfId="4806" xr:uid="{00000000-0005-0000-0000-000081160000}"/>
    <cellStyle name="20% - Accent4 4 3 4 2 2" xfId="4807" xr:uid="{00000000-0005-0000-0000-000082160000}"/>
    <cellStyle name="20% - Accent4 4 3 4 2 2 2" xfId="4808" xr:uid="{00000000-0005-0000-0000-000083160000}"/>
    <cellStyle name="20% - Accent4 4 3 4 2 3" xfId="4809" xr:uid="{00000000-0005-0000-0000-000084160000}"/>
    <cellStyle name="20% - Accent4 4 3 4 2 4" xfId="4810" xr:uid="{00000000-0005-0000-0000-000085160000}"/>
    <cellStyle name="20% - Accent4 4 3 4 2 5" xfId="37389" xr:uid="{00000000-0005-0000-0000-000086160000}"/>
    <cellStyle name="20% - Accent4 4 3 4 3" xfId="4811" xr:uid="{00000000-0005-0000-0000-000087160000}"/>
    <cellStyle name="20% - Accent4 4 3 4 3 2" xfId="4812" xr:uid="{00000000-0005-0000-0000-000088160000}"/>
    <cellStyle name="20% - Accent4 4 3 4 4" xfId="4813" xr:uid="{00000000-0005-0000-0000-000089160000}"/>
    <cellStyle name="20% - Accent4 4 3 4 5" xfId="4814" xr:uid="{00000000-0005-0000-0000-00008A160000}"/>
    <cellStyle name="20% - Accent4 4 3 4 6" xfId="37388" xr:uid="{00000000-0005-0000-0000-00008B160000}"/>
    <cellStyle name="20% - Accent4 4 3 5" xfId="4815" xr:uid="{00000000-0005-0000-0000-00008C160000}"/>
    <cellStyle name="20% - Accent4 4 3 5 2" xfId="4816" xr:uid="{00000000-0005-0000-0000-00008D160000}"/>
    <cellStyle name="20% - Accent4 4 3 5 2 2" xfId="4817" xr:uid="{00000000-0005-0000-0000-00008E160000}"/>
    <cellStyle name="20% - Accent4 4 3 5 3" xfId="4818" xr:uid="{00000000-0005-0000-0000-00008F160000}"/>
    <cellStyle name="20% - Accent4 4 3 5 4" xfId="4819" xr:uid="{00000000-0005-0000-0000-000090160000}"/>
    <cellStyle name="20% - Accent4 4 3 5 5" xfId="37390" xr:uid="{00000000-0005-0000-0000-000091160000}"/>
    <cellStyle name="20% - Accent4 4 3 6" xfId="4820" xr:uid="{00000000-0005-0000-0000-000092160000}"/>
    <cellStyle name="20% - Accent4 4 3 6 2" xfId="4821" xr:uid="{00000000-0005-0000-0000-000093160000}"/>
    <cellStyle name="20% - Accent4 4 3 6 2 2" xfId="4822" xr:uid="{00000000-0005-0000-0000-000094160000}"/>
    <cellStyle name="20% - Accent4 4 3 6 3" xfId="4823" xr:uid="{00000000-0005-0000-0000-000095160000}"/>
    <cellStyle name="20% - Accent4 4 3 6 4" xfId="4824" xr:uid="{00000000-0005-0000-0000-000096160000}"/>
    <cellStyle name="20% - Accent4 4 3 7" xfId="4825" xr:uid="{00000000-0005-0000-0000-000097160000}"/>
    <cellStyle name="20% - Accent4 4 3 7 2" xfId="4826" xr:uid="{00000000-0005-0000-0000-000098160000}"/>
    <cellStyle name="20% - Accent4 4 3 7 2 2" xfId="4827" xr:uid="{00000000-0005-0000-0000-000099160000}"/>
    <cellStyle name="20% - Accent4 4 3 7 3" xfId="4828" xr:uid="{00000000-0005-0000-0000-00009A160000}"/>
    <cellStyle name="20% - Accent4 4 3 7 4" xfId="4829" xr:uid="{00000000-0005-0000-0000-00009B160000}"/>
    <cellStyle name="20% - Accent4 4 3 8" xfId="4830" xr:uid="{00000000-0005-0000-0000-00009C160000}"/>
    <cellStyle name="20% - Accent4 4 3 8 2" xfId="4831" xr:uid="{00000000-0005-0000-0000-00009D160000}"/>
    <cellStyle name="20% - Accent4 4 3 9" xfId="4832" xr:uid="{00000000-0005-0000-0000-00009E160000}"/>
    <cellStyle name="20% - Accent4 4 4" xfId="4833" xr:uid="{00000000-0005-0000-0000-00009F160000}"/>
    <cellStyle name="20% - Accent4 4 4 10" xfId="34588" xr:uid="{00000000-0005-0000-0000-0000A0160000}"/>
    <cellStyle name="20% - Accent4 4 4 2" xfId="4834" xr:uid="{00000000-0005-0000-0000-0000A1160000}"/>
    <cellStyle name="20% - Accent4 4 4 2 2" xfId="4835" xr:uid="{00000000-0005-0000-0000-0000A2160000}"/>
    <cellStyle name="20% - Accent4 4 4 2 2 2" xfId="4836" xr:uid="{00000000-0005-0000-0000-0000A3160000}"/>
    <cellStyle name="20% - Accent4 4 4 2 2 2 2" xfId="4837" xr:uid="{00000000-0005-0000-0000-0000A4160000}"/>
    <cellStyle name="20% - Accent4 4 4 2 2 3" xfId="4838" xr:uid="{00000000-0005-0000-0000-0000A5160000}"/>
    <cellStyle name="20% - Accent4 4 4 2 2 4" xfId="4839" xr:uid="{00000000-0005-0000-0000-0000A6160000}"/>
    <cellStyle name="20% - Accent4 4 4 2 2 5" xfId="37392" xr:uid="{00000000-0005-0000-0000-0000A7160000}"/>
    <cellStyle name="20% - Accent4 4 4 2 3" xfId="4840" xr:uid="{00000000-0005-0000-0000-0000A8160000}"/>
    <cellStyle name="20% - Accent4 4 4 2 3 2" xfId="4841" xr:uid="{00000000-0005-0000-0000-0000A9160000}"/>
    <cellStyle name="20% - Accent4 4 4 2 4" xfId="4842" xr:uid="{00000000-0005-0000-0000-0000AA160000}"/>
    <cellStyle name="20% - Accent4 4 4 2 5" xfId="4843" xr:uid="{00000000-0005-0000-0000-0000AB160000}"/>
    <cellStyle name="20% - Accent4 4 4 2 6" xfId="37391" xr:uid="{00000000-0005-0000-0000-0000AC160000}"/>
    <cellStyle name="20% - Accent4 4 4 3" xfId="4844" xr:uid="{00000000-0005-0000-0000-0000AD160000}"/>
    <cellStyle name="20% - Accent4 4 4 3 2" xfId="4845" xr:uid="{00000000-0005-0000-0000-0000AE160000}"/>
    <cellStyle name="20% - Accent4 4 4 3 2 2" xfId="4846" xr:uid="{00000000-0005-0000-0000-0000AF160000}"/>
    <cellStyle name="20% - Accent4 4 4 3 2 2 2" xfId="4847" xr:uid="{00000000-0005-0000-0000-0000B0160000}"/>
    <cellStyle name="20% - Accent4 4 4 3 2 3" xfId="4848" xr:uid="{00000000-0005-0000-0000-0000B1160000}"/>
    <cellStyle name="20% - Accent4 4 4 3 2 4" xfId="4849" xr:uid="{00000000-0005-0000-0000-0000B2160000}"/>
    <cellStyle name="20% - Accent4 4 4 3 2 5" xfId="37394" xr:uid="{00000000-0005-0000-0000-0000B3160000}"/>
    <cellStyle name="20% - Accent4 4 4 3 3" xfId="4850" xr:uid="{00000000-0005-0000-0000-0000B4160000}"/>
    <cellStyle name="20% - Accent4 4 4 3 3 2" xfId="4851" xr:uid="{00000000-0005-0000-0000-0000B5160000}"/>
    <cellStyle name="20% - Accent4 4 4 3 4" xfId="4852" xr:uid="{00000000-0005-0000-0000-0000B6160000}"/>
    <cellStyle name="20% - Accent4 4 4 3 5" xfId="4853" xr:uid="{00000000-0005-0000-0000-0000B7160000}"/>
    <cellStyle name="20% - Accent4 4 4 3 6" xfId="37393" xr:uid="{00000000-0005-0000-0000-0000B8160000}"/>
    <cellStyle name="20% - Accent4 4 4 4" xfId="4854" xr:uid="{00000000-0005-0000-0000-0000B9160000}"/>
    <cellStyle name="20% - Accent4 4 4 4 2" xfId="4855" xr:uid="{00000000-0005-0000-0000-0000BA160000}"/>
    <cellStyle name="20% - Accent4 4 4 4 2 2" xfId="4856" xr:uid="{00000000-0005-0000-0000-0000BB160000}"/>
    <cellStyle name="20% - Accent4 4 4 4 3" xfId="4857" xr:uid="{00000000-0005-0000-0000-0000BC160000}"/>
    <cellStyle name="20% - Accent4 4 4 4 4" xfId="4858" xr:uid="{00000000-0005-0000-0000-0000BD160000}"/>
    <cellStyle name="20% - Accent4 4 4 4 5" xfId="37395" xr:uid="{00000000-0005-0000-0000-0000BE160000}"/>
    <cellStyle name="20% - Accent4 4 4 5" xfId="4859" xr:uid="{00000000-0005-0000-0000-0000BF160000}"/>
    <cellStyle name="20% - Accent4 4 4 5 2" xfId="4860" xr:uid="{00000000-0005-0000-0000-0000C0160000}"/>
    <cellStyle name="20% - Accent4 4 4 5 2 2" xfId="4861" xr:uid="{00000000-0005-0000-0000-0000C1160000}"/>
    <cellStyle name="20% - Accent4 4 4 5 3" xfId="4862" xr:uid="{00000000-0005-0000-0000-0000C2160000}"/>
    <cellStyle name="20% - Accent4 4 4 5 4" xfId="4863" xr:uid="{00000000-0005-0000-0000-0000C3160000}"/>
    <cellStyle name="20% - Accent4 4 4 6" xfId="4864" xr:uid="{00000000-0005-0000-0000-0000C4160000}"/>
    <cellStyle name="20% - Accent4 4 4 6 2" xfId="4865" xr:uid="{00000000-0005-0000-0000-0000C5160000}"/>
    <cellStyle name="20% - Accent4 4 4 6 2 2" xfId="4866" xr:uid="{00000000-0005-0000-0000-0000C6160000}"/>
    <cellStyle name="20% - Accent4 4 4 6 3" xfId="4867" xr:uid="{00000000-0005-0000-0000-0000C7160000}"/>
    <cellStyle name="20% - Accent4 4 4 6 4" xfId="4868" xr:uid="{00000000-0005-0000-0000-0000C8160000}"/>
    <cellStyle name="20% - Accent4 4 4 7" xfId="4869" xr:uid="{00000000-0005-0000-0000-0000C9160000}"/>
    <cellStyle name="20% - Accent4 4 4 7 2" xfId="4870" xr:uid="{00000000-0005-0000-0000-0000CA160000}"/>
    <cellStyle name="20% - Accent4 4 4 8" xfId="4871" xr:uid="{00000000-0005-0000-0000-0000CB160000}"/>
    <cellStyle name="20% - Accent4 4 4 9" xfId="4872" xr:uid="{00000000-0005-0000-0000-0000CC160000}"/>
    <cellStyle name="20% - Accent4 4 5" xfId="4873" xr:uid="{00000000-0005-0000-0000-0000CD160000}"/>
    <cellStyle name="20% - Accent4 4 5 2" xfId="4874" xr:uid="{00000000-0005-0000-0000-0000CE160000}"/>
    <cellStyle name="20% - Accent4 4 5 2 2" xfId="4875" xr:uid="{00000000-0005-0000-0000-0000CF160000}"/>
    <cellStyle name="20% - Accent4 4 5 2 2 2" xfId="4876" xr:uid="{00000000-0005-0000-0000-0000D0160000}"/>
    <cellStyle name="20% - Accent4 4 5 2 2 2 2" xfId="4877" xr:uid="{00000000-0005-0000-0000-0000D1160000}"/>
    <cellStyle name="20% - Accent4 4 5 2 2 3" xfId="4878" xr:uid="{00000000-0005-0000-0000-0000D2160000}"/>
    <cellStyle name="20% - Accent4 4 5 2 2 4" xfId="4879" xr:uid="{00000000-0005-0000-0000-0000D3160000}"/>
    <cellStyle name="20% - Accent4 4 5 2 2 5" xfId="37398" xr:uid="{00000000-0005-0000-0000-0000D4160000}"/>
    <cellStyle name="20% - Accent4 4 5 2 3" xfId="4880" xr:uid="{00000000-0005-0000-0000-0000D5160000}"/>
    <cellStyle name="20% - Accent4 4 5 2 3 2" xfId="4881" xr:uid="{00000000-0005-0000-0000-0000D6160000}"/>
    <cellStyle name="20% - Accent4 4 5 2 4" xfId="4882" xr:uid="{00000000-0005-0000-0000-0000D7160000}"/>
    <cellStyle name="20% - Accent4 4 5 2 5" xfId="4883" xr:uid="{00000000-0005-0000-0000-0000D8160000}"/>
    <cellStyle name="20% - Accent4 4 5 2 6" xfId="37397" xr:uid="{00000000-0005-0000-0000-0000D9160000}"/>
    <cellStyle name="20% - Accent4 4 5 3" xfId="4884" xr:uid="{00000000-0005-0000-0000-0000DA160000}"/>
    <cellStyle name="20% - Accent4 4 5 3 2" xfId="4885" xr:uid="{00000000-0005-0000-0000-0000DB160000}"/>
    <cellStyle name="20% - Accent4 4 5 3 2 2" xfId="4886" xr:uid="{00000000-0005-0000-0000-0000DC160000}"/>
    <cellStyle name="20% - Accent4 4 5 3 3" xfId="4887" xr:uid="{00000000-0005-0000-0000-0000DD160000}"/>
    <cellStyle name="20% - Accent4 4 5 3 4" xfId="4888" xr:uid="{00000000-0005-0000-0000-0000DE160000}"/>
    <cellStyle name="20% - Accent4 4 5 3 5" xfId="37399" xr:uid="{00000000-0005-0000-0000-0000DF160000}"/>
    <cellStyle name="20% - Accent4 4 5 4" xfId="4889" xr:uid="{00000000-0005-0000-0000-0000E0160000}"/>
    <cellStyle name="20% - Accent4 4 5 5" xfId="4890" xr:uid="{00000000-0005-0000-0000-0000E1160000}"/>
    <cellStyle name="20% - Accent4 4 5 5 2" xfId="4891" xr:uid="{00000000-0005-0000-0000-0000E2160000}"/>
    <cellStyle name="20% - Accent4 4 5 6" xfId="4892" xr:uid="{00000000-0005-0000-0000-0000E3160000}"/>
    <cellStyle name="20% - Accent4 4 5 7" xfId="4893" xr:uid="{00000000-0005-0000-0000-0000E4160000}"/>
    <cellStyle name="20% - Accent4 4 5 8" xfId="37396" xr:uid="{00000000-0005-0000-0000-0000E5160000}"/>
    <cellStyle name="20% - Accent4 4 6" xfId="4894" xr:uid="{00000000-0005-0000-0000-0000E6160000}"/>
    <cellStyle name="20% - Accent4 4 6 2" xfId="4895" xr:uid="{00000000-0005-0000-0000-0000E7160000}"/>
    <cellStyle name="20% - Accent4 4 6 2 2" xfId="4896" xr:uid="{00000000-0005-0000-0000-0000E8160000}"/>
    <cellStyle name="20% - Accent4 4 6 2 2 2" xfId="4897" xr:uid="{00000000-0005-0000-0000-0000E9160000}"/>
    <cellStyle name="20% - Accent4 4 6 2 3" xfId="4898" xr:uid="{00000000-0005-0000-0000-0000EA160000}"/>
    <cellStyle name="20% - Accent4 4 6 2 4" xfId="4899" xr:uid="{00000000-0005-0000-0000-0000EB160000}"/>
    <cellStyle name="20% - Accent4 4 6 2 5" xfId="37401" xr:uid="{00000000-0005-0000-0000-0000EC160000}"/>
    <cellStyle name="20% - Accent4 4 6 3" xfId="4900" xr:uid="{00000000-0005-0000-0000-0000ED160000}"/>
    <cellStyle name="20% - Accent4 4 6 3 2" xfId="4901" xr:uid="{00000000-0005-0000-0000-0000EE160000}"/>
    <cellStyle name="20% - Accent4 4 6 3 2 2" xfId="4902" xr:uid="{00000000-0005-0000-0000-0000EF160000}"/>
    <cellStyle name="20% - Accent4 4 6 3 3" xfId="4903" xr:uid="{00000000-0005-0000-0000-0000F0160000}"/>
    <cellStyle name="20% - Accent4 4 6 3 4" xfId="4904" xr:uid="{00000000-0005-0000-0000-0000F1160000}"/>
    <cellStyle name="20% - Accent4 4 6 3 5" xfId="37402" xr:uid="{00000000-0005-0000-0000-0000F2160000}"/>
    <cellStyle name="20% - Accent4 4 6 4" xfId="4905" xr:uid="{00000000-0005-0000-0000-0000F3160000}"/>
    <cellStyle name="20% - Accent4 4 6 4 2" xfId="4906" xr:uid="{00000000-0005-0000-0000-0000F4160000}"/>
    <cellStyle name="20% - Accent4 4 6 5" xfId="4907" xr:uid="{00000000-0005-0000-0000-0000F5160000}"/>
    <cellStyle name="20% - Accent4 4 6 6" xfId="4908" xr:uid="{00000000-0005-0000-0000-0000F6160000}"/>
    <cellStyle name="20% - Accent4 4 6 7" xfId="37400" xr:uid="{00000000-0005-0000-0000-0000F7160000}"/>
    <cellStyle name="20% - Accent4 4 7" xfId="4909" xr:uid="{00000000-0005-0000-0000-0000F8160000}"/>
    <cellStyle name="20% - Accent4 4 7 2" xfId="4910" xr:uid="{00000000-0005-0000-0000-0000F9160000}"/>
    <cellStyle name="20% - Accent4 4 7 2 2" xfId="4911" xr:uid="{00000000-0005-0000-0000-0000FA160000}"/>
    <cellStyle name="20% - Accent4 4 7 3" xfId="4912" xr:uid="{00000000-0005-0000-0000-0000FB160000}"/>
    <cellStyle name="20% - Accent4 4 7 4" xfId="4913" xr:uid="{00000000-0005-0000-0000-0000FC160000}"/>
    <cellStyle name="20% - Accent4 4 8" xfId="4914" xr:uid="{00000000-0005-0000-0000-0000FD160000}"/>
    <cellStyle name="20% - Accent4 4 8 2" xfId="4915" xr:uid="{00000000-0005-0000-0000-0000FE160000}"/>
    <cellStyle name="20% - Accent4 4 8 2 2" xfId="4916" xr:uid="{00000000-0005-0000-0000-0000FF160000}"/>
    <cellStyle name="20% - Accent4 4 8 3" xfId="4917" xr:uid="{00000000-0005-0000-0000-000000170000}"/>
    <cellStyle name="20% - Accent4 4 8 4" xfId="4918" xr:uid="{00000000-0005-0000-0000-000001170000}"/>
    <cellStyle name="20% - Accent4 4 9" xfId="34581" xr:uid="{00000000-0005-0000-0000-000002170000}"/>
    <cellStyle name="20% - Accent4 5" xfId="4919" xr:uid="{00000000-0005-0000-0000-000003170000}"/>
    <cellStyle name="20% - Accent4 5 2" xfId="4920" xr:uid="{00000000-0005-0000-0000-000004170000}"/>
    <cellStyle name="20% - Accent4 5 2 10" xfId="4921" xr:uid="{00000000-0005-0000-0000-000005170000}"/>
    <cellStyle name="20% - Accent4 5 2 11" xfId="4922" xr:uid="{00000000-0005-0000-0000-000006170000}"/>
    <cellStyle name="20% - Accent4 5 2 12" xfId="34590" xr:uid="{00000000-0005-0000-0000-000007170000}"/>
    <cellStyle name="20% - Accent4 5 2 2" xfId="4923" xr:uid="{00000000-0005-0000-0000-000008170000}"/>
    <cellStyle name="20% - Accent4 5 2 2 10" xfId="4924" xr:uid="{00000000-0005-0000-0000-000009170000}"/>
    <cellStyle name="20% - Accent4 5 2 2 11" xfId="34591" xr:uid="{00000000-0005-0000-0000-00000A170000}"/>
    <cellStyle name="20% - Accent4 5 2 2 2" xfId="4925" xr:uid="{00000000-0005-0000-0000-00000B170000}"/>
    <cellStyle name="20% - Accent4 5 2 2 2 10" xfId="34592" xr:uid="{00000000-0005-0000-0000-00000C170000}"/>
    <cellStyle name="20% - Accent4 5 2 2 2 2" xfId="4926" xr:uid="{00000000-0005-0000-0000-00000D170000}"/>
    <cellStyle name="20% - Accent4 5 2 2 2 2 2" xfId="4927" xr:uid="{00000000-0005-0000-0000-00000E170000}"/>
    <cellStyle name="20% - Accent4 5 2 2 2 2 2 2" xfId="4928" xr:uid="{00000000-0005-0000-0000-00000F170000}"/>
    <cellStyle name="20% - Accent4 5 2 2 2 2 2 2 2" xfId="4929" xr:uid="{00000000-0005-0000-0000-000010170000}"/>
    <cellStyle name="20% - Accent4 5 2 2 2 2 2 3" xfId="4930" xr:uid="{00000000-0005-0000-0000-000011170000}"/>
    <cellStyle name="20% - Accent4 5 2 2 2 2 2 4" xfId="4931" xr:uid="{00000000-0005-0000-0000-000012170000}"/>
    <cellStyle name="20% - Accent4 5 2 2 2 2 2 5" xfId="37404" xr:uid="{00000000-0005-0000-0000-000013170000}"/>
    <cellStyle name="20% - Accent4 5 2 2 2 2 3" xfId="4932" xr:uid="{00000000-0005-0000-0000-000014170000}"/>
    <cellStyle name="20% - Accent4 5 2 2 2 2 3 2" xfId="4933" xr:uid="{00000000-0005-0000-0000-000015170000}"/>
    <cellStyle name="20% - Accent4 5 2 2 2 2 4" xfId="4934" xr:uid="{00000000-0005-0000-0000-000016170000}"/>
    <cellStyle name="20% - Accent4 5 2 2 2 2 5" xfId="4935" xr:uid="{00000000-0005-0000-0000-000017170000}"/>
    <cellStyle name="20% - Accent4 5 2 2 2 2 6" xfId="37403" xr:uid="{00000000-0005-0000-0000-000018170000}"/>
    <cellStyle name="20% - Accent4 5 2 2 2 3" xfId="4936" xr:uid="{00000000-0005-0000-0000-000019170000}"/>
    <cellStyle name="20% - Accent4 5 2 2 2 3 2" xfId="4937" xr:uid="{00000000-0005-0000-0000-00001A170000}"/>
    <cellStyle name="20% - Accent4 5 2 2 2 3 2 2" xfId="4938" xr:uid="{00000000-0005-0000-0000-00001B170000}"/>
    <cellStyle name="20% - Accent4 5 2 2 2 3 2 2 2" xfId="4939" xr:uid="{00000000-0005-0000-0000-00001C170000}"/>
    <cellStyle name="20% - Accent4 5 2 2 2 3 2 3" xfId="4940" xr:uid="{00000000-0005-0000-0000-00001D170000}"/>
    <cellStyle name="20% - Accent4 5 2 2 2 3 2 4" xfId="4941" xr:uid="{00000000-0005-0000-0000-00001E170000}"/>
    <cellStyle name="20% - Accent4 5 2 2 2 3 2 5" xfId="37406" xr:uid="{00000000-0005-0000-0000-00001F170000}"/>
    <cellStyle name="20% - Accent4 5 2 2 2 3 3" xfId="4942" xr:uid="{00000000-0005-0000-0000-000020170000}"/>
    <cellStyle name="20% - Accent4 5 2 2 2 3 3 2" xfId="4943" xr:uid="{00000000-0005-0000-0000-000021170000}"/>
    <cellStyle name="20% - Accent4 5 2 2 2 3 4" xfId="4944" xr:uid="{00000000-0005-0000-0000-000022170000}"/>
    <cellStyle name="20% - Accent4 5 2 2 2 3 5" xfId="4945" xr:uid="{00000000-0005-0000-0000-000023170000}"/>
    <cellStyle name="20% - Accent4 5 2 2 2 3 6" xfId="37405" xr:uid="{00000000-0005-0000-0000-000024170000}"/>
    <cellStyle name="20% - Accent4 5 2 2 2 4" xfId="4946" xr:uid="{00000000-0005-0000-0000-000025170000}"/>
    <cellStyle name="20% - Accent4 5 2 2 2 4 2" xfId="4947" xr:uid="{00000000-0005-0000-0000-000026170000}"/>
    <cellStyle name="20% - Accent4 5 2 2 2 4 2 2" xfId="4948" xr:uid="{00000000-0005-0000-0000-000027170000}"/>
    <cellStyle name="20% - Accent4 5 2 2 2 4 3" xfId="4949" xr:uid="{00000000-0005-0000-0000-000028170000}"/>
    <cellStyle name="20% - Accent4 5 2 2 2 4 4" xfId="4950" xr:uid="{00000000-0005-0000-0000-000029170000}"/>
    <cellStyle name="20% - Accent4 5 2 2 2 4 5" xfId="37407" xr:uid="{00000000-0005-0000-0000-00002A170000}"/>
    <cellStyle name="20% - Accent4 5 2 2 2 5" xfId="4951" xr:uid="{00000000-0005-0000-0000-00002B170000}"/>
    <cellStyle name="20% - Accent4 5 2 2 2 5 2" xfId="4952" xr:uid="{00000000-0005-0000-0000-00002C170000}"/>
    <cellStyle name="20% - Accent4 5 2 2 2 5 2 2" xfId="4953" xr:uid="{00000000-0005-0000-0000-00002D170000}"/>
    <cellStyle name="20% - Accent4 5 2 2 2 5 3" xfId="4954" xr:uid="{00000000-0005-0000-0000-00002E170000}"/>
    <cellStyle name="20% - Accent4 5 2 2 2 5 4" xfId="4955" xr:uid="{00000000-0005-0000-0000-00002F170000}"/>
    <cellStyle name="20% - Accent4 5 2 2 2 6" xfId="4956" xr:uid="{00000000-0005-0000-0000-000030170000}"/>
    <cellStyle name="20% - Accent4 5 2 2 2 6 2" xfId="4957" xr:uid="{00000000-0005-0000-0000-000031170000}"/>
    <cellStyle name="20% - Accent4 5 2 2 2 6 2 2" xfId="4958" xr:uid="{00000000-0005-0000-0000-000032170000}"/>
    <cellStyle name="20% - Accent4 5 2 2 2 6 3" xfId="4959" xr:uid="{00000000-0005-0000-0000-000033170000}"/>
    <cellStyle name="20% - Accent4 5 2 2 2 6 4" xfId="4960" xr:uid="{00000000-0005-0000-0000-000034170000}"/>
    <cellStyle name="20% - Accent4 5 2 2 2 7" xfId="4961" xr:uid="{00000000-0005-0000-0000-000035170000}"/>
    <cellStyle name="20% - Accent4 5 2 2 2 7 2" xfId="4962" xr:uid="{00000000-0005-0000-0000-000036170000}"/>
    <cellStyle name="20% - Accent4 5 2 2 2 8" xfId="4963" xr:uid="{00000000-0005-0000-0000-000037170000}"/>
    <cellStyle name="20% - Accent4 5 2 2 2 9" xfId="4964" xr:uid="{00000000-0005-0000-0000-000038170000}"/>
    <cellStyle name="20% - Accent4 5 2 2 3" xfId="4965" xr:uid="{00000000-0005-0000-0000-000039170000}"/>
    <cellStyle name="20% - Accent4 5 2 2 3 2" xfId="4966" xr:uid="{00000000-0005-0000-0000-00003A170000}"/>
    <cellStyle name="20% - Accent4 5 2 2 3 2 2" xfId="4967" xr:uid="{00000000-0005-0000-0000-00003B170000}"/>
    <cellStyle name="20% - Accent4 5 2 2 3 2 2 2" xfId="4968" xr:uid="{00000000-0005-0000-0000-00003C170000}"/>
    <cellStyle name="20% - Accent4 5 2 2 3 2 3" xfId="4969" xr:uid="{00000000-0005-0000-0000-00003D170000}"/>
    <cellStyle name="20% - Accent4 5 2 2 3 2 4" xfId="4970" xr:uid="{00000000-0005-0000-0000-00003E170000}"/>
    <cellStyle name="20% - Accent4 5 2 2 3 2 5" xfId="37409" xr:uid="{00000000-0005-0000-0000-00003F170000}"/>
    <cellStyle name="20% - Accent4 5 2 2 3 3" xfId="4971" xr:uid="{00000000-0005-0000-0000-000040170000}"/>
    <cellStyle name="20% - Accent4 5 2 2 3 3 2" xfId="4972" xr:uid="{00000000-0005-0000-0000-000041170000}"/>
    <cellStyle name="20% - Accent4 5 2 2 3 4" xfId="4973" xr:uid="{00000000-0005-0000-0000-000042170000}"/>
    <cellStyle name="20% - Accent4 5 2 2 3 5" xfId="4974" xr:uid="{00000000-0005-0000-0000-000043170000}"/>
    <cellStyle name="20% - Accent4 5 2 2 3 6" xfId="37408" xr:uid="{00000000-0005-0000-0000-000044170000}"/>
    <cellStyle name="20% - Accent4 5 2 2 4" xfId="4975" xr:uid="{00000000-0005-0000-0000-000045170000}"/>
    <cellStyle name="20% - Accent4 5 2 2 4 2" xfId="4976" xr:uid="{00000000-0005-0000-0000-000046170000}"/>
    <cellStyle name="20% - Accent4 5 2 2 4 2 2" xfId="4977" xr:uid="{00000000-0005-0000-0000-000047170000}"/>
    <cellStyle name="20% - Accent4 5 2 2 4 2 2 2" xfId="4978" xr:uid="{00000000-0005-0000-0000-000048170000}"/>
    <cellStyle name="20% - Accent4 5 2 2 4 2 3" xfId="4979" xr:uid="{00000000-0005-0000-0000-000049170000}"/>
    <cellStyle name="20% - Accent4 5 2 2 4 2 4" xfId="4980" xr:uid="{00000000-0005-0000-0000-00004A170000}"/>
    <cellStyle name="20% - Accent4 5 2 2 4 2 5" xfId="37411" xr:uid="{00000000-0005-0000-0000-00004B170000}"/>
    <cellStyle name="20% - Accent4 5 2 2 4 3" xfId="4981" xr:uid="{00000000-0005-0000-0000-00004C170000}"/>
    <cellStyle name="20% - Accent4 5 2 2 4 3 2" xfId="4982" xr:uid="{00000000-0005-0000-0000-00004D170000}"/>
    <cellStyle name="20% - Accent4 5 2 2 4 4" xfId="4983" xr:uid="{00000000-0005-0000-0000-00004E170000}"/>
    <cellStyle name="20% - Accent4 5 2 2 4 5" xfId="4984" xr:uid="{00000000-0005-0000-0000-00004F170000}"/>
    <cellStyle name="20% - Accent4 5 2 2 4 6" xfId="37410" xr:uid="{00000000-0005-0000-0000-000050170000}"/>
    <cellStyle name="20% - Accent4 5 2 2 5" xfId="4985" xr:uid="{00000000-0005-0000-0000-000051170000}"/>
    <cellStyle name="20% - Accent4 5 2 2 5 2" xfId="4986" xr:uid="{00000000-0005-0000-0000-000052170000}"/>
    <cellStyle name="20% - Accent4 5 2 2 5 2 2" xfId="4987" xr:uid="{00000000-0005-0000-0000-000053170000}"/>
    <cellStyle name="20% - Accent4 5 2 2 5 3" xfId="4988" xr:uid="{00000000-0005-0000-0000-000054170000}"/>
    <cellStyle name="20% - Accent4 5 2 2 5 4" xfId="4989" xr:uid="{00000000-0005-0000-0000-000055170000}"/>
    <cellStyle name="20% - Accent4 5 2 2 5 5" xfId="37412" xr:uid="{00000000-0005-0000-0000-000056170000}"/>
    <cellStyle name="20% - Accent4 5 2 2 6" xfId="4990" xr:uid="{00000000-0005-0000-0000-000057170000}"/>
    <cellStyle name="20% - Accent4 5 2 2 6 2" xfId="4991" xr:uid="{00000000-0005-0000-0000-000058170000}"/>
    <cellStyle name="20% - Accent4 5 2 2 6 2 2" xfId="4992" xr:uid="{00000000-0005-0000-0000-000059170000}"/>
    <cellStyle name="20% - Accent4 5 2 2 6 3" xfId="4993" xr:uid="{00000000-0005-0000-0000-00005A170000}"/>
    <cellStyle name="20% - Accent4 5 2 2 6 4" xfId="4994" xr:uid="{00000000-0005-0000-0000-00005B170000}"/>
    <cellStyle name="20% - Accent4 5 2 2 7" xfId="4995" xr:uid="{00000000-0005-0000-0000-00005C170000}"/>
    <cellStyle name="20% - Accent4 5 2 2 7 2" xfId="4996" xr:uid="{00000000-0005-0000-0000-00005D170000}"/>
    <cellStyle name="20% - Accent4 5 2 2 7 2 2" xfId="4997" xr:uid="{00000000-0005-0000-0000-00005E170000}"/>
    <cellStyle name="20% - Accent4 5 2 2 7 3" xfId="4998" xr:uid="{00000000-0005-0000-0000-00005F170000}"/>
    <cellStyle name="20% - Accent4 5 2 2 7 4" xfId="4999" xr:uid="{00000000-0005-0000-0000-000060170000}"/>
    <cellStyle name="20% - Accent4 5 2 2 8" xfId="5000" xr:uid="{00000000-0005-0000-0000-000061170000}"/>
    <cellStyle name="20% - Accent4 5 2 2 8 2" xfId="5001" xr:uid="{00000000-0005-0000-0000-000062170000}"/>
    <cellStyle name="20% - Accent4 5 2 2 9" xfId="5002" xr:uid="{00000000-0005-0000-0000-000063170000}"/>
    <cellStyle name="20% - Accent4 5 2 3" xfId="5003" xr:uid="{00000000-0005-0000-0000-000064170000}"/>
    <cellStyle name="20% - Accent4 5 2 3 10" xfId="34593" xr:uid="{00000000-0005-0000-0000-000065170000}"/>
    <cellStyle name="20% - Accent4 5 2 3 2" xfId="5004" xr:uid="{00000000-0005-0000-0000-000066170000}"/>
    <cellStyle name="20% - Accent4 5 2 3 2 2" xfId="5005" xr:uid="{00000000-0005-0000-0000-000067170000}"/>
    <cellStyle name="20% - Accent4 5 2 3 2 2 2" xfId="5006" xr:uid="{00000000-0005-0000-0000-000068170000}"/>
    <cellStyle name="20% - Accent4 5 2 3 2 2 2 2" xfId="5007" xr:uid="{00000000-0005-0000-0000-000069170000}"/>
    <cellStyle name="20% - Accent4 5 2 3 2 2 3" xfId="5008" xr:uid="{00000000-0005-0000-0000-00006A170000}"/>
    <cellStyle name="20% - Accent4 5 2 3 2 2 4" xfId="5009" xr:uid="{00000000-0005-0000-0000-00006B170000}"/>
    <cellStyle name="20% - Accent4 5 2 3 2 2 5" xfId="37414" xr:uid="{00000000-0005-0000-0000-00006C170000}"/>
    <cellStyle name="20% - Accent4 5 2 3 2 3" xfId="5010" xr:uid="{00000000-0005-0000-0000-00006D170000}"/>
    <cellStyle name="20% - Accent4 5 2 3 2 3 2" xfId="5011" xr:uid="{00000000-0005-0000-0000-00006E170000}"/>
    <cellStyle name="20% - Accent4 5 2 3 2 4" xfId="5012" xr:uid="{00000000-0005-0000-0000-00006F170000}"/>
    <cellStyle name="20% - Accent4 5 2 3 2 5" xfId="5013" xr:uid="{00000000-0005-0000-0000-000070170000}"/>
    <cellStyle name="20% - Accent4 5 2 3 2 6" xfId="37413" xr:uid="{00000000-0005-0000-0000-000071170000}"/>
    <cellStyle name="20% - Accent4 5 2 3 3" xfId="5014" xr:uid="{00000000-0005-0000-0000-000072170000}"/>
    <cellStyle name="20% - Accent4 5 2 3 3 2" xfId="5015" xr:uid="{00000000-0005-0000-0000-000073170000}"/>
    <cellStyle name="20% - Accent4 5 2 3 3 2 2" xfId="5016" xr:uid="{00000000-0005-0000-0000-000074170000}"/>
    <cellStyle name="20% - Accent4 5 2 3 3 2 2 2" xfId="5017" xr:uid="{00000000-0005-0000-0000-000075170000}"/>
    <cellStyle name="20% - Accent4 5 2 3 3 2 3" xfId="5018" xr:uid="{00000000-0005-0000-0000-000076170000}"/>
    <cellStyle name="20% - Accent4 5 2 3 3 2 4" xfId="5019" xr:uid="{00000000-0005-0000-0000-000077170000}"/>
    <cellStyle name="20% - Accent4 5 2 3 3 2 5" xfId="37416" xr:uid="{00000000-0005-0000-0000-000078170000}"/>
    <cellStyle name="20% - Accent4 5 2 3 3 3" xfId="5020" xr:uid="{00000000-0005-0000-0000-000079170000}"/>
    <cellStyle name="20% - Accent4 5 2 3 3 3 2" xfId="5021" xr:uid="{00000000-0005-0000-0000-00007A170000}"/>
    <cellStyle name="20% - Accent4 5 2 3 3 4" xfId="5022" xr:uid="{00000000-0005-0000-0000-00007B170000}"/>
    <cellStyle name="20% - Accent4 5 2 3 3 5" xfId="5023" xr:uid="{00000000-0005-0000-0000-00007C170000}"/>
    <cellStyle name="20% - Accent4 5 2 3 3 6" xfId="37415" xr:uid="{00000000-0005-0000-0000-00007D170000}"/>
    <cellStyle name="20% - Accent4 5 2 3 4" xfId="5024" xr:uid="{00000000-0005-0000-0000-00007E170000}"/>
    <cellStyle name="20% - Accent4 5 2 3 4 2" xfId="5025" xr:uid="{00000000-0005-0000-0000-00007F170000}"/>
    <cellStyle name="20% - Accent4 5 2 3 4 2 2" xfId="5026" xr:uid="{00000000-0005-0000-0000-000080170000}"/>
    <cellStyle name="20% - Accent4 5 2 3 4 3" xfId="5027" xr:uid="{00000000-0005-0000-0000-000081170000}"/>
    <cellStyle name="20% - Accent4 5 2 3 4 4" xfId="5028" xr:uid="{00000000-0005-0000-0000-000082170000}"/>
    <cellStyle name="20% - Accent4 5 2 3 4 5" xfId="37417" xr:uid="{00000000-0005-0000-0000-000083170000}"/>
    <cellStyle name="20% - Accent4 5 2 3 5" xfId="5029" xr:uid="{00000000-0005-0000-0000-000084170000}"/>
    <cellStyle name="20% - Accent4 5 2 3 5 2" xfId="5030" xr:uid="{00000000-0005-0000-0000-000085170000}"/>
    <cellStyle name="20% - Accent4 5 2 3 5 2 2" xfId="5031" xr:uid="{00000000-0005-0000-0000-000086170000}"/>
    <cellStyle name="20% - Accent4 5 2 3 5 3" xfId="5032" xr:uid="{00000000-0005-0000-0000-000087170000}"/>
    <cellStyle name="20% - Accent4 5 2 3 5 4" xfId="5033" xr:uid="{00000000-0005-0000-0000-000088170000}"/>
    <cellStyle name="20% - Accent4 5 2 3 6" xfId="5034" xr:uid="{00000000-0005-0000-0000-000089170000}"/>
    <cellStyle name="20% - Accent4 5 2 3 6 2" xfId="5035" xr:uid="{00000000-0005-0000-0000-00008A170000}"/>
    <cellStyle name="20% - Accent4 5 2 3 6 2 2" xfId="5036" xr:uid="{00000000-0005-0000-0000-00008B170000}"/>
    <cellStyle name="20% - Accent4 5 2 3 6 3" xfId="5037" xr:uid="{00000000-0005-0000-0000-00008C170000}"/>
    <cellStyle name="20% - Accent4 5 2 3 6 4" xfId="5038" xr:uid="{00000000-0005-0000-0000-00008D170000}"/>
    <cellStyle name="20% - Accent4 5 2 3 7" xfId="5039" xr:uid="{00000000-0005-0000-0000-00008E170000}"/>
    <cellStyle name="20% - Accent4 5 2 3 7 2" xfId="5040" xr:uid="{00000000-0005-0000-0000-00008F170000}"/>
    <cellStyle name="20% - Accent4 5 2 3 8" xfId="5041" xr:uid="{00000000-0005-0000-0000-000090170000}"/>
    <cellStyle name="20% - Accent4 5 2 3 9" xfId="5042" xr:uid="{00000000-0005-0000-0000-000091170000}"/>
    <cellStyle name="20% - Accent4 5 2 4" xfId="5043" xr:uid="{00000000-0005-0000-0000-000092170000}"/>
    <cellStyle name="20% - Accent4 5 2 4 2" xfId="5044" xr:uid="{00000000-0005-0000-0000-000093170000}"/>
    <cellStyle name="20% - Accent4 5 2 4 2 2" xfId="5045" xr:uid="{00000000-0005-0000-0000-000094170000}"/>
    <cellStyle name="20% - Accent4 5 2 4 2 2 2" xfId="5046" xr:uid="{00000000-0005-0000-0000-000095170000}"/>
    <cellStyle name="20% - Accent4 5 2 4 2 3" xfId="5047" xr:uid="{00000000-0005-0000-0000-000096170000}"/>
    <cellStyle name="20% - Accent4 5 2 4 2 4" xfId="5048" xr:uid="{00000000-0005-0000-0000-000097170000}"/>
    <cellStyle name="20% - Accent4 5 2 4 2 5" xfId="37419" xr:uid="{00000000-0005-0000-0000-000098170000}"/>
    <cellStyle name="20% - Accent4 5 2 4 3" xfId="5049" xr:uid="{00000000-0005-0000-0000-000099170000}"/>
    <cellStyle name="20% - Accent4 5 2 4 3 2" xfId="5050" xr:uid="{00000000-0005-0000-0000-00009A170000}"/>
    <cellStyle name="20% - Accent4 5 2 4 4" xfId="5051" xr:uid="{00000000-0005-0000-0000-00009B170000}"/>
    <cellStyle name="20% - Accent4 5 2 4 5" xfId="5052" xr:uid="{00000000-0005-0000-0000-00009C170000}"/>
    <cellStyle name="20% - Accent4 5 2 4 6" xfId="37418" xr:uid="{00000000-0005-0000-0000-00009D170000}"/>
    <cellStyle name="20% - Accent4 5 2 5" xfId="5053" xr:uid="{00000000-0005-0000-0000-00009E170000}"/>
    <cellStyle name="20% - Accent4 5 2 5 2" xfId="5054" xr:uid="{00000000-0005-0000-0000-00009F170000}"/>
    <cellStyle name="20% - Accent4 5 2 5 2 2" xfId="5055" xr:uid="{00000000-0005-0000-0000-0000A0170000}"/>
    <cellStyle name="20% - Accent4 5 2 5 2 2 2" xfId="5056" xr:uid="{00000000-0005-0000-0000-0000A1170000}"/>
    <cellStyle name="20% - Accent4 5 2 5 2 3" xfId="5057" xr:uid="{00000000-0005-0000-0000-0000A2170000}"/>
    <cellStyle name="20% - Accent4 5 2 5 2 4" xfId="5058" xr:uid="{00000000-0005-0000-0000-0000A3170000}"/>
    <cellStyle name="20% - Accent4 5 2 5 2 5" xfId="37421" xr:uid="{00000000-0005-0000-0000-0000A4170000}"/>
    <cellStyle name="20% - Accent4 5 2 5 3" xfId="5059" xr:uid="{00000000-0005-0000-0000-0000A5170000}"/>
    <cellStyle name="20% - Accent4 5 2 5 3 2" xfId="5060" xr:uid="{00000000-0005-0000-0000-0000A6170000}"/>
    <cellStyle name="20% - Accent4 5 2 5 4" xfId="5061" xr:uid="{00000000-0005-0000-0000-0000A7170000}"/>
    <cellStyle name="20% - Accent4 5 2 5 5" xfId="5062" xr:uid="{00000000-0005-0000-0000-0000A8170000}"/>
    <cellStyle name="20% - Accent4 5 2 5 6" xfId="37420" xr:uid="{00000000-0005-0000-0000-0000A9170000}"/>
    <cellStyle name="20% - Accent4 5 2 6" xfId="5063" xr:uid="{00000000-0005-0000-0000-0000AA170000}"/>
    <cellStyle name="20% - Accent4 5 2 6 2" xfId="5064" xr:uid="{00000000-0005-0000-0000-0000AB170000}"/>
    <cellStyle name="20% - Accent4 5 2 6 2 2" xfId="5065" xr:uid="{00000000-0005-0000-0000-0000AC170000}"/>
    <cellStyle name="20% - Accent4 5 2 6 3" xfId="5066" xr:uid="{00000000-0005-0000-0000-0000AD170000}"/>
    <cellStyle name="20% - Accent4 5 2 6 4" xfId="5067" xr:uid="{00000000-0005-0000-0000-0000AE170000}"/>
    <cellStyle name="20% - Accent4 5 2 6 5" xfId="37422" xr:uid="{00000000-0005-0000-0000-0000AF170000}"/>
    <cellStyle name="20% - Accent4 5 2 7" xfId="5068" xr:uid="{00000000-0005-0000-0000-0000B0170000}"/>
    <cellStyle name="20% - Accent4 5 2 7 2" xfId="5069" xr:uid="{00000000-0005-0000-0000-0000B1170000}"/>
    <cellStyle name="20% - Accent4 5 2 7 2 2" xfId="5070" xr:uid="{00000000-0005-0000-0000-0000B2170000}"/>
    <cellStyle name="20% - Accent4 5 2 7 3" xfId="5071" xr:uid="{00000000-0005-0000-0000-0000B3170000}"/>
    <cellStyle name="20% - Accent4 5 2 7 4" xfId="5072" xr:uid="{00000000-0005-0000-0000-0000B4170000}"/>
    <cellStyle name="20% - Accent4 5 2 8" xfId="5073" xr:uid="{00000000-0005-0000-0000-0000B5170000}"/>
    <cellStyle name="20% - Accent4 5 2 8 2" xfId="5074" xr:uid="{00000000-0005-0000-0000-0000B6170000}"/>
    <cellStyle name="20% - Accent4 5 2 8 2 2" xfId="5075" xr:uid="{00000000-0005-0000-0000-0000B7170000}"/>
    <cellStyle name="20% - Accent4 5 2 8 3" xfId="5076" xr:uid="{00000000-0005-0000-0000-0000B8170000}"/>
    <cellStyle name="20% - Accent4 5 2 8 4" xfId="5077" xr:uid="{00000000-0005-0000-0000-0000B9170000}"/>
    <cellStyle name="20% - Accent4 5 2 9" xfId="5078" xr:uid="{00000000-0005-0000-0000-0000BA170000}"/>
    <cellStyle name="20% - Accent4 5 2 9 2" xfId="5079" xr:uid="{00000000-0005-0000-0000-0000BB170000}"/>
    <cellStyle name="20% - Accent4 5 3" xfId="5080" xr:uid="{00000000-0005-0000-0000-0000BC170000}"/>
    <cellStyle name="20% - Accent4 5 3 10" xfId="5081" xr:uid="{00000000-0005-0000-0000-0000BD170000}"/>
    <cellStyle name="20% - Accent4 5 3 11" xfId="34594" xr:uid="{00000000-0005-0000-0000-0000BE170000}"/>
    <cellStyle name="20% - Accent4 5 3 2" xfId="5082" xr:uid="{00000000-0005-0000-0000-0000BF170000}"/>
    <cellStyle name="20% - Accent4 5 3 2 10" xfId="34595" xr:uid="{00000000-0005-0000-0000-0000C0170000}"/>
    <cellStyle name="20% - Accent4 5 3 2 2" xfId="5083" xr:uid="{00000000-0005-0000-0000-0000C1170000}"/>
    <cellStyle name="20% - Accent4 5 3 2 2 2" xfId="5084" xr:uid="{00000000-0005-0000-0000-0000C2170000}"/>
    <cellStyle name="20% - Accent4 5 3 2 2 2 2" xfId="5085" xr:uid="{00000000-0005-0000-0000-0000C3170000}"/>
    <cellStyle name="20% - Accent4 5 3 2 2 2 2 2" xfId="5086" xr:uid="{00000000-0005-0000-0000-0000C4170000}"/>
    <cellStyle name="20% - Accent4 5 3 2 2 2 3" xfId="5087" xr:uid="{00000000-0005-0000-0000-0000C5170000}"/>
    <cellStyle name="20% - Accent4 5 3 2 2 2 4" xfId="5088" xr:uid="{00000000-0005-0000-0000-0000C6170000}"/>
    <cellStyle name="20% - Accent4 5 3 2 2 2 5" xfId="37424" xr:uid="{00000000-0005-0000-0000-0000C7170000}"/>
    <cellStyle name="20% - Accent4 5 3 2 2 3" xfId="5089" xr:uid="{00000000-0005-0000-0000-0000C8170000}"/>
    <cellStyle name="20% - Accent4 5 3 2 2 3 2" xfId="5090" xr:uid="{00000000-0005-0000-0000-0000C9170000}"/>
    <cellStyle name="20% - Accent4 5 3 2 2 4" xfId="5091" xr:uid="{00000000-0005-0000-0000-0000CA170000}"/>
    <cellStyle name="20% - Accent4 5 3 2 2 5" xfId="5092" xr:uid="{00000000-0005-0000-0000-0000CB170000}"/>
    <cellStyle name="20% - Accent4 5 3 2 2 6" xfId="37423" xr:uid="{00000000-0005-0000-0000-0000CC170000}"/>
    <cellStyle name="20% - Accent4 5 3 2 3" xfId="5093" xr:uid="{00000000-0005-0000-0000-0000CD170000}"/>
    <cellStyle name="20% - Accent4 5 3 2 3 2" xfId="5094" xr:uid="{00000000-0005-0000-0000-0000CE170000}"/>
    <cellStyle name="20% - Accent4 5 3 2 3 2 2" xfId="5095" xr:uid="{00000000-0005-0000-0000-0000CF170000}"/>
    <cellStyle name="20% - Accent4 5 3 2 3 2 2 2" xfId="5096" xr:uid="{00000000-0005-0000-0000-0000D0170000}"/>
    <cellStyle name="20% - Accent4 5 3 2 3 2 3" xfId="5097" xr:uid="{00000000-0005-0000-0000-0000D1170000}"/>
    <cellStyle name="20% - Accent4 5 3 2 3 2 4" xfId="5098" xr:uid="{00000000-0005-0000-0000-0000D2170000}"/>
    <cellStyle name="20% - Accent4 5 3 2 3 2 5" xfId="37426" xr:uid="{00000000-0005-0000-0000-0000D3170000}"/>
    <cellStyle name="20% - Accent4 5 3 2 3 3" xfId="5099" xr:uid="{00000000-0005-0000-0000-0000D4170000}"/>
    <cellStyle name="20% - Accent4 5 3 2 3 3 2" xfId="5100" xr:uid="{00000000-0005-0000-0000-0000D5170000}"/>
    <cellStyle name="20% - Accent4 5 3 2 3 4" xfId="5101" xr:uid="{00000000-0005-0000-0000-0000D6170000}"/>
    <cellStyle name="20% - Accent4 5 3 2 3 5" xfId="5102" xr:uid="{00000000-0005-0000-0000-0000D7170000}"/>
    <cellStyle name="20% - Accent4 5 3 2 3 6" xfId="37425" xr:uid="{00000000-0005-0000-0000-0000D8170000}"/>
    <cellStyle name="20% - Accent4 5 3 2 4" xfId="5103" xr:uid="{00000000-0005-0000-0000-0000D9170000}"/>
    <cellStyle name="20% - Accent4 5 3 2 4 2" xfId="5104" xr:uid="{00000000-0005-0000-0000-0000DA170000}"/>
    <cellStyle name="20% - Accent4 5 3 2 4 2 2" xfId="5105" xr:uid="{00000000-0005-0000-0000-0000DB170000}"/>
    <cellStyle name="20% - Accent4 5 3 2 4 3" xfId="5106" xr:uid="{00000000-0005-0000-0000-0000DC170000}"/>
    <cellStyle name="20% - Accent4 5 3 2 4 4" xfId="5107" xr:uid="{00000000-0005-0000-0000-0000DD170000}"/>
    <cellStyle name="20% - Accent4 5 3 2 4 5" xfId="37427" xr:uid="{00000000-0005-0000-0000-0000DE170000}"/>
    <cellStyle name="20% - Accent4 5 3 2 5" xfId="5108" xr:uid="{00000000-0005-0000-0000-0000DF170000}"/>
    <cellStyle name="20% - Accent4 5 3 2 5 2" xfId="5109" xr:uid="{00000000-0005-0000-0000-0000E0170000}"/>
    <cellStyle name="20% - Accent4 5 3 2 5 2 2" xfId="5110" xr:uid="{00000000-0005-0000-0000-0000E1170000}"/>
    <cellStyle name="20% - Accent4 5 3 2 5 3" xfId="5111" xr:uid="{00000000-0005-0000-0000-0000E2170000}"/>
    <cellStyle name="20% - Accent4 5 3 2 5 4" xfId="5112" xr:uid="{00000000-0005-0000-0000-0000E3170000}"/>
    <cellStyle name="20% - Accent4 5 3 2 6" xfId="5113" xr:uid="{00000000-0005-0000-0000-0000E4170000}"/>
    <cellStyle name="20% - Accent4 5 3 2 6 2" xfId="5114" xr:uid="{00000000-0005-0000-0000-0000E5170000}"/>
    <cellStyle name="20% - Accent4 5 3 2 6 2 2" xfId="5115" xr:uid="{00000000-0005-0000-0000-0000E6170000}"/>
    <cellStyle name="20% - Accent4 5 3 2 6 3" xfId="5116" xr:uid="{00000000-0005-0000-0000-0000E7170000}"/>
    <cellStyle name="20% - Accent4 5 3 2 6 4" xfId="5117" xr:uid="{00000000-0005-0000-0000-0000E8170000}"/>
    <cellStyle name="20% - Accent4 5 3 2 7" xfId="5118" xr:uid="{00000000-0005-0000-0000-0000E9170000}"/>
    <cellStyle name="20% - Accent4 5 3 2 7 2" xfId="5119" xr:uid="{00000000-0005-0000-0000-0000EA170000}"/>
    <cellStyle name="20% - Accent4 5 3 2 8" xfId="5120" xr:uid="{00000000-0005-0000-0000-0000EB170000}"/>
    <cellStyle name="20% - Accent4 5 3 2 9" xfId="5121" xr:uid="{00000000-0005-0000-0000-0000EC170000}"/>
    <cellStyle name="20% - Accent4 5 3 3" xfId="5122" xr:uid="{00000000-0005-0000-0000-0000ED170000}"/>
    <cellStyle name="20% - Accent4 5 3 3 2" xfId="5123" xr:uid="{00000000-0005-0000-0000-0000EE170000}"/>
    <cellStyle name="20% - Accent4 5 3 3 2 2" xfId="5124" xr:uid="{00000000-0005-0000-0000-0000EF170000}"/>
    <cellStyle name="20% - Accent4 5 3 3 2 2 2" xfId="5125" xr:uid="{00000000-0005-0000-0000-0000F0170000}"/>
    <cellStyle name="20% - Accent4 5 3 3 2 3" xfId="5126" xr:uid="{00000000-0005-0000-0000-0000F1170000}"/>
    <cellStyle name="20% - Accent4 5 3 3 2 4" xfId="5127" xr:uid="{00000000-0005-0000-0000-0000F2170000}"/>
    <cellStyle name="20% - Accent4 5 3 3 2 5" xfId="37429" xr:uid="{00000000-0005-0000-0000-0000F3170000}"/>
    <cellStyle name="20% - Accent4 5 3 3 3" xfId="5128" xr:uid="{00000000-0005-0000-0000-0000F4170000}"/>
    <cellStyle name="20% - Accent4 5 3 3 3 2" xfId="5129" xr:uid="{00000000-0005-0000-0000-0000F5170000}"/>
    <cellStyle name="20% - Accent4 5 3 3 4" xfId="5130" xr:uid="{00000000-0005-0000-0000-0000F6170000}"/>
    <cellStyle name="20% - Accent4 5 3 3 5" xfId="5131" xr:uid="{00000000-0005-0000-0000-0000F7170000}"/>
    <cellStyle name="20% - Accent4 5 3 3 6" xfId="37428" xr:uid="{00000000-0005-0000-0000-0000F8170000}"/>
    <cellStyle name="20% - Accent4 5 3 4" xfId="5132" xr:uid="{00000000-0005-0000-0000-0000F9170000}"/>
    <cellStyle name="20% - Accent4 5 3 4 2" xfId="5133" xr:uid="{00000000-0005-0000-0000-0000FA170000}"/>
    <cellStyle name="20% - Accent4 5 3 4 2 2" xfId="5134" xr:uid="{00000000-0005-0000-0000-0000FB170000}"/>
    <cellStyle name="20% - Accent4 5 3 4 2 2 2" xfId="5135" xr:uid="{00000000-0005-0000-0000-0000FC170000}"/>
    <cellStyle name="20% - Accent4 5 3 4 2 3" xfId="5136" xr:uid="{00000000-0005-0000-0000-0000FD170000}"/>
    <cellStyle name="20% - Accent4 5 3 4 2 4" xfId="5137" xr:uid="{00000000-0005-0000-0000-0000FE170000}"/>
    <cellStyle name="20% - Accent4 5 3 4 2 5" xfId="37431" xr:uid="{00000000-0005-0000-0000-0000FF170000}"/>
    <cellStyle name="20% - Accent4 5 3 4 3" xfId="5138" xr:uid="{00000000-0005-0000-0000-000000180000}"/>
    <cellStyle name="20% - Accent4 5 3 4 3 2" xfId="5139" xr:uid="{00000000-0005-0000-0000-000001180000}"/>
    <cellStyle name="20% - Accent4 5 3 4 4" xfId="5140" xr:uid="{00000000-0005-0000-0000-000002180000}"/>
    <cellStyle name="20% - Accent4 5 3 4 5" xfId="5141" xr:uid="{00000000-0005-0000-0000-000003180000}"/>
    <cellStyle name="20% - Accent4 5 3 4 6" xfId="37430" xr:uid="{00000000-0005-0000-0000-000004180000}"/>
    <cellStyle name="20% - Accent4 5 3 5" xfId="5142" xr:uid="{00000000-0005-0000-0000-000005180000}"/>
    <cellStyle name="20% - Accent4 5 3 5 2" xfId="5143" xr:uid="{00000000-0005-0000-0000-000006180000}"/>
    <cellStyle name="20% - Accent4 5 3 5 2 2" xfId="5144" xr:uid="{00000000-0005-0000-0000-000007180000}"/>
    <cellStyle name="20% - Accent4 5 3 5 3" xfId="5145" xr:uid="{00000000-0005-0000-0000-000008180000}"/>
    <cellStyle name="20% - Accent4 5 3 5 4" xfId="5146" xr:uid="{00000000-0005-0000-0000-000009180000}"/>
    <cellStyle name="20% - Accent4 5 3 5 5" xfId="37432" xr:uid="{00000000-0005-0000-0000-00000A180000}"/>
    <cellStyle name="20% - Accent4 5 3 6" xfId="5147" xr:uid="{00000000-0005-0000-0000-00000B180000}"/>
    <cellStyle name="20% - Accent4 5 3 6 2" xfId="5148" xr:uid="{00000000-0005-0000-0000-00000C180000}"/>
    <cellStyle name="20% - Accent4 5 3 6 2 2" xfId="5149" xr:uid="{00000000-0005-0000-0000-00000D180000}"/>
    <cellStyle name="20% - Accent4 5 3 6 3" xfId="5150" xr:uid="{00000000-0005-0000-0000-00000E180000}"/>
    <cellStyle name="20% - Accent4 5 3 6 4" xfId="5151" xr:uid="{00000000-0005-0000-0000-00000F180000}"/>
    <cellStyle name="20% - Accent4 5 3 7" xfId="5152" xr:uid="{00000000-0005-0000-0000-000010180000}"/>
    <cellStyle name="20% - Accent4 5 3 7 2" xfId="5153" xr:uid="{00000000-0005-0000-0000-000011180000}"/>
    <cellStyle name="20% - Accent4 5 3 7 2 2" xfId="5154" xr:uid="{00000000-0005-0000-0000-000012180000}"/>
    <cellStyle name="20% - Accent4 5 3 7 3" xfId="5155" xr:uid="{00000000-0005-0000-0000-000013180000}"/>
    <cellStyle name="20% - Accent4 5 3 7 4" xfId="5156" xr:uid="{00000000-0005-0000-0000-000014180000}"/>
    <cellStyle name="20% - Accent4 5 3 8" xfId="5157" xr:uid="{00000000-0005-0000-0000-000015180000}"/>
    <cellStyle name="20% - Accent4 5 3 8 2" xfId="5158" xr:uid="{00000000-0005-0000-0000-000016180000}"/>
    <cellStyle name="20% - Accent4 5 3 9" xfId="5159" xr:uid="{00000000-0005-0000-0000-000017180000}"/>
    <cellStyle name="20% - Accent4 5 4" xfId="5160" xr:uid="{00000000-0005-0000-0000-000018180000}"/>
    <cellStyle name="20% - Accent4 5 4 10" xfId="34596" xr:uid="{00000000-0005-0000-0000-000019180000}"/>
    <cellStyle name="20% - Accent4 5 4 2" xfId="5161" xr:uid="{00000000-0005-0000-0000-00001A180000}"/>
    <cellStyle name="20% - Accent4 5 4 2 2" xfId="5162" xr:uid="{00000000-0005-0000-0000-00001B180000}"/>
    <cellStyle name="20% - Accent4 5 4 2 2 2" xfId="5163" xr:uid="{00000000-0005-0000-0000-00001C180000}"/>
    <cellStyle name="20% - Accent4 5 4 2 2 2 2" xfId="5164" xr:uid="{00000000-0005-0000-0000-00001D180000}"/>
    <cellStyle name="20% - Accent4 5 4 2 2 3" xfId="5165" xr:uid="{00000000-0005-0000-0000-00001E180000}"/>
    <cellStyle name="20% - Accent4 5 4 2 2 4" xfId="5166" xr:uid="{00000000-0005-0000-0000-00001F180000}"/>
    <cellStyle name="20% - Accent4 5 4 2 2 5" xfId="37434" xr:uid="{00000000-0005-0000-0000-000020180000}"/>
    <cellStyle name="20% - Accent4 5 4 2 3" xfId="5167" xr:uid="{00000000-0005-0000-0000-000021180000}"/>
    <cellStyle name="20% - Accent4 5 4 2 3 2" xfId="5168" xr:uid="{00000000-0005-0000-0000-000022180000}"/>
    <cellStyle name="20% - Accent4 5 4 2 4" xfId="5169" xr:uid="{00000000-0005-0000-0000-000023180000}"/>
    <cellStyle name="20% - Accent4 5 4 2 5" xfId="5170" xr:uid="{00000000-0005-0000-0000-000024180000}"/>
    <cellStyle name="20% - Accent4 5 4 2 6" xfId="37433" xr:uid="{00000000-0005-0000-0000-000025180000}"/>
    <cellStyle name="20% - Accent4 5 4 3" xfId="5171" xr:uid="{00000000-0005-0000-0000-000026180000}"/>
    <cellStyle name="20% - Accent4 5 4 3 2" xfId="5172" xr:uid="{00000000-0005-0000-0000-000027180000}"/>
    <cellStyle name="20% - Accent4 5 4 3 2 2" xfId="5173" xr:uid="{00000000-0005-0000-0000-000028180000}"/>
    <cellStyle name="20% - Accent4 5 4 3 2 2 2" xfId="5174" xr:uid="{00000000-0005-0000-0000-000029180000}"/>
    <cellStyle name="20% - Accent4 5 4 3 2 3" xfId="5175" xr:uid="{00000000-0005-0000-0000-00002A180000}"/>
    <cellStyle name="20% - Accent4 5 4 3 2 4" xfId="5176" xr:uid="{00000000-0005-0000-0000-00002B180000}"/>
    <cellStyle name="20% - Accent4 5 4 3 2 5" xfId="37436" xr:uid="{00000000-0005-0000-0000-00002C180000}"/>
    <cellStyle name="20% - Accent4 5 4 3 3" xfId="5177" xr:uid="{00000000-0005-0000-0000-00002D180000}"/>
    <cellStyle name="20% - Accent4 5 4 3 3 2" xfId="5178" xr:uid="{00000000-0005-0000-0000-00002E180000}"/>
    <cellStyle name="20% - Accent4 5 4 3 4" xfId="5179" xr:uid="{00000000-0005-0000-0000-00002F180000}"/>
    <cellStyle name="20% - Accent4 5 4 3 5" xfId="5180" xr:uid="{00000000-0005-0000-0000-000030180000}"/>
    <cellStyle name="20% - Accent4 5 4 3 6" xfId="37435" xr:uid="{00000000-0005-0000-0000-000031180000}"/>
    <cellStyle name="20% - Accent4 5 4 4" xfId="5181" xr:uid="{00000000-0005-0000-0000-000032180000}"/>
    <cellStyle name="20% - Accent4 5 4 4 2" xfId="5182" xr:uid="{00000000-0005-0000-0000-000033180000}"/>
    <cellStyle name="20% - Accent4 5 4 4 2 2" xfId="5183" xr:uid="{00000000-0005-0000-0000-000034180000}"/>
    <cellStyle name="20% - Accent4 5 4 4 3" xfId="5184" xr:uid="{00000000-0005-0000-0000-000035180000}"/>
    <cellStyle name="20% - Accent4 5 4 4 4" xfId="5185" xr:uid="{00000000-0005-0000-0000-000036180000}"/>
    <cellStyle name="20% - Accent4 5 4 4 5" xfId="37437" xr:uid="{00000000-0005-0000-0000-000037180000}"/>
    <cellStyle name="20% - Accent4 5 4 5" xfId="5186" xr:uid="{00000000-0005-0000-0000-000038180000}"/>
    <cellStyle name="20% - Accent4 5 4 5 2" xfId="5187" xr:uid="{00000000-0005-0000-0000-000039180000}"/>
    <cellStyle name="20% - Accent4 5 4 5 2 2" xfId="5188" xr:uid="{00000000-0005-0000-0000-00003A180000}"/>
    <cellStyle name="20% - Accent4 5 4 5 3" xfId="5189" xr:uid="{00000000-0005-0000-0000-00003B180000}"/>
    <cellStyle name="20% - Accent4 5 4 5 4" xfId="5190" xr:uid="{00000000-0005-0000-0000-00003C180000}"/>
    <cellStyle name="20% - Accent4 5 4 6" xfId="5191" xr:uid="{00000000-0005-0000-0000-00003D180000}"/>
    <cellStyle name="20% - Accent4 5 4 6 2" xfId="5192" xr:uid="{00000000-0005-0000-0000-00003E180000}"/>
    <cellStyle name="20% - Accent4 5 4 6 2 2" xfId="5193" xr:uid="{00000000-0005-0000-0000-00003F180000}"/>
    <cellStyle name="20% - Accent4 5 4 6 3" xfId="5194" xr:uid="{00000000-0005-0000-0000-000040180000}"/>
    <cellStyle name="20% - Accent4 5 4 6 4" xfId="5195" xr:uid="{00000000-0005-0000-0000-000041180000}"/>
    <cellStyle name="20% - Accent4 5 4 7" xfId="5196" xr:uid="{00000000-0005-0000-0000-000042180000}"/>
    <cellStyle name="20% - Accent4 5 4 7 2" xfId="5197" xr:uid="{00000000-0005-0000-0000-000043180000}"/>
    <cellStyle name="20% - Accent4 5 4 8" xfId="5198" xr:uid="{00000000-0005-0000-0000-000044180000}"/>
    <cellStyle name="20% - Accent4 5 4 9" xfId="5199" xr:uid="{00000000-0005-0000-0000-000045180000}"/>
    <cellStyle name="20% - Accent4 5 5" xfId="5200" xr:uid="{00000000-0005-0000-0000-000046180000}"/>
    <cellStyle name="20% - Accent4 5 5 2" xfId="5201" xr:uid="{00000000-0005-0000-0000-000047180000}"/>
    <cellStyle name="20% - Accent4 5 5 2 2" xfId="5202" xr:uid="{00000000-0005-0000-0000-000048180000}"/>
    <cellStyle name="20% - Accent4 5 5 2 2 2" xfId="5203" xr:uid="{00000000-0005-0000-0000-000049180000}"/>
    <cellStyle name="20% - Accent4 5 5 2 2 2 2" xfId="5204" xr:uid="{00000000-0005-0000-0000-00004A180000}"/>
    <cellStyle name="20% - Accent4 5 5 2 2 3" xfId="5205" xr:uid="{00000000-0005-0000-0000-00004B180000}"/>
    <cellStyle name="20% - Accent4 5 5 2 2 4" xfId="5206" xr:uid="{00000000-0005-0000-0000-00004C180000}"/>
    <cellStyle name="20% - Accent4 5 5 2 2 5" xfId="37440" xr:uid="{00000000-0005-0000-0000-00004D180000}"/>
    <cellStyle name="20% - Accent4 5 5 2 3" xfId="5207" xr:uid="{00000000-0005-0000-0000-00004E180000}"/>
    <cellStyle name="20% - Accent4 5 5 2 3 2" xfId="5208" xr:uid="{00000000-0005-0000-0000-00004F180000}"/>
    <cellStyle name="20% - Accent4 5 5 2 4" xfId="5209" xr:uid="{00000000-0005-0000-0000-000050180000}"/>
    <cellStyle name="20% - Accent4 5 5 2 5" xfId="5210" xr:uid="{00000000-0005-0000-0000-000051180000}"/>
    <cellStyle name="20% - Accent4 5 5 2 6" xfId="37439" xr:uid="{00000000-0005-0000-0000-000052180000}"/>
    <cellStyle name="20% - Accent4 5 5 3" xfId="5211" xr:uid="{00000000-0005-0000-0000-000053180000}"/>
    <cellStyle name="20% - Accent4 5 5 3 2" xfId="5212" xr:uid="{00000000-0005-0000-0000-000054180000}"/>
    <cellStyle name="20% - Accent4 5 5 3 2 2" xfId="5213" xr:uid="{00000000-0005-0000-0000-000055180000}"/>
    <cellStyle name="20% - Accent4 5 5 3 3" xfId="5214" xr:uid="{00000000-0005-0000-0000-000056180000}"/>
    <cellStyle name="20% - Accent4 5 5 3 4" xfId="5215" xr:uid="{00000000-0005-0000-0000-000057180000}"/>
    <cellStyle name="20% - Accent4 5 5 3 5" xfId="37441" xr:uid="{00000000-0005-0000-0000-000058180000}"/>
    <cellStyle name="20% - Accent4 5 5 4" xfId="5216" xr:uid="{00000000-0005-0000-0000-000059180000}"/>
    <cellStyle name="20% - Accent4 5 5 4 2" xfId="5217" xr:uid="{00000000-0005-0000-0000-00005A180000}"/>
    <cellStyle name="20% - Accent4 5 5 4 2 2" xfId="5218" xr:uid="{00000000-0005-0000-0000-00005B180000}"/>
    <cellStyle name="20% - Accent4 5 5 4 3" xfId="5219" xr:uid="{00000000-0005-0000-0000-00005C180000}"/>
    <cellStyle name="20% - Accent4 5 5 4 4" xfId="5220" xr:uid="{00000000-0005-0000-0000-00005D180000}"/>
    <cellStyle name="20% - Accent4 5 5 4 5" xfId="37442" xr:uid="{00000000-0005-0000-0000-00005E180000}"/>
    <cellStyle name="20% - Accent4 5 5 5" xfId="5221" xr:uid="{00000000-0005-0000-0000-00005F180000}"/>
    <cellStyle name="20% - Accent4 5 5 5 2" xfId="5222" xr:uid="{00000000-0005-0000-0000-000060180000}"/>
    <cellStyle name="20% - Accent4 5 5 6" xfId="5223" xr:uid="{00000000-0005-0000-0000-000061180000}"/>
    <cellStyle name="20% - Accent4 5 5 7" xfId="5224" xr:uid="{00000000-0005-0000-0000-000062180000}"/>
    <cellStyle name="20% - Accent4 5 5 8" xfId="37438" xr:uid="{00000000-0005-0000-0000-000063180000}"/>
    <cellStyle name="20% - Accent4 5 6" xfId="5225" xr:uid="{00000000-0005-0000-0000-000064180000}"/>
    <cellStyle name="20% - Accent4 5 6 2" xfId="5226" xr:uid="{00000000-0005-0000-0000-000065180000}"/>
    <cellStyle name="20% - Accent4 5 6 2 2" xfId="5227" xr:uid="{00000000-0005-0000-0000-000066180000}"/>
    <cellStyle name="20% - Accent4 5 6 2 2 2" xfId="5228" xr:uid="{00000000-0005-0000-0000-000067180000}"/>
    <cellStyle name="20% - Accent4 5 6 2 3" xfId="5229" xr:uid="{00000000-0005-0000-0000-000068180000}"/>
    <cellStyle name="20% - Accent4 5 6 2 4" xfId="5230" xr:uid="{00000000-0005-0000-0000-000069180000}"/>
    <cellStyle name="20% - Accent4 5 6 2 5" xfId="37444" xr:uid="{00000000-0005-0000-0000-00006A180000}"/>
    <cellStyle name="20% - Accent4 5 6 3" xfId="5231" xr:uid="{00000000-0005-0000-0000-00006B180000}"/>
    <cellStyle name="20% - Accent4 5 6 3 2" xfId="5232" xr:uid="{00000000-0005-0000-0000-00006C180000}"/>
    <cellStyle name="20% - Accent4 5 6 4" xfId="5233" xr:uid="{00000000-0005-0000-0000-00006D180000}"/>
    <cellStyle name="20% - Accent4 5 6 5" xfId="5234" xr:uid="{00000000-0005-0000-0000-00006E180000}"/>
    <cellStyle name="20% - Accent4 5 6 6" xfId="37443" xr:uid="{00000000-0005-0000-0000-00006F180000}"/>
    <cellStyle name="20% - Accent4 5 7" xfId="5235" xr:uid="{00000000-0005-0000-0000-000070180000}"/>
    <cellStyle name="20% - Accent4 5 7 2" xfId="5236" xr:uid="{00000000-0005-0000-0000-000071180000}"/>
    <cellStyle name="20% - Accent4 5 7 2 2" xfId="5237" xr:uid="{00000000-0005-0000-0000-000072180000}"/>
    <cellStyle name="20% - Accent4 5 7 3" xfId="5238" xr:uid="{00000000-0005-0000-0000-000073180000}"/>
    <cellStyle name="20% - Accent4 5 7 4" xfId="5239" xr:uid="{00000000-0005-0000-0000-000074180000}"/>
    <cellStyle name="20% - Accent4 5 8" xfId="5240" xr:uid="{00000000-0005-0000-0000-000075180000}"/>
    <cellStyle name="20% - Accent4 5 8 2" xfId="5241" xr:uid="{00000000-0005-0000-0000-000076180000}"/>
    <cellStyle name="20% - Accent4 5 8 2 2" xfId="5242" xr:uid="{00000000-0005-0000-0000-000077180000}"/>
    <cellStyle name="20% - Accent4 5 8 3" xfId="5243" xr:uid="{00000000-0005-0000-0000-000078180000}"/>
    <cellStyle name="20% - Accent4 5 8 4" xfId="5244" xr:uid="{00000000-0005-0000-0000-000079180000}"/>
    <cellStyle name="20% - Accent4 5 9" xfId="34589" xr:uid="{00000000-0005-0000-0000-00007A180000}"/>
    <cellStyle name="20% - Accent4 6" xfId="5245" xr:uid="{00000000-0005-0000-0000-00007B180000}"/>
    <cellStyle name="20% - Accent4 7" xfId="5246" xr:uid="{00000000-0005-0000-0000-00007C180000}"/>
    <cellStyle name="20% - Accent4 8" xfId="5247" xr:uid="{00000000-0005-0000-0000-00007D180000}"/>
    <cellStyle name="20% - Accent4 9" xfId="5248" xr:uid="{00000000-0005-0000-0000-00007E180000}"/>
    <cellStyle name="20% - Accent4 9 2" xfId="5249" xr:uid="{00000000-0005-0000-0000-00007F180000}"/>
    <cellStyle name="20% - Accent4 9 2 2" xfId="5250" xr:uid="{00000000-0005-0000-0000-000080180000}"/>
    <cellStyle name="20% - Accent4 9 3" xfId="5251" xr:uid="{00000000-0005-0000-0000-000081180000}"/>
    <cellStyle name="20% - Accent4 9 4" xfId="5252" xr:uid="{00000000-0005-0000-0000-000082180000}"/>
    <cellStyle name="20% - Accent4 9 5" xfId="37445" xr:uid="{00000000-0005-0000-0000-000083180000}"/>
    <cellStyle name="20% - Accent5 2" xfId="5253" xr:uid="{00000000-0005-0000-0000-000084180000}"/>
    <cellStyle name="20% - Accent5 2 10" xfId="5254" xr:uid="{00000000-0005-0000-0000-000085180000}"/>
    <cellStyle name="20% - Accent5 2 11" xfId="5255" xr:uid="{00000000-0005-0000-0000-000086180000}"/>
    <cellStyle name="20% - Accent5 2 12" xfId="41858" xr:uid="{1638C69D-D98F-4B83-945D-E59CFFD7F1CC}"/>
    <cellStyle name="20% - Accent5 2 2" xfId="5256" xr:uid="{00000000-0005-0000-0000-000087180000}"/>
    <cellStyle name="20% - Accent5 2 2 2" xfId="14" xr:uid="{00000000-0005-0000-0000-000088180000}"/>
    <cellStyle name="20% - Accent5 2 3" xfId="5257" xr:uid="{00000000-0005-0000-0000-000089180000}"/>
    <cellStyle name="20% - Accent5 2 3 10" xfId="5258" xr:uid="{00000000-0005-0000-0000-00008A180000}"/>
    <cellStyle name="20% - Accent5 2 3 11" xfId="5259" xr:uid="{00000000-0005-0000-0000-00008B180000}"/>
    <cellStyle name="20% - Accent5 2 3 12" xfId="34597" xr:uid="{00000000-0005-0000-0000-00008C180000}"/>
    <cellStyle name="20% - Accent5 2 3 2" xfId="5260" xr:uid="{00000000-0005-0000-0000-00008D180000}"/>
    <cellStyle name="20% - Accent5 2 3 2 10" xfId="5261" xr:uid="{00000000-0005-0000-0000-00008E180000}"/>
    <cellStyle name="20% - Accent5 2 3 2 11" xfId="34598" xr:uid="{00000000-0005-0000-0000-00008F180000}"/>
    <cellStyle name="20% - Accent5 2 3 2 2" xfId="5262" xr:uid="{00000000-0005-0000-0000-000090180000}"/>
    <cellStyle name="20% - Accent5 2 3 2 2 10" xfId="34599" xr:uid="{00000000-0005-0000-0000-000091180000}"/>
    <cellStyle name="20% - Accent5 2 3 2 2 2" xfId="5263" xr:uid="{00000000-0005-0000-0000-000092180000}"/>
    <cellStyle name="20% - Accent5 2 3 2 2 2 2" xfId="5264" xr:uid="{00000000-0005-0000-0000-000093180000}"/>
    <cellStyle name="20% - Accent5 2 3 2 2 2 2 2" xfId="5265" xr:uid="{00000000-0005-0000-0000-000094180000}"/>
    <cellStyle name="20% - Accent5 2 3 2 2 2 2 2 2" xfId="5266" xr:uid="{00000000-0005-0000-0000-000095180000}"/>
    <cellStyle name="20% - Accent5 2 3 2 2 2 2 3" xfId="5267" xr:uid="{00000000-0005-0000-0000-000096180000}"/>
    <cellStyle name="20% - Accent5 2 3 2 2 2 2 4" xfId="5268" xr:uid="{00000000-0005-0000-0000-000097180000}"/>
    <cellStyle name="20% - Accent5 2 3 2 2 2 2 5" xfId="37447" xr:uid="{00000000-0005-0000-0000-000098180000}"/>
    <cellStyle name="20% - Accent5 2 3 2 2 2 3" xfId="5269" xr:uid="{00000000-0005-0000-0000-000099180000}"/>
    <cellStyle name="20% - Accent5 2 3 2 2 2 3 2" xfId="5270" xr:uid="{00000000-0005-0000-0000-00009A180000}"/>
    <cellStyle name="20% - Accent5 2 3 2 2 2 4" xfId="5271" xr:uid="{00000000-0005-0000-0000-00009B180000}"/>
    <cellStyle name="20% - Accent5 2 3 2 2 2 5" xfId="5272" xr:uid="{00000000-0005-0000-0000-00009C180000}"/>
    <cellStyle name="20% - Accent5 2 3 2 2 2 6" xfId="37446" xr:uid="{00000000-0005-0000-0000-00009D180000}"/>
    <cellStyle name="20% - Accent5 2 3 2 2 3" xfId="5273" xr:uid="{00000000-0005-0000-0000-00009E180000}"/>
    <cellStyle name="20% - Accent5 2 3 2 2 3 2" xfId="5274" xr:uid="{00000000-0005-0000-0000-00009F180000}"/>
    <cellStyle name="20% - Accent5 2 3 2 2 3 2 2" xfId="5275" xr:uid="{00000000-0005-0000-0000-0000A0180000}"/>
    <cellStyle name="20% - Accent5 2 3 2 2 3 2 2 2" xfId="5276" xr:uid="{00000000-0005-0000-0000-0000A1180000}"/>
    <cellStyle name="20% - Accent5 2 3 2 2 3 2 3" xfId="5277" xr:uid="{00000000-0005-0000-0000-0000A2180000}"/>
    <cellStyle name="20% - Accent5 2 3 2 2 3 2 4" xfId="5278" xr:uid="{00000000-0005-0000-0000-0000A3180000}"/>
    <cellStyle name="20% - Accent5 2 3 2 2 3 2 5" xfId="37449" xr:uid="{00000000-0005-0000-0000-0000A4180000}"/>
    <cellStyle name="20% - Accent5 2 3 2 2 3 3" xfId="5279" xr:uid="{00000000-0005-0000-0000-0000A5180000}"/>
    <cellStyle name="20% - Accent5 2 3 2 2 3 3 2" xfId="5280" xr:uid="{00000000-0005-0000-0000-0000A6180000}"/>
    <cellStyle name="20% - Accent5 2 3 2 2 3 4" xfId="5281" xr:uid="{00000000-0005-0000-0000-0000A7180000}"/>
    <cellStyle name="20% - Accent5 2 3 2 2 3 5" xfId="5282" xr:uid="{00000000-0005-0000-0000-0000A8180000}"/>
    <cellStyle name="20% - Accent5 2 3 2 2 3 6" xfId="37448" xr:uid="{00000000-0005-0000-0000-0000A9180000}"/>
    <cellStyle name="20% - Accent5 2 3 2 2 4" xfId="5283" xr:uid="{00000000-0005-0000-0000-0000AA180000}"/>
    <cellStyle name="20% - Accent5 2 3 2 2 4 2" xfId="5284" xr:uid="{00000000-0005-0000-0000-0000AB180000}"/>
    <cellStyle name="20% - Accent5 2 3 2 2 4 2 2" xfId="5285" xr:uid="{00000000-0005-0000-0000-0000AC180000}"/>
    <cellStyle name="20% - Accent5 2 3 2 2 4 3" xfId="5286" xr:uid="{00000000-0005-0000-0000-0000AD180000}"/>
    <cellStyle name="20% - Accent5 2 3 2 2 4 4" xfId="5287" xr:uid="{00000000-0005-0000-0000-0000AE180000}"/>
    <cellStyle name="20% - Accent5 2 3 2 2 4 5" xfId="37450" xr:uid="{00000000-0005-0000-0000-0000AF180000}"/>
    <cellStyle name="20% - Accent5 2 3 2 2 5" xfId="5288" xr:uid="{00000000-0005-0000-0000-0000B0180000}"/>
    <cellStyle name="20% - Accent5 2 3 2 2 5 2" xfId="5289" xr:uid="{00000000-0005-0000-0000-0000B1180000}"/>
    <cellStyle name="20% - Accent5 2 3 2 2 5 2 2" xfId="5290" xr:uid="{00000000-0005-0000-0000-0000B2180000}"/>
    <cellStyle name="20% - Accent5 2 3 2 2 5 3" xfId="5291" xr:uid="{00000000-0005-0000-0000-0000B3180000}"/>
    <cellStyle name="20% - Accent5 2 3 2 2 5 4" xfId="5292" xr:uid="{00000000-0005-0000-0000-0000B4180000}"/>
    <cellStyle name="20% - Accent5 2 3 2 2 6" xfId="5293" xr:uid="{00000000-0005-0000-0000-0000B5180000}"/>
    <cellStyle name="20% - Accent5 2 3 2 2 6 2" xfId="5294" xr:uid="{00000000-0005-0000-0000-0000B6180000}"/>
    <cellStyle name="20% - Accent5 2 3 2 2 6 2 2" xfId="5295" xr:uid="{00000000-0005-0000-0000-0000B7180000}"/>
    <cellStyle name="20% - Accent5 2 3 2 2 6 3" xfId="5296" xr:uid="{00000000-0005-0000-0000-0000B8180000}"/>
    <cellStyle name="20% - Accent5 2 3 2 2 6 4" xfId="5297" xr:uid="{00000000-0005-0000-0000-0000B9180000}"/>
    <cellStyle name="20% - Accent5 2 3 2 2 7" xfId="5298" xr:uid="{00000000-0005-0000-0000-0000BA180000}"/>
    <cellStyle name="20% - Accent5 2 3 2 2 7 2" xfId="5299" xr:uid="{00000000-0005-0000-0000-0000BB180000}"/>
    <cellStyle name="20% - Accent5 2 3 2 2 8" xfId="5300" xr:uid="{00000000-0005-0000-0000-0000BC180000}"/>
    <cellStyle name="20% - Accent5 2 3 2 2 9" xfId="5301" xr:uid="{00000000-0005-0000-0000-0000BD180000}"/>
    <cellStyle name="20% - Accent5 2 3 2 3" xfId="5302" xr:uid="{00000000-0005-0000-0000-0000BE180000}"/>
    <cellStyle name="20% - Accent5 2 3 2 3 2" xfId="5303" xr:uid="{00000000-0005-0000-0000-0000BF180000}"/>
    <cellStyle name="20% - Accent5 2 3 2 3 2 2" xfId="5304" xr:uid="{00000000-0005-0000-0000-0000C0180000}"/>
    <cellStyle name="20% - Accent5 2 3 2 3 2 2 2" xfId="5305" xr:uid="{00000000-0005-0000-0000-0000C1180000}"/>
    <cellStyle name="20% - Accent5 2 3 2 3 2 3" xfId="5306" xr:uid="{00000000-0005-0000-0000-0000C2180000}"/>
    <cellStyle name="20% - Accent5 2 3 2 3 2 4" xfId="5307" xr:uid="{00000000-0005-0000-0000-0000C3180000}"/>
    <cellStyle name="20% - Accent5 2 3 2 3 2 5" xfId="37452" xr:uid="{00000000-0005-0000-0000-0000C4180000}"/>
    <cellStyle name="20% - Accent5 2 3 2 3 3" xfId="5308" xr:uid="{00000000-0005-0000-0000-0000C5180000}"/>
    <cellStyle name="20% - Accent5 2 3 2 3 3 2" xfId="5309" xr:uid="{00000000-0005-0000-0000-0000C6180000}"/>
    <cellStyle name="20% - Accent5 2 3 2 3 4" xfId="5310" xr:uid="{00000000-0005-0000-0000-0000C7180000}"/>
    <cellStyle name="20% - Accent5 2 3 2 3 5" xfId="5311" xr:uid="{00000000-0005-0000-0000-0000C8180000}"/>
    <cellStyle name="20% - Accent5 2 3 2 3 6" xfId="37451" xr:uid="{00000000-0005-0000-0000-0000C9180000}"/>
    <cellStyle name="20% - Accent5 2 3 2 4" xfId="5312" xr:uid="{00000000-0005-0000-0000-0000CA180000}"/>
    <cellStyle name="20% - Accent5 2 3 2 4 2" xfId="5313" xr:uid="{00000000-0005-0000-0000-0000CB180000}"/>
    <cellStyle name="20% - Accent5 2 3 2 4 2 2" xfId="5314" xr:uid="{00000000-0005-0000-0000-0000CC180000}"/>
    <cellStyle name="20% - Accent5 2 3 2 4 2 2 2" xfId="5315" xr:uid="{00000000-0005-0000-0000-0000CD180000}"/>
    <cellStyle name="20% - Accent5 2 3 2 4 2 3" xfId="5316" xr:uid="{00000000-0005-0000-0000-0000CE180000}"/>
    <cellStyle name="20% - Accent5 2 3 2 4 2 4" xfId="5317" xr:uid="{00000000-0005-0000-0000-0000CF180000}"/>
    <cellStyle name="20% - Accent5 2 3 2 4 2 5" xfId="37454" xr:uid="{00000000-0005-0000-0000-0000D0180000}"/>
    <cellStyle name="20% - Accent5 2 3 2 4 3" xfId="5318" xr:uid="{00000000-0005-0000-0000-0000D1180000}"/>
    <cellStyle name="20% - Accent5 2 3 2 4 3 2" xfId="5319" xr:uid="{00000000-0005-0000-0000-0000D2180000}"/>
    <cellStyle name="20% - Accent5 2 3 2 4 4" xfId="5320" xr:uid="{00000000-0005-0000-0000-0000D3180000}"/>
    <cellStyle name="20% - Accent5 2 3 2 4 5" xfId="5321" xr:uid="{00000000-0005-0000-0000-0000D4180000}"/>
    <cellStyle name="20% - Accent5 2 3 2 4 6" xfId="37453" xr:uid="{00000000-0005-0000-0000-0000D5180000}"/>
    <cellStyle name="20% - Accent5 2 3 2 5" xfId="5322" xr:uid="{00000000-0005-0000-0000-0000D6180000}"/>
    <cellStyle name="20% - Accent5 2 3 2 5 2" xfId="5323" xr:uid="{00000000-0005-0000-0000-0000D7180000}"/>
    <cellStyle name="20% - Accent5 2 3 2 5 2 2" xfId="5324" xr:uid="{00000000-0005-0000-0000-0000D8180000}"/>
    <cellStyle name="20% - Accent5 2 3 2 5 3" xfId="5325" xr:uid="{00000000-0005-0000-0000-0000D9180000}"/>
    <cellStyle name="20% - Accent5 2 3 2 5 4" xfId="5326" xr:uid="{00000000-0005-0000-0000-0000DA180000}"/>
    <cellStyle name="20% - Accent5 2 3 2 5 5" xfId="37455" xr:uid="{00000000-0005-0000-0000-0000DB180000}"/>
    <cellStyle name="20% - Accent5 2 3 2 6" xfId="5327" xr:uid="{00000000-0005-0000-0000-0000DC180000}"/>
    <cellStyle name="20% - Accent5 2 3 2 6 2" xfId="5328" xr:uid="{00000000-0005-0000-0000-0000DD180000}"/>
    <cellStyle name="20% - Accent5 2 3 2 6 2 2" xfId="5329" xr:uid="{00000000-0005-0000-0000-0000DE180000}"/>
    <cellStyle name="20% - Accent5 2 3 2 6 3" xfId="5330" xr:uid="{00000000-0005-0000-0000-0000DF180000}"/>
    <cellStyle name="20% - Accent5 2 3 2 6 4" xfId="5331" xr:uid="{00000000-0005-0000-0000-0000E0180000}"/>
    <cellStyle name="20% - Accent5 2 3 2 7" xfId="5332" xr:uid="{00000000-0005-0000-0000-0000E1180000}"/>
    <cellStyle name="20% - Accent5 2 3 2 7 2" xfId="5333" xr:uid="{00000000-0005-0000-0000-0000E2180000}"/>
    <cellStyle name="20% - Accent5 2 3 2 7 2 2" xfId="5334" xr:uid="{00000000-0005-0000-0000-0000E3180000}"/>
    <cellStyle name="20% - Accent5 2 3 2 7 3" xfId="5335" xr:uid="{00000000-0005-0000-0000-0000E4180000}"/>
    <cellStyle name="20% - Accent5 2 3 2 7 4" xfId="5336" xr:uid="{00000000-0005-0000-0000-0000E5180000}"/>
    <cellStyle name="20% - Accent5 2 3 2 8" xfId="5337" xr:uid="{00000000-0005-0000-0000-0000E6180000}"/>
    <cellStyle name="20% - Accent5 2 3 2 8 2" xfId="5338" xr:uid="{00000000-0005-0000-0000-0000E7180000}"/>
    <cellStyle name="20% - Accent5 2 3 2 9" xfId="5339" xr:uid="{00000000-0005-0000-0000-0000E8180000}"/>
    <cellStyle name="20% - Accent5 2 3 3" xfId="5340" xr:uid="{00000000-0005-0000-0000-0000E9180000}"/>
    <cellStyle name="20% - Accent5 2 3 3 10" xfId="34600" xr:uid="{00000000-0005-0000-0000-0000EA180000}"/>
    <cellStyle name="20% - Accent5 2 3 3 2" xfId="5341" xr:uid="{00000000-0005-0000-0000-0000EB180000}"/>
    <cellStyle name="20% - Accent5 2 3 3 2 2" xfId="5342" xr:uid="{00000000-0005-0000-0000-0000EC180000}"/>
    <cellStyle name="20% - Accent5 2 3 3 2 2 2" xfId="5343" xr:uid="{00000000-0005-0000-0000-0000ED180000}"/>
    <cellStyle name="20% - Accent5 2 3 3 2 2 2 2" xfId="5344" xr:uid="{00000000-0005-0000-0000-0000EE180000}"/>
    <cellStyle name="20% - Accent5 2 3 3 2 2 3" xfId="5345" xr:uid="{00000000-0005-0000-0000-0000EF180000}"/>
    <cellStyle name="20% - Accent5 2 3 3 2 2 4" xfId="5346" xr:uid="{00000000-0005-0000-0000-0000F0180000}"/>
    <cellStyle name="20% - Accent5 2 3 3 2 2 5" xfId="37457" xr:uid="{00000000-0005-0000-0000-0000F1180000}"/>
    <cellStyle name="20% - Accent5 2 3 3 2 3" xfId="5347" xr:uid="{00000000-0005-0000-0000-0000F2180000}"/>
    <cellStyle name="20% - Accent5 2 3 3 2 3 2" xfId="5348" xr:uid="{00000000-0005-0000-0000-0000F3180000}"/>
    <cellStyle name="20% - Accent5 2 3 3 2 4" xfId="5349" xr:uid="{00000000-0005-0000-0000-0000F4180000}"/>
    <cellStyle name="20% - Accent5 2 3 3 2 5" xfId="5350" xr:uid="{00000000-0005-0000-0000-0000F5180000}"/>
    <cellStyle name="20% - Accent5 2 3 3 2 6" xfId="37456" xr:uid="{00000000-0005-0000-0000-0000F6180000}"/>
    <cellStyle name="20% - Accent5 2 3 3 3" xfId="5351" xr:uid="{00000000-0005-0000-0000-0000F7180000}"/>
    <cellStyle name="20% - Accent5 2 3 3 3 2" xfId="5352" xr:uid="{00000000-0005-0000-0000-0000F8180000}"/>
    <cellStyle name="20% - Accent5 2 3 3 3 2 2" xfId="5353" xr:uid="{00000000-0005-0000-0000-0000F9180000}"/>
    <cellStyle name="20% - Accent5 2 3 3 3 2 2 2" xfId="5354" xr:uid="{00000000-0005-0000-0000-0000FA180000}"/>
    <cellStyle name="20% - Accent5 2 3 3 3 2 3" xfId="5355" xr:uid="{00000000-0005-0000-0000-0000FB180000}"/>
    <cellStyle name="20% - Accent5 2 3 3 3 2 4" xfId="5356" xr:uid="{00000000-0005-0000-0000-0000FC180000}"/>
    <cellStyle name="20% - Accent5 2 3 3 3 2 5" xfId="37459" xr:uid="{00000000-0005-0000-0000-0000FD180000}"/>
    <cellStyle name="20% - Accent5 2 3 3 3 3" xfId="5357" xr:uid="{00000000-0005-0000-0000-0000FE180000}"/>
    <cellStyle name="20% - Accent5 2 3 3 3 3 2" xfId="5358" xr:uid="{00000000-0005-0000-0000-0000FF180000}"/>
    <cellStyle name="20% - Accent5 2 3 3 3 4" xfId="5359" xr:uid="{00000000-0005-0000-0000-000000190000}"/>
    <cellStyle name="20% - Accent5 2 3 3 3 5" xfId="5360" xr:uid="{00000000-0005-0000-0000-000001190000}"/>
    <cellStyle name="20% - Accent5 2 3 3 3 6" xfId="37458" xr:uid="{00000000-0005-0000-0000-000002190000}"/>
    <cellStyle name="20% - Accent5 2 3 3 4" xfId="5361" xr:uid="{00000000-0005-0000-0000-000003190000}"/>
    <cellStyle name="20% - Accent5 2 3 3 4 2" xfId="5362" xr:uid="{00000000-0005-0000-0000-000004190000}"/>
    <cellStyle name="20% - Accent5 2 3 3 4 2 2" xfId="5363" xr:uid="{00000000-0005-0000-0000-000005190000}"/>
    <cellStyle name="20% - Accent5 2 3 3 4 3" xfId="5364" xr:uid="{00000000-0005-0000-0000-000006190000}"/>
    <cellStyle name="20% - Accent5 2 3 3 4 4" xfId="5365" xr:uid="{00000000-0005-0000-0000-000007190000}"/>
    <cellStyle name="20% - Accent5 2 3 3 4 5" xfId="37460" xr:uid="{00000000-0005-0000-0000-000008190000}"/>
    <cellStyle name="20% - Accent5 2 3 3 5" xfId="5366" xr:uid="{00000000-0005-0000-0000-000009190000}"/>
    <cellStyle name="20% - Accent5 2 3 3 5 2" xfId="5367" xr:uid="{00000000-0005-0000-0000-00000A190000}"/>
    <cellStyle name="20% - Accent5 2 3 3 5 2 2" xfId="5368" xr:uid="{00000000-0005-0000-0000-00000B190000}"/>
    <cellStyle name="20% - Accent5 2 3 3 5 3" xfId="5369" xr:uid="{00000000-0005-0000-0000-00000C190000}"/>
    <cellStyle name="20% - Accent5 2 3 3 5 4" xfId="5370" xr:uid="{00000000-0005-0000-0000-00000D190000}"/>
    <cellStyle name="20% - Accent5 2 3 3 6" xfId="5371" xr:uid="{00000000-0005-0000-0000-00000E190000}"/>
    <cellStyle name="20% - Accent5 2 3 3 6 2" xfId="5372" xr:uid="{00000000-0005-0000-0000-00000F190000}"/>
    <cellStyle name="20% - Accent5 2 3 3 6 2 2" xfId="5373" xr:uid="{00000000-0005-0000-0000-000010190000}"/>
    <cellStyle name="20% - Accent5 2 3 3 6 3" xfId="5374" xr:uid="{00000000-0005-0000-0000-000011190000}"/>
    <cellStyle name="20% - Accent5 2 3 3 6 4" xfId="5375" xr:uid="{00000000-0005-0000-0000-000012190000}"/>
    <cellStyle name="20% - Accent5 2 3 3 7" xfId="5376" xr:uid="{00000000-0005-0000-0000-000013190000}"/>
    <cellStyle name="20% - Accent5 2 3 3 7 2" xfId="5377" xr:uid="{00000000-0005-0000-0000-000014190000}"/>
    <cellStyle name="20% - Accent5 2 3 3 8" xfId="5378" xr:uid="{00000000-0005-0000-0000-000015190000}"/>
    <cellStyle name="20% - Accent5 2 3 3 9" xfId="5379" xr:uid="{00000000-0005-0000-0000-000016190000}"/>
    <cellStyle name="20% - Accent5 2 3 4" xfId="5380" xr:uid="{00000000-0005-0000-0000-000017190000}"/>
    <cellStyle name="20% - Accent5 2 3 4 2" xfId="5381" xr:uid="{00000000-0005-0000-0000-000018190000}"/>
    <cellStyle name="20% - Accent5 2 3 4 2 2" xfId="5382" xr:uid="{00000000-0005-0000-0000-000019190000}"/>
    <cellStyle name="20% - Accent5 2 3 4 2 2 2" xfId="5383" xr:uid="{00000000-0005-0000-0000-00001A190000}"/>
    <cellStyle name="20% - Accent5 2 3 4 2 3" xfId="5384" xr:uid="{00000000-0005-0000-0000-00001B190000}"/>
    <cellStyle name="20% - Accent5 2 3 4 2 4" xfId="5385" xr:uid="{00000000-0005-0000-0000-00001C190000}"/>
    <cellStyle name="20% - Accent5 2 3 4 2 5" xfId="37462" xr:uid="{00000000-0005-0000-0000-00001D190000}"/>
    <cellStyle name="20% - Accent5 2 3 4 3" xfId="5386" xr:uid="{00000000-0005-0000-0000-00001E190000}"/>
    <cellStyle name="20% - Accent5 2 3 4 4" xfId="5387" xr:uid="{00000000-0005-0000-0000-00001F190000}"/>
    <cellStyle name="20% - Accent5 2 3 4 4 2" xfId="5388" xr:uid="{00000000-0005-0000-0000-000020190000}"/>
    <cellStyle name="20% - Accent5 2 3 4 5" xfId="5389" xr:uid="{00000000-0005-0000-0000-000021190000}"/>
    <cellStyle name="20% - Accent5 2 3 4 6" xfId="5390" xr:uid="{00000000-0005-0000-0000-000022190000}"/>
    <cellStyle name="20% - Accent5 2 3 4 7" xfId="37461" xr:uid="{00000000-0005-0000-0000-000023190000}"/>
    <cellStyle name="20% - Accent5 2 3 5" xfId="5391" xr:uid="{00000000-0005-0000-0000-000024190000}"/>
    <cellStyle name="20% - Accent5 2 3 5 2" xfId="5392" xr:uid="{00000000-0005-0000-0000-000025190000}"/>
    <cellStyle name="20% - Accent5 2 3 5 2 2" xfId="5393" xr:uid="{00000000-0005-0000-0000-000026190000}"/>
    <cellStyle name="20% - Accent5 2 3 5 2 2 2" xfId="5394" xr:uid="{00000000-0005-0000-0000-000027190000}"/>
    <cellStyle name="20% - Accent5 2 3 5 2 3" xfId="5395" xr:uid="{00000000-0005-0000-0000-000028190000}"/>
    <cellStyle name="20% - Accent5 2 3 5 2 4" xfId="5396" xr:uid="{00000000-0005-0000-0000-000029190000}"/>
    <cellStyle name="20% - Accent5 2 3 5 2 5" xfId="37464" xr:uid="{00000000-0005-0000-0000-00002A190000}"/>
    <cellStyle name="20% - Accent5 2 3 5 3" xfId="5397" xr:uid="{00000000-0005-0000-0000-00002B190000}"/>
    <cellStyle name="20% - Accent5 2 3 5 3 2" xfId="5398" xr:uid="{00000000-0005-0000-0000-00002C190000}"/>
    <cellStyle name="20% - Accent5 2 3 5 4" xfId="5399" xr:uid="{00000000-0005-0000-0000-00002D190000}"/>
    <cellStyle name="20% - Accent5 2 3 5 5" xfId="5400" xr:uid="{00000000-0005-0000-0000-00002E190000}"/>
    <cellStyle name="20% - Accent5 2 3 5 6" xfId="37463" xr:uid="{00000000-0005-0000-0000-00002F190000}"/>
    <cellStyle name="20% - Accent5 2 3 6" xfId="5401" xr:uid="{00000000-0005-0000-0000-000030190000}"/>
    <cellStyle name="20% - Accent5 2 3 6 2" xfId="5402" xr:uid="{00000000-0005-0000-0000-000031190000}"/>
    <cellStyle name="20% - Accent5 2 3 6 2 2" xfId="5403" xr:uid="{00000000-0005-0000-0000-000032190000}"/>
    <cellStyle name="20% - Accent5 2 3 6 3" xfId="5404" xr:uid="{00000000-0005-0000-0000-000033190000}"/>
    <cellStyle name="20% - Accent5 2 3 6 4" xfId="5405" xr:uid="{00000000-0005-0000-0000-000034190000}"/>
    <cellStyle name="20% - Accent5 2 3 6 5" xfId="37465" xr:uid="{00000000-0005-0000-0000-000035190000}"/>
    <cellStyle name="20% - Accent5 2 3 7" xfId="5406" xr:uid="{00000000-0005-0000-0000-000036190000}"/>
    <cellStyle name="20% - Accent5 2 3 7 2" xfId="5407" xr:uid="{00000000-0005-0000-0000-000037190000}"/>
    <cellStyle name="20% - Accent5 2 3 7 2 2" xfId="5408" xr:uid="{00000000-0005-0000-0000-000038190000}"/>
    <cellStyle name="20% - Accent5 2 3 7 3" xfId="5409" xr:uid="{00000000-0005-0000-0000-000039190000}"/>
    <cellStyle name="20% - Accent5 2 3 7 4" xfId="5410" xr:uid="{00000000-0005-0000-0000-00003A190000}"/>
    <cellStyle name="20% - Accent5 2 3 8" xfId="5411" xr:uid="{00000000-0005-0000-0000-00003B190000}"/>
    <cellStyle name="20% - Accent5 2 3 8 2" xfId="5412" xr:uid="{00000000-0005-0000-0000-00003C190000}"/>
    <cellStyle name="20% - Accent5 2 3 8 2 2" xfId="5413" xr:uid="{00000000-0005-0000-0000-00003D190000}"/>
    <cellStyle name="20% - Accent5 2 3 8 3" xfId="5414" xr:uid="{00000000-0005-0000-0000-00003E190000}"/>
    <cellStyle name="20% - Accent5 2 3 8 4" xfId="5415" xr:uid="{00000000-0005-0000-0000-00003F190000}"/>
    <cellStyle name="20% - Accent5 2 3 9" xfId="5416" xr:uid="{00000000-0005-0000-0000-000040190000}"/>
    <cellStyle name="20% - Accent5 2 3 9 2" xfId="5417" xr:uid="{00000000-0005-0000-0000-000041190000}"/>
    <cellStyle name="20% - Accent5 2 4" xfId="5418" xr:uid="{00000000-0005-0000-0000-000042190000}"/>
    <cellStyle name="20% - Accent5 2 4 10" xfId="5419" xr:uid="{00000000-0005-0000-0000-000043190000}"/>
    <cellStyle name="20% - Accent5 2 4 11" xfId="34601" xr:uid="{00000000-0005-0000-0000-000044190000}"/>
    <cellStyle name="20% - Accent5 2 4 2" xfId="5420" xr:uid="{00000000-0005-0000-0000-000045190000}"/>
    <cellStyle name="20% - Accent5 2 4 2 10" xfId="34602" xr:uid="{00000000-0005-0000-0000-000046190000}"/>
    <cellStyle name="20% - Accent5 2 4 2 2" xfId="5421" xr:uid="{00000000-0005-0000-0000-000047190000}"/>
    <cellStyle name="20% - Accent5 2 4 2 2 2" xfId="5422" xr:uid="{00000000-0005-0000-0000-000048190000}"/>
    <cellStyle name="20% - Accent5 2 4 2 2 2 2" xfId="5423" xr:uid="{00000000-0005-0000-0000-000049190000}"/>
    <cellStyle name="20% - Accent5 2 4 2 2 2 2 2" xfId="5424" xr:uid="{00000000-0005-0000-0000-00004A190000}"/>
    <cellStyle name="20% - Accent5 2 4 2 2 2 3" xfId="5425" xr:uid="{00000000-0005-0000-0000-00004B190000}"/>
    <cellStyle name="20% - Accent5 2 4 2 2 2 4" xfId="5426" xr:uid="{00000000-0005-0000-0000-00004C190000}"/>
    <cellStyle name="20% - Accent5 2 4 2 2 2 5" xfId="37467" xr:uid="{00000000-0005-0000-0000-00004D190000}"/>
    <cellStyle name="20% - Accent5 2 4 2 2 3" xfId="5427" xr:uid="{00000000-0005-0000-0000-00004E190000}"/>
    <cellStyle name="20% - Accent5 2 4 2 2 3 2" xfId="5428" xr:uid="{00000000-0005-0000-0000-00004F190000}"/>
    <cellStyle name="20% - Accent5 2 4 2 2 4" xfId="5429" xr:uid="{00000000-0005-0000-0000-000050190000}"/>
    <cellStyle name="20% - Accent5 2 4 2 2 5" xfId="5430" xr:uid="{00000000-0005-0000-0000-000051190000}"/>
    <cellStyle name="20% - Accent5 2 4 2 2 6" xfId="37466" xr:uid="{00000000-0005-0000-0000-000052190000}"/>
    <cellStyle name="20% - Accent5 2 4 2 3" xfId="5431" xr:uid="{00000000-0005-0000-0000-000053190000}"/>
    <cellStyle name="20% - Accent5 2 4 2 3 2" xfId="5432" xr:uid="{00000000-0005-0000-0000-000054190000}"/>
    <cellStyle name="20% - Accent5 2 4 2 3 2 2" xfId="5433" xr:uid="{00000000-0005-0000-0000-000055190000}"/>
    <cellStyle name="20% - Accent5 2 4 2 3 2 2 2" xfId="5434" xr:uid="{00000000-0005-0000-0000-000056190000}"/>
    <cellStyle name="20% - Accent5 2 4 2 3 2 3" xfId="5435" xr:uid="{00000000-0005-0000-0000-000057190000}"/>
    <cellStyle name="20% - Accent5 2 4 2 3 2 4" xfId="5436" xr:uid="{00000000-0005-0000-0000-000058190000}"/>
    <cellStyle name="20% - Accent5 2 4 2 3 2 5" xfId="37469" xr:uid="{00000000-0005-0000-0000-000059190000}"/>
    <cellStyle name="20% - Accent5 2 4 2 3 3" xfId="5437" xr:uid="{00000000-0005-0000-0000-00005A190000}"/>
    <cellStyle name="20% - Accent5 2 4 2 3 3 2" xfId="5438" xr:uid="{00000000-0005-0000-0000-00005B190000}"/>
    <cellStyle name="20% - Accent5 2 4 2 3 4" xfId="5439" xr:uid="{00000000-0005-0000-0000-00005C190000}"/>
    <cellStyle name="20% - Accent5 2 4 2 3 5" xfId="5440" xr:uid="{00000000-0005-0000-0000-00005D190000}"/>
    <cellStyle name="20% - Accent5 2 4 2 3 6" xfId="37468" xr:uid="{00000000-0005-0000-0000-00005E190000}"/>
    <cellStyle name="20% - Accent5 2 4 2 4" xfId="5441" xr:uid="{00000000-0005-0000-0000-00005F190000}"/>
    <cellStyle name="20% - Accent5 2 4 2 4 2" xfId="5442" xr:uid="{00000000-0005-0000-0000-000060190000}"/>
    <cellStyle name="20% - Accent5 2 4 2 4 2 2" xfId="5443" xr:uid="{00000000-0005-0000-0000-000061190000}"/>
    <cellStyle name="20% - Accent5 2 4 2 4 3" xfId="5444" xr:uid="{00000000-0005-0000-0000-000062190000}"/>
    <cellStyle name="20% - Accent5 2 4 2 4 4" xfId="5445" xr:uid="{00000000-0005-0000-0000-000063190000}"/>
    <cellStyle name="20% - Accent5 2 4 2 4 5" xfId="37470" xr:uid="{00000000-0005-0000-0000-000064190000}"/>
    <cellStyle name="20% - Accent5 2 4 2 5" xfId="5446" xr:uid="{00000000-0005-0000-0000-000065190000}"/>
    <cellStyle name="20% - Accent5 2 4 2 5 2" xfId="5447" xr:uid="{00000000-0005-0000-0000-000066190000}"/>
    <cellStyle name="20% - Accent5 2 4 2 5 2 2" xfId="5448" xr:uid="{00000000-0005-0000-0000-000067190000}"/>
    <cellStyle name="20% - Accent5 2 4 2 5 3" xfId="5449" xr:uid="{00000000-0005-0000-0000-000068190000}"/>
    <cellStyle name="20% - Accent5 2 4 2 5 4" xfId="5450" xr:uid="{00000000-0005-0000-0000-000069190000}"/>
    <cellStyle name="20% - Accent5 2 4 2 6" xfId="5451" xr:uid="{00000000-0005-0000-0000-00006A190000}"/>
    <cellStyle name="20% - Accent5 2 4 2 6 2" xfId="5452" xr:uid="{00000000-0005-0000-0000-00006B190000}"/>
    <cellStyle name="20% - Accent5 2 4 2 6 2 2" xfId="5453" xr:uid="{00000000-0005-0000-0000-00006C190000}"/>
    <cellStyle name="20% - Accent5 2 4 2 6 3" xfId="5454" xr:uid="{00000000-0005-0000-0000-00006D190000}"/>
    <cellStyle name="20% - Accent5 2 4 2 6 4" xfId="5455" xr:uid="{00000000-0005-0000-0000-00006E190000}"/>
    <cellStyle name="20% - Accent5 2 4 2 7" xfId="5456" xr:uid="{00000000-0005-0000-0000-00006F190000}"/>
    <cellStyle name="20% - Accent5 2 4 2 7 2" xfId="5457" xr:uid="{00000000-0005-0000-0000-000070190000}"/>
    <cellStyle name="20% - Accent5 2 4 2 8" xfId="5458" xr:uid="{00000000-0005-0000-0000-000071190000}"/>
    <cellStyle name="20% - Accent5 2 4 2 9" xfId="5459" xr:uid="{00000000-0005-0000-0000-000072190000}"/>
    <cellStyle name="20% - Accent5 2 4 3" xfId="5460" xr:uid="{00000000-0005-0000-0000-000073190000}"/>
    <cellStyle name="20% - Accent5 2 4 3 2" xfId="5461" xr:uid="{00000000-0005-0000-0000-000074190000}"/>
    <cellStyle name="20% - Accent5 2 4 3 2 2" xfId="5462" xr:uid="{00000000-0005-0000-0000-000075190000}"/>
    <cellStyle name="20% - Accent5 2 4 3 2 2 2" xfId="5463" xr:uid="{00000000-0005-0000-0000-000076190000}"/>
    <cellStyle name="20% - Accent5 2 4 3 2 3" xfId="5464" xr:uid="{00000000-0005-0000-0000-000077190000}"/>
    <cellStyle name="20% - Accent5 2 4 3 2 4" xfId="5465" xr:uid="{00000000-0005-0000-0000-000078190000}"/>
    <cellStyle name="20% - Accent5 2 4 3 2 5" xfId="37472" xr:uid="{00000000-0005-0000-0000-000079190000}"/>
    <cellStyle name="20% - Accent5 2 4 3 3" xfId="5466" xr:uid="{00000000-0005-0000-0000-00007A190000}"/>
    <cellStyle name="20% - Accent5 2 4 3 3 2" xfId="5467" xr:uid="{00000000-0005-0000-0000-00007B190000}"/>
    <cellStyle name="20% - Accent5 2 4 3 4" xfId="5468" xr:uid="{00000000-0005-0000-0000-00007C190000}"/>
    <cellStyle name="20% - Accent5 2 4 3 5" xfId="5469" xr:uid="{00000000-0005-0000-0000-00007D190000}"/>
    <cellStyle name="20% - Accent5 2 4 3 6" xfId="37471" xr:uid="{00000000-0005-0000-0000-00007E190000}"/>
    <cellStyle name="20% - Accent5 2 4 4" xfId="5470" xr:uid="{00000000-0005-0000-0000-00007F190000}"/>
    <cellStyle name="20% - Accent5 2 4 4 2" xfId="5471" xr:uid="{00000000-0005-0000-0000-000080190000}"/>
    <cellStyle name="20% - Accent5 2 4 4 2 2" xfId="5472" xr:uid="{00000000-0005-0000-0000-000081190000}"/>
    <cellStyle name="20% - Accent5 2 4 4 2 2 2" xfId="5473" xr:uid="{00000000-0005-0000-0000-000082190000}"/>
    <cellStyle name="20% - Accent5 2 4 4 2 3" xfId="5474" xr:uid="{00000000-0005-0000-0000-000083190000}"/>
    <cellStyle name="20% - Accent5 2 4 4 2 4" xfId="5475" xr:uid="{00000000-0005-0000-0000-000084190000}"/>
    <cellStyle name="20% - Accent5 2 4 4 2 5" xfId="37474" xr:uid="{00000000-0005-0000-0000-000085190000}"/>
    <cellStyle name="20% - Accent5 2 4 4 3" xfId="5476" xr:uid="{00000000-0005-0000-0000-000086190000}"/>
    <cellStyle name="20% - Accent5 2 4 4 3 2" xfId="5477" xr:uid="{00000000-0005-0000-0000-000087190000}"/>
    <cellStyle name="20% - Accent5 2 4 4 4" xfId="5478" xr:uid="{00000000-0005-0000-0000-000088190000}"/>
    <cellStyle name="20% - Accent5 2 4 4 5" xfId="5479" xr:uid="{00000000-0005-0000-0000-000089190000}"/>
    <cellStyle name="20% - Accent5 2 4 4 6" xfId="37473" xr:uid="{00000000-0005-0000-0000-00008A190000}"/>
    <cellStyle name="20% - Accent5 2 4 5" xfId="5480" xr:uid="{00000000-0005-0000-0000-00008B190000}"/>
    <cellStyle name="20% - Accent5 2 4 5 2" xfId="5481" xr:uid="{00000000-0005-0000-0000-00008C190000}"/>
    <cellStyle name="20% - Accent5 2 4 5 2 2" xfId="5482" xr:uid="{00000000-0005-0000-0000-00008D190000}"/>
    <cellStyle name="20% - Accent5 2 4 5 3" xfId="5483" xr:uid="{00000000-0005-0000-0000-00008E190000}"/>
    <cellStyle name="20% - Accent5 2 4 5 4" xfId="5484" xr:uid="{00000000-0005-0000-0000-00008F190000}"/>
    <cellStyle name="20% - Accent5 2 4 5 5" xfId="37475" xr:uid="{00000000-0005-0000-0000-000090190000}"/>
    <cellStyle name="20% - Accent5 2 4 6" xfId="5485" xr:uid="{00000000-0005-0000-0000-000091190000}"/>
    <cellStyle name="20% - Accent5 2 4 6 2" xfId="5486" xr:uid="{00000000-0005-0000-0000-000092190000}"/>
    <cellStyle name="20% - Accent5 2 4 6 2 2" xfId="5487" xr:uid="{00000000-0005-0000-0000-000093190000}"/>
    <cellStyle name="20% - Accent5 2 4 6 3" xfId="5488" xr:uid="{00000000-0005-0000-0000-000094190000}"/>
    <cellStyle name="20% - Accent5 2 4 6 4" xfId="5489" xr:uid="{00000000-0005-0000-0000-000095190000}"/>
    <cellStyle name="20% - Accent5 2 4 7" xfId="5490" xr:uid="{00000000-0005-0000-0000-000096190000}"/>
    <cellStyle name="20% - Accent5 2 4 7 2" xfId="5491" xr:uid="{00000000-0005-0000-0000-000097190000}"/>
    <cellStyle name="20% - Accent5 2 4 7 2 2" xfId="5492" xr:uid="{00000000-0005-0000-0000-000098190000}"/>
    <cellStyle name="20% - Accent5 2 4 7 3" xfId="5493" xr:uid="{00000000-0005-0000-0000-000099190000}"/>
    <cellStyle name="20% - Accent5 2 4 7 4" xfId="5494" xr:uid="{00000000-0005-0000-0000-00009A190000}"/>
    <cellStyle name="20% - Accent5 2 4 8" xfId="5495" xr:uid="{00000000-0005-0000-0000-00009B190000}"/>
    <cellStyle name="20% - Accent5 2 4 8 2" xfId="5496" xr:uid="{00000000-0005-0000-0000-00009C190000}"/>
    <cellStyle name="20% - Accent5 2 4 9" xfId="5497" xr:uid="{00000000-0005-0000-0000-00009D190000}"/>
    <cellStyle name="20% - Accent5 2 5" xfId="5498" xr:uid="{00000000-0005-0000-0000-00009E190000}"/>
    <cellStyle name="20% - Accent5 2 5 10" xfId="34603" xr:uid="{00000000-0005-0000-0000-00009F190000}"/>
    <cellStyle name="20% - Accent5 2 5 2" xfId="5499" xr:uid="{00000000-0005-0000-0000-0000A0190000}"/>
    <cellStyle name="20% - Accent5 2 5 2 2" xfId="5500" xr:uid="{00000000-0005-0000-0000-0000A1190000}"/>
    <cellStyle name="20% - Accent5 2 5 2 2 2" xfId="5501" xr:uid="{00000000-0005-0000-0000-0000A2190000}"/>
    <cellStyle name="20% - Accent5 2 5 2 2 2 2" xfId="5502" xr:uid="{00000000-0005-0000-0000-0000A3190000}"/>
    <cellStyle name="20% - Accent5 2 5 2 2 3" xfId="5503" xr:uid="{00000000-0005-0000-0000-0000A4190000}"/>
    <cellStyle name="20% - Accent5 2 5 2 2 4" xfId="5504" xr:uid="{00000000-0005-0000-0000-0000A5190000}"/>
    <cellStyle name="20% - Accent5 2 5 2 2 5" xfId="37477" xr:uid="{00000000-0005-0000-0000-0000A6190000}"/>
    <cellStyle name="20% - Accent5 2 5 2 3" xfId="5505" xr:uid="{00000000-0005-0000-0000-0000A7190000}"/>
    <cellStyle name="20% - Accent5 2 5 2 3 2" xfId="5506" xr:uid="{00000000-0005-0000-0000-0000A8190000}"/>
    <cellStyle name="20% - Accent5 2 5 2 4" xfId="5507" xr:uid="{00000000-0005-0000-0000-0000A9190000}"/>
    <cellStyle name="20% - Accent5 2 5 2 5" xfId="5508" xr:uid="{00000000-0005-0000-0000-0000AA190000}"/>
    <cellStyle name="20% - Accent5 2 5 2 6" xfId="37476" xr:uid="{00000000-0005-0000-0000-0000AB190000}"/>
    <cellStyle name="20% - Accent5 2 5 3" xfId="5509" xr:uid="{00000000-0005-0000-0000-0000AC190000}"/>
    <cellStyle name="20% - Accent5 2 5 3 2" xfId="5510" xr:uid="{00000000-0005-0000-0000-0000AD190000}"/>
    <cellStyle name="20% - Accent5 2 5 3 2 2" xfId="5511" xr:uid="{00000000-0005-0000-0000-0000AE190000}"/>
    <cellStyle name="20% - Accent5 2 5 3 2 2 2" xfId="5512" xr:uid="{00000000-0005-0000-0000-0000AF190000}"/>
    <cellStyle name="20% - Accent5 2 5 3 2 3" xfId="5513" xr:uid="{00000000-0005-0000-0000-0000B0190000}"/>
    <cellStyle name="20% - Accent5 2 5 3 2 4" xfId="5514" xr:uid="{00000000-0005-0000-0000-0000B1190000}"/>
    <cellStyle name="20% - Accent5 2 5 3 2 5" xfId="37479" xr:uid="{00000000-0005-0000-0000-0000B2190000}"/>
    <cellStyle name="20% - Accent5 2 5 3 3" xfId="5515" xr:uid="{00000000-0005-0000-0000-0000B3190000}"/>
    <cellStyle name="20% - Accent5 2 5 3 3 2" xfId="5516" xr:uid="{00000000-0005-0000-0000-0000B4190000}"/>
    <cellStyle name="20% - Accent5 2 5 3 4" xfId="5517" xr:uid="{00000000-0005-0000-0000-0000B5190000}"/>
    <cellStyle name="20% - Accent5 2 5 3 5" xfId="5518" xr:uid="{00000000-0005-0000-0000-0000B6190000}"/>
    <cellStyle name="20% - Accent5 2 5 3 6" xfId="37478" xr:uid="{00000000-0005-0000-0000-0000B7190000}"/>
    <cellStyle name="20% - Accent5 2 5 4" xfId="5519" xr:uid="{00000000-0005-0000-0000-0000B8190000}"/>
    <cellStyle name="20% - Accent5 2 5 4 2" xfId="5520" xr:uid="{00000000-0005-0000-0000-0000B9190000}"/>
    <cellStyle name="20% - Accent5 2 5 4 2 2" xfId="5521" xr:uid="{00000000-0005-0000-0000-0000BA190000}"/>
    <cellStyle name="20% - Accent5 2 5 4 3" xfId="5522" xr:uid="{00000000-0005-0000-0000-0000BB190000}"/>
    <cellStyle name="20% - Accent5 2 5 4 4" xfId="5523" xr:uid="{00000000-0005-0000-0000-0000BC190000}"/>
    <cellStyle name="20% - Accent5 2 5 4 5" xfId="37480" xr:uid="{00000000-0005-0000-0000-0000BD190000}"/>
    <cellStyle name="20% - Accent5 2 5 5" xfId="5524" xr:uid="{00000000-0005-0000-0000-0000BE190000}"/>
    <cellStyle name="20% - Accent5 2 5 5 2" xfId="5525" xr:uid="{00000000-0005-0000-0000-0000BF190000}"/>
    <cellStyle name="20% - Accent5 2 5 5 2 2" xfId="5526" xr:uid="{00000000-0005-0000-0000-0000C0190000}"/>
    <cellStyle name="20% - Accent5 2 5 5 3" xfId="5527" xr:uid="{00000000-0005-0000-0000-0000C1190000}"/>
    <cellStyle name="20% - Accent5 2 5 5 4" xfId="5528" xr:uid="{00000000-0005-0000-0000-0000C2190000}"/>
    <cellStyle name="20% - Accent5 2 5 6" xfId="5529" xr:uid="{00000000-0005-0000-0000-0000C3190000}"/>
    <cellStyle name="20% - Accent5 2 5 6 2" xfId="5530" xr:uid="{00000000-0005-0000-0000-0000C4190000}"/>
    <cellStyle name="20% - Accent5 2 5 6 2 2" xfId="5531" xr:uid="{00000000-0005-0000-0000-0000C5190000}"/>
    <cellStyle name="20% - Accent5 2 5 6 3" xfId="5532" xr:uid="{00000000-0005-0000-0000-0000C6190000}"/>
    <cellStyle name="20% - Accent5 2 5 6 4" xfId="5533" xr:uid="{00000000-0005-0000-0000-0000C7190000}"/>
    <cellStyle name="20% - Accent5 2 5 7" xfId="5534" xr:uid="{00000000-0005-0000-0000-0000C8190000}"/>
    <cellStyle name="20% - Accent5 2 5 7 2" xfId="5535" xr:uid="{00000000-0005-0000-0000-0000C9190000}"/>
    <cellStyle name="20% - Accent5 2 5 8" xfId="5536" xr:uid="{00000000-0005-0000-0000-0000CA190000}"/>
    <cellStyle name="20% - Accent5 2 5 9" xfId="5537" xr:uid="{00000000-0005-0000-0000-0000CB190000}"/>
    <cellStyle name="20% - Accent5 2 6" xfId="5538" xr:uid="{00000000-0005-0000-0000-0000CC190000}"/>
    <cellStyle name="20% - Accent5 2 6 2" xfId="5539" xr:uid="{00000000-0005-0000-0000-0000CD190000}"/>
    <cellStyle name="20% - Accent5 2 6 3" xfId="34604" xr:uid="{00000000-0005-0000-0000-0000CE190000}"/>
    <cellStyle name="20% - Accent5 2 7" xfId="5540" xr:uid="{00000000-0005-0000-0000-0000CF190000}"/>
    <cellStyle name="20% - Accent5 2 7 2" xfId="5541" xr:uid="{00000000-0005-0000-0000-0000D0190000}"/>
    <cellStyle name="20% - Accent5 2 7 2 2" xfId="5542" xr:uid="{00000000-0005-0000-0000-0000D1190000}"/>
    <cellStyle name="20% - Accent5 2 7 2 2 2" xfId="5543" xr:uid="{00000000-0005-0000-0000-0000D2190000}"/>
    <cellStyle name="20% - Accent5 2 7 2 3" xfId="5544" xr:uid="{00000000-0005-0000-0000-0000D3190000}"/>
    <cellStyle name="20% - Accent5 2 7 2 4" xfId="5545" xr:uid="{00000000-0005-0000-0000-0000D4190000}"/>
    <cellStyle name="20% - Accent5 2 7 2 5" xfId="37482" xr:uid="{00000000-0005-0000-0000-0000D5190000}"/>
    <cellStyle name="20% - Accent5 2 7 3" xfId="5546" xr:uid="{00000000-0005-0000-0000-0000D6190000}"/>
    <cellStyle name="20% - Accent5 2 7 4" xfId="5547" xr:uid="{00000000-0005-0000-0000-0000D7190000}"/>
    <cellStyle name="20% - Accent5 2 7 4 2" xfId="5548" xr:uid="{00000000-0005-0000-0000-0000D8190000}"/>
    <cellStyle name="20% - Accent5 2 7 5" xfId="5549" xr:uid="{00000000-0005-0000-0000-0000D9190000}"/>
    <cellStyle name="20% - Accent5 2 7 6" xfId="5550" xr:uid="{00000000-0005-0000-0000-0000DA190000}"/>
    <cellStyle name="20% - Accent5 2 7 7" xfId="37481" xr:uid="{00000000-0005-0000-0000-0000DB190000}"/>
    <cellStyle name="20% - Accent5 2 8" xfId="5551" xr:uid="{00000000-0005-0000-0000-0000DC190000}"/>
    <cellStyle name="20% - Accent5 2 8 2" xfId="5552" xr:uid="{00000000-0005-0000-0000-0000DD190000}"/>
    <cellStyle name="20% - Accent5 2 8 2 2" xfId="5553" xr:uid="{00000000-0005-0000-0000-0000DE190000}"/>
    <cellStyle name="20% - Accent5 2 8 3" xfId="5554" xr:uid="{00000000-0005-0000-0000-0000DF190000}"/>
    <cellStyle name="20% - Accent5 2 8 4" xfId="5555" xr:uid="{00000000-0005-0000-0000-0000E0190000}"/>
    <cellStyle name="20% - Accent5 2 8 5" xfId="37483" xr:uid="{00000000-0005-0000-0000-0000E1190000}"/>
    <cellStyle name="20% - Accent5 2 9" xfId="5556" xr:uid="{00000000-0005-0000-0000-0000E2190000}"/>
    <cellStyle name="20% - Accent5 2 9 2" xfId="5557" xr:uid="{00000000-0005-0000-0000-0000E3190000}"/>
    <cellStyle name="20% - Accent5 3" xfId="5558" xr:uid="{00000000-0005-0000-0000-0000E4190000}"/>
    <cellStyle name="20% - Accent5 3 10" xfId="5559" xr:uid="{00000000-0005-0000-0000-0000E5190000}"/>
    <cellStyle name="20% - Accent5 3 11" xfId="5560" xr:uid="{00000000-0005-0000-0000-0000E6190000}"/>
    <cellStyle name="20% - Accent5 3 11 2" xfId="5561" xr:uid="{00000000-0005-0000-0000-0000E7190000}"/>
    <cellStyle name="20% - Accent5 3 12" xfId="5562" xr:uid="{00000000-0005-0000-0000-0000E8190000}"/>
    <cellStyle name="20% - Accent5 3 13" xfId="5563" xr:uid="{00000000-0005-0000-0000-0000E9190000}"/>
    <cellStyle name="20% - Accent5 3 2" xfId="5564" xr:uid="{00000000-0005-0000-0000-0000EA190000}"/>
    <cellStyle name="20% - Accent5 3 2 10" xfId="5565" xr:uid="{00000000-0005-0000-0000-0000EB190000}"/>
    <cellStyle name="20% - Accent5 3 2 10 2" xfId="5566" xr:uid="{00000000-0005-0000-0000-0000EC190000}"/>
    <cellStyle name="20% - Accent5 3 2 11" xfId="5567" xr:uid="{00000000-0005-0000-0000-0000ED190000}"/>
    <cellStyle name="20% - Accent5 3 2 12" xfId="5568" xr:uid="{00000000-0005-0000-0000-0000EE190000}"/>
    <cellStyle name="20% - Accent5 3 2 13" xfId="34605" xr:uid="{00000000-0005-0000-0000-0000EF190000}"/>
    <cellStyle name="20% - Accent5 3 2 2" xfId="5569" xr:uid="{00000000-0005-0000-0000-0000F0190000}"/>
    <cellStyle name="20% - Accent5 3 2 2 10" xfId="5570" xr:uid="{00000000-0005-0000-0000-0000F1190000}"/>
    <cellStyle name="20% - Accent5 3 2 2 11" xfId="5571" xr:uid="{00000000-0005-0000-0000-0000F2190000}"/>
    <cellStyle name="20% - Accent5 3 2 2 12" xfId="34606" xr:uid="{00000000-0005-0000-0000-0000F3190000}"/>
    <cellStyle name="20% - Accent5 3 2 2 2" xfId="5572" xr:uid="{00000000-0005-0000-0000-0000F4190000}"/>
    <cellStyle name="20% - Accent5 3 2 2 2 10" xfId="5573" xr:uid="{00000000-0005-0000-0000-0000F5190000}"/>
    <cellStyle name="20% - Accent5 3 2 2 2 11" xfId="34607" xr:uid="{00000000-0005-0000-0000-0000F6190000}"/>
    <cellStyle name="20% - Accent5 3 2 2 2 2" xfId="5574" xr:uid="{00000000-0005-0000-0000-0000F7190000}"/>
    <cellStyle name="20% - Accent5 3 2 2 2 2 10" xfId="34608" xr:uid="{00000000-0005-0000-0000-0000F8190000}"/>
    <cellStyle name="20% - Accent5 3 2 2 2 2 2" xfId="5575" xr:uid="{00000000-0005-0000-0000-0000F9190000}"/>
    <cellStyle name="20% - Accent5 3 2 2 2 2 2 2" xfId="5576" xr:uid="{00000000-0005-0000-0000-0000FA190000}"/>
    <cellStyle name="20% - Accent5 3 2 2 2 2 2 2 2" xfId="5577" xr:uid="{00000000-0005-0000-0000-0000FB190000}"/>
    <cellStyle name="20% - Accent5 3 2 2 2 2 2 2 2 2" xfId="5578" xr:uid="{00000000-0005-0000-0000-0000FC190000}"/>
    <cellStyle name="20% - Accent5 3 2 2 2 2 2 2 3" xfId="5579" xr:uid="{00000000-0005-0000-0000-0000FD190000}"/>
    <cellStyle name="20% - Accent5 3 2 2 2 2 2 2 4" xfId="5580" xr:uid="{00000000-0005-0000-0000-0000FE190000}"/>
    <cellStyle name="20% - Accent5 3 2 2 2 2 2 2 5" xfId="37485" xr:uid="{00000000-0005-0000-0000-0000FF190000}"/>
    <cellStyle name="20% - Accent5 3 2 2 2 2 2 3" xfId="5581" xr:uid="{00000000-0005-0000-0000-0000001A0000}"/>
    <cellStyle name="20% - Accent5 3 2 2 2 2 2 3 2" xfId="5582" xr:uid="{00000000-0005-0000-0000-0000011A0000}"/>
    <cellStyle name="20% - Accent5 3 2 2 2 2 2 4" xfId="5583" xr:uid="{00000000-0005-0000-0000-0000021A0000}"/>
    <cellStyle name="20% - Accent5 3 2 2 2 2 2 5" xfId="5584" xr:uid="{00000000-0005-0000-0000-0000031A0000}"/>
    <cellStyle name="20% - Accent5 3 2 2 2 2 2 6" xfId="37484" xr:uid="{00000000-0005-0000-0000-0000041A0000}"/>
    <cellStyle name="20% - Accent5 3 2 2 2 2 3" xfId="5585" xr:uid="{00000000-0005-0000-0000-0000051A0000}"/>
    <cellStyle name="20% - Accent5 3 2 2 2 2 3 2" xfId="5586" xr:uid="{00000000-0005-0000-0000-0000061A0000}"/>
    <cellStyle name="20% - Accent5 3 2 2 2 2 3 2 2" xfId="5587" xr:uid="{00000000-0005-0000-0000-0000071A0000}"/>
    <cellStyle name="20% - Accent5 3 2 2 2 2 3 2 2 2" xfId="5588" xr:uid="{00000000-0005-0000-0000-0000081A0000}"/>
    <cellStyle name="20% - Accent5 3 2 2 2 2 3 2 3" xfId="5589" xr:uid="{00000000-0005-0000-0000-0000091A0000}"/>
    <cellStyle name="20% - Accent5 3 2 2 2 2 3 2 4" xfId="5590" xr:uid="{00000000-0005-0000-0000-00000A1A0000}"/>
    <cellStyle name="20% - Accent5 3 2 2 2 2 3 2 5" xfId="37487" xr:uid="{00000000-0005-0000-0000-00000B1A0000}"/>
    <cellStyle name="20% - Accent5 3 2 2 2 2 3 3" xfId="5591" xr:uid="{00000000-0005-0000-0000-00000C1A0000}"/>
    <cellStyle name="20% - Accent5 3 2 2 2 2 3 3 2" xfId="5592" xr:uid="{00000000-0005-0000-0000-00000D1A0000}"/>
    <cellStyle name="20% - Accent5 3 2 2 2 2 3 4" xfId="5593" xr:uid="{00000000-0005-0000-0000-00000E1A0000}"/>
    <cellStyle name="20% - Accent5 3 2 2 2 2 3 5" xfId="5594" xr:uid="{00000000-0005-0000-0000-00000F1A0000}"/>
    <cellStyle name="20% - Accent5 3 2 2 2 2 3 6" xfId="37486" xr:uid="{00000000-0005-0000-0000-0000101A0000}"/>
    <cellStyle name="20% - Accent5 3 2 2 2 2 4" xfId="5595" xr:uid="{00000000-0005-0000-0000-0000111A0000}"/>
    <cellStyle name="20% - Accent5 3 2 2 2 2 4 2" xfId="5596" xr:uid="{00000000-0005-0000-0000-0000121A0000}"/>
    <cellStyle name="20% - Accent5 3 2 2 2 2 4 2 2" xfId="5597" xr:uid="{00000000-0005-0000-0000-0000131A0000}"/>
    <cellStyle name="20% - Accent5 3 2 2 2 2 4 3" xfId="5598" xr:uid="{00000000-0005-0000-0000-0000141A0000}"/>
    <cellStyle name="20% - Accent5 3 2 2 2 2 4 4" xfId="5599" xr:uid="{00000000-0005-0000-0000-0000151A0000}"/>
    <cellStyle name="20% - Accent5 3 2 2 2 2 4 5" xfId="37488" xr:uid="{00000000-0005-0000-0000-0000161A0000}"/>
    <cellStyle name="20% - Accent5 3 2 2 2 2 5" xfId="5600" xr:uid="{00000000-0005-0000-0000-0000171A0000}"/>
    <cellStyle name="20% - Accent5 3 2 2 2 2 5 2" xfId="5601" xr:uid="{00000000-0005-0000-0000-0000181A0000}"/>
    <cellStyle name="20% - Accent5 3 2 2 2 2 5 2 2" xfId="5602" xr:uid="{00000000-0005-0000-0000-0000191A0000}"/>
    <cellStyle name="20% - Accent5 3 2 2 2 2 5 3" xfId="5603" xr:uid="{00000000-0005-0000-0000-00001A1A0000}"/>
    <cellStyle name="20% - Accent5 3 2 2 2 2 5 4" xfId="5604" xr:uid="{00000000-0005-0000-0000-00001B1A0000}"/>
    <cellStyle name="20% - Accent5 3 2 2 2 2 6" xfId="5605" xr:uid="{00000000-0005-0000-0000-00001C1A0000}"/>
    <cellStyle name="20% - Accent5 3 2 2 2 2 6 2" xfId="5606" xr:uid="{00000000-0005-0000-0000-00001D1A0000}"/>
    <cellStyle name="20% - Accent5 3 2 2 2 2 6 2 2" xfId="5607" xr:uid="{00000000-0005-0000-0000-00001E1A0000}"/>
    <cellStyle name="20% - Accent5 3 2 2 2 2 6 3" xfId="5608" xr:uid="{00000000-0005-0000-0000-00001F1A0000}"/>
    <cellStyle name="20% - Accent5 3 2 2 2 2 6 4" xfId="5609" xr:uid="{00000000-0005-0000-0000-0000201A0000}"/>
    <cellStyle name="20% - Accent5 3 2 2 2 2 7" xfId="5610" xr:uid="{00000000-0005-0000-0000-0000211A0000}"/>
    <cellStyle name="20% - Accent5 3 2 2 2 2 7 2" xfId="5611" xr:uid="{00000000-0005-0000-0000-0000221A0000}"/>
    <cellStyle name="20% - Accent5 3 2 2 2 2 8" xfId="5612" xr:uid="{00000000-0005-0000-0000-0000231A0000}"/>
    <cellStyle name="20% - Accent5 3 2 2 2 2 9" xfId="5613" xr:uid="{00000000-0005-0000-0000-0000241A0000}"/>
    <cellStyle name="20% - Accent5 3 2 2 2 3" xfId="5614" xr:uid="{00000000-0005-0000-0000-0000251A0000}"/>
    <cellStyle name="20% - Accent5 3 2 2 2 3 2" xfId="5615" xr:uid="{00000000-0005-0000-0000-0000261A0000}"/>
    <cellStyle name="20% - Accent5 3 2 2 2 3 2 2" xfId="5616" xr:uid="{00000000-0005-0000-0000-0000271A0000}"/>
    <cellStyle name="20% - Accent5 3 2 2 2 3 2 2 2" xfId="5617" xr:uid="{00000000-0005-0000-0000-0000281A0000}"/>
    <cellStyle name="20% - Accent5 3 2 2 2 3 2 3" xfId="5618" xr:uid="{00000000-0005-0000-0000-0000291A0000}"/>
    <cellStyle name="20% - Accent5 3 2 2 2 3 2 4" xfId="5619" xr:uid="{00000000-0005-0000-0000-00002A1A0000}"/>
    <cellStyle name="20% - Accent5 3 2 2 2 3 2 5" xfId="37490" xr:uid="{00000000-0005-0000-0000-00002B1A0000}"/>
    <cellStyle name="20% - Accent5 3 2 2 2 3 3" xfId="5620" xr:uid="{00000000-0005-0000-0000-00002C1A0000}"/>
    <cellStyle name="20% - Accent5 3 2 2 2 3 3 2" xfId="5621" xr:uid="{00000000-0005-0000-0000-00002D1A0000}"/>
    <cellStyle name="20% - Accent5 3 2 2 2 3 4" xfId="5622" xr:uid="{00000000-0005-0000-0000-00002E1A0000}"/>
    <cellStyle name="20% - Accent5 3 2 2 2 3 5" xfId="5623" xr:uid="{00000000-0005-0000-0000-00002F1A0000}"/>
    <cellStyle name="20% - Accent5 3 2 2 2 3 6" xfId="37489" xr:uid="{00000000-0005-0000-0000-0000301A0000}"/>
    <cellStyle name="20% - Accent5 3 2 2 2 4" xfId="5624" xr:uid="{00000000-0005-0000-0000-0000311A0000}"/>
    <cellStyle name="20% - Accent5 3 2 2 2 4 2" xfId="5625" xr:uid="{00000000-0005-0000-0000-0000321A0000}"/>
    <cellStyle name="20% - Accent5 3 2 2 2 4 2 2" xfId="5626" xr:uid="{00000000-0005-0000-0000-0000331A0000}"/>
    <cellStyle name="20% - Accent5 3 2 2 2 4 2 2 2" xfId="5627" xr:uid="{00000000-0005-0000-0000-0000341A0000}"/>
    <cellStyle name="20% - Accent5 3 2 2 2 4 2 3" xfId="5628" xr:uid="{00000000-0005-0000-0000-0000351A0000}"/>
    <cellStyle name="20% - Accent5 3 2 2 2 4 2 4" xfId="5629" xr:uid="{00000000-0005-0000-0000-0000361A0000}"/>
    <cellStyle name="20% - Accent5 3 2 2 2 4 2 5" xfId="37492" xr:uid="{00000000-0005-0000-0000-0000371A0000}"/>
    <cellStyle name="20% - Accent5 3 2 2 2 4 3" xfId="5630" xr:uid="{00000000-0005-0000-0000-0000381A0000}"/>
    <cellStyle name="20% - Accent5 3 2 2 2 4 3 2" xfId="5631" xr:uid="{00000000-0005-0000-0000-0000391A0000}"/>
    <cellStyle name="20% - Accent5 3 2 2 2 4 4" xfId="5632" xr:uid="{00000000-0005-0000-0000-00003A1A0000}"/>
    <cellStyle name="20% - Accent5 3 2 2 2 4 5" xfId="5633" xr:uid="{00000000-0005-0000-0000-00003B1A0000}"/>
    <cellStyle name="20% - Accent5 3 2 2 2 4 6" xfId="37491" xr:uid="{00000000-0005-0000-0000-00003C1A0000}"/>
    <cellStyle name="20% - Accent5 3 2 2 2 5" xfId="5634" xr:uid="{00000000-0005-0000-0000-00003D1A0000}"/>
    <cellStyle name="20% - Accent5 3 2 2 2 5 2" xfId="5635" xr:uid="{00000000-0005-0000-0000-00003E1A0000}"/>
    <cellStyle name="20% - Accent5 3 2 2 2 5 2 2" xfId="5636" xr:uid="{00000000-0005-0000-0000-00003F1A0000}"/>
    <cellStyle name="20% - Accent5 3 2 2 2 5 3" xfId="5637" xr:uid="{00000000-0005-0000-0000-0000401A0000}"/>
    <cellStyle name="20% - Accent5 3 2 2 2 5 4" xfId="5638" xr:uid="{00000000-0005-0000-0000-0000411A0000}"/>
    <cellStyle name="20% - Accent5 3 2 2 2 5 5" xfId="37493" xr:uid="{00000000-0005-0000-0000-0000421A0000}"/>
    <cellStyle name="20% - Accent5 3 2 2 2 6" xfId="5639" xr:uid="{00000000-0005-0000-0000-0000431A0000}"/>
    <cellStyle name="20% - Accent5 3 2 2 2 6 2" xfId="5640" xr:uid="{00000000-0005-0000-0000-0000441A0000}"/>
    <cellStyle name="20% - Accent5 3 2 2 2 6 2 2" xfId="5641" xr:uid="{00000000-0005-0000-0000-0000451A0000}"/>
    <cellStyle name="20% - Accent5 3 2 2 2 6 3" xfId="5642" xr:uid="{00000000-0005-0000-0000-0000461A0000}"/>
    <cellStyle name="20% - Accent5 3 2 2 2 6 4" xfId="5643" xr:uid="{00000000-0005-0000-0000-0000471A0000}"/>
    <cellStyle name="20% - Accent5 3 2 2 2 7" xfId="5644" xr:uid="{00000000-0005-0000-0000-0000481A0000}"/>
    <cellStyle name="20% - Accent5 3 2 2 2 7 2" xfId="5645" xr:uid="{00000000-0005-0000-0000-0000491A0000}"/>
    <cellStyle name="20% - Accent5 3 2 2 2 7 2 2" xfId="5646" xr:uid="{00000000-0005-0000-0000-00004A1A0000}"/>
    <cellStyle name="20% - Accent5 3 2 2 2 7 3" xfId="5647" xr:uid="{00000000-0005-0000-0000-00004B1A0000}"/>
    <cellStyle name="20% - Accent5 3 2 2 2 7 4" xfId="5648" xr:uid="{00000000-0005-0000-0000-00004C1A0000}"/>
    <cellStyle name="20% - Accent5 3 2 2 2 8" xfId="5649" xr:uid="{00000000-0005-0000-0000-00004D1A0000}"/>
    <cellStyle name="20% - Accent5 3 2 2 2 8 2" xfId="5650" xr:uid="{00000000-0005-0000-0000-00004E1A0000}"/>
    <cellStyle name="20% - Accent5 3 2 2 2 9" xfId="5651" xr:uid="{00000000-0005-0000-0000-00004F1A0000}"/>
    <cellStyle name="20% - Accent5 3 2 2 3" xfId="5652" xr:uid="{00000000-0005-0000-0000-0000501A0000}"/>
    <cellStyle name="20% - Accent5 3 2 2 3 10" xfId="34609" xr:uid="{00000000-0005-0000-0000-0000511A0000}"/>
    <cellStyle name="20% - Accent5 3 2 2 3 2" xfId="5653" xr:uid="{00000000-0005-0000-0000-0000521A0000}"/>
    <cellStyle name="20% - Accent5 3 2 2 3 2 2" xfId="5654" xr:uid="{00000000-0005-0000-0000-0000531A0000}"/>
    <cellStyle name="20% - Accent5 3 2 2 3 2 2 2" xfId="5655" xr:uid="{00000000-0005-0000-0000-0000541A0000}"/>
    <cellStyle name="20% - Accent5 3 2 2 3 2 2 2 2" xfId="5656" xr:uid="{00000000-0005-0000-0000-0000551A0000}"/>
    <cellStyle name="20% - Accent5 3 2 2 3 2 2 3" xfId="5657" xr:uid="{00000000-0005-0000-0000-0000561A0000}"/>
    <cellStyle name="20% - Accent5 3 2 2 3 2 2 4" xfId="5658" xr:uid="{00000000-0005-0000-0000-0000571A0000}"/>
    <cellStyle name="20% - Accent5 3 2 2 3 2 2 5" xfId="37495" xr:uid="{00000000-0005-0000-0000-0000581A0000}"/>
    <cellStyle name="20% - Accent5 3 2 2 3 2 3" xfId="5659" xr:uid="{00000000-0005-0000-0000-0000591A0000}"/>
    <cellStyle name="20% - Accent5 3 2 2 3 2 3 2" xfId="5660" xr:uid="{00000000-0005-0000-0000-00005A1A0000}"/>
    <cellStyle name="20% - Accent5 3 2 2 3 2 4" xfId="5661" xr:uid="{00000000-0005-0000-0000-00005B1A0000}"/>
    <cellStyle name="20% - Accent5 3 2 2 3 2 5" xfId="5662" xr:uid="{00000000-0005-0000-0000-00005C1A0000}"/>
    <cellStyle name="20% - Accent5 3 2 2 3 2 6" xfId="37494" xr:uid="{00000000-0005-0000-0000-00005D1A0000}"/>
    <cellStyle name="20% - Accent5 3 2 2 3 3" xfId="5663" xr:uid="{00000000-0005-0000-0000-00005E1A0000}"/>
    <cellStyle name="20% - Accent5 3 2 2 3 3 2" xfId="5664" xr:uid="{00000000-0005-0000-0000-00005F1A0000}"/>
    <cellStyle name="20% - Accent5 3 2 2 3 3 2 2" xfId="5665" xr:uid="{00000000-0005-0000-0000-0000601A0000}"/>
    <cellStyle name="20% - Accent5 3 2 2 3 3 2 2 2" xfId="5666" xr:uid="{00000000-0005-0000-0000-0000611A0000}"/>
    <cellStyle name="20% - Accent5 3 2 2 3 3 2 3" xfId="5667" xr:uid="{00000000-0005-0000-0000-0000621A0000}"/>
    <cellStyle name="20% - Accent5 3 2 2 3 3 2 4" xfId="5668" xr:uid="{00000000-0005-0000-0000-0000631A0000}"/>
    <cellStyle name="20% - Accent5 3 2 2 3 3 2 5" xfId="37497" xr:uid="{00000000-0005-0000-0000-0000641A0000}"/>
    <cellStyle name="20% - Accent5 3 2 2 3 3 3" xfId="5669" xr:uid="{00000000-0005-0000-0000-0000651A0000}"/>
    <cellStyle name="20% - Accent5 3 2 2 3 3 3 2" xfId="5670" xr:uid="{00000000-0005-0000-0000-0000661A0000}"/>
    <cellStyle name="20% - Accent5 3 2 2 3 3 4" xfId="5671" xr:uid="{00000000-0005-0000-0000-0000671A0000}"/>
    <cellStyle name="20% - Accent5 3 2 2 3 3 5" xfId="5672" xr:uid="{00000000-0005-0000-0000-0000681A0000}"/>
    <cellStyle name="20% - Accent5 3 2 2 3 3 6" xfId="37496" xr:uid="{00000000-0005-0000-0000-0000691A0000}"/>
    <cellStyle name="20% - Accent5 3 2 2 3 4" xfId="5673" xr:uid="{00000000-0005-0000-0000-00006A1A0000}"/>
    <cellStyle name="20% - Accent5 3 2 2 3 4 2" xfId="5674" xr:uid="{00000000-0005-0000-0000-00006B1A0000}"/>
    <cellStyle name="20% - Accent5 3 2 2 3 4 2 2" xfId="5675" xr:uid="{00000000-0005-0000-0000-00006C1A0000}"/>
    <cellStyle name="20% - Accent5 3 2 2 3 4 3" xfId="5676" xr:uid="{00000000-0005-0000-0000-00006D1A0000}"/>
    <cellStyle name="20% - Accent5 3 2 2 3 4 4" xfId="5677" xr:uid="{00000000-0005-0000-0000-00006E1A0000}"/>
    <cellStyle name="20% - Accent5 3 2 2 3 4 5" xfId="37498" xr:uid="{00000000-0005-0000-0000-00006F1A0000}"/>
    <cellStyle name="20% - Accent5 3 2 2 3 5" xfId="5678" xr:uid="{00000000-0005-0000-0000-0000701A0000}"/>
    <cellStyle name="20% - Accent5 3 2 2 3 5 2" xfId="5679" xr:uid="{00000000-0005-0000-0000-0000711A0000}"/>
    <cellStyle name="20% - Accent5 3 2 2 3 5 2 2" xfId="5680" xr:uid="{00000000-0005-0000-0000-0000721A0000}"/>
    <cellStyle name="20% - Accent5 3 2 2 3 5 3" xfId="5681" xr:uid="{00000000-0005-0000-0000-0000731A0000}"/>
    <cellStyle name="20% - Accent5 3 2 2 3 5 4" xfId="5682" xr:uid="{00000000-0005-0000-0000-0000741A0000}"/>
    <cellStyle name="20% - Accent5 3 2 2 3 6" xfId="5683" xr:uid="{00000000-0005-0000-0000-0000751A0000}"/>
    <cellStyle name="20% - Accent5 3 2 2 3 6 2" xfId="5684" xr:uid="{00000000-0005-0000-0000-0000761A0000}"/>
    <cellStyle name="20% - Accent5 3 2 2 3 6 2 2" xfId="5685" xr:uid="{00000000-0005-0000-0000-0000771A0000}"/>
    <cellStyle name="20% - Accent5 3 2 2 3 6 3" xfId="5686" xr:uid="{00000000-0005-0000-0000-0000781A0000}"/>
    <cellStyle name="20% - Accent5 3 2 2 3 6 4" xfId="5687" xr:uid="{00000000-0005-0000-0000-0000791A0000}"/>
    <cellStyle name="20% - Accent5 3 2 2 3 7" xfId="5688" xr:uid="{00000000-0005-0000-0000-00007A1A0000}"/>
    <cellStyle name="20% - Accent5 3 2 2 3 7 2" xfId="5689" xr:uid="{00000000-0005-0000-0000-00007B1A0000}"/>
    <cellStyle name="20% - Accent5 3 2 2 3 8" xfId="5690" xr:uid="{00000000-0005-0000-0000-00007C1A0000}"/>
    <cellStyle name="20% - Accent5 3 2 2 3 9" xfId="5691" xr:uid="{00000000-0005-0000-0000-00007D1A0000}"/>
    <cellStyle name="20% - Accent5 3 2 2 4" xfId="5692" xr:uid="{00000000-0005-0000-0000-00007E1A0000}"/>
    <cellStyle name="20% - Accent5 3 2 2 4 2" xfId="5693" xr:uid="{00000000-0005-0000-0000-00007F1A0000}"/>
    <cellStyle name="20% - Accent5 3 2 2 4 2 2" xfId="5694" xr:uid="{00000000-0005-0000-0000-0000801A0000}"/>
    <cellStyle name="20% - Accent5 3 2 2 4 2 2 2" xfId="5695" xr:uid="{00000000-0005-0000-0000-0000811A0000}"/>
    <cellStyle name="20% - Accent5 3 2 2 4 2 3" xfId="5696" xr:uid="{00000000-0005-0000-0000-0000821A0000}"/>
    <cellStyle name="20% - Accent5 3 2 2 4 2 4" xfId="5697" xr:uid="{00000000-0005-0000-0000-0000831A0000}"/>
    <cellStyle name="20% - Accent5 3 2 2 4 2 5" xfId="37500" xr:uid="{00000000-0005-0000-0000-0000841A0000}"/>
    <cellStyle name="20% - Accent5 3 2 2 4 3" xfId="5698" xr:uid="{00000000-0005-0000-0000-0000851A0000}"/>
    <cellStyle name="20% - Accent5 3 2 2 4 3 2" xfId="5699" xr:uid="{00000000-0005-0000-0000-0000861A0000}"/>
    <cellStyle name="20% - Accent5 3 2 2 4 4" xfId="5700" xr:uid="{00000000-0005-0000-0000-0000871A0000}"/>
    <cellStyle name="20% - Accent5 3 2 2 4 5" xfId="5701" xr:uid="{00000000-0005-0000-0000-0000881A0000}"/>
    <cellStyle name="20% - Accent5 3 2 2 4 6" xfId="37499" xr:uid="{00000000-0005-0000-0000-0000891A0000}"/>
    <cellStyle name="20% - Accent5 3 2 2 5" xfId="5702" xr:uid="{00000000-0005-0000-0000-00008A1A0000}"/>
    <cellStyle name="20% - Accent5 3 2 2 5 2" xfId="5703" xr:uid="{00000000-0005-0000-0000-00008B1A0000}"/>
    <cellStyle name="20% - Accent5 3 2 2 5 2 2" xfId="5704" xr:uid="{00000000-0005-0000-0000-00008C1A0000}"/>
    <cellStyle name="20% - Accent5 3 2 2 5 2 2 2" xfId="5705" xr:uid="{00000000-0005-0000-0000-00008D1A0000}"/>
    <cellStyle name="20% - Accent5 3 2 2 5 2 3" xfId="5706" xr:uid="{00000000-0005-0000-0000-00008E1A0000}"/>
    <cellStyle name="20% - Accent5 3 2 2 5 2 4" xfId="5707" xr:uid="{00000000-0005-0000-0000-00008F1A0000}"/>
    <cellStyle name="20% - Accent5 3 2 2 5 2 5" xfId="37502" xr:uid="{00000000-0005-0000-0000-0000901A0000}"/>
    <cellStyle name="20% - Accent5 3 2 2 5 3" xfId="5708" xr:uid="{00000000-0005-0000-0000-0000911A0000}"/>
    <cellStyle name="20% - Accent5 3 2 2 5 3 2" xfId="5709" xr:uid="{00000000-0005-0000-0000-0000921A0000}"/>
    <cellStyle name="20% - Accent5 3 2 2 5 4" xfId="5710" xr:uid="{00000000-0005-0000-0000-0000931A0000}"/>
    <cellStyle name="20% - Accent5 3 2 2 5 5" xfId="5711" xr:uid="{00000000-0005-0000-0000-0000941A0000}"/>
    <cellStyle name="20% - Accent5 3 2 2 5 6" xfId="37501" xr:uid="{00000000-0005-0000-0000-0000951A0000}"/>
    <cellStyle name="20% - Accent5 3 2 2 6" xfId="5712" xr:uid="{00000000-0005-0000-0000-0000961A0000}"/>
    <cellStyle name="20% - Accent5 3 2 2 6 2" xfId="5713" xr:uid="{00000000-0005-0000-0000-0000971A0000}"/>
    <cellStyle name="20% - Accent5 3 2 2 6 2 2" xfId="5714" xr:uid="{00000000-0005-0000-0000-0000981A0000}"/>
    <cellStyle name="20% - Accent5 3 2 2 6 3" xfId="5715" xr:uid="{00000000-0005-0000-0000-0000991A0000}"/>
    <cellStyle name="20% - Accent5 3 2 2 6 4" xfId="5716" xr:uid="{00000000-0005-0000-0000-00009A1A0000}"/>
    <cellStyle name="20% - Accent5 3 2 2 6 5" xfId="37503" xr:uid="{00000000-0005-0000-0000-00009B1A0000}"/>
    <cellStyle name="20% - Accent5 3 2 2 7" xfId="5717" xr:uid="{00000000-0005-0000-0000-00009C1A0000}"/>
    <cellStyle name="20% - Accent5 3 2 2 7 2" xfId="5718" xr:uid="{00000000-0005-0000-0000-00009D1A0000}"/>
    <cellStyle name="20% - Accent5 3 2 2 7 2 2" xfId="5719" xr:uid="{00000000-0005-0000-0000-00009E1A0000}"/>
    <cellStyle name="20% - Accent5 3 2 2 7 3" xfId="5720" xr:uid="{00000000-0005-0000-0000-00009F1A0000}"/>
    <cellStyle name="20% - Accent5 3 2 2 7 4" xfId="5721" xr:uid="{00000000-0005-0000-0000-0000A01A0000}"/>
    <cellStyle name="20% - Accent5 3 2 2 8" xfId="5722" xr:uid="{00000000-0005-0000-0000-0000A11A0000}"/>
    <cellStyle name="20% - Accent5 3 2 2 8 2" xfId="5723" xr:uid="{00000000-0005-0000-0000-0000A21A0000}"/>
    <cellStyle name="20% - Accent5 3 2 2 8 2 2" xfId="5724" xr:uid="{00000000-0005-0000-0000-0000A31A0000}"/>
    <cellStyle name="20% - Accent5 3 2 2 8 3" xfId="5725" xr:uid="{00000000-0005-0000-0000-0000A41A0000}"/>
    <cellStyle name="20% - Accent5 3 2 2 8 4" xfId="5726" xr:uid="{00000000-0005-0000-0000-0000A51A0000}"/>
    <cellStyle name="20% - Accent5 3 2 2 9" xfId="5727" xr:uid="{00000000-0005-0000-0000-0000A61A0000}"/>
    <cellStyle name="20% - Accent5 3 2 2 9 2" xfId="5728" xr:uid="{00000000-0005-0000-0000-0000A71A0000}"/>
    <cellStyle name="20% - Accent5 3 2 3" xfId="5729" xr:uid="{00000000-0005-0000-0000-0000A81A0000}"/>
    <cellStyle name="20% - Accent5 3 2 3 10" xfId="5730" xr:uid="{00000000-0005-0000-0000-0000A91A0000}"/>
    <cellStyle name="20% - Accent5 3 2 3 11" xfId="34610" xr:uid="{00000000-0005-0000-0000-0000AA1A0000}"/>
    <cellStyle name="20% - Accent5 3 2 3 2" xfId="5731" xr:uid="{00000000-0005-0000-0000-0000AB1A0000}"/>
    <cellStyle name="20% - Accent5 3 2 3 2 10" xfId="34611" xr:uid="{00000000-0005-0000-0000-0000AC1A0000}"/>
    <cellStyle name="20% - Accent5 3 2 3 2 2" xfId="5732" xr:uid="{00000000-0005-0000-0000-0000AD1A0000}"/>
    <cellStyle name="20% - Accent5 3 2 3 2 2 2" xfId="5733" xr:uid="{00000000-0005-0000-0000-0000AE1A0000}"/>
    <cellStyle name="20% - Accent5 3 2 3 2 2 2 2" xfId="5734" xr:uid="{00000000-0005-0000-0000-0000AF1A0000}"/>
    <cellStyle name="20% - Accent5 3 2 3 2 2 2 2 2" xfId="5735" xr:uid="{00000000-0005-0000-0000-0000B01A0000}"/>
    <cellStyle name="20% - Accent5 3 2 3 2 2 2 3" xfId="5736" xr:uid="{00000000-0005-0000-0000-0000B11A0000}"/>
    <cellStyle name="20% - Accent5 3 2 3 2 2 2 4" xfId="5737" xr:uid="{00000000-0005-0000-0000-0000B21A0000}"/>
    <cellStyle name="20% - Accent5 3 2 3 2 2 2 5" xfId="37505" xr:uid="{00000000-0005-0000-0000-0000B31A0000}"/>
    <cellStyle name="20% - Accent5 3 2 3 2 2 3" xfId="5738" xr:uid="{00000000-0005-0000-0000-0000B41A0000}"/>
    <cellStyle name="20% - Accent5 3 2 3 2 2 3 2" xfId="5739" xr:uid="{00000000-0005-0000-0000-0000B51A0000}"/>
    <cellStyle name="20% - Accent5 3 2 3 2 2 4" xfId="5740" xr:uid="{00000000-0005-0000-0000-0000B61A0000}"/>
    <cellStyle name="20% - Accent5 3 2 3 2 2 5" xfId="5741" xr:uid="{00000000-0005-0000-0000-0000B71A0000}"/>
    <cellStyle name="20% - Accent5 3 2 3 2 2 6" xfId="37504" xr:uid="{00000000-0005-0000-0000-0000B81A0000}"/>
    <cellStyle name="20% - Accent5 3 2 3 2 3" xfId="5742" xr:uid="{00000000-0005-0000-0000-0000B91A0000}"/>
    <cellStyle name="20% - Accent5 3 2 3 2 3 2" xfId="5743" xr:uid="{00000000-0005-0000-0000-0000BA1A0000}"/>
    <cellStyle name="20% - Accent5 3 2 3 2 3 2 2" xfId="5744" xr:uid="{00000000-0005-0000-0000-0000BB1A0000}"/>
    <cellStyle name="20% - Accent5 3 2 3 2 3 2 2 2" xfId="5745" xr:uid="{00000000-0005-0000-0000-0000BC1A0000}"/>
    <cellStyle name="20% - Accent5 3 2 3 2 3 2 3" xfId="5746" xr:uid="{00000000-0005-0000-0000-0000BD1A0000}"/>
    <cellStyle name="20% - Accent5 3 2 3 2 3 2 4" xfId="5747" xr:uid="{00000000-0005-0000-0000-0000BE1A0000}"/>
    <cellStyle name="20% - Accent5 3 2 3 2 3 2 5" xfId="37507" xr:uid="{00000000-0005-0000-0000-0000BF1A0000}"/>
    <cellStyle name="20% - Accent5 3 2 3 2 3 3" xfId="5748" xr:uid="{00000000-0005-0000-0000-0000C01A0000}"/>
    <cellStyle name="20% - Accent5 3 2 3 2 3 3 2" xfId="5749" xr:uid="{00000000-0005-0000-0000-0000C11A0000}"/>
    <cellStyle name="20% - Accent5 3 2 3 2 3 4" xfId="5750" xr:uid="{00000000-0005-0000-0000-0000C21A0000}"/>
    <cellStyle name="20% - Accent5 3 2 3 2 3 5" xfId="5751" xr:uid="{00000000-0005-0000-0000-0000C31A0000}"/>
    <cellStyle name="20% - Accent5 3 2 3 2 3 6" xfId="37506" xr:uid="{00000000-0005-0000-0000-0000C41A0000}"/>
    <cellStyle name="20% - Accent5 3 2 3 2 4" xfId="5752" xr:uid="{00000000-0005-0000-0000-0000C51A0000}"/>
    <cellStyle name="20% - Accent5 3 2 3 2 4 2" xfId="5753" xr:uid="{00000000-0005-0000-0000-0000C61A0000}"/>
    <cellStyle name="20% - Accent5 3 2 3 2 4 2 2" xfId="5754" xr:uid="{00000000-0005-0000-0000-0000C71A0000}"/>
    <cellStyle name="20% - Accent5 3 2 3 2 4 3" xfId="5755" xr:uid="{00000000-0005-0000-0000-0000C81A0000}"/>
    <cellStyle name="20% - Accent5 3 2 3 2 4 4" xfId="5756" xr:uid="{00000000-0005-0000-0000-0000C91A0000}"/>
    <cellStyle name="20% - Accent5 3 2 3 2 4 5" xfId="37508" xr:uid="{00000000-0005-0000-0000-0000CA1A0000}"/>
    <cellStyle name="20% - Accent5 3 2 3 2 5" xfId="5757" xr:uid="{00000000-0005-0000-0000-0000CB1A0000}"/>
    <cellStyle name="20% - Accent5 3 2 3 2 5 2" xfId="5758" xr:uid="{00000000-0005-0000-0000-0000CC1A0000}"/>
    <cellStyle name="20% - Accent5 3 2 3 2 5 2 2" xfId="5759" xr:uid="{00000000-0005-0000-0000-0000CD1A0000}"/>
    <cellStyle name="20% - Accent5 3 2 3 2 5 3" xfId="5760" xr:uid="{00000000-0005-0000-0000-0000CE1A0000}"/>
    <cellStyle name="20% - Accent5 3 2 3 2 5 4" xfId="5761" xr:uid="{00000000-0005-0000-0000-0000CF1A0000}"/>
    <cellStyle name="20% - Accent5 3 2 3 2 6" xfId="5762" xr:uid="{00000000-0005-0000-0000-0000D01A0000}"/>
    <cellStyle name="20% - Accent5 3 2 3 2 6 2" xfId="5763" xr:uid="{00000000-0005-0000-0000-0000D11A0000}"/>
    <cellStyle name="20% - Accent5 3 2 3 2 6 2 2" xfId="5764" xr:uid="{00000000-0005-0000-0000-0000D21A0000}"/>
    <cellStyle name="20% - Accent5 3 2 3 2 6 3" xfId="5765" xr:uid="{00000000-0005-0000-0000-0000D31A0000}"/>
    <cellStyle name="20% - Accent5 3 2 3 2 6 4" xfId="5766" xr:uid="{00000000-0005-0000-0000-0000D41A0000}"/>
    <cellStyle name="20% - Accent5 3 2 3 2 7" xfId="5767" xr:uid="{00000000-0005-0000-0000-0000D51A0000}"/>
    <cellStyle name="20% - Accent5 3 2 3 2 7 2" xfId="5768" xr:uid="{00000000-0005-0000-0000-0000D61A0000}"/>
    <cellStyle name="20% - Accent5 3 2 3 2 8" xfId="5769" xr:uid="{00000000-0005-0000-0000-0000D71A0000}"/>
    <cellStyle name="20% - Accent5 3 2 3 2 9" xfId="5770" xr:uid="{00000000-0005-0000-0000-0000D81A0000}"/>
    <cellStyle name="20% - Accent5 3 2 3 3" xfId="5771" xr:uid="{00000000-0005-0000-0000-0000D91A0000}"/>
    <cellStyle name="20% - Accent5 3 2 3 3 2" xfId="5772" xr:uid="{00000000-0005-0000-0000-0000DA1A0000}"/>
    <cellStyle name="20% - Accent5 3 2 3 3 2 2" xfId="5773" xr:uid="{00000000-0005-0000-0000-0000DB1A0000}"/>
    <cellStyle name="20% - Accent5 3 2 3 3 2 2 2" xfId="5774" xr:uid="{00000000-0005-0000-0000-0000DC1A0000}"/>
    <cellStyle name="20% - Accent5 3 2 3 3 2 3" xfId="5775" xr:uid="{00000000-0005-0000-0000-0000DD1A0000}"/>
    <cellStyle name="20% - Accent5 3 2 3 3 2 4" xfId="5776" xr:uid="{00000000-0005-0000-0000-0000DE1A0000}"/>
    <cellStyle name="20% - Accent5 3 2 3 3 2 5" xfId="37510" xr:uid="{00000000-0005-0000-0000-0000DF1A0000}"/>
    <cellStyle name="20% - Accent5 3 2 3 3 3" xfId="5777" xr:uid="{00000000-0005-0000-0000-0000E01A0000}"/>
    <cellStyle name="20% - Accent5 3 2 3 3 3 2" xfId="5778" xr:uid="{00000000-0005-0000-0000-0000E11A0000}"/>
    <cellStyle name="20% - Accent5 3 2 3 3 4" xfId="5779" xr:uid="{00000000-0005-0000-0000-0000E21A0000}"/>
    <cellStyle name="20% - Accent5 3 2 3 3 5" xfId="5780" xr:uid="{00000000-0005-0000-0000-0000E31A0000}"/>
    <cellStyle name="20% - Accent5 3 2 3 3 6" xfId="37509" xr:uid="{00000000-0005-0000-0000-0000E41A0000}"/>
    <cellStyle name="20% - Accent5 3 2 3 4" xfId="5781" xr:uid="{00000000-0005-0000-0000-0000E51A0000}"/>
    <cellStyle name="20% - Accent5 3 2 3 4 2" xfId="5782" xr:uid="{00000000-0005-0000-0000-0000E61A0000}"/>
    <cellStyle name="20% - Accent5 3 2 3 4 2 2" xfId="5783" xr:uid="{00000000-0005-0000-0000-0000E71A0000}"/>
    <cellStyle name="20% - Accent5 3 2 3 4 2 2 2" xfId="5784" xr:uid="{00000000-0005-0000-0000-0000E81A0000}"/>
    <cellStyle name="20% - Accent5 3 2 3 4 2 3" xfId="5785" xr:uid="{00000000-0005-0000-0000-0000E91A0000}"/>
    <cellStyle name="20% - Accent5 3 2 3 4 2 4" xfId="5786" xr:uid="{00000000-0005-0000-0000-0000EA1A0000}"/>
    <cellStyle name="20% - Accent5 3 2 3 4 2 5" xfId="37512" xr:uid="{00000000-0005-0000-0000-0000EB1A0000}"/>
    <cellStyle name="20% - Accent5 3 2 3 4 3" xfId="5787" xr:uid="{00000000-0005-0000-0000-0000EC1A0000}"/>
    <cellStyle name="20% - Accent5 3 2 3 4 3 2" xfId="5788" xr:uid="{00000000-0005-0000-0000-0000ED1A0000}"/>
    <cellStyle name="20% - Accent5 3 2 3 4 4" xfId="5789" xr:uid="{00000000-0005-0000-0000-0000EE1A0000}"/>
    <cellStyle name="20% - Accent5 3 2 3 4 5" xfId="5790" xr:uid="{00000000-0005-0000-0000-0000EF1A0000}"/>
    <cellStyle name="20% - Accent5 3 2 3 4 6" xfId="37511" xr:uid="{00000000-0005-0000-0000-0000F01A0000}"/>
    <cellStyle name="20% - Accent5 3 2 3 5" xfId="5791" xr:uid="{00000000-0005-0000-0000-0000F11A0000}"/>
    <cellStyle name="20% - Accent5 3 2 3 5 2" xfId="5792" xr:uid="{00000000-0005-0000-0000-0000F21A0000}"/>
    <cellStyle name="20% - Accent5 3 2 3 5 2 2" xfId="5793" xr:uid="{00000000-0005-0000-0000-0000F31A0000}"/>
    <cellStyle name="20% - Accent5 3 2 3 5 3" xfId="5794" xr:uid="{00000000-0005-0000-0000-0000F41A0000}"/>
    <cellStyle name="20% - Accent5 3 2 3 5 4" xfId="5795" xr:uid="{00000000-0005-0000-0000-0000F51A0000}"/>
    <cellStyle name="20% - Accent5 3 2 3 5 5" xfId="37513" xr:uid="{00000000-0005-0000-0000-0000F61A0000}"/>
    <cellStyle name="20% - Accent5 3 2 3 6" xfId="5796" xr:uid="{00000000-0005-0000-0000-0000F71A0000}"/>
    <cellStyle name="20% - Accent5 3 2 3 6 2" xfId="5797" xr:uid="{00000000-0005-0000-0000-0000F81A0000}"/>
    <cellStyle name="20% - Accent5 3 2 3 6 2 2" xfId="5798" xr:uid="{00000000-0005-0000-0000-0000F91A0000}"/>
    <cellStyle name="20% - Accent5 3 2 3 6 3" xfId="5799" xr:uid="{00000000-0005-0000-0000-0000FA1A0000}"/>
    <cellStyle name="20% - Accent5 3 2 3 6 4" xfId="5800" xr:uid="{00000000-0005-0000-0000-0000FB1A0000}"/>
    <cellStyle name="20% - Accent5 3 2 3 7" xfId="5801" xr:uid="{00000000-0005-0000-0000-0000FC1A0000}"/>
    <cellStyle name="20% - Accent5 3 2 3 7 2" xfId="5802" xr:uid="{00000000-0005-0000-0000-0000FD1A0000}"/>
    <cellStyle name="20% - Accent5 3 2 3 7 2 2" xfId="5803" xr:uid="{00000000-0005-0000-0000-0000FE1A0000}"/>
    <cellStyle name="20% - Accent5 3 2 3 7 3" xfId="5804" xr:uid="{00000000-0005-0000-0000-0000FF1A0000}"/>
    <cellStyle name="20% - Accent5 3 2 3 7 4" xfId="5805" xr:uid="{00000000-0005-0000-0000-0000001B0000}"/>
    <cellStyle name="20% - Accent5 3 2 3 8" xfId="5806" xr:uid="{00000000-0005-0000-0000-0000011B0000}"/>
    <cellStyle name="20% - Accent5 3 2 3 8 2" xfId="5807" xr:uid="{00000000-0005-0000-0000-0000021B0000}"/>
    <cellStyle name="20% - Accent5 3 2 3 9" xfId="5808" xr:uid="{00000000-0005-0000-0000-0000031B0000}"/>
    <cellStyle name="20% - Accent5 3 2 4" xfId="5809" xr:uid="{00000000-0005-0000-0000-0000041B0000}"/>
    <cellStyle name="20% - Accent5 3 2 4 10" xfId="34612" xr:uid="{00000000-0005-0000-0000-0000051B0000}"/>
    <cellStyle name="20% - Accent5 3 2 4 2" xfId="5810" xr:uid="{00000000-0005-0000-0000-0000061B0000}"/>
    <cellStyle name="20% - Accent5 3 2 4 2 2" xfId="5811" xr:uid="{00000000-0005-0000-0000-0000071B0000}"/>
    <cellStyle name="20% - Accent5 3 2 4 2 2 2" xfId="5812" xr:uid="{00000000-0005-0000-0000-0000081B0000}"/>
    <cellStyle name="20% - Accent5 3 2 4 2 2 2 2" xfId="5813" xr:uid="{00000000-0005-0000-0000-0000091B0000}"/>
    <cellStyle name="20% - Accent5 3 2 4 2 2 3" xfId="5814" xr:uid="{00000000-0005-0000-0000-00000A1B0000}"/>
    <cellStyle name="20% - Accent5 3 2 4 2 2 4" xfId="5815" xr:uid="{00000000-0005-0000-0000-00000B1B0000}"/>
    <cellStyle name="20% - Accent5 3 2 4 2 2 5" xfId="37515" xr:uid="{00000000-0005-0000-0000-00000C1B0000}"/>
    <cellStyle name="20% - Accent5 3 2 4 2 3" xfId="5816" xr:uid="{00000000-0005-0000-0000-00000D1B0000}"/>
    <cellStyle name="20% - Accent5 3 2 4 2 3 2" xfId="5817" xr:uid="{00000000-0005-0000-0000-00000E1B0000}"/>
    <cellStyle name="20% - Accent5 3 2 4 2 4" xfId="5818" xr:uid="{00000000-0005-0000-0000-00000F1B0000}"/>
    <cellStyle name="20% - Accent5 3 2 4 2 5" xfId="5819" xr:uid="{00000000-0005-0000-0000-0000101B0000}"/>
    <cellStyle name="20% - Accent5 3 2 4 2 6" xfId="37514" xr:uid="{00000000-0005-0000-0000-0000111B0000}"/>
    <cellStyle name="20% - Accent5 3 2 4 3" xfId="5820" xr:uid="{00000000-0005-0000-0000-0000121B0000}"/>
    <cellStyle name="20% - Accent5 3 2 4 3 2" xfId="5821" xr:uid="{00000000-0005-0000-0000-0000131B0000}"/>
    <cellStyle name="20% - Accent5 3 2 4 3 2 2" xfId="5822" xr:uid="{00000000-0005-0000-0000-0000141B0000}"/>
    <cellStyle name="20% - Accent5 3 2 4 3 2 2 2" xfId="5823" xr:uid="{00000000-0005-0000-0000-0000151B0000}"/>
    <cellStyle name="20% - Accent5 3 2 4 3 2 3" xfId="5824" xr:uid="{00000000-0005-0000-0000-0000161B0000}"/>
    <cellStyle name="20% - Accent5 3 2 4 3 2 4" xfId="5825" xr:uid="{00000000-0005-0000-0000-0000171B0000}"/>
    <cellStyle name="20% - Accent5 3 2 4 3 2 5" xfId="37517" xr:uid="{00000000-0005-0000-0000-0000181B0000}"/>
    <cellStyle name="20% - Accent5 3 2 4 3 3" xfId="5826" xr:uid="{00000000-0005-0000-0000-0000191B0000}"/>
    <cellStyle name="20% - Accent5 3 2 4 3 3 2" xfId="5827" xr:uid="{00000000-0005-0000-0000-00001A1B0000}"/>
    <cellStyle name="20% - Accent5 3 2 4 3 4" xfId="5828" xr:uid="{00000000-0005-0000-0000-00001B1B0000}"/>
    <cellStyle name="20% - Accent5 3 2 4 3 5" xfId="5829" xr:uid="{00000000-0005-0000-0000-00001C1B0000}"/>
    <cellStyle name="20% - Accent5 3 2 4 3 6" xfId="37516" xr:uid="{00000000-0005-0000-0000-00001D1B0000}"/>
    <cellStyle name="20% - Accent5 3 2 4 4" xfId="5830" xr:uid="{00000000-0005-0000-0000-00001E1B0000}"/>
    <cellStyle name="20% - Accent5 3 2 4 4 2" xfId="5831" xr:uid="{00000000-0005-0000-0000-00001F1B0000}"/>
    <cellStyle name="20% - Accent5 3 2 4 4 2 2" xfId="5832" xr:uid="{00000000-0005-0000-0000-0000201B0000}"/>
    <cellStyle name="20% - Accent5 3 2 4 4 3" xfId="5833" xr:uid="{00000000-0005-0000-0000-0000211B0000}"/>
    <cellStyle name="20% - Accent5 3 2 4 4 4" xfId="5834" xr:uid="{00000000-0005-0000-0000-0000221B0000}"/>
    <cellStyle name="20% - Accent5 3 2 4 4 5" xfId="37518" xr:uid="{00000000-0005-0000-0000-0000231B0000}"/>
    <cellStyle name="20% - Accent5 3 2 4 5" xfId="5835" xr:uid="{00000000-0005-0000-0000-0000241B0000}"/>
    <cellStyle name="20% - Accent5 3 2 4 5 2" xfId="5836" xr:uid="{00000000-0005-0000-0000-0000251B0000}"/>
    <cellStyle name="20% - Accent5 3 2 4 5 2 2" xfId="5837" xr:uid="{00000000-0005-0000-0000-0000261B0000}"/>
    <cellStyle name="20% - Accent5 3 2 4 5 3" xfId="5838" xr:uid="{00000000-0005-0000-0000-0000271B0000}"/>
    <cellStyle name="20% - Accent5 3 2 4 5 4" xfId="5839" xr:uid="{00000000-0005-0000-0000-0000281B0000}"/>
    <cellStyle name="20% - Accent5 3 2 4 6" xfId="5840" xr:uid="{00000000-0005-0000-0000-0000291B0000}"/>
    <cellStyle name="20% - Accent5 3 2 4 6 2" xfId="5841" xr:uid="{00000000-0005-0000-0000-00002A1B0000}"/>
    <cellStyle name="20% - Accent5 3 2 4 6 2 2" xfId="5842" xr:uid="{00000000-0005-0000-0000-00002B1B0000}"/>
    <cellStyle name="20% - Accent5 3 2 4 6 3" xfId="5843" xr:uid="{00000000-0005-0000-0000-00002C1B0000}"/>
    <cellStyle name="20% - Accent5 3 2 4 6 4" xfId="5844" xr:uid="{00000000-0005-0000-0000-00002D1B0000}"/>
    <cellStyle name="20% - Accent5 3 2 4 7" xfId="5845" xr:uid="{00000000-0005-0000-0000-00002E1B0000}"/>
    <cellStyle name="20% - Accent5 3 2 4 7 2" xfId="5846" xr:uid="{00000000-0005-0000-0000-00002F1B0000}"/>
    <cellStyle name="20% - Accent5 3 2 4 8" xfId="5847" xr:uid="{00000000-0005-0000-0000-0000301B0000}"/>
    <cellStyle name="20% - Accent5 3 2 4 9" xfId="5848" xr:uid="{00000000-0005-0000-0000-0000311B0000}"/>
    <cellStyle name="20% - Accent5 3 2 5" xfId="5849" xr:uid="{00000000-0005-0000-0000-0000321B0000}"/>
    <cellStyle name="20% - Accent5 3 2 5 2" xfId="5850" xr:uid="{00000000-0005-0000-0000-0000331B0000}"/>
    <cellStyle name="20% - Accent5 3 2 5 2 2" xfId="5851" xr:uid="{00000000-0005-0000-0000-0000341B0000}"/>
    <cellStyle name="20% - Accent5 3 2 5 2 2 2" xfId="5852" xr:uid="{00000000-0005-0000-0000-0000351B0000}"/>
    <cellStyle name="20% - Accent5 3 2 5 2 3" xfId="5853" xr:uid="{00000000-0005-0000-0000-0000361B0000}"/>
    <cellStyle name="20% - Accent5 3 2 5 2 4" xfId="5854" xr:uid="{00000000-0005-0000-0000-0000371B0000}"/>
    <cellStyle name="20% - Accent5 3 2 5 2 5" xfId="37520" xr:uid="{00000000-0005-0000-0000-0000381B0000}"/>
    <cellStyle name="20% - Accent5 3 2 5 3" xfId="5855" xr:uid="{00000000-0005-0000-0000-0000391B0000}"/>
    <cellStyle name="20% - Accent5 3 2 5 3 2" xfId="5856" xr:uid="{00000000-0005-0000-0000-00003A1B0000}"/>
    <cellStyle name="20% - Accent5 3 2 5 4" xfId="5857" xr:uid="{00000000-0005-0000-0000-00003B1B0000}"/>
    <cellStyle name="20% - Accent5 3 2 5 5" xfId="5858" xr:uid="{00000000-0005-0000-0000-00003C1B0000}"/>
    <cellStyle name="20% - Accent5 3 2 5 6" xfId="37519" xr:uid="{00000000-0005-0000-0000-00003D1B0000}"/>
    <cellStyle name="20% - Accent5 3 2 6" xfId="5859" xr:uid="{00000000-0005-0000-0000-00003E1B0000}"/>
    <cellStyle name="20% - Accent5 3 2 6 2" xfId="5860" xr:uid="{00000000-0005-0000-0000-00003F1B0000}"/>
    <cellStyle name="20% - Accent5 3 2 6 2 2" xfId="5861" xr:uid="{00000000-0005-0000-0000-0000401B0000}"/>
    <cellStyle name="20% - Accent5 3 2 6 2 2 2" xfId="5862" xr:uid="{00000000-0005-0000-0000-0000411B0000}"/>
    <cellStyle name="20% - Accent5 3 2 6 2 3" xfId="5863" xr:uid="{00000000-0005-0000-0000-0000421B0000}"/>
    <cellStyle name="20% - Accent5 3 2 6 2 4" xfId="5864" xr:uid="{00000000-0005-0000-0000-0000431B0000}"/>
    <cellStyle name="20% - Accent5 3 2 6 2 5" xfId="37522" xr:uid="{00000000-0005-0000-0000-0000441B0000}"/>
    <cellStyle name="20% - Accent5 3 2 6 3" xfId="5865" xr:uid="{00000000-0005-0000-0000-0000451B0000}"/>
    <cellStyle name="20% - Accent5 3 2 6 3 2" xfId="5866" xr:uid="{00000000-0005-0000-0000-0000461B0000}"/>
    <cellStyle name="20% - Accent5 3 2 6 4" xfId="5867" xr:uid="{00000000-0005-0000-0000-0000471B0000}"/>
    <cellStyle name="20% - Accent5 3 2 6 5" xfId="5868" xr:uid="{00000000-0005-0000-0000-0000481B0000}"/>
    <cellStyle name="20% - Accent5 3 2 6 6" xfId="37521" xr:uid="{00000000-0005-0000-0000-0000491B0000}"/>
    <cellStyle name="20% - Accent5 3 2 7" xfId="5869" xr:uid="{00000000-0005-0000-0000-00004A1B0000}"/>
    <cellStyle name="20% - Accent5 3 2 7 2" xfId="5870" xr:uid="{00000000-0005-0000-0000-00004B1B0000}"/>
    <cellStyle name="20% - Accent5 3 2 7 2 2" xfId="5871" xr:uid="{00000000-0005-0000-0000-00004C1B0000}"/>
    <cellStyle name="20% - Accent5 3 2 7 3" xfId="5872" xr:uid="{00000000-0005-0000-0000-00004D1B0000}"/>
    <cellStyle name="20% - Accent5 3 2 7 4" xfId="5873" xr:uid="{00000000-0005-0000-0000-00004E1B0000}"/>
    <cellStyle name="20% - Accent5 3 2 7 5" xfId="37523" xr:uid="{00000000-0005-0000-0000-00004F1B0000}"/>
    <cellStyle name="20% - Accent5 3 2 8" xfId="5874" xr:uid="{00000000-0005-0000-0000-0000501B0000}"/>
    <cellStyle name="20% - Accent5 3 2 8 2" xfId="5875" xr:uid="{00000000-0005-0000-0000-0000511B0000}"/>
    <cellStyle name="20% - Accent5 3 2 8 2 2" xfId="5876" xr:uid="{00000000-0005-0000-0000-0000521B0000}"/>
    <cellStyle name="20% - Accent5 3 2 8 3" xfId="5877" xr:uid="{00000000-0005-0000-0000-0000531B0000}"/>
    <cellStyle name="20% - Accent5 3 2 8 4" xfId="5878" xr:uid="{00000000-0005-0000-0000-0000541B0000}"/>
    <cellStyle name="20% - Accent5 3 2 9" xfId="5879" xr:uid="{00000000-0005-0000-0000-0000551B0000}"/>
    <cellStyle name="20% - Accent5 3 2 9 2" xfId="5880" xr:uid="{00000000-0005-0000-0000-0000561B0000}"/>
    <cellStyle name="20% - Accent5 3 2 9 2 2" xfId="5881" xr:uid="{00000000-0005-0000-0000-0000571B0000}"/>
    <cellStyle name="20% - Accent5 3 2 9 3" xfId="5882" xr:uid="{00000000-0005-0000-0000-0000581B0000}"/>
    <cellStyle name="20% - Accent5 3 2 9 4" xfId="5883" xr:uid="{00000000-0005-0000-0000-0000591B0000}"/>
    <cellStyle name="20% - Accent5 3 3" xfId="5884" xr:uid="{00000000-0005-0000-0000-00005A1B0000}"/>
    <cellStyle name="20% - Accent5 3 3 10" xfId="5885" xr:uid="{00000000-0005-0000-0000-00005B1B0000}"/>
    <cellStyle name="20% - Accent5 3 3 11" xfId="5886" xr:uid="{00000000-0005-0000-0000-00005C1B0000}"/>
    <cellStyle name="20% - Accent5 3 3 12" xfId="34613" xr:uid="{00000000-0005-0000-0000-00005D1B0000}"/>
    <cellStyle name="20% - Accent5 3 3 2" xfId="5887" xr:uid="{00000000-0005-0000-0000-00005E1B0000}"/>
    <cellStyle name="20% - Accent5 3 3 2 10" xfId="5888" xr:uid="{00000000-0005-0000-0000-00005F1B0000}"/>
    <cellStyle name="20% - Accent5 3 3 2 11" xfId="34614" xr:uid="{00000000-0005-0000-0000-0000601B0000}"/>
    <cellStyle name="20% - Accent5 3 3 2 2" xfId="5889" xr:uid="{00000000-0005-0000-0000-0000611B0000}"/>
    <cellStyle name="20% - Accent5 3 3 2 2 10" xfId="34615" xr:uid="{00000000-0005-0000-0000-0000621B0000}"/>
    <cellStyle name="20% - Accent5 3 3 2 2 2" xfId="5890" xr:uid="{00000000-0005-0000-0000-0000631B0000}"/>
    <cellStyle name="20% - Accent5 3 3 2 2 2 2" xfId="5891" xr:uid="{00000000-0005-0000-0000-0000641B0000}"/>
    <cellStyle name="20% - Accent5 3 3 2 2 2 2 2" xfId="5892" xr:uid="{00000000-0005-0000-0000-0000651B0000}"/>
    <cellStyle name="20% - Accent5 3 3 2 2 2 2 2 2" xfId="5893" xr:uid="{00000000-0005-0000-0000-0000661B0000}"/>
    <cellStyle name="20% - Accent5 3 3 2 2 2 2 3" xfId="5894" xr:uid="{00000000-0005-0000-0000-0000671B0000}"/>
    <cellStyle name="20% - Accent5 3 3 2 2 2 2 4" xfId="5895" xr:uid="{00000000-0005-0000-0000-0000681B0000}"/>
    <cellStyle name="20% - Accent5 3 3 2 2 2 2 5" xfId="37525" xr:uid="{00000000-0005-0000-0000-0000691B0000}"/>
    <cellStyle name="20% - Accent5 3 3 2 2 2 3" xfId="5896" xr:uid="{00000000-0005-0000-0000-00006A1B0000}"/>
    <cellStyle name="20% - Accent5 3 3 2 2 2 3 2" xfId="5897" xr:uid="{00000000-0005-0000-0000-00006B1B0000}"/>
    <cellStyle name="20% - Accent5 3 3 2 2 2 4" xfId="5898" xr:uid="{00000000-0005-0000-0000-00006C1B0000}"/>
    <cellStyle name="20% - Accent5 3 3 2 2 2 5" xfId="5899" xr:uid="{00000000-0005-0000-0000-00006D1B0000}"/>
    <cellStyle name="20% - Accent5 3 3 2 2 2 6" xfId="37524" xr:uid="{00000000-0005-0000-0000-00006E1B0000}"/>
    <cellStyle name="20% - Accent5 3 3 2 2 3" xfId="5900" xr:uid="{00000000-0005-0000-0000-00006F1B0000}"/>
    <cellStyle name="20% - Accent5 3 3 2 2 3 2" xfId="5901" xr:uid="{00000000-0005-0000-0000-0000701B0000}"/>
    <cellStyle name="20% - Accent5 3 3 2 2 3 2 2" xfId="5902" xr:uid="{00000000-0005-0000-0000-0000711B0000}"/>
    <cellStyle name="20% - Accent5 3 3 2 2 3 2 2 2" xfId="5903" xr:uid="{00000000-0005-0000-0000-0000721B0000}"/>
    <cellStyle name="20% - Accent5 3 3 2 2 3 2 3" xfId="5904" xr:uid="{00000000-0005-0000-0000-0000731B0000}"/>
    <cellStyle name="20% - Accent5 3 3 2 2 3 2 4" xfId="5905" xr:uid="{00000000-0005-0000-0000-0000741B0000}"/>
    <cellStyle name="20% - Accent5 3 3 2 2 3 2 5" xfId="37527" xr:uid="{00000000-0005-0000-0000-0000751B0000}"/>
    <cellStyle name="20% - Accent5 3 3 2 2 3 3" xfId="5906" xr:uid="{00000000-0005-0000-0000-0000761B0000}"/>
    <cellStyle name="20% - Accent5 3 3 2 2 3 3 2" xfId="5907" xr:uid="{00000000-0005-0000-0000-0000771B0000}"/>
    <cellStyle name="20% - Accent5 3 3 2 2 3 4" xfId="5908" xr:uid="{00000000-0005-0000-0000-0000781B0000}"/>
    <cellStyle name="20% - Accent5 3 3 2 2 3 5" xfId="5909" xr:uid="{00000000-0005-0000-0000-0000791B0000}"/>
    <cellStyle name="20% - Accent5 3 3 2 2 3 6" xfId="37526" xr:uid="{00000000-0005-0000-0000-00007A1B0000}"/>
    <cellStyle name="20% - Accent5 3 3 2 2 4" xfId="5910" xr:uid="{00000000-0005-0000-0000-00007B1B0000}"/>
    <cellStyle name="20% - Accent5 3 3 2 2 4 2" xfId="5911" xr:uid="{00000000-0005-0000-0000-00007C1B0000}"/>
    <cellStyle name="20% - Accent5 3 3 2 2 4 2 2" xfId="5912" xr:uid="{00000000-0005-0000-0000-00007D1B0000}"/>
    <cellStyle name="20% - Accent5 3 3 2 2 4 3" xfId="5913" xr:uid="{00000000-0005-0000-0000-00007E1B0000}"/>
    <cellStyle name="20% - Accent5 3 3 2 2 4 4" xfId="5914" xr:uid="{00000000-0005-0000-0000-00007F1B0000}"/>
    <cellStyle name="20% - Accent5 3 3 2 2 4 5" xfId="37528" xr:uid="{00000000-0005-0000-0000-0000801B0000}"/>
    <cellStyle name="20% - Accent5 3 3 2 2 5" xfId="5915" xr:uid="{00000000-0005-0000-0000-0000811B0000}"/>
    <cellStyle name="20% - Accent5 3 3 2 2 5 2" xfId="5916" xr:uid="{00000000-0005-0000-0000-0000821B0000}"/>
    <cellStyle name="20% - Accent5 3 3 2 2 5 2 2" xfId="5917" xr:uid="{00000000-0005-0000-0000-0000831B0000}"/>
    <cellStyle name="20% - Accent5 3 3 2 2 5 3" xfId="5918" xr:uid="{00000000-0005-0000-0000-0000841B0000}"/>
    <cellStyle name="20% - Accent5 3 3 2 2 5 4" xfId="5919" xr:uid="{00000000-0005-0000-0000-0000851B0000}"/>
    <cellStyle name="20% - Accent5 3 3 2 2 6" xfId="5920" xr:uid="{00000000-0005-0000-0000-0000861B0000}"/>
    <cellStyle name="20% - Accent5 3 3 2 2 6 2" xfId="5921" xr:uid="{00000000-0005-0000-0000-0000871B0000}"/>
    <cellStyle name="20% - Accent5 3 3 2 2 6 2 2" xfId="5922" xr:uid="{00000000-0005-0000-0000-0000881B0000}"/>
    <cellStyle name="20% - Accent5 3 3 2 2 6 3" xfId="5923" xr:uid="{00000000-0005-0000-0000-0000891B0000}"/>
    <cellStyle name="20% - Accent5 3 3 2 2 6 4" xfId="5924" xr:uid="{00000000-0005-0000-0000-00008A1B0000}"/>
    <cellStyle name="20% - Accent5 3 3 2 2 7" xfId="5925" xr:uid="{00000000-0005-0000-0000-00008B1B0000}"/>
    <cellStyle name="20% - Accent5 3 3 2 2 7 2" xfId="5926" xr:uid="{00000000-0005-0000-0000-00008C1B0000}"/>
    <cellStyle name="20% - Accent5 3 3 2 2 8" xfId="5927" xr:uid="{00000000-0005-0000-0000-00008D1B0000}"/>
    <cellStyle name="20% - Accent5 3 3 2 2 9" xfId="5928" xr:uid="{00000000-0005-0000-0000-00008E1B0000}"/>
    <cellStyle name="20% - Accent5 3 3 2 3" xfId="5929" xr:uid="{00000000-0005-0000-0000-00008F1B0000}"/>
    <cellStyle name="20% - Accent5 3 3 2 3 2" xfId="5930" xr:uid="{00000000-0005-0000-0000-0000901B0000}"/>
    <cellStyle name="20% - Accent5 3 3 2 3 2 2" xfId="5931" xr:uid="{00000000-0005-0000-0000-0000911B0000}"/>
    <cellStyle name="20% - Accent5 3 3 2 3 2 2 2" xfId="5932" xr:uid="{00000000-0005-0000-0000-0000921B0000}"/>
    <cellStyle name="20% - Accent5 3 3 2 3 2 3" xfId="5933" xr:uid="{00000000-0005-0000-0000-0000931B0000}"/>
    <cellStyle name="20% - Accent5 3 3 2 3 2 4" xfId="5934" xr:uid="{00000000-0005-0000-0000-0000941B0000}"/>
    <cellStyle name="20% - Accent5 3 3 2 3 2 5" xfId="37530" xr:uid="{00000000-0005-0000-0000-0000951B0000}"/>
    <cellStyle name="20% - Accent5 3 3 2 3 3" xfId="5935" xr:uid="{00000000-0005-0000-0000-0000961B0000}"/>
    <cellStyle name="20% - Accent5 3 3 2 3 3 2" xfId="5936" xr:uid="{00000000-0005-0000-0000-0000971B0000}"/>
    <cellStyle name="20% - Accent5 3 3 2 3 4" xfId="5937" xr:uid="{00000000-0005-0000-0000-0000981B0000}"/>
    <cellStyle name="20% - Accent5 3 3 2 3 5" xfId="5938" xr:uid="{00000000-0005-0000-0000-0000991B0000}"/>
    <cellStyle name="20% - Accent5 3 3 2 3 6" xfId="37529" xr:uid="{00000000-0005-0000-0000-00009A1B0000}"/>
    <cellStyle name="20% - Accent5 3 3 2 4" xfId="5939" xr:uid="{00000000-0005-0000-0000-00009B1B0000}"/>
    <cellStyle name="20% - Accent5 3 3 2 4 2" xfId="5940" xr:uid="{00000000-0005-0000-0000-00009C1B0000}"/>
    <cellStyle name="20% - Accent5 3 3 2 4 2 2" xfId="5941" xr:uid="{00000000-0005-0000-0000-00009D1B0000}"/>
    <cellStyle name="20% - Accent5 3 3 2 4 2 2 2" xfId="5942" xr:uid="{00000000-0005-0000-0000-00009E1B0000}"/>
    <cellStyle name="20% - Accent5 3 3 2 4 2 3" xfId="5943" xr:uid="{00000000-0005-0000-0000-00009F1B0000}"/>
    <cellStyle name="20% - Accent5 3 3 2 4 2 4" xfId="5944" xr:uid="{00000000-0005-0000-0000-0000A01B0000}"/>
    <cellStyle name="20% - Accent5 3 3 2 4 2 5" xfId="37532" xr:uid="{00000000-0005-0000-0000-0000A11B0000}"/>
    <cellStyle name="20% - Accent5 3 3 2 4 3" xfId="5945" xr:uid="{00000000-0005-0000-0000-0000A21B0000}"/>
    <cellStyle name="20% - Accent5 3 3 2 4 3 2" xfId="5946" xr:uid="{00000000-0005-0000-0000-0000A31B0000}"/>
    <cellStyle name="20% - Accent5 3 3 2 4 4" xfId="5947" xr:uid="{00000000-0005-0000-0000-0000A41B0000}"/>
    <cellStyle name="20% - Accent5 3 3 2 4 5" xfId="5948" xr:uid="{00000000-0005-0000-0000-0000A51B0000}"/>
    <cellStyle name="20% - Accent5 3 3 2 4 6" xfId="37531" xr:uid="{00000000-0005-0000-0000-0000A61B0000}"/>
    <cellStyle name="20% - Accent5 3 3 2 5" xfId="5949" xr:uid="{00000000-0005-0000-0000-0000A71B0000}"/>
    <cellStyle name="20% - Accent5 3 3 2 5 2" xfId="5950" xr:uid="{00000000-0005-0000-0000-0000A81B0000}"/>
    <cellStyle name="20% - Accent5 3 3 2 5 2 2" xfId="5951" xr:uid="{00000000-0005-0000-0000-0000A91B0000}"/>
    <cellStyle name="20% - Accent5 3 3 2 5 3" xfId="5952" xr:uid="{00000000-0005-0000-0000-0000AA1B0000}"/>
    <cellStyle name="20% - Accent5 3 3 2 5 4" xfId="5953" xr:uid="{00000000-0005-0000-0000-0000AB1B0000}"/>
    <cellStyle name="20% - Accent5 3 3 2 5 5" xfId="37533" xr:uid="{00000000-0005-0000-0000-0000AC1B0000}"/>
    <cellStyle name="20% - Accent5 3 3 2 6" xfId="5954" xr:uid="{00000000-0005-0000-0000-0000AD1B0000}"/>
    <cellStyle name="20% - Accent5 3 3 2 6 2" xfId="5955" xr:uid="{00000000-0005-0000-0000-0000AE1B0000}"/>
    <cellStyle name="20% - Accent5 3 3 2 6 2 2" xfId="5956" xr:uid="{00000000-0005-0000-0000-0000AF1B0000}"/>
    <cellStyle name="20% - Accent5 3 3 2 6 3" xfId="5957" xr:uid="{00000000-0005-0000-0000-0000B01B0000}"/>
    <cellStyle name="20% - Accent5 3 3 2 6 4" xfId="5958" xr:uid="{00000000-0005-0000-0000-0000B11B0000}"/>
    <cellStyle name="20% - Accent5 3 3 2 7" xfId="5959" xr:uid="{00000000-0005-0000-0000-0000B21B0000}"/>
    <cellStyle name="20% - Accent5 3 3 2 7 2" xfId="5960" xr:uid="{00000000-0005-0000-0000-0000B31B0000}"/>
    <cellStyle name="20% - Accent5 3 3 2 7 2 2" xfId="5961" xr:uid="{00000000-0005-0000-0000-0000B41B0000}"/>
    <cellStyle name="20% - Accent5 3 3 2 7 3" xfId="5962" xr:uid="{00000000-0005-0000-0000-0000B51B0000}"/>
    <cellStyle name="20% - Accent5 3 3 2 7 4" xfId="5963" xr:uid="{00000000-0005-0000-0000-0000B61B0000}"/>
    <cellStyle name="20% - Accent5 3 3 2 8" xfId="5964" xr:uid="{00000000-0005-0000-0000-0000B71B0000}"/>
    <cellStyle name="20% - Accent5 3 3 2 8 2" xfId="5965" xr:uid="{00000000-0005-0000-0000-0000B81B0000}"/>
    <cellStyle name="20% - Accent5 3 3 2 9" xfId="5966" xr:uid="{00000000-0005-0000-0000-0000B91B0000}"/>
    <cellStyle name="20% - Accent5 3 3 3" xfId="5967" xr:uid="{00000000-0005-0000-0000-0000BA1B0000}"/>
    <cellStyle name="20% - Accent5 3 3 3 10" xfId="34616" xr:uid="{00000000-0005-0000-0000-0000BB1B0000}"/>
    <cellStyle name="20% - Accent5 3 3 3 2" xfId="5968" xr:uid="{00000000-0005-0000-0000-0000BC1B0000}"/>
    <cellStyle name="20% - Accent5 3 3 3 2 2" xfId="5969" xr:uid="{00000000-0005-0000-0000-0000BD1B0000}"/>
    <cellStyle name="20% - Accent5 3 3 3 2 2 2" xfId="5970" xr:uid="{00000000-0005-0000-0000-0000BE1B0000}"/>
    <cellStyle name="20% - Accent5 3 3 3 2 2 2 2" xfId="5971" xr:uid="{00000000-0005-0000-0000-0000BF1B0000}"/>
    <cellStyle name="20% - Accent5 3 3 3 2 2 3" xfId="5972" xr:uid="{00000000-0005-0000-0000-0000C01B0000}"/>
    <cellStyle name="20% - Accent5 3 3 3 2 2 4" xfId="5973" xr:uid="{00000000-0005-0000-0000-0000C11B0000}"/>
    <cellStyle name="20% - Accent5 3 3 3 2 2 5" xfId="37535" xr:uid="{00000000-0005-0000-0000-0000C21B0000}"/>
    <cellStyle name="20% - Accent5 3 3 3 2 3" xfId="5974" xr:uid="{00000000-0005-0000-0000-0000C31B0000}"/>
    <cellStyle name="20% - Accent5 3 3 3 2 3 2" xfId="5975" xr:uid="{00000000-0005-0000-0000-0000C41B0000}"/>
    <cellStyle name="20% - Accent5 3 3 3 2 4" xfId="5976" xr:uid="{00000000-0005-0000-0000-0000C51B0000}"/>
    <cellStyle name="20% - Accent5 3 3 3 2 5" xfId="5977" xr:uid="{00000000-0005-0000-0000-0000C61B0000}"/>
    <cellStyle name="20% - Accent5 3 3 3 2 6" xfId="37534" xr:uid="{00000000-0005-0000-0000-0000C71B0000}"/>
    <cellStyle name="20% - Accent5 3 3 3 3" xfId="5978" xr:uid="{00000000-0005-0000-0000-0000C81B0000}"/>
    <cellStyle name="20% - Accent5 3 3 3 3 2" xfId="5979" xr:uid="{00000000-0005-0000-0000-0000C91B0000}"/>
    <cellStyle name="20% - Accent5 3 3 3 3 2 2" xfId="5980" xr:uid="{00000000-0005-0000-0000-0000CA1B0000}"/>
    <cellStyle name="20% - Accent5 3 3 3 3 2 2 2" xfId="5981" xr:uid="{00000000-0005-0000-0000-0000CB1B0000}"/>
    <cellStyle name="20% - Accent5 3 3 3 3 2 3" xfId="5982" xr:uid="{00000000-0005-0000-0000-0000CC1B0000}"/>
    <cellStyle name="20% - Accent5 3 3 3 3 2 4" xfId="5983" xr:uid="{00000000-0005-0000-0000-0000CD1B0000}"/>
    <cellStyle name="20% - Accent5 3 3 3 3 2 5" xfId="37537" xr:uid="{00000000-0005-0000-0000-0000CE1B0000}"/>
    <cellStyle name="20% - Accent5 3 3 3 3 3" xfId="5984" xr:uid="{00000000-0005-0000-0000-0000CF1B0000}"/>
    <cellStyle name="20% - Accent5 3 3 3 3 3 2" xfId="5985" xr:uid="{00000000-0005-0000-0000-0000D01B0000}"/>
    <cellStyle name="20% - Accent5 3 3 3 3 4" xfId="5986" xr:uid="{00000000-0005-0000-0000-0000D11B0000}"/>
    <cellStyle name="20% - Accent5 3 3 3 3 5" xfId="5987" xr:uid="{00000000-0005-0000-0000-0000D21B0000}"/>
    <cellStyle name="20% - Accent5 3 3 3 3 6" xfId="37536" xr:uid="{00000000-0005-0000-0000-0000D31B0000}"/>
    <cellStyle name="20% - Accent5 3 3 3 4" xfId="5988" xr:uid="{00000000-0005-0000-0000-0000D41B0000}"/>
    <cellStyle name="20% - Accent5 3 3 3 4 2" xfId="5989" xr:uid="{00000000-0005-0000-0000-0000D51B0000}"/>
    <cellStyle name="20% - Accent5 3 3 3 4 2 2" xfId="5990" xr:uid="{00000000-0005-0000-0000-0000D61B0000}"/>
    <cellStyle name="20% - Accent5 3 3 3 4 3" xfId="5991" xr:uid="{00000000-0005-0000-0000-0000D71B0000}"/>
    <cellStyle name="20% - Accent5 3 3 3 4 4" xfId="5992" xr:uid="{00000000-0005-0000-0000-0000D81B0000}"/>
    <cellStyle name="20% - Accent5 3 3 3 4 5" xfId="37538" xr:uid="{00000000-0005-0000-0000-0000D91B0000}"/>
    <cellStyle name="20% - Accent5 3 3 3 5" xfId="5993" xr:uid="{00000000-0005-0000-0000-0000DA1B0000}"/>
    <cellStyle name="20% - Accent5 3 3 3 5 2" xfId="5994" xr:uid="{00000000-0005-0000-0000-0000DB1B0000}"/>
    <cellStyle name="20% - Accent5 3 3 3 5 2 2" xfId="5995" xr:uid="{00000000-0005-0000-0000-0000DC1B0000}"/>
    <cellStyle name="20% - Accent5 3 3 3 5 3" xfId="5996" xr:uid="{00000000-0005-0000-0000-0000DD1B0000}"/>
    <cellStyle name="20% - Accent5 3 3 3 5 4" xfId="5997" xr:uid="{00000000-0005-0000-0000-0000DE1B0000}"/>
    <cellStyle name="20% - Accent5 3 3 3 6" xfId="5998" xr:uid="{00000000-0005-0000-0000-0000DF1B0000}"/>
    <cellStyle name="20% - Accent5 3 3 3 6 2" xfId="5999" xr:uid="{00000000-0005-0000-0000-0000E01B0000}"/>
    <cellStyle name="20% - Accent5 3 3 3 6 2 2" xfId="6000" xr:uid="{00000000-0005-0000-0000-0000E11B0000}"/>
    <cellStyle name="20% - Accent5 3 3 3 6 3" xfId="6001" xr:uid="{00000000-0005-0000-0000-0000E21B0000}"/>
    <cellStyle name="20% - Accent5 3 3 3 6 4" xfId="6002" xr:uid="{00000000-0005-0000-0000-0000E31B0000}"/>
    <cellStyle name="20% - Accent5 3 3 3 7" xfId="6003" xr:uid="{00000000-0005-0000-0000-0000E41B0000}"/>
    <cellStyle name="20% - Accent5 3 3 3 7 2" xfId="6004" xr:uid="{00000000-0005-0000-0000-0000E51B0000}"/>
    <cellStyle name="20% - Accent5 3 3 3 8" xfId="6005" xr:uid="{00000000-0005-0000-0000-0000E61B0000}"/>
    <cellStyle name="20% - Accent5 3 3 3 9" xfId="6006" xr:uid="{00000000-0005-0000-0000-0000E71B0000}"/>
    <cellStyle name="20% - Accent5 3 3 4" xfId="6007" xr:uid="{00000000-0005-0000-0000-0000E81B0000}"/>
    <cellStyle name="20% - Accent5 3 3 4 2" xfId="6008" xr:uid="{00000000-0005-0000-0000-0000E91B0000}"/>
    <cellStyle name="20% - Accent5 3 3 4 2 2" xfId="6009" xr:uid="{00000000-0005-0000-0000-0000EA1B0000}"/>
    <cellStyle name="20% - Accent5 3 3 4 2 2 2" xfId="6010" xr:uid="{00000000-0005-0000-0000-0000EB1B0000}"/>
    <cellStyle name="20% - Accent5 3 3 4 2 3" xfId="6011" xr:uid="{00000000-0005-0000-0000-0000EC1B0000}"/>
    <cellStyle name="20% - Accent5 3 3 4 2 4" xfId="6012" xr:uid="{00000000-0005-0000-0000-0000ED1B0000}"/>
    <cellStyle name="20% - Accent5 3 3 4 2 5" xfId="37540" xr:uid="{00000000-0005-0000-0000-0000EE1B0000}"/>
    <cellStyle name="20% - Accent5 3 3 4 3" xfId="6013" xr:uid="{00000000-0005-0000-0000-0000EF1B0000}"/>
    <cellStyle name="20% - Accent5 3 3 4 3 2" xfId="6014" xr:uid="{00000000-0005-0000-0000-0000F01B0000}"/>
    <cellStyle name="20% - Accent5 3 3 4 4" xfId="6015" xr:uid="{00000000-0005-0000-0000-0000F11B0000}"/>
    <cellStyle name="20% - Accent5 3 3 4 5" xfId="6016" xr:uid="{00000000-0005-0000-0000-0000F21B0000}"/>
    <cellStyle name="20% - Accent5 3 3 4 6" xfId="37539" xr:uid="{00000000-0005-0000-0000-0000F31B0000}"/>
    <cellStyle name="20% - Accent5 3 3 5" xfId="6017" xr:uid="{00000000-0005-0000-0000-0000F41B0000}"/>
    <cellStyle name="20% - Accent5 3 3 5 2" xfId="6018" xr:uid="{00000000-0005-0000-0000-0000F51B0000}"/>
    <cellStyle name="20% - Accent5 3 3 5 2 2" xfId="6019" xr:uid="{00000000-0005-0000-0000-0000F61B0000}"/>
    <cellStyle name="20% - Accent5 3 3 5 2 2 2" xfId="6020" xr:uid="{00000000-0005-0000-0000-0000F71B0000}"/>
    <cellStyle name="20% - Accent5 3 3 5 2 3" xfId="6021" xr:uid="{00000000-0005-0000-0000-0000F81B0000}"/>
    <cellStyle name="20% - Accent5 3 3 5 2 4" xfId="6022" xr:uid="{00000000-0005-0000-0000-0000F91B0000}"/>
    <cellStyle name="20% - Accent5 3 3 5 2 5" xfId="37542" xr:uid="{00000000-0005-0000-0000-0000FA1B0000}"/>
    <cellStyle name="20% - Accent5 3 3 5 3" xfId="6023" xr:uid="{00000000-0005-0000-0000-0000FB1B0000}"/>
    <cellStyle name="20% - Accent5 3 3 5 3 2" xfId="6024" xr:uid="{00000000-0005-0000-0000-0000FC1B0000}"/>
    <cellStyle name="20% - Accent5 3 3 5 4" xfId="6025" xr:uid="{00000000-0005-0000-0000-0000FD1B0000}"/>
    <cellStyle name="20% - Accent5 3 3 5 5" xfId="6026" xr:uid="{00000000-0005-0000-0000-0000FE1B0000}"/>
    <cellStyle name="20% - Accent5 3 3 5 6" xfId="37541" xr:uid="{00000000-0005-0000-0000-0000FF1B0000}"/>
    <cellStyle name="20% - Accent5 3 3 6" xfId="6027" xr:uid="{00000000-0005-0000-0000-0000001C0000}"/>
    <cellStyle name="20% - Accent5 3 3 6 2" xfId="6028" xr:uid="{00000000-0005-0000-0000-0000011C0000}"/>
    <cellStyle name="20% - Accent5 3 3 6 2 2" xfId="6029" xr:uid="{00000000-0005-0000-0000-0000021C0000}"/>
    <cellStyle name="20% - Accent5 3 3 6 3" xfId="6030" xr:uid="{00000000-0005-0000-0000-0000031C0000}"/>
    <cellStyle name="20% - Accent5 3 3 6 4" xfId="6031" xr:uid="{00000000-0005-0000-0000-0000041C0000}"/>
    <cellStyle name="20% - Accent5 3 3 6 5" xfId="37543" xr:uid="{00000000-0005-0000-0000-0000051C0000}"/>
    <cellStyle name="20% - Accent5 3 3 7" xfId="6032" xr:uid="{00000000-0005-0000-0000-0000061C0000}"/>
    <cellStyle name="20% - Accent5 3 3 7 2" xfId="6033" xr:uid="{00000000-0005-0000-0000-0000071C0000}"/>
    <cellStyle name="20% - Accent5 3 3 7 2 2" xfId="6034" xr:uid="{00000000-0005-0000-0000-0000081C0000}"/>
    <cellStyle name="20% - Accent5 3 3 7 3" xfId="6035" xr:uid="{00000000-0005-0000-0000-0000091C0000}"/>
    <cellStyle name="20% - Accent5 3 3 7 4" xfId="6036" xr:uid="{00000000-0005-0000-0000-00000A1C0000}"/>
    <cellStyle name="20% - Accent5 3 3 8" xfId="6037" xr:uid="{00000000-0005-0000-0000-00000B1C0000}"/>
    <cellStyle name="20% - Accent5 3 3 8 2" xfId="6038" xr:uid="{00000000-0005-0000-0000-00000C1C0000}"/>
    <cellStyle name="20% - Accent5 3 3 8 2 2" xfId="6039" xr:uid="{00000000-0005-0000-0000-00000D1C0000}"/>
    <cellStyle name="20% - Accent5 3 3 8 3" xfId="6040" xr:uid="{00000000-0005-0000-0000-00000E1C0000}"/>
    <cellStyle name="20% - Accent5 3 3 8 4" xfId="6041" xr:uid="{00000000-0005-0000-0000-00000F1C0000}"/>
    <cellStyle name="20% - Accent5 3 3 9" xfId="6042" xr:uid="{00000000-0005-0000-0000-0000101C0000}"/>
    <cellStyle name="20% - Accent5 3 3 9 2" xfId="6043" xr:uid="{00000000-0005-0000-0000-0000111C0000}"/>
    <cellStyle name="20% - Accent5 3 4" xfId="6044" xr:uid="{00000000-0005-0000-0000-0000121C0000}"/>
    <cellStyle name="20% - Accent5 3 4 10" xfId="6045" xr:uid="{00000000-0005-0000-0000-0000131C0000}"/>
    <cellStyle name="20% - Accent5 3 4 11" xfId="34617" xr:uid="{00000000-0005-0000-0000-0000141C0000}"/>
    <cellStyle name="20% - Accent5 3 4 2" xfId="6046" xr:uid="{00000000-0005-0000-0000-0000151C0000}"/>
    <cellStyle name="20% - Accent5 3 4 2 10" xfId="34618" xr:uid="{00000000-0005-0000-0000-0000161C0000}"/>
    <cellStyle name="20% - Accent5 3 4 2 2" xfId="6047" xr:uid="{00000000-0005-0000-0000-0000171C0000}"/>
    <cellStyle name="20% - Accent5 3 4 2 2 2" xfId="6048" xr:uid="{00000000-0005-0000-0000-0000181C0000}"/>
    <cellStyle name="20% - Accent5 3 4 2 2 2 2" xfId="6049" xr:uid="{00000000-0005-0000-0000-0000191C0000}"/>
    <cellStyle name="20% - Accent5 3 4 2 2 2 2 2" xfId="6050" xr:uid="{00000000-0005-0000-0000-00001A1C0000}"/>
    <cellStyle name="20% - Accent5 3 4 2 2 2 3" xfId="6051" xr:uid="{00000000-0005-0000-0000-00001B1C0000}"/>
    <cellStyle name="20% - Accent5 3 4 2 2 2 4" xfId="6052" xr:uid="{00000000-0005-0000-0000-00001C1C0000}"/>
    <cellStyle name="20% - Accent5 3 4 2 2 2 5" xfId="37545" xr:uid="{00000000-0005-0000-0000-00001D1C0000}"/>
    <cellStyle name="20% - Accent5 3 4 2 2 3" xfId="6053" xr:uid="{00000000-0005-0000-0000-00001E1C0000}"/>
    <cellStyle name="20% - Accent5 3 4 2 2 3 2" xfId="6054" xr:uid="{00000000-0005-0000-0000-00001F1C0000}"/>
    <cellStyle name="20% - Accent5 3 4 2 2 4" xfId="6055" xr:uid="{00000000-0005-0000-0000-0000201C0000}"/>
    <cellStyle name="20% - Accent5 3 4 2 2 5" xfId="6056" xr:uid="{00000000-0005-0000-0000-0000211C0000}"/>
    <cellStyle name="20% - Accent5 3 4 2 2 6" xfId="37544" xr:uid="{00000000-0005-0000-0000-0000221C0000}"/>
    <cellStyle name="20% - Accent5 3 4 2 3" xfId="6057" xr:uid="{00000000-0005-0000-0000-0000231C0000}"/>
    <cellStyle name="20% - Accent5 3 4 2 3 2" xfId="6058" xr:uid="{00000000-0005-0000-0000-0000241C0000}"/>
    <cellStyle name="20% - Accent5 3 4 2 3 2 2" xfId="6059" xr:uid="{00000000-0005-0000-0000-0000251C0000}"/>
    <cellStyle name="20% - Accent5 3 4 2 3 2 2 2" xfId="6060" xr:uid="{00000000-0005-0000-0000-0000261C0000}"/>
    <cellStyle name="20% - Accent5 3 4 2 3 2 3" xfId="6061" xr:uid="{00000000-0005-0000-0000-0000271C0000}"/>
    <cellStyle name="20% - Accent5 3 4 2 3 2 4" xfId="6062" xr:uid="{00000000-0005-0000-0000-0000281C0000}"/>
    <cellStyle name="20% - Accent5 3 4 2 3 2 5" xfId="37547" xr:uid="{00000000-0005-0000-0000-0000291C0000}"/>
    <cellStyle name="20% - Accent5 3 4 2 3 3" xfId="6063" xr:uid="{00000000-0005-0000-0000-00002A1C0000}"/>
    <cellStyle name="20% - Accent5 3 4 2 3 3 2" xfId="6064" xr:uid="{00000000-0005-0000-0000-00002B1C0000}"/>
    <cellStyle name="20% - Accent5 3 4 2 3 4" xfId="6065" xr:uid="{00000000-0005-0000-0000-00002C1C0000}"/>
    <cellStyle name="20% - Accent5 3 4 2 3 5" xfId="6066" xr:uid="{00000000-0005-0000-0000-00002D1C0000}"/>
    <cellStyle name="20% - Accent5 3 4 2 3 6" xfId="37546" xr:uid="{00000000-0005-0000-0000-00002E1C0000}"/>
    <cellStyle name="20% - Accent5 3 4 2 4" xfId="6067" xr:uid="{00000000-0005-0000-0000-00002F1C0000}"/>
    <cellStyle name="20% - Accent5 3 4 2 4 2" xfId="6068" xr:uid="{00000000-0005-0000-0000-0000301C0000}"/>
    <cellStyle name="20% - Accent5 3 4 2 4 2 2" xfId="6069" xr:uid="{00000000-0005-0000-0000-0000311C0000}"/>
    <cellStyle name="20% - Accent5 3 4 2 4 3" xfId="6070" xr:uid="{00000000-0005-0000-0000-0000321C0000}"/>
    <cellStyle name="20% - Accent5 3 4 2 4 4" xfId="6071" xr:uid="{00000000-0005-0000-0000-0000331C0000}"/>
    <cellStyle name="20% - Accent5 3 4 2 4 5" xfId="37548" xr:uid="{00000000-0005-0000-0000-0000341C0000}"/>
    <cellStyle name="20% - Accent5 3 4 2 5" xfId="6072" xr:uid="{00000000-0005-0000-0000-0000351C0000}"/>
    <cellStyle name="20% - Accent5 3 4 2 5 2" xfId="6073" xr:uid="{00000000-0005-0000-0000-0000361C0000}"/>
    <cellStyle name="20% - Accent5 3 4 2 5 2 2" xfId="6074" xr:uid="{00000000-0005-0000-0000-0000371C0000}"/>
    <cellStyle name="20% - Accent5 3 4 2 5 3" xfId="6075" xr:uid="{00000000-0005-0000-0000-0000381C0000}"/>
    <cellStyle name="20% - Accent5 3 4 2 5 4" xfId="6076" xr:uid="{00000000-0005-0000-0000-0000391C0000}"/>
    <cellStyle name="20% - Accent5 3 4 2 6" xfId="6077" xr:uid="{00000000-0005-0000-0000-00003A1C0000}"/>
    <cellStyle name="20% - Accent5 3 4 2 6 2" xfId="6078" xr:uid="{00000000-0005-0000-0000-00003B1C0000}"/>
    <cellStyle name="20% - Accent5 3 4 2 6 2 2" xfId="6079" xr:uid="{00000000-0005-0000-0000-00003C1C0000}"/>
    <cellStyle name="20% - Accent5 3 4 2 6 3" xfId="6080" xr:uid="{00000000-0005-0000-0000-00003D1C0000}"/>
    <cellStyle name="20% - Accent5 3 4 2 6 4" xfId="6081" xr:uid="{00000000-0005-0000-0000-00003E1C0000}"/>
    <cellStyle name="20% - Accent5 3 4 2 7" xfId="6082" xr:uid="{00000000-0005-0000-0000-00003F1C0000}"/>
    <cellStyle name="20% - Accent5 3 4 2 7 2" xfId="6083" xr:uid="{00000000-0005-0000-0000-0000401C0000}"/>
    <cellStyle name="20% - Accent5 3 4 2 8" xfId="6084" xr:uid="{00000000-0005-0000-0000-0000411C0000}"/>
    <cellStyle name="20% - Accent5 3 4 2 9" xfId="6085" xr:uid="{00000000-0005-0000-0000-0000421C0000}"/>
    <cellStyle name="20% - Accent5 3 4 3" xfId="6086" xr:uid="{00000000-0005-0000-0000-0000431C0000}"/>
    <cellStyle name="20% - Accent5 3 4 3 2" xfId="6087" xr:uid="{00000000-0005-0000-0000-0000441C0000}"/>
    <cellStyle name="20% - Accent5 3 4 3 2 2" xfId="6088" xr:uid="{00000000-0005-0000-0000-0000451C0000}"/>
    <cellStyle name="20% - Accent5 3 4 3 2 2 2" xfId="6089" xr:uid="{00000000-0005-0000-0000-0000461C0000}"/>
    <cellStyle name="20% - Accent5 3 4 3 2 3" xfId="6090" xr:uid="{00000000-0005-0000-0000-0000471C0000}"/>
    <cellStyle name="20% - Accent5 3 4 3 2 4" xfId="6091" xr:uid="{00000000-0005-0000-0000-0000481C0000}"/>
    <cellStyle name="20% - Accent5 3 4 3 2 5" xfId="37550" xr:uid="{00000000-0005-0000-0000-0000491C0000}"/>
    <cellStyle name="20% - Accent5 3 4 3 3" xfId="6092" xr:uid="{00000000-0005-0000-0000-00004A1C0000}"/>
    <cellStyle name="20% - Accent5 3 4 3 3 2" xfId="6093" xr:uid="{00000000-0005-0000-0000-00004B1C0000}"/>
    <cellStyle name="20% - Accent5 3 4 3 4" xfId="6094" xr:uid="{00000000-0005-0000-0000-00004C1C0000}"/>
    <cellStyle name="20% - Accent5 3 4 3 5" xfId="6095" xr:uid="{00000000-0005-0000-0000-00004D1C0000}"/>
    <cellStyle name="20% - Accent5 3 4 3 6" xfId="37549" xr:uid="{00000000-0005-0000-0000-00004E1C0000}"/>
    <cellStyle name="20% - Accent5 3 4 4" xfId="6096" xr:uid="{00000000-0005-0000-0000-00004F1C0000}"/>
    <cellStyle name="20% - Accent5 3 4 4 2" xfId="6097" xr:uid="{00000000-0005-0000-0000-0000501C0000}"/>
    <cellStyle name="20% - Accent5 3 4 4 2 2" xfId="6098" xr:uid="{00000000-0005-0000-0000-0000511C0000}"/>
    <cellStyle name="20% - Accent5 3 4 4 2 2 2" xfId="6099" xr:uid="{00000000-0005-0000-0000-0000521C0000}"/>
    <cellStyle name="20% - Accent5 3 4 4 2 3" xfId="6100" xr:uid="{00000000-0005-0000-0000-0000531C0000}"/>
    <cellStyle name="20% - Accent5 3 4 4 2 4" xfId="6101" xr:uid="{00000000-0005-0000-0000-0000541C0000}"/>
    <cellStyle name="20% - Accent5 3 4 4 2 5" xfId="37552" xr:uid="{00000000-0005-0000-0000-0000551C0000}"/>
    <cellStyle name="20% - Accent5 3 4 4 3" xfId="6102" xr:uid="{00000000-0005-0000-0000-0000561C0000}"/>
    <cellStyle name="20% - Accent5 3 4 4 3 2" xfId="6103" xr:uid="{00000000-0005-0000-0000-0000571C0000}"/>
    <cellStyle name="20% - Accent5 3 4 4 4" xfId="6104" xr:uid="{00000000-0005-0000-0000-0000581C0000}"/>
    <cellStyle name="20% - Accent5 3 4 4 5" xfId="6105" xr:uid="{00000000-0005-0000-0000-0000591C0000}"/>
    <cellStyle name="20% - Accent5 3 4 4 6" xfId="37551" xr:uid="{00000000-0005-0000-0000-00005A1C0000}"/>
    <cellStyle name="20% - Accent5 3 4 5" xfId="6106" xr:uid="{00000000-0005-0000-0000-00005B1C0000}"/>
    <cellStyle name="20% - Accent5 3 4 5 2" xfId="6107" xr:uid="{00000000-0005-0000-0000-00005C1C0000}"/>
    <cellStyle name="20% - Accent5 3 4 5 2 2" xfId="6108" xr:uid="{00000000-0005-0000-0000-00005D1C0000}"/>
    <cellStyle name="20% - Accent5 3 4 5 3" xfId="6109" xr:uid="{00000000-0005-0000-0000-00005E1C0000}"/>
    <cellStyle name="20% - Accent5 3 4 5 4" xfId="6110" xr:uid="{00000000-0005-0000-0000-00005F1C0000}"/>
    <cellStyle name="20% - Accent5 3 4 5 5" xfId="37553" xr:uid="{00000000-0005-0000-0000-0000601C0000}"/>
    <cellStyle name="20% - Accent5 3 4 6" xfId="6111" xr:uid="{00000000-0005-0000-0000-0000611C0000}"/>
    <cellStyle name="20% - Accent5 3 4 6 2" xfId="6112" xr:uid="{00000000-0005-0000-0000-0000621C0000}"/>
    <cellStyle name="20% - Accent5 3 4 6 2 2" xfId="6113" xr:uid="{00000000-0005-0000-0000-0000631C0000}"/>
    <cellStyle name="20% - Accent5 3 4 6 3" xfId="6114" xr:uid="{00000000-0005-0000-0000-0000641C0000}"/>
    <cellStyle name="20% - Accent5 3 4 6 4" xfId="6115" xr:uid="{00000000-0005-0000-0000-0000651C0000}"/>
    <cellStyle name="20% - Accent5 3 4 7" xfId="6116" xr:uid="{00000000-0005-0000-0000-0000661C0000}"/>
    <cellStyle name="20% - Accent5 3 4 7 2" xfId="6117" xr:uid="{00000000-0005-0000-0000-0000671C0000}"/>
    <cellStyle name="20% - Accent5 3 4 7 2 2" xfId="6118" xr:uid="{00000000-0005-0000-0000-0000681C0000}"/>
    <cellStyle name="20% - Accent5 3 4 7 3" xfId="6119" xr:uid="{00000000-0005-0000-0000-0000691C0000}"/>
    <cellStyle name="20% - Accent5 3 4 7 4" xfId="6120" xr:uid="{00000000-0005-0000-0000-00006A1C0000}"/>
    <cellStyle name="20% - Accent5 3 4 8" xfId="6121" xr:uid="{00000000-0005-0000-0000-00006B1C0000}"/>
    <cellStyle name="20% - Accent5 3 4 8 2" xfId="6122" xr:uid="{00000000-0005-0000-0000-00006C1C0000}"/>
    <cellStyle name="20% - Accent5 3 4 9" xfId="6123" xr:uid="{00000000-0005-0000-0000-00006D1C0000}"/>
    <cellStyle name="20% - Accent5 3 5" xfId="6124" xr:uid="{00000000-0005-0000-0000-00006E1C0000}"/>
    <cellStyle name="20% - Accent5 3 5 10" xfId="34619" xr:uid="{00000000-0005-0000-0000-00006F1C0000}"/>
    <cellStyle name="20% - Accent5 3 5 2" xfId="6125" xr:uid="{00000000-0005-0000-0000-0000701C0000}"/>
    <cellStyle name="20% - Accent5 3 5 2 2" xfId="6126" xr:uid="{00000000-0005-0000-0000-0000711C0000}"/>
    <cellStyle name="20% - Accent5 3 5 2 2 2" xfId="6127" xr:uid="{00000000-0005-0000-0000-0000721C0000}"/>
    <cellStyle name="20% - Accent5 3 5 2 2 2 2" xfId="6128" xr:uid="{00000000-0005-0000-0000-0000731C0000}"/>
    <cellStyle name="20% - Accent5 3 5 2 2 3" xfId="6129" xr:uid="{00000000-0005-0000-0000-0000741C0000}"/>
    <cellStyle name="20% - Accent5 3 5 2 2 4" xfId="6130" xr:uid="{00000000-0005-0000-0000-0000751C0000}"/>
    <cellStyle name="20% - Accent5 3 5 2 2 5" xfId="37555" xr:uid="{00000000-0005-0000-0000-0000761C0000}"/>
    <cellStyle name="20% - Accent5 3 5 2 3" xfId="6131" xr:uid="{00000000-0005-0000-0000-0000771C0000}"/>
    <cellStyle name="20% - Accent5 3 5 2 3 2" xfId="6132" xr:uid="{00000000-0005-0000-0000-0000781C0000}"/>
    <cellStyle name="20% - Accent5 3 5 2 4" xfId="6133" xr:uid="{00000000-0005-0000-0000-0000791C0000}"/>
    <cellStyle name="20% - Accent5 3 5 2 5" xfId="6134" xr:uid="{00000000-0005-0000-0000-00007A1C0000}"/>
    <cellStyle name="20% - Accent5 3 5 2 6" xfId="37554" xr:uid="{00000000-0005-0000-0000-00007B1C0000}"/>
    <cellStyle name="20% - Accent5 3 5 3" xfId="6135" xr:uid="{00000000-0005-0000-0000-00007C1C0000}"/>
    <cellStyle name="20% - Accent5 3 5 3 2" xfId="6136" xr:uid="{00000000-0005-0000-0000-00007D1C0000}"/>
    <cellStyle name="20% - Accent5 3 5 3 2 2" xfId="6137" xr:uid="{00000000-0005-0000-0000-00007E1C0000}"/>
    <cellStyle name="20% - Accent5 3 5 3 2 2 2" xfId="6138" xr:uid="{00000000-0005-0000-0000-00007F1C0000}"/>
    <cellStyle name="20% - Accent5 3 5 3 2 3" xfId="6139" xr:uid="{00000000-0005-0000-0000-0000801C0000}"/>
    <cellStyle name="20% - Accent5 3 5 3 2 4" xfId="6140" xr:uid="{00000000-0005-0000-0000-0000811C0000}"/>
    <cellStyle name="20% - Accent5 3 5 3 2 5" xfId="37557" xr:uid="{00000000-0005-0000-0000-0000821C0000}"/>
    <cellStyle name="20% - Accent5 3 5 3 3" xfId="6141" xr:uid="{00000000-0005-0000-0000-0000831C0000}"/>
    <cellStyle name="20% - Accent5 3 5 3 3 2" xfId="6142" xr:uid="{00000000-0005-0000-0000-0000841C0000}"/>
    <cellStyle name="20% - Accent5 3 5 3 4" xfId="6143" xr:uid="{00000000-0005-0000-0000-0000851C0000}"/>
    <cellStyle name="20% - Accent5 3 5 3 5" xfId="6144" xr:uid="{00000000-0005-0000-0000-0000861C0000}"/>
    <cellStyle name="20% - Accent5 3 5 3 6" xfId="37556" xr:uid="{00000000-0005-0000-0000-0000871C0000}"/>
    <cellStyle name="20% - Accent5 3 5 4" xfId="6145" xr:uid="{00000000-0005-0000-0000-0000881C0000}"/>
    <cellStyle name="20% - Accent5 3 5 4 2" xfId="6146" xr:uid="{00000000-0005-0000-0000-0000891C0000}"/>
    <cellStyle name="20% - Accent5 3 5 4 2 2" xfId="6147" xr:uid="{00000000-0005-0000-0000-00008A1C0000}"/>
    <cellStyle name="20% - Accent5 3 5 4 3" xfId="6148" xr:uid="{00000000-0005-0000-0000-00008B1C0000}"/>
    <cellStyle name="20% - Accent5 3 5 4 4" xfId="6149" xr:uid="{00000000-0005-0000-0000-00008C1C0000}"/>
    <cellStyle name="20% - Accent5 3 5 4 5" xfId="37558" xr:uid="{00000000-0005-0000-0000-00008D1C0000}"/>
    <cellStyle name="20% - Accent5 3 5 5" xfId="6150" xr:uid="{00000000-0005-0000-0000-00008E1C0000}"/>
    <cellStyle name="20% - Accent5 3 5 5 2" xfId="6151" xr:uid="{00000000-0005-0000-0000-00008F1C0000}"/>
    <cellStyle name="20% - Accent5 3 5 5 2 2" xfId="6152" xr:uid="{00000000-0005-0000-0000-0000901C0000}"/>
    <cellStyle name="20% - Accent5 3 5 5 3" xfId="6153" xr:uid="{00000000-0005-0000-0000-0000911C0000}"/>
    <cellStyle name="20% - Accent5 3 5 5 4" xfId="6154" xr:uid="{00000000-0005-0000-0000-0000921C0000}"/>
    <cellStyle name="20% - Accent5 3 5 6" xfId="6155" xr:uid="{00000000-0005-0000-0000-0000931C0000}"/>
    <cellStyle name="20% - Accent5 3 5 6 2" xfId="6156" xr:uid="{00000000-0005-0000-0000-0000941C0000}"/>
    <cellStyle name="20% - Accent5 3 5 6 2 2" xfId="6157" xr:uid="{00000000-0005-0000-0000-0000951C0000}"/>
    <cellStyle name="20% - Accent5 3 5 6 3" xfId="6158" xr:uid="{00000000-0005-0000-0000-0000961C0000}"/>
    <cellStyle name="20% - Accent5 3 5 6 4" xfId="6159" xr:uid="{00000000-0005-0000-0000-0000971C0000}"/>
    <cellStyle name="20% - Accent5 3 5 7" xfId="6160" xr:uid="{00000000-0005-0000-0000-0000981C0000}"/>
    <cellStyle name="20% - Accent5 3 5 7 2" xfId="6161" xr:uid="{00000000-0005-0000-0000-0000991C0000}"/>
    <cellStyle name="20% - Accent5 3 5 8" xfId="6162" xr:uid="{00000000-0005-0000-0000-00009A1C0000}"/>
    <cellStyle name="20% - Accent5 3 5 9" xfId="6163" xr:uid="{00000000-0005-0000-0000-00009B1C0000}"/>
    <cellStyle name="20% - Accent5 3 6" xfId="6164" xr:uid="{00000000-0005-0000-0000-00009C1C0000}"/>
    <cellStyle name="20% - Accent5 3 6 2" xfId="6165" xr:uid="{00000000-0005-0000-0000-00009D1C0000}"/>
    <cellStyle name="20% - Accent5 3 6 2 2" xfId="6166" xr:uid="{00000000-0005-0000-0000-00009E1C0000}"/>
    <cellStyle name="20% - Accent5 3 6 2 2 2" xfId="6167" xr:uid="{00000000-0005-0000-0000-00009F1C0000}"/>
    <cellStyle name="20% - Accent5 3 6 2 3" xfId="6168" xr:uid="{00000000-0005-0000-0000-0000A01C0000}"/>
    <cellStyle name="20% - Accent5 3 6 2 4" xfId="6169" xr:uid="{00000000-0005-0000-0000-0000A11C0000}"/>
    <cellStyle name="20% - Accent5 3 6 2 5" xfId="37560" xr:uid="{00000000-0005-0000-0000-0000A21C0000}"/>
    <cellStyle name="20% - Accent5 3 6 3" xfId="6170" xr:uid="{00000000-0005-0000-0000-0000A31C0000}"/>
    <cellStyle name="20% - Accent5 3 6 3 2" xfId="6171" xr:uid="{00000000-0005-0000-0000-0000A41C0000}"/>
    <cellStyle name="20% - Accent5 3 6 3 2 2" xfId="6172" xr:uid="{00000000-0005-0000-0000-0000A51C0000}"/>
    <cellStyle name="20% - Accent5 3 6 3 3" xfId="6173" xr:uid="{00000000-0005-0000-0000-0000A61C0000}"/>
    <cellStyle name="20% - Accent5 3 6 3 4" xfId="6174" xr:uid="{00000000-0005-0000-0000-0000A71C0000}"/>
    <cellStyle name="20% - Accent5 3 6 4" xfId="6175" xr:uid="{00000000-0005-0000-0000-0000A81C0000}"/>
    <cellStyle name="20% - Accent5 3 6 4 2" xfId="6176" xr:uid="{00000000-0005-0000-0000-0000A91C0000}"/>
    <cellStyle name="20% - Accent5 3 6 5" xfId="6177" xr:uid="{00000000-0005-0000-0000-0000AA1C0000}"/>
    <cellStyle name="20% - Accent5 3 6 6" xfId="6178" xr:uid="{00000000-0005-0000-0000-0000AB1C0000}"/>
    <cellStyle name="20% - Accent5 3 6 7" xfId="37559" xr:uid="{00000000-0005-0000-0000-0000AC1C0000}"/>
    <cellStyle name="20% - Accent5 3 7" xfId="6179" xr:uid="{00000000-0005-0000-0000-0000AD1C0000}"/>
    <cellStyle name="20% - Accent5 3 7 2" xfId="6180" xr:uid="{00000000-0005-0000-0000-0000AE1C0000}"/>
    <cellStyle name="20% - Accent5 3 7 2 2" xfId="6181" xr:uid="{00000000-0005-0000-0000-0000AF1C0000}"/>
    <cellStyle name="20% - Accent5 3 7 2 2 2" xfId="6182" xr:uid="{00000000-0005-0000-0000-0000B01C0000}"/>
    <cellStyle name="20% - Accent5 3 7 2 3" xfId="6183" xr:uid="{00000000-0005-0000-0000-0000B11C0000}"/>
    <cellStyle name="20% - Accent5 3 7 2 4" xfId="6184" xr:uid="{00000000-0005-0000-0000-0000B21C0000}"/>
    <cellStyle name="20% - Accent5 3 7 2 5" xfId="37562" xr:uid="{00000000-0005-0000-0000-0000B31C0000}"/>
    <cellStyle name="20% - Accent5 3 7 3" xfId="6185" xr:uid="{00000000-0005-0000-0000-0000B41C0000}"/>
    <cellStyle name="20% - Accent5 3 7 4" xfId="6186" xr:uid="{00000000-0005-0000-0000-0000B51C0000}"/>
    <cellStyle name="20% - Accent5 3 7 4 2" xfId="6187" xr:uid="{00000000-0005-0000-0000-0000B61C0000}"/>
    <cellStyle name="20% - Accent5 3 7 5" xfId="6188" xr:uid="{00000000-0005-0000-0000-0000B71C0000}"/>
    <cellStyle name="20% - Accent5 3 7 6" xfId="6189" xr:uid="{00000000-0005-0000-0000-0000B81C0000}"/>
    <cellStyle name="20% - Accent5 3 7 7" xfId="37561" xr:uid="{00000000-0005-0000-0000-0000B91C0000}"/>
    <cellStyle name="20% - Accent5 3 8" xfId="6190" xr:uid="{00000000-0005-0000-0000-0000BA1C0000}"/>
    <cellStyle name="20% - Accent5 3 8 2" xfId="6191" xr:uid="{00000000-0005-0000-0000-0000BB1C0000}"/>
    <cellStyle name="20% - Accent5 3 8 2 2" xfId="6192" xr:uid="{00000000-0005-0000-0000-0000BC1C0000}"/>
    <cellStyle name="20% - Accent5 3 8 3" xfId="6193" xr:uid="{00000000-0005-0000-0000-0000BD1C0000}"/>
    <cellStyle name="20% - Accent5 3 8 4" xfId="6194" xr:uid="{00000000-0005-0000-0000-0000BE1C0000}"/>
    <cellStyle name="20% - Accent5 3 8 5" xfId="37563" xr:uid="{00000000-0005-0000-0000-0000BF1C0000}"/>
    <cellStyle name="20% - Accent5 3 9" xfId="6195" xr:uid="{00000000-0005-0000-0000-0000C01C0000}"/>
    <cellStyle name="20% - Accent5 3 9 2" xfId="6196" xr:uid="{00000000-0005-0000-0000-0000C11C0000}"/>
    <cellStyle name="20% - Accent5 3 9 2 2" xfId="6197" xr:uid="{00000000-0005-0000-0000-0000C21C0000}"/>
    <cellStyle name="20% - Accent5 3 9 3" xfId="6198" xr:uid="{00000000-0005-0000-0000-0000C31C0000}"/>
    <cellStyle name="20% - Accent5 3 9 4" xfId="6199" xr:uid="{00000000-0005-0000-0000-0000C41C0000}"/>
    <cellStyle name="20% - Accent5 3 9 5" xfId="37564" xr:uid="{00000000-0005-0000-0000-0000C51C0000}"/>
    <cellStyle name="20% - Accent5 4" xfId="6200" xr:uid="{00000000-0005-0000-0000-0000C61C0000}"/>
    <cellStyle name="20% - Accent5 4 10" xfId="6201" xr:uid="{00000000-0005-0000-0000-0000C71C0000}"/>
    <cellStyle name="20% - Accent5 4 10 2" xfId="6202" xr:uid="{00000000-0005-0000-0000-0000C81C0000}"/>
    <cellStyle name="20% - Accent5 4 11" xfId="6203" xr:uid="{00000000-0005-0000-0000-0000C91C0000}"/>
    <cellStyle name="20% - Accent5 4 12" xfId="6204" xr:uid="{00000000-0005-0000-0000-0000CA1C0000}"/>
    <cellStyle name="20% - Accent5 4 13" xfId="34620" xr:uid="{00000000-0005-0000-0000-0000CB1C0000}"/>
    <cellStyle name="20% - Accent5 4 2" xfId="6205" xr:uid="{00000000-0005-0000-0000-0000CC1C0000}"/>
    <cellStyle name="20% - Accent5 4 2 10" xfId="6206" xr:uid="{00000000-0005-0000-0000-0000CD1C0000}"/>
    <cellStyle name="20% - Accent5 4 2 11" xfId="6207" xr:uid="{00000000-0005-0000-0000-0000CE1C0000}"/>
    <cellStyle name="20% - Accent5 4 2 12" xfId="34621" xr:uid="{00000000-0005-0000-0000-0000CF1C0000}"/>
    <cellStyle name="20% - Accent5 4 2 2" xfId="6208" xr:uid="{00000000-0005-0000-0000-0000D01C0000}"/>
    <cellStyle name="20% - Accent5 4 2 2 10" xfId="6209" xr:uid="{00000000-0005-0000-0000-0000D11C0000}"/>
    <cellStyle name="20% - Accent5 4 2 2 11" xfId="34622" xr:uid="{00000000-0005-0000-0000-0000D21C0000}"/>
    <cellStyle name="20% - Accent5 4 2 2 2" xfId="6210" xr:uid="{00000000-0005-0000-0000-0000D31C0000}"/>
    <cellStyle name="20% - Accent5 4 2 2 2 10" xfId="34623" xr:uid="{00000000-0005-0000-0000-0000D41C0000}"/>
    <cellStyle name="20% - Accent5 4 2 2 2 2" xfId="6211" xr:uid="{00000000-0005-0000-0000-0000D51C0000}"/>
    <cellStyle name="20% - Accent5 4 2 2 2 2 2" xfId="6212" xr:uid="{00000000-0005-0000-0000-0000D61C0000}"/>
    <cellStyle name="20% - Accent5 4 2 2 2 2 2 2" xfId="6213" xr:uid="{00000000-0005-0000-0000-0000D71C0000}"/>
    <cellStyle name="20% - Accent5 4 2 2 2 2 2 2 2" xfId="6214" xr:uid="{00000000-0005-0000-0000-0000D81C0000}"/>
    <cellStyle name="20% - Accent5 4 2 2 2 2 2 3" xfId="6215" xr:uid="{00000000-0005-0000-0000-0000D91C0000}"/>
    <cellStyle name="20% - Accent5 4 2 2 2 2 2 4" xfId="6216" xr:uid="{00000000-0005-0000-0000-0000DA1C0000}"/>
    <cellStyle name="20% - Accent5 4 2 2 2 2 2 5" xfId="37566" xr:uid="{00000000-0005-0000-0000-0000DB1C0000}"/>
    <cellStyle name="20% - Accent5 4 2 2 2 2 3" xfId="6217" xr:uid="{00000000-0005-0000-0000-0000DC1C0000}"/>
    <cellStyle name="20% - Accent5 4 2 2 2 2 3 2" xfId="6218" xr:uid="{00000000-0005-0000-0000-0000DD1C0000}"/>
    <cellStyle name="20% - Accent5 4 2 2 2 2 4" xfId="6219" xr:uid="{00000000-0005-0000-0000-0000DE1C0000}"/>
    <cellStyle name="20% - Accent5 4 2 2 2 2 5" xfId="6220" xr:uid="{00000000-0005-0000-0000-0000DF1C0000}"/>
    <cellStyle name="20% - Accent5 4 2 2 2 2 6" xfId="37565" xr:uid="{00000000-0005-0000-0000-0000E01C0000}"/>
    <cellStyle name="20% - Accent5 4 2 2 2 3" xfId="6221" xr:uid="{00000000-0005-0000-0000-0000E11C0000}"/>
    <cellStyle name="20% - Accent5 4 2 2 2 3 2" xfId="6222" xr:uid="{00000000-0005-0000-0000-0000E21C0000}"/>
    <cellStyle name="20% - Accent5 4 2 2 2 3 2 2" xfId="6223" xr:uid="{00000000-0005-0000-0000-0000E31C0000}"/>
    <cellStyle name="20% - Accent5 4 2 2 2 3 2 2 2" xfId="6224" xr:uid="{00000000-0005-0000-0000-0000E41C0000}"/>
    <cellStyle name="20% - Accent5 4 2 2 2 3 2 3" xfId="6225" xr:uid="{00000000-0005-0000-0000-0000E51C0000}"/>
    <cellStyle name="20% - Accent5 4 2 2 2 3 2 4" xfId="6226" xr:uid="{00000000-0005-0000-0000-0000E61C0000}"/>
    <cellStyle name="20% - Accent5 4 2 2 2 3 2 5" xfId="37568" xr:uid="{00000000-0005-0000-0000-0000E71C0000}"/>
    <cellStyle name="20% - Accent5 4 2 2 2 3 3" xfId="6227" xr:uid="{00000000-0005-0000-0000-0000E81C0000}"/>
    <cellStyle name="20% - Accent5 4 2 2 2 3 3 2" xfId="6228" xr:uid="{00000000-0005-0000-0000-0000E91C0000}"/>
    <cellStyle name="20% - Accent5 4 2 2 2 3 4" xfId="6229" xr:uid="{00000000-0005-0000-0000-0000EA1C0000}"/>
    <cellStyle name="20% - Accent5 4 2 2 2 3 5" xfId="6230" xr:uid="{00000000-0005-0000-0000-0000EB1C0000}"/>
    <cellStyle name="20% - Accent5 4 2 2 2 3 6" xfId="37567" xr:uid="{00000000-0005-0000-0000-0000EC1C0000}"/>
    <cellStyle name="20% - Accent5 4 2 2 2 4" xfId="6231" xr:uid="{00000000-0005-0000-0000-0000ED1C0000}"/>
    <cellStyle name="20% - Accent5 4 2 2 2 4 2" xfId="6232" xr:uid="{00000000-0005-0000-0000-0000EE1C0000}"/>
    <cellStyle name="20% - Accent5 4 2 2 2 4 2 2" xfId="6233" xr:uid="{00000000-0005-0000-0000-0000EF1C0000}"/>
    <cellStyle name="20% - Accent5 4 2 2 2 4 3" xfId="6234" xr:uid="{00000000-0005-0000-0000-0000F01C0000}"/>
    <cellStyle name="20% - Accent5 4 2 2 2 4 4" xfId="6235" xr:uid="{00000000-0005-0000-0000-0000F11C0000}"/>
    <cellStyle name="20% - Accent5 4 2 2 2 4 5" xfId="37569" xr:uid="{00000000-0005-0000-0000-0000F21C0000}"/>
    <cellStyle name="20% - Accent5 4 2 2 2 5" xfId="6236" xr:uid="{00000000-0005-0000-0000-0000F31C0000}"/>
    <cellStyle name="20% - Accent5 4 2 2 2 5 2" xfId="6237" xr:uid="{00000000-0005-0000-0000-0000F41C0000}"/>
    <cellStyle name="20% - Accent5 4 2 2 2 5 2 2" xfId="6238" xr:uid="{00000000-0005-0000-0000-0000F51C0000}"/>
    <cellStyle name="20% - Accent5 4 2 2 2 5 3" xfId="6239" xr:uid="{00000000-0005-0000-0000-0000F61C0000}"/>
    <cellStyle name="20% - Accent5 4 2 2 2 5 4" xfId="6240" xr:uid="{00000000-0005-0000-0000-0000F71C0000}"/>
    <cellStyle name="20% - Accent5 4 2 2 2 6" xfId="6241" xr:uid="{00000000-0005-0000-0000-0000F81C0000}"/>
    <cellStyle name="20% - Accent5 4 2 2 2 6 2" xfId="6242" xr:uid="{00000000-0005-0000-0000-0000F91C0000}"/>
    <cellStyle name="20% - Accent5 4 2 2 2 6 2 2" xfId="6243" xr:uid="{00000000-0005-0000-0000-0000FA1C0000}"/>
    <cellStyle name="20% - Accent5 4 2 2 2 6 3" xfId="6244" xr:uid="{00000000-0005-0000-0000-0000FB1C0000}"/>
    <cellStyle name="20% - Accent5 4 2 2 2 6 4" xfId="6245" xr:uid="{00000000-0005-0000-0000-0000FC1C0000}"/>
    <cellStyle name="20% - Accent5 4 2 2 2 7" xfId="6246" xr:uid="{00000000-0005-0000-0000-0000FD1C0000}"/>
    <cellStyle name="20% - Accent5 4 2 2 2 7 2" xfId="6247" xr:uid="{00000000-0005-0000-0000-0000FE1C0000}"/>
    <cellStyle name="20% - Accent5 4 2 2 2 8" xfId="6248" xr:uid="{00000000-0005-0000-0000-0000FF1C0000}"/>
    <cellStyle name="20% - Accent5 4 2 2 2 9" xfId="6249" xr:uid="{00000000-0005-0000-0000-0000001D0000}"/>
    <cellStyle name="20% - Accent5 4 2 2 3" xfId="6250" xr:uid="{00000000-0005-0000-0000-0000011D0000}"/>
    <cellStyle name="20% - Accent5 4 2 2 3 2" xfId="6251" xr:uid="{00000000-0005-0000-0000-0000021D0000}"/>
    <cellStyle name="20% - Accent5 4 2 2 3 2 2" xfId="6252" xr:uid="{00000000-0005-0000-0000-0000031D0000}"/>
    <cellStyle name="20% - Accent5 4 2 2 3 2 2 2" xfId="6253" xr:uid="{00000000-0005-0000-0000-0000041D0000}"/>
    <cellStyle name="20% - Accent5 4 2 2 3 2 3" xfId="6254" xr:uid="{00000000-0005-0000-0000-0000051D0000}"/>
    <cellStyle name="20% - Accent5 4 2 2 3 2 4" xfId="6255" xr:uid="{00000000-0005-0000-0000-0000061D0000}"/>
    <cellStyle name="20% - Accent5 4 2 2 3 2 5" xfId="37571" xr:uid="{00000000-0005-0000-0000-0000071D0000}"/>
    <cellStyle name="20% - Accent5 4 2 2 3 3" xfId="6256" xr:uid="{00000000-0005-0000-0000-0000081D0000}"/>
    <cellStyle name="20% - Accent5 4 2 2 3 3 2" xfId="6257" xr:uid="{00000000-0005-0000-0000-0000091D0000}"/>
    <cellStyle name="20% - Accent5 4 2 2 3 4" xfId="6258" xr:uid="{00000000-0005-0000-0000-00000A1D0000}"/>
    <cellStyle name="20% - Accent5 4 2 2 3 5" xfId="6259" xr:uid="{00000000-0005-0000-0000-00000B1D0000}"/>
    <cellStyle name="20% - Accent5 4 2 2 3 6" xfId="37570" xr:uid="{00000000-0005-0000-0000-00000C1D0000}"/>
    <cellStyle name="20% - Accent5 4 2 2 4" xfId="6260" xr:uid="{00000000-0005-0000-0000-00000D1D0000}"/>
    <cellStyle name="20% - Accent5 4 2 2 4 2" xfId="6261" xr:uid="{00000000-0005-0000-0000-00000E1D0000}"/>
    <cellStyle name="20% - Accent5 4 2 2 4 2 2" xfId="6262" xr:uid="{00000000-0005-0000-0000-00000F1D0000}"/>
    <cellStyle name="20% - Accent5 4 2 2 4 2 2 2" xfId="6263" xr:uid="{00000000-0005-0000-0000-0000101D0000}"/>
    <cellStyle name="20% - Accent5 4 2 2 4 2 3" xfId="6264" xr:uid="{00000000-0005-0000-0000-0000111D0000}"/>
    <cellStyle name="20% - Accent5 4 2 2 4 2 4" xfId="6265" xr:uid="{00000000-0005-0000-0000-0000121D0000}"/>
    <cellStyle name="20% - Accent5 4 2 2 4 2 5" xfId="37573" xr:uid="{00000000-0005-0000-0000-0000131D0000}"/>
    <cellStyle name="20% - Accent5 4 2 2 4 3" xfId="6266" xr:uid="{00000000-0005-0000-0000-0000141D0000}"/>
    <cellStyle name="20% - Accent5 4 2 2 4 3 2" xfId="6267" xr:uid="{00000000-0005-0000-0000-0000151D0000}"/>
    <cellStyle name="20% - Accent5 4 2 2 4 4" xfId="6268" xr:uid="{00000000-0005-0000-0000-0000161D0000}"/>
    <cellStyle name="20% - Accent5 4 2 2 4 5" xfId="6269" xr:uid="{00000000-0005-0000-0000-0000171D0000}"/>
    <cellStyle name="20% - Accent5 4 2 2 4 6" xfId="37572" xr:uid="{00000000-0005-0000-0000-0000181D0000}"/>
    <cellStyle name="20% - Accent5 4 2 2 5" xfId="6270" xr:uid="{00000000-0005-0000-0000-0000191D0000}"/>
    <cellStyle name="20% - Accent5 4 2 2 5 2" xfId="6271" xr:uid="{00000000-0005-0000-0000-00001A1D0000}"/>
    <cellStyle name="20% - Accent5 4 2 2 5 2 2" xfId="6272" xr:uid="{00000000-0005-0000-0000-00001B1D0000}"/>
    <cellStyle name="20% - Accent5 4 2 2 5 3" xfId="6273" xr:uid="{00000000-0005-0000-0000-00001C1D0000}"/>
    <cellStyle name="20% - Accent5 4 2 2 5 4" xfId="6274" xr:uid="{00000000-0005-0000-0000-00001D1D0000}"/>
    <cellStyle name="20% - Accent5 4 2 2 5 5" xfId="37574" xr:uid="{00000000-0005-0000-0000-00001E1D0000}"/>
    <cellStyle name="20% - Accent5 4 2 2 6" xfId="6275" xr:uid="{00000000-0005-0000-0000-00001F1D0000}"/>
    <cellStyle name="20% - Accent5 4 2 2 6 2" xfId="6276" xr:uid="{00000000-0005-0000-0000-0000201D0000}"/>
    <cellStyle name="20% - Accent5 4 2 2 6 2 2" xfId="6277" xr:uid="{00000000-0005-0000-0000-0000211D0000}"/>
    <cellStyle name="20% - Accent5 4 2 2 6 3" xfId="6278" xr:uid="{00000000-0005-0000-0000-0000221D0000}"/>
    <cellStyle name="20% - Accent5 4 2 2 6 4" xfId="6279" xr:uid="{00000000-0005-0000-0000-0000231D0000}"/>
    <cellStyle name="20% - Accent5 4 2 2 7" xfId="6280" xr:uid="{00000000-0005-0000-0000-0000241D0000}"/>
    <cellStyle name="20% - Accent5 4 2 2 7 2" xfId="6281" xr:uid="{00000000-0005-0000-0000-0000251D0000}"/>
    <cellStyle name="20% - Accent5 4 2 2 7 2 2" xfId="6282" xr:uid="{00000000-0005-0000-0000-0000261D0000}"/>
    <cellStyle name="20% - Accent5 4 2 2 7 3" xfId="6283" xr:uid="{00000000-0005-0000-0000-0000271D0000}"/>
    <cellStyle name="20% - Accent5 4 2 2 7 4" xfId="6284" xr:uid="{00000000-0005-0000-0000-0000281D0000}"/>
    <cellStyle name="20% - Accent5 4 2 2 8" xfId="6285" xr:uid="{00000000-0005-0000-0000-0000291D0000}"/>
    <cellStyle name="20% - Accent5 4 2 2 8 2" xfId="6286" xr:uid="{00000000-0005-0000-0000-00002A1D0000}"/>
    <cellStyle name="20% - Accent5 4 2 2 9" xfId="6287" xr:uid="{00000000-0005-0000-0000-00002B1D0000}"/>
    <cellStyle name="20% - Accent5 4 2 3" xfId="6288" xr:uid="{00000000-0005-0000-0000-00002C1D0000}"/>
    <cellStyle name="20% - Accent5 4 2 3 10" xfId="34624" xr:uid="{00000000-0005-0000-0000-00002D1D0000}"/>
    <cellStyle name="20% - Accent5 4 2 3 2" xfId="6289" xr:uid="{00000000-0005-0000-0000-00002E1D0000}"/>
    <cellStyle name="20% - Accent5 4 2 3 2 2" xfId="6290" xr:uid="{00000000-0005-0000-0000-00002F1D0000}"/>
    <cellStyle name="20% - Accent5 4 2 3 2 2 2" xfId="6291" xr:uid="{00000000-0005-0000-0000-0000301D0000}"/>
    <cellStyle name="20% - Accent5 4 2 3 2 2 2 2" xfId="6292" xr:uid="{00000000-0005-0000-0000-0000311D0000}"/>
    <cellStyle name="20% - Accent5 4 2 3 2 2 3" xfId="6293" xr:uid="{00000000-0005-0000-0000-0000321D0000}"/>
    <cellStyle name="20% - Accent5 4 2 3 2 2 4" xfId="6294" xr:uid="{00000000-0005-0000-0000-0000331D0000}"/>
    <cellStyle name="20% - Accent5 4 2 3 2 2 5" xfId="37576" xr:uid="{00000000-0005-0000-0000-0000341D0000}"/>
    <cellStyle name="20% - Accent5 4 2 3 2 3" xfId="6295" xr:uid="{00000000-0005-0000-0000-0000351D0000}"/>
    <cellStyle name="20% - Accent5 4 2 3 2 3 2" xfId="6296" xr:uid="{00000000-0005-0000-0000-0000361D0000}"/>
    <cellStyle name="20% - Accent5 4 2 3 2 4" xfId="6297" xr:uid="{00000000-0005-0000-0000-0000371D0000}"/>
    <cellStyle name="20% - Accent5 4 2 3 2 5" xfId="6298" xr:uid="{00000000-0005-0000-0000-0000381D0000}"/>
    <cellStyle name="20% - Accent5 4 2 3 2 6" xfId="37575" xr:uid="{00000000-0005-0000-0000-0000391D0000}"/>
    <cellStyle name="20% - Accent5 4 2 3 3" xfId="6299" xr:uid="{00000000-0005-0000-0000-00003A1D0000}"/>
    <cellStyle name="20% - Accent5 4 2 3 3 2" xfId="6300" xr:uid="{00000000-0005-0000-0000-00003B1D0000}"/>
    <cellStyle name="20% - Accent5 4 2 3 3 2 2" xfId="6301" xr:uid="{00000000-0005-0000-0000-00003C1D0000}"/>
    <cellStyle name="20% - Accent5 4 2 3 3 2 2 2" xfId="6302" xr:uid="{00000000-0005-0000-0000-00003D1D0000}"/>
    <cellStyle name="20% - Accent5 4 2 3 3 2 3" xfId="6303" xr:uid="{00000000-0005-0000-0000-00003E1D0000}"/>
    <cellStyle name="20% - Accent5 4 2 3 3 2 4" xfId="6304" xr:uid="{00000000-0005-0000-0000-00003F1D0000}"/>
    <cellStyle name="20% - Accent5 4 2 3 3 2 5" xfId="37578" xr:uid="{00000000-0005-0000-0000-0000401D0000}"/>
    <cellStyle name="20% - Accent5 4 2 3 3 3" xfId="6305" xr:uid="{00000000-0005-0000-0000-0000411D0000}"/>
    <cellStyle name="20% - Accent5 4 2 3 3 3 2" xfId="6306" xr:uid="{00000000-0005-0000-0000-0000421D0000}"/>
    <cellStyle name="20% - Accent5 4 2 3 3 4" xfId="6307" xr:uid="{00000000-0005-0000-0000-0000431D0000}"/>
    <cellStyle name="20% - Accent5 4 2 3 3 5" xfId="6308" xr:uid="{00000000-0005-0000-0000-0000441D0000}"/>
    <cellStyle name="20% - Accent5 4 2 3 3 6" xfId="37577" xr:uid="{00000000-0005-0000-0000-0000451D0000}"/>
    <cellStyle name="20% - Accent5 4 2 3 4" xfId="6309" xr:uid="{00000000-0005-0000-0000-0000461D0000}"/>
    <cellStyle name="20% - Accent5 4 2 3 4 2" xfId="6310" xr:uid="{00000000-0005-0000-0000-0000471D0000}"/>
    <cellStyle name="20% - Accent5 4 2 3 4 2 2" xfId="6311" xr:uid="{00000000-0005-0000-0000-0000481D0000}"/>
    <cellStyle name="20% - Accent5 4 2 3 4 3" xfId="6312" xr:uid="{00000000-0005-0000-0000-0000491D0000}"/>
    <cellStyle name="20% - Accent5 4 2 3 4 4" xfId="6313" xr:uid="{00000000-0005-0000-0000-00004A1D0000}"/>
    <cellStyle name="20% - Accent5 4 2 3 4 5" xfId="37579" xr:uid="{00000000-0005-0000-0000-00004B1D0000}"/>
    <cellStyle name="20% - Accent5 4 2 3 5" xfId="6314" xr:uid="{00000000-0005-0000-0000-00004C1D0000}"/>
    <cellStyle name="20% - Accent5 4 2 3 5 2" xfId="6315" xr:uid="{00000000-0005-0000-0000-00004D1D0000}"/>
    <cellStyle name="20% - Accent5 4 2 3 5 2 2" xfId="6316" xr:uid="{00000000-0005-0000-0000-00004E1D0000}"/>
    <cellStyle name="20% - Accent5 4 2 3 5 3" xfId="6317" xr:uid="{00000000-0005-0000-0000-00004F1D0000}"/>
    <cellStyle name="20% - Accent5 4 2 3 5 4" xfId="6318" xr:uid="{00000000-0005-0000-0000-0000501D0000}"/>
    <cellStyle name="20% - Accent5 4 2 3 6" xfId="6319" xr:uid="{00000000-0005-0000-0000-0000511D0000}"/>
    <cellStyle name="20% - Accent5 4 2 3 6 2" xfId="6320" xr:uid="{00000000-0005-0000-0000-0000521D0000}"/>
    <cellStyle name="20% - Accent5 4 2 3 6 2 2" xfId="6321" xr:uid="{00000000-0005-0000-0000-0000531D0000}"/>
    <cellStyle name="20% - Accent5 4 2 3 6 3" xfId="6322" xr:uid="{00000000-0005-0000-0000-0000541D0000}"/>
    <cellStyle name="20% - Accent5 4 2 3 6 4" xfId="6323" xr:uid="{00000000-0005-0000-0000-0000551D0000}"/>
    <cellStyle name="20% - Accent5 4 2 3 7" xfId="6324" xr:uid="{00000000-0005-0000-0000-0000561D0000}"/>
    <cellStyle name="20% - Accent5 4 2 3 7 2" xfId="6325" xr:uid="{00000000-0005-0000-0000-0000571D0000}"/>
    <cellStyle name="20% - Accent5 4 2 3 8" xfId="6326" xr:uid="{00000000-0005-0000-0000-0000581D0000}"/>
    <cellStyle name="20% - Accent5 4 2 3 9" xfId="6327" xr:uid="{00000000-0005-0000-0000-0000591D0000}"/>
    <cellStyle name="20% - Accent5 4 2 4" xfId="6328" xr:uid="{00000000-0005-0000-0000-00005A1D0000}"/>
    <cellStyle name="20% - Accent5 4 2 4 2" xfId="6329" xr:uid="{00000000-0005-0000-0000-00005B1D0000}"/>
    <cellStyle name="20% - Accent5 4 2 4 2 2" xfId="6330" xr:uid="{00000000-0005-0000-0000-00005C1D0000}"/>
    <cellStyle name="20% - Accent5 4 2 4 2 2 2" xfId="6331" xr:uid="{00000000-0005-0000-0000-00005D1D0000}"/>
    <cellStyle name="20% - Accent5 4 2 4 2 3" xfId="6332" xr:uid="{00000000-0005-0000-0000-00005E1D0000}"/>
    <cellStyle name="20% - Accent5 4 2 4 2 4" xfId="6333" xr:uid="{00000000-0005-0000-0000-00005F1D0000}"/>
    <cellStyle name="20% - Accent5 4 2 4 2 5" xfId="37581" xr:uid="{00000000-0005-0000-0000-0000601D0000}"/>
    <cellStyle name="20% - Accent5 4 2 4 3" xfId="6334" xr:uid="{00000000-0005-0000-0000-0000611D0000}"/>
    <cellStyle name="20% - Accent5 4 2 4 3 2" xfId="6335" xr:uid="{00000000-0005-0000-0000-0000621D0000}"/>
    <cellStyle name="20% - Accent5 4 2 4 4" xfId="6336" xr:uid="{00000000-0005-0000-0000-0000631D0000}"/>
    <cellStyle name="20% - Accent5 4 2 4 5" xfId="6337" xr:uid="{00000000-0005-0000-0000-0000641D0000}"/>
    <cellStyle name="20% - Accent5 4 2 4 6" xfId="37580" xr:uid="{00000000-0005-0000-0000-0000651D0000}"/>
    <cellStyle name="20% - Accent5 4 2 5" xfId="6338" xr:uid="{00000000-0005-0000-0000-0000661D0000}"/>
    <cellStyle name="20% - Accent5 4 2 5 2" xfId="6339" xr:uid="{00000000-0005-0000-0000-0000671D0000}"/>
    <cellStyle name="20% - Accent5 4 2 5 2 2" xfId="6340" xr:uid="{00000000-0005-0000-0000-0000681D0000}"/>
    <cellStyle name="20% - Accent5 4 2 5 2 2 2" xfId="6341" xr:uid="{00000000-0005-0000-0000-0000691D0000}"/>
    <cellStyle name="20% - Accent5 4 2 5 2 3" xfId="6342" xr:uid="{00000000-0005-0000-0000-00006A1D0000}"/>
    <cellStyle name="20% - Accent5 4 2 5 2 4" xfId="6343" xr:uid="{00000000-0005-0000-0000-00006B1D0000}"/>
    <cellStyle name="20% - Accent5 4 2 5 2 5" xfId="37583" xr:uid="{00000000-0005-0000-0000-00006C1D0000}"/>
    <cellStyle name="20% - Accent5 4 2 5 3" xfId="6344" xr:uid="{00000000-0005-0000-0000-00006D1D0000}"/>
    <cellStyle name="20% - Accent5 4 2 5 3 2" xfId="6345" xr:uid="{00000000-0005-0000-0000-00006E1D0000}"/>
    <cellStyle name="20% - Accent5 4 2 5 4" xfId="6346" xr:uid="{00000000-0005-0000-0000-00006F1D0000}"/>
    <cellStyle name="20% - Accent5 4 2 5 5" xfId="6347" xr:uid="{00000000-0005-0000-0000-0000701D0000}"/>
    <cellStyle name="20% - Accent5 4 2 5 6" xfId="37582" xr:uid="{00000000-0005-0000-0000-0000711D0000}"/>
    <cellStyle name="20% - Accent5 4 2 6" xfId="6348" xr:uid="{00000000-0005-0000-0000-0000721D0000}"/>
    <cellStyle name="20% - Accent5 4 2 6 2" xfId="6349" xr:uid="{00000000-0005-0000-0000-0000731D0000}"/>
    <cellStyle name="20% - Accent5 4 2 6 2 2" xfId="6350" xr:uid="{00000000-0005-0000-0000-0000741D0000}"/>
    <cellStyle name="20% - Accent5 4 2 6 3" xfId="6351" xr:uid="{00000000-0005-0000-0000-0000751D0000}"/>
    <cellStyle name="20% - Accent5 4 2 6 4" xfId="6352" xr:uid="{00000000-0005-0000-0000-0000761D0000}"/>
    <cellStyle name="20% - Accent5 4 2 6 5" xfId="37584" xr:uid="{00000000-0005-0000-0000-0000771D0000}"/>
    <cellStyle name="20% - Accent5 4 2 7" xfId="6353" xr:uid="{00000000-0005-0000-0000-0000781D0000}"/>
    <cellStyle name="20% - Accent5 4 2 7 2" xfId="6354" xr:uid="{00000000-0005-0000-0000-0000791D0000}"/>
    <cellStyle name="20% - Accent5 4 2 7 2 2" xfId="6355" xr:uid="{00000000-0005-0000-0000-00007A1D0000}"/>
    <cellStyle name="20% - Accent5 4 2 7 3" xfId="6356" xr:uid="{00000000-0005-0000-0000-00007B1D0000}"/>
    <cellStyle name="20% - Accent5 4 2 7 4" xfId="6357" xr:uid="{00000000-0005-0000-0000-00007C1D0000}"/>
    <cellStyle name="20% - Accent5 4 2 8" xfId="6358" xr:uid="{00000000-0005-0000-0000-00007D1D0000}"/>
    <cellStyle name="20% - Accent5 4 2 8 2" xfId="6359" xr:uid="{00000000-0005-0000-0000-00007E1D0000}"/>
    <cellStyle name="20% - Accent5 4 2 8 2 2" xfId="6360" xr:uid="{00000000-0005-0000-0000-00007F1D0000}"/>
    <cellStyle name="20% - Accent5 4 2 8 3" xfId="6361" xr:uid="{00000000-0005-0000-0000-0000801D0000}"/>
    <cellStyle name="20% - Accent5 4 2 8 4" xfId="6362" xr:uid="{00000000-0005-0000-0000-0000811D0000}"/>
    <cellStyle name="20% - Accent5 4 2 9" xfId="6363" xr:uid="{00000000-0005-0000-0000-0000821D0000}"/>
    <cellStyle name="20% - Accent5 4 2 9 2" xfId="6364" xr:uid="{00000000-0005-0000-0000-0000831D0000}"/>
    <cellStyle name="20% - Accent5 4 3" xfId="6365" xr:uid="{00000000-0005-0000-0000-0000841D0000}"/>
    <cellStyle name="20% - Accent5 4 3 10" xfId="6366" xr:uid="{00000000-0005-0000-0000-0000851D0000}"/>
    <cellStyle name="20% - Accent5 4 3 11" xfId="34625" xr:uid="{00000000-0005-0000-0000-0000861D0000}"/>
    <cellStyle name="20% - Accent5 4 3 2" xfId="6367" xr:uid="{00000000-0005-0000-0000-0000871D0000}"/>
    <cellStyle name="20% - Accent5 4 3 2 10" xfId="34626" xr:uid="{00000000-0005-0000-0000-0000881D0000}"/>
    <cellStyle name="20% - Accent5 4 3 2 2" xfId="6368" xr:uid="{00000000-0005-0000-0000-0000891D0000}"/>
    <cellStyle name="20% - Accent5 4 3 2 2 2" xfId="6369" xr:uid="{00000000-0005-0000-0000-00008A1D0000}"/>
    <cellStyle name="20% - Accent5 4 3 2 2 2 2" xfId="6370" xr:uid="{00000000-0005-0000-0000-00008B1D0000}"/>
    <cellStyle name="20% - Accent5 4 3 2 2 2 2 2" xfId="6371" xr:uid="{00000000-0005-0000-0000-00008C1D0000}"/>
    <cellStyle name="20% - Accent5 4 3 2 2 2 3" xfId="6372" xr:uid="{00000000-0005-0000-0000-00008D1D0000}"/>
    <cellStyle name="20% - Accent5 4 3 2 2 2 4" xfId="6373" xr:uid="{00000000-0005-0000-0000-00008E1D0000}"/>
    <cellStyle name="20% - Accent5 4 3 2 2 2 5" xfId="37586" xr:uid="{00000000-0005-0000-0000-00008F1D0000}"/>
    <cellStyle name="20% - Accent5 4 3 2 2 3" xfId="6374" xr:uid="{00000000-0005-0000-0000-0000901D0000}"/>
    <cellStyle name="20% - Accent5 4 3 2 2 3 2" xfId="6375" xr:uid="{00000000-0005-0000-0000-0000911D0000}"/>
    <cellStyle name="20% - Accent5 4 3 2 2 4" xfId="6376" xr:uid="{00000000-0005-0000-0000-0000921D0000}"/>
    <cellStyle name="20% - Accent5 4 3 2 2 5" xfId="6377" xr:uid="{00000000-0005-0000-0000-0000931D0000}"/>
    <cellStyle name="20% - Accent5 4 3 2 2 6" xfId="37585" xr:uid="{00000000-0005-0000-0000-0000941D0000}"/>
    <cellStyle name="20% - Accent5 4 3 2 3" xfId="6378" xr:uid="{00000000-0005-0000-0000-0000951D0000}"/>
    <cellStyle name="20% - Accent5 4 3 2 3 2" xfId="6379" xr:uid="{00000000-0005-0000-0000-0000961D0000}"/>
    <cellStyle name="20% - Accent5 4 3 2 3 2 2" xfId="6380" xr:uid="{00000000-0005-0000-0000-0000971D0000}"/>
    <cellStyle name="20% - Accent5 4 3 2 3 2 2 2" xfId="6381" xr:uid="{00000000-0005-0000-0000-0000981D0000}"/>
    <cellStyle name="20% - Accent5 4 3 2 3 2 3" xfId="6382" xr:uid="{00000000-0005-0000-0000-0000991D0000}"/>
    <cellStyle name="20% - Accent5 4 3 2 3 2 4" xfId="6383" xr:uid="{00000000-0005-0000-0000-00009A1D0000}"/>
    <cellStyle name="20% - Accent5 4 3 2 3 2 5" xfId="37588" xr:uid="{00000000-0005-0000-0000-00009B1D0000}"/>
    <cellStyle name="20% - Accent5 4 3 2 3 3" xfId="6384" xr:uid="{00000000-0005-0000-0000-00009C1D0000}"/>
    <cellStyle name="20% - Accent5 4 3 2 3 3 2" xfId="6385" xr:uid="{00000000-0005-0000-0000-00009D1D0000}"/>
    <cellStyle name="20% - Accent5 4 3 2 3 4" xfId="6386" xr:uid="{00000000-0005-0000-0000-00009E1D0000}"/>
    <cellStyle name="20% - Accent5 4 3 2 3 5" xfId="6387" xr:uid="{00000000-0005-0000-0000-00009F1D0000}"/>
    <cellStyle name="20% - Accent5 4 3 2 3 6" xfId="37587" xr:uid="{00000000-0005-0000-0000-0000A01D0000}"/>
    <cellStyle name="20% - Accent5 4 3 2 4" xfId="6388" xr:uid="{00000000-0005-0000-0000-0000A11D0000}"/>
    <cellStyle name="20% - Accent5 4 3 2 4 2" xfId="6389" xr:uid="{00000000-0005-0000-0000-0000A21D0000}"/>
    <cellStyle name="20% - Accent5 4 3 2 4 2 2" xfId="6390" xr:uid="{00000000-0005-0000-0000-0000A31D0000}"/>
    <cellStyle name="20% - Accent5 4 3 2 4 3" xfId="6391" xr:uid="{00000000-0005-0000-0000-0000A41D0000}"/>
    <cellStyle name="20% - Accent5 4 3 2 4 4" xfId="6392" xr:uid="{00000000-0005-0000-0000-0000A51D0000}"/>
    <cellStyle name="20% - Accent5 4 3 2 4 5" xfId="37589" xr:uid="{00000000-0005-0000-0000-0000A61D0000}"/>
    <cellStyle name="20% - Accent5 4 3 2 5" xfId="6393" xr:uid="{00000000-0005-0000-0000-0000A71D0000}"/>
    <cellStyle name="20% - Accent5 4 3 2 5 2" xfId="6394" xr:uid="{00000000-0005-0000-0000-0000A81D0000}"/>
    <cellStyle name="20% - Accent5 4 3 2 5 2 2" xfId="6395" xr:uid="{00000000-0005-0000-0000-0000A91D0000}"/>
    <cellStyle name="20% - Accent5 4 3 2 5 3" xfId="6396" xr:uid="{00000000-0005-0000-0000-0000AA1D0000}"/>
    <cellStyle name="20% - Accent5 4 3 2 5 4" xfId="6397" xr:uid="{00000000-0005-0000-0000-0000AB1D0000}"/>
    <cellStyle name="20% - Accent5 4 3 2 6" xfId="6398" xr:uid="{00000000-0005-0000-0000-0000AC1D0000}"/>
    <cellStyle name="20% - Accent5 4 3 2 6 2" xfId="6399" xr:uid="{00000000-0005-0000-0000-0000AD1D0000}"/>
    <cellStyle name="20% - Accent5 4 3 2 6 2 2" xfId="6400" xr:uid="{00000000-0005-0000-0000-0000AE1D0000}"/>
    <cellStyle name="20% - Accent5 4 3 2 6 3" xfId="6401" xr:uid="{00000000-0005-0000-0000-0000AF1D0000}"/>
    <cellStyle name="20% - Accent5 4 3 2 6 4" xfId="6402" xr:uid="{00000000-0005-0000-0000-0000B01D0000}"/>
    <cellStyle name="20% - Accent5 4 3 2 7" xfId="6403" xr:uid="{00000000-0005-0000-0000-0000B11D0000}"/>
    <cellStyle name="20% - Accent5 4 3 2 7 2" xfId="6404" xr:uid="{00000000-0005-0000-0000-0000B21D0000}"/>
    <cellStyle name="20% - Accent5 4 3 2 8" xfId="6405" xr:uid="{00000000-0005-0000-0000-0000B31D0000}"/>
    <cellStyle name="20% - Accent5 4 3 2 9" xfId="6406" xr:uid="{00000000-0005-0000-0000-0000B41D0000}"/>
    <cellStyle name="20% - Accent5 4 3 3" xfId="6407" xr:uid="{00000000-0005-0000-0000-0000B51D0000}"/>
    <cellStyle name="20% - Accent5 4 3 3 2" xfId="6408" xr:uid="{00000000-0005-0000-0000-0000B61D0000}"/>
    <cellStyle name="20% - Accent5 4 3 3 2 2" xfId="6409" xr:uid="{00000000-0005-0000-0000-0000B71D0000}"/>
    <cellStyle name="20% - Accent5 4 3 3 2 2 2" xfId="6410" xr:uid="{00000000-0005-0000-0000-0000B81D0000}"/>
    <cellStyle name="20% - Accent5 4 3 3 2 3" xfId="6411" xr:uid="{00000000-0005-0000-0000-0000B91D0000}"/>
    <cellStyle name="20% - Accent5 4 3 3 2 4" xfId="6412" xr:uid="{00000000-0005-0000-0000-0000BA1D0000}"/>
    <cellStyle name="20% - Accent5 4 3 3 2 5" xfId="37591" xr:uid="{00000000-0005-0000-0000-0000BB1D0000}"/>
    <cellStyle name="20% - Accent5 4 3 3 3" xfId="6413" xr:uid="{00000000-0005-0000-0000-0000BC1D0000}"/>
    <cellStyle name="20% - Accent5 4 3 3 3 2" xfId="6414" xr:uid="{00000000-0005-0000-0000-0000BD1D0000}"/>
    <cellStyle name="20% - Accent5 4 3 3 4" xfId="6415" xr:uid="{00000000-0005-0000-0000-0000BE1D0000}"/>
    <cellStyle name="20% - Accent5 4 3 3 5" xfId="6416" xr:uid="{00000000-0005-0000-0000-0000BF1D0000}"/>
    <cellStyle name="20% - Accent5 4 3 3 6" xfId="37590" xr:uid="{00000000-0005-0000-0000-0000C01D0000}"/>
    <cellStyle name="20% - Accent5 4 3 4" xfId="6417" xr:uid="{00000000-0005-0000-0000-0000C11D0000}"/>
    <cellStyle name="20% - Accent5 4 3 4 2" xfId="6418" xr:uid="{00000000-0005-0000-0000-0000C21D0000}"/>
    <cellStyle name="20% - Accent5 4 3 4 2 2" xfId="6419" xr:uid="{00000000-0005-0000-0000-0000C31D0000}"/>
    <cellStyle name="20% - Accent5 4 3 4 2 2 2" xfId="6420" xr:uid="{00000000-0005-0000-0000-0000C41D0000}"/>
    <cellStyle name="20% - Accent5 4 3 4 2 3" xfId="6421" xr:uid="{00000000-0005-0000-0000-0000C51D0000}"/>
    <cellStyle name="20% - Accent5 4 3 4 2 4" xfId="6422" xr:uid="{00000000-0005-0000-0000-0000C61D0000}"/>
    <cellStyle name="20% - Accent5 4 3 4 2 5" xfId="37593" xr:uid="{00000000-0005-0000-0000-0000C71D0000}"/>
    <cellStyle name="20% - Accent5 4 3 4 3" xfId="6423" xr:uid="{00000000-0005-0000-0000-0000C81D0000}"/>
    <cellStyle name="20% - Accent5 4 3 4 3 2" xfId="6424" xr:uid="{00000000-0005-0000-0000-0000C91D0000}"/>
    <cellStyle name="20% - Accent5 4 3 4 4" xfId="6425" xr:uid="{00000000-0005-0000-0000-0000CA1D0000}"/>
    <cellStyle name="20% - Accent5 4 3 4 5" xfId="6426" xr:uid="{00000000-0005-0000-0000-0000CB1D0000}"/>
    <cellStyle name="20% - Accent5 4 3 4 6" xfId="37592" xr:uid="{00000000-0005-0000-0000-0000CC1D0000}"/>
    <cellStyle name="20% - Accent5 4 3 5" xfId="6427" xr:uid="{00000000-0005-0000-0000-0000CD1D0000}"/>
    <cellStyle name="20% - Accent5 4 3 5 2" xfId="6428" xr:uid="{00000000-0005-0000-0000-0000CE1D0000}"/>
    <cellStyle name="20% - Accent5 4 3 5 2 2" xfId="6429" xr:uid="{00000000-0005-0000-0000-0000CF1D0000}"/>
    <cellStyle name="20% - Accent5 4 3 5 3" xfId="6430" xr:uid="{00000000-0005-0000-0000-0000D01D0000}"/>
    <cellStyle name="20% - Accent5 4 3 5 4" xfId="6431" xr:uid="{00000000-0005-0000-0000-0000D11D0000}"/>
    <cellStyle name="20% - Accent5 4 3 5 5" xfId="37594" xr:uid="{00000000-0005-0000-0000-0000D21D0000}"/>
    <cellStyle name="20% - Accent5 4 3 6" xfId="6432" xr:uid="{00000000-0005-0000-0000-0000D31D0000}"/>
    <cellStyle name="20% - Accent5 4 3 6 2" xfId="6433" xr:uid="{00000000-0005-0000-0000-0000D41D0000}"/>
    <cellStyle name="20% - Accent5 4 3 6 2 2" xfId="6434" xr:uid="{00000000-0005-0000-0000-0000D51D0000}"/>
    <cellStyle name="20% - Accent5 4 3 6 3" xfId="6435" xr:uid="{00000000-0005-0000-0000-0000D61D0000}"/>
    <cellStyle name="20% - Accent5 4 3 6 4" xfId="6436" xr:uid="{00000000-0005-0000-0000-0000D71D0000}"/>
    <cellStyle name="20% - Accent5 4 3 7" xfId="6437" xr:uid="{00000000-0005-0000-0000-0000D81D0000}"/>
    <cellStyle name="20% - Accent5 4 3 7 2" xfId="6438" xr:uid="{00000000-0005-0000-0000-0000D91D0000}"/>
    <cellStyle name="20% - Accent5 4 3 7 2 2" xfId="6439" xr:uid="{00000000-0005-0000-0000-0000DA1D0000}"/>
    <cellStyle name="20% - Accent5 4 3 7 3" xfId="6440" xr:uid="{00000000-0005-0000-0000-0000DB1D0000}"/>
    <cellStyle name="20% - Accent5 4 3 7 4" xfId="6441" xr:uid="{00000000-0005-0000-0000-0000DC1D0000}"/>
    <cellStyle name="20% - Accent5 4 3 8" xfId="6442" xr:uid="{00000000-0005-0000-0000-0000DD1D0000}"/>
    <cellStyle name="20% - Accent5 4 3 8 2" xfId="6443" xr:uid="{00000000-0005-0000-0000-0000DE1D0000}"/>
    <cellStyle name="20% - Accent5 4 3 9" xfId="6444" xr:uid="{00000000-0005-0000-0000-0000DF1D0000}"/>
    <cellStyle name="20% - Accent5 4 4" xfId="6445" xr:uid="{00000000-0005-0000-0000-0000E01D0000}"/>
    <cellStyle name="20% - Accent5 4 4 10" xfId="34627" xr:uid="{00000000-0005-0000-0000-0000E11D0000}"/>
    <cellStyle name="20% - Accent5 4 4 2" xfId="6446" xr:uid="{00000000-0005-0000-0000-0000E21D0000}"/>
    <cellStyle name="20% - Accent5 4 4 2 2" xfId="6447" xr:uid="{00000000-0005-0000-0000-0000E31D0000}"/>
    <cellStyle name="20% - Accent5 4 4 2 2 2" xfId="6448" xr:uid="{00000000-0005-0000-0000-0000E41D0000}"/>
    <cellStyle name="20% - Accent5 4 4 2 2 2 2" xfId="6449" xr:uid="{00000000-0005-0000-0000-0000E51D0000}"/>
    <cellStyle name="20% - Accent5 4 4 2 2 3" xfId="6450" xr:uid="{00000000-0005-0000-0000-0000E61D0000}"/>
    <cellStyle name="20% - Accent5 4 4 2 2 4" xfId="6451" xr:uid="{00000000-0005-0000-0000-0000E71D0000}"/>
    <cellStyle name="20% - Accent5 4 4 2 2 5" xfId="37596" xr:uid="{00000000-0005-0000-0000-0000E81D0000}"/>
    <cellStyle name="20% - Accent5 4 4 2 3" xfId="6452" xr:uid="{00000000-0005-0000-0000-0000E91D0000}"/>
    <cellStyle name="20% - Accent5 4 4 2 3 2" xfId="6453" xr:uid="{00000000-0005-0000-0000-0000EA1D0000}"/>
    <cellStyle name="20% - Accent5 4 4 2 4" xfId="6454" xr:uid="{00000000-0005-0000-0000-0000EB1D0000}"/>
    <cellStyle name="20% - Accent5 4 4 2 5" xfId="6455" xr:uid="{00000000-0005-0000-0000-0000EC1D0000}"/>
    <cellStyle name="20% - Accent5 4 4 2 6" xfId="37595" xr:uid="{00000000-0005-0000-0000-0000ED1D0000}"/>
    <cellStyle name="20% - Accent5 4 4 3" xfId="6456" xr:uid="{00000000-0005-0000-0000-0000EE1D0000}"/>
    <cellStyle name="20% - Accent5 4 4 3 2" xfId="6457" xr:uid="{00000000-0005-0000-0000-0000EF1D0000}"/>
    <cellStyle name="20% - Accent5 4 4 3 2 2" xfId="6458" xr:uid="{00000000-0005-0000-0000-0000F01D0000}"/>
    <cellStyle name="20% - Accent5 4 4 3 2 2 2" xfId="6459" xr:uid="{00000000-0005-0000-0000-0000F11D0000}"/>
    <cellStyle name="20% - Accent5 4 4 3 2 3" xfId="6460" xr:uid="{00000000-0005-0000-0000-0000F21D0000}"/>
    <cellStyle name="20% - Accent5 4 4 3 2 4" xfId="6461" xr:uid="{00000000-0005-0000-0000-0000F31D0000}"/>
    <cellStyle name="20% - Accent5 4 4 3 2 5" xfId="37598" xr:uid="{00000000-0005-0000-0000-0000F41D0000}"/>
    <cellStyle name="20% - Accent5 4 4 3 3" xfId="6462" xr:uid="{00000000-0005-0000-0000-0000F51D0000}"/>
    <cellStyle name="20% - Accent5 4 4 3 3 2" xfId="6463" xr:uid="{00000000-0005-0000-0000-0000F61D0000}"/>
    <cellStyle name="20% - Accent5 4 4 3 4" xfId="6464" xr:uid="{00000000-0005-0000-0000-0000F71D0000}"/>
    <cellStyle name="20% - Accent5 4 4 3 5" xfId="6465" xr:uid="{00000000-0005-0000-0000-0000F81D0000}"/>
    <cellStyle name="20% - Accent5 4 4 3 6" xfId="37597" xr:uid="{00000000-0005-0000-0000-0000F91D0000}"/>
    <cellStyle name="20% - Accent5 4 4 4" xfId="6466" xr:uid="{00000000-0005-0000-0000-0000FA1D0000}"/>
    <cellStyle name="20% - Accent5 4 4 4 2" xfId="6467" xr:uid="{00000000-0005-0000-0000-0000FB1D0000}"/>
    <cellStyle name="20% - Accent5 4 4 4 2 2" xfId="6468" xr:uid="{00000000-0005-0000-0000-0000FC1D0000}"/>
    <cellStyle name="20% - Accent5 4 4 4 3" xfId="6469" xr:uid="{00000000-0005-0000-0000-0000FD1D0000}"/>
    <cellStyle name="20% - Accent5 4 4 4 4" xfId="6470" xr:uid="{00000000-0005-0000-0000-0000FE1D0000}"/>
    <cellStyle name="20% - Accent5 4 4 4 5" xfId="37599" xr:uid="{00000000-0005-0000-0000-0000FF1D0000}"/>
    <cellStyle name="20% - Accent5 4 4 5" xfId="6471" xr:uid="{00000000-0005-0000-0000-0000001E0000}"/>
    <cellStyle name="20% - Accent5 4 4 5 2" xfId="6472" xr:uid="{00000000-0005-0000-0000-0000011E0000}"/>
    <cellStyle name="20% - Accent5 4 4 5 2 2" xfId="6473" xr:uid="{00000000-0005-0000-0000-0000021E0000}"/>
    <cellStyle name="20% - Accent5 4 4 5 3" xfId="6474" xr:uid="{00000000-0005-0000-0000-0000031E0000}"/>
    <cellStyle name="20% - Accent5 4 4 5 4" xfId="6475" xr:uid="{00000000-0005-0000-0000-0000041E0000}"/>
    <cellStyle name="20% - Accent5 4 4 6" xfId="6476" xr:uid="{00000000-0005-0000-0000-0000051E0000}"/>
    <cellStyle name="20% - Accent5 4 4 6 2" xfId="6477" xr:uid="{00000000-0005-0000-0000-0000061E0000}"/>
    <cellStyle name="20% - Accent5 4 4 6 2 2" xfId="6478" xr:uid="{00000000-0005-0000-0000-0000071E0000}"/>
    <cellStyle name="20% - Accent5 4 4 6 3" xfId="6479" xr:uid="{00000000-0005-0000-0000-0000081E0000}"/>
    <cellStyle name="20% - Accent5 4 4 6 4" xfId="6480" xr:uid="{00000000-0005-0000-0000-0000091E0000}"/>
    <cellStyle name="20% - Accent5 4 4 7" xfId="6481" xr:uid="{00000000-0005-0000-0000-00000A1E0000}"/>
    <cellStyle name="20% - Accent5 4 4 7 2" xfId="6482" xr:uid="{00000000-0005-0000-0000-00000B1E0000}"/>
    <cellStyle name="20% - Accent5 4 4 8" xfId="6483" xr:uid="{00000000-0005-0000-0000-00000C1E0000}"/>
    <cellStyle name="20% - Accent5 4 4 9" xfId="6484" xr:uid="{00000000-0005-0000-0000-00000D1E0000}"/>
    <cellStyle name="20% - Accent5 4 5" xfId="6485" xr:uid="{00000000-0005-0000-0000-00000E1E0000}"/>
    <cellStyle name="20% - Accent5 4 5 2" xfId="6486" xr:uid="{00000000-0005-0000-0000-00000F1E0000}"/>
    <cellStyle name="20% - Accent5 4 5 2 2" xfId="6487" xr:uid="{00000000-0005-0000-0000-0000101E0000}"/>
    <cellStyle name="20% - Accent5 4 5 2 2 2" xfId="6488" xr:uid="{00000000-0005-0000-0000-0000111E0000}"/>
    <cellStyle name="20% - Accent5 4 5 2 3" xfId="6489" xr:uid="{00000000-0005-0000-0000-0000121E0000}"/>
    <cellStyle name="20% - Accent5 4 5 2 4" xfId="6490" xr:uid="{00000000-0005-0000-0000-0000131E0000}"/>
    <cellStyle name="20% - Accent5 4 5 2 5" xfId="37601" xr:uid="{00000000-0005-0000-0000-0000141E0000}"/>
    <cellStyle name="20% - Accent5 4 5 3" xfId="6491" xr:uid="{00000000-0005-0000-0000-0000151E0000}"/>
    <cellStyle name="20% - Accent5 4 5 4" xfId="6492" xr:uid="{00000000-0005-0000-0000-0000161E0000}"/>
    <cellStyle name="20% - Accent5 4 5 4 2" xfId="6493" xr:uid="{00000000-0005-0000-0000-0000171E0000}"/>
    <cellStyle name="20% - Accent5 4 5 5" xfId="6494" xr:uid="{00000000-0005-0000-0000-0000181E0000}"/>
    <cellStyle name="20% - Accent5 4 5 6" xfId="6495" xr:uid="{00000000-0005-0000-0000-0000191E0000}"/>
    <cellStyle name="20% - Accent5 4 5 7" xfId="37600" xr:uid="{00000000-0005-0000-0000-00001A1E0000}"/>
    <cellStyle name="20% - Accent5 4 6" xfId="6496" xr:uid="{00000000-0005-0000-0000-00001B1E0000}"/>
    <cellStyle name="20% - Accent5 4 6 2" xfId="6497" xr:uid="{00000000-0005-0000-0000-00001C1E0000}"/>
    <cellStyle name="20% - Accent5 4 6 2 2" xfId="6498" xr:uid="{00000000-0005-0000-0000-00001D1E0000}"/>
    <cellStyle name="20% - Accent5 4 6 2 2 2" xfId="6499" xr:uid="{00000000-0005-0000-0000-00001E1E0000}"/>
    <cellStyle name="20% - Accent5 4 6 2 3" xfId="6500" xr:uid="{00000000-0005-0000-0000-00001F1E0000}"/>
    <cellStyle name="20% - Accent5 4 6 2 4" xfId="6501" xr:uid="{00000000-0005-0000-0000-0000201E0000}"/>
    <cellStyle name="20% - Accent5 4 6 2 5" xfId="37603" xr:uid="{00000000-0005-0000-0000-0000211E0000}"/>
    <cellStyle name="20% - Accent5 4 6 3" xfId="6502" xr:uid="{00000000-0005-0000-0000-0000221E0000}"/>
    <cellStyle name="20% - Accent5 4 6 3 2" xfId="6503" xr:uid="{00000000-0005-0000-0000-0000231E0000}"/>
    <cellStyle name="20% - Accent5 4 6 3 2 2" xfId="6504" xr:uid="{00000000-0005-0000-0000-0000241E0000}"/>
    <cellStyle name="20% - Accent5 4 6 3 3" xfId="6505" xr:uid="{00000000-0005-0000-0000-0000251E0000}"/>
    <cellStyle name="20% - Accent5 4 6 3 4" xfId="6506" xr:uid="{00000000-0005-0000-0000-0000261E0000}"/>
    <cellStyle name="20% - Accent5 4 6 3 5" xfId="37604" xr:uid="{00000000-0005-0000-0000-0000271E0000}"/>
    <cellStyle name="20% - Accent5 4 6 4" xfId="6507" xr:uid="{00000000-0005-0000-0000-0000281E0000}"/>
    <cellStyle name="20% - Accent5 4 6 4 2" xfId="6508" xr:uid="{00000000-0005-0000-0000-0000291E0000}"/>
    <cellStyle name="20% - Accent5 4 6 5" xfId="6509" xr:uid="{00000000-0005-0000-0000-00002A1E0000}"/>
    <cellStyle name="20% - Accent5 4 6 6" xfId="6510" xr:uid="{00000000-0005-0000-0000-00002B1E0000}"/>
    <cellStyle name="20% - Accent5 4 6 7" xfId="37602" xr:uid="{00000000-0005-0000-0000-00002C1E0000}"/>
    <cellStyle name="20% - Accent5 4 7" xfId="6511" xr:uid="{00000000-0005-0000-0000-00002D1E0000}"/>
    <cellStyle name="20% - Accent5 4 7 2" xfId="6512" xr:uid="{00000000-0005-0000-0000-00002E1E0000}"/>
    <cellStyle name="20% - Accent5 4 7 2 2" xfId="6513" xr:uid="{00000000-0005-0000-0000-00002F1E0000}"/>
    <cellStyle name="20% - Accent5 4 7 3" xfId="6514" xr:uid="{00000000-0005-0000-0000-0000301E0000}"/>
    <cellStyle name="20% - Accent5 4 7 4" xfId="6515" xr:uid="{00000000-0005-0000-0000-0000311E0000}"/>
    <cellStyle name="20% - Accent5 4 7 5" xfId="37605" xr:uid="{00000000-0005-0000-0000-0000321E0000}"/>
    <cellStyle name="20% - Accent5 4 8" xfId="6516" xr:uid="{00000000-0005-0000-0000-0000331E0000}"/>
    <cellStyle name="20% - Accent5 4 8 2" xfId="6517" xr:uid="{00000000-0005-0000-0000-0000341E0000}"/>
    <cellStyle name="20% - Accent5 4 8 2 2" xfId="6518" xr:uid="{00000000-0005-0000-0000-0000351E0000}"/>
    <cellStyle name="20% - Accent5 4 8 3" xfId="6519" xr:uid="{00000000-0005-0000-0000-0000361E0000}"/>
    <cellStyle name="20% - Accent5 4 8 4" xfId="6520" xr:uid="{00000000-0005-0000-0000-0000371E0000}"/>
    <cellStyle name="20% - Accent5 4 9" xfId="6521" xr:uid="{00000000-0005-0000-0000-0000381E0000}"/>
    <cellStyle name="20% - Accent5 4 9 2" xfId="6522" xr:uid="{00000000-0005-0000-0000-0000391E0000}"/>
    <cellStyle name="20% - Accent5 4 9 2 2" xfId="6523" xr:uid="{00000000-0005-0000-0000-00003A1E0000}"/>
    <cellStyle name="20% - Accent5 4 9 3" xfId="6524" xr:uid="{00000000-0005-0000-0000-00003B1E0000}"/>
    <cellStyle name="20% - Accent5 4 9 4" xfId="6525" xr:uid="{00000000-0005-0000-0000-00003C1E0000}"/>
    <cellStyle name="20% - Accent5 5" xfId="6526" xr:uid="{00000000-0005-0000-0000-00003D1E0000}"/>
    <cellStyle name="20% - Accent5 5 2" xfId="6527" xr:uid="{00000000-0005-0000-0000-00003E1E0000}"/>
    <cellStyle name="20% - Accent5 5 2 2" xfId="6528" xr:uid="{00000000-0005-0000-0000-00003F1E0000}"/>
    <cellStyle name="20% - Accent5 5 2 2 2" xfId="6529" xr:uid="{00000000-0005-0000-0000-0000401E0000}"/>
    <cellStyle name="20% - Accent5 5 2 3" xfId="6530" xr:uid="{00000000-0005-0000-0000-0000411E0000}"/>
    <cellStyle name="20% - Accent5 5 2 4" xfId="6531" xr:uid="{00000000-0005-0000-0000-0000421E0000}"/>
    <cellStyle name="20% - Accent5 5 2 5" xfId="37606" xr:uid="{00000000-0005-0000-0000-0000431E0000}"/>
    <cellStyle name="20% - Accent5 6" xfId="6532" xr:uid="{00000000-0005-0000-0000-0000441E0000}"/>
    <cellStyle name="20% - Accent5 7" xfId="6533" xr:uid="{00000000-0005-0000-0000-0000451E0000}"/>
    <cellStyle name="20% - Accent5 7 2" xfId="6534" xr:uid="{00000000-0005-0000-0000-0000461E0000}"/>
    <cellStyle name="20% - Accent5 7 2 2" xfId="6535" xr:uid="{00000000-0005-0000-0000-0000471E0000}"/>
    <cellStyle name="20% - Accent5 7 3" xfId="6536" xr:uid="{00000000-0005-0000-0000-0000481E0000}"/>
    <cellStyle name="20% - Accent5 7 4" xfId="6537" xr:uid="{00000000-0005-0000-0000-0000491E0000}"/>
    <cellStyle name="20% - Accent5 7 5" xfId="37607" xr:uid="{00000000-0005-0000-0000-00004A1E0000}"/>
    <cellStyle name="20% - Accent5 8" xfId="41857" xr:uid="{AA272F24-A02D-43E7-858E-6726BA23BDC0}"/>
    <cellStyle name="20% - Accent6 2" xfId="6538" xr:uid="{00000000-0005-0000-0000-00004B1E0000}"/>
    <cellStyle name="20% - Accent6 2 10" xfId="6539" xr:uid="{00000000-0005-0000-0000-00004C1E0000}"/>
    <cellStyle name="20% - Accent6 2 10 2" xfId="6540" xr:uid="{00000000-0005-0000-0000-00004D1E0000}"/>
    <cellStyle name="20% - Accent6 2 10 2 2" xfId="6541" xr:uid="{00000000-0005-0000-0000-00004E1E0000}"/>
    <cellStyle name="20% - Accent6 2 10 3" xfId="6542" xr:uid="{00000000-0005-0000-0000-00004F1E0000}"/>
    <cellStyle name="20% - Accent6 2 10 4" xfId="6543" xr:uid="{00000000-0005-0000-0000-0000501E0000}"/>
    <cellStyle name="20% - Accent6 2 10 5" xfId="37608" xr:uid="{00000000-0005-0000-0000-0000511E0000}"/>
    <cellStyle name="20% - Accent6 2 11" xfId="6544" xr:uid="{00000000-0005-0000-0000-0000521E0000}"/>
    <cellStyle name="20% - Accent6 2 11 2" xfId="6545" xr:uid="{00000000-0005-0000-0000-0000531E0000}"/>
    <cellStyle name="20% - Accent6 2 12" xfId="6546" xr:uid="{00000000-0005-0000-0000-0000541E0000}"/>
    <cellStyle name="20% - Accent6 2 13" xfId="6547" xr:uid="{00000000-0005-0000-0000-0000551E0000}"/>
    <cellStyle name="20% - Accent6 2 2" xfId="6548" xr:uid="{00000000-0005-0000-0000-0000561E0000}"/>
    <cellStyle name="20% - Accent6 2 2 2" xfId="6549" xr:uid="{00000000-0005-0000-0000-0000571E0000}"/>
    <cellStyle name="20% - Accent6 2 2 3" xfId="6550" xr:uid="{00000000-0005-0000-0000-0000581E0000}"/>
    <cellStyle name="20% - Accent6 2 2 3 2" xfId="37610" xr:uid="{00000000-0005-0000-0000-0000591E0000}"/>
    <cellStyle name="20% - Accent6 2 2 3 3" xfId="37609" xr:uid="{00000000-0005-0000-0000-00005A1E0000}"/>
    <cellStyle name="20% - Accent6 2 2 4" xfId="6551" xr:uid="{00000000-0005-0000-0000-00005B1E0000}"/>
    <cellStyle name="20% - Accent6 2 3" xfId="6552" xr:uid="{00000000-0005-0000-0000-00005C1E0000}"/>
    <cellStyle name="20% - Accent6 2 3 10" xfId="6553" xr:uid="{00000000-0005-0000-0000-00005D1E0000}"/>
    <cellStyle name="20% - Accent6 2 3 11" xfId="6554" xr:uid="{00000000-0005-0000-0000-00005E1E0000}"/>
    <cellStyle name="20% - Accent6 2 3 12" xfId="34628" xr:uid="{00000000-0005-0000-0000-00005F1E0000}"/>
    <cellStyle name="20% - Accent6 2 3 2" xfId="6555" xr:uid="{00000000-0005-0000-0000-0000601E0000}"/>
    <cellStyle name="20% - Accent6 2 3 2 10" xfId="6556" xr:uid="{00000000-0005-0000-0000-0000611E0000}"/>
    <cellStyle name="20% - Accent6 2 3 2 11" xfId="34629" xr:uid="{00000000-0005-0000-0000-0000621E0000}"/>
    <cellStyle name="20% - Accent6 2 3 2 2" xfId="6557" xr:uid="{00000000-0005-0000-0000-0000631E0000}"/>
    <cellStyle name="20% - Accent6 2 3 2 2 10" xfId="34630" xr:uid="{00000000-0005-0000-0000-0000641E0000}"/>
    <cellStyle name="20% - Accent6 2 3 2 2 2" xfId="6558" xr:uid="{00000000-0005-0000-0000-0000651E0000}"/>
    <cellStyle name="20% - Accent6 2 3 2 2 2 2" xfId="6559" xr:uid="{00000000-0005-0000-0000-0000661E0000}"/>
    <cellStyle name="20% - Accent6 2 3 2 2 2 2 2" xfId="6560" xr:uid="{00000000-0005-0000-0000-0000671E0000}"/>
    <cellStyle name="20% - Accent6 2 3 2 2 2 2 2 2" xfId="6561" xr:uid="{00000000-0005-0000-0000-0000681E0000}"/>
    <cellStyle name="20% - Accent6 2 3 2 2 2 2 3" xfId="6562" xr:uid="{00000000-0005-0000-0000-0000691E0000}"/>
    <cellStyle name="20% - Accent6 2 3 2 2 2 2 4" xfId="6563" xr:uid="{00000000-0005-0000-0000-00006A1E0000}"/>
    <cellStyle name="20% - Accent6 2 3 2 2 2 2 5" xfId="37612" xr:uid="{00000000-0005-0000-0000-00006B1E0000}"/>
    <cellStyle name="20% - Accent6 2 3 2 2 2 3" xfId="6564" xr:uid="{00000000-0005-0000-0000-00006C1E0000}"/>
    <cellStyle name="20% - Accent6 2 3 2 2 2 3 2" xfId="6565" xr:uid="{00000000-0005-0000-0000-00006D1E0000}"/>
    <cellStyle name="20% - Accent6 2 3 2 2 2 4" xfId="6566" xr:uid="{00000000-0005-0000-0000-00006E1E0000}"/>
    <cellStyle name="20% - Accent6 2 3 2 2 2 5" xfId="6567" xr:uid="{00000000-0005-0000-0000-00006F1E0000}"/>
    <cellStyle name="20% - Accent6 2 3 2 2 2 6" xfId="37611" xr:uid="{00000000-0005-0000-0000-0000701E0000}"/>
    <cellStyle name="20% - Accent6 2 3 2 2 3" xfId="6568" xr:uid="{00000000-0005-0000-0000-0000711E0000}"/>
    <cellStyle name="20% - Accent6 2 3 2 2 3 2" xfId="6569" xr:uid="{00000000-0005-0000-0000-0000721E0000}"/>
    <cellStyle name="20% - Accent6 2 3 2 2 3 2 2" xfId="6570" xr:uid="{00000000-0005-0000-0000-0000731E0000}"/>
    <cellStyle name="20% - Accent6 2 3 2 2 3 2 2 2" xfId="6571" xr:uid="{00000000-0005-0000-0000-0000741E0000}"/>
    <cellStyle name="20% - Accent6 2 3 2 2 3 2 3" xfId="6572" xr:uid="{00000000-0005-0000-0000-0000751E0000}"/>
    <cellStyle name="20% - Accent6 2 3 2 2 3 2 4" xfId="6573" xr:uid="{00000000-0005-0000-0000-0000761E0000}"/>
    <cellStyle name="20% - Accent6 2 3 2 2 3 2 5" xfId="37614" xr:uid="{00000000-0005-0000-0000-0000771E0000}"/>
    <cellStyle name="20% - Accent6 2 3 2 2 3 3" xfId="6574" xr:uid="{00000000-0005-0000-0000-0000781E0000}"/>
    <cellStyle name="20% - Accent6 2 3 2 2 3 3 2" xfId="6575" xr:uid="{00000000-0005-0000-0000-0000791E0000}"/>
    <cellStyle name="20% - Accent6 2 3 2 2 3 4" xfId="6576" xr:uid="{00000000-0005-0000-0000-00007A1E0000}"/>
    <cellStyle name="20% - Accent6 2 3 2 2 3 5" xfId="6577" xr:uid="{00000000-0005-0000-0000-00007B1E0000}"/>
    <cellStyle name="20% - Accent6 2 3 2 2 3 6" xfId="37613" xr:uid="{00000000-0005-0000-0000-00007C1E0000}"/>
    <cellStyle name="20% - Accent6 2 3 2 2 4" xfId="6578" xr:uid="{00000000-0005-0000-0000-00007D1E0000}"/>
    <cellStyle name="20% - Accent6 2 3 2 2 4 2" xfId="6579" xr:uid="{00000000-0005-0000-0000-00007E1E0000}"/>
    <cellStyle name="20% - Accent6 2 3 2 2 4 2 2" xfId="6580" xr:uid="{00000000-0005-0000-0000-00007F1E0000}"/>
    <cellStyle name="20% - Accent6 2 3 2 2 4 3" xfId="6581" xr:uid="{00000000-0005-0000-0000-0000801E0000}"/>
    <cellStyle name="20% - Accent6 2 3 2 2 4 4" xfId="6582" xr:uid="{00000000-0005-0000-0000-0000811E0000}"/>
    <cellStyle name="20% - Accent6 2 3 2 2 4 5" xfId="37615" xr:uid="{00000000-0005-0000-0000-0000821E0000}"/>
    <cellStyle name="20% - Accent6 2 3 2 2 5" xfId="6583" xr:uid="{00000000-0005-0000-0000-0000831E0000}"/>
    <cellStyle name="20% - Accent6 2 3 2 2 5 2" xfId="6584" xr:uid="{00000000-0005-0000-0000-0000841E0000}"/>
    <cellStyle name="20% - Accent6 2 3 2 2 5 2 2" xfId="6585" xr:uid="{00000000-0005-0000-0000-0000851E0000}"/>
    <cellStyle name="20% - Accent6 2 3 2 2 5 3" xfId="6586" xr:uid="{00000000-0005-0000-0000-0000861E0000}"/>
    <cellStyle name="20% - Accent6 2 3 2 2 5 4" xfId="6587" xr:uid="{00000000-0005-0000-0000-0000871E0000}"/>
    <cellStyle name="20% - Accent6 2 3 2 2 6" xfId="6588" xr:uid="{00000000-0005-0000-0000-0000881E0000}"/>
    <cellStyle name="20% - Accent6 2 3 2 2 6 2" xfId="6589" xr:uid="{00000000-0005-0000-0000-0000891E0000}"/>
    <cellStyle name="20% - Accent6 2 3 2 2 6 2 2" xfId="6590" xr:uid="{00000000-0005-0000-0000-00008A1E0000}"/>
    <cellStyle name="20% - Accent6 2 3 2 2 6 3" xfId="6591" xr:uid="{00000000-0005-0000-0000-00008B1E0000}"/>
    <cellStyle name="20% - Accent6 2 3 2 2 6 4" xfId="6592" xr:uid="{00000000-0005-0000-0000-00008C1E0000}"/>
    <cellStyle name="20% - Accent6 2 3 2 2 7" xfId="6593" xr:uid="{00000000-0005-0000-0000-00008D1E0000}"/>
    <cellStyle name="20% - Accent6 2 3 2 2 7 2" xfId="6594" xr:uid="{00000000-0005-0000-0000-00008E1E0000}"/>
    <cellStyle name="20% - Accent6 2 3 2 2 8" xfId="6595" xr:uid="{00000000-0005-0000-0000-00008F1E0000}"/>
    <cellStyle name="20% - Accent6 2 3 2 2 9" xfId="6596" xr:uid="{00000000-0005-0000-0000-0000901E0000}"/>
    <cellStyle name="20% - Accent6 2 3 2 3" xfId="6597" xr:uid="{00000000-0005-0000-0000-0000911E0000}"/>
    <cellStyle name="20% - Accent6 2 3 2 3 2" xfId="6598" xr:uid="{00000000-0005-0000-0000-0000921E0000}"/>
    <cellStyle name="20% - Accent6 2 3 2 3 2 2" xfId="6599" xr:uid="{00000000-0005-0000-0000-0000931E0000}"/>
    <cellStyle name="20% - Accent6 2 3 2 3 2 2 2" xfId="6600" xr:uid="{00000000-0005-0000-0000-0000941E0000}"/>
    <cellStyle name="20% - Accent6 2 3 2 3 2 3" xfId="6601" xr:uid="{00000000-0005-0000-0000-0000951E0000}"/>
    <cellStyle name="20% - Accent6 2 3 2 3 2 4" xfId="6602" xr:uid="{00000000-0005-0000-0000-0000961E0000}"/>
    <cellStyle name="20% - Accent6 2 3 2 3 2 5" xfId="37617" xr:uid="{00000000-0005-0000-0000-0000971E0000}"/>
    <cellStyle name="20% - Accent6 2 3 2 3 3" xfId="6603" xr:uid="{00000000-0005-0000-0000-0000981E0000}"/>
    <cellStyle name="20% - Accent6 2 3 2 3 3 2" xfId="6604" xr:uid="{00000000-0005-0000-0000-0000991E0000}"/>
    <cellStyle name="20% - Accent6 2 3 2 3 4" xfId="6605" xr:uid="{00000000-0005-0000-0000-00009A1E0000}"/>
    <cellStyle name="20% - Accent6 2 3 2 3 5" xfId="6606" xr:uid="{00000000-0005-0000-0000-00009B1E0000}"/>
    <cellStyle name="20% - Accent6 2 3 2 3 6" xfId="37616" xr:uid="{00000000-0005-0000-0000-00009C1E0000}"/>
    <cellStyle name="20% - Accent6 2 3 2 4" xfId="6607" xr:uid="{00000000-0005-0000-0000-00009D1E0000}"/>
    <cellStyle name="20% - Accent6 2 3 2 4 2" xfId="6608" xr:uid="{00000000-0005-0000-0000-00009E1E0000}"/>
    <cellStyle name="20% - Accent6 2 3 2 4 2 2" xfId="6609" xr:uid="{00000000-0005-0000-0000-00009F1E0000}"/>
    <cellStyle name="20% - Accent6 2 3 2 4 2 2 2" xfId="6610" xr:uid="{00000000-0005-0000-0000-0000A01E0000}"/>
    <cellStyle name="20% - Accent6 2 3 2 4 2 3" xfId="6611" xr:uid="{00000000-0005-0000-0000-0000A11E0000}"/>
    <cellStyle name="20% - Accent6 2 3 2 4 2 4" xfId="6612" xr:uid="{00000000-0005-0000-0000-0000A21E0000}"/>
    <cellStyle name="20% - Accent6 2 3 2 4 2 5" xfId="37619" xr:uid="{00000000-0005-0000-0000-0000A31E0000}"/>
    <cellStyle name="20% - Accent6 2 3 2 4 3" xfId="6613" xr:uid="{00000000-0005-0000-0000-0000A41E0000}"/>
    <cellStyle name="20% - Accent6 2 3 2 4 3 2" xfId="6614" xr:uid="{00000000-0005-0000-0000-0000A51E0000}"/>
    <cellStyle name="20% - Accent6 2 3 2 4 4" xfId="6615" xr:uid="{00000000-0005-0000-0000-0000A61E0000}"/>
    <cellStyle name="20% - Accent6 2 3 2 4 5" xfId="6616" xr:uid="{00000000-0005-0000-0000-0000A71E0000}"/>
    <cellStyle name="20% - Accent6 2 3 2 4 6" xfId="37618" xr:uid="{00000000-0005-0000-0000-0000A81E0000}"/>
    <cellStyle name="20% - Accent6 2 3 2 5" xfId="6617" xr:uid="{00000000-0005-0000-0000-0000A91E0000}"/>
    <cellStyle name="20% - Accent6 2 3 2 5 2" xfId="6618" xr:uid="{00000000-0005-0000-0000-0000AA1E0000}"/>
    <cellStyle name="20% - Accent6 2 3 2 5 2 2" xfId="6619" xr:uid="{00000000-0005-0000-0000-0000AB1E0000}"/>
    <cellStyle name="20% - Accent6 2 3 2 5 3" xfId="6620" xr:uid="{00000000-0005-0000-0000-0000AC1E0000}"/>
    <cellStyle name="20% - Accent6 2 3 2 5 4" xfId="6621" xr:uid="{00000000-0005-0000-0000-0000AD1E0000}"/>
    <cellStyle name="20% - Accent6 2 3 2 5 5" xfId="37620" xr:uid="{00000000-0005-0000-0000-0000AE1E0000}"/>
    <cellStyle name="20% - Accent6 2 3 2 6" xfId="6622" xr:uid="{00000000-0005-0000-0000-0000AF1E0000}"/>
    <cellStyle name="20% - Accent6 2 3 2 6 2" xfId="6623" xr:uid="{00000000-0005-0000-0000-0000B01E0000}"/>
    <cellStyle name="20% - Accent6 2 3 2 6 2 2" xfId="6624" xr:uid="{00000000-0005-0000-0000-0000B11E0000}"/>
    <cellStyle name="20% - Accent6 2 3 2 6 3" xfId="6625" xr:uid="{00000000-0005-0000-0000-0000B21E0000}"/>
    <cellStyle name="20% - Accent6 2 3 2 6 4" xfId="6626" xr:uid="{00000000-0005-0000-0000-0000B31E0000}"/>
    <cellStyle name="20% - Accent6 2 3 2 7" xfId="6627" xr:uid="{00000000-0005-0000-0000-0000B41E0000}"/>
    <cellStyle name="20% - Accent6 2 3 2 7 2" xfId="6628" xr:uid="{00000000-0005-0000-0000-0000B51E0000}"/>
    <cellStyle name="20% - Accent6 2 3 2 7 2 2" xfId="6629" xr:uid="{00000000-0005-0000-0000-0000B61E0000}"/>
    <cellStyle name="20% - Accent6 2 3 2 7 3" xfId="6630" xr:uid="{00000000-0005-0000-0000-0000B71E0000}"/>
    <cellStyle name="20% - Accent6 2 3 2 7 4" xfId="6631" xr:uid="{00000000-0005-0000-0000-0000B81E0000}"/>
    <cellStyle name="20% - Accent6 2 3 2 8" xfId="6632" xr:uid="{00000000-0005-0000-0000-0000B91E0000}"/>
    <cellStyle name="20% - Accent6 2 3 2 8 2" xfId="6633" xr:uid="{00000000-0005-0000-0000-0000BA1E0000}"/>
    <cellStyle name="20% - Accent6 2 3 2 9" xfId="6634" xr:uid="{00000000-0005-0000-0000-0000BB1E0000}"/>
    <cellStyle name="20% - Accent6 2 3 3" xfId="6635" xr:uid="{00000000-0005-0000-0000-0000BC1E0000}"/>
    <cellStyle name="20% - Accent6 2 3 3 10" xfId="34631" xr:uid="{00000000-0005-0000-0000-0000BD1E0000}"/>
    <cellStyle name="20% - Accent6 2 3 3 2" xfId="6636" xr:uid="{00000000-0005-0000-0000-0000BE1E0000}"/>
    <cellStyle name="20% - Accent6 2 3 3 2 2" xfId="6637" xr:uid="{00000000-0005-0000-0000-0000BF1E0000}"/>
    <cellStyle name="20% - Accent6 2 3 3 2 2 2" xfId="6638" xr:uid="{00000000-0005-0000-0000-0000C01E0000}"/>
    <cellStyle name="20% - Accent6 2 3 3 2 2 2 2" xfId="6639" xr:uid="{00000000-0005-0000-0000-0000C11E0000}"/>
    <cellStyle name="20% - Accent6 2 3 3 2 2 3" xfId="6640" xr:uid="{00000000-0005-0000-0000-0000C21E0000}"/>
    <cellStyle name="20% - Accent6 2 3 3 2 2 4" xfId="6641" xr:uid="{00000000-0005-0000-0000-0000C31E0000}"/>
    <cellStyle name="20% - Accent6 2 3 3 2 2 5" xfId="37622" xr:uid="{00000000-0005-0000-0000-0000C41E0000}"/>
    <cellStyle name="20% - Accent6 2 3 3 2 3" xfId="6642" xr:uid="{00000000-0005-0000-0000-0000C51E0000}"/>
    <cellStyle name="20% - Accent6 2 3 3 2 3 2" xfId="6643" xr:uid="{00000000-0005-0000-0000-0000C61E0000}"/>
    <cellStyle name="20% - Accent6 2 3 3 2 4" xfId="6644" xr:uid="{00000000-0005-0000-0000-0000C71E0000}"/>
    <cellStyle name="20% - Accent6 2 3 3 2 5" xfId="6645" xr:uid="{00000000-0005-0000-0000-0000C81E0000}"/>
    <cellStyle name="20% - Accent6 2 3 3 2 6" xfId="37621" xr:uid="{00000000-0005-0000-0000-0000C91E0000}"/>
    <cellStyle name="20% - Accent6 2 3 3 3" xfId="6646" xr:uid="{00000000-0005-0000-0000-0000CA1E0000}"/>
    <cellStyle name="20% - Accent6 2 3 3 3 2" xfId="6647" xr:uid="{00000000-0005-0000-0000-0000CB1E0000}"/>
    <cellStyle name="20% - Accent6 2 3 3 3 2 2" xfId="6648" xr:uid="{00000000-0005-0000-0000-0000CC1E0000}"/>
    <cellStyle name="20% - Accent6 2 3 3 3 2 2 2" xfId="6649" xr:uid="{00000000-0005-0000-0000-0000CD1E0000}"/>
    <cellStyle name="20% - Accent6 2 3 3 3 2 3" xfId="6650" xr:uid="{00000000-0005-0000-0000-0000CE1E0000}"/>
    <cellStyle name="20% - Accent6 2 3 3 3 2 4" xfId="6651" xr:uid="{00000000-0005-0000-0000-0000CF1E0000}"/>
    <cellStyle name="20% - Accent6 2 3 3 3 2 5" xfId="37624" xr:uid="{00000000-0005-0000-0000-0000D01E0000}"/>
    <cellStyle name="20% - Accent6 2 3 3 3 3" xfId="6652" xr:uid="{00000000-0005-0000-0000-0000D11E0000}"/>
    <cellStyle name="20% - Accent6 2 3 3 3 3 2" xfId="6653" xr:uid="{00000000-0005-0000-0000-0000D21E0000}"/>
    <cellStyle name="20% - Accent6 2 3 3 3 4" xfId="6654" xr:uid="{00000000-0005-0000-0000-0000D31E0000}"/>
    <cellStyle name="20% - Accent6 2 3 3 3 5" xfId="6655" xr:uid="{00000000-0005-0000-0000-0000D41E0000}"/>
    <cellStyle name="20% - Accent6 2 3 3 3 6" xfId="37623" xr:uid="{00000000-0005-0000-0000-0000D51E0000}"/>
    <cellStyle name="20% - Accent6 2 3 3 4" xfId="6656" xr:uid="{00000000-0005-0000-0000-0000D61E0000}"/>
    <cellStyle name="20% - Accent6 2 3 3 4 2" xfId="6657" xr:uid="{00000000-0005-0000-0000-0000D71E0000}"/>
    <cellStyle name="20% - Accent6 2 3 3 4 2 2" xfId="6658" xr:uid="{00000000-0005-0000-0000-0000D81E0000}"/>
    <cellStyle name="20% - Accent6 2 3 3 4 3" xfId="6659" xr:uid="{00000000-0005-0000-0000-0000D91E0000}"/>
    <cellStyle name="20% - Accent6 2 3 3 4 4" xfId="6660" xr:uid="{00000000-0005-0000-0000-0000DA1E0000}"/>
    <cellStyle name="20% - Accent6 2 3 3 4 5" xfId="37625" xr:uid="{00000000-0005-0000-0000-0000DB1E0000}"/>
    <cellStyle name="20% - Accent6 2 3 3 5" xfId="6661" xr:uid="{00000000-0005-0000-0000-0000DC1E0000}"/>
    <cellStyle name="20% - Accent6 2 3 3 5 2" xfId="6662" xr:uid="{00000000-0005-0000-0000-0000DD1E0000}"/>
    <cellStyle name="20% - Accent6 2 3 3 5 2 2" xfId="6663" xr:uid="{00000000-0005-0000-0000-0000DE1E0000}"/>
    <cellStyle name="20% - Accent6 2 3 3 5 3" xfId="6664" xr:uid="{00000000-0005-0000-0000-0000DF1E0000}"/>
    <cellStyle name="20% - Accent6 2 3 3 5 4" xfId="6665" xr:uid="{00000000-0005-0000-0000-0000E01E0000}"/>
    <cellStyle name="20% - Accent6 2 3 3 6" xfId="6666" xr:uid="{00000000-0005-0000-0000-0000E11E0000}"/>
    <cellStyle name="20% - Accent6 2 3 3 6 2" xfId="6667" xr:uid="{00000000-0005-0000-0000-0000E21E0000}"/>
    <cellStyle name="20% - Accent6 2 3 3 6 2 2" xfId="6668" xr:uid="{00000000-0005-0000-0000-0000E31E0000}"/>
    <cellStyle name="20% - Accent6 2 3 3 6 3" xfId="6669" xr:uid="{00000000-0005-0000-0000-0000E41E0000}"/>
    <cellStyle name="20% - Accent6 2 3 3 6 4" xfId="6670" xr:uid="{00000000-0005-0000-0000-0000E51E0000}"/>
    <cellStyle name="20% - Accent6 2 3 3 7" xfId="6671" xr:uid="{00000000-0005-0000-0000-0000E61E0000}"/>
    <cellStyle name="20% - Accent6 2 3 3 7 2" xfId="6672" xr:uid="{00000000-0005-0000-0000-0000E71E0000}"/>
    <cellStyle name="20% - Accent6 2 3 3 8" xfId="6673" xr:uid="{00000000-0005-0000-0000-0000E81E0000}"/>
    <cellStyle name="20% - Accent6 2 3 3 9" xfId="6674" xr:uid="{00000000-0005-0000-0000-0000E91E0000}"/>
    <cellStyle name="20% - Accent6 2 3 4" xfId="6675" xr:uid="{00000000-0005-0000-0000-0000EA1E0000}"/>
    <cellStyle name="20% - Accent6 2 3 4 2" xfId="6676" xr:uid="{00000000-0005-0000-0000-0000EB1E0000}"/>
    <cellStyle name="20% - Accent6 2 3 4 2 2" xfId="6677" xr:uid="{00000000-0005-0000-0000-0000EC1E0000}"/>
    <cellStyle name="20% - Accent6 2 3 4 2 2 2" xfId="6678" xr:uid="{00000000-0005-0000-0000-0000ED1E0000}"/>
    <cellStyle name="20% - Accent6 2 3 4 2 3" xfId="6679" xr:uid="{00000000-0005-0000-0000-0000EE1E0000}"/>
    <cellStyle name="20% - Accent6 2 3 4 2 4" xfId="6680" xr:uid="{00000000-0005-0000-0000-0000EF1E0000}"/>
    <cellStyle name="20% - Accent6 2 3 4 2 5" xfId="37627" xr:uid="{00000000-0005-0000-0000-0000F01E0000}"/>
    <cellStyle name="20% - Accent6 2 3 4 3" xfId="6681" xr:uid="{00000000-0005-0000-0000-0000F11E0000}"/>
    <cellStyle name="20% - Accent6 2 3 4 4" xfId="6682" xr:uid="{00000000-0005-0000-0000-0000F21E0000}"/>
    <cellStyle name="20% - Accent6 2 3 4 4 2" xfId="6683" xr:uid="{00000000-0005-0000-0000-0000F31E0000}"/>
    <cellStyle name="20% - Accent6 2 3 4 5" xfId="6684" xr:uid="{00000000-0005-0000-0000-0000F41E0000}"/>
    <cellStyle name="20% - Accent6 2 3 4 6" xfId="6685" xr:uid="{00000000-0005-0000-0000-0000F51E0000}"/>
    <cellStyle name="20% - Accent6 2 3 4 7" xfId="37626" xr:uid="{00000000-0005-0000-0000-0000F61E0000}"/>
    <cellStyle name="20% - Accent6 2 3 5" xfId="6686" xr:uid="{00000000-0005-0000-0000-0000F71E0000}"/>
    <cellStyle name="20% - Accent6 2 3 5 2" xfId="6687" xr:uid="{00000000-0005-0000-0000-0000F81E0000}"/>
    <cellStyle name="20% - Accent6 2 3 5 2 2" xfId="6688" xr:uid="{00000000-0005-0000-0000-0000F91E0000}"/>
    <cellStyle name="20% - Accent6 2 3 5 2 2 2" xfId="6689" xr:uid="{00000000-0005-0000-0000-0000FA1E0000}"/>
    <cellStyle name="20% - Accent6 2 3 5 2 3" xfId="6690" xr:uid="{00000000-0005-0000-0000-0000FB1E0000}"/>
    <cellStyle name="20% - Accent6 2 3 5 2 4" xfId="6691" xr:uid="{00000000-0005-0000-0000-0000FC1E0000}"/>
    <cellStyle name="20% - Accent6 2 3 5 2 5" xfId="37629" xr:uid="{00000000-0005-0000-0000-0000FD1E0000}"/>
    <cellStyle name="20% - Accent6 2 3 5 3" xfId="6692" xr:uid="{00000000-0005-0000-0000-0000FE1E0000}"/>
    <cellStyle name="20% - Accent6 2 3 5 3 2" xfId="6693" xr:uid="{00000000-0005-0000-0000-0000FF1E0000}"/>
    <cellStyle name="20% - Accent6 2 3 5 4" xfId="6694" xr:uid="{00000000-0005-0000-0000-0000001F0000}"/>
    <cellStyle name="20% - Accent6 2 3 5 5" xfId="6695" xr:uid="{00000000-0005-0000-0000-0000011F0000}"/>
    <cellStyle name="20% - Accent6 2 3 5 6" xfId="37628" xr:uid="{00000000-0005-0000-0000-0000021F0000}"/>
    <cellStyle name="20% - Accent6 2 3 6" xfId="6696" xr:uid="{00000000-0005-0000-0000-0000031F0000}"/>
    <cellStyle name="20% - Accent6 2 3 6 2" xfId="6697" xr:uid="{00000000-0005-0000-0000-0000041F0000}"/>
    <cellStyle name="20% - Accent6 2 3 6 2 2" xfId="6698" xr:uid="{00000000-0005-0000-0000-0000051F0000}"/>
    <cellStyle name="20% - Accent6 2 3 6 3" xfId="6699" xr:uid="{00000000-0005-0000-0000-0000061F0000}"/>
    <cellStyle name="20% - Accent6 2 3 6 4" xfId="6700" xr:uid="{00000000-0005-0000-0000-0000071F0000}"/>
    <cellStyle name="20% - Accent6 2 3 6 5" xfId="37630" xr:uid="{00000000-0005-0000-0000-0000081F0000}"/>
    <cellStyle name="20% - Accent6 2 3 7" xfId="6701" xr:uid="{00000000-0005-0000-0000-0000091F0000}"/>
    <cellStyle name="20% - Accent6 2 3 7 2" xfId="6702" xr:uid="{00000000-0005-0000-0000-00000A1F0000}"/>
    <cellStyle name="20% - Accent6 2 3 7 2 2" xfId="6703" xr:uid="{00000000-0005-0000-0000-00000B1F0000}"/>
    <cellStyle name="20% - Accent6 2 3 7 3" xfId="6704" xr:uid="{00000000-0005-0000-0000-00000C1F0000}"/>
    <cellStyle name="20% - Accent6 2 3 7 4" xfId="6705" xr:uid="{00000000-0005-0000-0000-00000D1F0000}"/>
    <cellStyle name="20% - Accent6 2 3 8" xfId="6706" xr:uid="{00000000-0005-0000-0000-00000E1F0000}"/>
    <cellStyle name="20% - Accent6 2 3 8 2" xfId="6707" xr:uid="{00000000-0005-0000-0000-00000F1F0000}"/>
    <cellStyle name="20% - Accent6 2 3 8 2 2" xfId="6708" xr:uid="{00000000-0005-0000-0000-0000101F0000}"/>
    <cellStyle name="20% - Accent6 2 3 8 3" xfId="6709" xr:uid="{00000000-0005-0000-0000-0000111F0000}"/>
    <cellStyle name="20% - Accent6 2 3 8 4" xfId="6710" xr:uid="{00000000-0005-0000-0000-0000121F0000}"/>
    <cellStyle name="20% - Accent6 2 3 9" xfId="6711" xr:uid="{00000000-0005-0000-0000-0000131F0000}"/>
    <cellStyle name="20% - Accent6 2 3 9 2" xfId="6712" xr:uid="{00000000-0005-0000-0000-0000141F0000}"/>
    <cellStyle name="20% - Accent6 2 4" xfId="6713" xr:uid="{00000000-0005-0000-0000-0000151F0000}"/>
    <cellStyle name="20% - Accent6 2 4 10" xfId="6714" xr:uid="{00000000-0005-0000-0000-0000161F0000}"/>
    <cellStyle name="20% - Accent6 2 4 11" xfId="34632" xr:uid="{00000000-0005-0000-0000-0000171F0000}"/>
    <cellStyle name="20% - Accent6 2 4 2" xfId="6715" xr:uid="{00000000-0005-0000-0000-0000181F0000}"/>
    <cellStyle name="20% - Accent6 2 4 2 10" xfId="34633" xr:uid="{00000000-0005-0000-0000-0000191F0000}"/>
    <cellStyle name="20% - Accent6 2 4 2 2" xfId="6716" xr:uid="{00000000-0005-0000-0000-00001A1F0000}"/>
    <cellStyle name="20% - Accent6 2 4 2 2 2" xfId="6717" xr:uid="{00000000-0005-0000-0000-00001B1F0000}"/>
    <cellStyle name="20% - Accent6 2 4 2 2 2 2" xfId="6718" xr:uid="{00000000-0005-0000-0000-00001C1F0000}"/>
    <cellStyle name="20% - Accent6 2 4 2 2 2 2 2" xfId="6719" xr:uid="{00000000-0005-0000-0000-00001D1F0000}"/>
    <cellStyle name="20% - Accent6 2 4 2 2 2 3" xfId="6720" xr:uid="{00000000-0005-0000-0000-00001E1F0000}"/>
    <cellStyle name="20% - Accent6 2 4 2 2 2 4" xfId="6721" xr:uid="{00000000-0005-0000-0000-00001F1F0000}"/>
    <cellStyle name="20% - Accent6 2 4 2 2 2 5" xfId="37632" xr:uid="{00000000-0005-0000-0000-0000201F0000}"/>
    <cellStyle name="20% - Accent6 2 4 2 2 3" xfId="6722" xr:uid="{00000000-0005-0000-0000-0000211F0000}"/>
    <cellStyle name="20% - Accent6 2 4 2 2 3 2" xfId="6723" xr:uid="{00000000-0005-0000-0000-0000221F0000}"/>
    <cellStyle name="20% - Accent6 2 4 2 2 4" xfId="6724" xr:uid="{00000000-0005-0000-0000-0000231F0000}"/>
    <cellStyle name="20% - Accent6 2 4 2 2 5" xfId="6725" xr:uid="{00000000-0005-0000-0000-0000241F0000}"/>
    <cellStyle name="20% - Accent6 2 4 2 2 6" xfId="37631" xr:uid="{00000000-0005-0000-0000-0000251F0000}"/>
    <cellStyle name="20% - Accent6 2 4 2 3" xfId="6726" xr:uid="{00000000-0005-0000-0000-0000261F0000}"/>
    <cellStyle name="20% - Accent6 2 4 2 3 2" xfId="6727" xr:uid="{00000000-0005-0000-0000-0000271F0000}"/>
    <cellStyle name="20% - Accent6 2 4 2 3 2 2" xfId="6728" xr:uid="{00000000-0005-0000-0000-0000281F0000}"/>
    <cellStyle name="20% - Accent6 2 4 2 3 2 2 2" xfId="6729" xr:uid="{00000000-0005-0000-0000-0000291F0000}"/>
    <cellStyle name="20% - Accent6 2 4 2 3 2 3" xfId="6730" xr:uid="{00000000-0005-0000-0000-00002A1F0000}"/>
    <cellStyle name="20% - Accent6 2 4 2 3 2 4" xfId="6731" xr:uid="{00000000-0005-0000-0000-00002B1F0000}"/>
    <cellStyle name="20% - Accent6 2 4 2 3 2 5" xfId="37634" xr:uid="{00000000-0005-0000-0000-00002C1F0000}"/>
    <cellStyle name="20% - Accent6 2 4 2 3 3" xfId="6732" xr:uid="{00000000-0005-0000-0000-00002D1F0000}"/>
    <cellStyle name="20% - Accent6 2 4 2 3 3 2" xfId="6733" xr:uid="{00000000-0005-0000-0000-00002E1F0000}"/>
    <cellStyle name="20% - Accent6 2 4 2 3 4" xfId="6734" xr:uid="{00000000-0005-0000-0000-00002F1F0000}"/>
    <cellStyle name="20% - Accent6 2 4 2 3 5" xfId="6735" xr:uid="{00000000-0005-0000-0000-0000301F0000}"/>
    <cellStyle name="20% - Accent6 2 4 2 3 6" xfId="37633" xr:uid="{00000000-0005-0000-0000-0000311F0000}"/>
    <cellStyle name="20% - Accent6 2 4 2 4" xfId="6736" xr:uid="{00000000-0005-0000-0000-0000321F0000}"/>
    <cellStyle name="20% - Accent6 2 4 2 4 2" xfId="6737" xr:uid="{00000000-0005-0000-0000-0000331F0000}"/>
    <cellStyle name="20% - Accent6 2 4 2 4 2 2" xfId="6738" xr:uid="{00000000-0005-0000-0000-0000341F0000}"/>
    <cellStyle name="20% - Accent6 2 4 2 4 3" xfId="6739" xr:uid="{00000000-0005-0000-0000-0000351F0000}"/>
    <cellStyle name="20% - Accent6 2 4 2 4 4" xfId="6740" xr:uid="{00000000-0005-0000-0000-0000361F0000}"/>
    <cellStyle name="20% - Accent6 2 4 2 4 5" xfId="37635" xr:uid="{00000000-0005-0000-0000-0000371F0000}"/>
    <cellStyle name="20% - Accent6 2 4 2 5" xfId="6741" xr:uid="{00000000-0005-0000-0000-0000381F0000}"/>
    <cellStyle name="20% - Accent6 2 4 2 5 2" xfId="6742" xr:uid="{00000000-0005-0000-0000-0000391F0000}"/>
    <cellStyle name="20% - Accent6 2 4 2 5 2 2" xfId="6743" xr:uid="{00000000-0005-0000-0000-00003A1F0000}"/>
    <cellStyle name="20% - Accent6 2 4 2 5 3" xfId="6744" xr:uid="{00000000-0005-0000-0000-00003B1F0000}"/>
    <cellStyle name="20% - Accent6 2 4 2 5 4" xfId="6745" xr:uid="{00000000-0005-0000-0000-00003C1F0000}"/>
    <cellStyle name="20% - Accent6 2 4 2 6" xfId="6746" xr:uid="{00000000-0005-0000-0000-00003D1F0000}"/>
    <cellStyle name="20% - Accent6 2 4 2 6 2" xfId="6747" xr:uid="{00000000-0005-0000-0000-00003E1F0000}"/>
    <cellStyle name="20% - Accent6 2 4 2 6 2 2" xfId="6748" xr:uid="{00000000-0005-0000-0000-00003F1F0000}"/>
    <cellStyle name="20% - Accent6 2 4 2 6 3" xfId="6749" xr:uid="{00000000-0005-0000-0000-0000401F0000}"/>
    <cellStyle name="20% - Accent6 2 4 2 6 4" xfId="6750" xr:uid="{00000000-0005-0000-0000-0000411F0000}"/>
    <cellStyle name="20% - Accent6 2 4 2 7" xfId="6751" xr:uid="{00000000-0005-0000-0000-0000421F0000}"/>
    <cellStyle name="20% - Accent6 2 4 2 7 2" xfId="6752" xr:uid="{00000000-0005-0000-0000-0000431F0000}"/>
    <cellStyle name="20% - Accent6 2 4 2 8" xfId="6753" xr:uid="{00000000-0005-0000-0000-0000441F0000}"/>
    <cellStyle name="20% - Accent6 2 4 2 9" xfId="6754" xr:uid="{00000000-0005-0000-0000-0000451F0000}"/>
    <cellStyle name="20% - Accent6 2 4 3" xfId="6755" xr:uid="{00000000-0005-0000-0000-0000461F0000}"/>
    <cellStyle name="20% - Accent6 2 4 3 2" xfId="6756" xr:uid="{00000000-0005-0000-0000-0000471F0000}"/>
    <cellStyle name="20% - Accent6 2 4 3 2 2" xfId="6757" xr:uid="{00000000-0005-0000-0000-0000481F0000}"/>
    <cellStyle name="20% - Accent6 2 4 3 2 2 2" xfId="6758" xr:uid="{00000000-0005-0000-0000-0000491F0000}"/>
    <cellStyle name="20% - Accent6 2 4 3 2 3" xfId="6759" xr:uid="{00000000-0005-0000-0000-00004A1F0000}"/>
    <cellStyle name="20% - Accent6 2 4 3 2 4" xfId="6760" xr:uid="{00000000-0005-0000-0000-00004B1F0000}"/>
    <cellStyle name="20% - Accent6 2 4 3 2 5" xfId="37637" xr:uid="{00000000-0005-0000-0000-00004C1F0000}"/>
    <cellStyle name="20% - Accent6 2 4 3 3" xfId="6761" xr:uid="{00000000-0005-0000-0000-00004D1F0000}"/>
    <cellStyle name="20% - Accent6 2 4 3 3 2" xfId="6762" xr:uid="{00000000-0005-0000-0000-00004E1F0000}"/>
    <cellStyle name="20% - Accent6 2 4 3 4" xfId="6763" xr:uid="{00000000-0005-0000-0000-00004F1F0000}"/>
    <cellStyle name="20% - Accent6 2 4 3 5" xfId="6764" xr:uid="{00000000-0005-0000-0000-0000501F0000}"/>
    <cellStyle name="20% - Accent6 2 4 3 6" xfId="37636" xr:uid="{00000000-0005-0000-0000-0000511F0000}"/>
    <cellStyle name="20% - Accent6 2 4 4" xfId="6765" xr:uid="{00000000-0005-0000-0000-0000521F0000}"/>
    <cellStyle name="20% - Accent6 2 4 4 2" xfId="6766" xr:uid="{00000000-0005-0000-0000-0000531F0000}"/>
    <cellStyle name="20% - Accent6 2 4 4 2 2" xfId="6767" xr:uid="{00000000-0005-0000-0000-0000541F0000}"/>
    <cellStyle name="20% - Accent6 2 4 4 2 2 2" xfId="6768" xr:uid="{00000000-0005-0000-0000-0000551F0000}"/>
    <cellStyle name="20% - Accent6 2 4 4 2 3" xfId="6769" xr:uid="{00000000-0005-0000-0000-0000561F0000}"/>
    <cellStyle name="20% - Accent6 2 4 4 2 4" xfId="6770" xr:uid="{00000000-0005-0000-0000-0000571F0000}"/>
    <cellStyle name="20% - Accent6 2 4 4 2 5" xfId="37639" xr:uid="{00000000-0005-0000-0000-0000581F0000}"/>
    <cellStyle name="20% - Accent6 2 4 4 3" xfId="6771" xr:uid="{00000000-0005-0000-0000-0000591F0000}"/>
    <cellStyle name="20% - Accent6 2 4 4 3 2" xfId="6772" xr:uid="{00000000-0005-0000-0000-00005A1F0000}"/>
    <cellStyle name="20% - Accent6 2 4 4 4" xfId="6773" xr:uid="{00000000-0005-0000-0000-00005B1F0000}"/>
    <cellStyle name="20% - Accent6 2 4 4 5" xfId="6774" xr:uid="{00000000-0005-0000-0000-00005C1F0000}"/>
    <cellStyle name="20% - Accent6 2 4 4 6" xfId="37638" xr:uid="{00000000-0005-0000-0000-00005D1F0000}"/>
    <cellStyle name="20% - Accent6 2 4 5" xfId="6775" xr:uid="{00000000-0005-0000-0000-00005E1F0000}"/>
    <cellStyle name="20% - Accent6 2 4 5 2" xfId="6776" xr:uid="{00000000-0005-0000-0000-00005F1F0000}"/>
    <cellStyle name="20% - Accent6 2 4 5 2 2" xfId="6777" xr:uid="{00000000-0005-0000-0000-0000601F0000}"/>
    <cellStyle name="20% - Accent6 2 4 5 3" xfId="6778" xr:uid="{00000000-0005-0000-0000-0000611F0000}"/>
    <cellStyle name="20% - Accent6 2 4 5 4" xfId="6779" xr:uid="{00000000-0005-0000-0000-0000621F0000}"/>
    <cellStyle name="20% - Accent6 2 4 5 5" xfId="37640" xr:uid="{00000000-0005-0000-0000-0000631F0000}"/>
    <cellStyle name="20% - Accent6 2 4 6" xfId="6780" xr:uid="{00000000-0005-0000-0000-0000641F0000}"/>
    <cellStyle name="20% - Accent6 2 4 6 2" xfId="6781" xr:uid="{00000000-0005-0000-0000-0000651F0000}"/>
    <cellStyle name="20% - Accent6 2 4 6 2 2" xfId="6782" xr:uid="{00000000-0005-0000-0000-0000661F0000}"/>
    <cellStyle name="20% - Accent6 2 4 6 3" xfId="6783" xr:uid="{00000000-0005-0000-0000-0000671F0000}"/>
    <cellStyle name="20% - Accent6 2 4 6 4" xfId="6784" xr:uid="{00000000-0005-0000-0000-0000681F0000}"/>
    <cellStyle name="20% - Accent6 2 4 7" xfId="6785" xr:uid="{00000000-0005-0000-0000-0000691F0000}"/>
    <cellStyle name="20% - Accent6 2 4 7 2" xfId="6786" xr:uid="{00000000-0005-0000-0000-00006A1F0000}"/>
    <cellStyle name="20% - Accent6 2 4 7 2 2" xfId="6787" xr:uid="{00000000-0005-0000-0000-00006B1F0000}"/>
    <cellStyle name="20% - Accent6 2 4 7 3" xfId="6788" xr:uid="{00000000-0005-0000-0000-00006C1F0000}"/>
    <cellStyle name="20% - Accent6 2 4 7 4" xfId="6789" xr:uid="{00000000-0005-0000-0000-00006D1F0000}"/>
    <cellStyle name="20% - Accent6 2 4 8" xfId="6790" xr:uid="{00000000-0005-0000-0000-00006E1F0000}"/>
    <cellStyle name="20% - Accent6 2 4 8 2" xfId="6791" xr:uid="{00000000-0005-0000-0000-00006F1F0000}"/>
    <cellStyle name="20% - Accent6 2 4 9" xfId="6792" xr:uid="{00000000-0005-0000-0000-0000701F0000}"/>
    <cellStyle name="20% - Accent6 2 5" xfId="6793" xr:uid="{00000000-0005-0000-0000-0000711F0000}"/>
    <cellStyle name="20% - Accent6 2 5 10" xfId="34634" xr:uid="{00000000-0005-0000-0000-0000721F0000}"/>
    <cellStyle name="20% - Accent6 2 5 2" xfId="6794" xr:uid="{00000000-0005-0000-0000-0000731F0000}"/>
    <cellStyle name="20% - Accent6 2 5 2 2" xfId="6795" xr:uid="{00000000-0005-0000-0000-0000741F0000}"/>
    <cellStyle name="20% - Accent6 2 5 2 2 2" xfId="6796" xr:uid="{00000000-0005-0000-0000-0000751F0000}"/>
    <cellStyle name="20% - Accent6 2 5 2 2 2 2" xfId="6797" xr:uid="{00000000-0005-0000-0000-0000761F0000}"/>
    <cellStyle name="20% - Accent6 2 5 2 2 3" xfId="6798" xr:uid="{00000000-0005-0000-0000-0000771F0000}"/>
    <cellStyle name="20% - Accent6 2 5 2 2 4" xfId="6799" xr:uid="{00000000-0005-0000-0000-0000781F0000}"/>
    <cellStyle name="20% - Accent6 2 5 2 2 5" xfId="37642" xr:uid="{00000000-0005-0000-0000-0000791F0000}"/>
    <cellStyle name="20% - Accent6 2 5 2 3" xfId="6800" xr:uid="{00000000-0005-0000-0000-00007A1F0000}"/>
    <cellStyle name="20% - Accent6 2 5 2 3 2" xfId="6801" xr:uid="{00000000-0005-0000-0000-00007B1F0000}"/>
    <cellStyle name="20% - Accent6 2 5 2 4" xfId="6802" xr:uid="{00000000-0005-0000-0000-00007C1F0000}"/>
    <cellStyle name="20% - Accent6 2 5 2 5" xfId="6803" xr:uid="{00000000-0005-0000-0000-00007D1F0000}"/>
    <cellStyle name="20% - Accent6 2 5 2 6" xfId="37641" xr:uid="{00000000-0005-0000-0000-00007E1F0000}"/>
    <cellStyle name="20% - Accent6 2 5 3" xfId="6804" xr:uid="{00000000-0005-0000-0000-00007F1F0000}"/>
    <cellStyle name="20% - Accent6 2 5 3 2" xfId="6805" xr:uid="{00000000-0005-0000-0000-0000801F0000}"/>
    <cellStyle name="20% - Accent6 2 5 3 2 2" xfId="6806" xr:uid="{00000000-0005-0000-0000-0000811F0000}"/>
    <cellStyle name="20% - Accent6 2 5 3 2 2 2" xfId="6807" xr:uid="{00000000-0005-0000-0000-0000821F0000}"/>
    <cellStyle name="20% - Accent6 2 5 3 2 3" xfId="6808" xr:uid="{00000000-0005-0000-0000-0000831F0000}"/>
    <cellStyle name="20% - Accent6 2 5 3 2 4" xfId="6809" xr:uid="{00000000-0005-0000-0000-0000841F0000}"/>
    <cellStyle name="20% - Accent6 2 5 3 2 5" xfId="37644" xr:uid="{00000000-0005-0000-0000-0000851F0000}"/>
    <cellStyle name="20% - Accent6 2 5 3 3" xfId="6810" xr:uid="{00000000-0005-0000-0000-0000861F0000}"/>
    <cellStyle name="20% - Accent6 2 5 3 3 2" xfId="6811" xr:uid="{00000000-0005-0000-0000-0000871F0000}"/>
    <cellStyle name="20% - Accent6 2 5 3 4" xfId="6812" xr:uid="{00000000-0005-0000-0000-0000881F0000}"/>
    <cellStyle name="20% - Accent6 2 5 3 5" xfId="6813" xr:uid="{00000000-0005-0000-0000-0000891F0000}"/>
    <cellStyle name="20% - Accent6 2 5 3 6" xfId="37643" xr:uid="{00000000-0005-0000-0000-00008A1F0000}"/>
    <cellStyle name="20% - Accent6 2 5 4" xfId="6814" xr:uid="{00000000-0005-0000-0000-00008B1F0000}"/>
    <cellStyle name="20% - Accent6 2 5 4 2" xfId="6815" xr:uid="{00000000-0005-0000-0000-00008C1F0000}"/>
    <cellStyle name="20% - Accent6 2 5 4 2 2" xfId="6816" xr:uid="{00000000-0005-0000-0000-00008D1F0000}"/>
    <cellStyle name="20% - Accent6 2 5 4 3" xfId="6817" xr:uid="{00000000-0005-0000-0000-00008E1F0000}"/>
    <cellStyle name="20% - Accent6 2 5 4 4" xfId="6818" xr:uid="{00000000-0005-0000-0000-00008F1F0000}"/>
    <cellStyle name="20% - Accent6 2 5 4 5" xfId="37645" xr:uid="{00000000-0005-0000-0000-0000901F0000}"/>
    <cellStyle name="20% - Accent6 2 5 5" xfId="6819" xr:uid="{00000000-0005-0000-0000-0000911F0000}"/>
    <cellStyle name="20% - Accent6 2 5 5 2" xfId="6820" xr:uid="{00000000-0005-0000-0000-0000921F0000}"/>
    <cellStyle name="20% - Accent6 2 5 5 2 2" xfId="6821" xr:uid="{00000000-0005-0000-0000-0000931F0000}"/>
    <cellStyle name="20% - Accent6 2 5 5 3" xfId="6822" xr:uid="{00000000-0005-0000-0000-0000941F0000}"/>
    <cellStyle name="20% - Accent6 2 5 5 4" xfId="6823" xr:uid="{00000000-0005-0000-0000-0000951F0000}"/>
    <cellStyle name="20% - Accent6 2 5 6" xfId="6824" xr:uid="{00000000-0005-0000-0000-0000961F0000}"/>
    <cellStyle name="20% - Accent6 2 5 6 2" xfId="6825" xr:uid="{00000000-0005-0000-0000-0000971F0000}"/>
    <cellStyle name="20% - Accent6 2 5 6 2 2" xfId="6826" xr:uid="{00000000-0005-0000-0000-0000981F0000}"/>
    <cellStyle name="20% - Accent6 2 5 6 3" xfId="6827" xr:uid="{00000000-0005-0000-0000-0000991F0000}"/>
    <cellStyle name="20% - Accent6 2 5 6 4" xfId="6828" xr:uid="{00000000-0005-0000-0000-00009A1F0000}"/>
    <cellStyle name="20% - Accent6 2 5 7" xfId="6829" xr:uid="{00000000-0005-0000-0000-00009B1F0000}"/>
    <cellStyle name="20% - Accent6 2 5 7 2" xfId="6830" xr:uid="{00000000-0005-0000-0000-00009C1F0000}"/>
    <cellStyle name="20% - Accent6 2 5 8" xfId="6831" xr:uid="{00000000-0005-0000-0000-00009D1F0000}"/>
    <cellStyle name="20% - Accent6 2 5 9" xfId="6832" xr:uid="{00000000-0005-0000-0000-00009E1F0000}"/>
    <cellStyle name="20% - Accent6 2 6" xfId="6833" xr:uid="{00000000-0005-0000-0000-00009F1F0000}"/>
    <cellStyle name="20% - Accent6 2 7" xfId="6834" xr:uid="{00000000-0005-0000-0000-0000A01F0000}"/>
    <cellStyle name="20% - Accent6 2 8" xfId="6835" xr:uid="{00000000-0005-0000-0000-0000A11F0000}"/>
    <cellStyle name="20% - Accent6 2 8 2" xfId="6836" xr:uid="{00000000-0005-0000-0000-0000A21F0000}"/>
    <cellStyle name="20% - Accent6 2 8 3" xfId="34635" xr:uid="{00000000-0005-0000-0000-0000A31F0000}"/>
    <cellStyle name="20% - Accent6 2 9" xfId="6837" xr:uid="{00000000-0005-0000-0000-0000A41F0000}"/>
    <cellStyle name="20% - Accent6 2 9 2" xfId="6838" xr:uid="{00000000-0005-0000-0000-0000A51F0000}"/>
    <cellStyle name="20% - Accent6 2 9 2 2" xfId="6839" xr:uid="{00000000-0005-0000-0000-0000A61F0000}"/>
    <cellStyle name="20% - Accent6 2 9 2 2 2" xfId="6840" xr:uid="{00000000-0005-0000-0000-0000A71F0000}"/>
    <cellStyle name="20% - Accent6 2 9 2 3" xfId="6841" xr:uid="{00000000-0005-0000-0000-0000A81F0000}"/>
    <cellStyle name="20% - Accent6 2 9 2 4" xfId="6842" xr:uid="{00000000-0005-0000-0000-0000A91F0000}"/>
    <cellStyle name="20% - Accent6 2 9 2 5" xfId="37647" xr:uid="{00000000-0005-0000-0000-0000AA1F0000}"/>
    <cellStyle name="20% - Accent6 2 9 3" xfId="6843" xr:uid="{00000000-0005-0000-0000-0000AB1F0000}"/>
    <cellStyle name="20% - Accent6 2 9 4" xfId="6844" xr:uid="{00000000-0005-0000-0000-0000AC1F0000}"/>
    <cellStyle name="20% - Accent6 2 9 4 2" xfId="6845" xr:uid="{00000000-0005-0000-0000-0000AD1F0000}"/>
    <cellStyle name="20% - Accent6 2 9 5" xfId="6846" xr:uid="{00000000-0005-0000-0000-0000AE1F0000}"/>
    <cellStyle name="20% - Accent6 2 9 6" xfId="6847" xr:uid="{00000000-0005-0000-0000-0000AF1F0000}"/>
    <cellStyle name="20% - Accent6 2 9 7" xfId="37646" xr:uid="{00000000-0005-0000-0000-0000B01F0000}"/>
    <cellStyle name="20% - Accent6 3" xfId="6848" xr:uid="{00000000-0005-0000-0000-0000B11F0000}"/>
    <cellStyle name="20% - Accent6 3 2" xfId="6849" xr:uid="{00000000-0005-0000-0000-0000B21F0000}"/>
    <cellStyle name="20% - Accent6 3 2 10" xfId="6850" xr:uid="{00000000-0005-0000-0000-0000B31F0000}"/>
    <cellStyle name="20% - Accent6 3 2 10 2" xfId="6851" xr:uid="{00000000-0005-0000-0000-0000B41F0000}"/>
    <cellStyle name="20% - Accent6 3 2 11" xfId="6852" xr:uid="{00000000-0005-0000-0000-0000B51F0000}"/>
    <cellStyle name="20% - Accent6 3 2 12" xfId="6853" xr:uid="{00000000-0005-0000-0000-0000B61F0000}"/>
    <cellStyle name="20% - Accent6 3 2 13" xfId="34636" xr:uid="{00000000-0005-0000-0000-0000B71F0000}"/>
    <cellStyle name="20% - Accent6 3 2 2" xfId="6854" xr:uid="{00000000-0005-0000-0000-0000B81F0000}"/>
    <cellStyle name="20% - Accent6 3 2 2 10" xfId="6855" xr:uid="{00000000-0005-0000-0000-0000B91F0000}"/>
    <cellStyle name="20% - Accent6 3 2 2 11" xfId="6856" xr:uid="{00000000-0005-0000-0000-0000BA1F0000}"/>
    <cellStyle name="20% - Accent6 3 2 2 12" xfId="34637" xr:uid="{00000000-0005-0000-0000-0000BB1F0000}"/>
    <cellStyle name="20% - Accent6 3 2 2 2" xfId="6857" xr:uid="{00000000-0005-0000-0000-0000BC1F0000}"/>
    <cellStyle name="20% - Accent6 3 2 2 2 10" xfId="6858" xr:uid="{00000000-0005-0000-0000-0000BD1F0000}"/>
    <cellStyle name="20% - Accent6 3 2 2 2 11" xfId="34638" xr:uid="{00000000-0005-0000-0000-0000BE1F0000}"/>
    <cellStyle name="20% - Accent6 3 2 2 2 2" xfId="6859" xr:uid="{00000000-0005-0000-0000-0000BF1F0000}"/>
    <cellStyle name="20% - Accent6 3 2 2 2 2 10" xfId="34639" xr:uid="{00000000-0005-0000-0000-0000C01F0000}"/>
    <cellStyle name="20% - Accent6 3 2 2 2 2 2" xfId="6860" xr:uid="{00000000-0005-0000-0000-0000C11F0000}"/>
    <cellStyle name="20% - Accent6 3 2 2 2 2 2 2" xfId="6861" xr:uid="{00000000-0005-0000-0000-0000C21F0000}"/>
    <cellStyle name="20% - Accent6 3 2 2 2 2 2 2 2" xfId="6862" xr:uid="{00000000-0005-0000-0000-0000C31F0000}"/>
    <cellStyle name="20% - Accent6 3 2 2 2 2 2 2 2 2" xfId="6863" xr:uid="{00000000-0005-0000-0000-0000C41F0000}"/>
    <cellStyle name="20% - Accent6 3 2 2 2 2 2 2 3" xfId="6864" xr:uid="{00000000-0005-0000-0000-0000C51F0000}"/>
    <cellStyle name="20% - Accent6 3 2 2 2 2 2 2 4" xfId="6865" xr:uid="{00000000-0005-0000-0000-0000C61F0000}"/>
    <cellStyle name="20% - Accent6 3 2 2 2 2 2 2 5" xfId="37649" xr:uid="{00000000-0005-0000-0000-0000C71F0000}"/>
    <cellStyle name="20% - Accent6 3 2 2 2 2 2 3" xfId="6866" xr:uid="{00000000-0005-0000-0000-0000C81F0000}"/>
    <cellStyle name="20% - Accent6 3 2 2 2 2 2 3 2" xfId="6867" xr:uid="{00000000-0005-0000-0000-0000C91F0000}"/>
    <cellStyle name="20% - Accent6 3 2 2 2 2 2 4" xfId="6868" xr:uid="{00000000-0005-0000-0000-0000CA1F0000}"/>
    <cellStyle name="20% - Accent6 3 2 2 2 2 2 5" xfId="6869" xr:uid="{00000000-0005-0000-0000-0000CB1F0000}"/>
    <cellStyle name="20% - Accent6 3 2 2 2 2 2 6" xfId="37648" xr:uid="{00000000-0005-0000-0000-0000CC1F0000}"/>
    <cellStyle name="20% - Accent6 3 2 2 2 2 3" xfId="6870" xr:uid="{00000000-0005-0000-0000-0000CD1F0000}"/>
    <cellStyle name="20% - Accent6 3 2 2 2 2 3 2" xfId="6871" xr:uid="{00000000-0005-0000-0000-0000CE1F0000}"/>
    <cellStyle name="20% - Accent6 3 2 2 2 2 3 2 2" xfId="6872" xr:uid="{00000000-0005-0000-0000-0000CF1F0000}"/>
    <cellStyle name="20% - Accent6 3 2 2 2 2 3 2 2 2" xfId="6873" xr:uid="{00000000-0005-0000-0000-0000D01F0000}"/>
    <cellStyle name="20% - Accent6 3 2 2 2 2 3 2 3" xfId="6874" xr:uid="{00000000-0005-0000-0000-0000D11F0000}"/>
    <cellStyle name="20% - Accent6 3 2 2 2 2 3 2 4" xfId="6875" xr:uid="{00000000-0005-0000-0000-0000D21F0000}"/>
    <cellStyle name="20% - Accent6 3 2 2 2 2 3 2 5" xfId="37651" xr:uid="{00000000-0005-0000-0000-0000D31F0000}"/>
    <cellStyle name="20% - Accent6 3 2 2 2 2 3 3" xfId="6876" xr:uid="{00000000-0005-0000-0000-0000D41F0000}"/>
    <cellStyle name="20% - Accent6 3 2 2 2 2 3 3 2" xfId="6877" xr:uid="{00000000-0005-0000-0000-0000D51F0000}"/>
    <cellStyle name="20% - Accent6 3 2 2 2 2 3 4" xfId="6878" xr:uid="{00000000-0005-0000-0000-0000D61F0000}"/>
    <cellStyle name="20% - Accent6 3 2 2 2 2 3 5" xfId="6879" xr:uid="{00000000-0005-0000-0000-0000D71F0000}"/>
    <cellStyle name="20% - Accent6 3 2 2 2 2 3 6" xfId="37650" xr:uid="{00000000-0005-0000-0000-0000D81F0000}"/>
    <cellStyle name="20% - Accent6 3 2 2 2 2 4" xfId="6880" xr:uid="{00000000-0005-0000-0000-0000D91F0000}"/>
    <cellStyle name="20% - Accent6 3 2 2 2 2 4 2" xfId="6881" xr:uid="{00000000-0005-0000-0000-0000DA1F0000}"/>
    <cellStyle name="20% - Accent6 3 2 2 2 2 4 2 2" xfId="6882" xr:uid="{00000000-0005-0000-0000-0000DB1F0000}"/>
    <cellStyle name="20% - Accent6 3 2 2 2 2 4 3" xfId="6883" xr:uid="{00000000-0005-0000-0000-0000DC1F0000}"/>
    <cellStyle name="20% - Accent6 3 2 2 2 2 4 4" xfId="6884" xr:uid="{00000000-0005-0000-0000-0000DD1F0000}"/>
    <cellStyle name="20% - Accent6 3 2 2 2 2 4 5" xfId="37652" xr:uid="{00000000-0005-0000-0000-0000DE1F0000}"/>
    <cellStyle name="20% - Accent6 3 2 2 2 2 5" xfId="6885" xr:uid="{00000000-0005-0000-0000-0000DF1F0000}"/>
    <cellStyle name="20% - Accent6 3 2 2 2 2 5 2" xfId="6886" xr:uid="{00000000-0005-0000-0000-0000E01F0000}"/>
    <cellStyle name="20% - Accent6 3 2 2 2 2 5 2 2" xfId="6887" xr:uid="{00000000-0005-0000-0000-0000E11F0000}"/>
    <cellStyle name="20% - Accent6 3 2 2 2 2 5 3" xfId="6888" xr:uid="{00000000-0005-0000-0000-0000E21F0000}"/>
    <cellStyle name="20% - Accent6 3 2 2 2 2 5 4" xfId="6889" xr:uid="{00000000-0005-0000-0000-0000E31F0000}"/>
    <cellStyle name="20% - Accent6 3 2 2 2 2 6" xfId="6890" xr:uid="{00000000-0005-0000-0000-0000E41F0000}"/>
    <cellStyle name="20% - Accent6 3 2 2 2 2 6 2" xfId="6891" xr:uid="{00000000-0005-0000-0000-0000E51F0000}"/>
    <cellStyle name="20% - Accent6 3 2 2 2 2 6 2 2" xfId="6892" xr:uid="{00000000-0005-0000-0000-0000E61F0000}"/>
    <cellStyle name="20% - Accent6 3 2 2 2 2 6 3" xfId="6893" xr:uid="{00000000-0005-0000-0000-0000E71F0000}"/>
    <cellStyle name="20% - Accent6 3 2 2 2 2 6 4" xfId="6894" xr:uid="{00000000-0005-0000-0000-0000E81F0000}"/>
    <cellStyle name="20% - Accent6 3 2 2 2 2 7" xfId="6895" xr:uid="{00000000-0005-0000-0000-0000E91F0000}"/>
    <cellStyle name="20% - Accent6 3 2 2 2 2 7 2" xfId="6896" xr:uid="{00000000-0005-0000-0000-0000EA1F0000}"/>
    <cellStyle name="20% - Accent6 3 2 2 2 2 8" xfId="6897" xr:uid="{00000000-0005-0000-0000-0000EB1F0000}"/>
    <cellStyle name="20% - Accent6 3 2 2 2 2 9" xfId="6898" xr:uid="{00000000-0005-0000-0000-0000EC1F0000}"/>
    <cellStyle name="20% - Accent6 3 2 2 2 3" xfId="6899" xr:uid="{00000000-0005-0000-0000-0000ED1F0000}"/>
    <cellStyle name="20% - Accent6 3 2 2 2 3 2" xfId="6900" xr:uid="{00000000-0005-0000-0000-0000EE1F0000}"/>
    <cellStyle name="20% - Accent6 3 2 2 2 3 2 2" xfId="6901" xr:uid="{00000000-0005-0000-0000-0000EF1F0000}"/>
    <cellStyle name="20% - Accent6 3 2 2 2 3 2 2 2" xfId="6902" xr:uid="{00000000-0005-0000-0000-0000F01F0000}"/>
    <cellStyle name="20% - Accent6 3 2 2 2 3 2 3" xfId="6903" xr:uid="{00000000-0005-0000-0000-0000F11F0000}"/>
    <cellStyle name="20% - Accent6 3 2 2 2 3 2 4" xfId="6904" xr:uid="{00000000-0005-0000-0000-0000F21F0000}"/>
    <cellStyle name="20% - Accent6 3 2 2 2 3 2 5" xfId="37654" xr:uid="{00000000-0005-0000-0000-0000F31F0000}"/>
    <cellStyle name="20% - Accent6 3 2 2 2 3 3" xfId="6905" xr:uid="{00000000-0005-0000-0000-0000F41F0000}"/>
    <cellStyle name="20% - Accent6 3 2 2 2 3 3 2" xfId="6906" xr:uid="{00000000-0005-0000-0000-0000F51F0000}"/>
    <cellStyle name="20% - Accent6 3 2 2 2 3 4" xfId="6907" xr:uid="{00000000-0005-0000-0000-0000F61F0000}"/>
    <cellStyle name="20% - Accent6 3 2 2 2 3 5" xfId="6908" xr:uid="{00000000-0005-0000-0000-0000F71F0000}"/>
    <cellStyle name="20% - Accent6 3 2 2 2 3 6" xfId="37653" xr:uid="{00000000-0005-0000-0000-0000F81F0000}"/>
    <cellStyle name="20% - Accent6 3 2 2 2 4" xfId="6909" xr:uid="{00000000-0005-0000-0000-0000F91F0000}"/>
    <cellStyle name="20% - Accent6 3 2 2 2 4 2" xfId="6910" xr:uid="{00000000-0005-0000-0000-0000FA1F0000}"/>
    <cellStyle name="20% - Accent6 3 2 2 2 4 2 2" xfId="6911" xr:uid="{00000000-0005-0000-0000-0000FB1F0000}"/>
    <cellStyle name="20% - Accent6 3 2 2 2 4 2 2 2" xfId="6912" xr:uid="{00000000-0005-0000-0000-0000FC1F0000}"/>
    <cellStyle name="20% - Accent6 3 2 2 2 4 2 3" xfId="6913" xr:uid="{00000000-0005-0000-0000-0000FD1F0000}"/>
    <cellStyle name="20% - Accent6 3 2 2 2 4 2 4" xfId="6914" xr:uid="{00000000-0005-0000-0000-0000FE1F0000}"/>
    <cellStyle name="20% - Accent6 3 2 2 2 4 2 5" xfId="37656" xr:uid="{00000000-0005-0000-0000-0000FF1F0000}"/>
    <cellStyle name="20% - Accent6 3 2 2 2 4 3" xfId="6915" xr:uid="{00000000-0005-0000-0000-000000200000}"/>
    <cellStyle name="20% - Accent6 3 2 2 2 4 3 2" xfId="6916" xr:uid="{00000000-0005-0000-0000-000001200000}"/>
    <cellStyle name="20% - Accent6 3 2 2 2 4 4" xfId="6917" xr:uid="{00000000-0005-0000-0000-000002200000}"/>
    <cellStyle name="20% - Accent6 3 2 2 2 4 5" xfId="6918" xr:uid="{00000000-0005-0000-0000-000003200000}"/>
    <cellStyle name="20% - Accent6 3 2 2 2 4 6" xfId="37655" xr:uid="{00000000-0005-0000-0000-000004200000}"/>
    <cellStyle name="20% - Accent6 3 2 2 2 5" xfId="6919" xr:uid="{00000000-0005-0000-0000-000005200000}"/>
    <cellStyle name="20% - Accent6 3 2 2 2 5 2" xfId="6920" xr:uid="{00000000-0005-0000-0000-000006200000}"/>
    <cellStyle name="20% - Accent6 3 2 2 2 5 2 2" xfId="6921" xr:uid="{00000000-0005-0000-0000-000007200000}"/>
    <cellStyle name="20% - Accent6 3 2 2 2 5 3" xfId="6922" xr:uid="{00000000-0005-0000-0000-000008200000}"/>
    <cellStyle name="20% - Accent6 3 2 2 2 5 4" xfId="6923" xr:uid="{00000000-0005-0000-0000-000009200000}"/>
    <cellStyle name="20% - Accent6 3 2 2 2 5 5" xfId="37657" xr:uid="{00000000-0005-0000-0000-00000A200000}"/>
    <cellStyle name="20% - Accent6 3 2 2 2 6" xfId="6924" xr:uid="{00000000-0005-0000-0000-00000B200000}"/>
    <cellStyle name="20% - Accent6 3 2 2 2 6 2" xfId="6925" xr:uid="{00000000-0005-0000-0000-00000C200000}"/>
    <cellStyle name="20% - Accent6 3 2 2 2 6 2 2" xfId="6926" xr:uid="{00000000-0005-0000-0000-00000D200000}"/>
    <cellStyle name="20% - Accent6 3 2 2 2 6 3" xfId="6927" xr:uid="{00000000-0005-0000-0000-00000E200000}"/>
    <cellStyle name="20% - Accent6 3 2 2 2 6 4" xfId="6928" xr:uid="{00000000-0005-0000-0000-00000F200000}"/>
    <cellStyle name="20% - Accent6 3 2 2 2 7" xfId="6929" xr:uid="{00000000-0005-0000-0000-000010200000}"/>
    <cellStyle name="20% - Accent6 3 2 2 2 7 2" xfId="6930" xr:uid="{00000000-0005-0000-0000-000011200000}"/>
    <cellStyle name="20% - Accent6 3 2 2 2 7 2 2" xfId="6931" xr:uid="{00000000-0005-0000-0000-000012200000}"/>
    <cellStyle name="20% - Accent6 3 2 2 2 7 3" xfId="6932" xr:uid="{00000000-0005-0000-0000-000013200000}"/>
    <cellStyle name="20% - Accent6 3 2 2 2 7 4" xfId="6933" xr:uid="{00000000-0005-0000-0000-000014200000}"/>
    <cellStyle name="20% - Accent6 3 2 2 2 8" xfId="6934" xr:uid="{00000000-0005-0000-0000-000015200000}"/>
    <cellStyle name="20% - Accent6 3 2 2 2 8 2" xfId="6935" xr:uid="{00000000-0005-0000-0000-000016200000}"/>
    <cellStyle name="20% - Accent6 3 2 2 2 9" xfId="6936" xr:uid="{00000000-0005-0000-0000-000017200000}"/>
    <cellStyle name="20% - Accent6 3 2 2 3" xfId="6937" xr:uid="{00000000-0005-0000-0000-000018200000}"/>
    <cellStyle name="20% - Accent6 3 2 2 3 10" xfId="34640" xr:uid="{00000000-0005-0000-0000-000019200000}"/>
    <cellStyle name="20% - Accent6 3 2 2 3 2" xfId="6938" xr:uid="{00000000-0005-0000-0000-00001A200000}"/>
    <cellStyle name="20% - Accent6 3 2 2 3 2 2" xfId="6939" xr:uid="{00000000-0005-0000-0000-00001B200000}"/>
    <cellStyle name="20% - Accent6 3 2 2 3 2 2 2" xfId="6940" xr:uid="{00000000-0005-0000-0000-00001C200000}"/>
    <cellStyle name="20% - Accent6 3 2 2 3 2 2 2 2" xfId="6941" xr:uid="{00000000-0005-0000-0000-00001D200000}"/>
    <cellStyle name="20% - Accent6 3 2 2 3 2 2 3" xfId="6942" xr:uid="{00000000-0005-0000-0000-00001E200000}"/>
    <cellStyle name="20% - Accent6 3 2 2 3 2 2 4" xfId="6943" xr:uid="{00000000-0005-0000-0000-00001F200000}"/>
    <cellStyle name="20% - Accent6 3 2 2 3 2 2 5" xfId="37659" xr:uid="{00000000-0005-0000-0000-000020200000}"/>
    <cellStyle name="20% - Accent6 3 2 2 3 2 3" xfId="6944" xr:uid="{00000000-0005-0000-0000-000021200000}"/>
    <cellStyle name="20% - Accent6 3 2 2 3 2 3 2" xfId="6945" xr:uid="{00000000-0005-0000-0000-000022200000}"/>
    <cellStyle name="20% - Accent6 3 2 2 3 2 4" xfId="6946" xr:uid="{00000000-0005-0000-0000-000023200000}"/>
    <cellStyle name="20% - Accent6 3 2 2 3 2 5" xfId="6947" xr:uid="{00000000-0005-0000-0000-000024200000}"/>
    <cellStyle name="20% - Accent6 3 2 2 3 2 6" xfId="37658" xr:uid="{00000000-0005-0000-0000-000025200000}"/>
    <cellStyle name="20% - Accent6 3 2 2 3 3" xfId="6948" xr:uid="{00000000-0005-0000-0000-000026200000}"/>
    <cellStyle name="20% - Accent6 3 2 2 3 3 2" xfId="6949" xr:uid="{00000000-0005-0000-0000-000027200000}"/>
    <cellStyle name="20% - Accent6 3 2 2 3 3 2 2" xfId="6950" xr:uid="{00000000-0005-0000-0000-000028200000}"/>
    <cellStyle name="20% - Accent6 3 2 2 3 3 2 2 2" xfId="6951" xr:uid="{00000000-0005-0000-0000-000029200000}"/>
    <cellStyle name="20% - Accent6 3 2 2 3 3 2 3" xfId="6952" xr:uid="{00000000-0005-0000-0000-00002A200000}"/>
    <cellStyle name="20% - Accent6 3 2 2 3 3 2 4" xfId="6953" xr:uid="{00000000-0005-0000-0000-00002B200000}"/>
    <cellStyle name="20% - Accent6 3 2 2 3 3 2 5" xfId="37661" xr:uid="{00000000-0005-0000-0000-00002C200000}"/>
    <cellStyle name="20% - Accent6 3 2 2 3 3 3" xfId="6954" xr:uid="{00000000-0005-0000-0000-00002D200000}"/>
    <cellStyle name="20% - Accent6 3 2 2 3 3 3 2" xfId="6955" xr:uid="{00000000-0005-0000-0000-00002E200000}"/>
    <cellStyle name="20% - Accent6 3 2 2 3 3 4" xfId="6956" xr:uid="{00000000-0005-0000-0000-00002F200000}"/>
    <cellStyle name="20% - Accent6 3 2 2 3 3 5" xfId="6957" xr:uid="{00000000-0005-0000-0000-000030200000}"/>
    <cellStyle name="20% - Accent6 3 2 2 3 3 6" xfId="37660" xr:uid="{00000000-0005-0000-0000-000031200000}"/>
    <cellStyle name="20% - Accent6 3 2 2 3 4" xfId="6958" xr:uid="{00000000-0005-0000-0000-000032200000}"/>
    <cellStyle name="20% - Accent6 3 2 2 3 4 2" xfId="6959" xr:uid="{00000000-0005-0000-0000-000033200000}"/>
    <cellStyle name="20% - Accent6 3 2 2 3 4 2 2" xfId="6960" xr:uid="{00000000-0005-0000-0000-000034200000}"/>
    <cellStyle name="20% - Accent6 3 2 2 3 4 3" xfId="6961" xr:uid="{00000000-0005-0000-0000-000035200000}"/>
    <cellStyle name="20% - Accent6 3 2 2 3 4 4" xfId="6962" xr:uid="{00000000-0005-0000-0000-000036200000}"/>
    <cellStyle name="20% - Accent6 3 2 2 3 4 5" xfId="37662" xr:uid="{00000000-0005-0000-0000-000037200000}"/>
    <cellStyle name="20% - Accent6 3 2 2 3 5" xfId="6963" xr:uid="{00000000-0005-0000-0000-000038200000}"/>
    <cellStyle name="20% - Accent6 3 2 2 3 5 2" xfId="6964" xr:uid="{00000000-0005-0000-0000-000039200000}"/>
    <cellStyle name="20% - Accent6 3 2 2 3 5 2 2" xfId="6965" xr:uid="{00000000-0005-0000-0000-00003A200000}"/>
    <cellStyle name="20% - Accent6 3 2 2 3 5 3" xfId="6966" xr:uid="{00000000-0005-0000-0000-00003B200000}"/>
    <cellStyle name="20% - Accent6 3 2 2 3 5 4" xfId="6967" xr:uid="{00000000-0005-0000-0000-00003C200000}"/>
    <cellStyle name="20% - Accent6 3 2 2 3 6" xfId="6968" xr:uid="{00000000-0005-0000-0000-00003D200000}"/>
    <cellStyle name="20% - Accent6 3 2 2 3 6 2" xfId="6969" xr:uid="{00000000-0005-0000-0000-00003E200000}"/>
    <cellStyle name="20% - Accent6 3 2 2 3 6 2 2" xfId="6970" xr:uid="{00000000-0005-0000-0000-00003F200000}"/>
    <cellStyle name="20% - Accent6 3 2 2 3 6 3" xfId="6971" xr:uid="{00000000-0005-0000-0000-000040200000}"/>
    <cellStyle name="20% - Accent6 3 2 2 3 6 4" xfId="6972" xr:uid="{00000000-0005-0000-0000-000041200000}"/>
    <cellStyle name="20% - Accent6 3 2 2 3 7" xfId="6973" xr:uid="{00000000-0005-0000-0000-000042200000}"/>
    <cellStyle name="20% - Accent6 3 2 2 3 7 2" xfId="6974" xr:uid="{00000000-0005-0000-0000-000043200000}"/>
    <cellStyle name="20% - Accent6 3 2 2 3 8" xfId="6975" xr:uid="{00000000-0005-0000-0000-000044200000}"/>
    <cellStyle name="20% - Accent6 3 2 2 3 9" xfId="6976" xr:uid="{00000000-0005-0000-0000-000045200000}"/>
    <cellStyle name="20% - Accent6 3 2 2 4" xfId="6977" xr:uid="{00000000-0005-0000-0000-000046200000}"/>
    <cellStyle name="20% - Accent6 3 2 2 4 2" xfId="6978" xr:uid="{00000000-0005-0000-0000-000047200000}"/>
    <cellStyle name="20% - Accent6 3 2 2 4 2 2" xfId="6979" xr:uid="{00000000-0005-0000-0000-000048200000}"/>
    <cellStyle name="20% - Accent6 3 2 2 4 2 2 2" xfId="6980" xr:uid="{00000000-0005-0000-0000-000049200000}"/>
    <cellStyle name="20% - Accent6 3 2 2 4 2 3" xfId="6981" xr:uid="{00000000-0005-0000-0000-00004A200000}"/>
    <cellStyle name="20% - Accent6 3 2 2 4 2 4" xfId="6982" xr:uid="{00000000-0005-0000-0000-00004B200000}"/>
    <cellStyle name="20% - Accent6 3 2 2 4 2 5" xfId="37664" xr:uid="{00000000-0005-0000-0000-00004C200000}"/>
    <cellStyle name="20% - Accent6 3 2 2 4 3" xfId="6983" xr:uid="{00000000-0005-0000-0000-00004D200000}"/>
    <cellStyle name="20% - Accent6 3 2 2 4 3 2" xfId="6984" xr:uid="{00000000-0005-0000-0000-00004E200000}"/>
    <cellStyle name="20% - Accent6 3 2 2 4 4" xfId="6985" xr:uid="{00000000-0005-0000-0000-00004F200000}"/>
    <cellStyle name="20% - Accent6 3 2 2 4 5" xfId="6986" xr:uid="{00000000-0005-0000-0000-000050200000}"/>
    <cellStyle name="20% - Accent6 3 2 2 4 6" xfId="37663" xr:uid="{00000000-0005-0000-0000-000051200000}"/>
    <cellStyle name="20% - Accent6 3 2 2 5" xfId="6987" xr:uid="{00000000-0005-0000-0000-000052200000}"/>
    <cellStyle name="20% - Accent6 3 2 2 5 2" xfId="6988" xr:uid="{00000000-0005-0000-0000-000053200000}"/>
    <cellStyle name="20% - Accent6 3 2 2 5 2 2" xfId="6989" xr:uid="{00000000-0005-0000-0000-000054200000}"/>
    <cellStyle name="20% - Accent6 3 2 2 5 2 2 2" xfId="6990" xr:uid="{00000000-0005-0000-0000-000055200000}"/>
    <cellStyle name="20% - Accent6 3 2 2 5 2 3" xfId="6991" xr:uid="{00000000-0005-0000-0000-000056200000}"/>
    <cellStyle name="20% - Accent6 3 2 2 5 2 4" xfId="6992" xr:uid="{00000000-0005-0000-0000-000057200000}"/>
    <cellStyle name="20% - Accent6 3 2 2 5 2 5" xfId="37666" xr:uid="{00000000-0005-0000-0000-000058200000}"/>
    <cellStyle name="20% - Accent6 3 2 2 5 3" xfId="6993" xr:uid="{00000000-0005-0000-0000-000059200000}"/>
    <cellStyle name="20% - Accent6 3 2 2 5 3 2" xfId="6994" xr:uid="{00000000-0005-0000-0000-00005A200000}"/>
    <cellStyle name="20% - Accent6 3 2 2 5 4" xfId="6995" xr:uid="{00000000-0005-0000-0000-00005B200000}"/>
    <cellStyle name="20% - Accent6 3 2 2 5 5" xfId="6996" xr:uid="{00000000-0005-0000-0000-00005C200000}"/>
    <cellStyle name="20% - Accent6 3 2 2 5 6" xfId="37665" xr:uid="{00000000-0005-0000-0000-00005D200000}"/>
    <cellStyle name="20% - Accent6 3 2 2 6" xfId="6997" xr:uid="{00000000-0005-0000-0000-00005E200000}"/>
    <cellStyle name="20% - Accent6 3 2 2 6 2" xfId="6998" xr:uid="{00000000-0005-0000-0000-00005F200000}"/>
    <cellStyle name="20% - Accent6 3 2 2 6 2 2" xfId="6999" xr:uid="{00000000-0005-0000-0000-000060200000}"/>
    <cellStyle name="20% - Accent6 3 2 2 6 3" xfId="7000" xr:uid="{00000000-0005-0000-0000-000061200000}"/>
    <cellStyle name="20% - Accent6 3 2 2 6 4" xfId="7001" xr:uid="{00000000-0005-0000-0000-000062200000}"/>
    <cellStyle name="20% - Accent6 3 2 2 6 5" xfId="37667" xr:uid="{00000000-0005-0000-0000-000063200000}"/>
    <cellStyle name="20% - Accent6 3 2 2 7" xfId="7002" xr:uid="{00000000-0005-0000-0000-000064200000}"/>
    <cellStyle name="20% - Accent6 3 2 2 7 2" xfId="7003" xr:uid="{00000000-0005-0000-0000-000065200000}"/>
    <cellStyle name="20% - Accent6 3 2 2 7 2 2" xfId="7004" xr:uid="{00000000-0005-0000-0000-000066200000}"/>
    <cellStyle name="20% - Accent6 3 2 2 7 3" xfId="7005" xr:uid="{00000000-0005-0000-0000-000067200000}"/>
    <cellStyle name="20% - Accent6 3 2 2 7 4" xfId="7006" xr:uid="{00000000-0005-0000-0000-000068200000}"/>
    <cellStyle name="20% - Accent6 3 2 2 8" xfId="7007" xr:uid="{00000000-0005-0000-0000-000069200000}"/>
    <cellStyle name="20% - Accent6 3 2 2 8 2" xfId="7008" xr:uid="{00000000-0005-0000-0000-00006A200000}"/>
    <cellStyle name="20% - Accent6 3 2 2 8 2 2" xfId="7009" xr:uid="{00000000-0005-0000-0000-00006B200000}"/>
    <cellStyle name="20% - Accent6 3 2 2 8 3" xfId="7010" xr:uid="{00000000-0005-0000-0000-00006C200000}"/>
    <cellStyle name="20% - Accent6 3 2 2 8 4" xfId="7011" xr:uid="{00000000-0005-0000-0000-00006D200000}"/>
    <cellStyle name="20% - Accent6 3 2 2 9" xfId="7012" xr:uid="{00000000-0005-0000-0000-00006E200000}"/>
    <cellStyle name="20% - Accent6 3 2 2 9 2" xfId="7013" xr:uid="{00000000-0005-0000-0000-00006F200000}"/>
    <cellStyle name="20% - Accent6 3 2 3" xfId="7014" xr:uid="{00000000-0005-0000-0000-000070200000}"/>
    <cellStyle name="20% - Accent6 3 2 3 10" xfId="7015" xr:uid="{00000000-0005-0000-0000-000071200000}"/>
    <cellStyle name="20% - Accent6 3 2 3 11" xfId="34641" xr:uid="{00000000-0005-0000-0000-000072200000}"/>
    <cellStyle name="20% - Accent6 3 2 3 2" xfId="7016" xr:uid="{00000000-0005-0000-0000-000073200000}"/>
    <cellStyle name="20% - Accent6 3 2 3 2 10" xfId="34642" xr:uid="{00000000-0005-0000-0000-000074200000}"/>
    <cellStyle name="20% - Accent6 3 2 3 2 2" xfId="7017" xr:uid="{00000000-0005-0000-0000-000075200000}"/>
    <cellStyle name="20% - Accent6 3 2 3 2 2 2" xfId="7018" xr:uid="{00000000-0005-0000-0000-000076200000}"/>
    <cellStyle name="20% - Accent6 3 2 3 2 2 2 2" xfId="7019" xr:uid="{00000000-0005-0000-0000-000077200000}"/>
    <cellStyle name="20% - Accent6 3 2 3 2 2 2 2 2" xfId="7020" xr:uid="{00000000-0005-0000-0000-000078200000}"/>
    <cellStyle name="20% - Accent6 3 2 3 2 2 2 3" xfId="7021" xr:uid="{00000000-0005-0000-0000-000079200000}"/>
    <cellStyle name="20% - Accent6 3 2 3 2 2 2 4" xfId="7022" xr:uid="{00000000-0005-0000-0000-00007A200000}"/>
    <cellStyle name="20% - Accent6 3 2 3 2 2 2 5" xfId="37669" xr:uid="{00000000-0005-0000-0000-00007B200000}"/>
    <cellStyle name="20% - Accent6 3 2 3 2 2 3" xfId="7023" xr:uid="{00000000-0005-0000-0000-00007C200000}"/>
    <cellStyle name="20% - Accent6 3 2 3 2 2 3 2" xfId="7024" xr:uid="{00000000-0005-0000-0000-00007D200000}"/>
    <cellStyle name="20% - Accent6 3 2 3 2 2 4" xfId="7025" xr:uid="{00000000-0005-0000-0000-00007E200000}"/>
    <cellStyle name="20% - Accent6 3 2 3 2 2 5" xfId="7026" xr:uid="{00000000-0005-0000-0000-00007F200000}"/>
    <cellStyle name="20% - Accent6 3 2 3 2 2 6" xfId="37668" xr:uid="{00000000-0005-0000-0000-000080200000}"/>
    <cellStyle name="20% - Accent6 3 2 3 2 3" xfId="7027" xr:uid="{00000000-0005-0000-0000-000081200000}"/>
    <cellStyle name="20% - Accent6 3 2 3 2 3 2" xfId="7028" xr:uid="{00000000-0005-0000-0000-000082200000}"/>
    <cellStyle name="20% - Accent6 3 2 3 2 3 2 2" xfId="7029" xr:uid="{00000000-0005-0000-0000-000083200000}"/>
    <cellStyle name="20% - Accent6 3 2 3 2 3 2 2 2" xfId="7030" xr:uid="{00000000-0005-0000-0000-000084200000}"/>
    <cellStyle name="20% - Accent6 3 2 3 2 3 2 3" xfId="7031" xr:uid="{00000000-0005-0000-0000-000085200000}"/>
    <cellStyle name="20% - Accent6 3 2 3 2 3 2 4" xfId="7032" xr:uid="{00000000-0005-0000-0000-000086200000}"/>
    <cellStyle name="20% - Accent6 3 2 3 2 3 2 5" xfId="37671" xr:uid="{00000000-0005-0000-0000-000087200000}"/>
    <cellStyle name="20% - Accent6 3 2 3 2 3 3" xfId="7033" xr:uid="{00000000-0005-0000-0000-000088200000}"/>
    <cellStyle name="20% - Accent6 3 2 3 2 3 3 2" xfId="7034" xr:uid="{00000000-0005-0000-0000-000089200000}"/>
    <cellStyle name="20% - Accent6 3 2 3 2 3 4" xfId="7035" xr:uid="{00000000-0005-0000-0000-00008A200000}"/>
    <cellStyle name="20% - Accent6 3 2 3 2 3 5" xfId="7036" xr:uid="{00000000-0005-0000-0000-00008B200000}"/>
    <cellStyle name="20% - Accent6 3 2 3 2 3 6" xfId="37670" xr:uid="{00000000-0005-0000-0000-00008C200000}"/>
    <cellStyle name="20% - Accent6 3 2 3 2 4" xfId="7037" xr:uid="{00000000-0005-0000-0000-00008D200000}"/>
    <cellStyle name="20% - Accent6 3 2 3 2 4 2" xfId="7038" xr:uid="{00000000-0005-0000-0000-00008E200000}"/>
    <cellStyle name="20% - Accent6 3 2 3 2 4 2 2" xfId="7039" xr:uid="{00000000-0005-0000-0000-00008F200000}"/>
    <cellStyle name="20% - Accent6 3 2 3 2 4 3" xfId="7040" xr:uid="{00000000-0005-0000-0000-000090200000}"/>
    <cellStyle name="20% - Accent6 3 2 3 2 4 4" xfId="7041" xr:uid="{00000000-0005-0000-0000-000091200000}"/>
    <cellStyle name="20% - Accent6 3 2 3 2 4 5" xfId="37672" xr:uid="{00000000-0005-0000-0000-000092200000}"/>
    <cellStyle name="20% - Accent6 3 2 3 2 5" xfId="7042" xr:uid="{00000000-0005-0000-0000-000093200000}"/>
    <cellStyle name="20% - Accent6 3 2 3 2 5 2" xfId="7043" xr:uid="{00000000-0005-0000-0000-000094200000}"/>
    <cellStyle name="20% - Accent6 3 2 3 2 5 2 2" xfId="7044" xr:uid="{00000000-0005-0000-0000-000095200000}"/>
    <cellStyle name="20% - Accent6 3 2 3 2 5 3" xfId="7045" xr:uid="{00000000-0005-0000-0000-000096200000}"/>
    <cellStyle name="20% - Accent6 3 2 3 2 5 4" xfId="7046" xr:uid="{00000000-0005-0000-0000-000097200000}"/>
    <cellStyle name="20% - Accent6 3 2 3 2 6" xfId="7047" xr:uid="{00000000-0005-0000-0000-000098200000}"/>
    <cellStyle name="20% - Accent6 3 2 3 2 6 2" xfId="7048" xr:uid="{00000000-0005-0000-0000-000099200000}"/>
    <cellStyle name="20% - Accent6 3 2 3 2 6 2 2" xfId="7049" xr:uid="{00000000-0005-0000-0000-00009A200000}"/>
    <cellStyle name="20% - Accent6 3 2 3 2 6 3" xfId="7050" xr:uid="{00000000-0005-0000-0000-00009B200000}"/>
    <cellStyle name="20% - Accent6 3 2 3 2 6 4" xfId="7051" xr:uid="{00000000-0005-0000-0000-00009C200000}"/>
    <cellStyle name="20% - Accent6 3 2 3 2 7" xfId="7052" xr:uid="{00000000-0005-0000-0000-00009D200000}"/>
    <cellStyle name="20% - Accent6 3 2 3 2 7 2" xfId="7053" xr:uid="{00000000-0005-0000-0000-00009E200000}"/>
    <cellStyle name="20% - Accent6 3 2 3 2 8" xfId="7054" xr:uid="{00000000-0005-0000-0000-00009F200000}"/>
    <cellStyle name="20% - Accent6 3 2 3 2 9" xfId="7055" xr:uid="{00000000-0005-0000-0000-0000A0200000}"/>
    <cellStyle name="20% - Accent6 3 2 3 3" xfId="7056" xr:uid="{00000000-0005-0000-0000-0000A1200000}"/>
    <cellStyle name="20% - Accent6 3 2 3 3 2" xfId="7057" xr:uid="{00000000-0005-0000-0000-0000A2200000}"/>
    <cellStyle name="20% - Accent6 3 2 3 3 2 2" xfId="7058" xr:uid="{00000000-0005-0000-0000-0000A3200000}"/>
    <cellStyle name="20% - Accent6 3 2 3 3 2 2 2" xfId="7059" xr:uid="{00000000-0005-0000-0000-0000A4200000}"/>
    <cellStyle name="20% - Accent6 3 2 3 3 2 3" xfId="7060" xr:uid="{00000000-0005-0000-0000-0000A5200000}"/>
    <cellStyle name="20% - Accent6 3 2 3 3 2 4" xfId="7061" xr:uid="{00000000-0005-0000-0000-0000A6200000}"/>
    <cellStyle name="20% - Accent6 3 2 3 3 2 5" xfId="37674" xr:uid="{00000000-0005-0000-0000-0000A7200000}"/>
    <cellStyle name="20% - Accent6 3 2 3 3 3" xfId="7062" xr:uid="{00000000-0005-0000-0000-0000A8200000}"/>
    <cellStyle name="20% - Accent6 3 2 3 3 3 2" xfId="7063" xr:uid="{00000000-0005-0000-0000-0000A9200000}"/>
    <cellStyle name="20% - Accent6 3 2 3 3 4" xfId="7064" xr:uid="{00000000-0005-0000-0000-0000AA200000}"/>
    <cellStyle name="20% - Accent6 3 2 3 3 5" xfId="7065" xr:uid="{00000000-0005-0000-0000-0000AB200000}"/>
    <cellStyle name="20% - Accent6 3 2 3 3 6" xfId="37673" xr:uid="{00000000-0005-0000-0000-0000AC200000}"/>
    <cellStyle name="20% - Accent6 3 2 3 4" xfId="7066" xr:uid="{00000000-0005-0000-0000-0000AD200000}"/>
    <cellStyle name="20% - Accent6 3 2 3 4 2" xfId="7067" xr:uid="{00000000-0005-0000-0000-0000AE200000}"/>
    <cellStyle name="20% - Accent6 3 2 3 4 2 2" xfId="7068" xr:uid="{00000000-0005-0000-0000-0000AF200000}"/>
    <cellStyle name="20% - Accent6 3 2 3 4 2 2 2" xfId="7069" xr:uid="{00000000-0005-0000-0000-0000B0200000}"/>
    <cellStyle name="20% - Accent6 3 2 3 4 2 3" xfId="7070" xr:uid="{00000000-0005-0000-0000-0000B1200000}"/>
    <cellStyle name="20% - Accent6 3 2 3 4 2 4" xfId="7071" xr:uid="{00000000-0005-0000-0000-0000B2200000}"/>
    <cellStyle name="20% - Accent6 3 2 3 4 2 5" xfId="37676" xr:uid="{00000000-0005-0000-0000-0000B3200000}"/>
    <cellStyle name="20% - Accent6 3 2 3 4 3" xfId="7072" xr:uid="{00000000-0005-0000-0000-0000B4200000}"/>
    <cellStyle name="20% - Accent6 3 2 3 4 3 2" xfId="7073" xr:uid="{00000000-0005-0000-0000-0000B5200000}"/>
    <cellStyle name="20% - Accent6 3 2 3 4 4" xfId="7074" xr:uid="{00000000-0005-0000-0000-0000B6200000}"/>
    <cellStyle name="20% - Accent6 3 2 3 4 5" xfId="7075" xr:uid="{00000000-0005-0000-0000-0000B7200000}"/>
    <cellStyle name="20% - Accent6 3 2 3 4 6" xfId="37675" xr:uid="{00000000-0005-0000-0000-0000B8200000}"/>
    <cellStyle name="20% - Accent6 3 2 3 5" xfId="7076" xr:uid="{00000000-0005-0000-0000-0000B9200000}"/>
    <cellStyle name="20% - Accent6 3 2 3 5 2" xfId="7077" xr:uid="{00000000-0005-0000-0000-0000BA200000}"/>
    <cellStyle name="20% - Accent6 3 2 3 5 2 2" xfId="7078" xr:uid="{00000000-0005-0000-0000-0000BB200000}"/>
    <cellStyle name="20% - Accent6 3 2 3 5 3" xfId="7079" xr:uid="{00000000-0005-0000-0000-0000BC200000}"/>
    <cellStyle name="20% - Accent6 3 2 3 5 4" xfId="7080" xr:uid="{00000000-0005-0000-0000-0000BD200000}"/>
    <cellStyle name="20% - Accent6 3 2 3 5 5" xfId="37677" xr:uid="{00000000-0005-0000-0000-0000BE200000}"/>
    <cellStyle name="20% - Accent6 3 2 3 6" xfId="7081" xr:uid="{00000000-0005-0000-0000-0000BF200000}"/>
    <cellStyle name="20% - Accent6 3 2 3 6 2" xfId="7082" xr:uid="{00000000-0005-0000-0000-0000C0200000}"/>
    <cellStyle name="20% - Accent6 3 2 3 6 2 2" xfId="7083" xr:uid="{00000000-0005-0000-0000-0000C1200000}"/>
    <cellStyle name="20% - Accent6 3 2 3 6 3" xfId="7084" xr:uid="{00000000-0005-0000-0000-0000C2200000}"/>
    <cellStyle name="20% - Accent6 3 2 3 6 4" xfId="7085" xr:uid="{00000000-0005-0000-0000-0000C3200000}"/>
    <cellStyle name="20% - Accent6 3 2 3 7" xfId="7086" xr:uid="{00000000-0005-0000-0000-0000C4200000}"/>
    <cellStyle name="20% - Accent6 3 2 3 7 2" xfId="7087" xr:uid="{00000000-0005-0000-0000-0000C5200000}"/>
    <cellStyle name="20% - Accent6 3 2 3 7 2 2" xfId="7088" xr:uid="{00000000-0005-0000-0000-0000C6200000}"/>
    <cellStyle name="20% - Accent6 3 2 3 7 3" xfId="7089" xr:uid="{00000000-0005-0000-0000-0000C7200000}"/>
    <cellStyle name="20% - Accent6 3 2 3 7 4" xfId="7090" xr:uid="{00000000-0005-0000-0000-0000C8200000}"/>
    <cellStyle name="20% - Accent6 3 2 3 8" xfId="7091" xr:uid="{00000000-0005-0000-0000-0000C9200000}"/>
    <cellStyle name="20% - Accent6 3 2 3 8 2" xfId="7092" xr:uid="{00000000-0005-0000-0000-0000CA200000}"/>
    <cellStyle name="20% - Accent6 3 2 3 9" xfId="7093" xr:uid="{00000000-0005-0000-0000-0000CB200000}"/>
    <cellStyle name="20% - Accent6 3 2 4" xfId="7094" xr:uid="{00000000-0005-0000-0000-0000CC200000}"/>
    <cellStyle name="20% - Accent6 3 2 4 10" xfId="34643" xr:uid="{00000000-0005-0000-0000-0000CD200000}"/>
    <cellStyle name="20% - Accent6 3 2 4 2" xfId="7095" xr:uid="{00000000-0005-0000-0000-0000CE200000}"/>
    <cellStyle name="20% - Accent6 3 2 4 2 2" xfId="7096" xr:uid="{00000000-0005-0000-0000-0000CF200000}"/>
    <cellStyle name="20% - Accent6 3 2 4 2 2 2" xfId="7097" xr:uid="{00000000-0005-0000-0000-0000D0200000}"/>
    <cellStyle name="20% - Accent6 3 2 4 2 2 2 2" xfId="7098" xr:uid="{00000000-0005-0000-0000-0000D1200000}"/>
    <cellStyle name="20% - Accent6 3 2 4 2 2 3" xfId="7099" xr:uid="{00000000-0005-0000-0000-0000D2200000}"/>
    <cellStyle name="20% - Accent6 3 2 4 2 2 4" xfId="7100" xr:uid="{00000000-0005-0000-0000-0000D3200000}"/>
    <cellStyle name="20% - Accent6 3 2 4 2 2 5" xfId="37679" xr:uid="{00000000-0005-0000-0000-0000D4200000}"/>
    <cellStyle name="20% - Accent6 3 2 4 2 3" xfId="7101" xr:uid="{00000000-0005-0000-0000-0000D5200000}"/>
    <cellStyle name="20% - Accent6 3 2 4 2 3 2" xfId="7102" xr:uid="{00000000-0005-0000-0000-0000D6200000}"/>
    <cellStyle name="20% - Accent6 3 2 4 2 4" xfId="7103" xr:uid="{00000000-0005-0000-0000-0000D7200000}"/>
    <cellStyle name="20% - Accent6 3 2 4 2 5" xfId="7104" xr:uid="{00000000-0005-0000-0000-0000D8200000}"/>
    <cellStyle name="20% - Accent6 3 2 4 2 6" xfId="37678" xr:uid="{00000000-0005-0000-0000-0000D9200000}"/>
    <cellStyle name="20% - Accent6 3 2 4 3" xfId="7105" xr:uid="{00000000-0005-0000-0000-0000DA200000}"/>
    <cellStyle name="20% - Accent6 3 2 4 3 2" xfId="7106" xr:uid="{00000000-0005-0000-0000-0000DB200000}"/>
    <cellStyle name="20% - Accent6 3 2 4 3 2 2" xfId="7107" xr:uid="{00000000-0005-0000-0000-0000DC200000}"/>
    <cellStyle name="20% - Accent6 3 2 4 3 2 2 2" xfId="7108" xr:uid="{00000000-0005-0000-0000-0000DD200000}"/>
    <cellStyle name="20% - Accent6 3 2 4 3 2 3" xfId="7109" xr:uid="{00000000-0005-0000-0000-0000DE200000}"/>
    <cellStyle name="20% - Accent6 3 2 4 3 2 4" xfId="7110" xr:uid="{00000000-0005-0000-0000-0000DF200000}"/>
    <cellStyle name="20% - Accent6 3 2 4 3 2 5" xfId="37681" xr:uid="{00000000-0005-0000-0000-0000E0200000}"/>
    <cellStyle name="20% - Accent6 3 2 4 3 3" xfId="7111" xr:uid="{00000000-0005-0000-0000-0000E1200000}"/>
    <cellStyle name="20% - Accent6 3 2 4 3 3 2" xfId="7112" xr:uid="{00000000-0005-0000-0000-0000E2200000}"/>
    <cellStyle name="20% - Accent6 3 2 4 3 4" xfId="7113" xr:uid="{00000000-0005-0000-0000-0000E3200000}"/>
    <cellStyle name="20% - Accent6 3 2 4 3 5" xfId="7114" xr:uid="{00000000-0005-0000-0000-0000E4200000}"/>
    <cellStyle name="20% - Accent6 3 2 4 3 6" xfId="37680" xr:uid="{00000000-0005-0000-0000-0000E5200000}"/>
    <cellStyle name="20% - Accent6 3 2 4 4" xfId="7115" xr:uid="{00000000-0005-0000-0000-0000E6200000}"/>
    <cellStyle name="20% - Accent6 3 2 4 4 2" xfId="7116" xr:uid="{00000000-0005-0000-0000-0000E7200000}"/>
    <cellStyle name="20% - Accent6 3 2 4 4 2 2" xfId="7117" xr:uid="{00000000-0005-0000-0000-0000E8200000}"/>
    <cellStyle name="20% - Accent6 3 2 4 4 3" xfId="7118" xr:uid="{00000000-0005-0000-0000-0000E9200000}"/>
    <cellStyle name="20% - Accent6 3 2 4 4 4" xfId="7119" xr:uid="{00000000-0005-0000-0000-0000EA200000}"/>
    <cellStyle name="20% - Accent6 3 2 4 4 5" xfId="37682" xr:uid="{00000000-0005-0000-0000-0000EB200000}"/>
    <cellStyle name="20% - Accent6 3 2 4 5" xfId="7120" xr:uid="{00000000-0005-0000-0000-0000EC200000}"/>
    <cellStyle name="20% - Accent6 3 2 4 5 2" xfId="7121" xr:uid="{00000000-0005-0000-0000-0000ED200000}"/>
    <cellStyle name="20% - Accent6 3 2 4 5 2 2" xfId="7122" xr:uid="{00000000-0005-0000-0000-0000EE200000}"/>
    <cellStyle name="20% - Accent6 3 2 4 5 3" xfId="7123" xr:uid="{00000000-0005-0000-0000-0000EF200000}"/>
    <cellStyle name="20% - Accent6 3 2 4 5 4" xfId="7124" xr:uid="{00000000-0005-0000-0000-0000F0200000}"/>
    <cellStyle name="20% - Accent6 3 2 4 6" xfId="7125" xr:uid="{00000000-0005-0000-0000-0000F1200000}"/>
    <cellStyle name="20% - Accent6 3 2 4 6 2" xfId="7126" xr:uid="{00000000-0005-0000-0000-0000F2200000}"/>
    <cellStyle name="20% - Accent6 3 2 4 6 2 2" xfId="7127" xr:uid="{00000000-0005-0000-0000-0000F3200000}"/>
    <cellStyle name="20% - Accent6 3 2 4 6 3" xfId="7128" xr:uid="{00000000-0005-0000-0000-0000F4200000}"/>
    <cellStyle name="20% - Accent6 3 2 4 6 4" xfId="7129" xr:uid="{00000000-0005-0000-0000-0000F5200000}"/>
    <cellStyle name="20% - Accent6 3 2 4 7" xfId="7130" xr:uid="{00000000-0005-0000-0000-0000F6200000}"/>
    <cellStyle name="20% - Accent6 3 2 4 7 2" xfId="7131" xr:uid="{00000000-0005-0000-0000-0000F7200000}"/>
    <cellStyle name="20% - Accent6 3 2 4 8" xfId="7132" xr:uid="{00000000-0005-0000-0000-0000F8200000}"/>
    <cellStyle name="20% - Accent6 3 2 4 9" xfId="7133" xr:uid="{00000000-0005-0000-0000-0000F9200000}"/>
    <cellStyle name="20% - Accent6 3 2 5" xfId="7134" xr:uid="{00000000-0005-0000-0000-0000FA200000}"/>
    <cellStyle name="20% - Accent6 3 2 5 2" xfId="7135" xr:uid="{00000000-0005-0000-0000-0000FB200000}"/>
    <cellStyle name="20% - Accent6 3 2 5 2 2" xfId="7136" xr:uid="{00000000-0005-0000-0000-0000FC200000}"/>
    <cellStyle name="20% - Accent6 3 2 5 2 2 2" xfId="7137" xr:uid="{00000000-0005-0000-0000-0000FD200000}"/>
    <cellStyle name="20% - Accent6 3 2 5 2 3" xfId="7138" xr:uid="{00000000-0005-0000-0000-0000FE200000}"/>
    <cellStyle name="20% - Accent6 3 2 5 2 4" xfId="7139" xr:uid="{00000000-0005-0000-0000-0000FF200000}"/>
    <cellStyle name="20% - Accent6 3 2 5 2 5" xfId="37684" xr:uid="{00000000-0005-0000-0000-000000210000}"/>
    <cellStyle name="20% - Accent6 3 2 5 3" xfId="7140" xr:uid="{00000000-0005-0000-0000-000001210000}"/>
    <cellStyle name="20% - Accent6 3 2 5 3 2" xfId="7141" xr:uid="{00000000-0005-0000-0000-000002210000}"/>
    <cellStyle name="20% - Accent6 3 2 5 4" xfId="7142" xr:uid="{00000000-0005-0000-0000-000003210000}"/>
    <cellStyle name="20% - Accent6 3 2 5 5" xfId="7143" xr:uid="{00000000-0005-0000-0000-000004210000}"/>
    <cellStyle name="20% - Accent6 3 2 5 6" xfId="37683" xr:uid="{00000000-0005-0000-0000-000005210000}"/>
    <cellStyle name="20% - Accent6 3 2 6" xfId="7144" xr:uid="{00000000-0005-0000-0000-000006210000}"/>
    <cellStyle name="20% - Accent6 3 2 6 2" xfId="7145" xr:uid="{00000000-0005-0000-0000-000007210000}"/>
    <cellStyle name="20% - Accent6 3 2 6 2 2" xfId="7146" xr:uid="{00000000-0005-0000-0000-000008210000}"/>
    <cellStyle name="20% - Accent6 3 2 6 2 2 2" xfId="7147" xr:uid="{00000000-0005-0000-0000-000009210000}"/>
    <cellStyle name="20% - Accent6 3 2 6 2 3" xfId="7148" xr:uid="{00000000-0005-0000-0000-00000A210000}"/>
    <cellStyle name="20% - Accent6 3 2 6 2 4" xfId="7149" xr:uid="{00000000-0005-0000-0000-00000B210000}"/>
    <cellStyle name="20% - Accent6 3 2 6 2 5" xfId="37686" xr:uid="{00000000-0005-0000-0000-00000C210000}"/>
    <cellStyle name="20% - Accent6 3 2 6 3" xfId="7150" xr:uid="{00000000-0005-0000-0000-00000D210000}"/>
    <cellStyle name="20% - Accent6 3 2 6 3 2" xfId="7151" xr:uid="{00000000-0005-0000-0000-00000E210000}"/>
    <cellStyle name="20% - Accent6 3 2 6 4" xfId="7152" xr:uid="{00000000-0005-0000-0000-00000F210000}"/>
    <cellStyle name="20% - Accent6 3 2 6 5" xfId="7153" xr:uid="{00000000-0005-0000-0000-000010210000}"/>
    <cellStyle name="20% - Accent6 3 2 6 6" xfId="37685" xr:uid="{00000000-0005-0000-0000-000011210000}"/>
    <cellStyle name="20% - Accent6 3 2 7" xfId="7154" xr:uid="{00000000-0005-0000-0000-000012210000}"/>
    <cellStyle name="20% - Accent6 3 2 7 2" xfId="7155" xr:uid="{00000000-0005-0000-0000-000013210000}"/>
    <cellStyle name="20% - Accent6 3 2 7 2 2" xfId="7156" xr:uid="{00000000-0005-0000-0000-000014210000}"/>
    <cellStyle name="20% - Accent6 3 2 7 3" xfId="7157" xr:uid="{00000000-0005-0000-0000-000015210000}"/>
    <cellStyle name="20% - Accent6 3 2 7 4" xfId="7158" xr:uid="{00000000-0005-0000-0000-000016210000}"/>
    <cellStyle name="20% - Accent6 3 2 7 5" xfId="37687" xr:uid="{00000000-0005-0000-0000-000017210000}"/>
    <cellStyle name="20% - Accent6 3 2 8" xfId="7159" xr:uid="{00000000-0005-0000-0000-000018210000}"/>
    <cellStyle name="20% - Accent6 3 2 8 2" xfId="7160" xr:uid="{00000000-0005-0000-0000-000019210000}"/>
    <cellStyle name="20% - Accent6 3 2 8 2 2" xfId="7161" xr:uid="{00000000-0005-0000-0000-00001A210000}"/>
    <cellStyle name="20% - Accent6 3 2 8 3" xfId="7162" xr:uid="{00000000-0005-0000-0000-00001B210000}"/>
    <cellStyle name="20% - Accent6 3 2 8 4" xfId="7163" xr:uid="{00000000-0005-0000-0000-00001C210000}"/>
    <cellStyle name="20% - Accent6 3 2 9" xfId="7164" xr:uid="{00000000-0005-0000-0000-00001D210000}"/>
    <cellStyle name="20% - Accent6 3 2 9 2" xfId="7165" xr:uid="{00000000-0005-0000-0000-00001E210000}"/>
    <cellStyle name="20% - Accent6 3 2 9 2 2" xfId="7166" xr:uid="{00000000-0005-0000-0000-00001F210000}"/>
    <cellStyle name="20% - Accent6 3 2 9 3" xfId="7167" xr:uid="{00000000-0005-0000-0000-000020210000}"/>
    <cellStyle name="20% - Accent6 3 2 9 4" xfId="7168" xr:uid="{00000000-0005-0000-0000-000021210000}"/>
    <cellStyle name="20% - Accent6 3 3" xfId="7169" xr:uid="{00000000-0005-0000-0000-000022210000}"/>
    <cellStyle name="20% - Accent6 3 4" xfId="7170" xr:uid="{00000000-0005-0000-0000-000023210000}"/>
    <cellStyle name="20% - Accent6 3 5" xfId="7171" xr:uid="{00000000-0005-0000-0000-000024210000}"/>
    <cellStyle name="20% - Accent6 4" xfId="7172" xr:uid="{00000000-0005-0000-0000-000025210000}"/>
    <cellStyle name="20% - Accent6 4 10" xfId="7173" xr:uid="{00000000-0005-0000-0000-000026210000}"/>
    <cellStyle name="20% - Accent6 4 10 2" xfId="7174" xr:uid="{00000000-0005-0000-0000-000027210000}"/>
    <cellStyle name="20% - Accent6 4 11" xfId="7175" xr:uid="{00000000-0005-0000-0000-000028210000}"/>
    <cellStyle name="20% - Accent6 4 12" xfId="7176" xr:uid="{00000000-0005-0000-0000-000029210000}"/>
    <cellStyle name="20% - Accent6 4 13" xfId="34644" xr:uid="{00000000-0005-0000-0000-00002A210000}"/>
    <cellStyle name="20% - Accent6 4 2" xfId="7177" xr:uid="{00000000-0005-0000-0000-00002B210000}"/>
    <cellStyle name="20% - Accent6 4 2 10" xfId="7178" xr:uid="{00000000-0005-0000-0000-00002C210000}"/>
    <cellStyle name="20% - Accent6 4 2 11" xfId="7179" xr:uid="{00000000-0005-0000-0000-00002D210000}"/>
    <cellStyle name="20% - Accent6 4 2 12" xfId="34645" xr:uid="{00000000-0005-0000-0000-00002E210000}"/>
    <cellStyle name="20% - Accent6 4 2 2" xfId="7180" xr:uid="{00000000-0005-0000-0000-00002F210000}"/>
    <cellStyle name="20% - Accent6 4 2 2 10" xfId="7181" xr:uid="{00000000-0005-0000-0000-000030210000}"/>
    <cellStyle name="20% - Accent6 4 2 2 11" xfId="34646" xr:uid="{00000000-0005-0000-0000-000031210000}"/>
    <cellStyle name="20% - Accent6 4 2 2 2" xfId="7182" xr:uid="{00000000-0005-0000-0000-000032210000}"/>
    <cellStyle name="20% - Accent6 4 2 2 2 10" xfId="34647" xr:uid="{00000000-0005-0000-0000-000033210000}"/>
    <cellStyle name="20% - Accent6 4 2 2 2 2" xfId="7183" xr:uid="{00000000-0005-0000-0000-000034210000}"/>
    <cellStyle name="20% - Accent6 4 2 2 2 2 2" xfId="7184" xr:uid="{00000000-0005-0000-0000-000035210000}"/>
    <cellStyle name="20% - Accent6 4 2 2 2 2 2 2" xfId="7185" xr:uid="{00000000-0005-0000-0000-000036210000}"/>
    <cellStyle name="20% - Accent6 4 2 2 2 2 2 2 2" xfId="7186" xr:uid="{00000000-0005-0000-0000-000037210000}"/>
    <cellStyle name="20% - Accent6 4 2 2 2 2 2 3" xfId="7187" xr:uid="{00000000-0005-0000-0000-000038210000}"/>
    <cellStyle name="20% - Accent6 4 2 2 2 2 2 4" xfId="7188" xr:uid="{00000000-0005-0000-0000-000039210000}"/>
    <cellStyle name="20% - Accent6 4 2 2 2 2 2 5" xfId="37689" xr:uid="{00000000-0005-0000-0000-00003A210000}"/>
    <cellStyle name="20% - Accent6 4 2 2 2 2 3" xfId="7189" xr:uid="{00000000-0005-0000-0000-00003B210000}"/>
    <cellStyle name="20% - Accent6 4 2 2 2 2 3 2" xfId="7190" xr:uid="{00000000-0005-0000-0000-00003C210000}"/>
    <cellStyle name="20% - Accent6 4 2 2 2 2 4" xfId="7191" xr:uid="{00000000-0005-0000-0000-00003D210000}"/>
    <cellStyle name="20% - Accent6 4 2 2 2 2 5" xfId="7192" xr:uid="{00000000-0005-0000-0000-00003E210000}"/>
    <cellStyle name="20% - Accent6 4 2 2 2 2 6" xfId="37688" xr:uid="{00000000-0005-0000-0000-00003F210000}"/>
    <cellStyle name="20% - Accent6 4 2 2 2 3" xfId="7193" xr:uid="{00000000-0005-0000-0000-000040210000}"/>
    <cellStyle name="20% - Accent6 4 2 2 2 3 2" xfId="7194" xr:uid="{00000000-0005-0000-0000-000041210000}"/>
    <cellStyle name="20% - Accent6 4 2 2 2 3 2 2" xfId="7195" xr:uid="{00000000-0005-0000-0000-000042210000}"/>
    <cellStyle name="20% - Accent6 4 2 2 2 3 2 2 2" xfId="7196" xr:uid="{00000000-0005-0000-0000-000043210000}"/>
    <cellStyle name="20% - Accent6 4 2 2 2 3 2 3" xfId="7197" xr:uid="{00000000-0005-0000-0000-000044210000}"/>
    <cellStyle name="20% - Accent6 4 2 2 2 3 2 4" xfId="7198" xr:uid="{00000000-0005-0000-0000-000045210000}"/>
    <cellStyle name="20% - Accent6 4 2 2 2 3 2 5" xfId="37691" xr:uid="{00000000-0005-0000-0000-000046210000}"/>
    <cellStyle name="20% - Accent6 4 2 2 2 3 3" xfId="7199" xr:uid="{00000000-0005-0000-0000-000047210000}"/>
    <cellStyle name="20% - Accent6 4 2 2 2 3 3 2" xfId="7200" xr:uid="{00000000-0005-0000-0000-000048210000}"/>
    <cellStyle name="20% - Accent6 4 2 2 2 3 4" xfId="7201" xr:uid="{00000000-0005-0000-0000-000049210000}"/>
    <cellStyle name="20% - Accent6 4 2 2 2 3 5" xfId="7202" xr:uid="{00000000-0005-0000-0000-00004A210000}"/>
    <cellStyle name="20% - Accent6 4 2 2 2 3 6" xfId="37690" xr:uid="{00000000-0005-0000-0000-00004B210000}"/>
    <cellStyle name="20% - Accent6 4 2 2 2 4" xfId="7203" xr:uid="{00000000-0005-0000-0000-00004C210000}"/>
    <cellStyle name="20% - Accent6 4 2 2 2 4 2" xfId="7204" xr:uid="{00000000-0005-0000-0000-00004D210000}"/>
    <cellStyle name="20% - Accent6 4 2 2 2 4 2 2" xfId="7205" xr:uid="{00000000-0005-0000-0000-00004E210000}"/>
    <cellStyle name="20% - Accent6 4 2 2 2 4 3" xfId="7206" xr:uid="{00000000-0005-0000-0000-00004F210000}"/>
    <cellStyle name="20% - Accent6 4 2 2 2 4 4" xfId="7207" xr:uid="{00000000-0005-0000-0000-000050210000}"/>
    <cellStyle name="20% - Accent6 4 2 2 2 4 5" xfId="37692" xr:uid="{00000000-0005-0000-0000-000051210000}"/>
    <cellStyle name="20% - Accent6 4 2 2 2 5" xfId="7208" xr:uid="{00000000-0005-0000-0000-000052210000}"/>
    <cellStyle name="20% - Accent6 4 2 2 2 5 2" xfId="7209" xr:uid="{00000000-0005-0000-0000-000053210000}"/>
    <cellStyle name="20% - Accent6 4 2 2 2 5 2 2" xfId="7210" xr:uid="{00000000-0005-0000-0000-000054210000}"/>
    <cellStyle name="20% - Accent6 4 2 2 2 5 3" xfId="7211" xr:uid="{00000000-0005-0000-0000-000055210000}"/>
    <cellStyle name="20% - Accent6 4 2 2 2 5 4" xfId="7212" xr:uid="{00000000-0005-0000-0000-000056210000}"/>
    <cellStyle name="20% - Accent6 4 2 2 2 6" xfId="7213" xr:uid="{00000000-0005-0000-0000-000057210000}"/>
    <cellStyle name="20% - Accent6 4 2 2 2 6 2" xfId="7214" xr:uid="{00000000-0005-0000-0000-000058210000}"/>
    <cellStyle name="20% - Accent6 4 2 2 2 6 2 2" xfId="7215" xr:uid="{00000000-0005-0000-0000-000059210000}"/>
    <cellStyle name="20% - Accent6 4 2 2 2 6 3" xfId="7216" xr:uid="{00000000-0005-0000-0000-00005A210000}"/>
    <cellStyle name="20% - Accent6 4 2 2 2 6 4" xfId="7217" xr:uid="{00000000-0005-0000-0000-00005B210000}"/>
    <cellStyle name="20% - Accent6 4 2 2 2 7" xfId="7218" xr:uid="{00000000-0005-0000-0000-00005C210000}"/>
    <cellStyle name="20% - Accent6 4 2 2 2 7 2" xfId="7219" xr:uid="{00000000-0005-0000-0000-00005D210000}"/>
    <cellStyle name="20% - Accent6 4 2 2 2 8" xfId="7220" xr:uid="{00000000-0005-0000-0000-00005E210000}"/>
    <cellStyle name="20% - Accent6 4 2 2 2 9" xfId="7221" xr:uid="{00000000-0005-0000-0000-00005F210000}"/>
    <cellStyle name="20% - Accent6 4 2 2 3" xfId="7222" xr:uid="{00000000-0005-0000-0000-000060210000}"/>
    <cellStyle name="20% - Accent6 4 2 2 3 2" xfId="7223" xr:uid="{00000000-0005-0000-0000-000061210000}"/>
    <cellStyle name="20% - Accent6 4 2 2 3 2 2" xfId="7224" xr:uid="{00000000-0005-0000-0000-000062210000}"/>
    <cellStyle name="20% - Accent6 4 2 2 3 2 2 2" xfId="7225" xr:uid="{00000000-0005-0000-0000-000063210000}"/>
    <cellStyle name="20% - Accent6 4 2 2 3 2 3" xfId="7226" xr:uid="{00000000-0005-0000-0000-000064210000}"/>
    <cellStyle name="20% - Accent6 4 2 2 3 2 4" xfId="7227" xr:uid="{00000000-0005-0000-0000-000065210000}"/>
    <cellStyle name="20% - Accent6 4 2 2 3 2 5" xfId="37694" xr:uid="{00000000-0005-0000-0000-000066210000}"/>
    <cellStyle name="20% - Accent6 4 2 2 3 3" xfId="7228" xr:uid="{00000000-0005-0000-0000-000067210000}"/>
    <cellStyle name="20% - Accent6 4 2 2 3 3 2" xfId="7229" xr:uid="{00000000-0005-0000-0000-000068210000}"/>
    <cellStyle name="20% - Accent6 4 2 2 3 4" xfId="7230" xr:uid="{00000000-0005-0000-0000-000069210000}"/>
    <cellStyle name="20% - Accent6 4 2 2 3 5" xfId="7231" xr:uid="{00000000-0005-0000-0000-00006A210000}"/>
    <cellStyle name="20% - Accent6 4 2 2 3 6" xfId="37693" xr:uid="{00000000-0005-0000-0000-00006B210000}"/>
    <cellStyle name="20% - Accent6 4 2 2 4" xfId="7232" xr:uid="{00000000-0005-0000-0000-00006C210000}"/>
    <cellStyle name="20% - Accent6 4 2 2 4 2" xfId="7233" xr:uid="{00000000-0005-0000-0000-00006D210000}"/>
    <cellStyle name="20% - Accent6 4 2 2 4 2 2" xfId="7234" xr:uid="{00000000-0005-0000-0000-00006E210000}"/>
    <cellStyle name="20% - Accent6 4 2 2 4 2 2 2" xfId="7235" xr:uid="{00000000-0005-0000-0000-00006F210000}"/>
    <cellStyle name="20% - Accent6 4 2 2 4 2 3" xfId="7236" xr:uid="{00000000-0005-0000-0000-000070210000}"/>
    <cellStyle name="20% - Accent6 4 2 2 4 2 4" xfId="7237" xr:uid="{00000000-0005-0000-0000-000071210000}"/>
    <cellStyle name="20% - Accent6 4 2 2 4 2 5" xfId="37696" xr:uid="{00000000-0005-0000-0000-000072210000}"/>
    <cellStyle name="20% - Accent6 4 2 2 4 3" xfId="7238" xr:uid="{00000000-0005-0000-0000-000073210000}"/>
    <cellStyle name="20% - Accent6 4 2 2 4 3 2" xfId="7239" xr:uid="{00000000-0005-0000-0000-000074210000}"/>
    <cellStyle name="20% - Accent6 4 2 2 4 4" xfId="7240" xr:uid="{00000000-0005-0000-0000-000075210000}"/>
    <cellStyle name="20% - Accent6 4 2 2 4 5" xfId="7241" xr:uid="{00000000-0005-0000-0000-000076210000}"/>
    <cellStyle name="20% - Accent6 4 2 2 4 6" xfId="37695" xr:uid="{00000000-0005-0000-0000-000077210000}"/>
    <cellStyle name="20% - Accent6 4 2 2 5" xfId="7242" xr:uid="{00000000-0005-0000-0000-000078210000}"/>
    <cellStyle name="20% - Accent6 4 2 2 5 2" xfId="7243" xr:uid="{00000000-0005-0000-0000-000079210000}"/>
    <cellStyle name="20% - Accent6 4 2 2 5 2 2" xfId="7244" xr:uid="{00000000-0005-0000-0000-00007A210000}"/>
    <cellStyle name="20% - Accent6 4 2 2 5 3" xfId="7245" xr:uid="{00000000-0005-0000-0000-00007B210000}"/>
    <cellStyle name="20% - Accent6 4 2 2 5 4" xfId="7246" xr:uid="{00000000-0005-0000-0000-00007C210000}"/>
    <cellStyle name="20% - Accent6 4 2 2 5 5" xfId="37697" xr:uid="{00000000-0005-0000-0000-00007D210000}"/>
    <cellStyle name="20% - Accent6 4 2 2 6" xfId="7247" xr:uid="{00000000-0005-0000-0000-00007E210000}"/>
    <cellStyle name="20% - Accent6 4 2 2 6 2" xfId="7248" xr:uid="{00000000-0005-0000-0000-00007F210000}"/>
    <cellStyle name="20% - Accent6 4 2 2 6 2 2" xfId="7249" xr:uid="{00000000-0005-0000-0000-000080210000}"/>
    <cellStyle name="20% - Accent6 4 2 2 6 3" xfId="7250" xr:uid="{00000000-0005-0000-0000-000081210000}"/>
    <cellStyle name="20% - Accent6 4 2 2 6 4" xfId="7251" xr:uid="{00000000-0005-0000-0000-000082210000}"/>
    <cellStyle name="20% - Accent6 4 2 2 7" xfId="7252" xr:uid="{00000000-0005-0000-0000-000083210000}"/>
    <cellStyle name="20% - Accent6 4 2 2 7 2" xfId="7253" xr:uid="{00000000-0005-0000-0000-000084210000}"/>
    <cellStyle name="20% - Accent6 4 2 2 7 2 2" xfId="7254" xr:uid="{00000000-0005-0000-0000-000085210000}"/>
    <cellStyle name="20% - Accent6 4 2 2 7 3" xfId="7255" xr:uid="{00000000-0005-0000-0000-000086210000}"/>
    <cellStyle name="20% - Accent6 4 2 2 7 4" xfId="7256" xr:uid="{00000000-0005-0000-0000-000087210000}"/>
    <cellStyle name="20% - Accent6 4 2 2 8" xfId="7257" xr:uid="{00000000-0005-0000-0000-000088210000}"/>
    <cellStyle name="20% - Accent6 4 2 2 8 2" xfId="7258" xr:uid="{00000000-0005-0000-0000-000089210000}"/>
    <cellStyle name="20% - Accent6 4 2 2 9" xfId="7259" xr:uid="{00000000-0005-0000-0000-00008A210000}"/>
    <cellStyle name="20% - Accent6 4 2 3" xfId="7260" xr:uid="{00000000-0005-0000-0000-00008B210000}"/>
    <cellStyle name="20% - Accent6 4 2 3 10" xfId="34648" xr:uid="{00000000-0005-0000-0000-00008C210000}"/>
    <cellStyle name="20% - Accent6 4 2 3 2" xfId="7261" xr:uid="{00000000-0005-0000-0000-00008D210000}"/>
    <cellStyle name="20% - Accent6 4 2 3 2 2" xfId="7262" xr:uid="{00000000-0005-0000-0000-00008E210000}"/>
    <cellStyle name="20% - Accent6 4 2 3 2 2 2" xfId="7263" xr:uid="{00000000-0005-0000-0000-00008F210000}"/>
    <cellStyle name="20% - Accent6 4 2 3 2 2 2 2" xfId="7264" xr:uid="{00000000-0005-0000-0000-000090210000}"/>
    <cellStyle name="20% - Accent6 4 2 3 2 2 3" xfId="7265" xr:uid="{00000000-0005-0000-0000-000091210000}"/>
    <cellStyle name="20% - Accent6 4 2 3 2 2 4" xfId="7266" xr:uid="{00000000-0005-0000-0000-000092210000}"/>
    <cellStyle name="20% - Accent6 4 2 3 2 2 5" xfId="37699" xr:uid="{00000000-0005-0000-0000-000093210000}"/>
    <cellStyle name="20% - Accent6 4 2 3 2 3" xfId="7267" xr:uid="{00000000-0005-0000-0000-000094210000}"/>
    <cellStyle name="20% - Accent6 4 2 3 2 3 2" xfId="7268" xr:uid="{00000000-0005-0000-0000-000095210000}"/>
    <cellStyle name="20% - Accent6 4 2 3 2 4" xfId="7269" xr:uid="{00000000-0005-0000-0000-000096210000}"/>
    <cellStyle name="20% - Accent6 4 2 3 2 5" xfId="7270" xr:uid="{00000000-0005-0000-0000-000097210000}"/>
    <cellStyle name="20% - Accent6 4 2 3 2 6" xfId="37698" xr:uid="{00000000-0005-0000-0000-000098210000}"/>
    <cellStyle name="20% - Accent6 4 2 3 3" xfId="7271" xr:uid="{00000000-0005-0000-0000-000099210000}"/>
    <cellStyle name="20% - Accent6 4 2 3 3 2" xfId="7272" xr:uid="{00000000-0005-0000-0000-00009A210000}"/>
    <cellStyle name="20% - Accent6 4 2 3 3 2 2" xfId="7273" xr:uid="{00000000-0005-0000-0000-00009B210000}"/>
    <cellStyle name="20% - Accent6 4 2 3 3 2 2 2" xfId="7274" xr:uid="{00000000-0005-0000-0000-00009C210000}"/>
    <cellStyle name="20% - Accent6 4 2 3 3 2 3" xfId="7275" xr:uid="{00000000-0005-0000-0000-00009D210000}"/>
    <cellStyle name="20% - Accent6 4 2 3 3 2 4" xfId="7276" xr:uid="{00000000-0005-0000-0000-00009E210000}"/>
    <cellStyle name="20% - Accent6 4 2 3 3 2 5" xfId="37701" xr:uid="{00000000-0005-0000-0000-00009F210000}"/>
    <cellStyle name="20% - Accent6 4 2 3 3 3" xfId="7277" xr:uid="{00000000-0005-0000-0000-0000A0210000}"/>
    <cellStyle name="20% - Accent6 4 2 3 3 3 2" xfId="7278" xr:uid="{00000000-0005-0000-0000-0000A1210000}"/>
    <cellStyle name="20% - Accent6 4 2 3 3 4" xfId="7279" xr:uid="{00000000-0005-0000-0000-0000A2210000}"/>
    <cellStyle name="20% - Accent6 4 2 3 3 5" xfId="7280" xr:uid="{00000000-0005-0000-0000-0000A3210000}"/>
    <cellStyle name="20% - Accent6 4 2 3 3 6" xfId="37700" xr:uid="{00000000-0005-0000-0000-0000A4210000}"/>
    <cellStyle name="20% - Accent6 4 2 3 4" xfId="7281" xr:uid="{00000000-0005-0000-0000-0000A5210000}"/>
    <cellStyle name="20% - Accent6 4 2 3 4 2" xfId="7282" xr:uid="{00000000-0005-0000-0000-0000A6210000}"/>
    <cellStyle name="20% - Accent6 4 2 3 4 2 2" xfId="7283" xr:uid="{00000000-0005-0000-0000-0000A7210000}"/>
    <cellStyle name="20% - Accent6 4 2 3 4 3" xfId="7284" xr:uid="{00000000-0005-0000-0000-0000A8210000}"/>
    <cellStyle name="20% - Accent6 4 2 3 4 4" xfId="7285" xr:uid="{00000000-0005-0000-0000-0000A9210000}"/>
    <cellStyle name="20% - Accent6 4 2 3 4 5" xfId="37702" xr:uid="{00000000-0005-0000-0000-0000AA210000}"/>
    <cellStyle name="20% - Accent6 4 2 3 5" xfId="7286" xr:uid="{00000000-0005-0000-0000-0000AB210000}"/>
    <cellStyle name="20% - Accent6 4 2 3 5 2" xfId="7287" xr:uid="{00000000-0005-0000-0000-0000AC210000}"/>
    <cellStyle name="20% - Accent6 4 2 3 5 2 2" xfId="7288" xr:uid="{00000000-0005-0000-0000-0000AD210000}"/>
    <cellStyle name="20% - Accent6 4 2 3 5 3" xfId="7289" xr:uid="{00000000-0005-0000-0000-0000AE210000}"/>
    <cellStyle name="20% - Accent6 4 2 3 5 4" xfId="7290" xr:uid="{00000000-0005-0000-0000-0000AF210000}"/>
    <cellStyle name="20% - Accent6 4 2 3 6" xfId="7291" xr:uid="{00000000-0005-0000-0000-0000B0210000}"/>
    <cellStyle name="20% - Accent6 4 2 3 6 2" xfId="7292" xr:uid="{00000000-0005-0000-0000-0000B1210000}"/>
    <cellStyle name="20% - Accent6 4 2 3 6 2 2" xfId="7293" xr:uid="{00000000-0005-0000-0000-0000B2210000}"/>
    <cellStyle name="20% - Accent6 4 2 3 6 3" xfId="7294" xr:uid="{00000000-0005-0000-0000-0000B3210000}"/>
    <cellStyle name="20% - Accent6 4 2 3 6 4" xfId="7295" xr:uid="{00000000-0005-0000-0000-0000B4210000}"/>
    <cellStyle name="20% - Accent6 4 2 3 7" xfId="7296" xr:uid="{00000000-0005-0000-0000-0000B5210000}"/>
    <cellStyle name="20% - Accent6 4 2 3 7 2" xfId="7297" xr:uid="{00000000-0005-0000-0000-0000B6210000}"/>
    <cellStyle name="20% - Accent6 4 2 3 8" xfId="7298" xr:uid="{00000000-0005-0000-0000-0000B7210000}"/>
    <cellStyle name="20% - Accent6 4 2 3 9" xfId="7299" xr:uid="{00000000-0005-0000-0000-0000B8210000}"/>
    <cellStyle name="20% - Accent6 4 2 4" xfId="7300" xr:uid="{00000000-0005-0000-0000-0000B9210000}"/>
    <cellStyle name="20% - Accent6 4 2 4 2" xfId="7301" xr:uid="{00000000-0005-0000-0000-0000BA210000}"/>
    <cellStyle name="20% - Accent6 4 2 4 2 2" xfId="7302" xr:uid="{00000000-0005-0000-0000-0000BB210000}"/>
    <cellStyle name="20% - Accent6 4 2 4 2 2 2" xfId="7303" xr:uid="{00000000-0005-0000-0000-0000BC210000}"/>
    <cellStyle name="20% - Accent6 4 2 4 2 3" xfId="7304" xr:uid="{00000000-0005-0000-0000-0000BD210000}"/>
    <cellStyle name="20% - Accent6 4 2 4 2 4" xfId="7305" xr:uid="{00000000-0005-0000-0000-0000BE210000}"/>
    <cellStyle name="20% - Accent6 4 2 4 2 5" xfId="37704" xr:uid="{00000000-0005-0000-0000-0000BF210000}"/>
    <cellStyle name="20% - Accent6 4 2 4 3" xfId="7306" xr:uid="{00000000-0005-0000-0000-0000C0210000}"/>
    <cellStyle name="20% - Accent6 4 2 4 3 2" xfId="7307" xr:uid="{00000000-0005-0000-0000-0000C1210000}"/>
    <cellStyle name="20% - Accent6 4 2 4 4" xfId="7308" xr:uid="{00000000-0005-0000-0000-0000C2210000}"/>
    <cellStyle name="20% - Accent6 4 2 4 5" xfId="7309" xr:uid="{00000000-0005-0000-0000-0000C3210000}"/>
    <cellStyle name="20% - Accent6 4 2 4 6" xfId="37703" xr:uid="{00000000-0005-0000-0000-0000C4210000}"/>
    <cellStyle name="20% - Accent6 4 2 5" xfId="7310" xr:uid="{00000000-0005-0000-0000-0000C5210000}"/>
    <cellStyle name="20% - Accent6 4 2 5 2" xfId="7311" xr:uid="{00000000-0005-0000-0000-0000C6210000}"/>
    <cellStyle name="20% - Accent6 4 2 5 2 2" xfId="7312" xr:uid="{00000000-0005-0000-0000-0000C7210000}"/>
    <cellStyle name="20% - Accent6 4 2 5 2 2 2" xfId="7313" xr:uid="{00000000-0005-0000-0000-0000C8210000}"/>
    <cellStyle name="20% - Accent6 4 2 5 2 3" xfId="7314" xr:uid="{00000000-0005-0000-0000-0000C9210000}"/>
    <cellStyle name="20% - Accent6 4 2 5 2 4" xfId="7315" xr:uid="{00000000-0005-0000-0000-0000CA210000}"/>
    <cellStyle name="20% - Accent6 4 2 5 2 5" xfId="37706" xr:uid="{00000000-0005-0000-0000-0000CB210000}"/>
    <cellStyle name="20% - Accent6 4 2 5 3" xfId="7316" xr:uid="{00000000-0005-0000-0000-0000CC210000}"/>
    <cellStyle name="20% - Accent6 4 2 5 3 2" xfId="7317" xr:uid="{00000000-0005-0000-0000-0000CD210000}"/>
    <cellStyle name="20% - Accent6 4 2 5 4" xfId="7318" xr:uid="{00000000-0005-0000-0000-0000CE210000}"/>
    <cellStyle name="20% - Accent6 4 2 5 5" xfId="7319" xr:uid="{00000000-0005-0000-0000-0000CF210000}"/>
    <cellStyle name="20% - Accent6 4 2 5 6" xfId="37705" xr:uid="{00000000-0005-0000-0000-0000D0210000}"/>
    <cellStyle name="20% - Accent6 4 2 6" xfId="7320" xr:uid="{00000000-0005-0000-0000-0000D1210000}"/>
    <cellStyle name="20% - Accent6 4 2 6 2" xfId="7321" xr:uid="{00000000-0005-0000-0000-0000D2210000}"/>
    <cellStyle name="20% - Accent6 4 2 6 2 2" xfId="7322" xr:uid="{00000000-0005-0000-0000-0000D3210000}"/>
    <cellStyle name="20% - Accent6 4 2 6 3" xfId="7323" xr:uid="{00000000-0005-0000-0000-0000D4210000}"/>
    <cellStyle name="20% - Accent6 4 2 6 4" xfId="7324" xr:uid="{00000000-0005-0000-0000-0000D5210000}"/>
    <cellStyle name="20% - Accent6 4 2 6 5" xfId="37707" xr:uid="{00000000-0005-0000-0000-0000D6210000}"/>
    <cellStyle name="20% - Accent6 4 2 7" xfId="7325" xr:uid="{00000000-0005-0000-0000-0000D7210000}"/>
    <cellStyle name="20% - Accent6 4 2 7 2" xfId="7326" xr:uid="{00000000-0005-0000-0000-0000D8210000}"/>
    <cellStyle name="20% - Accent6 4 2 7 2 2" xfId="7327" xr:uid="{00000000-0005-0000-0000-0000D9210000}"/>
    <cellStyle name="20% - Accent6 4 2 7 3" xfId="7328" xr:uid="{00000000-0005-0000-0000-0000DA210000}"/>
    <cellStyle name="20% - Accent6 4 2 7 4" xfId="7329" xr:uid="{00000000-0005-0000-0000-0000DB210000}"/>
    <cellStyle name="20% - Accent6 4 2 8" xfId="7330" xr:uid="{00000000-0005-0000-0000-0000DC210000}"/>
    <cellStyle name="20% - Accent6 4 2 8 2" xfId="7331" xr:uid="{00000000-0005-0000-0000-0000DD210000}"/>
    <cellStyle name="20% - Accent6 4 2 8 2 2" xfId="7332" xr:uid="{00000000-0005-0000-0000-0000DE210000}"/>
    <cellStyle name="20% - Accent6 4 2 8 3" xfId="7333" xr:uid="{00000000-0005-0000-0000-0000DF210000}"/>
    <cellStyle name="20% - Accent6 4 2 8 4" xfId="7334" xr:uid="{00000000-0005-0000-0000-0000E0210000}"/>
    <cellStyle name="20% - Accent6 4 2 9" xfId="7335" xr:uid="{00000000-0005-0000-0000-0000E1210000}"/>
    <cellStyle name="20% - Accent6 4 2 9 2" xfId="7336" xr:uid="{00000000-0005-0000-0000-0000E2210000}"/>
    <cellStyle name="20% - Accent6 4 3" xfId="7337" xr:uid="{00000000-0005-0000-0000-0000E3210000}"/>
    <cellStyle name="20% - Accent6 4 3 10" xfId="7338" xr:uid="{00000000-0005-0000-0000-0000E4210000}"/>
    <cellStyle name="20% - Accent6 4 3 11" xfId="34649" xr:uid="{00000000-0005-0000-0000-0000E5210000}"/>
    <cellStyle name="20% - Accent6 4 3 2" xfId="7339" xr:uid="{00000000-0005-0000-0000-0000E6210000}"/>
    <cellStyle name="20% - Accent6 4 3 2 10" xfId="34650" xr:uid="{00000000-0005-0000-0000-0000E7210000}"/>
    <cellStyle name="20% - Accent6 4 3 2 2" xfId="7340" xr:uid="{00000000-0005-0000-0000-0000E8210000}"/>
    <cellStyle name="20% - Accent6 4 3 2 2 2" xfId="7341" xr:uid="{00000000-0005-0000-0000-0000E9210000}"/>
    <cellStyle name="20% - Accent6 4 3 2 2 2 2" xfId="7342" xr:uid="{00000000-0005-0000-0000-0000EA210000}"/>
    <cellStyle name="20% - Accent6 4 3 2 2 2 2 2" xfId="7343" xr:uid="{00000000-0005-0000-0000-0000EB210000}"/>
    <cellStyle name="20% - Accent6 4 3 2 2 2 3" xfId="7344" xr:uid="{00000000-0005-0000-0000-0000EC210000}"/>
    <cellStyle name="20% - Accent6 4 3 2 2 2 4" xfId="7345" xr:uid="{00000000-0005-0000-0000-0000ED210000}"/>
    <cellStyle name="20% - Accent6 4 3 2 2 2 5" xfId="37709" xr:uid="{00000000-0005-0000-0000-0000EE210000}"/>
    <cellStyle name="20% - Accent6 4 3 2 2 3" xfId="7346" xr:uid="{00000000-0005-0000-0000-0000EF210000}"/>
    <cellStyle name="20% - Accent6 4 3 2 2 3 2" xfId="7347" xr:uid="{00000000-0005-0000-0000-0000F0210000}"/>
    <cellStyle name="20% - Accent6 4 3 2 2 4" xfId="7348" xr:uid="{00000000-0005-0000-0000-0000F1210000}"/>
    <cellStyle name="20% - Accent6 4 3 2 2 5" xfId="7349" xr:uid="{00000000-0005-0000-0000-0000F2210000}"/>
    <cellStyle name="20% - Accent6 4 3 2 2 6" xfId="37708" xr:uid="{00000000-0005-0000-0000-0000F3210000}"/>
    <cellStyle name="20% - Accent6 4 3 2 3" xfId="7350" xr:uid="{00000000-0005-0000-0000-0000F4210000}"/>
    <cellStyle name="20% - Accent6 4 3 2 3 2" xfId="7351" xr:uid="{00000000-0005-0000-0000-0000F5210000}"/>
    <cellStyle name="20% - Accent6 4 3 2 3 2 2" xfId="7352" xr:uid="{00000000-0005-0000-0000-0000F6210000}"/>
    <cellStyle name="20% - Accent6 4 3 2 3 2 2 2" xfId="7353" xr:uid="{00000000-0005-0000-0000-0000F7210000}"/>
    <cellStyle name="20% - Accent6 4 3 2 3 2 3" xfId="7354" xr:uid="{00000000-0005-0000-0000-0000F8210000}"/>
    <cellStyle name="20% - Accent6 4 3 2 3 2 4" xfId="7355" xr:uid="{00000000-0005-0000-0000-0000F9210000}"/>
    <cellStyle name="20% - Accent6 4 3 2 3 2 5" xfId="37711" xr:uid="{00000000-0005-0000-0000-0000FA210000}"/>
    <cellStyle name="20% - Accent6 4 3 2 3 3" xfId="7356" xr:uid="{00000000-0005-0000-0000-0000FB210000}"/>
    <cellStyle name="20% - Accent6 4 3 2 3 3 2" xfId="7357" xr:uid="{00000000-0005-0000-0000-0000FC210000}"/>
    <cellStyle name="20% - Accent6 4 3 2 3 4" xfId="7358" xr:uid="{00000000-0005-0000-0000-0000FD210000}"/>
    <cellStyle name="20% - Accent6 4 3 2 3 5" xfId="7359" xr:uid="{00000000-0005-0000-0000-0000FE210000}"/>
    <cellStyle name="20% - Accent6 4 3 2 3 6" xfId="37710" xr:uid="{00000000-0005-0000-0000-0000FF210000}"/>
    <cellStyle name="20% - Accent6 4 3 2 4" xfId="7360" xr:uid="{00000000-0005-0000-0000-000000220000}"/>
    <cellStyle name="20% - Accent6 4 3 2 4 2" xfId="7361" xr:uid="{00000000-0005-0000-0000-000001220000}"/>
    <cellStyle name="20% - Accent6 4 3 2 4 2 2" xfId="7362" xr:uid="{00000000-0005-0000-0000-000002220000}"/>
    <cellStyle name="20% - Accent6 4 3 2 4 3" xfId="7363" xr:uid="{00000000-0005-0000-0000-000003220000}"/>
    <cellStyle name="20% - Accent6 4 3 2 4 4" xfId="7364" xr:uid="{00000000-0005-0000-0000-000004220000}"/>
    <cellStyle name="20% - Accent6 4 3 2 4 5" xfId="37712" xr:uid="{00000000-0005-0000-0000-000005220000}"/>
    <cellStyle name="20% - Accent6 4 3 2 5" xfId="7365" xr:uid="{00000000-0005-0000-0000-000006220000}"/>
    <cellStyle name="20% - Accent6 4 3 2 5 2" xfId="7366" xr:uid="{00000000-0005-0000-0000-000007220000}"/>
    <cellStyle name="20% - Accent6 4 3 2 5 2 2" xfId="7367" xr:uid="{00000000-0005-0000-0000-000008220000}"/>
    <cellStyle name="20% - Accent6 4 3 2 5 3" xfId="7368" xr:uid="{00000000-0005-0000-0000-000009220000}"/>
    <cellStyle name="20% - Accent6 4 3 2 5 4" xfId="7369" xr:uid="{00000000-0005-0000-0000-00000A220000}"/>
    <cellStyle name="20% - Accent6 4 3 2 6" xfId="7370" xr:uid="{00000000-0005-0000-0000-00000B220000}"/>
    <cellStyle name="20% - Accent6 4 3 2 6 2" xfId="7371" xr:uid="{00000000-0005-0000-0000-00000C220000}"/>
    <cellStyle name="20% - Accent6 4 3 2 6 2 2" xfId="7372" xr:uid="{00000000-0005-0000-0000-00000D220000}"/>
    <cellStyle name="20% - Accent6 4 3 2 6 3" xfId="7373" xr:uid="{00000000-0005-0000-0000-00000E220000}"/>
    <cellStyle name="20% - Accent6 4 3 2 6 4" xfId="7374" xr:uid="{00000000-0005-0000-0000-00000F220000}"/>
    <cellStyle name="20% - Accent6 4 3 2 7" xfId="7375" xr:uid="{00000000-0005-0000-0000-000010220000}"/>
    <cellStyle name="20% - Accent6 4 3 2 7 2" xfId="7376" xr:uid="{00000000-0005-0000-0000-000011220000}"/>
    <cellStyle name="20% - Accent6 4 3 2 8" xfId="7377" xr:uid="{00000000-0005-0000-0000-000012220000}"/>
    <cellStyle name="20% - Accent6 4 3 2 9" xfId="7378" xr:uid="{00000000-0005-0000-0000-000013220000}"/>
    <cellStyle name="20% - Accent6 4 3 3" xfId="7379" xr:uid="{00000000-0005-0000-0000-000014220000}"/>
    <cellStyle name="20% - Accent6 4 3 3 2" xfId="7380" xr:uid="{00000000-0005-0000-0000-000015220000}"/>
    <cellStyle name="20% - Accent6 4 3 3 2 2" xfId="7381" xr:uid="{00000000-0005-0000-0000-000016220000}"/>
    <cellStyle name="20% - Accent6 4 3 3 2 2 2" xfId="7382" xr:uid="{00000000-0005-0000-0000-000017220000}"/>
    <cellStyle name="20% - Accent6 4 3 3 2 3" xfId="7383" xr:uid="{00000000-0005-0000-0000-000018220000}"/>
    <cellStyle name="20% - Accent6 4 3 3 2 4" xfId="7384" xr:uid="{00000000-0005-0000-0000-000019220000}"/>
    <cellStyle name="20% - Accent6 4 3 3 2 5" xfId="37714" xr:uid="{00000000-0005-0000-0000-00001A220000}"/>
    <cellStyle name="20% - Accent6 4 3 3 3" xfId="7385" xr:uid="{00000000-0005-0000-0000-00001B220000}"/>
    <cellStyle name="20% - Accent6 4 3 3 3 2" xfId="7386" xr:uid="{00000000-0005-0000-0000-00001C220000}"/>
    <cellStyle name="20% - Accent6 4 3 3 4" xfId="7387" xr:uid="{00000000-0005-0000-0000-00001D220000}"/>
    <cellStyle name="20% - Accent6 4 3 3 5" xfId="7388" xr:uid="{00000000-0005-0000-0000-00001E220000}"/>
    <cellStyle name="20% - Accent6 4 3 3 6" xfId="37713" xr:uid="{00000000-0005-0000-0000-00001F220000}"/>
    <cellStyle name="20% - Accent6 4 3 4" xfId="7389" xr:uid="{00000000-0005-0000-0000-000020220000}"/>
    <cellStyle name="20% - Accent6 4 3 4 2" xfId="7390" xr:uid="{00000000-0005-0000-0000-000021220000}"/>
    <cellStyle name="20% - Accent6 4 3 4 2 2" xfId="7391" xr:uid="{00000000-0005-0000-0000-000022220000}"/>
    <cellStyle name="20% - Accent6 4 3 4 2 2 2" xfId="7392" xr:uid="{00000000-0005-0000-0000-000023220000}"/>
    <cellStyle name="20% - Accent6 4 3 4 2 3" xfId="7393" xr:uid="{00000000-0005-0000-0000-000024220000}"/>
    <cellStyle name="20% - Accent6 4 3 4 2 4" xfId="7394" xr:uid="{00000000-0005-0000-0000-000025220000}"/>
    <cellStyle name="20% - Accent6 4 3 4 2 5" xfId="37716" xr:uid="{00000000-0005-0000-0000-000026220000}"/>
    <cellStyle name="20% - Accent6 4 3 4 3" xfId="7395" xr:uid="{00000000-0005-0000-0000-000027220000}"/>
    <cellStyle name="20% - Accent6 4 3 4 3 2" xfId="7396" xr:uid="{00000000-0005-0000-0000-000028220000}"/>
    <cellStyle name="20% - Accent6 4 3 4 4" xfId="7397" xr:uid="{00000000-0005-0000-0000-000029220000}"/>
    <cellStyle name="20% - Accent6 4 3 4 5" xfId="7398" xr:uid="{00000000-0005-0000-0000-00002A220000}"/>
    <cellStyle name="20% - Accent6 4 3 4 6" xfId="37715" xr:uid="{00000000-0005-0000-0000-00002B220000}"/>
    <cellStyle name="20% - Accent6 4 3 5" xfId="7399" xr:uid="{00000000-0005-0000-0000-00002C220000}"/>
    <cellStyle name="20% - Accent6 4 3 5 2" xfId="7400" xr:uid="{00000000-0005-0000-0000-00002D220000}"/>
    <cellStyle name="20% - Accent6 4 3 5 2 2" xfId="7401" xr:uid="{00000000-0005-0000-0000-00002E220000}"/>
    <cellStyle name="20% - Accent6 4 3 5 3" xfId="7402" xr:uid="{00000000-0005-0000-0000-00002F220000}"/>
    <cellStyle name="20% - Accent6 4 3 5 4" xfId="7403" xr:uid="{00000000-0005-0000-0000-000030220000}"/>
    <cellStyle name="20% - Accent6 4 3 5 5" xfId="37717" xr:uid="{00000000-0005-0000-0000-000031220000}"/>
    <cellStyle name="20% - Accent6 4 3 6" xfId="7404" xr:uid="{00000000-0005-0000-0000-000032220000}"/>
    <cellStyle name="20% - Accent6 4 3 6 2" xfId="7405" xr:uid="{00000000-0005-0000-0000-000033220000}"/>
    <cellStyle name="20% - Accent6 4 3 6 2 2" xfId="7406" xr:uid="{00000000-0005-0000-0000-000034220000}"/>
    <cellStyle name="20% - Accent6 4 3 6 3" xfId="7407" xr:uid="{00000000-0005-0000-0000-000035220000}"/>
    <cellStyle name="20% - Accent6 4 3 6 4" xfId="7408" xr:uid="{00000000-0005-0000-0000-000036220000}"/>
    <cellStyle name="20% - Accent6 4 3 7" xfId="7409" xr:uid="{00000000-0005-0000-0000-000037220000}"/>
    <cellStyle name="20% - Accent6 4 3 7 2" xfId="7410" xr:uid="{00000000-0005-0000-0000-000038220000}"/>
    <cellStyle name="20% - Accent6 4 3 7 2 2" xfId="7411" xr:uid="{00000000-0005-0000-0000-000039220000}"/>
    <cellStyle name="20% - Accent6 4 3 7 3" xfId="7412" xr:uid="{00000000-0005-0000-0000-00003A220000}"/>
    <cellStyle name="20% - Accent6 4 3 7 4" xfId="7413" xr:uid="{00000000-0005-0000-0000-00003B220000}"/>
    <cellStyle name="20% - Accent6 4 3 8" xfId="7414" xr:uid="{00000000-0005-0000-0000-00003C220000}"/>
    <cellStyle name="20% - Accent6 4 3 8 2" xfId="7415" xr:uid="{00000000-0005-0000-0000-00003D220000}"/>
    <cellStyle name="20% - Accent6 4 3 9" xfId="7416" xr:uid="{00000000-0005-0000-0000-00003E220000}"/>
    <cellStyle name="20% - Accent6 4 4" xfId="7417" xr:uid="{00000000-0005-0000-0000-00003F220000}"/>
    <cellStyle name="20% - Accent6 4 4 10" xfId="34651" xr:uid="{00000000-0005-0000-0000-000040220000}"/>
    <cellStyle name="20% - Accent6 4 4 2" xfId="7418" xr:uid="{00000000-0005-0000-0000-000041220000}"/>
    <cellStyle name="20% - Accent6 4 4 2 2" xfId="7419" xr:uid="{00000000-0005-0000-0000-000042220000}"/>
    <cellStyle name="20% - Accent6 4 4 2 2 2" xfId="7420" xr:uid="{00000000-0005-0000-0000-000043220000}"/>
    <cellStyle name="20% - Accent6 4 4 2 2 2 2" xfId="7421" xr:uid="{00000000-0005-0000-0000-000044220000}"/>
    <cellStyle name="20% - Accent6 4 4 2 2 3" xfId="7422" xr:uid="{00000000-0005-0000-0000-000045220000}"/>
    <cellStyle name="20% - Accent6 4 4 2 2 4" xfId="7423" xr:uid="{00000000-0005-0000-0000-000046220000}"/>
    <cellStyle name="20% - Accent6 4 4 2 2 5" xfId="37719" xr:uid="{00000000-0005-0000-0000-000047220000}"/>
    <cellStyle name="20% - Accent6 4 4 2 3" xfId="7424" xr:uid="{00000000-0005-0000-0000-000048220000}"/>
    <cellStyle name="20% - Accent6 4 4 2 3 2" xfId="7425" xr:uid="{00000000-0005-0000-0000-000049220000}"/>
    <cellStyle name="20% - Accent6 4 4 2 4" xfId="7426" xr:uid="{00000000-0005-0000-0000-00004A220000}"/>
    <cellStyle name="20% - Accent6 4 4 2 5" xfId="7427" xr:uid="{00000000-0005-0000-0000-00004B220000}"/>
    <cellStyle name="20% - Accent6 4 4 2 6" xfId="37718" xr:uid="{00000000-0005-0000-0000-00004C220000}"/>
    <cellStyle name="20% - Accent6 4 4 3" xfId="7428" xr:uid="{00000000-0005-0000-0000-00004D220000}"/>
    <cellStyle name="20% - Accent6 4 4 3 2" xfId="7429" xr:uid="{00000000-0005-0000-0000-00004E220000}"/>
    <cellStyle name="20% - Accent6 4 4 3 2 2" xfId="7430" xr:uid="{00000000-0005-0000-0000-00004F220000}"/>
    <cellStyle name="20% - Accent6 4 4 3 2 2 2" xfId="7431" xr:uid="{00000000-0005-0000-0000-000050220000}"/>
    <cellStyle name="20% - Accent6 4 4 3 2 3" xfId="7432" xr:uid="{00000000-0005-0000-0000-000051220000}"/>
    <cellStyle name="20% - Accent6 4 4 3 2 4" xfId="7433" xr:uid="{00000000-0005-0000-0000-000052220000}"/>
    <cellStyle name="20% - Accent6 4 4 3 2 5" xfId="37721" xr:uid="{00000000-0005-0000-0000-000053220000}"/>
    <cellStyle name="20% - Accent6 4 4 3 3" xfId="7434" xr:uid="{00000000-0005-0000-0000-000054220000}"/>
    <cellStyle name="20% - Accent6 4 4 3 3 2" xfId="7435" xr:uid="{00000000-0005-0000-0000-000055220000}"/>
    <cellStyle name="20% - Accent6 4 4 3 4" xfId="7436" xr:uid="{00000000-0005-0000-0000-000056220000}"/>
    <cellStyle name="20% - Accent6 4 4 3 5" xfId="7437" xr:uid="{00000000-0005-0000-0000-000057220000}"/>
    <cellStyle name="20% - Accent6 4 4 3 6" xfId="37720" xr:uid="{00000000-0005-0000-0000-000058220000}"/>
    <cellStyle name="20% - Accent6 4 4 4" xfId="7438" xr:uid="{00000000-0005-0000-0000-000059220000}"/>
    <cellStyle name="20% - Accent6 4 4 4 2" xfId="7439" xr:uid="{00000000-0005-0000-0000-00005A220000}"/>
    <cellStyle name="20% - Accent6 4 4 4 2 2" xfId="7440" xr:uid="{00000000-0005-0000-0000-00005B220000}"/>
    <cellStyle name="20% - Accent6 4 4 4 3" xfId="7441" xr:uid="{00000000-0005-0000-0000-00005C220000}"/>
    <cellStyle name="20% - Accent6 4 4 4 4" xfId="7442" xr:uid="{00000000-0005-0000-0000-00005D220000}"/>
    <cellStyle name="20% - Accent6 4 4 4 5" xfId="37722" xr:uid="{00000000-0005-0000-0000-00005E220000}"/>
    <cellStyle name="20% - Accent6 4 4 5" xfId="7443" xr:uid="{00000000-0005-0000-0000-00005F220000}"/>
    <cellStyle name="20% - Accent6 4 4 5 2" xfId="7444" xr:uid="{00000000-0005-0000-0000-000060220000}"/>
    <cellStyle name="20% - Accent6 4 4 5 2 2" xfId="7445" xr:uid="{00000000-0005-0000-0000-000061220000}"/>
    <cellStyle name="20% - Accent6 4 4 5 3" xfId="7446" xr:uid="{00000000-0005-0000-0000-000062220000}"/>
    <cellStyle name="20% - Accent6 4 4 5 4" xfId="7447" xr:uid="{00000000-0005-0000-0000-000063220000}"/>
    <cellStyle name="20% - Accent6 4 4 6" xfId="7448" xr:uid="{00000000-0005-0000-0000-000064220000}"/>
    <cellStyle name="20% - Accent6 4 4 6 2" xfId="7449" xr:uid="{00000000-0005-0000-0000-000065220000}"/>
    <cellStyle name="20% - Accent6 4 4 6 2 2" xfId="7450" xr:uid="{00000000-0005-0000-0000-000066220000}"/>
    <cellStyle name="20% - Accent6 4 4 6 3" xfId="7451" xr:uid="{00000000-0005-0000-0000-000067220000}"/>
    <cellStyle name="20% - Accent6 4 4 6 4" xfId="7452" xr:uid="{00000000-0005-0000-0000-000068220000}"/>
    <cellStyle name="20% - Accent6 4 4 7" xfId="7453" xr:uid="{00000000-0005-0000-0000-000069220000}"/>
    <cellStyle name="20% - Accent6 4 4 7 2" xfId="7454" xr:uid="{00000000-0005-0000-0000-00006A220000}"/>
    <cellStyle name="20% - Accent6 4 4 8" xfId="7455" xr:uid="{00000000-0005-0000-0000-00006B220000}"/>
    <cellStyle name="20% - Accent6 4 4 9" xfId="7456" xr:uid="{00000000-0005-0000-0000-00006C220000}"/>
    <cellStyle name="20% - Accent6 4 5" xfId="7457" xr:uid="{00000000-0005-0000-0000-00006D220000}"/>
    <cellStyle name="20% - Accent6 4 5 2" xfId="7458" xr:uid="{00000000-0005-0000-0000-00006E220000}"/>
    <cellStyle name="20% - Accent6 4 5 2 2" xfId="7459" xr:uid="{00000000-0005-0000-0000-00006F220000}"/>
    <cellStyle name="20% - Accent6 4 5 2 2 2" xfId="7460" xr:uid="{00000000-0005-0000-0000-000070220000}"/>
    <cellStyle name="20% - Accent6 4 5 2 3" xfId="7461" xr:uid="{00000000-0005-0000-0000-000071220000}"/>
    <cellStyle name="20% - Accent6 4 5 2 4" xfId="7462" xr:uid="{00000000-0005-0000-0000-000072220000}"/>
    <cellStyle name="20% - Accent6 4 5 2 5" xfId="37724" xr:uid="{00000000-0005-0000-0000-000073220000}"/>
    <cellStyle name="20% - Accent6 4 5 3" xfId="7463" xr:uid="{00000000-0005-0000-0000-000074220000}"/>
    <cellStyle name="20% - Accent6 4 5 4" xfId="7464" xr:uid="{00000000-0005-0000-0000-000075220000}"/>
    <cellStyle name="20% - Accent6 4 5 4 2" xfId="7465" xr:uid="{00000000-0005-0000-0000-000076220000}"/>
    <cellStyle name="20% - Accent6 4 5 5" xfId="7466" xr:uid="{00000000-0005-0000-0000-000077220000}"/>
    <cellStyle name="20% - Accent6 4 5 6" xfId="7467" xr:uid="{00000000-0005-0000-0000-000078220000}"/>
    <cellStyle name="20% - Accent6 4 5 7" xfId="37723" xr:uid="{00000000-0005-0000-0000-000079220000}"/>
    <cellStyle name="20% - Accent6 4 6" xfId="7468" xr:uid="{00000000-0005-0000-0000-00007A220000}"/>
    <cellStyle name="20% - Accent6 4 6 2" xfId="7469" xr:uid="{00000000-0005-0000-0000-00007B220000}"/>
    <cellStyle name="20% - Accent6 4 6 2 2" xfId="7470" xr:uid="{00000000-0005-0000-0000-00007C220000}"/>
    <cellStyle name="20% - Accent6 4 6 2 2 2" xfId="7471" xr:uid="{00000000-0005-0000-0000-00007D220000}"/>
    <cellStyle name="20% - Accent6 4 6 2 3" xfId="7472" xr:uid="{00000000-0005-0000-0000-00007E220000}"/>
    <cellStyle name="20% - Accent6 4 6 2 4" xfId="7473" xr:uid="{00000000-0005-0000-0000-00007F220000}"/>
    <cellStyle name="20% - Accent6 4 6 2 5" xfId="37726" xr:uid="{00000000-0005-0000-0000-000080220000}"/>
    <cellStyle name="20% - Accent6 4 6 3" xfId="7474" xr:uid="{00000000-0005-0000-0000-000081220000}"/>
    <cellStyle name="20% - Accent6 4 6 3 2" xfId="7475" xr:uid="{00000000-0005-0000-0000-000082220000}"/>
    <cellStyle name="20% - Accent6 4 6 3 2 2" xfId="7476" xr:uid="{00000000-0005-0000-0000-000083220000}"/>
    <cellStyle name="20% - Accent6 4 6 3 3" xfId="7477" xr:uid="{00000000-0005-0000-0000-000084220000}"/>
    <cellStyle name="20% - Accent6 4 6 3 4" xfId="7478" xr:uid="{00000000-0005-0000-0000-000085220000}"/>
    <cellStyle name="20% - Accent6 4 6 3 5" xfId="37727" xr:uid="{00000000-0005-0000-0000-000086220000}"/>
    <cellStyle name="20% - Accent6 4 6 4" xfId="7479" xr:uid="{00000000-0005-0000-0000-000087220000}"/>
    <cellStyle name="20% - Accent6 4 6 4 2" xfId="7480" xr:uid="{00000000-0005-0000-0000-000088220000}"/>
    <cellStyle name="20% - Accent6 4 6 5" xfId="7481" xr:uid="{00000000-0005-0000-0000-000089220000}"/>
    <cellStyle name="20% - Accent6 4 6 6" xfId="7482" xr:uid="{00000000-0005-0000-0000-00008A220000}"/>
    <cellStyle name="20% - Accent6 4 6 7" xfId="37725" xr:uid="{00000000-0005-0000-0000-00008B220000}"/>
    <cellStyle name="20% - Accent6 4 7" xfId="7483" xr:uid="{00000000-0005-0000-0000-00008C220000}"/>
    <cellStyle name="20% - Accent6 4 7 2" xfId="7484" xr:uid="{00000000-0005-0000-0000-00008D220000}"/>
    <cellStyle name="20% - Accent6 4 7 2 2" xfId="7485" xr:uid="{00000000-0005-0000-0000-00008E220000}"/>
    <cellStyle name="20% - Accent6 4 7 3" xfId="7486" xr:uid="{00000000-0005-0000-0000-00008F220000}"/>
    <cellStyle name="20% - Accent6 4 7 4" xfId="7487" xr:uid="{00000000-0005-0000-0000-000090220000}"/>
    <cellStyle name="20% - Accent6 4 7 5" xfId="37728" xr:uid="{00000000-0005-0000-0000-000091220000}"/>
    <cellStyle name="20% - Accent6 4 8" xfId="7488" xr:uid="{00000000-0005-0000-0000-000092220000}"/>
    <cellStyle name="20% - Accent6 4 8 2" xfId="7489" xr:uid="{00000000-0005-0000-0000-000093220000}"/>
    <cellStyle name="20% - Accent6 4 8 2 2" xfId="7490" xr:uid="{00000000-0005-0000-0000-000094220000}"/>
    <cellStyle name="20% - Accent6 4 8 3" xfId="7491" xr:uid="{00000000-0005-0000-0000-000095220000}"/>
    <cellStyle name="20% - Accent6 4 8 4" xfId="7492" xr:uid="{00000000-0005-0000-0000-000096220000}"/>
    <cellStyle name="20% - Accent6 4 9" xfId="7493" xr:uid="{00000000-0005-0000-0000-000097220000}"/>
    <cellStyle name="20% - Accent6 4 9 2" xfId="7494" xr:uid="{00000000-0005-0000-0000-000098220000}"/>
    <cellStyle name="20% - Accent6 4 9 2 2" xfId="7495" xr:uid="{00000000-0005-0000-0000-000099220000}"/>
    <cellStyle name="20% - Accent6 4 9 3" xfId="7496" xr:uid="{00000000-0005-0000-0000-00009A220000}"/>
    <cellStyle name="20% - Accent6 4 9 4" xfId="7497" xr:uid="{00000000-0005-0000-0000-00009B220000}"/>
    <cellStyle name="20% - Accent6 5" xfId="7498" xr:uid="{00000000-0005-0000-0000-00009C220000}"/>
    <cellStyle name="20% - Accent6 5 10" xfId="7499" xr:uid="{00000000-0005-0000-0000-00009D220000}"/>
    <cellStyle name="20% - Accent6 5 10 2" xfId="7500" xr:uid="{00000000-0005-0000-0000-00009E220000}"/>
    <cellStyle name="20% - Accent6 5 11" xfId="7501" xr:uid="{00000000-0005-0000-0000-00009F220000}"/>
    <cellStyle name="20% - Accent6 5 12" xfId="7502" xr:uid="{00000000-0005-0000-0000-0000A0220000}"/>
    <cellStyle name="20% - Accent6 5 13" xfId="34652" xr:uid="{00000000-0005-0000-0000-0000A1220000}"/>
    <cellStyle name="20% - Accent6 5 2" xfId="7503" xr:uid="{00000000-0005-0000-0000-0000A2220000}"/>
    <cellStyle name="20% - Accent6 5 2 10" xfId="7504" xr:uid="{00000000-0005-0000-0000-0000A3220000}"/>
    <cellStyle name="20% - Accent6 5 2 11" xfId="7505" xr:uid="{00000000-0005-0000-0000-0000A4220000}"/>
    <cellStyle name="20% - Accent6 5 2 12" xfId="34653" xr:uid="{00000000-0005-0000-0000-0000A5220000}"/>
    <cellStyle name="20% - Accent6 5 2 2" xfId="7506" xr:uid="{00000000-0005-0000-0000-0000A6220000}"/>
    <cellStyle name="20% - Accent6 5 2 2 10" xfId="7507" xr:uid="{00000000-0005-0000-0000-0000A7220000}"/>
    <cellStyle name="20% - Accent6 5 2 2 11" xfId="34654" xr:uid="{00000000-0005-0000-0000-0000A8220000}"/>
    <cellStyle name="20% - Accent6 5 2 2 2" xfId="7508" xr:uid="{00000000-0005-0000-0000-0000A9220000}"/>
    <cellStyle name="20% - Accent6 5 2 2 2 10" xfId="34655" xr:uid="{00000000-0005-0000-0000-0000AA220000}"/>
    <cellStyle name="20% - Accent6 5 2 2 2 2" xfId="7509" xr:uid="{00000000-0005-0000-0000-0000AB220000}"/>
    <cellStyle name="20% - Accent6 5 2 2 2 2 2" xfId="7510" xr:uid="{00000000-0005-0000-0000-0000AC220000}"/>
    <cellStyle name="20% - Accent6 5 2 2 2 2 2 2" xfId="7511" xr:uid="{00000000-0005-0000-0000-0000AD220000}"/>
    <cellStyle name="20% - Accent6 5 2 2 2 2 2 2 2" xfId="7512" xr:uid="{00000000-0005-0000-0000-0000AE220000}"/>
    <cellStyle name="20% - Accent6 5 2 2 2 2 2 3" xfId="7513" xr:uid="{00000000-0005-0000-0000-0000AF220000}"/>
    <cellStyle name="20% - Accent6 5 2 2 2 2 2 4" xfId="7514" xr:uid="{00000000-0005-0000-0000-0000B0220000}"/>
    <cellStyle name="20% - Accent6 5 2 2 2 2 2 5" xfId="37730" xr:uid="{00000000-0005-0000-0000-0000B1220000}"/>
    <cellStyle name="20% - Accent6 5 2 2 2 2 3" xfId="7515" xr:uid="{00000000-0005-0000-0000-0000B2220000}"/>
    <cellStyle name="20% - Accent6 5 2 2 2 2 3 2" xfId="7516" xr:uid="{00000000-0005-0000-0000-0000B3220000}"/>
    <cellStyle name="20% - Accent6 5 2 2 2 2 4" xfId="7517" xr:uid="{00000000-0005-0000-0000-0000B4220000}"/>
    <cellStyle name="20% - Accent6 5 2 2 2 2 5" xfId="7518" xr:uid="{00000000-0005-0000-0000-0000B5220000}"/>
    <cellStyle name="20% - Accent6 5 2 2 2 2 6" xfId="37729" xr:uid="{00000000-0005-0000-0000-0000B6220000}"/>
    <cellStyle name="20% - Accent6 5 2 2 2 3" xfId="7519" xr:uid="{00000000-0005-0000-0000-0000B7220000}"/>
    <cellStyle name="20% - Accent6 5 2 2 2 3 2" xfId="7520" xr:uid="{00000000-0005-0000-0000-0000B8220000}"/>
    <cellStyle name="20% - Accent6 5 2 2 2 3 2 2" xfId="7521" xr:uid="{00000000-0005-0000-0000-0000B9220000}"/>
    <cellStyle name="20% - Accent6 5 2 2 2 3 2 2 2" xfId="7522" xr:uid="{00000000-0005-0000-0000-0000BA220000}"/>
    <cellStyle name="20% - Accent6 5 2 2 2 3 2 3" xfId="7523" xr:uid="{00000000-0005-0000-0000-0000BB220000}"/>
    <cellStyle name="20% - Accent6 5 2 2 2 3 2 4" xfId="7524" xr:uid="{00000000-0005-0000-0000-0000BC220000}"/>
    <cellStyle name="20% - Accent6 5 2 2 2 3 2 5" xfId="37732" xr:uid="{00000000-0005-0000-0000-0000BD220000}"/>
    <cellStyle name="20% - Accent6 5 2 2 2 3 3" xfId="7525" xr:uid="{00000000-0005-0000-0000-0000BE220000}"/>
    <cellStyle name="20% - Accent6 5 2 2 2 3 3 2" xfId="7526" xr:uid="{00000000-0005-0000-0000-0000BF220000}"/>
    <cellStyle name="20% - Accent6 5 2 2 2 3 4" xfId="7527" xr:uid="{00000000-0005-0000-0000-0000C0220000}"/>
    <cellStyle name="20% - Accent6 5 2 2 2 3 5" xfId="7528" xr:uid="{00000000-0005-0000-0000-0000C1220000}"/>
    <cellStyle name="20% - Accent6 5 2 2 2 3 6" xfId="37731" xr:uid="{00000000-0005-0000-0000-0000C2220000}"/>
    <cellStyle name="20% - Accent6 5 2 2 2 4" xfId="7529" xr:uid="{00000000-0005-0000-0000-0000C3220000}"/>
    <cellStyle name="20% - Accent6 5 2 2 2 4 2" xfId="7530" xr:uid="{00000000-0005-0000-0000-0000C4220000}"/>
    <cellStyle name="20% - Accent6 5 2 2 2 4 2 2" xfId="7531" xr:uid="{00000000-0005-0000-0000-0000C5220000}"/>
    <cellStyle name="20% - Accent6 5 2 2 2 4 3" xfId="7532" xr:uid="{00000000-0005-0000-0000-0000C6220000}"/>
    <cellStyle name="20% - Accent6 5 2 2 2 4 4" xfId="7533" xr:uid="{00000000-0005-0000-0000-0000C7220000}"/>
    <cellStyle name="20% - Accent6 5 2 2 2 4 5" xfId="37733" xr:uid="{00000000-0005-0000-0000-0000C8220000}"/>
    <cellStyle name="20% - Accent6 5 2 2 2 5" xfId="7534" xr:uid="{00000000-0005-0000-0000-0000C9220000}"/>
    <cellStyle name="20% - Accent6 5 2 2 2 5 2" xfId="7535" xr:uid="{00000000-0005-0000-0000-0000CA220000}"/>
    <cellStyle name="20% - Accent6 5 2 2 2 5 2 2" xfId="7536" xr:uid="{00000000-0005-0000-0000-0000CB220000}"/>
    <cellStyle name="20% - Accent6 5 2 2 2 5 3" xfId="7537" xr:uid="{00000000-0005-0000-0000-0000CC220000}"/>
    <cellStyle name="20% - Accent6 5 2 2 2 5 4" xfId="7538" xr:uid="{00000000-0005-0000-0000-0000CD220000}"/>
    <cellStyle name="20% - Accent6 5 2 2 2 6" xfId="7539" xr:uid="{00000000-0005-0000-0000-0000CE220000}"/>
    <cellStyle name="20% - Accent6 5 2 2 2 6 2" xfId="7540" xr:uid="{00000000-0005-0000-0000-0000CF220000}"/>
    <cellStyle name="20% - Accent6 5 2 2 2 6 2 2" xfId="7541" xr:uid="{00000000-0005-0000-0000-0000D0220000}"/>
    <cellStyle name="20% - Accent6 5 2 2 2 6 3" xfId="7542" xr:uid="{00000000-0005-0000-0000-0000D1220000}"/>
    <cellStyle name="20% - Accent6 5 2 2 2 6 4" xfId="7543" xr:uid="{00000000-0005-0000-0000-0000D2220000}"/>
    <cellStyle name="20% - Accent6 5 2 2 2 7" xfId="7544" xr:uid="{00000000-0005-0000-0000-0000D3220000}"/>
    <cellStyle name="20% - Accent6 5 2 2 2 7 2" xfId="7545" xr:uid="{00000000-0005-0000-0000-0000D4220000}"/>
    <cellStyle name="20% - Accent6 5 2 2 2 8" xfId="7546" xr:uid="{00000000-0005-0000-0000-0000D5220000}"/>
    <cellStyle name="20% - Accent6 5 2 2 2 9" xfId="7547" xr:uid="{00000000-0005-0000-0000-0000D6220000}"/>
    <cellStyle name="20% - Accent6 5 2 2 3" xfId="7548" xr:uid="{00000000-0005-0000-0000-0000D7220000}"/>
    <cellStyle name="20% - Accent6 5 2 2 3 2" xfId="7549" xr:uid="{00000000-0005-0000-0000-0000D8220000}"/>
    <cellStyle name="20% - Accent6 5 2 2 3 2 2" xfId="7550" xr:uid="{00000000-0005-0000-0000-0000D9220000}"/>
    <cellStyle name="20% - Accent6 5 2 2 3 2 2 2" xfId="7551" xr:uid="{00000000-0005-0000-0000-0000DA220000}"/>
    <cellStyle name="20% - Accent6 5 2 2 3 2 3" xfId="7552" xr:uid="{00000000-0005-0000-0000-0000DB220000}"/>
    <cellStyle name="20% - Accent6 5 2 2 3 2 4" xfId="7553" xr:uid="{00000000-0005-0000-0000-0000DC220000}"/>
    <cellStyle name="20% - Accent6 5 2 2 3 2 5" xfId="37735" xr:uid="{00000000-0005-0000-0000-0000DD220000}"/>
    <cellStyle name="20% - Accent6 5 2 2 3 3" xfId="7554" xr:uid="{00000000-0005-0000-0000-0000DE220000}"/>
    <cellStyle name="20% - Accent6 5 2 2 3 3 2" xfId="7555" xr:uid="{00000000-0005-0000-0000-0000DF220000}"/>
    <cellStyle name="20% - Accent6 5 2 2 3 4" xfId="7556" xr:uid="{00000000-0005-0000-0000-0000E0220000}"/>
    <cellStyle name="20% - Accent6 5 2 2 3 5" xfId="7557" xr:uid="{00000000-0005-0000-0000-0000E1220000}"/>
    <cellStyle name="20% - Accent6 5 2 2 3 6" xfId="37734" xr:uid="{00000000-0005-0000-0000-0000E2220000}"/>
    <cellStyle name="20% - Accent6 5 2 2 4" xfId="7558" xr:uid="{00000000-0005-0000-0000-0000E3220000}"/>
    <cellStyle name="20% - Accent6 5 2 2 4 2" xfId="7559" xr:uid="{00000000-0005-0000-0000-0000E4220000}"/>
    <cellStyle name="20% - Accent6 5 2 2 4 2 2" xfId="7560" xr:uid="{00000000-0005-0000-0000-0000E5220000}"/>
    <cellStyle name="20% - Accent6 5 2 2 4 2 2 2" xfId="7561" xr:uid="{00000000-0005-0000-0000-0000E6220000}"/>
    <cellStyle name="20% - Accent6 5 2 2 4 2 3" xfId="7562" xr:uid="{00000000-0005-0000-0000-0000E7220000}"/>
    <cellStyle name="20% - Accent6 5 2 2 4 2 4" xfId="7563" xr:uid="{00000000-0005-0000-0000-0000E8220000}"/>
    <cellStyle name="20% - Accent6 5 2 2 4 2 5" xfId="37737" xr:uid="{00000000-0005-0000-0000-0000E9220000}"/>
    <cellStyle name="20% - Accent6 5 2 2 4 3" xfId="7564" xr:uid="{00000000-0005-0000-0000-0000EA220000}"/>
    <cellStyle name="20% - Accent6 5 2 2 4 3 2" xfId="7565" xr:uid="{00000000-0005-0000-0000-0000EB220000}"/>
    <cellStyle name="20% - Accent6 5 2 2 4 4" xfId="7566" xr:uid="{00000000-0005-0000-0000-0000EC220000}"/>
    <cellStyle name="20% - Accent6 5 2 2 4 5" xfId="7567" xr:uid="{00000000-0005-0000-0000-0000ED220000}"/>
    <cellStyle name="20% - Accent6 5 2 2 4 6" xfId="37736" xr:uid="{00000000-0005-0000-0000-0000EE220000}"/>
    <cellStyle name="20% - Accent6 5 2 2 5" xfId="7568" xr:uid="{00000000-0005-0000-0000-0000EF220000}"/>
    <cellStyle name="20% - Accent6 5 2 2 5 2" xfId="7569" xr:uid="{00000000-0005-0000-0000-0000F0220000}"/>
    <cellStyle name="20% - Accent6 5 2 2 5 2 2" xfId="7570" xr:uid="{00000000-0005-0000-0000-0000F1220000}"/>
    <cellStyle name="20% - Accent6 5 2 2 5 3" xfId="7571" xr:uid="{00000000-0005-0000-0000-0000F2220000}"/>
    <cellStyle name="20% - Accent6 5 2 2 5 4" xfId="7572" xr:uid="{00000000-0005-0000-0000-0000F3220000}"/>
    <cellStyle name="20% - Accent6 5 2 2 5 5" xfId="37738" xr:uid="{00000000-0005-0000-0000-0000F4220000}"/>
    <cellStyle name="20% - Accent6 5 2 2 6" xfId="7573" xr:uid="{00000000-0005-0000-0000-0000F5220000}"/>
    <cellStyle name="20% - Accent6 5 2 2 6 2" xfId="7574" xr:uid="{00000000-0005-0000-0000-0000F6220000}"/>
    <cellStyle name="20% - Accent6 5 2 2 6 2 2" xfId="7575" xr:uid="{00000000-0005-0000-0000-0000F7220000}"/>
    <cellStyle name="20% - Accent6 5 2 2 6 3" xfId="7576" xr:uid="{00000000-0005-0000-0000-0000F8220000}"/>
    <cellStyle name="20% - Accent6 5 2 2 6 4" xfId="7577" xr:uid="{00000000-0005-0000-0000-0000F9220000}"/>
    <cellStyle name="20% - Accent6 5 2 2 7" xfId="7578" xr:uid="{00000000-0005-0000-0000-0000FA220000}"/>
    <cellStyle name="20% - Accent6 5 2 2 7 2" xfId="7579" xr:uid="{00000000-0005-0000-0000-0000FB220000}"/>
    <cellStyle name="20% - Accent6 5 2 2 7 2 2" xfId="7580" xr:uid="{00000000-0005-0000-0000-0000FC220000}"/>
    <cellStyle name="20% - Accent6 5 2 2 7 3" xfId="7581" xr:uid="{00000000-0005-0000-0000-0000FD220000}"/>
    <cellStyle name="20% - Accent6 5 2 2 7 4" xfId="7582" xr:uid="{00000000-0005-0000-0000-0000FE220000}"/>
    <cellStyle name="20% - Accent6 5 2 2 8" xfId="7583" xr:uid="{00000000-0005-0000-0000-0000FF220000}"/>
    <cellStyle name="20% - Accent6 5 2 2 8 2" xfId="7584" xr:uid="{00000000-0005-0000-0000-000000230000}"/>
    <cellStyle name="20% - Accent6 5 2 2 9" xfId="7585" xr:uid="{00000000-0005-0000-0000-000001230000}"/>
    <cellStyle name="20% - Accent6 5 2 3" xfId="7586" xr:uid="{00000000-0005-0000-0000-000002230000}"/>
    <cellStyle name="20% - Accent6 5 2 3 10" xfId="34656" xr:uid="{00000000-0005-0000-0000-000003230000}"/>
    <cellStyle name="20% - Accent6 5 2 3 2" xfId="7587" xr:uid="{00000000-0005-0000-0000-000004230000}"/>
    <cellStyle name="20% - Accent6 5 2 3 2 2" xfId="7588" xr:uid="{00000000-0005-0000-0000-000005230000}"/>
    <cellStyle name="20% - Accent6 5 2 3 2 2 2" xfId="7589" xr:uid="{00000000-0005-0000-0000-000006230000}"/>
    <cellStyle name="20% - Accent6 5 2 3 2 2 2 2" xfId="7590" xr:uid="{00000000-0005-0000-0000-000007230000}"/>
    <cellStyle name="20% - Accent6 5 2 3 2 2 3" xfId="7591" xr:uid="{00000000-0005-0000-0000-000008230000}"/>
    <cellStyle name="20% - Accent6 5 2 3 2 2 4" xfId="7592" xr:uid="{00000000-0005-0000-0000-000009230000}"/>
    <cellStyle name="20% - Accent6 5 2 3 2 2 5" xfId="37740" xr:uid="{00000000-0005-0000-0000-00000A230000}"/>
    <cellStyle name="20% - Accent6 5 2 3 2 3" xfId="7593" xr:uid="{00000000-0005-0000-0000-00000B230000}"/>
    <cellStyle name="20% - Accent6 5 2 3 2 3 2" xfId="7594" xr:uid="{00000000-0005-0000-0000-00000C230000}"/>
    <cellStyle name="20% - Accent6 5 2 3 2 4" xfId="7595" xr:uid="{00000000-0005-0000-0000-00000D230000}"/>
    <cellStyle name="20% - Accent6 5 2 3 2 5" xfId="7596" xr:uid="{00000000-0005-0000-0000-00000E230000}"/>
    <cellStyle name="20% - Accent6 5 2 3 2 6" xfId="37739" xr:uid="{00000000-0005-0000-0000-00000F230000}"/>
    <cellStyle name="20% - Accent6 5 2 3 3" xfId="7597" xr:uid="{00000000-0005-0000-0000-000010230000}"/>
    <cellStyle name="20% - Accent6 5 2 3 3 2" xfId="7598" xr:uid="{00000000-0005-0000-0000-000011230000}"/>
    <cellStyle name="20% - Accent6 5 2 3 3 2 2" xfId="7599" xr:uid="{00000000-0005-0000-0000-000012230000}"/>
    <cellStyle name="20% - Accent6 5 2 3 3 2 2 2" xfId="7600" xr:uid="{00000000-0005-0000-0000-000013230000}"/>
    <cellStyle name="20% - Accent6 5 2 3 3 2 3" xfId="7601" xr:uid="{00000000-0005-0000-0000-000014230000}"/>
    <cellStyle name="20% - Accent6 5 2 3 3 2 4" xfId="7602" xr:uid="{00000000-0005-0000-0000-000015230000}"/>
    <cellStyle name="20% - Accent6 5 2 3 3 2 5" xfId="37742" xr:uid="{00000000-0005-0000-0000-000016230000}"/>
    <cellStyle name="20% - Accent6 5 2 3 3 3" xfId="7603" xr:uid="{00000000-0005-0000-0000-000017230000}"/>
    <cellStyle name="20% - Accent6 5 2 3 3 3 2" xfId="7604" xr:uid="{00000000-0005-0000-0000-000018230000}"/>
    <cellStyle name="20% - Accent6 5 2 3 3 4" xfId="7605" xr:uid="{00000000-0005-0000-0000-000019230000}"/>
    <cellStyle name="20% - Accent6 5 2 3 3 5" xfId="7606" xr:uid="{00000000-0005-0000-0000-00001A230000}"/>
    <cellStyle name="20% - Accent6 5 2 3 3 6" xfId="37741" xr:uid="{00000000-0005-0000-0000-00001B230000}"/>
    <cellStyle name="20% - Accent6 5 2 3 4" xfId="7607" xr:uid="{00000000-0005-0000-0000-00001C230000}"/>
    <cellStyle name="20% - Accent6 5 2 3 4 2" xfId="7608" xr:uid="{00000000-0005-0000-0000-00001D230000}"/>
    <cellStyle name="20% - Accent6 5 2 3 4 2 2" xfId="7609" xr:uid="{00000000-0005-0000-0000-00001E230000}"/>
    <cellStyle name="20% - Accent6 5 2 3 4 3" xfId="7610" xr:uid="{00000000-0005-0000-0000-00001F230000}"/>
    <cellStyle name="20% - Accent6 5 2 3 4 4" xfId="7611" xr:uid="{00000000-0005-0000-0000-000020230000}"/>
    <cellStyle name="20% - Accent6 5 2 3 4 5" xfId="37743" xr:uid="{00000000-0005-0000-0000-000021230000}"/>
    <cellStyle name="20% - Accent6 5 2 3 5" xfId="7612" xr:uid="{00000000-0005-0000-0000-000022230000}"/>
    <cellStyle name="20% - Accent6 5 2 3 5 2" xfId="7613" xr:uid="{00000000-0005-0000-0000-000023230000}"/>
    <cellStyle name="20% - Accent6 5 2 3 5 2 2" xfId="7614" xr:uid="{00000000-0005-0000-0000-000024230000}"/>
    <cellStyle name="20% - Accent6 5 2 3 5 3" xfId="7615" xr:uid="{00000000-0005-0000-0000-000025230000}"/>
    <cellStyle name="20% - Accent6 5 2 3 5 4" xfId="7616" xr:uid="{00000000-0005-0000-0000-000026230000}"/>
    <cellStyle name="20% - Accent6 5 2 3 6" xfId="7617" xr:uid="{00000000-0005-0000-0000-000027230000}"/>
    <cellStyle name="20% - Accent6 5 2 3 6 2" xfId="7618" xr:uid="{00000000-0005-0000-0000-000028230000}"/>
    <cellStyle name="20% - Accent6 5 2 3 6 2 2" xfId="7619" xr:uid="{00000000-0005-0000-0000-000029230000}"/>
    <cellStyle name="20% - Accent6 5 2 3 6 3" xfId="7620" xr:uid="{00000000-0005-0000-0000-00002A230000}"/>
    <cellStyle name="20% - Accent6 5 2 3 6 4" xfId="7621" xr:uid="{00000000-0005-0000-0000-00002B230000}"/>
    <cellStyle name="20% - Accent6 5 2 3 7" xfId="7622" xr:uid="{00000000-0005-0000-0000-00002C230000}"/>
    <cellStyle name="20% - Accent6 5 2 3 7 2" xfId="7623" xr:uid="{00000000-0005-0000-0000-00002D230000}"/>
    <cellStyle name="20% - Accent6 5 2 3 8" xfId="7624" xr:uid="{00000000-0005-0000-0000-00002E230000}"/>
    <cellStyle name="20% - Accent6 5 2 3 9" xfId="7625" xr:uid="{00000000-0005-0000-0000-00002F230000}"/>
    <cellStyle name="20% - Accent6 5 2 4" xfId="7626" xr:uid="{00000000-0005-0000-0000-000030230000}"/>
    <cellStyle name="20% - Accent6 5 2 4 2" xfId="7627" xr:uid="{00000000-0005-0000-0000-000031230000}"/>
    <cellStyle name="20% - Accent6 5 2 4 2 2" xfId="7628" xr:uid="{00000000-0005-0000-0000-000032230000}"/>
    <cellStyle name="20% - Accent6 5 2 4 2 2 2" xfId="7629" xr:uid="{00000000-0005-0000-0000-000033230000}"/>
    <cellStyle name="20% - Accent6 5 2 4 2 3" xfId="7630" xr:uid="{00000000-0005-0000-0000-000034230000}"/>
    <cellStyle name="20% - Accent6 5 2 4 2 4" xfId="7631" xr:uid="{00000000-0005-0000-0000-000035230000}"/>
    <cellStyle name="20% - Accent6 5 2 4 2 5" xfId="37745" xr:uid="{00000000-0005-0000-0000-000036230000}"/>
    <cellStyle name="20% - Accent6 5 2 4 3" xfId="7632" xr:uid="{00000000-0005-0000-0000-000037230000}"/>
    <cellStyle name="20% - Accent6 5 2 4 3 2" xfId="7633" xr:uid="{00000000-0005-0000-0000-000038230000}"/>
    <cellStyle name="20% - Accent6 5 2 4 4" xfId="7634" xr:uid="{00000000-0005-0000-0000-000039230000}"/>
    <cellStyle name="20% - Accent6 5 2 4 5" xfId="7635" xr:uid="{00000000-0005-0000-0000-00003A230000}"/>
    <cellStyle name="20% - Accent6 5 2 4 6" xfId="37744" xr:uid="{00000000-0005-0000-0000-00003B230000}"/>
    <cellStyle name="20% - Accent6 5 2 5" xfId="7636" xr:uid="{00000000-0005-0000-0000-00003C230000}"/>
    <cellStyle name="20% - Accent6 5 2 5 2" xfId="7637" xr:uid="{00000000-0005-0000-0000-00003D230000}"/>
    <cellStyle name="20% - Accent6 5 2 5 2 2" xfId="7638" xr:uid="{00000000-0005-0000-0000-00003E230000}"/>
    <cellStyle name="20% - Accent6 5 2 5 2 2 2" xfId="7639" xr:uid="{00000000-0005-0000-0000-00003F230000}"/>
    <cellStyle name="20% - Accent6 5 2 5 2 3" xfId="7640" xr:uid="{00000000-0005-0000-0000-000040230000}"/>
    <cellStyle name="20% - Accent6 5 2 5 2 4" xfId="7641" xr:uid="{00000000-0005-0000-0000-000041230000}"/>
    <cellStyle name="20% - Accent6 5 2 5 2 5" xfId="37747" xr:uid="{00000000-0005-0000-0000-000042230000}"/>
    <cellStyle name="20% - Accent6 5 2 5 3" xfId="7642" xr:uid="{00000000-0005-0000-0000-000043230000}"/>
    <cellStyle name="20% - Accent6 5 2 5 3 2" xfId="7643" xr:uid="{00000000-0005-0000-0000-000044230000}"/>
    <cellStyle name="20% - Accent6 5 2 5 4" xfId="7644" xr:uid="{00000000-0005-0000-0000-000045230000}"/>
    <cellStyle name="20% - Accent6 5 2 5 5" xfId="7645" xr:uid="{00000000-0005-0000-0000-000046230000}"/>
    <cellStyle name="20% - Accent6 5 2 5 6" xfId="37746" xr:uid="{00000000-0005-0000-0000-000047230000}"/>
    <cellStyle name="20% - Accent6 5 2 6" xfId="7646" xr:uid="{00000000-0005-0000-0000-000048230000}"/>
    <cellStyle name="20% - Accent6 5 2 6 2" xfId="7647" xr:uid="{00000000-0005-0000-0000-000049230000}"/>
    <cellStyle name="20% - Accent6 5 2 6 2 2" xfId="7648" xr:uid="{00000000-0005-0000-0000-00004A230000}"/>
    <cellStyle name="20% - Accent6 5 2 6 3" xfId="7649" xr:uid="{00000000-0005-0000-0000-00004B230000}"/>
    <cellStyle name="20% - Accent6 5 2 6 4" xfId="7650" xr:uid="{00000000-0005-0000-0000-00004C230000}"/>
    <cellStyle name="20% - Accent6 5 2 6 5" xfId="37748" xr:uid="{00000000-0005-0000-0000-00004D230000}"/>
    <cellStyle name="20% - Accent6 5 2 7" xfId="7651" xr:uid="{00000000-0005-0000-0000-00004E230000}"/>
    <cellStyle name="20% - Accent6 5 2 7 2" xfId="7652" xr:uid="{00000000-0005-0000-0000-00004F230000}"/>
    <cellStyle name="20% - Accent6 5 2 7 2 2" xfId="7653" xr:uid="{00000000-0005-0000-0000-000050230000}"/>
    <cellStyle name="20% - Accent6 5 2 7 3" xfId="7654" xr:uid="{00000000-0005-0000-0000-000051230000}"/>
    <cellStyle name="20% - Accent6 5 2 7 4" xfId="7655" xr:uid="{00000000-0005-0000-0000-000052230000}"/>
    <cellStyle name="20% - Accent6 5 2 8" xfId="7656" xr:uid="{00000000-0005-0000-0000-000053230000}"/>
    <cellStyle name="20% - Accent6 5 2 8 2" xfId="7657" xr:uid="{00000000-0005-0000-0000-000054230000}"/>
    <cellStyle name="20% - Accent6 5 2 8 2 2" xfId="7658" xr:uid="{00000000-0005-0000-0000-000055230000}"/>
    <cellStyle name="20% - Accent6 5 2 8 3" xfId="7659" xr:uid="{00000000-0005-0000-0000-000056230000}"/>
    <cellStyle name="20% - Accent6 5 2 8 4" xfId="7660" xr:uid="{00000000-0005-0000-0000-000057230000}"/>
    <cellStyle name="20% - Accent6 5 2 9" xfId="7661" xr:uid="{00000000-0005-0000-0000-000058230000}"/>
    <cellStyle name="20% - Accent6 5 2 9 2" xfId="7662" xr:uid="{00000000-0005-0000-0000-000059230000}"/>
    <cellStyle name="20% - Accent6 5 3" xfId="7663" xr:uid="{00000000-0005-0000-0000-00005A230000}"/>
    <cellStyle name="20% - Accent6 5 3 10" xfId="7664" xr:uid="{00000000-0005-0000-0000-00005B230000}"/>
    <cellStyle name="20% - Accent6 5 3 11" xfId="34657" xr:uid="{00000000-0005-0000-0000-00005C230000}"/>
    <cellStyle name="20% - Accent6 5 3 2" xfId="7665" xr:uid="{00000000-0005-0000-0000-00005D230000}"/>
    <cellStyle name="20% - Accent6 5 3 2 10" xfId="34658" xr:uid="{00000000-0005-0000-0000-00005E230000}"/>
    <cellStyle name="20% - Accent6 5 3 2 2" xfId="7666" xr:uid="{00000000-0005-0000-0000-00005F230000}"/>
    <cellStyle name="20% - Accent6 5 3 2 2 2" xfId="7667" xr:uid="{00000000-0005-0000-0000-000060230000}"/>
    <cellStyle name="20% - Accent6 5 3 2 2 2 2" xfId="7668" xr:uid="{00000000-0005-0000-0000-000061230000}"/>
    <cellStyle name="20% - Accent6 5 3 2 2 2 2 2" xfId="7669" xr:uid="{00000000-0005-0000-0000-000062230000}"/>
    <cellStyle name="20% - Accent6 5 3 2 2 2 3" xfId="7670" xr:uid="{00000000-0005-0000-0000-000063230000}"/>
    <cellStyle name="20% - Accent6 5 3 2 2 2 4" xfId="7671" xr:uid="{00000000-0005-0000-0000-000064230000}"/>
    <cellStyle name="20% - Accent6 5 3 2 2 2 5" xfId="37750" xr:uid="{00000000-0005-0000-0000-000065230000}"/>
    <cellStyle name="20% - Accent6 5 3 2 2 3" xfId="7672" xr:uid="{00000000-0005-0000-0000-000066230000}"/>
    <cellStyle name="20% - Accent6 5 3 2 2 3 2" xfId="7673" xr:uid="{00000000-0005-0000-0000-000067230000}"/>
    <cellStyle name="20% - Accent6 5 3 2 2 4" xfId="7674" xr:uid="{00000000-0005-0000-0000-000068230000}"/>
    <cellStyle name="20% - Accent6 5 3 2 2 5" xfId="7675" xr:uid="{00000000-0005-0000-0000-000069230000}"/>
    <cellStyle name="20% - Accent6 5 3 2 2 6" xfId="37749" xr:uid="{00000000-0005-0000-0000-00006A230000}"/>
    <cellStyle name="20% - Accent6 5 3 2 3" xfId="7676" xr:uid="{00000000-0005-0000-0000-00006B230000}"/>
    <cellStyle name="20% - Accent6 5 3 2 3 2" xfId="7677" xr:uid="{00000000-0005-0000-0000-00006C230000}"/>
    <cellStyle name="20% - Accent6 5 3 2 3 2 2" xfId="7678" xr:uid="{00000000-0005-0000-0000-00006D230000}"/>
    <cellStyle name="20% - Accent6 5 3 2 3 2 2 2" xfId="7679" xr:uid="{00000000-0005-0000-0000-00006E230000}"/>
    <cellStyle name="20% - Accent6 5 3 2 3 2 3" xfId="7680" xr:uid="{00000000-0005-0000-0000-00006F230000}"/>
    <cellStyle name="20% - Accent6 5 3 2 3 2 4" xfId="7681" xr:uid="{00000000-0005-0000-0000-000070230000}"/>
    <cellStyle name="20% - Accent6 5 3 2 3 2 5" xfId="37752" xr:uid="{00000000-0005-0000-0000-000071230000}"/>
    <cellStyle name="20% - Accent6 5 3 2 3 3" xfId="7682" xr:uid="{00000000-0005-0000-0000-000072230000}"/>
    <cellStyle name="20% - Accent6 5 3 2 3 3 2" xfId="7683" xr:uid="{00000000-0005-0000-0000-000073230000}"/>
    <cellStyle name="20% - Accent6 5 3 2 3 4" xfId="7684" xr:uid="{00000000-0005-0000-0000-000074230000}"/>
    <cellStyle name="20% - Accent6 5 3 2 3 5" xfId="7685" xr:uid="{00000000-0005-0000-0000-000075230000}"/>
    <cellStyle name="20% - Accent6 5 3 2 3 6" xfId="37751" xr:uid="{00000000-0005-0000-0000-000076230000}"/>
    <cellStyle name="20% - Accent6 5 3 2 4" xfId="7686" xr:uid="{00000000-0005-0000-0000-000077230000}"/>
    <cellStyle name="20% - Accent6 5 3 2 4 2" xfId="7687" xr:uid="{00000000-0005-0000-0000-000078230000}"/>
    <cellStyle name="20% - Accent6 5 3 2 4 2 2" xfId="7688" xr:uid="{00000000-0005-0000-0000-000079230000}"/>
    <cellStyle name="20% - Accent6 5 3 2 4 3" xfId="7689" xr:uid="{00000000-0005-0000-0000-00007A230000}"/>
    <cellStyle name="20% - Accent6 5 3 2 4 4" xfId="7690" xr:uid="{00000000-0005-0000-0000-00007B230000}"/>
    <cellStyle name="20% - Accent6 5 3 2 4 5" xfId="37753" xr:uid="{00000000-0005-0000-0000-00007C230000}"/>
    <cellStyle name="20% - Accent6 5 3 2 5" xfId="7691" xr:uid="{00000000-0005-0000-0000-00007D230000}"/>
    <cellStyle name="20% - Accent6 5 3 2 5 2" xfId="7692" xr:uid="{00000000-0005-0000-0000-00007E230000}"/>
    <cellStyle name="20% - Accent6 5 3 2 5 2 2" xfId="7693" xr:uid="{00000000-0005-0000-0000-00007F230000}"/>
    <cellStyle name="20% - Accent6 5 3 2 5 3" xfId="7694" xr:uid="{00000000-0005-0000-0000-000080230000}"/>
    <cellStyle name="20% - Accent6 5 3 2 5 4" xfId="7695" xr:uid="{00000000-0005-0000-0000-000081230000}"/>
    <cellStyle name="20% - Accent6 5 3 2 6" xfId="7696" xr:uid="{00000000-0005-0000-0000-000082230000}"/>
    <cellStyle name="20% - Accent6 5 3 2 6 2" xfId="7697" xr:uid="{00000000-0005-0000-0000-000083230000}"/>
    <cellStyle name="20% - Accent6 5 3 2 6 2 2" xfId="7698" xr:uid="{00000000-0005-0000-0000-000084230000}"/>
    <cellStyle name="20% - Accent6 5 3 2 6 3" xfId="7699" xr:uid="{00000000-0005-0000-0000-000085230000}"/>
    <cellStyle name="20% - Accent6 5 3 2 6 4" xfId="7700" xr:uid="{00000000-0005-0000-0000-000086230000}"/>
    <cellStyle name="20% - Accent6 5 3 2 7" xfId="7701" xr:uid="{00000000-0005-0000-0000-000087230000}"/>
    <cellStyle name="20% - Accent6 5 3 2 7 2" xfId="7702" xr:uid="{00000000-0005-0000-0000-000088230000}"/>
    <cellStyle name="20% - Accent6 5 3 2 8" xfId="7703" xr:uid="{00000000-0005-0000-0000-000089230000}"/>
    <cellStyle name="20% - Accent6 5 3 2 9" xfId="7704" xr:uid="{00000000-0005-0000-0000-00008A230000}"/>
    <cellStyle name="20% - Accent6 5 3 3" xfId="7705" xr:uid="{00000000-0005-0000-0000-00008B230000}"/>
    <cellStyle name="20% - Accent6 5 3 3 2" xfId="7706" xr:uid="{00000000-0005-0000-0000-00008C230000}"/>
    <cellStyle name="20% - Accent6 5 3 3 2 2" xfId="7707" xr:uid="{00000000-0005-0000-0000-00008D230000}"/>
    <cellStyle name="20% - Accent6 5 3 3 2 2 2" xfId="7708" xr:uid="{00000000-0005-0000-0000-00008E230000}"/>
    <cellStyle name="20% - Accent6 5 3 3 2 3" xfId="7709" xr:uid="{00000000-0005-0000-0000-00008F230000}"/>
    <cellStyle name="20% - Accent6 5 3 3 2 4" xfId="7710" xr:uid="{00000000-0005-0000-0000-000090230000}"/>
    <cellStyle name="20% - Accent6 5 3 3 2 5" xfId="37755" xr:uid="{00000000-0005-0000-0000-000091230000}"/>
    <cellStyle name="20% - Accent6 5 3 3 3" xfId="7711" xr:uid="{00000000-0005-0000-0000-000092230000}"/>
    <cellStyle name="20% - Accent6 5 3 3 3 2" xfId="7712" xr:uid="{00000000-0005-0000-0000-000093230000}"/>
    <cellStyle name="20% - Accent6 5 3 3 4" xfId="7713" xr:uid="{00000000-0005-0000-0000-000094230000}"/>
    <cellStyle name="20% - Accent6 5 3 3 5" xfId="7714" xr:uid="{00000000-0005-0000-0000-000095230000}"/>
    <cellStyle name="20% - Accent6 5 3 3 6" xfId="37754" xr:uid="{00000000-0005-0000-0000-000096230000}"/>
    <cellStyle name="20% - Accent6 5 3 4" xfId="7715" xr:uid="{00000000-0005-0000-0000-000097230000}"/>
    <cellStyle name="20% - Accent6 5 3 4 2" xfId="7716" xr:uid="{00000000-0005-0000-0000-000098230000}"/>
    <cellStyle name="20% - Accent6 5 3 4 2 2" xfId="7717" xr:uid="{00000000-0005-0000-0000-000099230000}"/>
    <cellStyle name="20% - Accent6 5 3 4 2 2 2" xfId="7718" xr:uid="{00000000-0005-0000-0000-00009A230000}"/>
    <cellStyle name="20% - Accent6 5 3 4 2 3" xfId="7719" xr:uid="{00000000-0005-0000-0000-00009B230000}"/>
    <cellStyle name="20% - Accent6 5 3 4 2 4" xfId="7720" xr:uid="{00000000-0005-0000-0000-00009C230000}"/>
    <cellStyle name="20% - Accent6 5 3 4 2 5" xfId="37757" xr:uid="{00000000-0005-0000-0000-00009D230000}"/>
    <cellStyle name="20% - Accent6 5 3 4 3" xfId="7721" xr:uid="{00000000-0005-0000-0000-00009E230000}"/>
    <cellStyle name="20% - Accent6 5 3 4 3 2" xfId="7722" xr:uid="{00000000-0005-0000-0000-00009F230000}"/>
    <cellStyle name="20% - Accent6 5 3 4 4" xfId="7723" xr:uid="{00000000-0005-0000-0000-0000A0230000}"/>
    <cellStyle name="20% - Accent6 5 3 4 5" xfId="7724" xr:uid="{00000000-0005-0000-0000-0000A1230000}"/>
    <cellStyle name="20% - Accent6 5 3 4 6" xfId="37756" xr:uid="{00000000-0005-0000-0000-0000A2230000}"/>
    <cellStyle name="20% - Accent6 5 3 5" xfId="7725" xr:uid="{00000000-0005-0000-0000-0000A3230000}"/>
    <cellStyle name="20% - Accent6 5 3 5 2" xfId="7726" xr:uid="{00000000-0005-0000-0000-0000A4230000}"/>
    <cellStyle name="20% - Accent6 5 3 5 2 2" xfId="7727" xr:uid="{00000000-0005-0000-0000-0000A5230000}"/>
    <cellStyle name="20% - Accent6 5 3 5 3" xfId="7728" xr:uid="{00000000-0005-0000-0000-0000A6230000}"/>
    <cellStyle name="20% - Accent6 5 3 5 4" xfId="7729" xr:uid="{00000000-0005-0000-0000-0000A7230000}"/>
    <cellStyle name="20% - Accent6 5 3 5 5" xfId="37758" xr:uid="{00000000-0005-0000-0000-0000A8230000}"/>
    <cellStyle name="20% - Accent6 5 3 6" xfId="7730" xr:uid="{00000000-0005-0000-0000-0000A9230000}"/>
    <cellStyle name="20% - Accent6 5 3 6 2" xfId="7731" xr:uid="{00000000-0005-0000-0000-0000AA230000}"/>
    <cellStyle name="20% - Accent6 5 3 6 2 2" xfId="7732" xr:uid="{00000000-0005-0000-0000-0000AB230000}"/>
    <cellStyle name="20% - Accent6 5 3 6 3" xfId="7733" xr:uid="{00000000-0005-0000-0000-0000AC230000}"/>
    <cellStyle name="20% - Accent6 5 3 6 4" xfId="7734" xr:uid="{00000000-0005-0000-0000-0000AD230000}"/>
    <cellStyle name="20% - Accent6 5 3 7" xfId="7735" xr:uid="{00000000-0005-0000-0000-0000AE230000}"/>
    <cellStyle name="20% - Accent6 5 3 7 2" xfId="7736" xr:uid="{00000000-0005-0000-0000-0000AF230000}"/>
    <cellStyle name="20% - Accent6 5 3 7 2 2" xfId="7737" xr:uid="{00000000-0005-0000-0000-0000B0230000}"/>
    <cellStyle name="20% - Accent6 5 3 7 3" xfId="7738" xr:uid="{00000000-0005-0000-0000-0000B1230000}"/>
    <cellStyle name="20% - Accent6 5 3 7 4" xfId="7739" xr:uid="{00000000-0005-0000-0000-0000B2230000}"/>
    <cellStyle name="20% - Accent6 5 3 8" xfId="7740" xr:uid="{00000000-0005-0000-0000-0000B3230000}"/>
    <cellStyle name="20% - Accent6 5 3 8 2" xfId="7741" xr:uid="{00000000-0005-0000-0000-0000B4230000}"/>
    <cellStyle name="20% - Accent6 5 3 9" xfId="7742" xr:uid="{00000000-0005-0000-0000-0000B5230000}"/>
    <cellStyle name="20% - Accent6 5 4" xfId="7743" xr:uid="{00000000-0005-0000-0000-0000B6230000}"/>
    <cellStyle name="20% - Accent6 5 4 10" xfId="34659" xr:uid="{00000000-0005-0000-0000-0000B7230000}"/>
    <cellStyle name="20% - Accent6 5 4 2" xfId="7744" xr:uid="{00000000-0005-0000-0000-0000B8230000}"/>
    <cellStyle name="20% - Accent6 5 4 2 2" xfId="7745" xr:uid="{00000000-0005-0000-0000-0000B9230000}"/>
    <cellStyle name="20% - Accent6 5 4 2 2 2" xfId="7746" xr:uid="{00000000-0005-0000-0000-0000BA230000}"/>
    <cellStyle name="20% - Accent6 5 4 2 2 2 2" xfId="7747" xr:uid="{00000000-0005-0000-0000-0000BB230000}"/>
    <cellStyle name="20% - Accent6 5 4 2 2 3" xfId="7748" xr:uid="{00000000-0005-0000-0000-0000BC230000}"/>
    <cellStyle name="20% - Accent6 5 4 2 2 4" xfId="7749" xr:uid="{00000000-0005-0000-0000-0000BD230000}"/>
    <cellStyle name="20% - Accent6 5 4 2 2 5" xfId="37760" xr:uid="{00000000-0005-0000-0000-0000BE230000}"/>
    <cellStyle name="20% - Accent6 5 4 2 3" xfId="7750" xr:uid="{00000000-0005-0000-0000-0000BF230000}"/>
    <cellStyle name="20% - Accent6 5 4 2 3 2" xfId="7751" xr:uid="{00000000-0005-0000-0000-0000C0230000}"/>
    <cellStyle name="20% - Accent6 5 4 2 4" xfId="7752" xr:uid="{00000000-0005-0000-0000-0000C1230000}"/>
    <cellStyle name="20% - Accent6 5 4 2 5" xfId="7753" xr:uid="{00000000-0005-0000-0000-0000C2230000}"/>
    <cellStyle name="20% - Accent6 5 4 2 6" xfId="37759" xr:uid="{00000000-0005-0000-0000-0000C3230000}"/>
    <cellStyle name="20% - Accent6 5 4 3" xfId="7754" xr:uid="{00000000-0005-0000-0000-0000C4230000}"/>
    <cellStyle name="20% - Accent6 5 4 3 2" xfId="7755" xr:uid="{00000000-0005-0000-0000-0000C5230000}"/>
    <cellStyle name="20% - Accent6 5 4 3 2 2" xfId="7756" xr:uid="{00000000-0005-0000-0000-0000C6230000}"/>
    <cellStyle name="20% - Accent6 5 4 3 2 2 2" xfId="7757" xr:uid="{00000000-0005-0000-0000-0000C7230000}"/>
    <cellStyle name="20% - Accent6 5 4 3 2 3" xfId="7758" xr:uid="{00000000-0005-0000-0000-0000C8230000}"/>
    <cellStyle name="20% - Accent6 5 4 3 2 4" xfId="7759" xr:uid="{00000000-0005-0000-0000-0000C9230000}"/>
    <cellStyle name="20% - Accent6 5 4 3 2 5" xfId="37762" xr:uid="{00000000-0005-0000-0000-0000CA230000}"/>
    <cellStyle name="20% - Accent6 5 4 3 3" xfId="7760" xr:uid="{00000000-0005-0000-0000-0000CB230000}"/>
    <cellStyle name="20% - Accent6 5 4 3 3 2" xfId="7761" xr:uid="{00000000-0005-0000-0000-0000CC230000}"/>
    <cellStyle name="20% - Accent6 5 4 3 4" xfId="7762" xr:uid="{00000000-0005-0000-0000-0000CD230000}"/>
    <cellStyle name="20% - Accent6 5 4 3 5" xfId="7763" xr:uid="{00000000-0005-0000-0000-0000CE230000}"/>
    <cellStyle name="20% - Accent6 5 4 3 6" xfId="37761" xr:uid="{00000000-0005-0000-0000-0000CF230000}"/>
    <cellStyle name="20% - Accent6 5 4 4" xfId="7764" xr:uid="{00000000-0005-0000-0000-0000D0230000}"/>
    <cellStyle name="20% - Accent6 5 4 4 2" xfId="7765" xr:uid="{00000000-0005-0000-0000-0000D1230000}"/>
    <cellStyle name="20% - Accent6 5 4 4 2 2" xfId="7766" xr:uid="{00000000-0005-0000-0000-0000D2230000}"/>
    <cellStyle name="20% - Accent6 5 4 4 3" xfId="7767" xr:uid="{00000000-0005-0000-0000-0000D3230000}"/>
    <cellStyle name="20% - Accent6 5 4 4 4" xfId="7768" xr:uid="{00000000-0005-0000-0000-0000D4230000}"/>
    <cellStyle name="20% - Accent6 5 4 4 5" xfId="37763" xr:uid="{00000000-0005-0000-0000-0000D5230000}"/>
    <cellStyle name="20% - Accent6 5 4 5" xfId="7769" xr:uid="{00000000-0005-0000-0000-0000D6230000}"/>
    <cellStyle name="20% - Accent6 5 4 5 2" xfId="7770" xr:uid="{00000000-0005-0000-0000-0000D7230000}"/>
    <cellStyle name="20% - Accent6 5 4 5 2 2" xfId="7771" xr:uid="{00000000-0005-0000-0000-0000D8230000}"/>
    <cellStyle name="20% - Accent6 5 4 5 3" xfId="7772" xr:uid="{00000000-0005-0000-0000-0000D9230000}"/>
    <cellStyle name="20% - Accent6 5 4 5 4" xfId="7773" xr:uid="{00000000-0005-0000-0000-0000DA230000}"/>
    <cellStyle name="20% - Accent6 5 4 6" xfId="7774" xr:uid="{00000000-0005-0000-0000-0000DB230000}"/>
    <cellStyle name="20% - Accent6 5 4 6 2" xfId="7775" xr:uid="{00000000-0005-0000-0000-0000DC230000}"/>
    <cellStyle name="20% - Accent6 5 4 6 2 2" xfId="7776" xr:uid="{00000000-0005-0000-0000-0000DD230000}"/>
    <cellStyle name="20% - Accent6 5 4 6 3" xfId="7777" xr:uid="{00000000-0005-0000-0000-0000DE230000}"/>
    <cellStyle name="20% - Accent6 5 4 6 4" xfId="7778" xr:uid="{00000000-0005-0000-0000-0000DF230000}"/>
    <cellStyle name="20% - Accent6 5 4 7" xfId="7779" xr:uid="{00000000-0005-0000-0000-0000E0230000}"/>
    <cellStyle name="20% - Accent6 5 4 7 2" xfId="7780" xr:uid="{00000000-0005-0000-0000-0000E1230000}"/>
    <cellStyle name="20% - Accent6 5 4 8" xfId="7781" xr:uid="{00000000-0005-0000-0000-0000E2230000}"/>
    <cellStyle name="20% - Accent6 5 4 9" xfId="7782" xr:uid="{00000000-0005-0000-0000-0000E3230000}"/>
    <cellStyle name="20% - Accent6 5 5" xfId="7783" xr:uid="{00000000-0005-0000-0000-0000E4230000}"/>
    <cellStyle name="20% - Accent6 5 5 2" xfId="7784" xr:uid="{00000000-0005-0000-0000-0000E5230000}"/>
    <cellStyle name="20% - Accent6 5 5 2 2" xfId="7785" xr:uid="{00000000-0005-0000-0000-0000E6230000}"/>
    <cellStyle name="20% - Accent6 5 5 2 2 2" xfId="7786" xr:uid="{00000000-0005-0000-0000-0000E7230000}"/>
    <cellStyle name="20% - Accent6 5 5 2 3" xfId="7787" xr:uid="{00000000-0005-0000-0000-0000E8230000}"/>
    <cellStyle name="20% - Accent6 5 5 2 4" xfId="7788" xr:uid="{00000000-0005-0000-0000-0000E9230000}"/>
    <cellStyle name="20% - Accent6 5 5 2 5" xfId="37765" xr:uid="{00000000-0005-0000-0000-0000EA230000}"/>
    <cellStyle name="20% - Accent6 5 5 3" xfId="7789" xr:uid="{00000000-0005-0000-0000-0000EB230000}"/>
    <cellStyle name="20% - Accent6 5 5 3 2" xfId="7790" xr:uid="{00000000-0005-0000-0000-0000EC230000}"/>
    <cellStyle name="20% - Accent6 5 5 3 2 2" xfId="7791" xr:uid="{00000000-0005-0000-0000-0000ED230000}"/>
    <cellStyle name="20% - Accent6 5 5 3 3" xfId="7792" xr:uid="{00000000-0005-0000-0000-0000EE230000}"/>
    <cellStyle name="20% - Accent6 5 5 3 4" xfId="7793" xr:uid="{00000000-0005-0000-0000-0000EF230000}"/>
    <cellStyle name="20% - Accent6 5 5 3 5" xfId="37766" xr:uid="{00000000-0005-0000-0000-0000F0230000}"/>
    <cellStyle name="20% - Accent6 5 5 4" xfId="7794" xr:uid="{00000000-0005-0000-0000-0000F1230000}"/>
    <cellStyle name="20% - Accent6 5 5 4 2" xfId="7795" xr:uid="{00000000-0005-0000-0000-0000F2230000}"/>
    <cellStyle name="20% - Accent6 5 5 5" xfId="7796" xr:uid="{00000000-0005-0000-0000-0000F3230000}"/>
    <cellStyle name="20% - Accent6 5 5 6" xfId="7797" xr:uid="{00000000-0005-0000-0000-0000F4230000}"/>
    <cellStyle name="20% - Accent6 5 5 7" xfId="37764" xr:uid="{00000000-0005-0000-0000-0000F5230000}"/>
    <cellStyle name="20% - Accent6 5 6" xfId="7798" xr:uid="{00000000-0005-0000-0000-0000F6230000}"/>
    <cellStyle name="20% - Accent6 5 6 2" xfId="7799" xr:uid="{00000000-0005-0000-0000-0000F7230000}"/>
    <cellStyle name="20% - Accent6 5 6 2 2" xfId="7800" xr:uid="{00000000-0005-0000-0000-0000F8230000}"/>
    <cellStyle name="20% - Accent6 5 6 2 2 2" xfId="7801" xr:uid="{00000000-0005-0000-0000-0000F9230000}"/>
    <cellStyle name="20% - Accent6 5 6 2 3" xfId="7802" xr:uid="{00000000-0005-0000-0000-0000FA230000}"/>
    <cellStyle name="20% - Accent6 5 6 2 4" xfId="7803" xr:uid="{00000000-0005-0000-0000-0000FB230000}"/>
    <cellStyle name="20% - Accent6 5 6 2 5" xfId="37768" xr:uid="{00000000-0005-0000-0000-0000FC230000}"/>
    <cellStyle name="20% - Accent6 5 6 3" xfId="7804" xr:uid="{00000000-0005-0000-0000-0000FD230000}"/>
    <cellStyle name="20% - Accent6 5 6 3 2" xfId="7805" xr:uid="{00000000-0005-0000-0000-0000FE230000}"/>
    <cellStyle name="20% - Accent6 5 6 4" xfId="7806" xr:uid="{00000000-0005-0000-0000-0000FF230000}"/>
    <cellStyle name="20% - Accent6 5 6 5" xfId="7807" xr:uid="{00000000-0005-0000-0000-000000240000}"/>
    <cellStyle name="20% - Accent6 5 6 6" xfId="37767" xr:uid="{00000000-0005-0000-0000-000001240000}"/>
    <cellStyle name="20% - Accent6 5 7" xfId="7808" xr:uid="{00000000-0005-0000-0000-000002240000}"/>
    <cellStyle name="20% - Accent6 5 7 2" xfId="7809" xr:uid="{00000000-0005-0000-0000-000003240000}"/>
    <cellStyle name="20% - Accent6 5 7 2 2" xfId="7810" xr:uid="{00000000-0005-0000-0000-000004240000}"/>
    <cellStyle name="20% - Accent6 5 7 3" xfId="7811" xr:uid="{00000000-0005-0000-0000-000005240000}"/>
    <cellStyle name="20% - Accent6 5 7 4" xfId="7812" xr:uid="{00000000-0005-0000-0000-000006240000}"/>
    <cellStyle name="20% - Accent6 5 7 5" xfId="37769" xr:uid="{00000000-0005-0000-0000-000007240000}"/>
    <cellStyle name="20% - Accent6 5 8" xfId="7813" xr:uid="{00000000-0005-0000-0000-000008240000}"/>
    <cellStyle name="20% - Accent6 5 8 2" xfId="7814" xr:uid="{00000000-0005-0000-0000-000009240000}"/>
    <cellStyle name="20% - Accent6 5 8 2 2" xfId="7815" xr:uid="{00000000-0005-0000-0000-00000A240000}"/>
    <cellStyle name="20% - Accent6 5 8 3" xfId="7816" xr:uid="{00000000-0005-0000-0000-00000B240000}"/>
    <cellStyle name="20% - Accent6 5 8 4" xfId="7817" xr:uid="{00000000-0005-0000-0000-00000C240000}"/>
    <cellStyle name="20% - Accent6 5 9" xfId="7818" xr:uid="{00000000-0005-0000-0000-00000D240000}"/>
    <cellStyle name="20% - Accent6 5 9 2" xfId="7819" xr:uid="{00000000-0005-0000-0000-00000E240000}"/>
    <cellStyle name="20% - Accent6 5 9 2 2" xfId="7820" xr:uid="{00000000-0005-0000-0000-00000F240000}"/>
    <cellStyle name="20% - Accent6 5 9 3" xfId="7821" xr:uid="{00000000-0005-0000-0000-000010240000}"/>
    <cellStyle name="20% - Accent6 5 9 4" xfId="7822" xr:uid="{00000000-0005-0000-0000-000011240000}"/>
    <cellStyle name="20% - Accent6 6" xfId="7823" xr:uid="{00000000-0005-0000-0000-000012240000}"/>
    <cellStyle name="20% - Accent6 7" xfId="7824" xr:uid="{00000000-0005-0000-0000-000013240000}"/>
    <cellStyle name="20% - Accent6 8" xfId="7825" xr:uid="{00000000-0005-0000-0000-000014240000}"/>
    <cellStyle name="20% - Accent6 9" xfId="7826" xr:uid="{00000000-0005-0000-0000-000015240000}"/>
    <cellStyle name="20% - Accent6 9 2" xfId="7827" xr:uid="{00000000-0005-0000-0000-000016240000}"/>
    <cellStyle name="20% - Accent6 9 2 2" xfId="7828" xr:uid="{00000000-0005-0000-0000-000017240000}"/>
    <cellStyle name="20% - Accent6 9 3" xfId="7829" xr:uid="{00000000-0005-0000-0000-000018240000}"/>
    <cellStyle name="20% - Accent6 9 4" xfId="7830" xr:uid="{00000000-0005-0000-0000-000019240000}"/>
    <cellStyle name="20% - Accent6 9 5" xfId="37770" xr:uid="{00000000-0005-0000-0000-00001A240000}"/>
    <cellStyle name="40% - Accent1 10" xfId="41859" xr:uid="{CEF4EACD-51ED-4D06-B435-5127313A140E}"/>
    <cellStyle name="40% - Accent1 2" xfId="7831" xr:uid="{00000000-0005-0000-0000-00001B240000}"/>
    <cellStyle name="40% - Accent1 2 10" xfId="7832" xr:uid="{00000000-0005-0000-0000-00001C240000}"/>
    <cellStyle name="40% - Accent1 2 10 2" xfId="7833" xr:uid="{00000000-0005-0000-0000-00001D240000}"/>
    <cellStyle name="40% - Accent1 2 10 2 2" xfId="7834" xr:uid="{00000000-0005-0000-0000-00001E240000}"/>
    <cellStyle name="40% - Accent1 2 10 3" xfId="7835" xr:uid="{00000000-0005-0000-0000-00001F240000}"/>
    <cellStyle name="40% - Accent1 2 10 4" xfId="7836" xr:uid="{00000000-0005-0000-0000-000020240000}"/>
    <cellStyle name="40% - Accent1 2 10 5" xfId="37771" xr:uid="{00000000-0005-0000-0000-000021240000}"/>
    <cellStyle name="40% - Accent1 2 11" xfId="7837" xr:uid="{00000000-0005-0000-0000-000022240000}"/>
    <cellStyle name="40% - Accent1 2 11 2" xfId="7838" xr:uid="{00000000-0005-0000-0000-000023240000}"/>
    <cellStyle name="40% - Accent1 2 12" xfId="7839" xr:uid="{00000000-0005-0000-0000-000024240000}"/>
    <cellStyle name="40% - Accent1 2 13" xfId="7840" xr:uid="{00000000-0005-0000-0000-000025240000}"/>
    <cellStyle name="40% - Accent1 2 14" xfId="41860" xr:uid="{1CBCDC6C-59BB-4F80-8F4A-60ACED49E9E7}"/>
    <cellStyle name="40% - Accent1 2 2" xfId="7841" xr:uid="{00000000-0005-0000-0000-000026240000}"/>
    <cellStyle name="40% - Accent1 2 2 2" xfId="7842" xr:uid="{00000000-0005-0000-0000-000027240000}"/>
    <cellStyle name="40% - Accent1 2 2 3" xfId="7843" xr:uid="{00000000-0005-0000-0000-000028240000}"/>
    <cellStyle name="40% - Accent1 2 2 3 2" xfId="37773" xr:uid="{00000000-0005-0000-0000-000029240000}"/>
    <cellStyle name="40% - Accent1 2 2 3 3" xfId="37772" xr:uid="{00000000-0005-0000-0000-00002A240000}"/>
    <cellStyle name="40% - Accent1 2 2 4" xfId="7844" xr:uid="{00000000-0005-0000-0000-00002B240000}"/>
    <cellStyle name="40% - Accent1 2 2 5" xfId="42260" xr:uid="{0C8E98B5-0304-4E86-AA80-A1901C70D49F}"/>
    <cellStyle name="40% - Accent1 2 3" xfId="7845" xr:uid="{00000000-0005-0000-0000-00002C240000}"/>
    <cellStyle name="40% - Accent1 2 3 10" xfId="7846" xr:uid="{00000000-0005-0000-0000-00002D240000}"/>
    <cellStyle name="40% - Accent1 2 3 11" xfId="7847" xr:uid="{00000000-0005-0000-0000-00002E240000}"/>
    <cellStyle name="40% - Accent1 2 3 12" xfId="34660" xr:uid="{00000000-0005-0000-0000-00002F240000}"/>
    <cellStyle name="40% - Accent1 2 3 2" xfId="7848" xr:uid="{00000000-0005-0000-0000-000030240000}"/>
    <cellStyle name="40% - Accent1 2 3 2 10" xfId="7849" xr:uid="{00000000-0005-0000-0000-000031240000}"/>
    <cellStyle name="40% - Accent1 2 3 2 11" xfId="34661" xr:uid="{00000000-0005-0000-0000-000032240000}"/>
    <cellStyle name="40% - Accent1 2 3 2 2" xfId="7850" xr:uid="{00000000-0005-0000-0000-000033240000}"/>
    <cellStyle name="40% - Accent1 2 3 2 2 10" xfId="34662" xr:uid="{00000000-0005-0000-0000-000034240000}"/>
    <cellStyle name="40% - Accent1 2 3 2 2 2" xfId="7851" xr:uid="{00000000-0005-0000-0000-000035240000}"/>
    <cellStyle name="40% - Accent1 2 3 2 2 2 2" xfId="7852" xr:uid="{00000000-0005-0000-0000-000036240000}"/>
    <cellStyle name="40% - Accent1 2 3 2 2 2 2 2" xfId="7853" xr:uid="{00000000-0005-0000-0000-000037240000}"/>
    <cellStyle name="40% - Accent1 2 3 2 2 2 2 2 2" xfId="7854" xr:uid="{00000000-0005-0000-0000-000038240000}"/>
    <cellStyle name="40% - Accent1 2 3 2 2 2 2 3" xfId="7855" xr:uid="{00000000-0005-0000-0000-000039240000}"/>
    <cellStyle name="40% - Accent1 2 3 2 2 2 2 4" xfId="7856" xr:uid="{00000000-0005-0000-0000-00003A240000}"/>
    <cellStyle name="40% - Accent1 2 3 2 2 2 2 5" xfId="37775" xr:uid="{00000000-0005-0000-0000-00003B240000}"/>
    <cellStyle name="40% - Accent1 2 3 2 2 2 3" xfId="7857" xr:uid="{00000000-0005-0000-0000-00003C240000}"/>
    <cellStyle name="40% - Accent1 2 3 2 2 2 3 2" xfId="7858" xr:uid="{00000000-0005-0000-0000-00003D240000}"/>
    <cellStyle name="40% - Accent1 2 3 2 2 2 4" xfId="7859" xr:uid="{00000000-0005-0000-0000-00003E240000}"/>
    <cellStyle name="40% - Accent1 2 3 2 2 2 5" xfId="7860" xr:uid="{00000000-0005-0000-0000-00003F240000}"/>
    <cellStyle name="40% - Accent1 2 3 2 2 2 6" xfId="37774" xr:uid="{00000000-0005-0000-0000-000040240000}"/>
    <cellStyle name="40% - Accent1 2 3 2 2 3" xfId="7861" xr:uid="{00000000-0005-0000-0000-000041240000}"/>
    <cellStyle name="40% - Accent1 2 3 2 2 3 2" xfId="7862" xr:uid="{00000000-0005-0000-0000-000042240000}"/>
    <cellStyle name="40% - Accent1 2 3 2 2 3 2 2" xfId="7863" xr:uid="{00000000-0005-0000-0000-000043240000}"/>
    <cellStyle name="40% - Accent1 2 3 2 2 3 2 2 2" xfId="7864" xr:uid="{00000000-0005-0000-0000-000044240000}"/>
    <cellStyle name="40% - Accent1 2 3 2 2 3 2 3" xfId="7865" xr:uid="{00000000-0005-0000-0000-000045240000}"/>
    <cellStyle name="40% - Accent1 2 3 2 2 3 2 4" xfId="7866" xr:uid="{00000000-0005-0000-0000-000046240000}"/>
    <cellStyle name="40% - Accent1 2 3 2 2 3 2 5" xfId="37777" xr:uid="{00000000-0005-0000-0000-000047240000}"/>
    <cellStyle name="40% - Accent1 2 3 2 2 3 3" xfId="7867" xr:uid="{00000000-0005-0000-0000-000048240000}"/>
    <cellStyle name="40% - Accent1 2 3 2 2 3 3 2" xfId="7868" xr:uid="{00000000-0005-0000-0000-000049240000}"/>
    <cellStyle name="40% - Accent1 2 3 2 2 3 4" xfId="7869" xr:uid="{00000000-0005-0000-0000-00004A240000}"/>
    <cellStyle name="40% - Accent1 2 3 2 2 3 5" xfId="7870" xr:uid="{00000000-0005-0000-0000-00004B240000}"/>
    <cellStyle name="40% - Accent1 2 3 2 2 3 6" xfId="37776" xr:uid="{00000000-0005-0000-0000-00004C240000}"/>
    <cellStyle name="40% - Accent1 2 3 2 2 4" xfId="7871" xr:uid="{00000000-0005-0000-0000-00004D240000}"/>
    <cellStyle name="40% - Accent1 2 3 2 2 4 2" xfId="7872" xr:uid="{00000000-0005-0000-0000-00004E240000}"/>
    <cellStyle name="40% - Accent1 2 3 2 2 4 2 2" xfId="7873" xr:uid="{00000000-0005-0000-0000-00004F240000}"/>
    <cellStyle name="40% - Accent1 2 3 2 2 4 3" xfId="7874" xr:uid="{00000000-0005-0000-0000-000050240000}"/>
    <cellStyle name="40% - Accent1 2 3 2 2 4 4" xfId="7875" xr:uid="{00000000-0005-0000-0000-000051240000}"/>
    <cellStyle name="40% - Accent1 2 3 2 2 4 5" xfId="37778" xr:uid="{00000000-0005-0000-0000-000052240000}"/>
    <cellStyle name="40% - Accent1 2 3 2 2 5" xfId="7876" xr:uid="{00000000-0005-0000-0000-000053240000}"/>
    <cellStyle name="40% - Accent1 2 3 2 2 5 2" xfId="7877" xr:uid="{00000000-0005-0000-0000-000054240000}"/>
    <cellStyle name="40% - Accent1 2 3 2 2 5 2 2" xfId="7878" xr:uid="{00000000-0005-0000-0000-000055240000}"/>
    <cellStyle name="40% - Accent1 2 3 2 2 5 3" xfId="7879" xr:uid="{00000000-0005-0000-0000-000056240000}"/>
    <cellStyle name="40% - Accent1 2 3 2 2 5 4" xfId="7880" xr:uid="{00000000-0005-0000-0000-000057240000}"/>
    <cellStyle name="40% - Accent1 2 3 2 2 6" xfId="7881" xr:uid="{00000000-0005-0000-0000-000058240000}"/>
    <cellStyle name="40% - Accent1 2 3 2 2 6 2" xfId="7882" xr:uid="{00000000-0005-0000-0000-000059240000}"/>
    <cellStyle name="40% - Accent1 2 3 2 2 6 2 2" xfId="7883" xr:uid="{00000000-0005-0000-0000-00005A240000}"/>
    <cellStyle name="40% - Accent1 2 3 2 2 6 3" xfId="7884" xr:uid="{00000000-0005-0000-0000-00005B240000}"/>
    <cellStyle name="40% - Accent1 2 3 2 2 6 4" xfId="7885" xr:uid="{00000000-0005-0000-0000-00005C240000}"/>
    <cellStyle name="40% - Accent1 2 3 2 2 7" xfId="7886" xr:uid="{00000000-0005-0000-0000-00005D240000}"/>
    <cellStyle name="40% - Accent1 2 3 2 2 7 2" xfId="7887" xr:uid="{00000000-0005-0000-0000-00005E240000}"/>
    <cellStyle name="40% - Accent1 2 3 2 2 8" xfId="7888" xr:uid="{00000000-0005-0000-0000-00005F240000}"/>
    <cellStyle name="40% - Accent1 2 3 2 2 9" xfId="7889" xr:uid="{00000000-0005-0000-0000-000060240000}"/>
    <cellStyle name="40% - Accent1 2 3 2 3" xfId="7890" xr:uid="{00000000-0005-0000-0000-000061240000}"/>
    <cellStyle name="40% - Accent1 2 3 2 3 2" xfId="7891" xr:uid="{00000000-0005-0000-0000-000062240000}"/>
    <cellStyle name="40% - Accent1 2 3 2 3 2 2" xfId="7892" xr:uid="{00000000-0005-0000-0000-000063240000}"/>
    <cellStyle name="40% - Accent1 2 3 2 3 2 2 2" xfId="7893" xr:uid="{00000000-0005-0000-0000-000064240000}"/>
    <cellStyle name="40% - Accent1 2 3 2 3 2 3" xfId="7894" xr:uid="{00000000-0005-0000-0000-000065240000}"/>
    <cellStyle name="40% - Accent1 2 3 2 3 2 4" xfId="7895" xr:uid="{00000000-0005-0000-0000-000066240000}"/>
    <cellStyle name="40% - Accent1 2 3 2 3 2 5" xfId="37780" xr:uid="{00000000-0005-0000-0000-000067240000}"/>
    <cellStyle name="40% - Accent1 2 3 2 3 3" xfId="7896" xr:uid="{00000000-0005-0000-0000-000068240000}"/>
    <cellStyle name="40% - Accent1 2 3 2 3 3 2" xfId="7897" xr:uid="{00000000-0005-0000-0000-000069240000}"/>
    <cellStyle name="40% - Accent1 2 3 2 3 4" xfId="7898" xr:uid="{00000000-0005-0000-0000-00006A240000}"/>
    <cellStyle name="40% - Accent1 2 3 2 3 5" xfId="7899" xr:uid="{00000000-0005-0000-0000-00006B240000}"/>
    <cellStyle name="40% - Accent1 2 3 2 3 6" xfId="37779" xr:uid="{00000000-0005-0000-0000-00006C240000}"/>
    <cellStyle name="40% - Accent1 2 3 2 4" xfId="7900" xr:uid="{00000000-0005-0000-0000-00006D240000}"/>
    <cellStyle name="40% - Accent1 2 3 2 4 2" xfId="7901" xr:uid="{00000000-0005-0000-0000-00006E240000}"/>
    <cellStyle name="40% - Accent1 2 3 2 4 2 2" xfId="7902" xr:uid="{00000000-0005-0000-0000-00006F240000}"/>
    <cellStyle name="40% - Accent1 2 3 2 4 2 2 2" xfId="7903" xr:uid="{00000000-0005-0000-0000-000070240000}"/>
    <cellStyle name="40% - Accent1 2 3 2 4 2 3" xfId="7904" xr:uid="{00000000-0005-0000-0000-000071240000}"/>
    <cellStyle name="40% - Accent1 2 3 2 4 2 4" xfId="7905" xr:uid="{00000000-0005-0000-0000-000072240000}"/>
    <cellStyle name="40% - Accent1 2 3 2 4 2 5" xfId="37782" xr:uid="{00000000-0005-0000-0000-000073240000}"/>
    <cellStyle name="40% - Accent1 2 3 2 4 3" xfId="7906" xr:uid="{00000000-0005-0000-0000-000074240000}"/>
    <cellStyle name="40% - Accent1 2 3 2 4 3 2" xfId="7907" xr:uid="{00000000-0005-0000-0000-000075240000}"/>
    <cellStyle name="40% - Accent1 2 3 2 4 4" xfId="7908" xr:uid="{00000000-0005-0000-0000-000076240000}"/>
    <cellStyle name="40% - Accent1 2 3 2 4 5" xfId="7909" xr:uid="{00000000-0005-0000-0000-000077240000}"/>
    <cellStyle name="40% - Accent1 2 3 2 4 6" xfId="37781" xr:uid="{00000000-0005-0000-0000-000078240000}"/>
    <cellStyle name="40% - Accent1 2 3 2 5" xfId="7910" xr:uid="{00000000-0005-0000-0000-000079240000}"/>
    <cellStyle name="40% - Accent1 2 3 2 5 2" xfId="7911" xr:uid="{00000000-0005-0000-0000-00007A240000}"/>
    <cellStyle name="40% - Accent1 2 3 2 5 2 2" xfId="7912" xr:uid="{00000000-0005-0000-0000-00007B240000}"/>
    <cellStyle name="40% - Accent1 2 3 2 5 3" xfId="7913" xr:uid="{00000000-0005-0000-0000-00007C240000}"/>
    <cellStyle name="40% - Accent1 2 3 2 5 4" xfId="7914" xr:uid="{00000000-0005-0000-0000-00007D240000}"/>
    <cellStyle name="40% - Accent1 2 3 2 5 5" xfId="37783" xr:uid="{00000000-0005-0000-0000-00007E240000}"/>
    <cellStyle name="40% - Accent1 2 3 2 6" xfId="7915" xr:uid="{00000000-0005-0000-0000-00007F240000}"/>
    <cellStyle name="40% - Accent1 2 3 2 6 2" xfId="7916" xr:uid="{00000000-0005-0000-0000-000080240000}"/>
    <cellStyle name="40% - Accent1 2 3 2 6 2 2" xfId="7917" xr:uid="{00000000-0005-0000-0000-000081240000}"/>
    <cellStyle name="40% - Accent1 2 3 2 6 3" xfId="7918" xr:uid="{00000000-0005-0000-0000-000082240000}"/>
    <cellStyle name="40% - Accent1 2 3 2 6 4" xfId="7919" xr:uid="{00000000-0005-0000-0000-000083240000}"/>
    <cellStyle name="40% - Accent1 2 3 2 7" xfId="7920" xr:uid="{00000000-0005-0000-0000-000084240000}"/>
    <cellStyle name="40% - Accent1 2 3 2 7 2" xfId="7921" xr:uid="{00000000-0005-0000-0000-000085240000}"/>
    <cellStyle name="40% - Accent1 2 3 2 7 2 2" xfId="7922" xr:uid="{00000000-0005-0000-0000-000086240000}"/>
    <cellStyle name="40% - Accent1 2 3 2 7 3" xfId="7923" xr:uid="{00000000-0005-0000-0000-000087240000}"/>
    <cellStyle name="40% - Accent1 2 3 2 7 4" xfId="7924" xr:uid="{00000000-0005-0000-0000-000088240000}"/>
    <cellStyle name="40% - Accent1 2 3 2 8" xfId="7925" xr:uid="{00000000-0005-0000-0000-000089240000}"/>
    <cellStyle name="40% - Accent1 2 3 2 8 2" xfId="7926" xr:uid="{00000000-0005-0000-0000-00008A240000}"/>
    <cellStyle name="40% - Accent1 2 3 2 9" xfId="7927" xr:uid="{00000000-0005-0000-0000-00008B240000}"/>
    <cellStyle name="40% - Accent1 2 3 3" xfId="7928" xr:uid="{00000000-0005-0000-0000-00008C240000}"/>
    <cellStyle name="40% - Accent1 2 3 3 10" xfId="34663" xr:uid="{00000000-0005-0000-0000-00008D240000}"/>
    <cellStyle name="40% - Accent1 2 3 3 2" xfId="7929" xr:uid="{00000000-0005-0000-0000-00008E240000}"/>
    <cellStyle name="40% - Accent1 2 3 3 2 2" xfId="7930" xr:uid="{00000000-0005-0000-0000-00008F240000}"/>
    <cellStyle name="40% - Accent1 2 3 3 2 2 2" xfId="7931" xr:uid="{00000000-0005-0000-0000-000090240000}"/>
    <cellStyle name="40% - Accent1 2 3 3 2 2 2 2" xfId="7932" xr:uid="{00000000-0005-0000-0000-000091240000}"/>
    <cellStyle name="40% - Accent1 2 3 3 2 2 3" xfId="7933" xr:uid="{00000000-0005-0000-0000-000092240000}"/>
    <cellStyle name="40% - Accent1 2 3 3 2 2 4" xfId="7934" xr:uid="{00000000-0005-0000-0000-000093240000}"/>
    <cellStyle name="40% - Accent1 2 3 3 2 2 5" xfId="37785" xr:uid="{00000000-0005-0000-0000-000094240000}"/>
    <cellStyle name="40% - Accent1 2 3 3 2 3" xfId="7935" xr:uid="{00000000-0005-0000-0000-000095240000}"/>
    <cellStyle name="40% - Accent1 2 3 3 2 3 2" xfId="7936" xr:uid="{00000000-0005-0000-0000-000096240000}"/>
    <cellStyle name="40% - Accent1 2 3 3 2 4" xfId="7937" xr:uid="{00000000-0005-0000-0000-000097240000}"/>
    <cellStyle name="40% - Accent1 2 3 3 2 5" xfId="7938" xr:uid="{00000000-0005-0000-0000-000098240000}"/>
    <cellStyle name="40% - Accent1 2 3 3 2 6" xfId="37784" xr:uid="{00000000-0005-0000-0000-000099240000}"/>
    <cellStyle name="40% - Accent1 2 3 3 3" xfId="7939" xr:uid="{00000000-0005-0000-0000-00009A240000}"/>
    <cellStyle name="40% - Accent1 2 3 3 3 2" xfId="7940" xr:uid="{00000000-0005-0000-0000-00009B240000}"/>
    <cellStyle name="40% - Accent1 2 3 3 3 2 2" xfId="7941" xr:uid="{00000000-0005-0000-0000-00009C240000}"/>
    <cellStyle name="40% - Accent1 2 3 3 3 2 2 2" xfId="7942" xr:uid="{00000000-0005-0000-0000-00009D240000}"/>
    <cellStyle name="40% - Accent1 2 3 3 3 2 3" xfId="7943" xr:uid="{00000000-0005-0000-0000-00009E240000}"/>
    <cellStyle name="40% - Accent1 2 3 3 3 2 4" xfId="7944" xr:uid="{00000000-0005-0000-0000-00009F240000}"/>
    <cellStyle name="40% - Accent1 2 3 3 3 2 5" xfId="37787" xr:uid="{00000000-0005-0000-0000-0000A0240000}"/>
    <cellStyle name="40% - Accent1 2 3 3 3 3" xfId="7945" xr:uid="{00000000-0005-0000-0000-0000A1240000}"/>
    <cellStyle name="40% - Accent1 2 3 3 3 3 2" xfId="7946" xr:uid="{00000000-0005-0000-0000-0000A2240000}"/>
    <cellStyle name="40% - Accent1 2 3 3 3 4" xfId="7947" xr:uid="{00000000-0005-0000-0000-0000A3240000}"/>
    <cellStyle name="40% - Accent1 2 3 3 3 5" xfId="7948" xr:uid="{00000000-0005-0000-0000-0000A4240000}"/>
    <cellStyle name="40% - Accent1 2 3 3 3 6" xfId="37786" xr:uid="{00000000-0005-0000-0000-0000A5240000}"/>
    <cellStyle name="40% - Accent1 2 3 3 4" xfId="7949" xr:uid="{00000000-0005-0000-0000-0000A6240000}"/>
    <cellStyle name="40% - Accent1 2 3 3 4 2" xfId="7950" xr:uid="{00000000-0005-0000-0000-0000A7240000}"/>
    <cellStyle name="40% - Accent1 2 3 3 4 2 2" xfId="7951" xr:uid="{00000000-0005-0000-0000-0000A8240000}"/>
    <cellStyle name="40% - Accent1 2 3 3 4 3" xfId="7952" xr:uid="{00000000-0005-0000-0000-0000A9240000}"/>
    <cellStyle name="40% - Accent1 2 3 3 4 4" xfId="7953" xr:uid="{00000000-0005-0000-0000-0000AA240000}"/>
    <cellStyle name="40% - Accent1 2 3 3 4 5" xfId="37788" xr:uid="{00000000-0005-0000-0000-0000AB240000}"/>
    <cellStyle name="40% - Accent1 2 3 3 5" xfId="7954" xr:uid="{00000000-0005-0000-0000-0000AC240000}"/>
    <cellStyle name="40% - Accent1 2 3 3 5 2" xfId="7955" xr:uid="{00000000-0005-0000-0000-0000AD240000}"/>
    <cellStyle name="40% - Accent1 2 3 3 5 2 2" xfId="7956" xr:uid="{00000000-0005-0000-0000-0000AE240000}"/>
    <cellStyle name="40% - Accent1 2 3 3 5 3" xfId="7957" xr:uid="{00000000-0005-0000-0000-0000AF240000}"/>
    <cellStyle name="40% - Accent1 2 3 3 5 4" xfId="7958" xr:uid="{00000000-0005-0000-0000-0000B0240000}"/>
    <cellStyle name="40% - Accent1 2 3 3 6" xfId="7959" xr:uid="{00000000-0005-0000-0000-0000B1240000}"/>
    <cellStyle name="40% - Accent1 2 3 3 6 2" xfId="7960" xr:uid="{00000000-0005-0000-0000-0000B2240000}"/>
    <cellStyle name="40% - Accent1 2 3 3 6 2 2" xfId="7961" xr:uid="{00000000-0005-0000-0000-0000B3240000}"/>
    <cellStyle name="40% - Accent1 2 3 3 6 3" xfId="7962" xr:uid="{00000000-0005-0000-0000-0000B4240000}"/>
    <cellStyle name="40% - Accent1 2 3 3 6 4" xfId="7963" xr:uid="{00000000-0005-0000-0000-0000B5240000}"/>
    <cellStyle name="40% - Accent1 2 3 3 7" xfId="7964" xr:uid="{00000000-0005-0000-0000-0000B6240000}"/>
    <cellStyle name="40% - Accent1 2 3 3 7 2" xfId="7965" xr:uid="{00000000-0005-0000-0000-0000B7240000}"/>
    <cellStyle name="40% - Accent1 2 3 3 8" xfId="7966" xr:uid="{00000000-0005-0000-0000-0000B8240000}"/>
    <cellStyle name="40% - Accent1 2 3 3 9" xfId="7967" xr:uid="{00000000-0005-0000-0000-0000B9240000}"/>
    <cellStyle name="40% - Accent1 2 3 4" xfId="7968" xr:uid="{00000000-0005-0000-0000-0000BA240000}"/>
    <cellStyle name="40% - Accent1 2 3 4 2" xfId="7969" xr:uid="{00000000-0005-0000-0000-0000BB240000}"/>
    <cellStyle name="40% - Accent1 2 3 4 2 2" xfId="7970" xr:uid="{00000000-0005-0000-0000-0000BC240000}"/>
    <cellStyle name="40% - Accent1 2 3 4 2 2 2" xfId="7971" xr:uid="{00000000-0005-0000-0000-0000BD240000}"/>
    <cellStyle name="40% - Accent1 2 3 4 2 3" xfId="7972" xr:uid="{00000000-0005-0000-0000-0000BE240000}"/>
    <cellStyle name="40% - Accent1 2 3 4 2 4" xfId="7973" xr:uid="{00000000-0005-0000-0000-0000BF240000}"/>
    <cellStyle name="40% - Accent1 2 3 4 2 5" xfId="37790" xr:uid="{00000000-0005-0000-0000-0000C0240000}"/>
    <cellStyle name="40% - Accent1 2 3 4 3" xfId="7974" xr:uid="{00000000-0005-0000-0000-0000C1240000}"/>
    <cellStyle name="40% - Accent1 2 3 4 4" xfId="7975" xr:uid="{00000000-0005-0000-0000-0000C2240000}"/>
    <cellStyle name="40% - Accent1 2 3 4 4 2" xfId="7976" xr:uid="{00000000-0005-0000-0000-0000C3240000}"/>
    <cellStyle name="40% - Accent1 2 3 4 5" xfId="7977" xr:uid="{00000000-0005-0000-0000-0000C4240000}"/>
    <cellStyle name="40% - Accent1 2 3 4 6" xfId="7978" xr:uid="{00000000-0005-0000-0000-0000C5240000}"/>
    <cellStyle name="40% - Accent1 2 3 4 7" xfId="37789" xr:uid="{00000000-0005-0000-0000-0000C6240000}"/>
    <cellStyle name="40% - Accent1 2 3 5" xfId="7979" xr:uid="{00000000-0005-0000-0000-0000C7240000}"/>
    <cellStyle name="40% - Accent1 2 3 5 2" xfId="7980" xr:uid="{00000000-0005-0000-0000-0000C8240000}"/>
    <cellStyle name="40% - Accent1 2 3 5 2 2" xfId="7981" xr:uid="{00000000-0005-0000-0000-0000C9240000}"/>
    <cellStyle name="40% - Accent1 2 3 5 2 2 2" xfId="7982" xr:uid="{00000000-0005-0000-0000-0000CA240000}"/>
    <cellStyle name="40% - Accent1 2 3 5 2 3" xfId="7983" xr:uid="{00000000-0005-0000-0000-0000CB240000}"/>
    <cellStyle name="40% - Accent1 2 3 5 2 4" xfId="7984" xr:uid="{00000000-0005-0000-0000-0000CC240000}"/>
    <cellStyle name="40% - Accent1 2 3 5 2 5" xfId="37792" xr:uid="{00000000-0005-0000-0000-0000CD240000}"/>
    <cellStyle name="40% - Accent1 2 3 5 3" xfId="7985" xr:uid="{00000000-0005-0000-0000-0000CE240000}"/>
    <cellStyle name="40% - Accent1 2 3 5 3 2" xfId="7986" xr:uid="{00000000-0005-0000-0000-0000CF240000}"/>
    <cellStyle name="40% - Accent1 2 3 5 4" xfId="7987" xr:uid="{00000000-0005-0000-0000-0000D0240000}"/>
    <cellStyle name="40% - Accent1 2 3 5 5" xfId="7988" xr:uid="{00000000-0005-0000-0000-0000D1240000}"/>
    <cellStyle name="40% - Accent1 2 3 5 6" xfId="37791" xr:uid="{00000000-0005-0000-0000-0000D2240000}"/>
    <cellStyle name="40% - Accent1 2 3 6" xfId="7989" xr:uid="{00000000-0005-0000-0000-0000D3240000}"/>
    <cellStyle name="40% - Accent1 2 3 6 2" xfId="7990" xr:uid="{00000000-0005-0000-0000-0000D4240000}"/>
    <cellStyle name="40% - Accent1 2 3 6 2 2" xfId="7991" xr:uid="{00000000-0005-0000-0000-0000D5240000}"/>
    <cellStyle name="40% - Accent1 2 3 6 3" xfId="7992" xr:uid="{00000000-0005-0000-0000-0000D6240000}"/>
    <cellStyle name="40% - Accent1 2 3 6 4" xfId="7993" xr:uid="{00000000-0005-0000-0000-0000D7240000}"/>
    <cellStyle name="40% - Accent1 2 3 6 5" xfId="37793" xr:uid="{00000000-0005-0000-0000-0000D8240000}"/>
    <cellStyle name="40% - Accent1 2 3 7" xfId="7994" xr:uid="{00000000-0005-0000-0000-0000D9240000}"/>
    <cellStyle name="40% - Accent1 2 3 7 2" xfId="7995" xr:uid="{00000000-0005-0000-0000-0000DA240000}"/>
    <cellStyle name="40% - Accent1 2 3 7 2 2" xfId="7996" xr:uid="{00000000-0005-0000-0000-0000DB240000}"/>
    <cellStyle name="40% - Accent1 2 3 7 3" xfId="7997" xr:uid="{00000000-0005-0000-0000-0000DC240000}"/>
    <cellStyle name="40% - Accent1 2 3 7 4" xfId="7998" xr:uid="{00000000-0005-0000-0000-0000DD240000}"/>
    <cellStyle name="40% - Accent1 2 3 8" xfId="7999" xr:uid="{00000000-0005-0000-0000-0000DE240000}"/>
    <cellStyle name="40% - Accent1 2 3 8 2" xfId="8000" xr:uid="{00000000-0005-0000-0000-0000DF240000}"/>
    <cellStyle name="40% - Accent1 2 3 8 2 2" xfId="8001" xr:uid="{00000000-0005-0000-0000-0000E0240000}"/>
    <cellStyle name="40% - Accent1 2 3 8 3" xfId="8002" xr:uid="{00000000-0005-0000-0000-0000E1240000}"/>
    <cellStyle name="40% - Accent1 2 3 8 4" xfId="8003" xr:uid="{00000000-0005-0000-0000-0000E2240000}"/>
    <cellStyle name="40% - Accent1 2 3 9" xfId="8004" xr:uid="{00000000-0005-0000-0000-0000E3240000}"/>
    <cellStyle name="40% - Accent1 2 3 9 2" xfId="8005" xr:uid="{00000000-0005-0000-0000-0000E4240000}"/>
    <cellStyle name="40% - Accent1 2 4" xfId="8006" xr:uid="{00000000-0005-0000-0000-0000E5240000}"/>
    <cellStyle name="40% - Accent1 2 4 10" xfId="8007" xr:uid="{00000000-0005-0000-0000-0000E6240000}"/>
    <cellStyle name="40% - Accent1 2 4 11" xfId="34664" xr:uid="{00000000-0005-0000-0000-0000E7240000}"/>
    <cellStyle name="40% - Accent1 2 4 2" xfId="8008" xr:uid="{00000000-0005-0000-0000-0000E8240000}"/>
    <cellStyle name="40% - Accent1 2 4 2 10" xfId="34665" xr:uid="{00000000-0005-0000-0000-0000E9240000}"/>
    <cellStyle name="40% - Accent1 2 4 2 2" xfId="8009" xr:uid="{00000000-0005-0000-0000-0000EA240000}"/>
    <cellStyle name="40% - Accent1 2 4 2 2 2" xfId="8010" xr:uid="{00000000-0005-0000-0000-0000EB240000}"/>
    <cellStyle name="40% - Accent1 2 4 2 2 2 2" xfId="8011" xr:uid="{00000000-0005-0000-0000-0000EC240000}"/>
    <cellStyle name="40% - Accent1 2 4 2 2 2 2 2" xfId="8012" xr:uid="{00000000-0005-0000-0000-0000ED240000}"/>
    <cellStyle name="40% - Accent1 2 4 2 2 2 3" xfId="8013" xr:uid="{00000000-0005-0000-0000-0000EE240000}"/>
    <cellStyle name="40% - Accent1 2 4 2 2 2 4" xfId="8014" xr:uid="{00000000-0005-0000-0000-0000EF240000}"/>
    <cellStyle name="40% - Accent1 2 4 2 2 2 5" xfId="37795" xr:uid="{00000000-0005-0000-0000-0000F0240000}"/>
    <cellStyle name="40% - Accent1 2 4 2 2 3" xfId="8015" xr:uid="{00000000-0005-0000-0000-0000F1240000}"/>
    <cellStyle name="40% - Accent1 2 4 2 2 3 2" xfId="8016" xr:uid="{00000000-0005-0000-0000-0000F2240000}"/>
    <cellStyle name="40% - Accent1 2 4 2 2 4" xfId="8017" xr:uid="{00000000-0005-0000-0000-0000F3240000}"/>
    <cellStyle name="40% - Accent1 2 4 2 2 5" xfId="8018" xr:uid="{00000000-0005-0000-0000-0000F4240000}"/>
    <cellStyle name="40% - Accent1 2 4 2 2 6" xfId="37794" xr:uid="{00000000-0005-0000-0000-0000F5240000}"/>
    <cellStyle name="40% - Accent1 2 4 2 3" xfId="8019" xr:uid="{00000000-0005-0000-0000-0000F6240000}"/>
    <cellStyle name="40% - Accent1 2 4 2 3 2" xfId="8020" xr:uid="{00000000-0005-0000-0000-0000F7240000}"/>
    <cellStyle name="40% - Accent1 2 4 2 3 2 2" xfId="8021" xr:uid="{00000000-0005-0000-0000-0000F8240000}"/>
    <cellStyle name="40% - Accent1 2 4 2 3 2 2 2" xfId="8022" xr:uid="{00000000-0005-0000-0000-0000F9240000}"/>
    <cellStyle name="40% - Accent1 2 4 2 3 2 3" xfId="8023" xr:uid="{00000000-0005-0000-0000-0000FA240000}"/>
    <cellStyle name="40% - Accent1 2 4 2 3 2 4" xfId="8024" xr:uid="{00000000-0005-0000-0000-0000FB240000}"/>
    <cellStyle name="40% - Accent1 2 4 2 3 2 5" xfId="37797" xr:uid="{00000000-0005-0000-0000-0000FC240000}"/>
    <cellStyle name="40% - Accent1 2 4 2 3 3" xfId="8025" xr:uid="{00000000-0005-0000-0000-0000FD240000}"/>
    <cellStyle name="40% - Accent1 2 4 2 3 3 2" xfId="8026" xr:uid="{00000000-0005-0000-0000-0000FE240000}"/>
    <cellStyle name="40% - Accent1 2 4 2 3 4" xfId="8027" xr:uid="{00000000-0005-0000-0000-0000FF240000}"/>
    <cellStyle name="40% - Accent1 2 4 2 3 5" xfId="8028" xr:uid="{00000000-0005-0000-0000-000000250000}"/>
    <cellStyle name="40% - Accent1 2 4 2 3 6" xfId="37796" xr:uid="{00000000-0005-0000-0000-000001250000}"/>
    <cellStyle name="40% - Accent1 2 4 2 4" xfId="8029" xr:uid="{00000000-0005-0000-0000-000002250000}"/>
    <cellStyle name="40% - Accent1 2 4 2 4 2" xfId="8030" xr:uid="{00000000-0005-0000-0000-000003250000}"/>
    <cellStyle name="40% - Accent1 2 4 2 4 2 2" xfId="8031" xr:uid="{00000000-0005-0000-0000-000004250000}"/>
    <cellStyle name="40% - Accent1 2 4 2 4 3" xfId="8032" xr:uid="{00000000-0005-0000-0000-000005250000}"/>
    <cellStyle name="40% - Accent1 2 4 2 4 4" xfId="8033" xr:uid="{00000000-0005-0000-0000-000006250000}"/>
    <cellStyle name="40% - Accent1 2 4 2 4 5" xfId="37798" xr:uid="{00000000-0005-0000-0000-000007250000}"/>
    <cellStyle name="40% - Accent1 2 4 2 5" xfId="8034" xr:uid="{00000000-0005-0000-0000-000008250000}"/>
    <cellStyle name="40% - Accent1 2 4 2 5 2" xfId="8035" xr:uid="{00000000-0005-0000-0000-000009250000}"/>
    <cellStyle name="40% - Accent1 2 4 2 5 2 2" xfId="8036" xr:uid="{00000000-0005-0000-0000-00000A250000}"/>
    <cellStyle name="40% - Accent1 2 4 2 5 3" xfId="8037" xr:uid="{00000000-0005-0000-0000-00000B250000}"/>
    <cellStyle name="40% - Accent1 2 4 2 5 4" xfId="8038" xr:uid="{00000000-0005-0000-0000-00000C250000}"/>
    <cellStyle name="40% - Accent1 2 4 2 6" xfId="8039" xr:uid="{00000000-0005-0000-0000-00000D250000}"/>
    <cellStyle name="40% - Accent1 2 4 2 6 2" xfId="8040" xr:uid="{00000000-0005-0000-0000-00000E250000}"/>
    <cellStyle name="40% - Accent1 2 4 2 6 2 2" xfId="8041" xr:uid="{00000000-0005-0000-0000-00000F250000}"/>
    <cellStyle name="40% - Accent1 2 4 2 6 3" xfId="8042" xr:uid="{00000000-0005-0000-0000-000010250000}"/>
    <cellStyle name="40% - Accent1 2 4 2 6 4" xfId="8043" xr:uid="{00000000-0005-0000-0000-000011250000}"/>
    <cellStyle name="40% - Accent1 2 4 2 7" xfId="8044" xr:uid="{00000000-0005-0000-0000-000012250000}"/>
    <cellStyle name="40% - Accent1 2 4 2 7 2" xfId="8045" xr:uid="{00000000-0005-0000-0000-000013250000}"/>
    <cellStyle name="40% - Accent1 2 4 2 8" xfId="8046" xr:uid="{00000000-0005-0000-0000-000014250000}"/>
    <cellStyle name="40% - Accent1 2 4 2 9" xfId="8047" xr:uid="{00000000-0005-0000-0000-000015250000}"/>
    <cellStyle name="40% - Accent1 2 4 3" xfId="8048" xr:uid="{00000000-0005-0000-0000-000016250000}"/>
    <cellStyle name="40% - Accent1 2 4 3 2" xfId="8049" xr:uid="{00000000-0005-0000-0000-000017250000}"/>
    <cellStyle name="40% - Accent1 2 4 3 2 2" xfId="8050" xr:uid="{00000000-0005-0000-0000-000018250000}"/>
    <cellStyle name="40% - Accent1 2 4 3 2 2 2" xfId="8051" xr:uid="{00000000-0005-0000-0000-000019250000}"/>
    <cellStyle name="40% - Accent1 2 4 3 2 3" xfId="8052" xr:uid="{00000000-0005-0000-0000-00001A250000}"/>
    <cellStyle name="40% - Accent1 2 4 3 2 4" xfId="8053" xr:uid="{00000000-0005-0000-0000-00001B250000}"/>
    <cellStyle name="40% - Accent1 2 4 3 2 5" xfId="37800" xr:uid="{00000000-0005-0000-0000-00001C250000}"/>
    <cellStyle name="40% - Accent1 2 4 3 3" xfId="8054" xr:uid="{00000000-0005-0000-0000-00001D250000}"/>
    <cellStyle name="40% - Accent1 2 4 3 3 2" xfId="8055" xr:uid="{00000000-0005-0000-0000-00001E250000}"/>
    <cellStyle name="40% - Accent1 2 4 3 4" xfId="8056" xr:uid="{00000000-0005-0000-0000-00001F250000}"/>
    <cellStyle name="40% - Accent1 2 4 3 5" xfId="8057" xr:uid="{00000000-0005-0000-0000-000020250000}"/>
    <cellStyle name="40% - Accent1 2 4 3 6" xfId="37799" xr:uid="{00000000-0005-0000-0000-000021250000}"/>
    <cellStyle name="40% - Accent1 2 4 4" xfId="8058" xr:uid="{00000000-0005-0000-0000-000022250000}"/>
    <cellStyle name="40% - Accent1 2 4 4 2" xfId="8059" xr:uid="{00000000-0005-0000-0000-000023250000}"/>
    <cellStyle name="40% - Accent1 2 4 4 2 2" xfId="8060" xr:uid="{00000000-0005-0000-0000-000024250000}"/>
    <cellStyle name="40% - Accent1 2 4 4 2 2 2" xfId="8061" xr:uid="{00000000-0005-0000-0000-000025250000}"/>
    <cellStyle name="40% - Accent1 2 4 4 2 3" xfId="8062" xr:uid="{00000000-0005-0000-0000-000026250000}"/>
    <cellStyle name="40% - Accent1 2 4 4 2 4" xfId="8063" xr:uid="{00000000-0005-0000-0000-000027250000}"/>
    <cellStyle name="40% - Accent1 2 4 4 2 5" xfId="37802" xr:uid="{00000000-0005-0000-0000-000028250000}"/>
    <cellStyle name="40% - Accent1 2 4 4 3" xfId="8064" xr:uid="{00000000-0005-0000-0000-000029250000}"/>
    <cellStyle name="40% - Accent1 2 4 4 3 2" xfId="8065" xr:uid="{00000000-0005-0000-0000-00002A250000}"/>
    <cellStyle name="40% - Accent1 2 4 4 4" xfId="8066" xr:uid="{00000000-0005-0000-0000-00002B250000}"/>
    <cellStyle name="40% - Accent1 2 4 4 5" xfId="8067" xr:uid="{00000000-0005-0000-0000-00002C250000}"/>
    <cellStyle name="40% - Accent1 2 4 4 6" xfId="37801" xr:uid="{00000000-0005-0000-0000-00002D250000}"/>
    <cellStyle name="40% - Accent1 2 4 5" xfId="8068" xr:uid="{00000000-0005-0000-0000-00002E250000}"/>
    <cellStyle name="40% - Accent1 2 4 5 2" xfId="8069" xr:uid="{00000000-0005-0000-0000-00002F250000}"/>
    <cellStyle name="40% - Accent1 2 4 5 2 2" xfId="8070" xr:uid="{00000000-0005-0000-0000-000030250000}"/>
    <cellStyle name="40% - Accent1 2 4 5 3" xfId="8071" xr:uid="{00000000-0005-0000-0000-000031250000}"/>
    <cellStyle name="40% - Accent1 2 4 5 4" xfId="8072" xr:uid="{00000000-0005-0000-0000-000032250000}"/>
    <cellStyle name="40% - Accent1 2 4 5 5" xfId="37803" xr:uid="{00000000-0005-0000-0000-000033250000}"/>
    <cellStyle name="40% - Accent1 2 4 6" xfId="8073" xr:uid="{00000000-0005-0000-0000-000034250000}"/>
    <cellStyle name="40% - Accent1 2 4 6 2" xfId="8074" xr:uid="{00000000-0005-0000-0000-000035250000}"/>
    <cellStyle name="40% - Accent1 2 4 6 2 2" xfId="8075" xr:uid="{00000000-0005-0000-0000-000036250000}"/>
    <cellStyle name="40% - Accent1 2 4 6 3" xfId="8076" xr:uid="{00000000-0005-0000-0000-000037250000}"/>
    <cellStyle name="40% - Accent1 2 4 6 4" xfId="8077" xr:uid="{00000000-0005-0000-0000-000038250000}"/>
    <cellStyle name="40% - Accent1 2 4 7" xfId="8078" xr:uid="{00000000-0005-0000-0000-000039250000}"/>
    <cellStyle name="40% - Accent1 2 4 7 2" xfId="8079" xr:uid="{00000000-0005-0000-0000-00003A250000}"/>
    <cellStyle name="40% - Accent1 2 4 7 2 2" xfId="8080" xr:uid="{00000000-0005-0000-0000-00003B250000}"/>
    <cellStyle name="40% - Accent1 2 4 7 3" xfId="8081" xr:uid="{00000000-0005-0000-0000-00003C250000}"/>
    <cellStyle name="40% - Accent1 2 4 7 4" xfId="8082" xr:uid="{00000000-0005-0000-0000-00003D250000}"/>
    <cellStyle name="40% - Accent1 2 4 8" xfId="8083" xr:uid="{00000000-0005-0000-0000-00003E250000}"/>
    <cellStyle name="40% - Accent1 2 4 8 2" xfId="8084" xr:uid="{00000000-0005-0000-0000-00003F250000}"/>
    <cellStyle name="40% - Accent1 2 4 9" xfId="8085" xr:uid="{00000000-0005-0000-0000-000040250000}"/>
    <cellStyle name="40% - Accent1 2 5" xfId="8086" xr:uid="{00000000-0005-0000-0000-000041250000}"/>
    <cellStyle name="40% - Accent1 2 5 10" xfId="34666" xr:uid="{00000000-0005-0000-0000-000042250000}"/>
    <cellStyle name="40% - Accent1 2 5 2" xfId="8087" xr:uid="{00000000-0005-0000-0000-000043250000}"/>
    <cellStyle name="40% - Accent1 2 5 2 2" xfId="8088" xr:uid="{00000000-0005-0000-0000-000044250000}"/>
    <cellStyle name="40% - Accent1 2 5 2 2 2" xfId="8089" xr:uid="{00000000-0005-0000-0000-000045250000}"/>
    <cellStyle name="40% - Accent1 2 5 2 2 2 2" xfId="8090" xr:uid="{00000000-0005-0000-0000-000046250000}"/>
    <cellStyle name="40% - Accent1 2 5 2 2 3" xfId="8091" xr:uid="{00000000-0005-0000-0000-000047250000}"/>
    <cellStyle name="40% - Accent1 2 5 2 2 4" xfId="8092" xr:uid="{00000000-0005-0000-0000-000048250000}"/>
    <cellStyle name="40% - Accent1 2 5 2 2 5" xfId="37805" xr:uid="{00000000-0005-0000-0000-000049250000}"/>
    <cellStyle name="40% - Accent1 2 5 2 3" xfId="8093" xr:uid="{00000000-0005-0000-0000-00004A250000}"/>
    <cellStyle name="40% - Accent1 2 5 2 3 2" xfId="8094" xr:uid="{00000000-0005-0000-0000-00004B250000}"/>
    <cellStyle name="40% - Accent1 2 5 2 4" xfId="8095" xr:uid="{00000000-0005-0000-0000-00004C250000}"/>
    <cellStyle name="40% - Accent1 2 5 2 5" xfId="8096" xr:uid="{00000000-0005-0000-0000-00004D250000}"/>
    <cellStyle name="40% - Accent1 2 5 2 6" xfId="37804" xr:uid="{00000000-0005-0000-0000-00004E250000}"/>
    <cellStyle name="40% - Accent1 2 5 3" xfId="8097" xr:uid="{00000000-0005-0000-0000-00004F250000}"/>
    <cellStyle name="40% - Accent1 2 5 3 2" xfId="8098" xr:uid="{00000000-0005-0000-0000-000050250000}"/>
    <cellStyle name="40% - Accent1 2 5 3 2 2" xfId="8099" xr:uid="{00000000-0005-0000-0000-000051250000}"/>
    <cellStyle name="40% - Accent1 2 5 3 2 2 2" xfId="8100" xr:uid="{00000000-0005-0000-0000-000052250000}"/>
    <cellStyle name="40% - Accent1 2 5 3 2 3" xfId="8101" xr:uid="{00000000-0005-0000-0000-000053250000}"/>
    <cellStyle name="40% - Accent1 2 5 3 2 4" xfId="8102" xr:uid="{00000000-0005-0000-0000-000054250000}"/>
    <cellStyle name="40% - Accent1 2 5 3 2 5" xfId="37807" xr:uid="{00000000-0005-0000-0000-000055250000}"/>
    <cellStyle name="40% - Accent1 2 5 3 3" xfId="8103" xr:uid="{00000000-0005-0000-0000-000056250000}"/>
    <cellStyle name="40% - Accent1 2 5 3 3 2" xfId="8104" xr:uid="{00000000-0005-0000-0000-000057250000}"/>
    <cellStyle name="40% - Accent1 2 5 3 4" xfId="8105" xr:uid="{00000000-0005-0000-0000-000058250000}"/>
    <cellStyle name="40% - Accent1 2 5 3 5" xfId="8106" xr:uid="{00000000-0005-0000-0000-000059250000}"/>
    <cellStyle name="40% - Accent1 2 5 3 6" xfId="37806" xr:uid="{00000000-0005-0000-0000-00005A250000}"/>
    <cellStyle name="40% - Accent1 2 5 4" xfId="8107" xr:uid="{00000000-0005-0000-0000-00005B250000}"/>
    <cellStyle name="40% - Accent1 2 5 4 2" xfId="8108" xr:uid="{00000000-0005-0000-0000-00005C250000}"/>
    <cellStyle name="40% - Accent1 2 5 4 2 2" xfId="8109" xr:uid="{00000000-0005-0000-0000-00005D250000}"/>
    <cellStyle name="40% - Accent1 2 5 4 3" xfId="8110" xr:uid="{00000000-0005-0000-0000-00005E250000}"/>
    <cellStyle name="40% - Accent1 2 5 4 4" xfId="8111" xr:uid="{00000000-0005-0000-0000-00005F250000}"/>
    <cellStyle name="40% - Accent1 2 5 4 5" xfId="37808" xr:uid="{00000000-0005-0000-0000-000060250000}"/>
    <cellStyle name="40% - Accent1 2 5 5" xfId="8112" xr:uid="{00000000-0005-0000-0000-000061250000}"/>
    <cellStyle name="40% - Accent1 2 5 5 2" xfId="8113" xr:uid="{00000000-0005-0000-0000-000062250000}"/>
    <cellStyle name="40% - Accent1 2 5 5 2 2" xfId="8114" xr:uid="{00000000-0005-0000-0000-000063250000}"/>
    <cellStyle name="40% - Accent1 2 5 5 3" xfId="8115" xr:uid="{00000000-0005-0000-0000-000064250000}"/>
    <cellStyle name="40% - Accent1 2 5 5 4" xfId="8116" xr:uid="{00000000-0005-0000-0000-000065250000}"/>
    <cellStyle name="40% - Accent1 2 5 6" xfId="8117" xr:uid="{00000000-0005-0000-0000-000066250000}"/>
    <cellStyle name="40% - Accent1 2 5 6 2" xfId="8118" xr:uid="{00000000-0005-0000-0000-000067250000}"/>
    <cellStyle name="40% - Accent1 2 5 6 2 2" xfId="8119" xr:uid="{00000000-0005-0000-0000-000068250000}"/>
    <cellStyle name="40% - Accent1 2 5 6 3" xfId="8120" xr:uid="{00000000-0005-0000-0000-000069250000}"/>
    <cellStyle name="40% - Accent1 2 5 6 4" xfId="8121" xr:uid="{00000000-0005-0000-0000-00006A250000}"/>
    <cellStyle name="40% - Accent1 2 5 7" xfId="8122" xr:uid="{00000000-0005-0000-0000-00006B250000}"/>
    <cellStyle name="40% - Accent1 2 5 7 2" xfId="8123" xr:uid="{00000000-0005-0000-0000-00006C250000}"/>
    <cellStyle name="40% - Accent1 2 5 8" xfId="8124" xr:uid="{00000000-0005-0000-0000-00006D250000}"/>
    <cellStyle name="40% - Accent1 2 5 9" xfId="8125" xr:uid="{00000000-0005-0000-0000-00006E250000}"/>
    <cellStyle name="40% - Accent1 2 6" xfId="8126" xr:uid="{00000000-0005-0000-0000-00006F250000}"/>
    <cellStyle name="40% - Accent1 2 7" xfId="8127" xr:uid="{00000000-0005-0000-0000-000070250000}"/>
    <cellStyle name="40% - Accent1 2 8" xfId="8128" xr:uid="{00000000-0005-0000-0000-000071250000}"/>
    <cellStyle name="40% - Accent1 2 8 2" xfId="8129" xr:uid="{00000000-0005-0000-0000-000072250000}"/>
    <cellStyle name="40% - Accent1 2 8 3" xfId="34667" xr:uid="{00000000-0005-0000-0000-000073250000}"/>
    <cellStyle name="40% - Accent1 2 9" xfId="8130" xr:uid="{00000000-0005-0000-0000-000074250000}"/>
    <cellStyle name="40% - Accent1 2 9 2" xfId="8131" xr:uid="{00000000-0005-0000-0000-000075250000}"/>
    <cellStyle name="40% - Accent1 2 9 2 2" xfId="8132" xr:uid="{00000000-0005-0000-0000-000076250000}"/>
    <cellStyle name="40% - Accent1 2 9 2 2 2" xfId="8133" xr:uid="{00000000-0005-0000-0000-000077250000}"/>
    <cellStyle name="40% - Accent1 2 9 2 3" xfId="8134" xr:uid="{00000000-0005-0000-0000-000078250000}"/>
    <cellStyle name="40% - Accent1 2 9 2 4" xfId="8135" xr:uid="{00000000-0005-0000-0000-000079250000}"/>
    <cellStyle name="40% - Accent1 2 9 2 5" xfId="37810" xr:uid="{00000000-0005-0000-0000-00007A250000}"/>
    <cellStyle name="40% - Accent1 2 9 3" xfId="8136" xr:uid="{00000000-0005-0000-0000-00007B250000}"/>
    <cellStyle name="40% - Accent1 2 9 4" xfId="8137" xr:uid="{00000000-0005-0000-0000-00007C250000}"/>
    <cellStyle name="40% - Accent1 2 9 4 2" xfId="8138" xr:uid="{00000000-0005-0000-0000-00007D250000}"/>
    <cellStyle name="40% - Accent1 2 9 5" xfId="8139" xr:uid="{00000000-0005-0000-0000-00007E250000}"/>
    <cellStyle name="40% - Accent1 2 9 6" xfId="8140" xr:uid="{00000000-0005-0000-0000-00007F250000}"/>
    <cellStyle name="40% - Accent1 2 9 7" xfId="37809" xr:uid="{00000000-0005-0000-0000-000080250000}"/>
    <cellStyle name="40% - Accent1 3" xfId="8141" xr:uid="{00000000-0005-0000-0000-000081250000}"/>
    <cellStyle name="40% - Accent1 3 2" xfId="8142" xr:uid="{00000000-0005-0000-0000-000082250000}"/>
    <cellStyle name="40% - Accent1 3 2 10" xfId="8143" xr:uid="{00000000-0005-0000-0000-000083250000}"/>
    <cellStyle name="40% - Accent1 3 2 10 2" xfId="8144" xr:uid="{00000000-0005-0000-0000-000084250000}"/>
    <cellStyle name="40% - Accent1 3 2 11" xfId="8145" xr:uid="{00000000-0005-0000-0000-000085250000}"/>
    <cellStyle name="40% - Accent1 3 2 12" xfId="8146" xr:uid="{00000000-0005-0000-0000-000086250000}"/>
    <cellStyle name="40% - Accent1 3 2 13" xfId="34668" xr:uid="{00000000-0005-0000-0000-000087250000}"/>
    <cellStyle name="40% - Accent1 3 2 2" xfId="8147" xr:uid="{00000000-0005-0000-0000-000088250000}"/>
    <cellStyle name="40% - Accent1 3 2 2 10" xfId="8148" xr:uid="{00000000-0005-0000-0000-000089250000}"/>
    <cellStyle name="40% - Accent1 3 2 2 11" xfId="8149" xr:uid="{00000000-0005-0000-0000-00008A250000}"/>
    <cellStyle name="40% - Accent1 3 2 2 12" xfId="34669" xr:uid="{00000000-0005-0000-0000-00008B250000}"/>
    <cellStyle name="40% - Accent1 3 2 2 2" xfId="8150" xr:uid="{00000000-0005-0000-0000-00008C250000}"/>
    <cellStyle name="40% - Accent1 3 2 2 2 10" xfId="8151" xr:uid="{00000000-0005-0000-0000-00008D250000}"/>
    <cellStyle name="40% - Accent1 3 2 2 2 11" xfId="34670" xr:uid="{00000000-0005-0000-0000-00008E250000}"/>
    <cellStyle name="40% - Accent1 3 2 2 2 2" xfId="8152" xr:uid="{00000000-0005-0000-0000-00008F250000}"/>
    <cellStyle name="40% - Accent1 3 2 2 2 2 10" xfId="34671" xr:uid="{00000000-0005-0000-0000-000090250000}"/>
    <cellStyle name="40% - Accent1 3 2 2 2 2 2" xfId="8153" xr:uid="{00000000-0005-0000-0000-000091250000}"/>
    <cellStyle name="40% - Accent1 3 2 2 2 2 2 2" xfId="8154" xr:uid="{00000000-0005-0000-0000-000092250000}"/>
    <cellStyle name="40% - Accent1 3 2 2 2 2 2 2 2" xfId="8155" xr:uid="{00000000-0005-0000-0000-000093250000}"/>
    <cellStyle name="40% - Accent1 3 2 2 2 2 2 2 2 2" xfId="8156" xr:uid="{00000000-0005-0000-0000-000094250000}"/>
    <cellStyle name="40% - Accent1 3 2 2 2 2 2 2 3" xfId="8157" xr:uid="{00000000-0005-0000-0000-000095250000}"/>
    <cellStyle name="40% - Accent1 3 2 2 2 2 2 2 4" xfId="8158" xr:uid="{00000000-0005-0000-0000-000096250000}"/>
    <cellStyle name="40% - Accent1 3 2 2 2 2 2 2 5" xfId="37812" xr:uid="{00000000-0005-0000-0000-000097250000}"/>
    <cellStyle name="40% - Accent1 3 2 2 2 2 2 3" xfId="8159" xr:uid="{00000000-0005-0000-0000-000098250000}"/>
    <cellStyle name="40% - Accent1 3 2 2 2 2 2 3 2" xfId="8160" xr:uid="{00000000-0005-0000-0000-000099250000}"/>
    <cellStyle name="40% - Accent1 3 2 2 2 2 2 4" xfId="8161" xr:uid="{00000000-0005-0000-0000-00009A250000}"/>
    <cellStyle name="40% - Accent1 3 2 2 2 2 2 5" xfId="8162" xr:uid="{00000000-0005-0000-0000-00009B250000}"/>
    <cellStyle name="40% - Accent1 3 2 2 2 2 2 6" xfId="37811" xr:uid="{00000000-0005-0000-0000-00009C250000}"/>
    <cellStyle name="40% - Accent1 3 2 2 2 2 3" xfId="8163" xr:uid="{00000000-0005-0000-0000-00009D250000}"/>
    <cellStyle name="40% - Accent1 3 2 2 2 2 3 2" xfId="8164" xr:uid="{00000000-0005-0000-0000-00009E250000}"/>
    <cellStyle name="40% - Accent1 3 2 2 2 2 3 2 2" xfId="8165" xr:uid="{00000000-0005-0000-0000-00009F250000}"/>
    <cellStyle name="40% - Accent1 3 2 2 2 2 3 2 2 2" xfId="8166" xr:uid="{00000000-0005-0000-0000-0000A0250000}"/>
    <cellStyle name="40% - Accent1 3 2 2 2 2 3 2 3" xfId="8167" xr:uid="{00000000-0005-0000-0000-0000A1250000}"/>
    <cellStyle name="40% - Accent1 3 2 2 2 2 3 2 4" xfId="8168" xr:uid="{00000000-0005-0000-0000-0000A2250000}"/>
    <cellStyle name="40% - Accent1 3 2 2 2 2 3 2 5" xfId="37814" xr:uid="{00000000-0005-0000-0000-0000A3250000}"/>
    <cellStyle name="40% - Accent1 3 2 2 2 2 3 3" xfId="8169" xr:uid="{00000000-0005-0000-0000-0000A4250000}"/>
    <cellStyle name="40% - Accent1 3 2 2 2 2 3 3 2" xfId="8170" xr:uid="{00000000-0005-0000-0000-0000A5250000}"/>
    <cellStyle name="40% - Accent1 3 2 2 2 2 3 4" xfId="8171" xr:uid="{00000000-0005-0000-0000-0000A6250000}"/>
    <cellStyle name="40% - Accent1 3 2 2 2 2 3 5" xfId="8172" xr:uid="{00000000-0005-0000-0000-0000A7250000}"/>
    <cellStyle name="40% - Accent1 3 2 2 2 2 3 6" xfId="37813" xr:uid="{00000000-0005-0000-0000-0000A8250000}"/>
    <cellStyle name="40% - Accent1 3 2 2 2 2 4" xfId="8173" xr:uid="{00000000-0005-0000-0000-0000A9250000}"/>
    <cellStyle name="40% - Accent1 3 2 2 2 2 4 2" xfId="8174" xr:uid="{00000000-0005-0000-0000-0000AA250000}"/>
    <cellStyle name="40% - Accent1 3 2 2 2 2 4 2 2" xfId="8175" xr:uid="{00000000-0005-0000-0000-0000AB250000}"/>
    <cellStyle name="40% - Accent1 3 2 2 2 2 4 3" xfId="8176" xr:uid="{00000000-0005-0000-0000-0000AC250000}"/>
    <cellStyle name="40% - Accent1 3 2 2 2 2 4 4" xfId="8177" xr:uid="{00000000-0005-0000-0000-0000AD250000}"/>
    <cellStyle name="40% - Accent1 3 2 2 2 2 4 5" xfId="37815" xr:uid="{00000000-0005-0000-0000-0000AE250000}"/>
    <cellStyle name="40% - Accent1 3 2 2 2 2 5" xfId="8178" xr:uid="{00000000-0005-0000-0000-0000AF250000}"/>
    <cellStyle name="40% - Accent1 3 2 2 2 2 5 2" xfId="8179" xr:uid="{00000000-0005-0000-0000-0000B0250000}"/>
    <cellStyle name="40% - Accent1 3 2 2 2 2 5 2 2" xfId="8180" xr:uid="{00000000-0005-0000-0000-0000B1250000}"/>
    <cellStyle name="40% - Accent1 3 2 2 2 2 5 3" xfId="8181" xr:uid="{00000000-0005-0000-0000-0000B2250000}"/>
    <cellStyle name="40% - Accent1 3 2 2 2 2 5 4" xfId="8182" xr:uid="{00000000-0005-0000-0000-0000B3250000}"/>
    <cellStyle name="40% - Accent1 3 2 2 2 2 6" xfId="8183" xr:uid="{00000000-0005-0000-0000-0000B4250000}"/>
    <cellStyle name="40% - Accent1 3 2 2 2 2 6 2" xfId="8184" xr:uid="{00000000-0005-0000-0000-0000B5250000}"/>
    <cellStyle name="40% - Accent1 3 2 2 2 2 6 2 2" xfId="8185" xr:uid="{00000000-0005-0000-0000-0000B6250000}"/>
    <cellStyle name="40% - Accent1 3 2 2 2 2 6 3" xfId="8186" xr:uid="{00000000-0005-0000-0000-0000B7250000}"/>
    <cellStyle name="40% - Accent1 3 2 2 2 2 6 4" xfId="8187" xr:uid="{00000000-0005-0000-0000-0000B8250000}"/>
    <cellStyle name="40% - Accent1 3 2 2 2 2 7" xfId="8188" xr:uid="{00000000-0005-0000-0000-0000B9250000}"/>
    <cellStyle name="40% - Accent1 3 2 2 2 2 7 2" xfId="8189" xr:uid="{00000000-0005-0000-0000-0000BA250000}"/>
    <cellStyle name="40% - Accent1 3 2 2 2 2 8" xfId="8190" xr:uid="{00000000-0005-0000-0000-0000BB250000}"/>
    <cellStyle name="40% - Accent1 3 2 2 2 2 9" xfId="8191" xr:uid="{00000000-0005-0000-0000-0000BC250000}"/>
    <cellStyle name="40% - Accent1 3 2 2 2 3" xfId="8192" xr:uid="{00000000-0005-0000-0000-0000BD250000}"/>
    <cellStyle name="40% - Accent1 3 2 2 2 3 2" xfId="8193" xr:uid="{00000000-0005-0000-0000-0000BE250000}"/>
    <cellStyle name="40% - Accent1 3 2 2 2 3 2 2" xfId="8194" xr:uid="{00000000-0005-0000-0000-0000BF250000}"/>
    <cellStyle name="40% - Accent1 3 2 2 2 3 2 2 2" xfId="8195" xr:uid="{00000000-0005-0000-0000-0000C0250000}"/>
    <cellStyle name="40% - Accent1 3 2 2 2 3 2 3" xfId="8196" xr:uid="{00000000-0005-0000-0000-0000C1250000}"/>
    <cellStyle name="40% - Accent1 3 2 2 2 3 2 4" xfId="8197" xr:uid="{00000000-0005-0000-0000-0000C2250000}"/>
    <cellStyle name="40% - Accent1 3 2 2 2 3 2 5" xfId="37817" xr:uid="{00000000-0005-0000-0000-0000C3250000}"/>
    <cellStyle name="40% - Accent1 3 2 2 2 3 3" xfId="8198" xr:uid="{00000000-0005-0000-0000-0000C4250000}"/>
    <cellStyle name="40% - Accent1 3 2 2 2 3 3 2" xfId="8199" xr:uid="{00000000-0005-0000-0000-0000C5250000}"/>
    <cellStyle name="40% - Accent1 3 2 2 2 3 4" xfId="8200" xr:uid="{00000000-0005-0000-0000-0000C6250000}"/>
    <cellStyle name="40% - Accent1 3 2 2 2 3 5" xfId="8201" xr:uid="{00000000-0005-0000-0000-0000C7250000}"/>
    <cellStyle name="40% - Accent1 3 2 2 2 3 6" xfId="37816" xr:uid="{00000000-0005-0000-0000-0000C8250000}"/>
    <cellStyle name="40% - Accent1 3 2 2 2 4" xfId="8202" xr:uid="{00000000-0005-0000-0000-0000C9250000}"/>
    <cellStyle name="40% - Accent1 3 2 2 2 4 2" xfId="8203" xr:uid="{00000000-0005-0000-0000-0000CA250000}"/>
    <cellStyle name="40% - Accent1 3 2 2 2 4 2 2" xfId="8204" xr:uid="{00000000-0005-0000-0000-0000CB250000}"/>
    <cellStyle name="40% - Accent1 3 2 2 2 4 2 2 2" xfId="8205" xr:uid="{00000000-0005-0000-0000-0000CC250000}"/>
    <cellStyle name="40% - Accent1 3 2 2 2 4 2 3" xfId="8206" xr:uid="{00000000-0005-0000-0000-0000CD250000}"/>
    <cellStyle name="40% - Accent1 3 2 2 2 4 2 4" xfId="8207" xr:uid="{00000000-0005-0000-0000-0000CE250000}"/>
    <cellStyle name="40% - Accent1 3 2 2 2 4 2 5" xfId="37819" xr:uid="{00000000-0005-0000-0000-0000CF250000}"/>
    <cellStyle name="40% - Accent1 3 2 2 2 4 3" xfId="8208" xr:uid="{00000000-0005-0000-0000-0000D0250000}"/>
    <cellStyle name="40% - Accent1 3 2 2 2 4 3 2" xfId="8209" xr:uid="{00000000-0005-0000-0000-0000D1250000}"/>
    <cellStyle name="40% - Accent1 3 2 2 2 4 4" xfId="8210" xr:uid="{00000000-0005-0000-0000-0000D2250000}"/>
    <cellStyle name="40% - Accent1 3 2 2 2 4 5" xfId="8211" xr:uid="{00000000-0005-0000-0000-0000D3250000}"/>
    <cellStyle name="40% - Accent1 3 2 2 2 4 6" xfId="37818" xr:uid="{00000000-0005-0000-0000-0000D4250000}"/>
    <cellStyle name="40% - Accent1 3 2 2 2 5" xfId="8212" xr:uid="{00000000-0005-0000-0000-0000D5250000}"/>
    <cellStyle name="40% - Accent1 3 2 2 2 5 2" xfId="8213" xr:uid="{00000000-0005-0000-0000-0000D6250000}"/>
    <cellStyle name="40% - Accent1 3 2 2 2 5 2 2" xfId="8214" xr:uid="{00000000-0005-0000-0000-0000D7250000}"/>
    <cellStyle name="40% - Accent1 3 2 2 2 5 3" xfId="8215" xr:uid="{00000000-0005-0000-0000-0000D8250000}"/>
    <cellStyle name="40% - Accent1 3 2 2 2 5 4" xfId="8216" xr:uid="{00000000-0005-0000-0000-0000D9250000}"/>
    <cellStyle name="40% - Accent1 3 2 2 2 5 5" xfId="37820" xr:uid="{00000000-0005-0000-0000-0000DA250000}"/>
    <cellStyle name="40% - Accent1 3 2 2 2 6" xfId="8217" xr:uid="{00000000-0005-0000-0000-0000DB250000}"/>
    <cellStyle name="40% - Accent1 3 2 2 2 6 2" xfId="8218" xr:uid="{00000000-0005-0000-0000-0000DC250000}"/>
    <cellStyle name="40% - Accent1 3 2 2 2 6 2 2" xfId="8219" xr:uid="{00000000-0005-0000-0000-0000DD250000}"/>
    <cellStyle name="40% - Accent1 3 2 2 2 6 3" xfId="8220" xr:uid="{00000000-0005-0000-0000-0000DE250000}"/>
    <cellStyle name="40% - Accent1 3 2 2 2 6 4" xfId="8221" xr:uid="{00000000-0005-0000-0000-0000DF250000}"/>
    <cellStyle name="40% - Accent1 3 2 2 2 7" xfId="8222" xr:uid="{00000000-0005-0000-0000-0000E0250000}"/>
    <cellStyle name="40% - Accent1 3 2 2 2 7 2" xfId="8223" xr:uid="{00000000-0005-0000-0000-0000E1250000}"/>
    <cellStyle name="40% - Accent1 3 2 2 2 7 2 2" xfId="8224" xr:uid="{00000000-0005-0000-0000-0000E2250000}"/>
    <cellStyle name="40% - Accent1 3 2 2 2 7 3" xfId="8225" xr:uid="{00000000-0005-0000-0000-0000E3250000}"/>
    <cellStyle name="40% - Accent1 3 2 2 2 7 4" xfId="8226" xr:uid="{00000000-0005-0000-0000-0000E4250000}"/>
    <cellStyle name="40% - Accent1 3 2 2 2 8" xfId="8227" xr:uid="{00000000-0005-0000-0000-0000E5250000}"/>
    <cellStyle name="40% - Accent1 3 2 2 2 8 2" xfId="8228" xr:uid="{00000000-0005-0000-0000-0000E6250000}"/>
    <cellStyle name="40% - Accent1 3 2 2 2 9" xfId="8229" xr:uid="{00000000-0005-0000-0000-0000E7250000}"/>
    <cellStyle name="40% - Accent1 3 2 2 3" xfId="8230" xr:uid="{00000000-0005-0000-0000-0000E8250000}"/>
    <cellStyle name="40% - Accent1 3 2 2 3 10" xfId="34672" xr:uid="{00000000-0005-0000-0000-0000E9250000}"/>
    <cellStyle name="40% - Accent1 3 2 2 3 2" xfId="8231" xr:uid="{00000000-0005-0000-0000-0000EA250000}"/>
    <cellStyle name="40% - Accent1 3 2 2 3 2 2" xfId="8232" xr:uid="{00000000-0005-0000-0000-0000EB250000}"/>
    <cellStyle name="40% - Accent1 3 2 2 3 2 2 2" xfId="8233" xr:uid="{00000000-0005-0000-0000-0000EC250000}"/>
    <cellStyle name="40% - Accent1 3 2 2 3 2 2 2 2" xfId="8234" xr:uid="{00000000-0005-0000-0000-0000ED250000}"/>
    <cellStyle name="40% - Accent1 3 2 2 3 2 2 3" xfId="8235" xr:uid="{00000000-0005-0000-0000-0000EE250000}"/>
    <cellStyle name="40% - Accent1 3 2 2 3 2 2 4" xfId="8236" xr:uid="{00000000-0005-0000-0000-0000EF250000}"/>
    <cellStyle name="40% - Accent1 3 2 2 3 2 2 5" xfId="37822" xr:uid="{00000000-0005-0000-0000-0000F0250000}"/>
    <cellStyle name="40% - Accent1 3 2 2 3 2 3" xfId="8237" xr:uid="{00000000-0005-0000-0000-0000F1250000}"/>
    <cellStyle name="40% - Accent1 3 2 2 3 2 3 2" xfId="8238" xr:uid="{00000000-0005-0000-0000-0000F2250000}"/>
    <cellStyle name="40% - Accent1 3 2 2 3 2 4" xfId="8239" xr:uid="{00000000-0005-0000-0000-0000F3250000}"/>
    <cellStyle name="40% - Accent1 3 2 2 3 2 5" xfId="8240" xr:uid="{00000000-0005-0000-0000-0000F4250000}"/>
    <cellStyle name="40% - Accent1 3 2 2 3 2 6" xfId="37821" xr:uid="{00000000-0005-0000-0000-0000F5250000}"/>
    <cellStyle name="40% - Accent1 3 2 2 3 3" xfId="8241" xr:uid="{00000000-0005-0000-0000-0000F6250000}"/>
    <cellStyle name="40% - Accent1 3 2 2 3 3 2" xfId="8242" xr:uid="{00000000-0005-0000-0000-0000F7250000}"/>
    <cellStyle name="40% - Accent1 3 2 2 3 3 2 2" xfId="8243" xr:uid="{00000000-0005-0000-0000-0000F8250000}"/>
    <cellStyle name="40% - Accent1 3 2 2 3 3 2 2 2" xfId="8244" xr:uid="{00000000-0005-0000-0000-0000F9250000}"/>
    <cellStyle name="40% - Accent1 3 2 2 3 3 2 3" xfId="8245" xr:uid="{00000000-0005-0000-0000-0000FA250000}"/>
    <cellStyle name="40% - Accent1 3 2 2 3 3 2 4" xfId="8246" xr:uid="{00000000-0005-0000-0000-0000FB250000}"/>
    <cellStyle name="40% - Accent1 3 2 2 3 3 2 5" xfId="37824" xr:uid="{00000000-0005-0000-0000-0000FC250000}"/>
    <cellStyle name="40% - Accent1 3 2 2 3 3 3" xfId="8247" xr:uid="{00000000-0005-0000-0000-0000FD250000}"/>
    <cellStyle name="40% - Accent1 3 2 2 3 3 3 2" xfId="8248" xr:uid="{00000000-0005-0000-0000-0000FE250000}"/>
    <cellStyle name="40% - Accent1 3 2 2 3 3 4" xfId="8249" xr:uid="{00000000-0005-0000-0000-0000FF250000}"/>
    <cellStyle name="40% - Accent1 3 2 2 3 3 5" xfId="8250" xr:uid="{00000000-0005-0000-0000-000000260000}"/>
    <cellStyle name="40% - Accent1 3 2 2 3 3 6" xfId="37823" xr:uid="{00000000-0005-0000-0000-000001260000}"/>
    <cellStyle name="40% - Accent1 3 2 2 3 4" xfId="8251" xr:uid="{00000000-0005-0000-0000-000002260000}"/>
    <cellStyle name="40% - Accent1 3 2 2 3 4 2" xfId="8252" xr:uid="{00000000-0005-0000-0000-000003260000}"/>
    <cellStyle name="40% - Accent1 3 2 2 3 4 2 2" xfId="8253" xr:uid="{00000000-0005-0000-0000-000004260000}"/>
    <cellStyle name="40% - Accent1 3 2 2 3 4 3" xfId="8254" xr:uid="{00000000-0005-0000-0000-000005260000}"/>
    <cellStyle name="40% - Accent1 3 2 2 3 4 4" xfId="8255" xr:uid="{00000000-0005-0000-0000-000006260000}"/>
    <cellStyle name="40% - Accent1 3 2 2 3 4 5" xfId="37825" xr:uid="{00000000-0005-0000-0000-000007260000}"/>
    <cellStyle name="40% - Accent1 3 2 2 3 5" xfId="8256" xr:uid="{00000000-0005-0000-0000-000008260000}"/>
    <cellStyle name="40% - Accent1 3 2 2 3 5 2" xfId="8257" xr:uid="{00000000-0005-0000-0000-000009260000}"/>
    <cellStyle name="40% - Accent1 3 2 2 3 5 2 2" xfId="8258" xr:uid="{00000000-0005-0000-0000-00000A260000}"/>
    <cellStyle name="40% - Accent1 3 2 2 3 5 3" xfId="8259" xr:uid="{00000000-0005-0000-0000-00000B260000}"/>
    <cellStyle name="40% - Accent1 3 2 2 3 5 4" xfId="8260" xr:uid="{00000000-0005-0000-0000-00000C260000}"/>
    <cellStyle name="40% - Accent1 3 2 2 3 6" xfId="8261" xr:uid="{00000000-0005-0000-0000-00000D260000}"/>
    <cellStyle name="40% - Accent1 3 2 2 3 6 2" xfId="8262" xr:uid="{00000000-0005-0000-0000-00000E260000}"/>
    <cellStyle name="40% - Accent1 3 2 2 3 6 2 2" xfId="8263" xr:uid="{00000000-0005-0000-0000-00000F260000}"/>
    <cellStyle name="40% - Accent1 3 2 2 3 6 3" xfId="8264" xr:uid="{00000000-0005-0000-0000-000010260000}"/>
    <cellStyle name="40% - Accent1 3 2 2 3 6 4" xfId="8265" xr:uid="{00000000-0005-0000-0000-000011260000}"/>
    <cellStyle name="40% - Accent1 3 2 2 3 7" xfId="8266" xr:uid="{00000000-0005-0000-0000-000012260000}"/>
    <cellStyle name="40% - Accent1 3 2 2 3 7 2" xfId="8267" xr:uid="{00000000-0005-0000-0000-000013260000}"/>
    <cellStyle name="40% - Accent1 3 2 2 3 8" xfId="8268" xr:uid="{00000000-0005-0000-0000-000014260000}"/>
    <cellStyle name="40% - Accent1 3 2 2 3 9" xfId="8269" xr:uid="{00000000-0005-0000-0000-000015260000}"/>
    <cellStyle name="40% - Accent1 3 2 2 4" xfId="8270" xr:uid="{00000000-0005-0000-0000-000016260000}"/>
    <cellStyle name="40% - Accent1 3 2 2 4 2" xfId="8271" xr:uid="{00000000-0005-0000-0000-000017260000}"/>
    <cellStyle name="40% - Accent1 3 2 2 4 2 2" xfId="8272" xr:uid="{00000000-0005-0000-0000-000018260000}"/>
    <cellStyle name="40% - Accent1 3 2 2 4 2 2 2" xfId="8273" xr:uid="{00000000-0005-0000-0000-000019260000}"/>
    <cellStyle name="40% - Accent1 3 2 2 4 2 3" xfId="8274" xr:uid="{00000000-0005-0000-0000-00001A260000}"/>
    <cellStyle name="40% - Accent1 3 2 2 4 2 4" xfId="8275" xr:uid="{00000000-0005-0000-0000-00001B260000}"/>
    <cellStyle name="40% - Accent1 3 2 2 4 2 5" xfId="37827" xr:uid="{00000000-0005-0000-0000-00001C260000}"/>
    <cellStyle name="40% - Accent1 3 2 2 4 3" xfId="8276" xr:uid="{00000000-0005-0000-0000-00001D260000}"/>
    <cellStyle name="40% - Accent1 3 2 2 4 3 2" xfId="8277" xr:uid="{00000000-0005-0000-0000-00001E260000}"/>
    <cellStyle name="40% - Accent1 3 2 2 4 4" xfId="8278" xr:uid="{00000000-0005-0000-0000-00001F260000}"/>
    <cellStyle name="40% - Accent1 3 2 2 4 5" xfId="8279" xr:uid="{00000000-0005-0000-0000-000020260000}"/>
    <cellStyle name="40% - Accent1 3 2 2 4 6" xfId="37826" xr:uid="{00000000-0005-0000-0000-000021260000}"/>
    <cellStyle name="40% - Accent1 3 2 2 5" xfId="8280" xr:uid="{00000000-0005-0000-0000-000022260000}"/>
    <cellStyle name="40% - Accent1 3 2 2 5 2" xfId="8281" xr:uid="{00000000-0005-0000-0000-000023260000}"/>
    <cellStyle name="40% - Accent1 3 2 2 5 2 2" xfId="8282" xr:uid="{00000000-0005-0000-0000-000024260000}"/>
    <cellStyle name="40% - Accent1 3 2 2 5 2 2 2" xfId="8283" xr:uid="{00000000-0005-0000-0000-000025260000}"/>
    <cellStyle name="40% - Accent1 3 2 2 5 2 3" xfId="8284" xr:uid="{00000000-0005-0000-0000-000026260000}"/>
    <cellStyle name="40% - Accent1 3 2 2 5 2 4" xfId="8285" xr:uid="{00000000-0005-0000-0000-000027260000}"/>
    <cellStyle name="40% - Accent1 3 2 2 5 2 5" xfId="37829" xr:uid="{00000000-0005-0000-0000-000028260000}"/>
    <cellStyle name="40% - Accent1 3 2 2 5 3" xfId="8286" xr:uid="{00000000-0005-0000-0000-000029260000}"/>
    <cellStyle name="40% - Accent1 3 2 2 5 3 2" xfId="8287" xr:uid="{00000000-0005-0000-0000-00002A260000}"/>
    <cellStyle name="40% - Accent1 3 2 2 5 4" xfId="8288" xr:uid="{00000000-0005-0000-0000-00002B260000}"/>
    <cellStyle name="40% - Accent1 3 2 2 5 5" xfId="8289" xr:uid="{00000000-0005-0000-0000-00002C260000}"/>
    <cellStyle name="40% - Accent1 3 2 2 5 6" xfId="37828" xr:uid="{00000000-0005-0000-0000-00002D260000}"/>
    <cellStyle name="40% - Accent1 3 2 2 6" xfId="8290" xr:uid="{00000000-0005-0000-0000-00002E260000}"/>
    <cellStyle name="40% - Accent1 3 2 2 6 2" xfId="8291" xr:uid="{00000000-0005-0000-0000-00002F260000}"/>
    <cellStyle name="40% - Accent1 3 2 2 6 2 2" xfId="8292" xr:uid="{00000000-0005-0000-0000-000030260000}"/>
    <cellStyle name="40% - Accent1 3 2 2 6 3" xfId="8293" xr:uid="{00000000-0005-0000-0000-000031260000}"/>
    <cellStyle name="40% - Accent1 3 2 2 6 4" xfId="8294" xr:uid="{00000000-0005-0000-0000-000032260000}"/>
    <cellStyle name="40% - Accent1 3 2 2 6 5" xfId="37830" xr:uid="{00000000-0005-0000-0000-000033260000}"/>
    <cellStyle name="40% - Accent1 3 2 2 7" xfId="8295" xr:uid="{00000000-0005-0000-0000-000034260000}"/>
    <cellStyle name="40% - Accent1 3 2 2 7 2" xfId="8296" xr:uid="{00000000-0005-0000-0000-000035260000}"/>
    <cellStyle name="40% - Accent1 3 2 2 7 2 2" xfId="8297" xr:uid="{00000000-0005-0000-0000-000036260000}"/>
    <cellStyle name="40% - Accent1 3 2 2 7 3" xfId="8298" xr:uid="{00000000-0005-0000-0000-000037260000}"/>
    <cellStyle name="40% - Accent1 3 2 2 7 4" xfId="8299" xr:uid="{00000000-0005-0000-0000-000038260000}"/>
    <cellStyle name="40% - Accent1 3 2 2 8" xfId="8300" xr:uid="{00000000-0005-0000-0000-000039260000}"/>
    <cellStyle name="40% - Accent1 3 2 2 8 2" xfId="8301" xr:uid="{00000000-0005-0000-0000-00003A260000}"/>
    <cellStyle name="40% - Accent1 3 2 2 8 2 2" xfId="8302" xr:uid="{00000000-0005-0000-0000-00003B260000}"/>
    <cellStyle name="40% - Accent1 3 2 2 8 3" xfId="8303" xr:uid="{00000000-0005-0000-0000-00003C260000}"/>
    <cellStyle name="40% - Accent1 3 2 2 8 4" xfId="8304" xr:uid="{00000000-0005-0000-0000-00003D260000}"/>
    <cellStyle name="40% - Accent1 3 2 2 9" xfId="8305" xr:uid="{00000000-0005-0000-0000-00003E260000}"/>
    <cellStyle name="40% - Accent1 3 2 2 9 2" xfId="8306" xr:uid="{00000000-0005-0000-0000-00003F260000}"/>
    <cellStyle name="40% - Accent1 3 2 3" xfId="8307" xr:uid="{00000000-0005-0000-0000-000040260000}"/>
    <cellStyle name="40% - Accent1 3 2 3 10" xfId="8308" xr:uid="{00000000-0005-0000-0000-000041260000}"/>
    <cellStyle name="40% - Accent1 3 2 3 11" xfId="34673" xr:uid="{00000000-0005-0000-0000-000042260000}"/>
    <cellStyle name="40% - Accent1 3 2 3 2" xfId="8309" xr:uid="{00000000-0005-0000-0000-000043260000}"/>
    <cellStyle name="40% - Accent1 3 2 3 2 10" xfId="34674" xr:uid="{00000000-0005-0000-0000-000044260000}"/>
    <cellStyle name="40% - Accent1 3 2 3 2 2" xfId="8310" xr:uid="{00000000-0005-0000-0000-000045260000}"/>
    <cellStyle name="40% - Accent1 3 2 3 2 2 2" xfId="8311" xr:uid="{00000000-0005-0000-0000-000046260000}"/>
    <cellStyle name="40% - Accent1 3 2 3 2 2 2 2" xfId="8312" xr:uid="{00000000-0005-0000-0000-000047260000}"/>
    <cellStyle name="40% - Accent1 3 2 3 2 2 2 2 2" xfId="8313" xr:uid="{00000000-0005-0000-0000-000048260000}"/>
    <cellStyle name="40% - Accent1 3 2 3 2 2 2 3" xfId="8314" xr:uid="{00000000-0005-0000-0000-000049260000}"/>
    <cellStyle name="40% - Accent1 3 2 3 2 2 2 4" xfId="8315" xr:uid="{00000000-0005-0000-0000-00004A260000}"/>
    <cellStyle name="40% - Accent1 3 2 3 2 2 2 5" xfId="37832" xr:uid="{00000000-0005-0000-0000-00004B260000}"/>
    <cellStyle name="40% - Accent1 3 2 3 2 2 3" xfId="8316" xr:uid="{00000000-0005-0000-0000-00004C260000}"/>
    <cellStyle name="40% - Accent1 3 2 3 2 2 3 2" xfId="8317" xr:uid="{00000000-0005-0000-0000-00004D260000}"/>
    <cellStyle name="40% - Accent1 3 2 3 2 2 4" xfId="8318" xr:uid="{00000000-0005-0000-0000-00004E260000}"/>
    <cellStyle name="40% - Accent1 3 2 3 2 2 5" xfId="8319" xr:uid="{00000000-0005-0000-0000-00004F260000}"/>
    <cellStyle name="40% - Accent1 3 2 3 2 2 6" xfId="37831" xr:uid="{00000000-0005-0000-0000-000050260000}"/>
    <cellStyle name="40% - Accent1 3 2 3 2 3" xfId="8320" xr:uid="{00000000-0005-0000-0000-000051260000}"/>
    <cellStyle name="40% - Accent1 3 2 3 2 3 2" xfId="8321" xr:uid="{00000000-0005-0000-0000-000052260000}"/>
    <cellStyle name="40% - Accent1 3 2 3 2 3 2 2" xfId="8322" xr:uid="{00000000-0005-0000-0000-000053260000}"/>
    <cellStyle name="40% - Accent1 3 2 3 2 3 2 2 2" xfId="8323" xr:uid="{00000000-0005-0000-0000-000054260000}"/>
    <cellStyle name="40% - Accent1 3 2 3 2 3 2 3" xfId="8324" xr:uid="{00000000-0005-0000-0000-000055260000}"/>
    <cellStyle name="40% - Accent1 3 2 3 2 3 2 4" xfId="8325" xr:uid="{00000000-0005-0000-0000-000056260000}"/>
    <cellStyle name="40% - Accent1 3 2 3 2 3 2 5" xfId="37834" xr:uid="{00000000-0005-0000-0000-000057260000}"/>
    <cellStyle name="40% - Accent1 3 2 3 2 3 3" xfId="8326" xr:uid="{00000000-0005-0000-0000-000058260000}"/>
    <cellStyle name="40% - Accent1 3 2 3 2 3 3 2" xfId="8327" xr:uid="{00000000-0005-0000-0000-000059260000}"/>
    <cellStyle name="40% - Accent1 3 2 3 2 3 4" xfId="8328" xr:uid="{00000000-0005-0000-0000-00005A260000}"/>
    <cellStyle name="40% - Accent1 3 2 3 2 3 5" xfId="8329" xr:uid="{00000000-0005-0000-0000-00005B260000}"/>
    <cellStyle name="40% - Accent1 3 2 3 2 3 6" xfId="37833" xr:uid="{00000000-0005-0000-0000-00005C260000}"/>
    <cellStyle name="40% - Accent1 3 2 3 2 4" xfId="8330" xr:uid="{00000000-0005-0000-0000-00005D260000}"/>
    <cellStyle name="40% - Accent1 3 2 3 2 4 2" xfId="8331" xr:uid="{00000000-0005-0000-0000-00005E260000}"/>
    <cellStyle name="40% - Accent1 3 2 3 2 4 2 2" xfId="8332" xr:uid="{00000000-0005-0000-0000-00005F260000}"/>
    <cellStyle name="40% - Accent1 3 2 3 2 4 3" xfId="8333" xr:uid="{00000000-0005-0000-0000-000060260000}"/>
    <cellStyle name="40% - Accent1 3 2 3 2 4 4" xfId="8334" xr:uid="{00000000-0005-0000-0000-000061260000}"/>
    <cellStyle name="40% - Accent1 3 2 3 2 4 5" xfId="37835" xr:uid="{00000000-0005-0000-0000-000062260000}"/>
    <cellStyle name="40% - Accent1 3 2 3 2 5" xfId="8335" xr:uid="{00000000-0005-0000-0000-000063260000}"/>
    <cellStyle name="40% - Accent1 3 2 3 2 5 2" xfId="8336" xr:uid="{00000000-0005-0000-0000-000064260000}"/>
    <cellStyle name="40% - Accent1 3 2 3 2 5 2 2" xfId="8337" xr:uid="{00000000-0005-0000-0000-000065260000}"/>
    <cellStyle name="40% - Accent1 3 2 3 2 5 3" xfId="8338" xr:uid="{00000000-0005-0000-0000-000066260000}"/>
    <cellStyle name="40% - Accent1 3 2 3 2 5 4" xfId="8339" xr:uid="{00000000-0005-0000-0000-000067260000}"/>
    <cellStyle name="40% - Accent1 3 2 3 2 6" xfId="8340" xr:uid="{00000000-0005-0000-0000-000068260000}"/>
    <cellStyle name="40% - Accent1 3 2 3 2 6 2" xfId="8341" xr:uid="{00000000-0005-0000-0000-000069260000}"/>
    <cellStyle name="40% - Accent1 3 2 3 2 6 2 2" xfId="8342" xr:uid="{00000000-0005-0000-0000-00006A260000}"/>
    <cellStyle name="40% - Accent1 3 2 3 2 6 3" xfId="8343" xr:uid="{00000000-0005-0000-0000-00006B260000}"/>
    <cellStyle name="40% - Accent1 3 2 3 2 6 4" xfId="8344" xr:uid="{00000000-0005-0000-0000-00006C260000}"/>
    <cellStyle name="40% - Accent1 3 2 3 2 7" xfId="8345" xr:uid="{00000000-0005-0000-0000-00006D260000}"/>
    <cellStyle name="40% - Accent1 3 2 3 2 7 2" xfId="8346" xr:uid="{00000000-0005-0000-0000-00006E260000}"/>
    <cellStyle name="40% - Accent1 3 2 3 2 8" xfId="8347" xr:uid="{00000000-0005-0000-0000-00006F260000}"/>
    <cellStyle name="40% - Accent1 3 2 3 2 9" xfId="8348" xr:uid="{00000000-0005-0000-0000-000070260000}"/>
    <cellStyle name="40% - Accent1 3 2 3 3" xfId="8349" xr:uid="{00000000-0005-0000-0000-000071260000}"/>
    <cellStyle name="40% - Accent1 3 2 3 3 2" xfId="8350" xr:uid="{00000000-0005-0000-0000-000072260000}"/>
    <cellStyle name="40% - Accent1 3 2 3 3 2 2" xfId="8351" xr:uid="{00000000-0005-0000-0000-000073260000}"/>
    <cellStyle name="40% - Accent1 3 2 3 3 2 2 2" xfId="8352" xr:uid="{00000000-0005-0000-0000-000074260000}"/>
    <cellStyle name="40% - Accent1 3 2 3 3 2 3" xfId="8353" xr:uid="{00000000-0005-0000-0000-000075260000}"/>
    <cellStyle name="40% - Accent1 3 2 3 3 2 4" xfId="8354" xr:uid="{00000000-0005-0000-0000-000076260000}"/>
    <cellStyle name="40% - Accent1 3 2 3 3 2 5" xfId="37837" xr:uid="{00000000-0005-0000-0000-000077260000}"/>
    <cellStyle name="40% - Accent1 3 2 3 3 3" xfId="8355" xr:uid="{00000000-0005-0000-0000-000078260000}"/>
    <cellStyle name="40% - Accent1 3 2 3 3 3 2" xfId="8356" xr:uid="{00000000-0005-0000-0000-000079260000}"/>
    <cellStyle name="40% - Accent1 3 2 3 3 4" xfId="8357" xr:uid="{00000000-0005-0000-0000-00007A260000}"/>
    <cellStyle name="40% - Accent1 3 2 3 3 5" xfId="8358" xr:uid="{00000000-0005-0000-0000-00007B260000}"/>
    <cellStyle name="40% - Accent1 3 2 3 3 6" xfId="37836" xr:uid="{00000000-0005-0000-0000-00007C260000}"/>
    <cellStyle name="40% - Accent1 3 2 3 4" xfId="8359" xr:uid="{00000000-0005-0000-0000-00007D260000}"/>
    <cellStyle name="40% - Accent1 3 2 3 4 2" xfId="8360" xr:uid="{00000000-0005-0000-0000-00007E260000}"/>
    <cellStyle name="40% - Accent1 3 2 3 4 2 2" xfId="8361" xr:uid="{00000000-0005-0000-0000-00007F260000}"/>
    <cellStyle name="40% - Accent1 3 2 3 4 2 2 2" xfId="8362" xr:uid="{00000000-0005-0000-0000-000080260000}"/>
    <cellStyle name="40% - Accent1 3 2 3 4 2 3" xfId="8363" xr:uid="{00000000-0005-0000-0000-000081260000}"/>
    <cellStyle name="40% - Accent1 3 2 3 4 2 4" xfId="8364" xr:uid="{00000000-0005-0000-0000-000082260000}"/>
    <cellStyle name="40% - Accent1 3 2 3 4 2 5" xfId="37839" xr:uid="{00000000-0005-0000-0000-000083260000}"/>
    <cellStyle name="40% - Accent1 3 2 3 4 3" xfId="8365" xr:uid="{00000000-0005-0000-0000-000084260000}"/>
    <cellStyle name="40% - Accent1 3 2 3 4 3 2" xfId="8366" xr:uid="{00000000-0005-0000-0000-000085260000}"/>
    <cellStyle name="40% - Accent1 3 2 3 4 4" xfId="8367" xr:uid="{00000000-0005-0000-0000-000086260000}"/>
    <cellStyle name="40% - Accent1 3 2 3 4 5" xfId="8368" xr:uid="{00000000-0005-0000-0000-000087260000}"/>
    <cellStyle name="40% - Accent1 3 2 3 4 6" xfId="37838" xr:uid="{00000000-0005-0000-0000-000088260000}"/>
    <cellStyle name="40% - Accent1 3 2 3 5" xfId="8369" xr:uid="{00000000-0005-0000-0000-000089260000}"/>
    <cellStyle name="40% - Accent1 3 2 3 5 2" xfId="8370" xr:uid="{00000000-0005-0000-0000-00008A260000}"/>
    <cellStyle name="40% - Accent1 3 2 3 5 2 2" xfId="8371" xr:uid="{00000000-0005-0000-0000-00008B260000}"/>
    <cellStyle name="40% - Accent1 3 2 3 5 3" xfId="8372" xr:uid="{00000000-0005-0000-0000-00008C260000}"/>
    <cellStyle name="40% - Accent1 3 2 3 5 4" xfId="8373" xr:uid="{00000000-0005-0000-0000-00008D260000}"/>
    <cellStyle name="40% - Accent1 3 2 3 5 5" xfId="37840" xr:uid="{00000000-0005-0000-0000-00008E260000}"/>
    <cellStyle name="40% - Accent1 3 2 3 6" xfId="8374" xr:uid="{00000000-0005-0000-0000-00008F260000}"/>
    <cellStyle name="40% - Accent1 3 2 3 6 2" xfId="8375" xr:uid="{00000000-0005-0000-0000-000090260000}"/>
    <cellStyle name="40% - Accent1 3 2 3 6 2 2" xfId="8376" xr:uid="{00000000-0005-0000-0000-000091260000}"/>
    <cellStyle name="40% - Accent1 3 2 3 6 3" xfId="8377" xr:uid="{00000000-0005-0000-0000-000092260000}"/>
    <cellStyle name="40% - Accent1 3 2 3 6 4" xfId="8378" xr:uid="{00000000-0005-0000-0000-000093260000}"/>
    <cellStyle name="40% - Accent1 3 2 3 7" xfId="8379" xr:uid="{00000000-0005-0000-0000-000094260000}"/>
    <cellStyle name="40% - Accent1 3 2 3 7 2" xfId="8380" xr:uid="{00000000-0005-0000-0000-000095260000}"/>
    <cellStyle name="40% - Accent1 3 2 3 7 2 2" xfId="8381" xr:uid="{00000000-0005-0000-0000-000096260000}"/>
    <cellStyle name="40% - Accent1 3 2 3 7 3" xfId="8382" xr:uid="{00000000-0005-0000-0000-000097260000}"/>
    <cellStyle name="40% - Accent1 3 2 3 7 4" xfId="8383" xr:uid="{00000000-0005-0000-0000-000098260000}"/>
    <cellStyle name="40% - Accent1 3 2 3 8" xfId="8384" xr:uid="{00000000-0005-0000-0000-000099260000}"/>
    <cellStyle name="40% - Accent1 3 2 3 8 2" xfId="8385" xr:uid="{00000000-0005-0000-0000-00009A260000}"/>
    <cellStyle name="40% - Accent1 3 2 3 9" xfId="8386" xr:uid="{00000000-0005-0000-0000-00009B260000}"/>
    <cellStyle name="40% - Accent1 3 2 4" xfId="8387" xr:uid="{00000000-0005-0000-0000-00009C260000}"/>
    <cellStyle name="40% - Accent1 3 2 4 10" xfId="34675" xr:uid="{00000000-0005-0000-0000-00009D260000}"/>
    <cellStyle name="40% - Accent1 3 2 4 2" xfId="8388" xr:uid="{00000000-0005-0000-0000-00009E260000}"/>
    <cellStyle name="40% - Accent1 3 2 4 2 2" xfId="8389" xr:uid="{00000000-0005-0000-0000-00009F260000}"/>
    <cellStyle name="40% - Accent1 3 2 4 2 2 2" xfId="8390" xr:uid="{00000000-0005-0000-0000-0000A0260000}"/>
    <cellStyle name="40% - Accent1 3 2 4 2 2 2 2" xfId="8391" xr:uid="{00000000-0005-0000-0000-0000A1260000}"/>
    <cellStyle name="40% - Accent1 3 2 4 2 2 3" xfId="8392" xr:uid="{00000000-0005-0000-0000-0000A2260000}"/>
    <cellStyle name="40% - Accent1 3 2 4 2 2 4" xfId="8393" xr:uid="{00000000-0005-0000-0000-0000A3260000}"/>
    <cellStyle name="40% - Accent1 3 2 4 2 2 5" xfId="37842" xr:uid="{00000000-0005-0000-0000-0000A4260000}"/>
    <cellStyle name="40% - Accent1 3 2 4 2 3" xfId="8394" xr:uid="{00000000-0005-0000-0000-0000A5260000}"/>
    <cellStyle name="40% - Accent1 3 2 4 2 3 2" xfId="8395" xr:uid="{00000000-0005-0000-0000-0000A6260000}"/>
    <cellStyle name="40% - Accent1 3 2 4 2 4" xfId="8396" xr:uid="{00000000-0005-0000-0000-0000A7260000}"/>
    <cellStyle name="40% - Accent1 3 2 4 2 5" xfId="8397" xr:uid="{00000000-0005-0000-0000-0000A8260000}"/>
    <cellStyle name="40% - Accent1 3 2 4 2 6" xfId="37841" xr:uid="{00000000-0005-0000-0000-0000A9260000}"/>
    <cellStyle name="40% - Accent1 3 2 4 3" xfId="8398" xr:uid="{00000000-0005-0000-0000-0000AA260000}"/>
    <cellStyle name="40% - Accent1 3 2 4 3 2" xfId="8399" xr:uid="{00000000-0005-0000-0000-0000AB260000}"/>
    <cellStyle name="40% - Accent1 3 2 4 3 2 2" xfId="8400" xr:uid="{00000000-0005-0000-0000-0000AC260000}"/>
    <cellStyle name="40% - Accent1 3 2 4 3 2 2 2" xfId="8401" xr:uid="{00000000-0005-0000-0000-0000AD260000}"/>
    <cellStyle name="40% - Accent1 3 2 4 3 2 3" xfId="8402" xr:uid="{00000000-0005-0000-0000-0000AE260000}"/>
    <cellStyle name="40% - Accent1 3 2 4 3 2 4" xfId="8403" xr:uid="{00000000-0005-0000-0000-0000AF260000}"/>
    <cellStyle name="40% - Accent1 3 2 4 3 2 5" xfId="37844" xr:uid="{00000000-0005-0000-0000-0000B0260000}"/>
    <cellStyle name="40% - Accent1 3 2 4 3 3" xfId="8404" xr:uid="{00000000-0005-0000-0000-0000B1260000}"/>
    <cellStyle name="40% - Accent1 3 2 4 3 3 2" xfId="8405" xr:uid="{00000000-0005-0000-0000-0000B2260000}"/>
    <cellStyle name="40% - Accent1 3 2 4 3 4" xfId="8406" xr:uid="{00000000-0005-0000-0000-0000B3260000}"/>
    <cellStyle name="40% - Accent1 3 2 4 3 5" xfId="8407" xr:uid="{00000000-0005-0000-0000-0000B4260000}"/>
    <cellStyle name="40% - Accent1 3 2 4 3 6" xfId="37843" xr:uid="{00000000-0005-0000-0000-0000B5260000}"/>
    <cellStyle name="40% - Accent1 3 2 4 4" xfId="8408" xr:uid="{00000000-0005-0000-0000-0000B6260000}"/>
    <cellStyle name="40% - Accent1 3 2 4 4 2" xfId="8409" xr:uid="{00000000-0005-0000-0000-0000B7260000}"/>
    <cellStyle name="40% - Accent1 3 2 4 4 2 2" xfId="8410" xr:uid="{00000000-0005-0000-0000-0000B8260000}"/>
    <cellStyle name="40% - Accent1 3 2 4 4 3" xfId="8411" xr:uid="{00000000-0005-0000-0000-0000B9260000}"/>
    <cellStyle name="40% - Accent1 3 2 4 4 4" xfId="8412" xr:uid="{00000000-0005-0000-0000-0000BA260000}"/>
    <cellStyle name="40% - Accent1 3 2 4 4 5" xfId="37845" xr:uid="{00000000-0005-0000-0000-0000BB260000}"/>
    <cellStyle name="40% - Accent1 3 2 4 5" xfId="8413" xr:uid="{00000000-0005-0000-0000-0000BC260000}"/>
    <cellStyle name="40% - Accent1 3 2 4 5 2" xfId="8414" xr:uid="{00000000-0005-0000-0000-0000BD260000}"/>
    <cellStyle name="40% - Accent1 3 2 4 5 2 2" xfId="8415" xr:uid="{00000000-0005-0000-0000-0000BE260000}"/>
    <cellStyle name="40% - Accent1 3 2 4 5 3" xfId="8416" xr:uid="{00000000-0005-0000-0000-0000BF260000}"/>
    <cellStyle name="40% - Accent1 3 2 4 5 4" xfId="8417" xr:uid="{00000000-0005-0000-0000-0000C0260000}"/>
    <cellStyle name="40% - Accent1 3 2 4 6" xfId="8418" xr:uid="{00000000-0005-0000-0000-0000C1260000}"/>
    <cellStyle name="40% - Accent1 3 2 4 6 2" xfId="8419" xr:uid="{00000000-0005-0000-0000-0000C2260000}"/>
    <cellStyle name="40% - Accent1 3 2 4 6 2 2" xfId="8420" xr:uid="{00000000-0005-0000-0000-0000C3260000}"/>
    <cellStyle name="40% - Accent1 3 2 4 6 3" xfId="8421" xr:uid="{00000000-0005-0000-0000-0000C4260000}"/>
    <cellStyle name="40% - Accent1 3 2 4 6 4" xfId="8422" xr:uid="{00000000-0005-0000-0000-0000C5260000}"/>
    <cellStyle name="40% - Accent1 3 2 4 7" xfId="8423" xr:uid="{00000000-0005-0000-0000-0000C6260000}"/>
    <cellStyle name="40% - Accent1 3 2 4 7 2" xfId="8424" xr:uid="{00000000-0005-0000-0000-0000C7260000}"/>
    <cellStyle name="40% - Accent1 3 2 4 8" xfId="8425" xr:uid="{00000000-0005-0000-0000-0000C8260000}"/>
    <cellStyle name="40% - Accent1 3 2 4 9" xfId="8426" xr:uid="{00000000-0005-0000-0000-0000C9260000}"/>
    <cellStyle name="40% - Accent1 3 2 5" xfId="8427" xr:uid="{00000000-0005-0000-0000-0000CA260000}"/>
    <cellStyle name="40% - Accent1 3 2 5 2" xfId="8428" xr:uid="{00000000-0005-0000-0000-0000CB260000}"/>
    <cellStyle name="40% - Accent1 3 2 5 2 2" xfId="8429" xr:uid="{00000000-0005-0000-0000-0000CC260000}"/>
    <cellStyle name="40% - Accent1 3 2 5 2 2 2" xfId="8430" xr:uid="{00000000-0005-0000-0000-0000CD260000}"/>
    <cellStyle name="40% - Accent1 3 2 5 2 3" xfId="8431" xr:uid="{00000000-0005-0000-0000-0000CE260000}"/>
    <cellStyle name="40% - Accent1 3 2 5 2 4" xfId="8432" xr:uid="{00000000-0005-0000-0000-0000CF260000}"/>
    <cellStyle name="40% - Accent1 3 2 5 2 5" xfId="37847" xr:uid="{00000000-0005-0000-0000-0000D0260000}"/>
    <cellStyle name="40% - Accent1 3 2 5 3" xfId="8433" xr:uid="{00000000-0005-0000-0000-0000D1260000}"/>
    <cellStyle name="40% - Accent1 3 2 5 3 2" xfId="8434" xr:uid="{00000000-0005-0000-0000-0000D2260000}"/>
    <cellStyle name="40% - Accent1 3 2 5 4" xfId="8435" xr:uid="{00000000-0005-0000-0000-0000D3260000}"/>
    <cellStyle name="40% - Accent1 3 2 5 5" xfId="8436" xr:uid="{00000000-0005-0000-0000-0000D4260000}"/>
    <cellStyle name="40% - Accent1 3 2 5 6" xfId="37846" xr:uid="{00000000-0005-0000-0000-0000D5260000}"/>
    <cellStyle name="40% - Accent1 3 2 6" xfId="8437" xr:uid="{00000000-0005-0000-0000-0000D6260000}"/>
    <cellStyle name="40% - Accent1 3 2 6 2" xfId="8438" xr:uid="{00000000-0005-0000-0000-0000D7260000}"/>
    <cellStyle name="40% - Accent1 3 2 6 2 2" xfId="8439" xr:uid="{00000000-0005-0000-0000-0000D8260000}"/>
    <cellStyle name="40% - Accent1 3 2 6 2 2 2" xfId="8440" xr:uid="{00000000-0005-0000-0000-0000D9260000}"/>
    <cellStyle name="40% - Accent1 3 2 6 2 3" xfId="8441" xr:uid="{00000000-0005-0000-0000-0000DA260000}"/>
    <cellStyle name="40% - Accent1 3 2 6 2 4" xfId="8442" xr:uid="{00000000-0005-0000-0000-0000DB260000}"/>
    <cellStyle name="40% - Accent1 3 2 6 2 5" xfId="37849" xr:uid="{00000000-0005-0000-0000-0000DC260000}"/>
    <cellStyle name="40% - Accent1 3 2 6 3" xfId="8443" xr:uid="{00000000-0005-0000-0000-0000DD260000}"/>
    <cellStyle name="40% - Accent1 3 2 6 3 2" xfId="8444" xr:uid="{00000000-0005-0000-0000-0000DE260000}"/>
    <cellStyle name="40% - Accent1 3 2 6 4" xfId="8445" xr:uid="{00000000-0005-0000-0000-0000DF260000}"/>
    <cellStyle name="40% - Accent1 3 2 6 5" xfId="8446" xr:uid="{00000000-0005-0000-0000-0000E0260000}"/>
    <cellStyle name="40% - Accent1 3 2 6 6" xfId="37848" xr:uid="{00000000-0005-0000-0000-0000E1260000}"/>
    <cellStyle name="40% - Accent1 3 2 7" xfId="8447" xr:uid="{00000000-0005-0000-0000-0000E2260000}"/>
    <cellStyle name="40% - Accent1 3 2 7 2" xfId="8448" xr:uid="{00000000-0005-0000-0000-0000E3260000}"/>
    <cellStyle name="40% - Accent1 3 2 7 2 2" xfId="8449" xr:uid="{00000000-0005-0000-0000-0000E4260000}"/>
    <cellStyle name="40% - Accent1 3 2 7 3" xfId="8450" xr:uid="{00000000-0005-0000-0000-0000E5260000}"/>
    <cellStyle name="40% - Accent1 3 2 7 4" xfId="8451" xr:uid="{00000000-0005-0000-0000-0000E6260000}"/>
    <cellStyle name="40% - Accent1 3 2 7 5" xfId="37850" xr:uid="{00000000-0005-0000-0000-0000E7260000}"/>
    <cellStyle name="40% - Accent1 3 2 8" xfId="8452" xr:uid="{00000000-0005-0000-0000-0000E8260000}"/>
    <cellStyle name="40% - Accent1 3 2 8 2" xfId="8453" xr:uid="{00000000-0005-0000-0000-0000E9260000}"/>
    <cellStyle name="40% - Accent1 3 2 8 2 2" xfId="8454" xr:uid="{00000000-0005-0000-0000-0000EA260000}"/>
    <cellStyle name="40% - Accent1 3 2 8 3" xfId="8455" xr:uid="{00000000-0005-0000-0000-0000EB260000}"/>
    <cellStyle name="40% - Accent1 3 2 8 4" xfId="8456" xr:uid="{00000000-0005-0000-0000-0000EC260000}"/>
    <cellStyle name="40% - Accent1 3 2 9" xfId="8457" xr:uid="{00000000-0005-0000-0000-0000ED260000}"/>
    <cellStyle name="40% - Accent1 3 2 9 2" xfId="8458" xr:uid="{00000000-0005-0000-0000-0000EE260000}"/>
    <cellStyle name="40% - Accent1 3 2 9 2 2" xfId="8459" xr:uid="{00000000-0005-0000-0000-0000EF260000}"/>
    <cellStyle name="40% - Accent1 3 2 9 3" xfId="8460" xr:uid="{00000000-0005-0000-0000-0000F0260000}"/>
    <cellStyle name="40% - Accent1 3 2 9 4" xfId="8461" xr:uid="{00000000-0005-0000-0000-0000F1260000}"/>
    <cellStyle name="40% - Accent1 3 3" xfId="8462" xr:uid="{00000000-0005-0000-0000-0000F2260000}"/>
    <cellStyle name="40% - Accent1 3 4" xfId="8463" xr:uid="{00000000-0005-0000-0000-0000F3260000}"/>
    <cellStyle name="40% - Accent1 3 5" xfId="8464" xr:uid="{00000000-0005-0000-0000-0000F4260000}"/>
    <cellStyle name="40% - Accent1 3 6" xfId="42212" xr:uid="{8ABB861C-5EF3-4A5A-9876-AFE3D42528A6}"/>
    <cellStyle name="40% - Accent1 4" xfId="8465" xr:uid="{00000000-0005-0000-0000-0000F5260000}"/>
    <cellStyle name="40% - Accent1 4 10" xfId="8466" xr:uid="{00000000-0005-0000-0000-0000F6260000}"/>
    <cellStyle name="40% - Accent1 4 10 2" xfId="8467" xr:uid="{00000000-0005-0000-0000-0000F7260000}"/>
    <cellStyle name="40% - Accent1 4 11" xfId="8468" xr:uid="{00000000-0005-0000-0000-0000F8260000}"/>
    <cellStyle name="40% - Accent1 4 12" xfId="8469" xr:uid="{00000000-0005-0000-0000-0000F9260000}"/>
    <cellStyle name="40% - Accent1 4 13" xfId="34676" xr:uid="{00000000-0005-0000-0000-0000FA260000}"/>
    <cellStyle name="40% - Accent1 4 2" xfId="8470" xr:uid="{00000000-0005-0000-0000-0000FB260000}"/>
    <cellStyle name="40% - Accent1 4 2 10" xfId="8471" xr:uid="{00000000-0005-0000-0000-0000FC260000}"/>
    <cellStyle name="40% - Accent1 4 2 11" xfId="8472" xr:uid="{00000000-0005-0000-0000-0000FD260000}"/>
    <cellStyle name="40% - Accent1 4 2 12" xfId="34677" xr:uid="{00000000-0005-0000-0000-0000FE260000}"/>
    <cellStyle name="40% - Accent1 4 2 2" xfId="8473" xr:uid="{00000000-0005-0000-0000-0000FF260000}"/>
    <cellStyle name="40% - Accent1 4 2 2 10" xfId="8474" xr:uid="{00000000-0005-0000-0000-000000270000}"/>
    <cellStyle name="40% - Accent1 4 2 2 11" xfId="34678" xr:uid="{00000000-0005-0000-0000-000001270000}"/>
    <cellStyle name="40% - Accent1 4 2 2 2" xfId="8475" xr:uid="{00000000-0005-0000-0000-000002270000}"/>
    <cellStyle name="40% - Accent1 4 2 2 2 10" xfId="34679" xr:uid="{00000000-0005-0000-0000-000003270000}"/>
    <cellStyle name="40% - Accent1 4 2 2 2 2" xfId="8476" xr:uid="{00000000-0005-0000-0000-000004270000}"/>
    <cellStyle name="40% - Accent1 4 2 2 2 2 2" xfId="8477" xr:uid="{00000000-0005-0000-0000-000005270000}"/>
    <cellStyle name="40% - Accent1 4 2 2 2 2 2 2" xfId="8478" xr:uid="{00000000-0005-0000-0000-000006270000}"/>
    <cellStyle name="40% - Accent1 4 2 2 2 2 2 2 2" xfId="8479" xr:uid="{00000000-0005-0000-0000-000007270000}"/>
    <cellStyle name="40% - Accent1 4 2 2 2 2 2 3" xfId="8480" xr:uid="{00000000-0005-0000-0000-000008270000}"/>
    <cellStyle name="40% - Accent1 4 2 2 2 2 2 4" xfId="8481" xr:uid="{00000000-0005-0000-0000-000009270000}"/>
    <cellStyle name="40% - Accent1 4 2 2 2 2 2 5" xfId="37852" xr:uid="{00000000-0005-0000-0000-00000A270000}"/>
    <cellStyle name="40% - Accent1 4 2 2 2 2 3" xfId="8482" xr:uid="{00000000-0005-0000-0000-00000B270000}"/>
    <cellStyle name="40% - Accent1 4 2 2 2 2 3 2" xfId="8483" xr:uid="{00000000-0005-0000-0000-00000C270000}"/>
    <cellStyle name="40% - Accent1 4 2 2 2 2 4" xfId="8484" xr:uid="{00000000-0005-0000-0000-00000D270000}"/>
    <cellStyle name="40% - Accent1 4 2 2 2 2 5" xfId="8485" xr:uid="{00000000-0005-0000-0000-00000E270000}"/>
    <cellStyle name="40% - Accent1 4 2 2 2 2 6" xfId="37851" xr:uid="{00000000-0005-0000-0000-00000F270000}"/>
    <cellStyle name="40% - Accent1 4 2 2 2 3" xfId="8486" xr:uid="{00000000-0005-0000-0000-000010270000}"/>
    <cellStyle name="40% - Accent1 4 2 2 2 3 2" xfId="8487" xr:uid="{00000000-0005-0000-0000-000011270000}"/>
    <cellStyle name="40% - Accent1 4 2 2 2 3 2 2" xfId="8488" xr:uid="{00000000-0005-0000-0000-000012270000}"/>
    <cellStyle name="40% - Accent1 4 2 2 2 3 2 2 2" xfId="8489" xr:uid="{00000000-0005-0000-0000-000013270000}"/>
    <cellStyle name="40% - Accent1 4 2 2 2 3 2 3" xfId="8490" xr:uid="{00000000-0005-0000-0000-000014270000}"/>
    <cellStyle name="40% - Accent1 4 2 2 2 3 2 4" xfId="8491" xr:uid="{00000000-0005-0000-0000-000015270000}"/>
    <cellStyle name="40% - Accent1 4 2 2 2 3 2 5" xfId="37854" xr:uid="{00000000-0005-0000-0000-000016270000}"/>
    <cellStyle name="40% - Accent1 4 2 2 2 3 3" xfId="8492" xr:uid="{00000000-0005-0000-0000-000017270000}"/>
    <cellStyle name="40% - Accent1 4 2 2 2 3 3 2" xfId="8493" xr:uid="{00000000-0005-0000-0000-000018270000}"/>
    <cellStyle name="40% - Accent1 4 2 2 2 3 4" xfId="8494" xr:uid="{00000000-0005-0000-0000-000019270000}"/>
    <cellStyle name="40% - Accent1 4 2 2 2 3 5" xfId="8495" xr:uid="{00000000-0005-0000-0000-00001A270000}"/>
    <cellStyle name="40% - Accent1 4 2 2 2 3 6" xfId="37853" xr:uid="{00000000-0005-0000-0000-00001B270000}"/>
    <cellStyle name="40% - Accent1 4 2 2 2 4" xfId="8496" xr:uid="{00000000-0005-0000-0000-00001C270000}"/>
    <cellStyle name="40% - Accent1 4 2 2 2 4 2" xfId="8497" xr:uid="{00000000-0005-0000-0000-00001D270000}"/>
    <cellStyle name="40% - Accent1 4 2 2 2 4 2 2" xfId="8498" xr:uid="{00000000-0005-0000-0000-00001E270000}"/>
    <cellStyle name="40% - Accent1 4 2 2 2 4 3" xfId="8499" xr:uid="{00000000-0005-0000-0000-00001F270000}"/>
    <cellStyle name="40% - Accent1 4 2 2 2 4 4" xfId="8500" xr:uid="{00000000-0005-0000-0000-000020270000}"/>
    <cellStyle name="40% - Accent1 4 2 2 2 4 5" xfId="37855" xr:uid="{00000000-0005-0000-0000-000021270000}"/>
    <cellStyle name="40% - Accent1 4 2 2 2 5" xfId="8501" xr:uid="{00000000-0005-0000-0000-000022270000}"/>
    <cellStyle name="40% - Accent1 4 2 2 2 5 2" xfId="8502" xr:uid="{00000000-0005-0000-0000-000023270000}"/>
    <cellStyle name="40% - Accent1 4 2 2 2 5 2 2" xfId="8503" xr:uid="{00000000-0005-0000-0000-000024270000}"/>
    <cellStyle name="40% - Accent1 4 2 2 2 5 3" xfId="8504" xr:uid="{00000000-0005-0000-0000-000025270000}"/>
    <cellStyle name="40% - Accent1 4 2 2 2 5 4" xfId="8505" xr:uid="{00000000-0005-0000-0000-000026270000}"/>
    <cellStyle name="40% - Accent1 4 2 2 2 6" xfId="8506" xr:uid="{00000000-0005-0000-0000-000027270000}"/>
    <cellStyle name="40% - Accent1 4 2 2 2 6 2" xfId="8507" xr:uid="{00000000-0005-0000-0000-000028270000}"/>
    <cellStyle name="40% - Accent1 4 2 2 2 6 2 2" xfId="8508" xr:uid="{00000000-0005-0000-0000-000029270000}"/>
    <cellStyle name="40% - Accent1 4 2 2 2 6 3" xfId="8509" xr:uid="{00000000-0005-0000-0000-00002A270000}"/>
    <cellStyle name="40% - Accent1 4 2 2 2 6 4" xfId="8510" xr:uid="{00000000-0005-0000-0000-00002B270000}"/>
    <cellStyle name="40% - Accent1 4 2 2 2 7" xfId="8511" xr:uid="{00000000-0005-0000-0000-00002C270000}"/>
    <cellStyle name="40% - Accent1 4 2 2 2 7 2" xfId="8512" xr:uid="{00000000-0005-0000-0000-00002D270000}"/>
    <cellStyle name="40% - Accent1 4 2 2 2 8" xfId="8513" xr:uid="{00000000-0005-0000-0000-00002E270000}"/>
    <cellStyle name="40% - Accent1 4 2 2 2 9" xfId="8514" xr:uid="{00000000-0005-0000-0000-00002F270000}"/>
    <cellStyle name="40% - Accent1 4 2 2 3" xfId="8515" xr:uid="{00000000-0005-0000-0000-000030270000}"/>
    <cellStyle name="40% - Accent1 4 2 2 3 2" xfId="8516" xr:uid="{00000000-0005-0000-0000-000031270000}"/>
    <cellStyle name="40% - Accent1 4 2 2 3 2 2" xfId="8517" xr:uid="{00000000-0005-0000-0000-000032270000}"/>
    <cellStyle name="40% - Accent1 4 2 2 3 2 2 2" xfId="8518" xr:uid="{00000000-0005-0000-0000-000033270000}"/>
    <cellStyle name="40% - Accent1 4 2 2 3 2 3" xfId="8519" xr:uid="{00000000-0005-0000-0000-000034270000}"/>
    <cellStyle name="40% - Accent1 4 2 2 3 2 4" xfId="8520" xr:uid="{00000000-0005-0000-0000-000035270000}"/>
    <cellStyle name="40% - Accent1 4 2 2 3 2 5" xfId="37857" xr:uid="{00000000-0005-0000-0000-000036270000}"/>
    <cellStyle name="40% - Accent1 4 2 2 3 3" xfId="8521" xr:uid="{00000000-0005-0000-0000-000037270000}"/>
    <cellStyle name="40% - Accent1 4 2 2 3 3 2" xfId="8522" xr:uid="{00000000-0005-0000-0000-000038270000}"/>
    <cellStyle name="40% - Accent1 4 2 2 3 4" xfId="8523" xr:uid="{00000000-0005-0000-0000-000039270000}"/>
    <cellStyle name="40% - Accent1 4 2 2 3 5" xfId="8524" xr:uid="{00000000-0005-0000-0000-00003A270000}"/>
    <cellStyle name="40% - Accent1 4 2 2 3 6" xfId="37856" xr:uid="{00000000-0005-0000-0000-00003B270000}"/>
    <cellStyle name="40% - Accent1 4 2 2 4" xfId="8525" xr:uid="{00000000-0005-0000-0000-00003C270000}"/>
    <cellStyle name="40% - Accent1 4 2 2 4 2" xfId="8526" xr:uid="{00000000-0005-0000-0000-00003D270000}"/>
    <cellStyle name="40% - Accent1 4 2 2 4 2 2" xfId="8527" xr:uid="{00000000-0005-0000-0000-00003E270000}"/>
    <cellStyle name="40% - Accent1 4 2 2 4 2 2 2" xfId="8528" xr:uid="{00000000-0005-0000-0000-00003F270000}"/>
    <cellStyle name="40% - Accent1 4 2 2 4 2 3" xfId="8529" xr:uid="{00000000-0005-0000-0000-000040270000}"/>
    <cellStyle name="40% - Accent1 4 2 2 4 2 4" xfId="8530" xr:uid="{00000000-0005-0000-0000-000041270000}"/>
    <cellStyle name="40% - Accent1 4 2 2 4 2 5" xfId="37859" xr:uid="{00000000-0005-0000-0000-000042270000}"/>
    <cellStyle name="40% - Accent1 4 2 2 4 3" xfId="8531" xr:uid="{00000000-0005-0000-0000-000043270000}"/>
    <cellStyle name="40% - Accent1 4 2 2 4 3 2" xfId="8532" xr:uid="{00000000-0005-0000-0000-000044270000}"/>
    <cellStyle name="40% - Accent1 4 2 2 4 4" xfId="8533" xr:uid="{00000000-0005-0000-0000-000045270000}"/>
    <cellStyle name="40% - Accent1 4 2 2 4 5" xfId="8534" xr:uid="{00000000-0005-0000-0000-000046270000}"/>
    <cellStyle name="40% - Accent1 4 2 2 4 6" xfId="37858" xr:uid="{00000000-0005-0000-0000-000047270000}"/>
    <cellStyle name="40% - Accent1 4 2 2 5" xfId="8535" xr:uid="{00000000-0005-0000-0000-000048270000}"/>
    <cellStyle name="40% - Accent1 4 2 2 5 2" xfId="8536" xr:uid="{00000000-0005-0000-0000-000049270000}"/>
    <cellStyle name="40% - Accent1 4 2 2 5 2 2" xfId="8537" xr:uid="{00000000-0005-0000-0000-00004A270000}"/>
    <cellStyle name="40% - Accent1 4 2 2 5 3" xfId="8538" xr:uid="{00000000-0005-0000-0000-00004B270000}"/>
    <cellStyle name="40% - Accent1 4 2 2 5 4" xfId="8539" xr:uid="{00000000-0005-0000-0000-00004C270000}"/>
    <cellStyle name="40% - Accent1 4 2 2 5 5" xfId="37860" xr:uid="{00000000-0005-0000-0000-00004D270000}"/>
    <cellStyle name="40% - Accent1 4 2 2 6" xfId="8540" xr:uid="{00000000-0005-0000-0000-00004E270000}"/>
    <cellStyle name="40% - Accent1 4 2 2 6 2" xfId="8541" xr:uid="{00000000-0005-0000-0000-00004F270000}"/>
    <cellStyle name="40% - Accent1 4 2 2 6 2 2" xfId="8542" xr:uid="{00000000-0005-0000-0000-000050270000}"/>
    <cellStyle name="40% - Accent1 4 2 2 6 3" xfId="8543" xr:uid="{00000000-0005-0000-0000-000051270000}"/>
    <cellStyle name="40% - Accent1 4 2 2 6 4" xfId="8544" xr:uid="{00000000-0005-0000-0000-000052270000}"/>
    <cellStyle name="40% - Accent1 4 2 2 7" xfId="8545" xr:uid="{00000000-0005-0000-0000-000053270000}"/>
    <cellStyle name="40% - Accent1 4 2 2 7 2" xfId="8546" xr:uid="{00000000-0005-0000-0000-000054270000}"/>
    <cellStyle name="40% - Accent1 4 2 2 7 2 2" xfId="8547" xr:uid="{00000000-0005-0000-0000-000055270000}"/>
    <cellStyle name="40% - Accent1 4 2 2 7 3" xfId="8548" xr:uid="{00000000-0005-0000-0000-000056270000}"/>
    <cellStyle name="40% - Accent1 4 2 2 7 4" xfId="8549" xr:uid="{00000000-0005-0000-0000-000057270000}"/>
    <cellStyle name="40% - Accent1 4 2 2 8" xfId="8550" xr:uid="{00000000-0005-0000-0000-000058270000}"/>
    <cellStyle name="40% - Accent1 4 2 2 8 2" xfId="8551" xr:uid="{00000000-0005-0000-0000-000059270000}"/>
    <cellStyle name="40% - Accent1 4 2 2 9" xfId="8552" xr:uid="{00000000-0005-0000-0000-00005A270000}"/>
    <cellStyle name="40% - Accent1 4 2 3" xfId="8553" xr:uid="{00000000-0005-0000-0000-00005B270000}"/>
    <cellStyle name="40% - Accent1 4 2 3 10" xfId="34680" xr:uid="{00000000-0005-0000-0000-00005C270000}"/>
    <cellStyle name="40% - Accent1 4 2 3 2" xfId="8554" xr:uid="{00000000-0005-0000-0000-00005D270000}"/>
    <cellStyle name="40% - Accent1 4 2 3 2 2" xfId="8555" xr:uid="{00000000-0005-0000-0000-00005E270000}"/>
    <cellStyle name="40% - Accent1 4 2 3 2 2 2" xfId="8556" xr:uid="{00000000-0005-0000-0000-00005F270000}"/>
    <cellStyle name="40% - Accent1 4 2 3 2 2 2 2" xfId="8557" xr:uid="{00000000-0005-0000-0000-000060270000}"/>
    <cellStyle name="40% - Accent1 4 2 3 2 2 3" xfId="8558" xr:uid="{00000000-0005-0000-0000-000061270000}"/>
    <cellStyle name="40% - Accent1 4 2 3 2 2 4" xfId="8559" xr:uid="{00000000-0005-0000-0000-000062270000}"/>
    <cellStyle name="40% - Accent1 4 2 3 2 2 5" xfId="37862" xr:uid="{00000000-0005-0000-0000-000063270000}"/>
    <cellStyle name="40% - Accent1 4 2 3 2 3" xfId="8560" xr:uid="{00000000-0005-0000-0000-000064270000}"/>
    <cellStyle name="40% - Accent1 4 2 3 2 3 2" xfId="8561" xr:uid="{00000000-0005-0000-0000-000065270000}"/>
    <cellStyle name="40% - Accent1 4 2 3 2 4" xfId="8562" xr:uid="{00000000-0005-0000-0000-000066270000}"/>
    <cellStyle name="40% - Accent1 4 2 3 2 5" xfId="8563" xr:uid="{00000000-0005-0000-0000-000067270000}"/>
    <cellStyle name="40% - Accent1 4 2 3 2 6" xfId="37861" xr:uid="{00000000-0005-0000-0000-000068270000}"/>
    <cellStyle name="40% - Accent1 4 2 3 3" xfId="8564" xr:uid="{00000000-0005-0000-0000-000069270000}"/>
    <cellStyle name="40% - Accent1 4 2 3 3 2" xfId="8565" xr:uid="{00000000-0005-0000-0000-00006A270000}"/>
    <cellStyle name="40% - Accent1 4 2 3 3 2 2" xfId="8566" xr:uid="{00000000-0005-0000-0000-00006B270000}"/>
    <cellStyle name="40% - Accent1 4 2 3 3 2 2 2" xfId="8567" xr:uid="{00000000-0005-0000-0000-00006C270000}"/>
    <cellStyle name="40% - Accent1 4 2 3 3 2 3" xfId="8568" xr:uid="{00000000-0005-0000-0000-00006D270000}"/>
    <cellStyle name="40% - Accent1 4 2 3 3 2 4" xfId="8569" xr:uid="{00000000-0005-0000-0000-00006E270000}"/>
    <cellStyle name="40% - Accent1 4 2 3 3 2 5" xfId="37864" xr:uid="{00000000-0005-0000-0000-00006F270000}"/>
    <cellStyle name="40% - Accent1 4 2 3 3 3" xfId="8570" xr:uid="{00000000-0005-0000-0000-000070270000}"/>
    <cellStyle name="40% - Accent1 4 2 3 3 3 2" xfId="8571" xr:uid="{00000000-0005-0000-0000-000071270000}"/>
    <cellStyle name="40% - Accent1 4 2 3 3 4" xfId="8572" xr:uid="{00000000-0005-0000-0000-000072270000}"/>
    <cellStyle name="40% - Accent1 4 2 3 3 5" xfId="8573" xr:uid="{00000000-0005-0000-0000-000073270000}"/>
    <cellStyle name="40% - Accent1 4 2 3 3 6" xfId="37863" xr:uid="{00000000-0005-0000-0000-000074270000}"/>
    <cellStyle name="40% - Accent1 4 2 3 4" xfId="8574" xr:uid="{00000000-0005-0000-0000-000075270000}"/>
    <cellStyle name="40% - Accent1 4 2 3 4 2" xfId="8575" xr:uid="{00000000-0005-0000-0000-000076270000}"/>
    <cellStyle name="40% - Accent1 4 2 3 4 2 2" xfId="8576" xr:uid="{00000000-0005-0000-0000-000077270000}"/>
    <cellStyle name="40% - Accent1 4 2 3 4 3" xfId="8577" xr:uid="{00000000-0005-0000-0000-000078270000}"/>
    <cellStyle name="40% - Accent1 4 2 3 4 4" xfId="8578" xr:uid="{00000000-0005-0000-0000-000079270000}"/>
    <cellStyle name="40% - Accent1 4 2 3 4 5" xfId="37865" xr:uid="{00000000-0005-0000-0000-00007A270000}"/>
    <cellStyle name="40% - Accent1 4 2 3 5" xfId="8579" xr:uid="{00000000-0005-0000-0000-00007B270000}"/>
    <cellStyle name="40% - Accent1 4 2 3 5 2" xfId="8580" xr:uid="{00000000-0005-0000-0000-00007C270000}"/>
    <cellStyle name="40% - Accent1 4 2 3 5 2 2" xfId="8581" xr:uid="{00000000-0005-0000-0000-00007D270000}"/>
    <cellStyle name="40% - Accent1 4 2 3 5 3" xfId="8582" xr:uid="{00000000-0005-0000-0000-00007E270000}"/>
    <cellStyle name="40% - Accent1 4 2 3 5 4" xfId="8583" xr:uid="{00000000-0005-0000-0000-00007F270000}"/>
    <cellStyle name="40% - Accent1 4 2 3 6" xfId="8584" xr:uid="{00000000-0005-0000-0000-000080270000}"/>
    <cellStyle name="40% - Accent1 4 2 3 6 2" xfId="8585" xr:uid="{00000000-0005-0000-0000-000081270000}"/>
    <cellStyle name="40% - Accent1 4 2 3 6 2 2" xfId="8586" xr:uid="{00000000-0005-0000-0000-000082270000}"/>
    <cellStyle name="40% - Accent1 4 2 3 6 3" xfId="8587" xr:uid="{00000000-0005-0000-0000-000083270000}"/>
    <cellStyle name="40% - Accent1 4 2 3 6 4" xfId="8588" xr:uid="{00000000-0005-0000-0000-000084270000}"/>
    <cellStyle name="40% - Accent1 4 2 3 7" xfId="8589" xr:uid="{00000000-0005-0000-0000-000085270000}"/>
    <cellStyle name="40% - Accent1 4 2 3 7 2" xfId="8590" xr:uid="{00000000-0005-0000-0000-000086270000}"/>
    <cellStyle name="40% - Accent1 4 2 3 8" xfId="8591" xr:uid="{00000000-0005-0000-0000-000087270000}"/>
    <cellStyle name="40% - Accent1 4 2 3 9" xfId="8592" xr:uid="{00000000-0005-0000-0000-000088270000}"/>
    <cellStyle name="40% - Accent1 4 2 4" xfId="8593" xr:uid="{00000000-0005-0000-0000-000089270000}"/>
    <cellStyle name="40% - Accent1 4 2 4 2" xfId="8594" xr:uid="{00000000-0005-0000-0000-00008A270000}"/>
    <cellStyle name="40% - Accent1 4 2 4 2 2" xfId="8595" xr:uid="{00000000-0005-0000-0000-00008B270000}"/>
    <cellStyle name="40% - Accent1 4 2 4 2 2 2" xfId="8596" xr:uid="{00000000-0005-0000-0000-00008C270000}"/>
    <cellStyle name="40% - Accent1 4 2 4 2 3" xfId="8597" xr:uid="{00000000-0005-0000-0000-00008D270000}"/>
    <cellStyle name="40% - Accent1 4 2 4 2 4" xfId="8598" xr:uid="{00000000-0005-0000-0000-00008E270000}"/>
    <cellStyle name="40% - Accent1 4 2 4 2 5" xfId="37867" xr:uid="{00000000-0005-0000-0000-00008F270000}"/>
    <cellStyle name="40% - Accent1 4 2 4 3" xfId="8599" xr:uid="{00000000-0005-0000-0000-000090270000}"/>
    <cellStyle name="40% - Accent1 4 2 4 3 2" xfId="8600" xr:uid="{00000000-0005-0000-0000-000091270000}"/>
    <cellStyle name="40% - Accent1 4 2 4 4" xfId="8601" xr:uid="{00000000-0005-0000-0000-000092270000}"/>
    <cellStyle name="40% - Accent1 4 2 4 5" xfId="8602" xr:uid="{00000000-0005-0000-0000-000093270000}"/>
    <cellStyle name="40% - Accent1 4 2 4 6" xfId="37866" xr:uid="{00000000-0005-0000-0000-000094270000}"/>
    <cellStyle name="40% - Accent1 4 2 5" xfId="8603" xr:uid="{00000000-0005-0000-0000-000095270000}"/>
    <cellStyle name="40% - Accent1 4 2 5 2" xfId="8604" xr:uid="{00000000-0005-0000-0000-000096270000}"/>
    <cellStyle name="40% - Accent1 4 2 5 2 2" xfId="8605" xr:uid="{00000000-0005-0000-0000-000097270000}"/>
    <cellStyle name="40% - Accent1 4 2 5 2 2 2" xfId="8606" xr:uid="{00000000-0005-0000-0000-000098270000}"/>
    <cellStyle name="40% - Accent1 4 2 5 2 3" xfId="8607" xr:uid="{00000000-0005-0000-0000-000099270000}"/>
    <cellStyle name="40% - Accent1 4 2 5 2 4" xfId="8608" xr:uid="{00000000-0005-0000-0000-00009A270000}"/>
    <cellStyle name="40% - Accent1 4 2 5 2 5" xfId="37869" xr:uid="{00000000-0005-0000-0000-00009B270000}"/>
    <cellStyle name="40% - Accent1 4 2 5 3" xfId="8609" xr:uid="{00000000-0005-0000-0000-00009C270000}"/>
    <cellStyle name="40% - Accent1 4 2 5 3 2" xfId="8610" xr:uid="{00000000-0005-0000-0000-00009D270000}"/>
    <cellStyle name="40% - Accent1 4 2 5 4" xfId="8611" xr:uid="{00000000-0005-0000-0000-00009E270000}"/>
    <cellStyle name="40% - Accent1 4 2 5 5" xfId="8612" xr:uid="{00000000-0005-0000-0000-00009F270000}"/>
    <cellStyle name="40% - Accent1 4 2 5 6" xfId="37868" xr:uid="{00000000-0005-0000-0000-0000A0270000}"/>
    <cellStyle name="40% - Accent1 4 2 6" xfId="8613" xr:uid="{00000000-0005-0000-0000-0000A1270000}"/>
    <cellStyle name="40% - Accent1 4 2 6 2" xfId="8614" xr:uid="{00000000-0005-0000-0000-0000A2270000}"/>
    <cellStyle name="40% - Accent1 4 2 6 2 2" xfId="8615" xr:uid="{00000000-0005-0000-0000-0000A3270000}"/>
    <cellStyle name="40% - Accent1 4 2 6 3" xfId="8616" xr:uid="{00000000-0005-0000-0000-0000A4270000}"/>
    <cellStyle name="40% - Accent1 4 2 6 4" xfId="8617" xr:uid="{00000000-0005-0000-0000-0000A5270000}"/>
    <cellStyle name="40% - Accent1 4 2 6 5" xfId="37870" xr:uid="{00000000-0005-0000-0000-0000A6270000}"/>
    <cellStyle name="40% - Accent1 4 2 7" xfId="8618" xr:uid="{00000000-0005-0000-0000-0000A7270000}"/>
    <cellStyle name="40% - Accent1 4 2 7 2" xfId="8619" xr:uid="{00000000-0005-0000-0000-0000A8270000}"/>
    <cellStyle name="40% - Accent1 4 2 7 2 2" xfId="8620" xr:uid="{00000000-0005-0000-0000-0000A9270000}"/>
    <cellStyle name="40% - Accent1 4 2 7 3" xfId="8621" xr:uid="{00000000-0005-0000-0000-0000AA270000}"/>
    <cellStyle name="40% - Accent1 4 2 7 4" xfId="8622" xr:uid="{00000000-0005-0000-0000-0000AB270000}"/>
    <cellStyle name="40% - Accent1 4 2 8" xfId="8623" xr:uid="{00000000-0005-0000-0000-0000AC270000}"/>
    <cellStyle name="40% - Accent1 4 2 8 2" xfId="8624" xr:uid="{00000000-0005-0000-0000-0000AD270000}"/>
    <cellStyle name="40% - Accent1 4 2 8 2 2" xfId="8625" xr:uid="{00000000-0005-0000-0000-0000AE270000}"/>
    <cellStyle name="40% - Accent1 4 2 8 3" xfId="8626" xr:uid="{00000000-0005-0000-0000-0000AF270000}"/>
    <cellStyle name="40% - Accent1 4 2 8 4" xfId="8627" xr:uid="{00000000-0005-0000-0000-0000B0270000}"/>
    <cellStyle name="40% - Accent1 4 2 9" xfId="8628" xr:uid="{00000000-0005-0000-0000-0000B1270000}"/>
    <cellStyle name="40% - Accent1 4 2 9 2" xfId="8629" xr:uid="{00000000-0005-0000-0000-0000B2270000}"/>
    <cellStyle name="40% - Accent1 4 3" xfId="8630" xr:uid="{00000000-0005-0000-0000-0000B3270000}"/>
    <cellStyle name="40% - Accent1 4 3 10" xfId="8631" xr:uid="{00000000-0005-0000-0000-0000B4270000}"/>
    <cellStyle name="40% - Accent1 4 3 11" xfId="34681" xr:uid="{00000000-0005-0000-0000-0000B5270000}"/>
    <cellStyle name="40% - Accent1 4 3 2" xfId="8632" xr:uid="{00000000-0005-0000-0000-0000B6270000}"/>
    <cellStyle name="40% - Accent1 4 3 2 10" xfId="34682" xr:uid="{00000000-0005-0000-0000-0000B7270000}"/>
    <cellStyle name="40% - Accent1 4 3 2 2" xfId="8633" xr:uid="{00000000-0005-0000-0000-0000B8270000}"/>
    <cellStyle name="40% - Accent1 4 3 2 2 2" xfId="8634" xr:uid="{00000000-0005-0000-0000-0000B9270000}"/>
    <cellStyle name="40% - Accent1 4 3 2 2 2 2" xfId="8635" xr:uid="{00000000-0005-0000-0000-0000BA270000}"/>
    <cellStyle name="40% - Accent1 4 3 2 2 2 2 2" xfId="8636" xr:uid="{00000000-0005-0000-0000-0000BB270000}"/>
    <cellStyle name="40% - Accent1 4 3 2 2 2 3" xfId="8637" xr:uid="{00000000-0005-0000-0000-0000BC270000}"/>
    <cellStyle name="40% - Accent1 4 3 2 2 2 4" xfId="8638" xr:uid="{00000000-0005-0000-0000-0000BD270000}"/>
    <cellStyle name="40% - Accent1 4 3 2 2 2 5" xfId="37872" xr:uid="{00000000-0005-0000-0000-0000BE270000}"/>
    <cellStyle name="40% - Accent1 4 3 2 2 3" xfId="8639" xr:uid="{00000000-0005-0000-0000-0000BF270000}"/>
    <cellStyle name="40% - Accent1 4 3 2 2 3 2" xfId="8640" xr:uid="{00000000-0005-0000-0000-0000C0270000}"/>
    <cellStyle name="40% - Accent1 4 3 2 2 4" xfId="8641" xr:uid="{00000000-0005-0000-0000-0000C1270000}"/>
    <cellStyle name="40% - Accent1 4 3 2 2 5" xfId="8642" xr:uid="{00000000-0005-0000-0000-0000C2270000}"/>
    <cellStyle name="40% - Accent1 4 3 2 2 6" xfId="37871" xr:uid="{00000000-0005-0000-0000-0000C3270000}"/>
    <cellStyle name="40% - Accent1 4 3 2 3" xfId="8643" xr:uid="{00000000-0005-0000-0000-0000C4270000}"/>
    <cellStyle name="40% - Accent1 4 3 2 3 2" xfId="8644" xr:uid="{00000000-0005-0000-0000-0000C5270000}"/>
    <cellStyle name="40% - Accent1 4 3 2 3 2 2" xfId="8645" xr:uid="{00000000-0005-0000-0000-0000C6270000}"/>
    <cellStyle name="40% - Accent1 4 3 2 3 2 2 2" xfId="8646" xr:uid="{00000000-0005-0000-0000-0000C7270000}"/>
    <cellStyle name="40% - Accent1 4 3 2 3 2 3" xfId="8647" xr:uid="{00000000-0005-0000-0000-0000C8270000}"/>
    <cellStyle name="40% - Accent1 4 3 2 3 2 4" xfId="8648" xr:uid="{00000000-0005-0000-0000-0000C9270000}"/>
    <cellStyle name="40% - Accent1 4 3 2 3 2 5" xfId="37874" xr:uid="{00000000-0005-0000-0000-0000CA270000}"/>
    <cellStyle name="40% - Accent1 4 3 2 3 3" xfId="8649" xr:uid="{00000000-0005-0000-0000-0000CB270000}"/>
    <cellStyle name="40% - Accent1 4 3 2 3 3 2" xfId="8650" xr:uid="{00000000-0005-0000-0000-0000CC270000}"/>
    <cellStyle name="40% - Accent1 4 3 2 3 4" xfId="8651" xr:uid="{00000000-0005-0000-0000-0000CD270000}"/>
    <cellStyle name="40% - Accent1 4 3 2 3 5" xfId="8652" xr:uid="{00000000-0005-0000-0000-0000CE270000}"/>
    <cellStyle name="40% - Accent1 4 3 2 3 6" xfId="37873" xr:uid="{00000000-0005-0000-0000-0000CF270000}"/>
    <cellStyle name="40% - Accent1 4 3 2 4" xfId="8653" xr:uid="{00000000-0005-0000-0000-0000D0270000}"/>
    <cellStyle name="40% - Accent1 4 3 2 4 2" xfId="8654" xr:uid="{00000000-0005-0000-0000-0000D1270000}"/>
    <cellStyle name="40% - Accent1 4 3 2 4 2 2" xfId="8655" xr:uid="{00000000-0005-0000-0000-0000D2270000}"/>
    <cellStyle name="40% - Accent1 4 3 2 4 3" xfId="8656" xr:uid="{00000000-0005-0000-0000-0000D3270000}"/>
    <cellStyle name="40% - Accent1 4 3 2 4 4" xfId="8657" xr:uid="{00000000-0005-0000-0000-0000D4270000}"/>
    <cellStyle name="40% - Accent1 4 3 2 4 5" xfId="37875" xr:uid="{00000000-0005-0000-0000-0000D5270000}"/>
    <cellStyle name="40% - Accent1 4 3 2 5" xfId="8658" xr:uid="{00000000-0005-0000-0000-0000D6270000}"/>
    <cellStyle name="40% - Accent1 4 3 2 5 2" xfId="8659" xr:uid="{00000000-0005-0000-0000-0000D7270000}"/>
    <cellStyle name="40% - Accent1 4 3 2 5 2 2" xfId="8660" xr:uid="{00000000-0005-0000-0000-0000D8270000}"/>
    <cellStyle name="40% - Accent1 4 3 2 5 3" xfId="8661" xr:uid="{00000000-0005-0000-0000-0000D9270000}"/>
    <cellStyle name="40% - Accent1 4 3 2 5 4" xfId="8662" xr:uid="{00000000-0005-0000-0000-0000DA270000}"/>
    <cellStyle name="40% - Accent1 4 3 2 6" xfId="8663" xr:uid="{00000000-0005-0000-0000-0000DB270000}"/>
    <cellStyle name="40% - Accent1 4 3 2 6 2" xfId="8664" xr:uid="{00000000-0005-0000-0000-0000DC270000}"/>
    <cellStyle name="40% - Accent1 4 3 2 6 2 2" xfId="8665" xr:uid="{00000000-0005-0000-0000-0000DD270000}"/>
    <cellStyle name="40% - Accent1 4 3 2 6 3" xfId="8666" xr:uid="{00000000-0005-0000-0000-0000DE270000}"/>
    <cellStyle name="40% - Accent1 4 3 2 6 4" xfId="8667" xr:uid="{00000000-0005-0000-0000-0000DF270000}"/>
    <cellStyle name="40% - Accent1 4 3 2 7" xfId="8668" xr:uid="{00000000-0005-0000-0000-0000E0270000}"/>
    <cellStyle name="40% - Accent1 4 3 2 7 2" xfId="8669" xr:uid="{00000000-0005-0000-0000-0000E1270000}"/>
    <cellStyle name="40% - Accent1 4 3 2 8" xfId="8670" xr:uid="{00000000-0005-0000-0000-0000E2270000}"/>
    <cellStyle name="40% - Accent1 4 3 2 9" xfId="8671" xr:uid="{00000000-0005-0000-0000-0000E3270000}"/>
    <cellStyle name="40% - Accent1 4 3 3" xfId="8672" xr:uid="{00000000-0005-0000-0000-0000E4270000}"/>
    <cellStyle name="40% - Accent1 4 3 3 2" xfId="8673" xr:uid="{00000000-0005-0000-0000-0000E5270000}"/>
    <cellStyle name="40% - Accent1 4 3 3 2 2" xfId="8674" xr:uid="{00000000-0005-0000-0000-0000E6270000}"/>
    <cellStyle name="40% - Accent1 4 3 3 2 2 2" xfId="8675" xr:uid="{00000000-0005-0000-0000-0000E7270000}"/>
    <cellStyle name="40% - Accent1 4 3 3 2 3" xfId="8676" xr:uid="{00000000-0005-0000-0000-0000E8270000}"/>
    <cellStyle name="40% - Accent1 4 3 3 2 4" xfId="8677" xr:uid="{00000000-0005-0000-0000-0000E9270000}"/>
    <cellStyle name="40% - Accent1 4 3 3 2 5" xfId="37877" xr:uid="{00000000-0005-0000-0000-0000EA270000}"/>
    <cellStyle name="40% - Accent1 4 3 3 3" xfId="8678" xr:uid="{00000000-0005-0000-0000-0000EB270000}"/>
    <cellStyle name="40% - Accent1 4 3 3 3 2" xfId="8679" xr:uid="{00000000-0005-0000-0000-0000EC270000}"/>
    <cellStyle name="40% - Accent1 4 3 3 4" xfId="8680" xr:uid="{00000000-0005-0000-0000-0000ED270000}"/>
    <cellStyle name="40% - Accent1 4 3 3 5" xfId="8681" xr:uid="{00000000-0005-0000-0000-0000EE270000}"/>
    <cellStyle name="40% - Accent1 4 3 3 6" xfId="37876" xr:uid="{00000000-0005-0000-0000-0000EF270000}"/>
    <cellStyle name="40% - Accent1 4 3 4" xfId="8682" xr:uid="{00000000-0005-0000-0000-0000F0270000}"/>
    <cellStyle name="40% - Accent1 4 3 4 2" xfId="8683" xr:uid="{00000000-0005-0000-0000-0000F1270000}"/>
    <cellStyle name="40% - Accent1 4 3 4 2 2" xfId="8684" xr:uid="{00000000-0005-0000-0000-0000F2270000}"/>
    <cellStyle name="40% - Accent1 4 3 4 2 2 2" xfId="8685" xr:uid="{00000000-0005-0000-0000-0000F3270000}"/>
    <cellStyle name="40% - Accent1 4 3 4 2 3" xfId="8686" xr:uid="{00000000-0005-0000-0000-0000F4270000}"/>
    <cellStyle name="40% - Accent1 4 3 4 2 4" xfId="8687" xr:uid="{00000000-0005-0000-0000-0000F5270000}"/>
    <cellStyle name="40% - Accent1 4 3 4 2 5" xfId="37879" xr:uid="{00000000-0005-0000-0000-0000F6270000}"/>
    <cellStyle name="40% - Accent1 4 3 4 3" xfId="8688" xr:uid="{00000000-0005-0000-0000-0000F7270000}"/>
    <cellStyle name="40% - Accent1 4 3 4 3 2" xfId="8689" xr:uid="{00000000-0005-0000-0000-0000F8270000}"/>
    <cellStyle name="40% - Accent1 4 3 4 4" xfId="8690" xr:uid="{00000000-0005-0000-0000-0000F9270000}"/>
    <cellStyle name="40% - Accent1 4 3 4 5" xfId="8691" xr:uid="{00000000-0005-0000-0000-0000FA270000}"/>
    <cellStyle name="40% - Accent1 4 3 4 6" xfId="37878" xr:uid="{00000000-0005-0000-0000-0000FB270000}"/>
    <cellStyle name="40% - Accent1 4 3 5" xfId="8692" xr:uid="{00000000-0005-0000-0000-0000FC270000}"/>
    <cellStyle name="40% - Accent1 4 3 5 2" xfId="8693" xr:uid="{00000000-0005-0000-0000-0000FD270000}"/>
    <cellStyle name="40% - Accent1 4 3 5 2 2" xfId="8694" xr:uid="{00000000-0005-0000-0000-0000FE270000}"/>
    <cellStyle name="40% - Accent1 4 3 5 3" xfId="8695" xr:uid="{00000000-0005-0000-0000-0000FF270000}"/>
    <cellStyle name="40% - Accent1 4 3 5 4" xfId="8696" xr:uid="{00000000-0005-0000-0000-000000280000}"/>
    <cellStyle name="40% - Accent1 4 3 5 5" xfId="37880" xr:uid="{00000000-0005-0000-0000-000001280000}"/>
    <cellStyle name="40% - Accent1 4 3 6" xfId="8697" xr:uid="{00000000-0005-0000-0000-000002280000}"/>
    <cellStyle name="40% - Accent1 4 3 6 2" xfId="8698" xr:uid="{00000000-0005-0000-0000-000003280000}"/>
    <cellStyle name="40% - Accent1 4 3 6 2 2" xfId="8699" xr:uid="{00000000-0005-0000-0000-000004280000}"/>
    <cellStyle name="40% - Accent1 4 3 6 3" xfId="8700" xr:uid="{00000000-0005-0000-0000-000005280000}"/>
    <cellStyle name="40% - Accent1 4 3 6 4" xfId="8701" xr:uid="{00000000-0005-0000-0000-000006280000}"/>
    <cellStyle name="40% - Accent1 4 3 7" xfId="8702" xr:uid="{00000000-0005-0000-0000-000007280000}"/>
    <cellStyle name="40% - Accent1 4 3 7 2" xfId="8703" xr:uid="{00000000-0005-0000-0000-000008280000}"/>
    <cellStyle name="40% - Accent1 4 3 7 2 2" xfId="8704" xr:uid="{00000000-0005-0000-0000-000009280000}"/>
    <cellStyle name="40% - Accent1 4 3 7 3" xfId="8705" xr:uid="{00000000-0005-0000-0000-00000A280000}"/>
    <cellStyle name="40% - Accent1 4 3 7 4" xfId="8706" xr:uid="{00000000-0005-0000-0000-00000B280000}"/>
    <cellStyle name="40% - Accent1 4 3 8" xfId="8707" xr:uid="{00000000-0005-0000-0000-00000C280000}"/>
    <cellStyle name="40% - Accent1 4 3 8 2" xfId="8708" xr:uid="{00000000-0005-0000-0000-00000D280000}"/>
    <cellStyle name="40% - Accent1 4 3 9" xfId="8709" xr:uid="{00000000-0005-0000-0000-00000E280000}"/>
    <cellStyle name="40% - Accent1 4 4" xfId="8710" xr:uid="{00000000-0005-0000-0000-00000F280000}"/>
    <cellStyle name="40% - Accent1 4 4 10" xfId="34683" xr:uid="{00000000-0005-0000-0000-000010280000}"/>
    <cellStyle name="40% - Accent1 4 4 2" xfId="8711" xr:uid="{00000000-0005-0000-0000-000011280000}"/>
    <cellStyle name="40% - Accent1 4 4 2 2" xfId="8712" xr:uid="{00000000-0005-0000-0000-000012280000}"/>
    <cellStyle name="40% - Accent1 4 4 2 2 2" xfId="8713" xr:uid="{00000000-0005-0000-0000-000013280000}"/>
    <cellStyle name="40% - Accent1 4 4 2 2 2 2" xfId="8714" xr:uid="{00000000-0005-0000-0000-000014280000}"/>
    <cellStyle name="40% - Accent1 4 4 2 2 3" xfId="8715" xr:uid="{00000000-0005-0000-0000-000015280000}"/>
    <cellStyle name="40% - Accent1 4 4 2 2 4" xfId="8716" xr:uid="{00000000-0005-0000-0000-000016280000}"/>
    <cellStyle name="40% - Accent1 4 4 2 2 5" xfId="37882" xr:uid="{00000000-0005-0000-0000-000017280000}"/>
    <cellStyle name="40% - Accent1 4 4 2 3" xfId="8717" xr:uid="{00000000-0005-0000-0000-000018280000}"/>
    <cellStyle name="40% - Accent1 4 4 2 3 2" xfId="8718" xr:uid="{00000000-0005-0000-0000-000019280000}"/>
    <cellStyle name="40% - Accent1 4 4 2 4" xfId="8719" xr:uid="{00000000-0005-0000-0000-00001A280000}"/>
    <cellStyle name="40% - Accent1 4 4 2 5" xfId="8720" xr:uid="{00000000-0005-0000-0000-00001B280000}"/>
    <cellStyle name="40% - Accent1 4 4 2 6" xfId="37881" xr:uid="{00000000-0005-0000-0000-00001C280000}"/>
    <cellStyle name="40% - Accent1 4 4 3" xfId="8721" xr:uid="{00000000-0005-0000-0000-00001D280000}"/>
    <cellStyle name="40% - Accent1 4 4 3 2" xfId="8722" xr:uid="{00000000-0005-0000-0000-00001E280000}"/>
    <cellStyle name="40% - Accent1 4 4 3 2 2" xfId="8723" xr:uid="{00000000-0005-0000-0000-00001F280000}"/>
    <cellStyle name="40% - Accent1 4 4 3 2 2 2" xfId="8724" xr:uid="{00000000-0005-0000-0000-000020280000}"/>
    <cellStyle name="40% - Accent1 4 4 3 2 3" xfId="8725" xr:uid="{00000000-0005-0000-0000-000021280000}"/>
    <cellStyle name="40% - Accent1 4 4 3 2 4" xfId="8726" xr:uid="{00000000-0005-0000-0000-000022280000}"/>
    <cellStyle name="40% - Accent1 4 4 3 2 5" xfId="37884" xr:uid="{00000000-0005-0000-0000-000023280000}"/>
    <cellStyle name="40% - Accent1 4 4 3 3" xfId="8727" xr:uid="{00000000-0005-0000-0000-000024280000}"/>
    <cellStyle name="40% - Accent1 4 4 3 3 2" xfId="8728" xr:uid="{00000000-0005-0000-0000-000025280000}"/>
    <cellStyle name="40% - Accent1 4 4 3 4" xfId="8729" xr:uid="{00000000-0005-0000-0000-000026280000}"/>
    <cellStyle name="40% - Accent1 4 4 3 5" xfId="8730" xr:uid="{00000000-0005-0000-0000-000027280000}"/>
    <cellStyle name="40% - Accent1 4 4 3 6" xfId="37883" xr:uid="{00000000-0005-0000-0000-000028280000}"/>
    <cellStyle name="40% - Accent1 4 4 4" xfId="8731" xr:uid="{00000000-0005-0000-0000-000029280000}"/>
    <cellStyle name="40% - Accent1 4 4 4 2" xfId="8732" xr:uid="{00000000-0005-0000-0000-00002A280000}"/>
    <cellStyle name="40% - Accent1 4 4 4 2 2" xfId="8733" xr:uid="{00000000-0005-0000-0000-00002B280000}"/>
    <cellStyle name="40% - Accent1 4 4 4 3" xfId="8734" xr:uid="{00000000-0005-0000-0000-00002C280000}"/>
    <cellStyle name="40% - Accent1 4 4 4 4" xfId="8735" xr:uid="{00000000-0005-0000-0000-00002D280000}"/>
    <cellStyle name="40% - Accent1 4 4 4 5" xfId="37885" xr:uid="{00000000-0005-0000-0000-00002E280000}"/>
    <cellStyle name="40% - Accent1 4 4 5" xfId="8736" xr:uid="{00000000-0005-0000-0000-00002F280000}"/>
    <cellStyle name="40% - Accent1 4 4 5 2" xfId="8737" xr:uid="{00000000-0005-0000-0000-000030280000}"/>
    <cellStyle name="40% - Accent1 4 4 5 2 2" xfId="8738" xr:uid="{00000000-0005-0000-0000-000031280000}"/>
    <cellStyle name="40% - Accent1 4 4 5 3" xfId="8739" xr:uid="{00000000-0005-0000-0000-000032280000}"/>
    <cellStyle name="40% - Accent1 4 4 5 4" xfId="8740" xr:uid="{00000000-0005-0000-0000-000033280000}"/>
    <cellStyle name="40% - Accent1 4 4 6" xfId="8741" xr:uid="{00000000-0005-0000-0000-000034280000}"/>
    <cellStyle name="40% - Accent1 4 4 6 2" xfId="8742" xr:uid="{00000000-0005-0000-0000-000035280000}"/>
    <cellStyle name="40% - Accent1 4 4 6 2 2" xfId="8743" xr:uid="{00000000-0005-0000-0000-000036280000}"/>
    <cellStyle name="40% - Accent1 4 4 6 3" xfId="8744" xr:uid="{00000000-0005-0000-0000-000037280000}"/>
    <cellStyle name="40% - Accent1 4 4 6 4" xfId="8745" xr:uid="{00000000-0005-0000-0000-000038280000}"/>
    <cellStyle name="40% - Accent1 4 4 7" xfId="8746" xr:uid="{00000000-0005-0000-0000-000039280000}"/>
    <cellStyle name="40% - Accent1 4 4 7 2" xfId="8747" xr:uid="{00000000-0005-0000-0000-00003A280000}"/>
    <cellStyle name="40% - Accent1 4 4 8" xfId="8748" xr:uid="{00000000-0005-0000-0000-00003B280000}"/>
    <cellStyle name="40% - Accent1 4 4 9" xfId="8749" xr:uid="{00000000-0005-0000-0000-00003C280000}"/>
    <cellStyle name="40% - Accent1 4 5" xfId="8750" xr:uid="{00000000-0005-0000-0000-00003D280000}"/>
    <cellStyle name="40% - Accent1 4 5 2" xfId="8751" xr:uid="{00000000-0005-0000-0000-00003E280000}"/>
    <cellStyle name="40% - Accent1 4 5 2 2" xfId="8752" xr:uid="{00000000-0005-0000-0000-00003F280000}"/>
    <cellStyle name="40% - Accent1 4 5 2 2 2" xfId="8753" xr:uid="{00000000-0005-0000-0000-000040280000}"/>
    <cellStyle name="40% - Accent1 4 5 2 3" xfId="8754" xr:uid="{00000000-0005-0000-0000-000041280000}"/>
    <cellStyle name="40% - Accent1 4 5 2 4" xfId="8755" xr:uid="{00000000-0005-0000-0000-000042280000}"/>
    <cellStyle name="40% - Accent1 4 5 2 5" xfId="37887" xr:uid="{00000000-0005-0000-0000-000043280000}"/>
    <cellStyle name="40% - Accent1 4 5 3" xfId="8756" xr:uid="{00000000-0005-0000-0000-000044280000}"/>
    <cellStyle name="40% - Accent1 4 5 4" xfId="8757" xr:uid="{00000000-0005-0000-0000-000045280000}"/>
    <cellStyle name="40% - Accent1 4 5 4 2" xfId="8758" xr:uid="{00000000-0005-0000-0000-000046280000}"/>
    <cellStyle name="40% - Accent1 4 5 5" xfId="8759" xr:uid="{00000000-0005-0000-0000-000047280000}"/>
    <cellStyle name="40% - Accent1 4 5 6" xfId="8760" xr:uid="{00000000-0005-0000-0000-000048280000}"/>
    <cellStyle name="40% - Accent1 4 5 7" xfId="37886" xr:uid="{00000000-0005-0000-0000-000049280000}"/>
    <cellStyle name="40% - Accent1 4 6" xfId="8761" xr:uid="{00000000-0005-0000-0000-00004A280000}"/>
    <cellStyle name="40% - Accent1 4 6 2" xfId="8762" xr:uid="{00000000-0005-0000-0000-00004B280000}"/>
    <cellStyle name="40% - Accent1 4 6 2 2" xfId="8763" xr:uid="{00000000-0005-0000-0000-00004C280000}"/>
    <cellStyle name="40% - Accent1 4 6 2 2 2" xfId="8764" xr:uid="{00000000-0005-0000-0000-00004D280000}"/>
    <cellStyle name="40% - Accent1 4 6 2 3" xfId="8765" xr:uid="{00000000-0005-0000-0000-00004E280000}"/>
    <cellStyle name="40% - Accent1 4 6 2 4" xfId="8766" xr:uid="{00000000-0005-0000-0000-00004F280000}"/>
    <cellStyle name="40% - Accent1 4 6 2 5" xfId="37889" xr:uid="{00000000-0005-0000-0000-000050280000}"/>
    <cellStyle name="40% - Accent1 4 6 3" xfId="8767" xr:uid="{00000000-0005-0000-0000-000051280000}"/>
    <cellStyle name="40% - Accent1 4 6 3 2" xfId="8768" xr:uid="{00000000-0005-0000-0000-000052280000}"/>
    <cellStyle name="40% - Accent1 4 6 3 2 2" xfId="8769" xr:uid="{00000000-0005-0000-0000-000053280000}"/>
    <cellStyle name="40% - Accent1 4 6 3 3" xfId="8770" xr:uid="{00000000-0005-0000-0000-000054280000}"/>
    <cellStyle name="40% - Accent1 4 6 3 4" xfId="8771" xr:uid="{00000000-0005-0000-0000-000055280000}"/>
    <cellStyle name="40% - Accent1 4 6 3 5" xfId="37890" xr:uid="{00000000-0005-0000-0000-000056280000}"/>
    <cellStyle name="40% - Accent1 4 6 4" xfId="8772" xr:uid="{00000000-0005-0000-0000-000057280000}"/>
    <cellStyle name="40% - Accent1 4 6 4 2" xfId="8773" xr:uid="{00000000-0005-0000-0000-000058280000}"/>
    <cellStyle name="40% - Accent1 4 6 5" xfId="8774" xr:uid="{00000000-0005-0000-0000-000059280000}"/>
    <cellStyle name="40% - Accent1 4 6 6" xfId="8775" xr:uid="{00000000-0005-0000-0000-00005A280000}"/>
    <cellStyle name="40% - Accent1 4 6 7" xfId="37888" xr:uid="{00000000-0005-0000-0000-00005B280000}"/>
    <cellStyle name="40% - Accent1 4 7" xfId="8776" xr:uid="{00000000-0005-0000-0000-00005C280000}"/>
    <cellStyle name="40% - Accent1 4 7 2" xfId="8777" xr:uid="{00000000-0005-0000-0000-00005D280000}"/>
    <cellStyle name="40% - Accent1 4 7 2 2" xfId="8778" xr:uid="{00000000-0005-0000-0000-00005E280000}"/>
    <cellStyle name="40% - Accent1 4 7 3" xfId="8779" xr:uid="{00000000-0005-0000-0000-00005F280000}"/>
    <cellStyle name="40% - Accent1 4 7 4" xfId="8780" xr:uid="{00000000-0005-0000-0000-000060280000}"/>
    <cellStyle name="40% - Accent1 4 7 5" xfId="37891" xr:uid="{00000000-0005-0000-0000-000061280000}"/>
    <cellStyle name="40% - Accent1 4 8" xfId="8781" xr:uid="{00000000-0005-0000-0000-000062280000}"/>
    <cellStyle name="40% - Accent1 4 8 2" xfId="8782" xr:uid="{00000000-0005-0000-0000-000063280000}"/>
    <cellStyle name="40% - Accent1 4 8 2 2" xfId="8783" xr:uid="{00000000-0005-0000-0000-000064280000}"/>
    <cellStyle name="40% - Accent1 4 8 3" xfId="8784" xr:uid="{00000000-0005-0000-0000-000065280000}"/>
    <cellStyle name="40% - Accent1 4 8 4" xfId="8785" xr:uid="{00000000-0005-0000-0000-000066280000}"/>
    <cellStyle name="40% - Accent1 4 9" xfId="8786" xr:uid="{00000000-0005-0000-0000-000067280000}"/>
    <cellStyle name="40% - Accent1 4 9 2" xfId="8787" xr:uid="{00000000-0005-0000-0000-000068280000}"/>
    <cellStyle name="40% - Accent1 4 9 2 2" xfId="8788" xr:uid="{00000000-0005-0000-0000-000069280000}"/>
    <cellStyle name="40% - Accent1 4 9 3" xfId="8789" xr:uid="{00000000-0005-0000-0000-00006A280000}"/>
    <cellStyle name="40% - Accent1 4 9 4" xfId="8790" xr:uid="{00000000-0005-0000-0000-00006B280000}"/>
    <cellStyle name="40% - Accent1 5" xfId="8791" xr:uid="{00000000-0005-0000-0000-00006C280000}"/>
    <cellStyle name="40% - Accent1 5 10" xfId="8792" xr:uid="{00000000-0005-0000-0000-00006D280000}"/>
    <cellStyle name="40% - Accent1 5 10 2" xfId="8793" xr:uid="{00000000-0005-0000-0000-00006E280000}"/>
    <cellStyle name="40% - Accent1 5 11" xfId="8794" xr:uid="{00000000-0005-0000-0000-00006F280000}"/>
    <cellStyle name="40% - Accent1 5 12" xfId="8795" xr:uid="{00000000-0005-0000-0000-000070280000}"/>
    <cellStyle name="40% - Accent1 5 13" xfId="34684" xr:uid="{00000000-0005-0000-0000-000071280000}"/>
    <cellStyle name="40% - Accent1 5 2" xfId="8796" xr:uid="{00000000-0005-0000-0000-000072280000}"/>
    <cellStyle name="40% - Accent1 5 2 10" xfId="8797" xr:uid="{00000000-0005-0000-0000-000073280000}"/>
    <cellStyle name="40% - Accent1 5 2 11" xfId="8798" xr:uid="{00000000-0005-0000-0000-000074280000}"/>
    <cellStyle name="40% - Accent1 5 2 12" xfId="34685" xr:uid="{00000000-0005-0000-0000-000075280000}"/>
    <cellStyle name="40% - Accent1 5 2 2" xfId="8799" xr:uid="{00000000-0005-0000-0000-000076280000}"/>
    <cellStyle name="40% - Accent1 5 2 2 10" xfId="8800" xr:uid="{00000000-0005-0000-0000-000077280000}"/>
    <cellStyle name="40% - Accent1 5 2 2 11" xfId="34686" xr:uid="{00000000-0005-0000-0000-000078280000}"/>
    <cellStyle name="40% - Accent1 5 2 2 2" xfId="8801" xr:uid="{00000000-0005-0000-0000-000079280000}"/>
    <cellStyle name="40% - Accent1 5 2 2 2 10" xfId="34687" xr:uid="{00000000-0005-0000-0000-00007A280000}"/>
    <cellStyle name="40% - Accent1 5 2 2 2 2" xfId="8802" xr:uid="{00000000-0005-0000-0000-00007B280000}"/>
    <cellStyle name="40% - Accent1 5 2 2 2 2 2" xfId="8803" xr:uid="{00000000-0005-0000-0000-00007C280000}"/>
    <cellStyle name="40% - Accent1 5 2 2 2 2 2 2" xfId="8804" xr:uid="{00000000-0005-0000-0000-00007D280000}"/>
    <cellStyle name="40% - Accent1 5 2 2 2 2 2 2 2" xfId="8805" xr:uid="{00000000-0005-0000-0000-00007E280000}"/>
    <cellStyle name="40% - Accent1 5 2 2 2 2 2 3" xfId="8806" xr:uid="{00000000-0005-0000-0000-00007F280000}"/>
    <cellStyle name="40% - Accent1 5 2 2 2 2 2 4" xfId="8807" xr:uid="{00000000-0005-0000-0000-000080280000}"/>
    <cellStyle name="40% - Accent1 5 2 2 2 2 2 5" xfId="37893" xr:uid="{00000000-0005-0000-0000-000081280000}"/>
    <cellStyle name="40% - Accent1 5 2 2 2 2 3" xfId="8808" xr:uid="{00000000-0005-0000-0000-000082280000}"/>
    <cellStyle name="40% - Accent1 5 2 2 2 2 3 2" xfId="8809" xr:uid="{00000000-0005-0000-0000-000083280000}"/>
    <cellStyle name="40% - Accent1 5 2 2 2 2 4" xfId="8810" xr:uid="{00000000-0005-0000-0000-000084280000}"/>
    <cellStyle name="40% - Accent1 5 2 2 2 2 5" xfId="8811" xr:uid="{00000000-0005-0000-0000-000085280000}"/>
    <cellStyle name="40% - Accent1 5 2 2 2 2 6" xfId="37892" xr:uid="{00000000-0005-0000-0000-000086280000}"/>
    <cellStyle name="40% - Accent1 5 2 2 2 3" xfId="8812" xr:uid="{00000000-0005-0000-0000-000087280000}"/>
    <cellStyle name="40% - Accent1 5 2 2 2 3 2" xfId="8813" xr:uid="{00000000-0005-0000-0000-000088280000}"/>
    <cellStyle name="40% - Accent1 5 2 2 2 3 2 2" xfId="8814" xr:uid="{00000000-0005-0000-0000-000089280000}"/>
    <cellStyle name="40% - Accent1 5 2 2 2 3 2 2 2" xfId="8815" xr:uid="{00000000-0005-0000-0000-00008A280000}"/>
    <cellStyle name="40% - Accent1 5 2 2 2 3 2 3" xfId="8816" xr:uid="{00000000-0005-0000-0000-00008B280000}"/>
    <cellStyle name="40% - Accent1 5 2 2 2 3 2 4" xfId="8817" xr:uid="{00000000-0005-0000-0000-00008C280000}"/>
    <cellStyle name="40% - Accent1 5 2 2 2 3 2 5" xfId="37895" xr:uid="{00000000-0005-0000-0000-00008D280000}"/>
    <cellStyle name="40% - Accent1 5 2 2 2 3 3" xfId="8818" xr:uid="{00000000-0005-0000-0000-00008E280000}"/>
    <cellStyle name="40% - Accent1 5 2 2 2 3 3 2" xfId="8819" xr:uid="{00000000-0005-0000-0000-00008F280000}"/>
    <cellStyle name="40% - Accent1 5 2 2 2 3 4" xfId="8820" xr:uid="{00000000-0005-0000-0000-000090280000}"/>
    <cellStyle name="40% - Accent1 5 2 2 2 3 5" xfId="8821" xr:uid="{00000000-0005-0000-0000-000091280000}"/>
    <cellStyle name="40% - Accent1 5 2 2 2 3 6" xfId="37894" xr:uid="{00000000-0005-0000-0000-000092280000}"/>
    <cellStyle name="40% - Accent1 5 2 2 2 4" xfId="8822" xr:uid="{00000000-0005-0000-0000-000093280000}"/>
    <cellStyle name="40% - Accent1 5 2 2 2 4 2" xfId="8823" xr:uid="{00000000-0005-0000-0000-000094280000}"/>
    <cellStyle name="40% - Accent1 5 2 2 2 4 2 2" xfId="8824" xr:uid="{00000000-0005-0000-0000-000095280000}"/>
    <cellStyle name="40% - Accent1 5 2 2 2 4 3" xfId="8825" xr:uid="{00000000-0005-0000-0000-000096280000}"/>
    <cellStyle name="40% - Accent1 5 2 2 2 4 4" xfId="8826" xr:uid="{00000000-0005-0000-0000-000097280000}"/>
    <cellStyle name="40% - Accent1 5 2 2 2 4 5" xfId="37896" xr:uid="{00000000-0005-0000-0000-000098280000}"/>
    <cellStyle name="40% - Accent1 5 2 2 2 5" xfId="8827" xr:uid="{00000000-0005-0000-0000-000099280000}"/>
    <cellStyle name="40% - Accent1 5 2 2 2 5 2" xfId="8828" xr:uid="{00000000-0005-0000-0000-00009A280000}"/>
    <cellStyle name="40% - Accent1 5 2 2 2 5 2 2" xfId="8829" xr:uid="{00000000-0005-0000-0000-00009B280000}"/>
    <cellStyle name="40% - Accent1 5 2 2 2 5 3" xfId="8830" xr:uid="{00000000-0005-0000-0000-00009C280000}"/>
    <cellStyle name="40% - Accent1 5 2 2 2 5 4" xfId="8831" xr:uid="{00000000-0005-0000-0000-00009D280000}"/>
    <cellStyle name="40% - Accent1 5 2 2 2 6" xfId="8832" xr:uid="{00000000-0005-0000-0000-00009E280000}"/>
    <cellStyle name="40% - Accent1 5 2 2 2 6 2" xfId="8833" xr:uid="{00000000-0005-0000-0000-00009F280000}"/>
    <cellStyle name="40% - Accent1 5 2 2 2 6 2 2" xfId="8834" xr:uid="{00000000-0005-0000-0000-0000A0280000}"/>
    <cellStyle name="40% - Accent1 5 2 2 2 6 3" xfId="8835" xr:uid="{00000000-0005-0000-0000-0000A1280000}"/>
    <cellStyle name="40% - Accent1 5 2 2 2 6 4" xfId="8836" xr:uid="{00000000-0005-0000-0000-0000A2280000}"/>
    <cellStyle name="40% - Accent1 5 2 2 2 7" xfId="8837" xr:uid="{00000000-0005-0000-0000-0000A3280000}"/>
    <cellStyle name="40% - Accent1 5 2 2 2 7 2" xfId="8838" xr:uid="{00000000-0005-0000-0000-0000A4280000}"/>
    <cellStyle name="40% - Accent1 5 2 2 2 8" xfId="8839" xr:uid="{00000000-0005-0000-0000-0000A5280000}"/>
    <cellStyle name="40% - Accent1 5 2 2 2 9" xfId="8840" xr:uid="{00000000-0005-0000-0000-0000A6280000}"/>
    <cellStyle name="40% - Accent1 5 2 2 3" xfId="8841" xr:uid="{00000000-0005-0000-0000-0000A7280000}"/>
    <cellStyle name="40% - Accent1 5 2 2 3 2" xfId="8842" xr:uid="{00000000-0005-0000-0000-0000A8280000}"/>
    <cellStyle name="40% - Accent1 5 2 2 3 2 2" xfId="8843" xr:uid="{00000000-0005-0000-0000-0000A9280000}"/>
    <cellStyle name="40% - Accent1 5 2 2 3 2 2 2" xfId="8844" xr:uid="{00000000-0005-0000-0000-0000AA280000}"/>
    <cellStyle name="40% - Accent1 5 2 2 3 2 3" xfId="8845" xr:uid="{00000000-0005-0000-0000-0000AB280000}"/>
    <cellStyle name="40% - Accent1 5 2 2 3 2 4" xfId="8846" xr:uid="{00000000-0005-0000-0000-0000AC280000}"/>
    <cellStyle name="40% - Accent1 5 2 2 3 2 5" xfId="37898" xr:uid="{00000000-0005-0000-0000-0000AD280000}"/>
    <cellStyle name="40% - Accent1 5 2 2 3 3" xfId="8847" xr:uid="{00000000-0005-0000-0000-0000AE280000}"/>
    <cellStyle name="40% - Accent1 5 2 2 3 3 2" xfId="8848" xr:uid="{00000000-0005-0000-0000-0000AF280000}"/>
    <cellStyle name="40% - Accent1 5 2 2 3 4" xfId="8849" xr:uid="{00000000-0005-0000-0000-0000B0280000}"/>
    <cellStyle name="40% - Accent1 5 2 2 3 5" xfId="8850" xr:uid="{00000000-0005-0000-0000-0000B1280000}"/>
    <cellStyle name="40% - Accent1 5 2 2 3 6" xfId="37897" xr:uid="{00000000-0005-0000-0000-0000B2280000}"/>
    <cellStyle name="40% - Accent1 5 2 2 4" xfId="8851" xr:uid="{00000000-0005-0000-0000-0000B3280000}"/>
    <cellStyle name="40% - Accent1 5 2 2 4 2" xfId="8852" xr:uid="{00000000-0005-0000-0000-0000B4280000}"/>
    <cellStyle name="40% - Accent1 5 2 2 4 2 2" xfId="8853" xr:uid="{00000000-0005-0000-0000-0000B5280000}"/>
    <cellStyle name="40% - Accent1 5 2 2 4 2 2 2" xfId="8854" xr:uid="{00000000-0005-0000-0000-0000B6280000}"/>
    <cellStyle name="40% - Accent1 5 2 2 4 2 3" xfId="8855" xr:uid="{00000000-0005-0000-0000-0000B7280000}"/>
    <cellStyle name="40% - Accent1 5 2 2 4 2 4" xfId="8856" xr:uid="{00000000-0005-0000-0000-0000B8280000}"/>
    <cellStyle name="40% - Accent1 5 2 2 4 2 5" xfId="37900" xr:uid="{00000000-0005-0000-0000-0000B9280000}"/>
    <cellStyle name="40% - Accent1 5 2 2 4 3" xfId="8857" xr:uid="{00000000-0005-0000-0000-0000BA280000}"/>
    <cellStyle name="40% - Accent1 5 2 2 4 3 2" xfId="8858" xr:uid="{00000000-0005-0000-0000-0000BB280000}"/>
    <cellStyle name="40% - Accent1 5 2 2 4 4" xfId="8859" xr:uid="{00000000-0005-0000-0000-0000BC280000}"/>
    <cellStyle name="40% - Accent1 5 2 2 4 5" xfId="8860" xr:uid="{00000000-0005-0000-0000-0000BD280000}"/>
    <cellStyle name="40% - Accent1 5 2 2 4 6" xfId="37899" xr:uid="{00000000-0005-0000-0000-0000BE280000}"/>
    <cellStyle name="40% - Accent1 5 2 2 5" xfId="8861" xr:uid="{00000000-0005-0000-0000-0000BF280000}"/>
    <cellStyle name="40% - Accent1 5 2 2 5 2" xfId="8862" xr:uid="{00000000-0005-0000-0000-0000C0280000}"/>
    <cellStyle name="40% - Accent1 5 2 2 5 2 2" xfId="8863" xr:uid="{00000000-0005-0000-0000-0000C1280000}"/>
    <cellStyle name="40% - Accent1 5 2 2 5 3" xfId="8864" xr:uid="{00000000-0005-0000-0000-0000C2280000}"/>
    <cellStyle name="40% - Accent1 5 2 2 5 4" xfId="8865" xr:uid="{00000000-0005-0000-0000-0000C3280000}"/>
    <cellStyle name="40% - Accent1 5 2 2 5 5" xfId="37901" xr:uid="{00000000-0005-0000-0000-0000C4280000}"/>
    <cellStyle name="40% - Accent1 5 2 2 6" xfId="8866" xr:uid="{00000000-0005-0000-0000-0000C5280000}"/>
    <cellStyle name="40% - Accent1 5 2 2 6 2" xfId="8867" xr:uid="{00000000-0005-0000-0000-0000C6280000}"/>
    <cellStyle name="40% - Accent1 5 2 2 6 2 2" xfId="8868" xr:uid="{00000000-0005-0000-0000-0000C7280000}"/>
    <cellStyle name="40% - Accent1 5 2 2 6 3" xfId="8869" xr:uid="{00000000-0005-0000-0000-0000C8280000}"/>
    <cellStyle name="40% - Accent1 5 2 2 6 4" xfId="8870" xr:uid="{00000000-0005-0000-0000-0000C9280000}"/>
    <cellStyle name="40% - Accent1 5 2 2 7" xfId="8871" xr:uid="{00000000-0005-0000-0000-0000CA280000}"/>
    <cellStyle name="40% - Accent1 5 2 2 7 2" xfId="8872" xr:uid="{00000000-0005-0000-0000-0000CB280000}"/>
    <cellStyle name="40% - Accent1 5 2 2 7 2 2" xfId="8873" xr:uid="{00000000-0005-0000-0000-0000CC280000}"/>
    <cellStyle name="40% - Accent1 5 2 2 7 3" xfId="8874" xr:uid="{00000000-0005-0000-0000-0000CD280000}"/>
    <cellStyle name="40% - Accent1 5 2 2 7 4" xfId="8875" xr:uid="{00000000-0005-0000-0000-0000CE280000}"/>
    <cellStyle name="40% - Accent1 5 2 2 8" xfId="8876" xr:uid="{00000000-0005-0000-0000-0000CF280000}"/>
    <cellStyle name="40% - Accent1 5 2 2 8 2" xfId="8877" xr:uid="{00000000-0005-0000-0000-0000D0280000}"/>
    <cellStyle name="40% - Accent1 5 2 2 9" xfId="8878" xr:uid="{00000000-0005-0000-0000-0000D1280000}"/>
    <cellStyle name="40% - Accent1 5 2 3" xfId="8879" xr:uid="{00000000-0005-0000-0000-0000D2280000}"/>
    <cellStyle name="40% - Accent1 5 2 3 10" xfId="34688" xr:uid="{00000000-0005-0000-0000-0000D3280000}"/>
    <cellStyle name="40% - Accent1 5 2 3 2" xfId="8880" xr:uid="{00000000-0005-0000-0000-0000D4280000}"/>
    <cellStyle name="40% - Accent1 5 2 3 2 2" xfId="8881" xr:uid="{00000000-0005-0000-0000-0000D5280000}"/>
    <cellStyle name="40% - Accent1 5 2 3 2 2 2" xfId="8882" xr:uid="{00000000-0005-0000-0000-0000D6280000}"/>
    <cellStyle name="40% - Accent1 5 2 3 2 2 2 2" xfId="8883" xr:uid="{00000000-0005-0000-0000-0000D7280000}"/>
    <cellStyle name="40% - Accent1 5 2 3 2 2 3" xfId="8884" xr:uid="{00000000-0005-0000-0000-0000D8280000}"/>
    <cellStyle name="40% - Accent1 5 2 3 2 2 4" xfId="8885" xr:uid="{00000000-0005-0000-0000-0000D9280000}"/>
    <cellStyle name="40% - Accent1 5 2 3 2 2 5" xfId="37903" xr:uid="{00000000-0005-0000-0000-0000DA280000}"/>
    <cellStyle name="40% - Accent1 5 2 3 2 3" xfId="8886" xr:uid="{00000000-0005-0000-0000-0000DB280000}"/>
    <cellStyle name="40% - Accent1 5 2 3 2 3 2" xfId="8887" xr:uid="{00000000-0005-0000-0000-0000DC280000}"/>
    <cellStyle name="40% - Accent1 5 2 3 2 4" xfId="8888" xr:uid="{00000000-0005-0000-0000-0000DD280000}"/>
    <cellStyle name="40% - Accent1 5 2 3 2 5" xfId="8889" xr:uid="{00000000-0005-0000-0000-0000DE280000}"/>
    <cellStyle name="40% - Accent1 5 2 3 2 6" xfId="37902" xr:uid="{00000000-0005-0000-0000-0000DF280000}"/>
    <cellStyle name="40% - Accent1 5 2 3 3" xfId="8890" xr:uid="{00000000-0005-0000-0000-0000E0280000}"/>
    <cellStyle name="40% - Accent1 5 2 3 3 2" xfId="8891" xr:uid="{00000000-0005-0000-0000-0000E1280000}"/>
    <cellStyle name="40% - Accent1 5 2 3 3 2 2" xfId="8892" xr:uid="{00000000-0005-0000-0000-0000E2280000}"/>
    <cellStyle name="40% - Accent1 5 2 3 3 2 2 2" xfId="8893" xr:uid="{00000000-0005-0000-0000-0000E3280000}"/>
    <cellStyle name="40% - Accent1 5 2 3 3 2 3" xfId="8894" xr:uid="{00000000-0005-0000-0000-0000E4280000}"/>
    <cellStyle name="40% - Accent1 5 2 3 3 2 4" xfId="8895" xr:uid="{00000000-0005-0000-0000-0000E5280000}"/>
    <cellStyle name="40% - Accent1 5 2 3 3 2 5" xfId="37905" xr:uid="{00000000-0005-0000-0000-0000E6280000}"/>
    <cellStyle name="40% - Accent1 5 2 3 3 3" xfId="8896" xr:uid="{00000000-0005-0000-0000-0000E7280000}"/>
    <cellStyle name="40% - Accent1 5 2 3 3 3 2" xfId="8897" xr:uid="{00000000-0005-0000-0000-0000E8280000}"/>
    <cellStyle name="40% - Accent1 5 2 3 3 4" xfId="8898" xr:uid="{00000000-0005-0000-0000-0000E9280000}"/>
    <cellStyle name="40% - Accent1 5 2 3 3 5" xfId="8899" xr:uid="{00000000-0005-0000-0000-0000EA280000}"/>
    <cellStyle name="40% - Accent1 5 2 3 3 6" xfId="37904" xr:uid="{00000000-0005-0000-0000-0000EB280000}"/>
    <cellStyle name="40% - Accent1 5 2 3 4" xfId="8900" xr:uid="{00000000-0005-0000-0000-0000EC280000}"/>
    <cellStyle name="40% - Accent1 5 2 3 4 2" xfId="8901" xr:uid="{00000000-0005-0000-0000-0000ED280000}"/>
    <cellStyle name="40% - Accent1 5 2 3 4 2 2" xfId="8902" xr:uid="{00000000-0005-0000-0000-0000EE280000}"/>
    <cellStyle name="40% - Accent1 5 2 3 4 3" xfId="8903" xr:uid="{00000000-0005-0000-0000-0000EF280000}"/>
    <cellStyle name="40% - Accent1 5 2 3 4 4" xfId="8904" xr:uid="{00000000-0005-0000-0000-0000F0280000}"/>
    <cellStyle name="40% - Accent1 5 2 3 4 5" xfId="37906" xr:uid="{00000000-0005-0000-0000-0000F1280000}"/>
    <cellStyle name="40% - Accent1 5 2 3 5" xfId="8905" xr:uid="{00000000-0005-0000-0000-0000F2280000}"/>
    <cellStyle name="40% - Accent1 5 2 3 5 2" xfId="8906" xr:uid="{00000000-0005-0000-0000-0000F3280000}"/>
    <cellStyle name="40% - Accent1 5 2 3 5 2 2" xfId="8907" xr:uid="{00000000-0005-0000-0000-0000F4280000}"/>
    <cellStyle name="40% - Accent1 5 2 3 5 3" xfId="8908" xr:uid="{00000000-0005-0000-0000-0000F5280000}"/>
    <cellStyle name="40% - Accent1 5 2 3 5 4" xfId="8909" xr:uid="{00000000-0005-0000-0000-0000F6280000}"/>
    <cellStyle name="40% - Accent1 5 2 3 6" xfId="8910" xr:uid="{00000000-0005-0000-0000-0000F7280000}"/>
    <cellStyle name="40% - Accent1 5 2 3 6 2" xfId="8911" xr:uid="{00000000-0005-0000-0000-0000F8280000}"/>
    <cellStyle name="40% - Accent1 5 2 3 6 2 2" xfId="8912" xr:uid="{00000000-0005-0000-0000-0000F9280000}"/>
    <cellStyle name="40% - Accent1 5 2 3 6 3" xfId="8913" xr:uid="{00000000-0005-0000-0000-0000FA280000}"/>
    <cellStyle name="40% - Accent1 5 2 3 6 4" xfId="8914" xr:uid="{00000000-0005-0000-0000-0000FB280000}"/>
    <cellStyle name="40% - Accent1 5 2 3 7" xfId="8915" xr:uid="{00000000-0005-0000-0000-0000FC280000}"/>
    <cellStyle name="40% - Accent1 5 2 3 7 2" xfId="8916" xr:uid="{00000000-0005-0000-0000-0000FD280000}"/>
    <cellStyle name="40% - Accent1 5 2 3 8" xfId="8917" xr:uid="{00000000-0005-0000-0000-0000FE280000}"/>
    <cellStyle name="40% - Accent1 5 2 3 9" xfId="8918" xr:uid="{00000000-0005-0000-0000-0000FF280000}"/>
    <cellStyle name="40% - Accent1 5 2 4" xfId="8919" xr:uid="{00000000-0005-0000-0000-000000290000}"/>
    <cellStyle name="40% - Accent1 5 2 4 2" xfId="8920" xr:uid="{00000000-0005-0000-0000-000001290000}"/>
    <cellStyle name="40% - Accent1 5 2 4 2 2" xfId="8921" xr:uid="{00000000-0005-0000-0000-000002290000}"/>
    <cellStyle name="40% - Accent1 5 2 4 2 2 2" xfId="8922" xr:uid="{00000000-0005-0000-0000-000003290000}"/>
    <cellStyle name="40% - Accent1 5 2 4 2 3" xfId="8923" xr:uid="{00000000-0005-0000-0000-000004290000}"/>
    <cellStyle name="40% - Accent1 5 2 4 2 4" xfId="8924" xr:uid="{00000000-0005-0000-0000-000005290000}"/>
    <cellStyle name="40% - Accent1 5 2 4 2 5" xfId="37908" xr:uid="{00000000-0005-0000-0000-000006290000}"/>
    <cellStyle name="40% - Accent1 5 2 4 3" xfId="8925" xr:uid="{00000000-0005-0000-0000-000007290000}"/>
    <cellStyle name="40% - Accent1 5 2 4 3 2" xfId="8926" xr:uid="{00000000-0005-0000-0000-000008290000}"/>
    <cellStyle name="40% - Accent1 5 2 4 4" xfId="8927" xr:uid="{00000000-0005-0000-0000-000009290000}"/>
    <cellStyle name="40% - Accent1 5 2 4 5" xfId="8928" xr:uid="{00000000-0005-0000-0000-00000A290000}"/>
    <cellStyle name="40% - Accent1 5 2 4 6" xfId="37907" xr:uid="{00000000-0005-0000-0000-00000B290000}"/>
    <cellStyle name="40% - Accent1 5 2 5" xfId="8929" xr:uid="{00000000-0005-0000-0000-00000C290000}"/>
    <cellStyle name="40% - Accent1 5 2 5 2" xfId="8930" xr:uid="{00000000-0005-0000-0000-00000D290000}"/>
    <cellStyle name="40% - Accent1 5 2 5 2 2" xfId="8931" xr:uid="{00000000-0005-0000-0000-00000E290000}"/>
    <cellStyle name="40% - Accent1 5 2 5 2 2 2" xfId="8932" xr:uid="{00000000-0005-0000-0000-00000F290000}"/>
    <cellStyle name="40% - Accent1 5 2 5 2 3" xfId="8933" xr:uid="{00000000-0005-0000-0000-000010290000}"/>
    <cellStyle name="40% - Accent1 5 2 5 2 4" xfId="8934" xr:uid="{00000000-0005-0000-0000-000011290000}"/>
    <cellStyle name="40% - Accent1 5 2 5 2 5" xfId="37910" xr:uid="{00000000-0005-0000-0000-000012290000}"/>
    <cellStyle name="40% - Accent1 5 2 5 3" xfId="8935" xr:uid="{00000000-0005-0000-0000-000013290000}"/>
    <cellStyle name="40% - Accent1 5 2 5 3 2" xfId="8936" xr:uid="{00000000-0005-0000-0000-000014290000}"/>
    <cellStyle name="40% - Accent1 5 2 5 4" xfId="8937" xr:uid="{00000000-0005-0000-0000-000015290000}"/>
    <cellStyle name="40% - Accent1 5 2 5 5" xfId="8938" xr:uid="{00000000-0005-0000-0000-000016290000}"/>
    <cellStyle name="40% - Accent1 5 2 5 6" xfId="37909" xr:uid="{00000000-0005-0000-0000-000017290000}"/>
    <cellStyle name="40% - Accent1 5 2 6" xfId="8939" xr:uid="{00000000-0005-0000-0000-000018290000}"/>
    <cellStyle name="40% - Accent1 5 2 6 2" xfId="8940" xr:uid="{00000000-0005-0000-0000-000019290000}"/>
    <cellStyle name="40% - Accent1 5 2 6 2 2" xfId="8941" xr:uid="{00000000-0005-0000-0000-00001A290000}"/>
    <cellStyle name="40% - Accent1 5 2 6 3" xfId="8942" xr:uid="{00000000-0005-0000-0000-00001B290000}"/>
    <cellStyle name="40% - Accent1 5 2 6 4" xfId="8943" xr:uid="{00000000-0005-0000-0000-00001C290000}"/>
    <cellStyle name="40% - Accent1 5 2 6 5" xfId="37911" xr:uid="{00000000-0005-0000-0000-00001D290000}"/>
    <cellStyle name="40% - Accent1 5 2 7" xfId="8944" xr:uid="{00000000-0005-0000-0000-00001E290000}"/>
    <cellStyle name="40% - Accent1 5 2 7 2" xfId="8945" xr:uid="{00000000-0005-0000-0000-00001F290000}"/>
    <cellStyle name="40% - Accent1 5 2 7 2 2" xfId="8946" xr:uid="{00000000-0005-0000-0000-000020290000}"/>
    <cellStyle name="40% - Accent1 5 2 7 3" xfId="8947" xr:uid="{00000000-0005-0000-0000-000021290000}"/>
    <cellStyle name="40% - Accent1 5 2 7 4" xfId="8948" xr:uid="{00000000-0005-0000-0000-000022290000}"/>
    <cellStyle name="40% - Accent1 5 2 8" xfId="8949" xr:uid="{00000000-0005-0000-0000-000023290000}"/>
    <cellStyle name="40% - Accent1 5 2 8 2" xfId="8950" xr:uid="{00000000-0005-0000-0000-000024290000}"/>
    <cellStyle name="40% - Accent1 5 2 8 2 2" xfId="8951" xr:uid="{00000000-0005-0000-0000-000025290000}"/>
    <cellStyle name="40% - Accent1 5 2 8 3" xfId="8952" xr:uid="{00000000-0005-0000-0000-000026290000}"/>
    <cellStyle name="40% - Accent1 5 2 8 4" xfId="8953" xr:uid="{00000000-0005-0000-0000-000027290000}"/>
    <cellStyle name="40% - Accent1 5 2 9" xfId="8954" xr:uid="{00000000-0005-0000-0000-000028290000}"/>
    <cellStyle name="40% - Accent1 5 2 9 2" xfId="8955" xr:uid="{00000000-0005-0000-0000-000029290000}"/>
    <cellStyle name="40% - Accent1 5 3" xfId="8956" xr:uid="{00000000-0005-0000-0000-00002A290000}"/>
    <cellStyle name="40% - Accent1 5 3 10" xfId="8957" xr:uid="{00000000-0005-0000-0000-00002B290000}"/>
    <cellStyle name="40% - Accent1 5 3 11" xfId="34689" xr:uid="{00000000-0005-0000-0000-00002C290000}"/>
    <cellStyle name="40% - Accent1 5 3 2" xfId="8958" xr:uid="{00000000-0005-0000-0000-00002D290000}"/>
    <cellStyle name="40% - Accent1 5 3 2 10" xfId="34690" xr:uid="{00000000-0005-0000-0000-00002E290000}"/>
    <cellStyle name="40% - Accent1 5 3 2 2" xfId="8959" xr:uid="{00000000-0005-0000-0000-00002F290000}"/>
    <cellStyle name="40% - Accent1 5 3 2 2 2" xfId="8960" xr:uid="{00000000-0005-0000-0000-000030290000}"/>
    <cellStyle name="40% - Accent1 5 3 2 2 2 2" xfId="8961" xr:uid="{00000000-0005-0000-0000-000031290000}"/>
    <cellStyle name="40% - Accent1 5 3 2 2 2 2 2" xfId="8962" xr:uid="{00000000-0005-0000-0000-000032290000}"/>
    <cellStyle name="40% - Accent1 5 3 2 2 2 3" xfId="8963" xr:uid="{00000000-0005-0000-0000-000033290000}"/>
    <cellStyle name="40% - Accent1 5 3 2 2 2 4" xfId="8964" xr:uid="{00000000-0005-0000-0000-000034290000}"/>
    <cellStyle name="40% - Accent1 5 3 2 2 2 5" xfId="37913" xr:uid="{00000000-0005-0000-0000-000035290000}"/>
    <cellStyle name="40% - Accent1 5 3 2 2 3" xfId="8965" xr:uid="{00000000-0005-0000-0000-000036290000}"/>
    <cellStyle name="40% - Accent1 5 3 2 2 3 2" xfId="8966" xr:uid="{00000000-0005-0000-0000-000037290000}"/>
    <cellStyle name="40% - Accent1 5 3 2 2 4" xfId="8967" xr:uid="{00000000-0005-0000-0000-000038290000}"/>
    <cellStyle name="40% - Accent1 5 3 2 2 5" xfId="8968" xr:uid="{00000000-0005-0000-0000-000039290000}"/>
    <cellStyle name="40% - Accent1 5 3 2 2 6" xfId="37912" xr:uid="{00000000-0005-0000-0000-00003A290000}"/>
    <cellStyle name="40% - Accent1 5 3 2 3" xfId="8969" xr:uid="{00000000-0005-0000-0000-00003B290000}"/>
    <cellStyle name="40% - Accent1 5 3 2 3 2" xfId="8970" xr:uid="{00000000-0005-0000-0000-00003C290000}"/>
    <cellStyle name="40% - Accent1 5 3 2 3 2 2" xfId="8971" xr:uid="{00000000-0005-0000-0000-00003D290000}"/>
    <cellStyle name="40% - Accent1 5 3 2 3 2 2 2" xfId="8972" xr:uid="{00000000-0005-0000-0000-00003E290000}"/>
    <cellStyle name="40% - Accent1 5 3 2 3 2 3" xfId="8973" xr:uid="{00000000-0005-0000-0000-00003F290000}"/>
    <cellStyle name="40% - Accent1 5 3 2 3 2 4" xfId="8974" xr:uid="{00000000-0005-0000-0000-000040290000}"/>
    <cellStyle name="40% - Accent1 5 3 2 3 2 5" xfId="37915" xr:uid="{00000000-0005-0000-0000-000041290000}"/>
    <cellStyle name="40% - Accent1 5 3 2 3 3" xfId="8975" xr:uid="{00000000-0005-0000-0000-000042290000}"/>
    <cellStyle name="40% - Accent1 5 3 2 3 3 2" xfId="8976" xr:uid="{00000000-0005-0000-0000-000043290000}"/>
    <cellStyle name="40% - Accent1 5 3 2 3 4" xfId="8977" xr:uid="{00000000-0005-0000-0000-000044290000}"/>
    <cellStyle name="40% - Accent1 5 3 2 3 5" xfId="8978" xr:uid="{00000000-0005-0000-0000-000045290000}"/>
    <cellStyle name="40% - Accent1 5 3 2 3 6" xfId="37914" xr:uid="{00000000-0005-0000-0000-000046290000}"/>
    <cellStyle name="40% - Accent1 5 3 2 4" xfId="8979" xr:uid="{00000000-0005-0000-0000-000047290000}"/>
    <cellStyle name="40% - Accent1 5 3 2 4 2" xfId="8980" xr:uid="{00000000-0005-0000-0000-000048290000}"/>
    <cellStyle name="40% - Accent1 5 3 2 4 2 2" xfId="8981" xr:uid="{00000000-0005-0000-0000-000049290000}"/>
    <cellStyle name="40% - Accent1 5 3 2 4 3" xfId="8982" xr:uid="{00000000-0005-0000-0000-00004A290000}"/>
    <cellStyle name="40% - Accent1 5 3 2 4 4" xfId="8983" xr:uid="{00000000-0005-0000-0000-00004B290000}"/>
    <cellStyle name="40% - Accent1 5 3 2 4 5" xfId="37916" xr:uid="{00000000-0005-0000-0000-00004C290000}"/>
    <cellStyle name="40% - Accent1 5 3 2 5" xfId="8984" xr:uid="{00000000-0005-0000-0000-00004D290000}"/>
    <cellStyle name="40% - Accent1 5 3 2 5 2" xfId="8985" xr:uid="{00000000-0005-0000-0000-00004E290000}"/>
    <cellStyle name="40% - Accent1 5 3 2 5 2 2" xfId="8986" xr:uid="{00000000-0005-0000-0000-00004F290000}"/>
    <cellStyle name="40% - Accent1 5 3 2 5 3" xfId="8987" xr:uid="{00000000-0005-0000-0000-000050290000}"/>
    <cellStyle name="40% - Accent1 5 3 2 5 4" xfId="8988" xr:uid="{00000000-0005-0000-0000-000051290000}"/>
    <cellStyle name="40% - Accent1 5 3 2 6" xfId="8989" xr:uid="{00000000-0005-0000-0000-000052290000}"/>
    <cellStyle name="40% - Accent1 5 3 2 6 2" xfId="8990" xr:uid="{00000000-0005-0000-0000-000053290000}"/>
    <cellStyle name="40% - Accent1 5 3 2 6 2 2" xfId="8991" xr:uid="{00000000-0005-0000-0000-000054290000}"/>
    <cellStyle name="40% - Accent1 5 3 2 6 3" xfId="8992" xr:uid="{00000000-0005-0000-0000-000055290000}"/>
    <cellStyle name="40% - Accent1 5 3 2 6 4" xfId="8993" xr:uid="{00000000-0005-0000-0000-000056290000}"/>
    <cellStyle name="40% - Accent1 5 3 2 7" xfId="8994" xr:uid="{00000000-0005-0000-0000-000057290000}"/>
    <cellStyle name="40% - Accent1 5 3 2 7 2" xfId="8995" xr:uid="{00000000-0005-0000-0000-000058290000}"/>
    <cellStyle name="40% - Accent1 5 3 2 8" xfId="8996" xr:uid="{00000000-0005-0000-0000-000059290000}"/>
    <cellStyle name="40% - Accent1 5 3 2 9" xfId="8997" xr:uid="{00000000-0005-0000-0000-00005A290000}"/>
    <cellStyle name="40% - Accent1 5 3 3" xfId="8998" xr:uid="{00000000-0005-0000-0000-00005B290000}"/>
    <cellStyle name="40% - Accent1 5 3 3 2" xfId="8999" xr:uid="{00000000-0005-0000-0000-00005C290000}"/>
    <cellStyle name="40% - Accent1 5 3 3 2 2" xfId="9000" xr:uid="{00000000-0005-0000-0000-00005D290000}"/>
    <cellStyle name="40% - Accent1 5 3 3 2 2 2" xfId="9001" xr:uid="{00000000-0005-0000-0000-00005E290000}"/>
    <cellStyle name="40% - Accent1 5 3 3 2 3" xfId="9002" xr:uid="{00000000-0005-0000-0000-00005F290000}"/>
    <cellStyle name="40% - Accent1 5 3 3 2 4" xfId="9003" xr:uid="{00000000-0005-0000-0000-000060290000}"/>
    <cellStyle name="40% - Accent1 5 3 3 2 5" xfId="37918" xr:uid="{00000000-0005-0000-0000-000061290000}"/>
    <cellStyle name="40% - Accent1 5 3 3 3" xfId="9004" xr:uid="{00000000-0005-0000-0000-000062290000}"/>
    <cellStyle name="40% - Accent1 5 3 3 3 2" xfId="9005" xr:uid="{00000000-0005-0000-0000-000063290000}"/>
    <cellStyle name="40% - Accent1 5 3 3 4" xfId="9006" xr:uid="{00000000-0005-0000-0000-000064290000}"/>
    <cellStyle name="40% - Accent1 5 3 3 5" xfId="9007" xr:uid="{00000000-0005-0000-0000-000065290000}"/>
    <cellStyle name="40% - Accent1 5 3 3 6" xfId="37917" xr:uid="{00000000-0005-0000-0000-000066290000}"/>
    <cellStyle name="40% - Accent1 5 3 4" xfId="9008" xr:uid="{00000000-0005-0000-0000-000067290000}"/>
    <cellStyle name="40% - Accent1 5 3 4 2" xfId="9009" xr:uid="{00000000-0005-0000-0000-000068290000}"/>
    <cellStyle name="40% - Accent1 5 3 4 2 2" xfId="9010" xr:uid="{00000000-0005-0000-0000-000069290000}"/>
    <cellStyle name="40% - Accent1 5 3 4 2 2 2" xfId="9011" xr:uid="{00000000-0005-0000-0000-00006A290000}"/>
    <cellStyle name="40% - Accent1 5 3 4 2 3" xfId="9012" xr:uid="{00000000-0005-0000-0000-00006B290000}"/>
    <cellStyle name="40% - Accent1 5 3 4 2 4" xfId="9013" xr:uid="{00000000-0005-0000-0000-00006C290000}"/>
    <cellStyle name="40% - Accent1 5 3 4 2 5" xfId="37920" xr:uid="{00000000-0005-0000-0000-00006D290000}"/>
    <cellStyle name="40% - Accent1 5 3 4 3" xfId="9014" xr:uid="{00000000-0005-0000-0000-00006E290000}"/>
    <cellStyle name="40% - Accent1 5 3 4 3 2" xfId="9015" xr:uid="{00000000-0005-0000-0000-00006F290000}"/>
    <cellStyle name="40% - Accent1 5 3 4 4" xfId="9016" xr:uid="{00000000-0005-0000-0000-000070290000}"/>
    <cellStyle name="40% - Accent1 5 3 4 5" xfId="9017" xr:uid="{00000000-0005-0000-0000-000071290000}"/>
    <cellStyle name="40% - Accent1 5 3 4 6" xfId="37919" xr:uid="{00000000-0005-0000-0000-000072290000}"/>
    <cellStyle name="40% - Accent1 5 3 5" xfId="9018" xr:uid="{00000000-0005-0000-0000-000073290000}"/>
    <cellStyle name="40% - Accent1 5 3 5 2" xfId="9019" xr:uid="{00000000-0005-0000-0000-000074290000}"/>
    <cellStyle name="40% - Accent1 5 3 5 2 2" xfId="9020" xr:uid="{00000000-0005-0000-0000-000075290000}"/>
    <cellStyle name="40% - Accent1 5 3 5 3" xfId="9021" xr:uid="{00000000-0005-0000-0000-000076290000}"/>
    <cellStyle name="40% - Accent1 5 3 5 4" xfId="9022" xr:uid="{00000000-0005-0000-0000-000077290000}"/>
    <cellStyle name="40% - Accent1 5 3 5 5" xfId="37921" xr:uid="{00000000-0005-0000-0000-000078290000}"/>
    <cellStyle name="40% - Accent1 5 3 6" xfId="9023" xr:uid="{00000000-0005-0000-0000-000079290000}"/>
    <cellStyle name="40% - Accent1 5 3 6 2" xfId="9024" xr:uid="{00000000-0005-0000-0000-00007A290000}"/>
    <cellStyle name="40% - Accent1 5 3 6 2 2" xfId="9025" xr:uid="{00000000-0005-0000-0000-00007B290000}"/>
    <cellStyle name="40% - Accent1 5 3 6 3" xfId="9026" xr:uid="{00000000-0005-0000-0000-00007C290000}"/>
    <cellStyle name="40% - Accent1 5 3 6 4" xfId="9027" xr:uid="{00000000-0005-0000-0000-00007D290000}"/>
    <cellStyle name="40% - Accent1 5 3 7" xfId="9028" xr:uid="{00000000-0005-0000-0000-00007E290000}"/>
    <cellStyle name="40% - Accent1 5 3 7 2" xfId="9029" xr:uid="{00000000-0005-0000-0000-00007F290000}"/>
    <cellStyle name="40% - Accent1 5 3 7 2 2" xfId="9030" xr:uid="{00000000-0005-0000-0000-000080290000}"/>
    <cellStyle name="40% - Accent1 5 3 7 3" xfId="9031" xr:uid="{00000000-0005-0000-0000-000081290000}"/>
    <cellStyle name="40% - Accent1 5 3 7 4" xfId="9032" xr:uid="{00000000-0005-0000-0000-000082290000}"/>
    <cellStyle name="40% - Accent1 5 3 8" xfId="9033" xr:uid="{00000000-0005-0000-0000-000083290000}"/>
    <cellStyle name="40% - Accent1 5 3 8 2" xfId="9034" xr:uid="{00000000-0005-0000-0000-000084290000}"/>
    <cellStyle name="40% - Accent1 5 3 9" xfId="9035" xr:uid="{00000000-0005-0000-0000-000085290000}"/>
    <cellStyle name="40% - Accent1 5 4" xfId="9036" xr:uid="{00000000-0005-0000-0000-000086290000}"/>
    <cellStyle name="40% - Accent1 5 4 10" xfId="34691" xr:uid="{00000000-0005-0000-0000-000087290000}"/>
    <cellStyle name="40% - Accent1 5 4 2" xfId="9037" xr:uid="{00000000-0005-0000-0000-000088290000}"/>
    <cellStyle name="40% - Accent1 5 4 2 2" xfId="9038" xr:uid="{00000000-0005-0000-0000-000089290000}"/>
    <cellStyle name="40% - Accent1 5 4 2 2 2" xfId="9039" xr:uid="{00000000-0005-0000-0000-00008A290000}"/>
    <cellStyle name="40% - Accent1 5 4 2 2 2 2" xfId="9040" xr:uid="{00000000-0005-0000-0000-00008B290000}"/>
    <cellStyle name="40% - Accent1 5 4 2 2 3" xfId="9041" xr:uid="{00000000-0005-0000-0000-00008C290000}"/>
    <cellStyle name="40% - Accent1 5 4 2 2 4" xfId="9042" xr:uid="{00000000-0005-0000-0000-00008D290000}"/>
    <cellStyle name="40% - Accent1 5 4 2 2 5" xfId="37923" xr:uid="{00000000-0005-0000-0000-00008E290000}"/>
    <cellStyle name="40% - Accent1 5 4 2 3" xfId="9043" xr:uid="{00000000-0005-0000-0000-00008F290000}"/>
    <cellStyle name="40% - Accent1 5 4 2 3 2" xfId="9044" xr:uid="{00000000-0005-0000-0000-000090290000}"/>
    <cellStyle name="40% - Accent1 5 4 2 4" xfId="9045" xr:uid="{00000000-0005-0000-0000-000091290000}"/>
    <cellStyle name="40% - Accent1 5 4 2 5" xfId="9046" xr:uid="{00000000-0005-0000-0000-000092290000}"/>
    <cellStyle name="40% - Accent1 5 4 2 6" xfId="37922" xr:uid="{00000000-0005-0000-0000-000093290000}"/>
    <cellStyle name="40% - Accent1 5 4 3" xfId="9047" xr:uid="{00000000-0005-0000-0000-000094290000}"/>
    <cellStyle name="40% - Accent1 5 4 3 2" xfId="9048" xr:uid="{00000000-0005-0000-0000-000095290000}"/>
    <cellStyle name="40% - Accent1 5 4 3 2 2" xfId="9049" xr:uid="{00000000-0005-0000-0000-000096290000}"/>
    <cellStyle name="40% - Accent1 5 4 3 2 2 2" xfId="9050" xr:uid="{00000000-0005-0000-0000-000097290000}"/>
    <cellStyle name="40% - Accent1 5 4 3 2 3" xfId="9051" xr:uid="{00000000-0005-0000-0000-000098290000}"/>
    <cellStyle name="40% - Accent1 5 4 3 2 4" xfId="9052" xr:uid="{00000000-0005-0000-0000-000099290000}"/>
    <cellStyle name="40% - Accent1 5 4 3 2 5" xfId="37925" xr:uid="{00000000-0005-0000-0000-00009A290000}"/>
    <cellStyle name="40% - Accent1 5 4 3 3" xfId="9053" xr:uid="{00000000-0005-0000-0000-00009B290000}"/>
    <cellStyle name="40% - Accent1 5 4 3 3 2" xfId="9054" xr:uid="{00000000-0005-0000-0000-00009C290000}"/>
    <cellStyle name="40% - Accent1 5 4 3 4" xfId="9055" xr:uid="{00000000-0005-0000-0000-00009D290000}"/>
    <cellStyle name="40% - Accent1 5 4 3 5" xfId="9056" xr:uid="{00000000-0005-0000-0000-00009E290000}"/>
    <cellStyle name="40% - Accent1 5 4 3 6" xfId="37924" xr:uid="{00000000-0005-0000-0000-00009F290000}"/>
    <cellStyle name="40% - Accent1 5 4 4" xfId="9057" xr:uid="{00000000-0005-0000-0000-0000A0290000}"/>
    <cellStyle name="40% - Accent1 5 4 4 2" xfId="9058" xr:uid="{00000000-0005-0000-0000-0000A1290000}"/>
    <cellStyle name="40% - Accent1 5 4 4 2 2" xfId="9059" xr:uid="{00000000-0005-0000-0000-0000A2290000}"/>
    <cellStyle name="40% - Accent1 5 4 4 3" xfId="9060" xr:uid="{00000000-0005-0000-0000-0000A3290000}"/>
    <cellStyle name="40% - Accent1 5 4 4 4" xfId="9061" xr:uid="{00000000-0005-0000-0000-0000A4290000}"/>
    <cellStyle name="40% - Accent1 5 4 4 5" xfId="37926" xr:uid="{00000000-0005-0000-0000-0000A5290000}"/>
    <cellStyle name="40% - Accent1 5 4 5" xfId="9062" xr:uid="{00000000-0005-0000-0000-0000A6290000}"/>
    <cellStyle name="40% - Accent1 5 4 5 2" xfId="9063" xr:uid="{00000000-0005-0000-0000-0000A7290000}"/>
    <cellStyle name="40% - Accent1 5 4 5 2 2" xfId="9064" xr:uid="{00000000-0005-0000-0000-0000A8290000}"/>
    <cellStyle name="40% - Accent1 5 4 5 3" xfId="9065" xr:uid="{00000000-0005-0000-0000-0000A9290000}"/>
    <cellStyle name="40% - Accent1 5 4 5 4" xfId="9066" xr:uid="{00000000-0005-0000-0000-0000AA290000}"/>
    <cellStyle name="40% - Accent1 5 4 6" xfId="9067" xr:uid="{00000000-0005-0000-0000-0000AB290000}"/>
    <cellStyle name="40% - Accent1 5 4 6 2" xfId="9068" xr:uid="{00000000-0005-0000-0000-0000AC290000}"/>
    <cellStyle name="40% - Accent1 5 4 6 2 2" xfId="9069" xr:uid="{00000000-0005-0000-0000-0000AD290000}"/>
    <cellStyle name="40% - Accent1 5 4 6 3" xfId="9070" xr:uid="{00000000-0005-0000-0000-0000AE290000}"/>
    <cellStyle name="40% - Accent1 5 4 6 4" xfId="9071" xr:uid="{00000000-0005-0000-0000-0000AF290000}"/>
    <cellStyle name="40% - Accent1 5 4 7" xfId="9072" xr:uid="{00000000-0005-0000-0000-0000B0290000}"/>
    <cellStyle name="40% - Accent1 5 4 7 2" xfId="9073" xr:uid="{00000000-0005-0000-0000-0000B1290000}"/>
    <cellStyle name="40% - Accent1 5 4 8" xfId="9074" xr:uid="{00000000-0005-0000-0000-0000B2290000}"/>
    <cellStyle name="40% - Accent1 5 4 9" xfId="9075" xr:uid="{00000000-0005-0000-0000-0000B3290000}"/>
    <cellStyle name="40% - Accent1 5 5" xfId="9076" xr:uid="{00000000-0005-0000-0000-0000B4290000}"/>
    <cellStyle name="40% - Accent1 5 5 2" xfId="9077" xr:uid="{00000000-0005-0000-0000-0000B5290000}"/>
    <cellStyle name="40% - Accent1 5 5 2 2" xfId="9078" xr:uid="{00000000-0005-0000-0000-0000B6290000}"/>
    <cellStyle name="40% - Accent1 5 5 2 2 2" xfId="9079" xr:uid="{00000000-0005-0000-0000-0000B7290000}"/>
    <cellStyle name="40% - Accent1 5 5 2 3" xfId="9080" xr:uid="{00000000-0005-0000-0000-0000B8290000}"/>
    <cellStyle name="40% - Accent1 5 5 2 4" xfId="9081" xr:uid="{00000000-0005-0000-0000-0000B9290000}"/>
    <cellStyle name="40% - Accent1 5 5 2 5" xfId="37928" xr:uid="{00000000-0005-0000-0000-0000BA290000}"/>
    <cellStyle name="40% - Accent1 5 5 3" xfId="9082" xr:uid="{00000000-0005-0000-0000-0000BB290000}"/>
    <cellStyle name="40% - Accent1 5 5 3 2" xfId="9083" xr:uid="{00000000-0005-0000-0000-0000BC290000}"/>
    <cellStyle name="40% - Accent1 5 5 3 2 2" xfId="9084" xr:uid="{00000000-0005-0000-0000-0000BD290000}"/>
    <cellStyle name="40% - Accent1 5 5 3 3" xfId="9085" xr:uid="{00000000-0005-0000-0000-0000BE290000}"/>
    <cellStyle name="40% - Accent1 5 5 3 4" xfId="9086" xr:uid="{00000000-0005-0000-0000-0000BF290000}"/>
    <cellStyle name="40% - Accent1 5 5 3 5" xfId="37929" xr:uid="{00000000-0005-0000-0000-0000C0290000}"/>
    <cellStyle name="40% - Accent1 5 5 4" xfId="9087" xr:uid="{00000000-0005-0000-0000-0000C1290000}"/>
    <cellStyle name="40% - Accent1 5 5 4 2" xfId="9088" xr:uid="{00000000-0005-0000-0000-0000C2290000}"/>
    <cellStyle name="40% - Accent1 5 5 5" xfId="9089" xr:uid="{00000000-0005-0000-0000-0000C3290000}"/>
    <cellStyle name="40% - Accent1 5 5 6" xfId="9090" xr:uid="{00000000-0005-0000-0000-0000C4290000}"/>
    <cellStyle name="40% - Accent1 5 5 7" xfId="37927" xr:uid="{00000000-0005-0000-0000-0000C5290000}"/>
    <cellStyle name="40% - Accent1 5 6" xfId="9091" xr:uid="{00000000-0005-0000-0000-0000C6290000}"/>
    <cellStyle name="40% - Accent1 5 6 2" xfId="9092" xr:uid="{00000000-0005-0000-0000-0000C7290000}"/>
    <cellStyle name="40% - Accent1 5 6 2 2" xfId="9093" xr:uid="{00000000-0005-0000-0000-0000C8290000}"/>
    <cellStyle name="40% - Accent1 5 6 2 2 2" xfId="9094" xr:uid="{00000000-0005-0000-0000-0000C9290000}"/>
    <cellStyle name="40% - Accent1 5 6 2 3" xfId="9095" xr:uid="{00000000-0005-0000-0000-0000CA290000}"/>
    <cellStyle name="40% - Accent1 5 6 2 4" xfId="9096" xr:uid="{00000000-0005-0000-0000-0000CB290000}"/>
    <cellStyle name="40% - Accent1 5 6 2 5" xfId="37931" xr:uid="{00000000-0005-0000-0000-0000CC290000}"/>
    <cellStyle name="40% - Accent1 5 6 3" xfId="9097" xr:uid="{00000000-0005-0000-0000-0000CD290000}"/>
    <cellStyle name="40% - Accent1 5 6 3 2" xfId="9098" xr:uid="{00000000-0005-0000-0000-0000CE290000}"/>
    <cellStyle name="40% - Accent1 5 6 4" xfId="9099" xr:uid="{00000000-0005-0000-0000-0000CF290000}"/>
    <cellStyle name="40% - Accent1 5 6 5" xfId="9100" xr:uid="{00000000-0005-0000-0000-0000D0290000}"/>
    <cellStyle name="40% - Accent1 5 6 6" xfId="37930" xr:uid="{00000000-0005-0000-0000-0000D1290000}"/>
    <cellStyle name="40% - Accent1 5 7" xfId="9101" xr:uid="{00000000-0005-0000-0000-0000D2290000}"/>
    <cellStyle name="40% - Accent1 5 7 2" xfId="9102" xr:uid="{00000000-0005-0000-0000-0000D3290000}"/>
    <cellStyle name="40% - Accent1 5 7 2 2" xfId="9103" xr:uid="{00000000-0005-0000-0000-0000D4290000}"/>
    <cellStyle name="40% - Accent1 5 7 3" xfId="9104" xr:uid="{00000000-0005-0000-0000-0000D5290000}"/>
    <cellStyle name="40% - Accent1 5 7 4" xfId="9105" xr:uid="{00000000-0005-0000-0000-0000D6290000}"/>
    <cellStyle name="40% - Accent1 5 7 5" xfId="37932" xr:uid="{00000000-0005-0000-0000-0000D7290000}"/>
    <cellStyle name="40% - Accent1 5 8" xfId="9106" xr:uid="{00000000-0005-0000-0000-0000D8290000}"/>
    <cellStyle name="40% - Accent1 5 8 2" xfId="9107" xr:uid="{00000000-0005-0000-0000-0000D9290000}"/>
    <cellStyle name="40% - Accent1 5 8 2 2" xfId="9108" xr:uid="{00000000-0005-0000-0000-0000DA290000}"/>
    <cellStyle name="40% - Accent1 5 8 3" xfId="9109" xr:uid="{00000000-0005-0000-0000-0000DB290000}"/>
    <cellStyle name="40% - Accent1 5 8 4" xfId="9110" xr:uid="{00000000-0005-0000-0000-0000DC290000}"/>
    <cellStyle name="40% - Accent1 5 9" xfId="9111" xr:uid="{00000000-0005-0000-0000-0000DD290000}"/>
    <cellStyle name="40% - Accent1 5 9 2" xfId="9112" xr:uid="{00000000-0005-0000-0000-0000DE290000}"/>
    <cellStyle name="40% - Accent1 5 9 2 2" xfId="9113" xr:uid="{00000000-0005-0000-0000-0000DF290000}"/>
    <cellStyle name="40% - Accent1 5 9 3" xfId="9114" xr:uid="{00000000-0005-0000-0000-0000E0290000}"/>
    <cellStyle name="40% - Accent1 5 9 4" xfId="9115" xr:uid="{00000000-0005-0000-0000-0000E1290000}"/>
    <cellStyle name="40% - Accent1 6" xfId="9116" xr:uid="{00000000-0005-0000-0000-0000E2290000}"/>
    <cellStyle name="40% - Accent1 7" xfId="9117" xr:uid="{00000000-0005-0000-0000-0000E3290000}"/>
    <cellStyle name="40% - Accent1 8" xfId="9118" xr:uid="{00000000-0005-0000-0000-0000E4290000}"/>
    <cellStyle name="40% - Accent1 9" xfId="9119" xr:uid="{00000000-0005-0000-0000-0000E5290000}"/>
    <cellStyle name="40% - Accent1 9 2" xfId="9120" xr:uid="{00000000-0005-0000-0000-0000E6290000}"/>
    <cellStyle name="40% - Accent1 9 2 2" xfId="9121" xr:uid="{00000000-0005-0000-0000-0000E7290000}"/>
    <cellStyle name="40% - Accent1 9 3" xfId="9122" xr:uid="{00000000-0005-0000-0000-0000E8290000}"/>
    <cellStyle name="40% - Accent1 9 4" xfId="9123" xr:uid="{00000000-0005-0000-0000-0000E9290000}"/>
    <cellStyle name="40% - Accent1 9 5" xfId="37933" xr:uid="{00000000-0005-0000-0000-0000EA290000}"/>
    <cellStyle name="40% - Accent2 2" xfId="9124" xr:uid="{00000000-0005-0000-0000-0000EB290000}"/>
    <cellStyle name="40% - Accent2 2 10" xfId="9125" xr:uid="{00000000-0005-0000-0000-0000EC290000}"/>
    <cellStyle name="40% - Accent2 2 11" xfId="9126" xr:uid="{00000000-0005-0000-0000-0000ED290000}"/>
    <cellStyle name="40% - Accent2 2 12" xfId="41862" xr:uid="{67CF75A8-D368-484F-A7E9-480C93D0F45F}"/>
    <cellStyle name="40% - Accent2 2 2" xfId="9127" xr:uid="{00000000-0005-0000-0000-0000EE290000}"/>
    <cellStyle name="40% - Accent2 2 2 2" xfId="9128" xr:uid="{00000000-0005-0000-0000-0000EF290000}"/>
    <cellStyle name="40% - Accent2 2 3" xfId="9129" xr:uid="{00000000-0005-0000-0000-0000F0290000}"/>
    <cellStyle name="40% - Accent2 2 3 10" xfId="9130" xr:uid="{00000000-0005-0000-0000-0000F1290000}"/>
    <cellStyle name="40% - Accent2 2 3 11" xfId="9131" xr:uid="{00000000-0005-0000-0000-0000F2290000}"/>
    <cellStyle name="40% - Accent2 2 3 12" xfId="34692" xr:uid="{00000000-0005-0000-0000-0000F3290000}"/>
    <cellStyle name="40% - Accent2 2 3 2" xfId="9132" xr:uid="{00000000-0005-0000-0000-0000F4290000}"/>
    <cellStyle name="40% - Accent2 2 3 2 10" xfId="9133" xr:uid="{00000000-0005-0000-0000-0000F5290000}"/>
    <cellStyle name="40% - Accent2 2 3 2 11" xfId="34693" xr:uid="{00000000-0005-0000-0000-0000F6290000}"/>
    <cellStyle name="40% - Accent2 2 3 2 2" xfId="9134" xr:uid="{00000000-0005-0000-0000-0000F7290000}"/>
    <cellStyle name="40% - Accent2 2 3 2 2 10" xfId="34694" xr:uid="{00000000-0005-0000-0000-0000F8290000}"/>
    <cellStyle name="40% - Accent2 2 3 2 2 2" xfId="9135" xr:uid="{00000000-0005-0000-0000-0000F9290000}"/>
    <cellStyle name="40% - Accent2 2 3 2 2 2 2" xfId="9136" xr:uid="{00000000-0005-0000-0000-0000FA290000}"/>
    <cellStyle name="40% - Accent2 2 3 2 2 2 2 2" xfId="9137" xr:uid="{00000000-0005-0000-0000-0000FB290000}"/>
    <cellStyle name="40% - Accent2 2 3 2 2 2 2 2 2" xfId="9138" xr:uid="{00000000-0005-0000-0000-0000FC290000}"/>
    <cellStyle name="40% - Accent2 2 3 2 2 2 2 3" xfId="9139" xr:uid="{00000000-0005-0000-0000-0000FD290000}"/>
    <cellStyle name="40% - Accent2 2 3 2 2 2 2 4" xfId="9140" xr:uid="{00000000-0005-0000-0000-0000FE290000}"/>
    <cellStyle name="40% - Accent2 2 3 2 2 2 2 5" xfId="37935" xr:uid="{00000000-0005-0000-0000-0000FF290000}"/>
    <cellStyle name="40% - Accent2 2 3 2 2 2 3" xfId="9141" xr:uid="{00000000-0005-0000-0000-0000002A0000}"/>
    <cellStyle name="40% - Accent2 2 3 2 2 2 3 2" xfId="9142" xr:uid="{00000000-0005-0000-0000-0000012A0000}"/>
    <cellStyle name="40% - Accent2 2 3 2 2 2 4" xfId="9143" xr:uid="{00000000-0005-0000-0000-0000022A0000}"/>
    <cellStyle name="40% - Accent2 2 3 2 2 2 5" xfId="9144" xr:uid="{00000000-0005-0000-0000-0000032A0000}"/>
    <cellStyle name="40% - Accent2 2 3 2 2 2 6" xfId="37934" xr:uid="{00000000-0005-0000-0000-0000042A0000}"/>
    <cellStyle name="40% - Accent2 2 3 2 2 3" xfId="9145" xr:uid="{00000000-0005-0000-0000-0000052A0000}"/>
    <cellStyle name="40% - Accent2 2 3 2 2 3 2" xfId="9146" xr:uid="{00000000-0005-0000-0000-0000062A0000}"/>
    <cellStyle name="40% - Accent2 2 3 2 2 3 2 2" xfId="9147" xr:uid="{00000000-0005-0000-0000-0000072A0000}"/>
    <cellStyle name="40% - Accent2 2 3 2 2 3 2 2 2" xfId="9148" xr:uid="{00000000-0005-0000-0000-0000082A0000}"/>
    <cellStyle name="40% - Accent2 2 3 2 2 3 2 3" xfId="9149" xr:uid="{00000000-0005-0000-0000-0000092A0000}"/>
    <cellStyle name="40% - Accent2 2 3 2 2 3 2 4" xfId="9150" xr:uid="{00000000-0005-0000-0000-00000A2A0000}"/>
    <cellStyle name="40% - Accent2 2 3 2 2 3 2 5" xfId="37937" xr:uid="{00000000-0005-0000-0000-00000B2A0000}"/>
    <cellStyle name="40% - Accent2 2 3 2 2 3 3" xfId="9151" xr:uid="{00000000-0005-0000-0000-00000C2A0000}"/>
    <cellStyle name="40% - Accent2 2 3 2 2 3 3 2" xfId="9152" xr:uid="{00000000-0005-0000-0000-00000D2A0000}"/>
    <cellStyle name="40% - Accent2 2 3 2 2 3 4" xfId="9153" xr:uid="{00000000-0005-0000-0000-00000E2A0000}"/>
    <cellStyle name="40% - Accent2 2 3 2 2 3 5" xfId="9154" xr:uid="{00000000-0005-0000-0000-00000F2A0000}"/>
    <cellStyle name="40% - Accent2 2 3 2 2 3 6" xfId="37936" xr:uid="{00000000-0005-0000-0000-0000102A0000}"/>
    <cellStyle name="40% - Accent2 2 3 2 2 4" xfId="9155" xr:uid="{00000000-0005-0000-0000-0000112A0000}"/>
    <cellStyle name="40% - Accent2 2 3 2 2 4 2" xfId="9156" xr:uid="{00000000-0005-0000-0000-0000122A0000}"/>
    <cellStyle name="40% - Accent2 2 3 2 2 4 2 2" xfId="9157" xr:uid="{00000000-0005-0000-0000-0000132A0000}"/>
    <cellStyle name="40% - Accent2 2 3 2 2 4 3" xfId="9158" xr:uid="{00000000-0005-0000-0000-0000142A0000}"/>
    <cellStyle name="40% - Accent2 2 3 2 2 4 4" xfId="9159" xr:uid="{00000000-0005-0000-0000-0000152A0000}"/>
    <cellStyle name="40% - Accent2 2 3 2 2 4 5" xfId="37938" xr:uid="{00000000-0005-0000-0000-0000162A0000}"/>
    <cellStyle name="40% - Accent2 2 3 2 2 5" xfId="9160" xr:uid="{00000000-0005-0000-0000-0000172A0000}"/>
    <cellStyle name="40% - Accent2 2 3 2 2 5 2" xfId="9161" xr:uid="{00000000-0005-0000-0000-0000182A0000}"/>
    <cellStyle name="40% - Accent2 2 3 2 2 5 2 2" xfId="9162" xr:uid="{00000000-0005-0000-0000-0000192A0000}"/>
    <cellStyle name="40% - Accent2 2 3 2 2 5 3" xfId="9163" xr:uid="{00000000-0005-0000-0000-00001A2A0000}"/>
    <cellStyle name="40% - Accent2 2 3 2 2 5 4" xfId="9164" xr:uid="{00000000-0005-0000-0000-00001B2A0000}"/>
    <cellStyle name="40% - Accent2 2 3 2 2 6" xfId="9165" xr:uid="{00000000-0005-0000-0000-00001C2A0000}"/>
    <cellStyle name="40% - Accent2 2 3 2 2 6 2" xfId="9166" xr:uid="{00000000-0005-0000-0000-00001D2A0000}"/>
    <cellStyle name="40% - Accent2 2 3 2 2 6 2 2" xfId="9167" xr:uid="{00000000-0005-0000-0000-00001E2A0000}"/>
    <cellStyle name="40% - Accent2 2 3 2 2 6 3" xfId="9168" xr:uid="{00000000-0005-0000-0000-00001F2A0000}"/>
    <cellStyle name="40% - Accent2 2 3 2 2 6 4" xfId="9169" xr:uid="{00000000-0005-0000-0000-0000202A0000}"/>
    <cellStyle name="40% - Accent2 2 3 2 2 7" xfId="9170" xr:uid="{00000000-0005-0000-0000-0000212A0000}"/>
    <cellStyle name="40% - Accent2 2 3 2 2 7 2" xfId="9171" xr:uid="{00000000-0005-0000-0000-0000222A0000}"/>
    <cellStyle name="40% - Accent2 2 3 2 2 8" xfId="9172" xr:uid="{00000000-0005-0000-0000-0000232A0000}"/>
    <cellStyle name="40% - Accent2 2 3 2 2 9" xfId="9173" xr:uid="{00000000-0005-0000-0000-0000242A0000}"/>
    <cellStyle name="40% - Accent2 2 3 2 3" xfId="9174" xr:uid="{00000000-0005-0000-0000-0000252A0000}"/>
    <cellStyle name="40% - Accent2 2 3 2 3 2" xfId="9175" xr:uid="{00000000-0005-0000-0000-0000262A0000}"/>
    <cellStyle name="40% - Accent2 2 3 2 3 2 2" xfId="9176" xr:uid="{00000000-0005-0000-0000-0000272A0000}"/>
    <cellStyle name="40% - Accent2 2 3 2 3 2 2 2" xfId="9177" xr:uid="{00000000-0005-0000-0000-0000282A0000}"/>
    <cellStyle name="40% - Accent2 2 3 2 3 2 3" xfId="9178" xr:uid="{00000000-0005-0000-0000-0000292A0000}"/>
    <cellStyle name="40% - Accent2 2 3 2 3 2 4" xfId="9179" xr:uid="{00000000-0005-0000-0000-00002A2A0000}"/>
    <cellStyle name="40% - Accent2 2 3 2 3 2 5" xfId="37940" xr:uid="{00000000-0005-0000-0000-00002B2A0000}"/>
    <cellStyle name="40% - Accent2 2 3 2 3 3" xfId="9180" xr:uid="{00000000-0005-0000-0000-00002C2A0000}"/>
    <cellStyle name="40% - Accent2 2 3 2 3 3 2" xfId="9181" xr:uid="{00000000-0005-0000-0000-00002D2A0000}"/>
    <cellStyle name="40% - Accent2 2 3 2 3 4" xfId="9182" xr:uid="{00000000-0005-0000-0000-00002E2A0000}"/>
    <cellStyle name="40% - Accent2 2 3 2 3 5" xfId="9183" xr:uid="{00000000-0005-0000-0000-00002F2A0000}"/>
    <cellStyle name="40% - Accent2 2 3 2 3 6" xfId="37939" xr:uid="{00000000-0005-0000-0000-0000302A0000}"/>
    <cellStyle name="40% - Accent2 2 3 2 4" xfId="9184" xr:uid="{00000000-0005-0000-0000-0000312A0000}"/>
    <cellStyle name="40% - Accent2 2 3 2 4 2" xfId="9185" xr:uid="{00000000-0005-0000-0000-0000322A0000}"/>
    <cellStyle name="40% - Accent2 2 3 2 4 2 2" xfId="9186" xr:uid="{00000000-0005-0000-0000-0000332A0000}"/>
    <cellStyle name="40% - Accent2 2 3 2 4 2 2 2" xfId="9187" xr:uid="{00000000-0005-0000-0000-0000342A0000}"/>
    <cellStyle name="40% - Accent2 2 3 2 4 2 3" xfId="9188" xr:uid="{00000000-0005-0000-0000-0000352A0000}"/>
    <cellStyle name="40% - Accent2 2 3 2 4 2 4" xfId="9189" xr:uid="{00000000-0005-0000-0000-0000362A0000}"/>
    <cellStyle name="40% - Accent2 2 3 2 4 2 5" xfId="37942" xr:uid="{00000000-0005-0000-0000-0000372A0000}"/>
    <cellStyle name="40% - Accent2 2 3 2 4 3" xfId="9190" xr:uid="{00000000-0005-0000-0000-0000382A0000}"/>
    <cellStyle name="40% - Accent2 2 3 2 4 3 2" xfId="9191" xr:uid="{00000000-0005-0000-0000-0000392A0000}"/>
    <cellStyle name="40% - Accent2 2 3 2 4 4" xfId="9192" xr:uid="{00000000-0005-0000-0000-00003A2A0000}"/>
    <cellStyle name="40% - Accent2 2 3 2 4 5" xfId="9193" xr:uid="{00000000-0005-0000-0000-00003B2A0000}"/>
    <cellStyle name="40% - Accent2 2 3 2 4 6" xfId="37941" xr:uid="{00000000-0005-0000-0000-00003C2A0000}"/>
    <cellStyle name="40% - Accent2 2 3 2 5" xfId="9194" xr:uid="{00000000-0005-0000-0000-00003D2A0000}"/>
    <cellStyle name="40% - Accent2 2 3 2 5 2" xfId="9195" xr:uid="{00000000-0005-0000-0000-00003E2A0000}"/>
    <cellStyle name="40% - Accent2 2 3 2 5 2 2" xfId="9196" xr:uid="{00000000-0005-0000-0000-00003F2A0000}"/>
    <cellStyle name="40% - Accent2 2 3 2 5 3" xfId="9197" xr:uid="{00000000-0005-0000-0000-0000402A0000}"/>
    <cellStyle name="40% - Accent2 2 3 2 5 4" xfId="9198" xr:uid="{00000000-0005-0000-0000-0000412A0000}"/>
    <cellStyle name="40% - Accent2 2 3 2 5 5" xfId="37943" xr:uid="{00000000-0005-0000-0000-0000422A0000}"/>
    <cellStyle name="40% - Accent2 2 3 2 6" xfId="9199" xr:uid="{00000000-0005-0000-0000-0000432A0000}"/>
    <cellStyle name="40% - Accent2 2 3 2 6 2" xfId="9200" xr:uid="{00000000-0005-0000-0000-0000442A0000}"/>
    <cellStyle name="40% - Accent2 2 3 2 6 2 2" xfId="9201" xr:uid="{00000000-0005-0000-0000-0000452A0000}"/>
    <cellStyle name="40% - Accent2 2 3 2 6 3" xfId="9202" xr:uid="{00000000-0005-0000-0000-0000462A0000}"/>
    <cellStyle name="40% - Accent2 2 3 2 6 4" xfId="9203" xr:uid="{00000000-0005-0000-0000-0000472A0000}"/>
    <cellStyle name="40% - Accent2 2 3 2 7" xfId="9204" xr:uid="{00000000-0005-0000-0000-0000482A0000}"/>
    <cellStyle name="40% - Accent2 2 3 2 7 2" xfId="9205" xr:uid="{00000000-0005-0000-0000-0000492A0000}"/>
    <cellStyle name="40% - Accent2 2 3 2 7 2 2" xfId="9206" xr:uid="{00000000-0005-0000-0000-00004A2A0000}"/>
    <cellStyle name="40% - Accent2 2 3 2 7 3" xfId="9207" xr:uid="{00000000-0005-0000-0000-00004B2A0000}"/>
    <cellStyle name="40% - Accent2 2 3 2 7 4" xfId="9208" xr:uid="{00000000-0005-0000-0000-00004C2A0000}"/>
    <cellStyle name="40% - Accent2 2 3 2 8" xfId="9209" xr:uid="{00000000-0005-0000-0000-00004D2A0000}"/>
    <cellStyle name="40% - Accent2 2 3 2 8 2" xfId="9210" xr:uid="{00000000-0005-0000-0000-00004E2A0000}"/>
    <cellStyle name="40% - Accent2 2 3 2 9" xfId="9211" xr:uid="{00000000-0005-0000-0000-00004F2A0000}"/>
    <cellStyle name="40% - Accent2 2 3 3" xfId="9212" xr:uid="{00000000-0005-0000-0000-0000502A0000}"/>
    <cellStyle name="40% - Accent2 2 3 3 10" xfId="34695" xr:uid="{00000000-0005-0000-0000-0000512A0000}"/>
    <cellStyle name="40% - Accent2 2 3 3 2" xfId="9213" xr:uid="{00000000-0005-0000-0000-0000522A0000}"/>
    <cellStyle name="40% - Accent2 2 3 3 2 2" xfId="9214" xr:uid="{00000000-0005-0000-0000-0000532A0000}"/>
    <cellStyle name="40% - Accent2 2 3 3 2 2 2" xfId="9215" xr:uid="{00000000-0005-0000-0000-0000542A0000}"/>
    <cellStyle name="40% - Accent2 2 3 3 2 2 2 2" xfId="9216" xr:uid="{00000000-0005-0000-0000-0000552A0000}"/>
    <cellStyle name="40% - Accent2 2 3 3 2 2 3" xfId="9217" xr:uid="{00000000-0005-0000-0000-0000562A0000}"/>
    <cellStyle name="40% - Accent2 2 3 3 2 2 4" xfId="9218" xr:uid="{00000000-0005-0000-0000-0000572A0000}"/>
    <cellStyle name="40% - Accent2 2 3 3 2 2 5" xfId="37945" xr:uid="{00000000-0005-0000-0000-0000582A0000}"/>
    <cellStyle name="40% - Accent2 2 3 3 2 3" xfId="9219" xr:uid="{00000000-0005-0000-0000-0000592A0000}"/>
    <cellStyle name="40% - Accent2 2 3 3 2 3 2" xfId="9220" xr:uid="{00000000-0005-0000-0000-00005A2A0000}"/>
    <cellStyle name="40% - Accent2 2 3 3 2 4" xfId="9221" xr:uid="{00000000-0005-0000-0000-00005B2A0000}"/>
    <cellStyle name="40% - Accent2 2 3 3 2 5" xfId="9222" xr:uid="{00000000-0005-0000-0000-00005C2A0000}"/>
    <cellStyle name="40% - Accent2 2 3 3 2 6" xfId="37944" xr:uid="{00000000-0005-0000-0000-00005D2A0000}"/>
    <cellStyle name="40% - Accent2 2 3 3 3" xfId="9223" xr:uid="{00000000-0005-0000-0000-00005E2A0000}"/>
    <cellStyle name="40% - Accent2 2 3 3 3 2" xfId="9224" xr:uid="{00000000-0005-0000-0000-00005F2A0000}"/>
    <cellStyle name="40% - Accent2 2 3 3 3 2 2" xfId="9225" xr:uid="{00000000-0005-0000-0000-0000602A0000}"/>
    <cellStyle name="40% - Accent2 2 3 3 3 2 2 2" xfId="9226" xr:uid="{00000000-0005-0000-0000-0000612A0000}"/>
    <cellStyle name="40% - Accent2 2 3 3 3 2 3" xfId="9227" xr:uid="{00000000-0005-0000-0000-0000622A0000}"/>
    <cellStyle name="40% - Accent2 2 3 3 3 2 4" xfId="9228" xr:uid="{00000000-0005-0000-0000-0000632A0000}"/>
    <cellStyle name="40% - Accent2 2 3 3 3 2 5" xfId="37947" xr:uid="{00000000-0005-0000-0000-0000642A0000}"/>
    <cellStyle name="40% - Accent2 2 3 3 3 3" xfId="9229" xr:uid="{00000000-0005-0000-0000-0000652A0000}"/>
    <cellStyle name="40% - Accent2 2 3 3 3 3 2" xfId="9230" xr:uid="{00000000-0005-0000-0000-0000662A0000}"/>
    <cellStyle name="40% - Accent2 2 3 3 3 4" xfId="9231" xr:uid="{00000000-0005-0000-0000-0000672A0000}"/>
    <cellStyle name="40% - Accent2 2 3 3 3 5" xfId="9232" xr:uid="{00000000-0005-0000-0000-0000682A0000}"/>
    <cellStyle name="40% - Accent2 2 3 3 3 6" xfId="37946" xr:uid="{00000000-0005-0000-0000-0000692A0000}"/>
    <cellStyle name="40% - Accent2 2 3 3 4" xfId="9233" xr:uid="{00000000-0005-0000-0000-00006A2A0000}"/>
    <cellStyle name="40% - Accent2 2 3 3 4 2" xfId="9234" xr:uid="{00000000-0005-0000-0000-00006B2A0000}"/>
    <cellStyle name="40% - Accent2 2 3 3 4 2 2" xfId="9235" xr:uid="{00000000-0005-0000-0000-00006C2A0000}"/>
    <cellStyle name="40% - Accent2 2 3 3 4 3" xfId="9236" xr:uid="{00000000-0005-0000-0000-00006D2A0000}"/>
    <cellStyle name="40% - Accent2 2 3 3 4 4" xfId="9237" xr:uid="{00000000-0005-0000-0000-00006E2A0000}"/>
    <cellStyle name="40% - Accent2 2 3 3 4 5" xfId="37948" xr:uid="{00000000-0005-0000-0000-00006F2A0000}"/>
    <cellStyle name="40% - Accent2 2 3 3 5" xfId="9238" xr:uid="{00000000-0005-0000-0000-0000702A0000}"/>
    <cellStyle name="40% - Accent2 2 3 3 5 2" xfId="9239" xr:uid="{00000000-0005-0000-0000-0000712A0000}"/>
    <cellStyle name="40% - Accent2 2 3 3 5 2 2" xfId="9240" xr:uid="{00000000-0005-0000-0000-0000722A0000}"/>
    <cellStyle name="40% - Accent2 2 3 3 5 3" xfId="9241" xr:uid="{00000000-0005-0000-0000-0000732A0000}"/>
    <cellStyle name="40% - Accent2 2 3 3 5 4" xfId="9242" xr:uid="{00000000-0005-0000-0000-0000742A0000}"/>
    <cellStyle name="40% - Accent2 2 3 3 6" xfId="9243" xr:uid="{00000000-0005-0000-0000-0000752A0000}"/>
    <cellStyle name="40% - Accent2 2 3 3 6 2" xfId="9244" xr:uid="{00000000-0005-0000-0000-0000762A0000}"/>
    <cellStyle name="40% - Accent2 2 3 3 6 2 2" xfId="9245" xr:uid="{00000000-0005-0000-0000-0000772A0000}"/>
    <cellStyle name="40% - Accent2 2 3 3 6 3" xfId="9246" xr:uid="{00000000-0005-0000-0000-0000782A0000}"/>
    <cellStyle name="40% - Accent2 2 3 3 6 4" xfId="9247" xr:uid="{00000000-0005-0000-0000-0000792A0000}"/>
    <cellStyle name="40% - Accent2 2 3 3 7" xfId="9248" xr:uid="{00000000-0005-0000-0000-00007A2A0000}"/>
    <cellStyle name="40% - Accent2 2 3 3 7 2" xfId="9249" xr:uid="{00000000-0005-0000-0000-00007B2A0000}"/>
    <cellStyle name="40% - Accent2 2 3 3 8" xfId="9250" xr:uid="{00000000-0005-0000-0000-00007C2A0000}"/>
    <cellStyle name="40% - Accent2 2 3 3 9" xfId="9251" xr:uid="{00000000-0005-0000-0000-00007D2A0000}"/>
    <cellStyle name="40% - Accent2 2 3 4" xfId="9252" xr:uid="{00000000-0005-0000-0000-00007E2A0000}"/>
    <cellStyle name="40% - Accent2 2 3 4 2" xfId="9253" xr:uid="{00000000-0005-0000-0000-00007F2A0000}"/>
    <cellStyle name="40% - Accent2 2 3 4 2 2" xfId="9254" xr:uid="{00000000-0005-0000-0000-0000802A0000}"/>
    <cellStyle name="40% - Accent2 2 3 4 2 2 2" xfId="9255" xr:uid="{00000000-0005-0000-0000-0000812A0000}"/>
    <cellStyle name="40% - Accent2 2 3 4 2 3" xfId="9256" xr:uid="{00000000-0005-0000-0000-0000822A0000}"/>
    <cellStyle name="40% - Accent2 2 3 4 2 4" xfId="9257" xr:uid="{00000000-0005-0000-0000-0000832A0000}"/>
    <cellStyle name="40% - Accent2 2 3 4 2 5" xfId="37950" xr:uid="{00000000-0005-0000-0000-0000842A0000}"/>
    <cellStyle name="40% - Accent2 2 3 4 3" xfId="9258" xr:uid="{00000000-0005-0000-0000-0000852A0000}"/>
    <cellStyle name="40% - Accent2 2 3 4 4" xfId="9259" xr:uid="{00000000-0005-0000-0000-0000862A0000}"/>
    <cellStyle name="40% - Accent2 2 3 4 4 2" xfId="9260" xr:uid="{00000000-0005-0000-0000-0000872A0000}"/>
    <cellStyle name="40% - Accent2 2 3 4 5" xfId="9261" xr:uid="{00000000-0005-0000-0000-0000882A0000}"/>
    <cellStyle name="40% - Accent2 2 3 4 6" xfId="9262" xr:uid="{00000000-0005-0000-0000-0000892A0000}"/>
    <cellStyle name="40% - Accent2 2 3 4 7" xfId="37949" xr:uid="{00000000-0005-0000-0000-00008A2A0000}"/>
    <cellStyle name="40% - Accent2 2 3 5" xfId="9263" xr:uid="{00000000-0005-0000-0000-00008B2A0000}"/>
    <cellStyle name="40% - Accent2 2 3 5 2" xfId="9264" xr:uid="{00000000-0005-0000-0000-00008C2A0000}"/>
    <cellStyle name="40% - Accent2 2 3 5 2 2" xfId="9265" xr:uid="{00000000-0005-0000-0000-00008D2A0000}"/>
    <cellStyle name="40% - Accent2 2 3 5 2 2 2" xfId="9266" xr:uid="{00000000-0005-0000-0000-00008E2A0000}"/>
    <cellStyle name="40% - Accent2 2 3 5 2 3" xfId="9267" xr:uid="{00000000-0005-0000-0000-00008F2A0000}"/>
    <cellStyle name="40% - Accent2 2 3 5 2 4" xfId="9268" xr:uid="{00000000-0005-0000-0000-0000902A0000}"/>
    <cellStyle name="40% - Accent2 2 3 5 2 5" xfId="37952" xr:uid="{00000000-0005-0000-0000-0000912A0000}"/>
    <cellStyle name="40% - Accent2 2 3 5 3" xfId="9269" xr:uid="{00000000-0005-0000-0000-0000922A0000}"/>
    <cellStyle name="40% - Accent2 2 3 5 3 2" xfId="9270" xr:uid="{00000000-0005-0000-0000-0000932A0000}"/>
    <cellStyle name="40% - Accent2 2 3 5 4" xfId="9271" xr:uid="{00000000-0005-0000-0000-0000942A0000}"/>
    <cellStyle name="40% - Accent2 2 3 5 5" xfId="9272" xr:uid="{00000000-0005-0000-0000-0000952A0000}"/>
    <cellStyle name="40% - Accent2 2 3 5 6" xfId="37951" xr:uid="{00000000-0005-0000-0000-0000962A0000}"/>
    <cellStyle name="40% - Accent2 2 3 6" xfId="9273" xr:uid="{00000000-0005-0000-0000-0000972A0000}"/>
    <cellStyle name="40% - Accent2 2 3 6 2" xfId="9274" xr:uid="{00000000-0005-0000-0000-0000982A0000}"/>
    <cellStyle name="40% - Accent2 2 3 6 2 2" xfId="9275" xr:uid="{00000000-0005-0000-0000-0000992A0000}"/>
    <cellStyle name="40% - Accent2 2 3 6 3" xfId="9276" xr:uid="{00000000-0005-0000-0000-00009A2A0000}"/>
    <cellStyle name="40% - Accent2 2 3 6 4" xfId="9277" xr:uid="{00000000-0005-0000-0000-00009B2A0000}"/>
    <cellStyle name="40% - Accent2 2 3 6 5" xfId="37953" xr:uid="{00000000-0005-0000-0000-00009C2A0000}"/>
    <cellStyle name="40% - Accent2 2 3 7" xfId="9278" xr:uid="{00000000-0005-0000-0000-00009D2A0000}"/>
    <cellStyle name="40% - Accent2 2 3 7 2" xfId="9279" xr:uid="{00000000-0005-0000-0000-00009E2A0000}"/>
    <cellStyle name="40% - Accent2 2 3 7 2 2" xfId="9280" xr:uid="{00000000-0005-0000-0000-00009F2A0000}"/>
    <cellStyle name="40% - Accent2 2 3 7 3" xfId="9281" xr:uid="{00000000-0005-0000-0000-0000A02A0000}"/>
    <cellStyle name="40% - Accent2 2 3 7 4" xfId="9282" xr:uid="{00000000-0005-0000-0000-0000A12A0000}"/>
    <cellStyle name="40% - Accent2 2 3 8" xfId="9283" xr:uid="{00000000-0005-0000-0000-0000A22A0000}"/>
    <cellStyle name="40% - Accent2 2 3 8 2" xfId="9284" xr:uid="{00000000-0005-0000-0000-0000A32A0000}"/>
    <cellStyle name="40% - Accent2 2 3 8 2 2" xfId="9285" xr:uid="{00000000-0005-0000-0000-0000A42A0000}"/>
    <cellStyle name="40% - Accent2 2 3 8 3" xfId="9286" xr:uid="{00000000-0005-0000-0000-0000A52A0000}"/>
    <cellStyle name="40% - Accent2 2 3 8 4" xfId="9287" xr:uid="{00000000-0005-0000-0000-0000A62A0000}"/>
    <cellStyle name="40% - Accent2 2 3 9" xfId="9288" xr:uid="{00000000-0005-0000-0000-0000A72A0000}"/>
    <cellStyle name="40% - Accent2 2 3 9 2" xfId="9289" xr:uid="{00000000-0005-0000-0000-0000A82A0000}"/>
    <cellStyle name="40% - Accent2 2 4" xfId="9290" xr:uid="{00000000-0005-0000-0000-0000A92A0000}"/>
    <cellStyle name="40% - Accent2 2 4 10" xfId="9291" xr:uid="{00000000-0005-0000-0000-0000AA2A0000}"/>
    <cellStyle name="40% - Accent2 2 4 11" xfId="34696" xr:uid="{00000000-0005-0000-0000-0000AB2A0000}"/>
    <cellStyle name="40% - Accent2 2 4 2" xfId="9292" xr:uid="{00000000-0005-0000-0000-0000AC2A0000}"/>
    <cellStyle name="40% - Accent2 2 4 2 10" xfId="34697" xr:uid="{00000000-0005-0000-0000-0000AD2A0000}"/>
    <cellStyle name="40% - Accent2 2 4 2 2" xfId="9293" xr:uid="{00000000-0005-0000-0000-0000AE2A0000}"/>
    <cellStyle name="40% - Accent2 2 4 2 2 2" xfId="9294" xr:uid="{00000000-0005-0000-0000-0000AF2A0000}"/>
    <cellStyle name="40% - Accent2 2 4 2 2 2 2" xfId="9295" xr:uid="{00000000-0005-0000-0000-0000B02A0000}"/>
    <cellStyle name="40% - Accent2 2 4 2 2 2 2 2" xfId="9296" xr:uid="{00000000-0005-0000-0000-0000B12A0000}"/>
    <cellStyle name="40% - Accent2 2 4 2 2 2 3" xfId="9297" xr:uid="{00000000-0005-0000-0000-0000B22A0000}"/>
    <cellStyle name="40% - Accent2 2 4 2 2 2 4" xfId="9298" xr:uid="{00000000-0005-0000-0000-0000B32A0000}"/>
    <cellStyle name="40% - Accent2 2 4 2 2 2 5" xfId="37955" xr:uid="{00000000-0005-0000-0000-0000B42A0000}"/>
    <cellStyle name="40% - Accent2 2 4 2 2 3" xfId="9299" xr:uid="{00000000-0005-0000-0000-0000B52A0000}"/>
    <cellStyle name="40% - Accent2 2 4 2 2 3 2" xfId="9300" xr:uid="{00000000-0005-0000-0000-0000B62A0000}"/>
    <cellStyle name="40% - Accent2 2 4 2 2 4" xfId="9301" xr:uid="{00000000-0005-0000-0000-0000B72A0000}"/>
    <cellStyle name="40% - Accent2 2 4 2 2 5" xfId="9302" xr:uid="{00000000-0005-0000-0000-0000B82A0000}"/>
    <cellStyle name="40% - Accent2 2 4 2 2 6" xfId="37954" xr:uid="{00000000-0005-0000-0000-0000B92A0000}"/>
    <cellStyle name="40% - Accent2 2 4 2 3" xfId="9303" xr:uid="{00000000-0005-0000-0000-0000BA2A0000}"/>
    <cellStyle name="40% - Accent2 2 4 2 3 2" xfId="9304" xr:uid="{00000000-0005-0000-0000-0000BB2A0000}"/>
    <cellStyle name="40% - Accent2 2 4 2 3 2 2" xfId="9305" xr:uid="{00000000-0005-0000-0000-0000BC2A0000}"/>
    <cellStyle name="40% - Accent2 2 4 2 3 2 2 2" xfId="9306" xr:uid="{00000000-0005-0000-0000-0000BD2A0000}"/>
    <cellStyle name="40% - Accent2 2 4 2 3 2 3" xfId="9307" xr:uid="{00000000-0005-0000-0000-0000BE2A0000}"/>
    <cellStyle name="40% - Accent2 2 4 2 3 2 4" xfId="9308" xr:uid="{00000000-0005-0000-0000-0000BF2A0000}"/>
    <cellStyle name="40% - Accent2 2 4 2 3 2 5" xfId="37957" xr:uid="{00000000-0005-0000-0000-0000C02A0000}"/>
    <cellStyle name="40% - Accent2 2 4 2 3 3" xfId="9309" xr:uid="{00000000-0005-0000-0000-0000C12A0000}"/>
    <cellStyle name="40% - Accent2 2 4 2 3 3 2" xfId="9310" xr:uid="{00000000-0005-0000-0000-0000C22A0000}"/>
    <cellStyle name="40% - Accent2 2 4 2 3 4" xfId="9311" xr:uid="{00000000-0005-0000-0000-0000C32A0000}"/>
    <cellStyle name="40% - Accent2 2 4 2 3 5" xfId="9312" xr:uid="{00000000-0005-0000-0000-0000C42A0000}"/>
    <cellStyle name="40% - Accent2 2 4 2 3 6" xfId="37956" xr:uid="{00000000-0005-0000-0000-0000C52A0000}"/>
    <cellStyle name="40% - Accent2 2 4 2 4" xfId="9313" xr:uid="{00000000-0005-0000-0000-0000C62A0000}"/>
    <cellStyle name="40% - Accent2 2 4 2 4 2" xfId="9314" xr:uid="{00000000-0005-0000-0000-0000C72A0000}"/>
    <cellStyle name="40% - Accent2 2 4 2 4 2 2" xfId="9315" xr:uid="{00000000-0005-0000-0000-0000C82A0000}"/>
    <cellStyle name="40% - Accent2 2 4 2 4 3" xfId="9316" xr:uid="{00000000-0005-0000-0000-0000C92A0000}"/>
    <cellStyle name="40% - Accent2 2 4 2 4 4" xfId="9317" xr:uid="{00000000-0005-0000-0000-0000CA2A0000}"/>
    <cellStyle name="40% - Accent2 2 4 2 4 5" xfId="37958" xr:uid="{00000000-0005-0000-0000-0000CB2A0000}"/>
    <cellStyle name="40% - Accent2 2 4 2 5" xfId="9318" xr:uid="{00000000-0005-0000-0000-0000CC2A0000}"/>
    <cellStyle name="40% - Accent2 2 4 2 5 2" xfId="9319" xr:uid="{00000000-0005-0000-0000-0000CD2A0000}"/>
    <cellStyle name="40% - Accent2 2 4 2 5 2 2" xfId="9320" xr:uid="{00000000-0005-0000-0000-0000CE2A0000}"/>
    <cellStyle name="40% - Accent2 2 4 2 5 3" xfId="9321" xr:uid="{00000000-0005-0000-0000-0000CF2A0000}"/>
    <cellStyle name="40% - Accent2 2 4 2 5 4" xfId="9322" xr:uid="{00000000-0005-0000-0000-0000D02A0000}"/>
    <cellStyle name="40% - Accent2 2 4 2 6" xfId="9323" xr:uid="{00000000-0005-0000-0000-0000D12A0000}"/>
    <cellStyle name="40% - Accent2 2 4 2 6 2" xfId="9324" xr:uid="{00000000-0005-0000-0000-0000D22A0000}"/>
    <cellStyle name="40% - Accent2 2 4 2 6 2 2" xfId="9325" xr:uid="{00000000-0005-0000-0000-0000D32A0000}"/>
    <cellStyle name="40% - Accent2 2 4 2 6 3" xfId="9326" xr:uid="{00000000-0005-0000-0000-0000D42A0000}"/>
    <cellStyle name="40% - Accent2 2 4 2 6 4" xfId="9327" xr:uid="{00000000-0005-0000-0000-0000D52A0000}"/>
    <cellStyle name="40% - Accent2 2 4 2 7" xfId="9328" xr:uid="{00000000-0005-0000-0000-0000D62A0000}"/>
    <cellStyle name="40% - Accent2 2 4 2 7 2" xfId="9329" xr:uid="{00000000-0005-0000-0000-0000D72A0000}"/>
    <cellStyle name="40% - Accent2 2 4 2 8" xfId="9330" xr:uid="{00000000-0005-0000-0000-0000D82A0000}"/>
    <cellStyle name="40% - Accent2 2 4 2 9" xfId="9331" xr:uid="{00000000-0005-0000-0000-0000D92A0000}"/>
    <cellStyle name="40% - Accent2 2 4 3" xfId="9332" xr:uid="{00000000-0005-0000-0000-0000DA2A0000}"/>
    <cellStyle name="40% - Accent2 2 4 3 2" xfId="9333" xr:uid="{00000000-0005-0000-0000-0000DB2A0000}"/>
    <cellStyle name="40% - Accent2 2 4 3 2 2" xfId="9334" xr:uid="{00000000-0005-0000-0000-0000DC2A0000}"/>
    <cellStyle name="40% - Accent2 2 4 3 2 2 2" xfId="9335" xr:uid="{00000000-0005-0000-0000-0000DD2A0000}"/>
    <cellStyle name="40% - Accent2 2 4 3 2 3" xfId="9336" xr:uid="{00000000-0005-0000-0000-0000DE2A0000}"/>
    <cellStyle name="40% - Accent2 2 4 3 2 4" xfId="9337" xr:uid="{00000000-0005-0000-0000-0000DF2A0000}"/>
    <cellStyle name="40% - Accent2 2 4 3 2 5" xfId="37960" xr:uid="{00000000-0005-0000-0000-0000E02A0000}"/>
    <cellStyle name="40% - Accent2 2 4 3 3" xfId="9338" xr:uid="{00000000-0005-0000-0000-0000E12A0000}"/>
    <cellStyle name="40% - Accent2 2 4 3 3 2" xfId="9339" xr:uid="{00000000-0005-0000-0000-0000E22A0000}"/>
    <cellStyle name="40% - Accent2 2 4 3 4" xfId="9340" xr:uid="{00000000-0005-0000-0000-0000E32A0000}"/>
    <cellStyle name="40% - Accent2 2 4 3 5" xfId="9341" xr:uid="{00000000-0005-0000-0000-0000E42A0000}"/>
    <cellStyle name="40% - Accent2 2 4 3 6" xfId="37959" xr:uid="{00000000-0005-0000-0000-0000E52A0000}"/>
    <cellStyle name="40% - Accent2 2 4 4" xfId="9342" xr:uid="{00000000-0005-0000-0000-0000E62A0000}"/>
    <cellStyle name="40% - Accent2 2 4 4 2" xfId="9343" xr:uid="{00000000-0005-0000-0000-0000E72A0000}"/>
    <cellStyle name="40% - Accent2 2 4 4 2 2" xfId="9344" xr:uid="{00000000-0005-0000-0000-0000E82A0000}"/>
    <cellStyle name="40% - Accent2 2 4 4 2 2 2" xfId="9345" xr:uid="{00000000-0005-0000-0000-0000E92A0000}"/>
    <cellStyle name="40% - Accent2 2 4 4 2 3" xfId="9346" xr:uid="{00000000-0005-0000-0000-0000EA2A0000}"/>
    <cellStyle name="40% - Accent2 2 4 4 2 4" xfId="9347" xr:uid="{00000000-0005-0000-0000-0000EB2A0000}"/>
    <cellStyle name="40% - Accent2 2 4 4 2 5" xfId="37962" xr:uid="{00000000-0005-0000-0000-0000EC2A0000}"/>
    <cellStyle name="40% - Accent2 2 4 4 3" xfId="9348" xr:uid="{00000000-0005-0000-0000-0000ED2A0000}"/>
    <cellStyle name="40% - Accent2 2 4 4 3 2" xfId="9349" xr:uid="{00000000-0005-0000-0000-0000EE2A0000}"/>
    <cellStyle name="40% - Accent2 2 4 4 4" xfId="9350" xr:uid="{00000000-0005-0000-0000-0000EF2A0000}"/>
    <cellStyle name="40% - Accent2 2 4 4 5" xfId="9351" xr:uid="{00000000-0005-0000-0000-0000F02A0000}"/>
    <cellStyle name="40% - Accent2 2 4 4 6" xfId="37961" xr:uid="{00000000-0005-0000-0000-0000F12A0000}"/>
    <cellStyle name="40% - Accent2 2 4 5" xfId="9352" xr:uid="{00000000-0005-0000-0000-0000F22A0000}"/>
    <cellStyle name="40% - Accent2 2 4 5 2" xfId="9353" xr:uid="{00000000-0005-0000-0000-0000F32A0000}"/>
    <cellStyle name="40% - Accent2 2 4 5 2 2" xfId="9354" xr:uid="{00000000-0005-0000-0000-0000F42A0000}"/>
    <cellStyle name="40% - Accent2 2 4 5 3" xfId="9355" xr:uid="{00000000-0005-0000-0000-0000F52A0000}"/>
    <cellStyle name="40% - Accent2 2 4 5 4" xfId="9356" xr:uid="{00000000-0005-0000-0000-0000F62A0000}"/>
    <cellStyle name="40% - Accent2 2 4 5 5" xfId="37963" xr:uid="{00000000-0005-0000-0000-0000F72A0000}"/>
    <cellStyle name="40% - Accent2 2 4 6" xfId="9357" xr:uid="{00000000-0005-0000-0000-0000F82A0000}"/>
    <cellStyle name="40% - Accent2 2 4 6 2" xfId="9358" xr:uid="{00000000-0005-0000-0000-0000F92A0000}"/>
    <cellStyle name="40% - Accent2 2 4 6 2 2" xfId="9359" xr:uid="{00000000-0005-0000-0000-0000FA2A0000}"/>
    <cellStyle name="40% - Accent2 2 4 6 3" xfId="9360" xr:uid="{00000000-0005-0000-0000-0000FB2A0000}"/>
    <cellStyle name="40% - Accent2 2 4 6 4" xfId="9361" xr:uid="{00000000-0005-0000-0000-0000FC2A0000}"/>
    <cellStyle name="40% - Accent2 2 4 7" xfId="9362" xr:uid="{00000000-0005-0000-0000-0000FD2A0000}"/>
    <cellStyle name="40% - Accent2 2 4 7 2" xfId="9363" xr:uid="{00000000-0005-0000-0000-0000FE2A0000}"/>
    <cellStyle name="40% - Accent2 2 4 7 2 2" xfId="9364" xr:uid="{00000000-0005-0000-0000-0000FF2A0000}"/>
    <cellStyle name="40% - Accent2 2 4 7 3" xfId="9365" xr:uid="{00000000-0005-0000-0000-0000002B0000}"/>
    <cellStyle name="40% - Accent2 2 4 7 4" xfId="9366" xr:uid="{00000000-0005-0000-0000-0000012B0000}"/>
    <cellStyle name="40% - Accent2 2 4 8" xfId="9367" xr:uid="{00000000-0005-0000-0000-0000022B0000}"/>
    <cellStyle name="40% - Accent2 2 4 8 2" xfId="9368" xr:uid="{00000000-0005-0000-0000-0000032B0000}"/>
    <cellStyle name="40% - Accent2 2 4 9" xfId="9369" xr:uid="{00000000-0005-0000-0000-0000042B0000}"/>
    <cellStyle name="40% - Accent2 2 5" xfId="9370" xr:uid="{00000000-0005-0000-0000-0000052B0000}"/>
    <cellStyle name="40% - Accent2 2 5 10" xfId="34698" xr:uid="{00000000-0005-0000-0000-0000062B0000}"/>
    <cellStyle name="40% - Accent2 2 5 2" xfId="9371" xr:uid="{00000000-0005-0000-0000-0000072B0000}"/>
    <cellStyle name="40% - Accent2 2 5 2 2" xfId="9372" xr:uid="{00000000-0005-0000-0000-0000082B0000}"/>
    <cellStyle name="40% - Accent2 2 5 2 2 2" xfId="9373" xr:uid="{00000000-0005-0000-0000-0000092B0000}"/>
    <cellStyle name="40% - Accent2 2 5 2 2 2 2" xfId="9374" xr:uid="{00000000-0005-0000-0000-00000A2B0000}"/>
    <cellStyle name="40% - Accent2 2 5 2 2 3" xfId="9375" xr:uid="{00000000-0005-0000-0000-00000B2B0000}"/>
    <cellStyle name="40% - Accent2 2 5 2 2 4" xfId="9376" xr:uid="{00000000-0005-0000-0000-00000C2B0000}"/>
    <cellStyle name="40% - Accent2 2 5 2 2 5" xfId="37965" xr:uid="{00000000-0005-0000-0000-00000D2B0000}"/>
    <cellStyle name="40% - Accent2 2 5 2 3" xfId="9377" xr:uid="{00000000-0005-0000-0000-00000E2B0000}"/>
    <cellStyle name="40% - Accent2 2 5 2 3 2" xfId="9378" xr:uid="{00000000-0005-0000-0000-00000F2B0000}"/>
    <cellStyle name="40% - Accent2 2 5 2 4" xfId="9379" xr:uid="{00000000-0005-0000-0000-0000102B0000}"/>
    <cellStyle name="40% - Accent2 2 5 2 5" xfId="9380" xr:uid="{00000000-0005-0000-0000-0000112B0000}"/>
    <cellStyle name="40% - Accent2 2 5 2 6" xfId="37964" xr:uid="{00000000-0005-0000-0000-0000122B0000}"/>
    <cellStyle name="40% - Accent2 2 5 3" xfId="9381" xr:uid="{00000000-0005-0000-0000-0000132B0000}"/>
    <cellStyle name="40% - Accent2 2 5 3 2" xfId="9382" xr:uid="{00000000-0005-0000-0000-0000142B0000}"/>
    <cellStyle name="40% - Accent2 2 5 3 2 2" xfId="9383" xr:uid="{00000000-0005-0000-0000-0000152B0000}"/>
    <cellStyle name="40% - Accent2 2 5 3 2 2 2" xfId="9384" xr:uid="{00000000-0005-0000-0000-0000162B0000}"/>
    <cellStyle name="40% - Accent2 2 5 3 2 3" xfId="9385" xr:uid="{00000000-0005-0000-0000-0000172B0000}"/>
    <cellStyle name="40% - Accent2 2 5 3 2 4" xfId="9386" xr:uid="{00000000-0005-0000-0000-0000182B0000}"/>
    <cellStyle name="40% - Accent2 2 5 3 2 5" xfId="37967" xr:uid="{00000000-0005-0000-0000-0000192B0000}"/>
    <cellStyle name="40% - Accent2 2 5 3 3" xfId="9387" xr:uid="{00000000-0005-0000-0000-00001A2B0000}"/>
    <cellStyle name="40% - Accent2 2 5 3 3 2" xfId="9388" xr:uid="{00000000-0005-0000-0000-00001B2B0000}"/>
    <cellStyle name="40% - Accent2 2 5 3 4" xfId="9389" xr:uid="{00000000-0005-0000-0000-00001C2B0000}"/>
    <cellStyle name="40% - Accent2 2 5 3 5" xfId="9390" xr:uid="{00000000-0005-0000-0000-00001D2B0000}"/>
    <cellStyle name="40% - Accent2 2 5 3 6" xfId="37966" xr:uid="{00000000-0005-0000-0000-00001E2B0000}"/>
    <cellStyle name="40% - Accent2 2 5 4" xfId="9391" xr:uid="{00000000-0005-0000-0000-00001F2B0000}"/>
    <cellStyle name="40% - Accent2 2 5 4 2" xfId="9392" xr:uid="{00000000-0005-0000-0000-0000202B0000}"/>
    <cellStyle name="40% - Accent2 2 5 4 2 2" xfId="9393" xr:uid="{00000000-0005-0000-0000-0000212B0000}"/>
    <cellStyle name="40% - Accent2 2 5 4 3" xfId="9394" xr:uid="{00000000-0005-0000-0000-0000222B0000}"/>
    <cellStyle name="40% - Accent2 2 5 4 4" xfId="9395" xr:uid="{00000000-0005-0000-0000-0000232B0000}"/>
    <cellStyle name="40% - Accent2 2 5 4 5" xfId="37968" xr:uid="{00000000-0005-0000-0000-0000242B0000}"/>
    <cellStyle name="40% - Accent2 2 5 5" xfId="9396" xr:uid="{00000000-0005-0000-0000-0000252B0000}"/>
    <cellStyle name="40% - Accent2 2 5 5 2" xfId="9397" xr:uid="{00000000-0005-0000-0000-0000262B0000}"/>
    <cellStyle name="40% - Accent2 2 5 5 2 2" xfId="9398" xr:uid="{00000000-0005-0000-0000-0000272B0000}"/>
    <cellStyle name="40% - Accent2 2 5 5 3" xfId="9399" xr:uid="{00000000-0005-0000-0000-0000282B0000}"/>
    <cellStyle name="40% - Accent2 2 5 5 4" xfId="9400" xr:uid="{00000000-0005-0000-0000-0000292B0000}"/>
    <cellStyle name="40% - Accent2 2 5 6" xfId="9401" xr:uid="{00000000-0005-0000-0000-00002A2B0000}"/>
    <cellStyle name="40% - Accent2 2 5 6 2" xfId="9402" xr:uid="{00000000-0005-0000-0000-00002B2B0000}"/>
    <cellStyle name="40% - Accent2 2 5 6 2 2" xfId="9403" xr:uid="{00000000-0005-0000-0000-00002C2B0000}"/>
    <cellStyle name="40% - Accent2 2 5 6 3" xfId="9404" xr:uid="{00000000-0005-0000-0000-00002D2B0000}"/>
    <cellStyle name="40% - Accent2 2 5 6 4" xfId="9405" xr:uid="{00000000-0005-0000-0000-00002E2B0000}"/>
    <cellStyle name="40% - Accent2 2 5 7" xfId="9406" xr:uid="{00000000-0005-0000-0000-00002F2B0000}"/>
    <cellStyle name="40% - Accent2 2 5 7 2" xfId="9407" xr:uid="{00000000-0005-0000-0000-0000302B0000}"/>
    <cellStyle name="40% - Accent2 2 5 8" xfId="9408" xr:uid="{00000000-0005-0000-0000-0000312B0000}"/>
    <cellStyle name="40% - Accent2 2 5 9" xfId="9409" xr:uid="{00000000-0005-0000-0000-0000322B0000}"/>
    <cellStyle name="40% - Accent2 2 6" xfId="9410" xr:uid="{00000000-0005-0000-0000-0000332B0000}"/>
    <cellStyle name="40% - Accent2 2 6 2" xfId="9411" xr:uid="{00000000-0005-0000-0000-0000342B0000}"/>
    <cellStyle name="40% - Accent2 2 6 3" xfId="34699" xr:uid="{00000000-0005-0000-0000-0000352B0000}"/>
    <cellStyle name="40% - Accent2 2 7" xfId="9412" xr:uid="{00000000-0005-0000-0000-0000362B0000}"/>
    <cellStyle name="40% - Accent2 2 7 2" xfId="9413" xr:uid="{00000000-0005-0000-0000-0000372B0000}"/>
    <cellStyle name="40% - Accent2 2 7 2 2" xfId="9414" xr:uid="{00000000-0005-0000-0000-0000382B0000}"/>
    <cellStyle name="40% - Accent2 2 7 2 2 2" xfId="9415" xr:uid="{00000000-0005-0000-0000-0000392B0000}"/>
    <cellStyle name="40% - Accent2 2 7 2 3" xfId="9416" xr:uid="{00000000-0005-0000-0000-00003A2B0000}"/>
    <cellStyle name="40% - Accent2 2 7 2 4" xfId="9417" xr:uid="{00000000-0005-0000-0000-00003B2B0000}"/>
    <cellStyle name="40% - Accent2 2 7 2 5" xfId="37970" xr:uid="{00000000-0005-0000-0000-00003C2B0000}"/>
    <cellStyle name="40% - Accent2 2 7 3" xfId="9418" xr:uid="{00000000-0005-0000-0000-00003D2B0000}"/>
    <cellStyle name="40% - Accent2 2 7 4" xfId="9419" xr:uid="{00000000-0005-0000-0000-00003E2B0000}"/>
    <cellStyle name="40% - Accent2 2 7 4 2" xfId="9420" xr:uid="{00000000-0005-0000-0000-00003F2B0000}"/>
    <cellStyle name="40% - Accent2 2 7 5" xfId="9421" xr:uid="{00000000-0005-0000-0000-0000402B0000}"/>
    <cellStyle name="40% - Accent2 2 7 6" xfId="9422" xr:uid="{00000000-0005-0000-0000-0000412B0000}"/>
    <cellStyle name="40% - Accent2 2 7 7" xfId="37969" xr:uid="{00000000-0005-0000-0000-0000422B0000}"/>
    <cellStyle name="40% - Accent2 2 8" xfId="9423" xr:uid="{00000000-0005-0000-0000-0000432B0000}"/>
    <cellStyle name="40% - Accent2 2 8 2" xfId="9424" xr:uid="{00000000-0005-0000-0000-0000442B0000}"/>
    <cellStyle name="40% - Accent2 2 8 2 2" xfId="9425" xr:uid="{00000000-0005-0000-0000-0000452B0000}"/>
    <cellStyle name="40% - Accent2 2 8 3" xfId="9426" xr:uid="{00000000-0005-0000-0000-0000462B0000}"/>
    <cellStyle name="40% - Accent2 2 8 4" xfId="9427" xr:uid="{00000000-0005-0000-0000-0000472B0000}"/>
    <cellStyle name="40% - Accent2 2 8 5" xfId="37971" xr:uid="{00000000-0005-0000-0000-0000482B0000}"/>
    <cellStyle name="40% - Accent2 2 9" xfId="9428" xr:uid="{00000000-0005-0000-0000-0000492B0000}"/>
    <cellStyle name="40% - Accent2 2 9 2" xfId="9429" xr:uid="{00000000-0005-0000-0000-00004A2B0000}"/>
    <cellStyle name="40% - Accent2 3" xfId="9430" xr:uid="{00000000-0005-0000-0000-00004B2B0000}"/>
    <cellStyle name="40% - Accent2 3 10" xfId="9431" xr:uid="{00000000-0005-0000-0000-00004C2B0000}"/>
    <cellStyle name="40% - Accent2 3 11" xfId="9432" xr:uid="{00000000-0005-0000-0000-00004D2B0000}"/>
    <cellStyle name="40% - Accent2 3 11 2" xfId="9433" xr:uid="{00000000-0005-0000-0000-00004E2B0000}"/>
    <cellStyle name="40% - Accent2 3 12" xfId="9434" xr:uid="{00000000-0005-0000-0000-00004F2B0000}"/>
    <cellStyle name="40% - Accent2 3 13" xfId="9435" xr:uid="{00000000-0005-0000-0000-0000502B0000}"/>
    <cellStyle name="40% - Accent2 3 2" xfId="9436" xr:uid="{00000000-0005-0000-0000-0000512B0000}"/>
    <cellStyle name="40% - Accent2 3 2 10" xfId="9437" xr:uid="{00000000-0005-0000-0000-0000522B0000}"/>
    <cellStyle name="40% - Accent2 3 2 10 2" xfId="9438" xr:uid="{00000000-0005-0000-0000-0000532B0000}"/>
    <cellStyle name="40% - Accent2 3 2 11" xfId="9439" xr:uid="{00000000-0005-0000-0000-0000542B0000}"/>
    <cellStyle name="40% - Accent2 3 2 12" xfId="9440" xr:uid="{00000000-0005-0000-0000-0000552B0000}"/>
    <cellStyle name="40% - Accent2 3 2 13" xfId="34700" xr:uid="{00000000-0005-0000-0000-0000562B0000}"/>
    <cellStyle name="40% - Accent2 3 2 2" xfId="9441" xr:uid="{00000000-0005-0000-0000-0000572B0000}"/>
    <cellStyle name="40% - Accent2 3 2 2 10" xfId="9442" xr:uid="{00000000-0005-0000-0000-0000582B0000}"/>
    <cellStyle name="40% - Accent2 3 2 2 11" xfId="9443" xr:uid="{00000000-0005-0000-0000-0000592B0000}"/>
    <cellStyle name="40% - Accent2 3 2 2 12" xfId="34701" xr:uid="{00000000-0005-0000-0000-00005A2B0000}"/>
    <cellStyle name="40% - Accent2 3 2 2 2" xfId="9444" xr:uid="{00000000-0005-0000-0000-00005B2B0000}"/>
    <cellStyle name="40% - Accent2 3 2 2 2 10" xfId="9445" xr:uid="{00000000-0005-0000-0000-00005C2B0000}"/>
    <cellStyle name="40% - Accent2 3 2 2 2 11" xfId="34702" xr:uid="{00000000-0005-0000-0000-00005D2B0000}"/>
    <cellStyle name="40% - Accent2 3 2 2 2 2" xfId="9446" xr:uid="{00000000-0005-0000-0000-00005E2B0000}"/>
    <cellStyle name="40% - Accent2 3 2 2 2 2 10" xfId="34703" xr:uid="{00000000-0005-0000-0000-00005F2B0000}"/>
    <cellStyle name="40% - Accent2 3 2 2 2 2 2" xfId="9447" xr:uid="{00000000-0005-0000-0000-0000602B0000}"/>
    <cellStyle name="40% - Accent2 3 2 2 2 2 2 2" xfId="9448" xr:uid="{00000000-0005-0000-0000-0000612B0000}"/>
    <cellStyle name="40% - Accent2 3 2 2 2 2 2 2 2" xfId="9449" xr:uid="{00000000-0005-0000-0000-0000622B0000}"/>
    <cellStyle name="40% - Accent2 3 2 2 2 2 2 2 2 2" xfId="9450" xr:uid="{00000000-0005-0000-0000-0000632B0000}"/>
    <cellStyle name="40% - Accent2 3 2 2 2 2 2 2 3" xfId="9451" xr:uid="{00000000-0005-0000-0000-0000642B0000}"/>
    <cellStyle name="40% - Accent2 3 2 2 2 2 2 2 4" xfId="9452" xr:uid="{00000000-0005-0000-0000-0000652B0000}"/>
    <cellStyle name="40% - Accent2 3 2 2 2 2 2 2 5" xfId="37973" xr:uid="{00000000-0005-0000-0000-0000662B0000}"/>
    <cellStyle name="40% - Accent2 3 2 2 2 2 2 3" xfId="9453" xr:uid="{00000000-0005-0000-0000-0000672B0000}"/>
    <cellStyle name="40% - Accent2 3 2 2 2 2 2 3 2" xfId="9454" xr:uid="{00000000-0005-0000-0000-0000682B0000}"/>
    <cellStyle name="40% - Accent2 3 2 2 2 2 2 4" xfId="9455" xr:uid="{00000000-0005-0000-0000-0000692B0000}"/>
    <cellStyle name="40% - Accent2 3 2 2 2 2 2 5" xfId="9456" xr:uid="{00000000-0005-0000-0000-00006A2B0000}"/>
    <cellStyle name="40% - Accent2 3 2 2 2 2 2 6" xfId="37972" xr:uid="{00000000-0005-0000-0000-00006B2B0000}"/>
    <cellStyle name="40% - Accent2 3 2 2 2 2 3" xfId="9457" xr:uid="{00000000-0005-0000-0000-00006C2B0000}"/>
    <cellStyle name="40% - Accent2 3 2 2 2 2 3 2" xfId="9458" xr:uid="{00000000-0005-0000-0000-00006D2B0000}"/>
    <cellStyle name="40% - Accent2 3 2 2 2 2 3 2 2" xfId="9459" xr:uid="{00000000-0005-0000-0000-00006E2B0000}"/>
    <cellStyle name="40% - Accent2 3 2 2 2 2 3 2 2 2" xfId="9460" xr:uid="{00000000-0005-0000-0000-00006F2B0000}"/>
    <cellStyle name="40% - Accent2 3 2 2 2 2 3 2 3" xfId="9461" xr:uid="{00000000-0005-0000-0000-0000702B0000}"/>
    <cellStyle name="40% - Accent2 3 2 2 2 2 3 2 4" xfId="9462" xr:uid="{00000000-0005-0000-0000-0000712B0000}"/>
    <cellStyle name="40% - Accent2 3 2 2 2 2 3 2 5" xfId="37975" xr:uid="{00000000-0005-0000-0000-0000722B0000}"/>
    <cellStyle name="40% - Accent2 3 2 2 2 2 3 3" xfId="9463" xr:uid="{00000000-0005-0000-0000-0000732B0000}"/>
    <cellStyle name="40% - Accent2 3 2 2 2 2 3 3 2" xfId="9464" xr:uid="{00000000-0005-0000-0000-0000742B0000}"/>
    <cellStyle name="40% - Accent2 3 2 2 2 2 3 4" xfId="9465" xr:uid="{00000000-0005-0000-0000-0000752B0000}"/>
    <cellStyle name="40% - Accent2 3 2 2 2 2 3 5" xfId="9466" xr:uid="{00000000-0005-0000-0000-0000762B0000}"/>
    <cellStyle name="40% - Accent2 3 2 2 2 2 3 6" xfId="37974" xr:uid="{00000000-0005-0000-0000-0000772B0000}"/>
    <cellStyle name="40% - Accent2 3 2 2 2 2 4" xfId="9467" xr:uid="{00000000-0005-0000-0000-0000782B0000}"/>
    <cellStyle name="40% - Accent2 3 2 2 2 2 4 2" xfId="9468" xr:uid="{00000000-0005-0000-0000-0000792B0000}"/>
    <cellStyle name="40% - Accent2 3 2 2 2 2 4 2 2" xfId="9469" xr:uid="{00000000-0005-0000-0000-00007A2B0000}"/>
    <cellStyle name="40% - Accent2 3 2 2 2 2 4 3" xfId="9470" xr:uid="{00000000-0005-0000-0000-00007B2B0000}"/>
    <cellStyle name="40% - Accent2 3 2 2 2 2 4 4" xfId="9471" xr:uid="{00000000-0005-0000-0000-00007C2B0000}"/>
    <cellStyle name="40% - Accent2 3 2 2 2 2 4 5" xfId="37976" xr:uid="{00000000-0005-0000-0000-00007D2B0000}"/>
    <cellStyle name="40% - Accent2 3 2 2 2 2 5" xfId="9472" xr:uid="{00000000-0005-0000-0000-00007E2B0000}"/>
    <cellStyle name="40% - Accent2 3 2 2 2 2 5 2" xfId="9473" xr:uid="{00000000-0005-0000-0000-00007F2B0000}"/>
    <cellStyle name="40% - Accent2 3 2 2 2 2 5 2 2" xfId="9474" xr:uid="{00000000-0005-0000-0000-0000802B0000}"/>
    <cellStyle name="40% - Accent2 3 2 2 2 2 5 3" xfId="9475" xr:uid="{00000000-0005-0000-0000-0000812B0000}"/>
    <cellStyle name="40% - Accent2 3 2 2 2 2 5 4" xfId="9476" xr:uid="{00000000-0005-0000-0000-0000822B0000}"/>
    <cellStyle name="40% - Accent2 3 2 2 2 2 6" xfId="9477" xr:uid="{00000000-0005-0000-0000-0000832B0000}"/>
    <cellStyle name="40% - Accent2 3 2 2 2 2 6 2" xfId="9478" xr:uid="{00000000-0005-0000-0000-0000842B0000}"/>
    <cellStyle name="40% - Accent2 3 2 2 2 2 6 2 2" xfId="9479" xr:uid="{00000000-0005-0000-0000-0000852B0000}"/>
    <cellStyle name="40% - Accent2 3 2 2 2 2 6 3" xfId="9480" xr:uid="{00000000-0005-0000-0000-0000862B0000}"/>
    <cellStyle name="40% - Accent2 3 2 2 2 2 6 4" xfId="9481" xr:uid="{00000000-0005-0000-0000-0000872B0000}"/>
    <cellStyle name="40% - Accent2 3 2 2 2 2 7" xfId="9482" xr:uid="{00000000-0005-0000-0000-0000882B0000}"/>
    <cellStyle name="40% - Accent2 3 2 2 2 2 7 2" xfId="9483" xr:uid="{00000000-0005-0000-0000-0000892B0000}"/>
    <cellStyle name="40% - Accent2 3 2 2 2 2 8" xfId="9484" xr:uid="{00000000-0005-0000-0000-00008A2B0000}"/>
    <cellStyle name="40% - Accent2 3 2 2 2 2 9" xfId="9485" xr:uid="{00000000-0005-0000-0000-00008B2B0000}"/>
    <cellStyle name="40% - Accent2 3 2 2 2 3" xfId="9486" xr:uid="{00000000-0005-0000-0000-00008C2B0000}"/>
    <cellStyle name="40% - Accent2 3 2 2 2 3 2" xfId="9487" xr:uid="{00000000-0005-0000-0000-00008D2B0000}"/>
    <cellStyle name="40% - Accent2 3 2 2 2 3 2 2" xfId="9488" xr:uid="{00000000-0005-0000-0000-00008E2B0000}"/>
    <cellStyle name="40% - Accent2 3 2 2 2 3 2 2 2" xfId="9489" xr:uid="{00000000-0005-0000-0000-00008F2B0000}"/>
    <cellStyle name="40% - Accent2 3 2 2 2 3 2 3" xfId="9490" xr:uid="{00000000-0005-0000-0000-0000902B0000}"/>
    <cellStyle name="40% - Accent2 3 2 2 2 3 2 4" xfId="9491" xr:uid="{00000000-0005-0000-0000-0000912B0000}"/>
    <cellStyle name="40% - Accent2 3 2 2 2 3 2 5" xfId="37978" xr:uid="{00000000-0005-0000-0000-0000922B0000}"/>
    <cellStyle name="40% - Accent2 3 2 2 2 3 3" xfId="9492" xr:uid="{00000000-0005-0000-0000-0000932B0000}"/>
    <cellStyle name="40% - Accent2 3 2 2 2 3 3 2" xfId="9493" xr:uid="{00000000-0005-0000-0000-0000942B0000}"/>
    <cellStyle name="40% - Accent2 3 2 2 2 3 4" xfId="9494" xr:uid="{00000000-0005-0000-0000-0000952B0000}"/>
    <cellStyle name="40% - Accent2 3 2 2 2 3 5" xfId="9495" xr:uid="{00000000-0005-0000-0000-0000962B0000}"/>
    <cellStyle name="40% - Accent2 3 2 2 2 3 6" xfId="37977" xr:uid="{00000000-0005-0000-0000-0000972B0000}"/>
    <cellStyle name="40% - Accent2 3 2 2 2 4" xfId="9496" xr:uid="{00000000-0005-0000-0000-0000982B0000}"/>
    <cellStyle name="40% - Accent2 3 2 2 2 4 2" xfId="9497" xr:uid="{00000000-0005-0000-0000-0000992B0000}"/>
    <cellStyle name="40% - Accent2 3 2 2 2 4 2 2" xfId="9498" xr:uid="{00000000-0005-0000-0000-00009A2B0000}"/>
    <cellStyle name="40% - Accent2 3 2 2 2 4 2 2 2" xfId="9499" xr:uid="{00000000-0005-0000-0000-00009B2B0000}"/>
    <cellStyle name="40% - Accent2 3 2 2 2 4 2 3" xfId="9500" xr:uid="{00000000-0005-0000-0000-00009C2B0000}"/>
    <cellStyle name="40% - Accent2 3 2 2 2 4 2 4" xfId="9501" xr:uid="{00000000-0005-0000-0000-00009D2B0000}"/>
    <cellStyle name="40% - Accent2 3 2 2 2 4 2 5" xfId="37980" xr:uid="{00000000-0005-0000-0000-00009E2B0000}"/>
    <cellStyle name="40% - Accent2 3 2 2 2 4 3" xfId="9502" xr:uid="{00000000-0005-0000-0000-00009F2B0000}"/>
    <cellStyle name="40% - Accent2 3 2 2 2 4 3 2" xfId="9503" xr:uid="{00000000-0005-0000-0000-0000A02B0000}"/>
    <cellStyle name="40% - Accent2 3 2 2 2 4 4" xfId="9504" xr:uid="{00000000-0005-0000-0000-0000A12B0000}"/>
    <cellStyle name="40% - Accent2 3 2 2 2 4 5" xfId="9505" xr:uid="{00000000-0005-0000-0000-0000A22B0000}"/>
    <cellStyle name="40% - Accent2 3 2 2 2 4 6" xfId="37979" xr:uid="{00000000-0005-0000-0000-0000A32B0000}"/>
    <cellStyle name="40% - Accent2 3 2 2 2 5" xfId="9506" xr:uid="{00000000-0005-0000-0000-0000A42B0000}"/>
    <cellStyle name="40% - Accent2 3 2 2 2 5 2" xfId="9507" xr:uid="{00000000-0005-0000-0000-0000A52B0000}"/>
    <cellStyle name="40% - Accent2 3 2 2 2 5 2 2" xfId="9508" xr:uid="{00000000-0005-0000-0000-0000A62B0000}"/>
    <cellStyle name="40% - Accent2 3 2 2 2 5 3" xfId="9509" xr:uid="{00000000-0005-0000-0000-0000A72B0000}"/>
    <cellStyle name="40% - Accent2 3 2 2 2 5 4" xfId="9510" xr:uid="{00000000-0005-0000-0000-0000A82B0000}"/>
    <cellStyle name="40% - Accent2 3 2 2 2 5 5" xfId="37981" xr:uid="{00000000-0005-0000-0000-0000A92B0000}"/>
    <cellStyle name="40% - Accent2 3 2 2 2 6" xfId="9511" xr:uid="{00000000-0005-0000-0000-0000AA2B0000}"/>
    <cellStyle name="40% - Accent2 3 2 2 2 6 2" xfId="9512" xr:uid="{00000000-0005-0000-0000-0000AB2B0000}"/>
    <cellStyle name="40% - Accent2 3 2 2 2 6 2 2" xfId="9513" xr:uid="{00000000-0005-0000-0000-0000AC2B0000}"/>
    <cellStyle name="40% - Accent2 3 2 2 2 6 3" xfId="9514" xr:uid="{00000000-0005-0000-0000-0000AD2B0000}"/>
    <cellStyle name="40% - Accent2 3 2 2 2 6 4" xfId="9515" xr:uid="{00000000-0005-0000-0000-0000AE2B0000}"/>
    <cellStyle name="40% - Accent2 3 2 2 2 7" xfId="9516" xr:uid="{00000000-0005-0000-0000-0000AF2B0000}"/>
    <cellStyle name="40% - Accent2 3 2 2 2 7 2" xfId="9517" xr:uid="{00000000-0005-0000-0000-0000B02B0000}"/>
    <cellStyle name="40% - Accent2 3 2 2 2 7 2 2" xfId="9518" xr:uid="{00000000-0005-0000-0000-0000B12B0000}"/>
    <cellStyle name="40% - Accent2 3 2 2 2 7 3" xfId="9519" xr:uid="{00000000-0005-0000-0000-0000B22B0000}"/>
    <cellStyle name="40% - Accent2 3 2 2 2 7 4" xfId="9520" xr:uid="{00000000-0005-0000-0000-0000B32B0000}"/>
    <cellStyle name="40% - Accent2 3 2 2 2 8" xfId="9521" xr:uid="{00000000-0005-0000-0000-0000B42B0000}"/>
    <cellStyle name="40% - Accent2 3 2 2 2 8 2" xfId="9522" xr:uid="{00000000-0005-0000-0000-0000B52B0000}"/>
    <cellStyle name="40% - Accent2 3 2 2 2 9" xfId="9523" xr:uid="{00000000-0005-0000-0000-0000B62B0000}"/>
    <cellStyle name="40% - Accent2 3 2 2 3" xfId="9524" xr:uid="{00000000-0005-0000-0000-0000B72B0000}"/>
    <cellStyle name="40% - Accent2 3 2 2 3 10" xfId="34704" xr:uid="{00000000-0005-0000-0000-0000B82B0000}"/>
    <cellStyle name="40% - Accent2 3 2 2 3 2" xfId="9525" xr:uid="{00000000-0005-0000-0000-0000B92B0000}"/>
    <cellStyle name="40% - Accent2 3 2 2 3 2 2" xfId="9526" xr:uid="{00000000-0005-0000-0000-0000BA2B0000}"/>
    <cellStyle name="40% - Accent2 3 2 2 3 2 2 2" xfId="9527" xr:uid="{00000000-0005-0000-0000-0000BB2B0000}"/>
    <cellStyle name="40% - Accent2 3 2 2 3 2 2 2 2" xfId="9528" xr:uid="{00000000-0005-0000-0000-0000BC2B0000}"/>
    <cellStyle name="40% - Accent2 3 2 2 3 2 2 3" xfId="9529" xr:uid="{00000000-0005-0000-0000-0000BD2B0000}"/>
    <cellStyle name="40% - Accent2 3 2 2 3 2 2 4" xfId="9530" xr:uid="{00000000-0005-0000-0000-0000BE2B0000}"/>
    <cellStyle name="40% - Accent2 3 2 2 3 2 2 5" xfId="37983" xr:uid="{00000000-0005-0000-0000-0000BF2B0000}"/>
    <cellStyle name="40% - Accent2 3 2 2 3 2 3" xfId="9531" xr:uid="{00000000-0005-0000-0000-0000C02B0000}"/>
    <cellStyle name="40% - Accent2 3 2 2 3 2 3 2" xfId="9532" xr:uid="{00000000-0005-0000-0000-0000C12B0000}"/>
    <cellStyle name="40% - Accent2 3 2 2 3 2 4" xfId="9533" xr:uid="{00000000-0005-0000-0000-0000C22B0000}"/>
    <cellStyle name="40% - Accent2 3 2 2 3 2 5" xfId="9534" xr:uid="{00000000-0005-0000-0000-0000C32B0000}"/>
    <cellStyle name="40% - Accent2 3 2 2 3 2 6" xfId="37982" xr:uid="{00000000-0005-0000-0000-0000C42B0000}"/>
    <cellStyle name="40% - Accent2 3 2 2 3 3" xfId="9535" xr:uid="{00000000-0005-0000-0000-0000C52B0000}"/>
    <cellStyle name="40% - Accent2 3 2 2 3 3 2" xfId="9536" xr:uid="{00000000-0005-0000-0000-0000C62B0000}"/>
    <cellStyle name="40% - Accent2 3 2 2 3 3 2 2" xfId="9537" xr:uid="{00000000-0005-0000-0000-0000C72B0000}"/>
    <cellStyle name="40% - Accent2 3 2 2 3 3 2 2 2" xfId="9538" xr:uid="{00000000-0005-0000-0000-0000C82B0000}"/>
    <cellStyle name="40% - Accent2 3 2 2 3 3 2 3" xfId="9539" xr:uid="{00000000-0005-0000-0000-0000C92B0000}"/>
    <cellStyle name="40% - Accent2 3 2 2 3 3 2 4" xfId="9540" xr:uid="{00000000-0005-0000-0000-0000CA2B0000}"/>
    <cellStyle name="40% - Accent2 3 2 2 3 3 2 5" xfId="37985" xr:uid="{00000000-0005-0000-0000-0000CB2B0000}"/>
    <cellStyle name="40% - Accent2 3 2 2 3 3 3" xfId="9541" xr:uid="{00000000-0005-0000-0000-0000CC2B0000}"/>
    <cellStyle name="40% - Accent2 3 2 2 3 3 3 2" xfId="9542" xr:uid="{00000000-0005-0000-0000-0000CD2B0000}"/>
    <cellStyle name="40% - Accent2 3 2 2 3 3 4" xfId="9543" xr:uid="{00000000-0005-0000-0000-0000CE2B0000}"/>
    <cellStyle name="40% - Accent2 3 2 2 3 3 5" xfId="9544" xr:uid="{00000000-0005-0000-0000-0000CF2B0000}"/>
    <cellStyle name="40% - Accent2 3 2 2 3 3 6" xfId="37984" xr:uid="{00000000-0005-0000-0000-0000D02B0000}"/>
    <cellStyle name="40% - Accent2 3 2 2 3 4" xfId="9545" xr:uid="{00000000-0005-0000-0000-0000D12B0000}"/>
    <cellStyle name="40% - Accent2 3 2 2 3 4 2" xfId="9546" xr:uid="{00000000-0005-0000-0000-0000D22B0000}"/>
    <cellStyle name="40% - Accent2 3 2 2 3 4 2 2" xfId="9547" xr:uid="{00000000-0005-0000-0000-0000D32B0000}"/>
    <cellStyle name="40% - Accent2 3 2 2 3 4 3" xfId="9548" xr:uid="{00000000-0005-0000-0000-0000D42B0000}"/>
    <cellStyle name="40% - Accent2 3 2 2 3 4 4" xfId="9549" xr:uid="{00000000-0005-0000-0000-0000D52B0000}"/>
    <cellStyle name="40% - Accent2 3 2 2 3 4 5" xfId="37986" xr:uid="{00000000-0005-0000-0000-0000D62B0000}"/>
    <cellStyle name="40% - Accent2 3 2 2 3 5" xfId="9550" xr:uid="{00000000-0005-0000-0000-0000D72B0000}"/>
    <cellStyle name="40% - Accent2 3 2 2 3 5 2" xfId="9551" xr:uid="{00000000-0005-0000-0000-0000D82B0000}"/>
    <cellStyle name="40% - Accent2 3 2 2 3 5 2 2" xfId="9552" xr:uid="{00000000-0005-0000-0000-0000D92B0000}"/>
    <cellStyle name="40% - Accent2 3 2 2 3 5 3" xfId="9553" xr:uid="{00000000-0005-0000-0000-0000DA2B0000}"/>
    <cellStyle name="40% - Accent2 3 2 2 3 5 4" xfId="9554" xr:uid="{00000000-0005-0000-0000-0000DB2B0000}"/>
    <cellStyle name="40% - Accent2 3 2 2 3 6" xfId="9555" xr:uid="{00000000-0005-0000-0000-0000DC2B0000}"/>
    <cellStyle name="40% - Accent2 3 2 2 3 6 2" xfId="9556" xr:uid="{00000000-0005-0000-0000-0000DD2B0000}"/>
    <cellStyle name="40% - Accent2 3 2 2 3 6 2 2" xfId="9557" xr:uid="{00000000-0005-0000-0000-0000DE2B0000}"/>
    <cellStyle name="40% - Accent2 3 2 2 3 6 3" xfId="9558" xr:uid="{00000000-0005-0000-0000-0000DF2B0000}"/>
    <cellStyle name="40% - Accent2 3 2 2 3 6 4" xfId="9559" xr:uid="{00000000-0005-0000-0000-0000E02B0000}"/>
    <cellStyle name="40% - Accent2 3 2 2 3 7" xfId="9560" xr:uid="{00000000-0005-0000-0000-0000E12B0000}"/>
    <cellStyle name="40% - Accent2 3 2 2 3 7 2" xfId="9561" xr:uid="{00000000-0005-0000-0000-0000E22B0000}"/>
    <cellStyle name="40% - Accent2 3 2 2 3 8" xfId="9562" xr:uid="{00000000-0005-0000-0000-0000E32B0000}"/>
    <cellStyle name="40% - Accent2 3 2 2 3 9" xfId="9563" xr:uid="{00000000-0005-0000-0000-0000E42B0000}"/>
    <cellStyle name="40% - Accent2 3 2 2 4" xfId="9564" xr:uid="{00000000-0005-0000-0000-0000E52B0000}"/>
    <cellStyle name="40% - Accent2 3 2 2 4 2" xfId="9565" xr:uid="{00000000-0005-0000-0000-0000E62B0000}"/>
    <cellStyle name="40% - Accent2 3 2 2 4 2 2" xfId="9566" xr:uid="{00000000-0005-0000-0000-0000E72B0000}"/>
    <cellStyle name="40% - Accent2 3 2 2 4 2 2 2" xfId="9567" xr:uid="{00000000-0005-0000-0000-0000E82B0000}"/>
    <cellStyle name="40% - Accent2 3 2 2 4 2 3" xfId="9568" xr:uid="{00000000-0005-0000-0000-0000E92B0000}"/>
    <cellStyle name="40% - Accent2 3 2 2 4 2 4" xfId="9569" xr:uid="{00000000-0005-0000-0000-0000EA2B0000}"/>
    <cellStyle name="40% - Accent2 3 2 2 4 2 5" xfId="37988" xr:uid="{00000000-0005-0000-0000-0000EB2B0000}"/>
    <cellStyle name="40% - Accent2 3 2 2 4 3" xfId="9570" xr:uid="{00000000-0005-0000-0000-0000EC2B0000}"/>
    <cellStyle name="40% - Accent2 3 2 2 4 3 2" xfId="9571" xr:uid="{00000000-0005-0000-0000-0000ED2B0000}"/>
    <cellStyle name="40% - Accent2 3 2 2 4 4" xfId="9572" xr:uid="{00000000-0005-0000-0000-0000EE2B0000}"/>
    <cellStyle name="40% - Accent2 3 2 2 4 5" xfId="9573" xr:uid="{00000000-0005-0000-0000-0000EF2B0000}"/>
    <cellStyle name="40% - Accent2 3 2 2 4 6" xfId="37987" xr:uid="{00000000-0005-0000-0000-0000F02B0000}"/>
    <cellStyle name="40% - Accent2 3 2 2 5" xfId="9574" xr:uid="{00000000-0005-0000-0000-0000F12B0000}"/>
    <cellStyle name="40% - Accent2 3 2 2 5 2" xfId="9575" xr:uid="{00000000-0005-0000-0000-0000F22B0000}"/>
    <cellStyle name="40% - Accent2 3 2 2 5 2 2" xfId="9576" xr:uid="{00000000-0005-0000-0000-0000F32B0000}"/>
    <cellStyle name="40% - Accent2 3 2 2 5 2 2 2" xfId="9577" xr:uid="{00000000-0005-0000-0000-0000F42B0000}"/>
    <cellStyle name="40% - Accent2 3 2 2 5 2 3" xfId="9578" xr:uid="{00000000-0005-0000-0000-0000F52B0000}"/>
    <cellStyle name="40% - Accent2 3 2 2 5 2 4" xfId="9579" xr:uid="{00000000-0005-0000-0000-0000F62B0000}"/>
    <cellStyle name="40% - Accent2 3 2 2 5 2 5" xfId="37990" xr:uid="{00000000-0005-0000-0000-0000F72B0000}"/>
    <cellStyle name="40% - Accent2 3 2 2 5 3" xfId="9580" xr:uid="{00000000-0005-0000-0000-0000F82B0000}"/>
    <cellStyle name="40% - Accent2 3 2 2 5 3 2" xfId="9581" xr:uid="{00000000-0005-0000-0000-0000F92B0000}"/>
    <cellStyle name="40% - Accent2 3 2 2 5 4" xfId="9582" xr:uid="{00000000-0005-0000-0000-0000FA2B0000}"/>
    <cellStyle name="40% - Accent2 3 2 2 5 5" xfId="9583" xr:uid="{00000000-0005-0000-0000-0000FB2B0000}"/>
    <cellStyle name="40% - Accent2 3 2 2 5 6" xfId="37989" xr:uid="{00000000-0005-0000-0000-0000FC2B0000}"/>
    <cellStyle name="40% - Accent2 3 2 2 6" xfId="9584" xr:uid="{00000000-0005-0000-0000-0000FD2B0000}"/>
    <cellStyle name="40% - Accent2 3 2 2 6 2" xfId="9585" xr:uid="{00000000-0005-0000-0000-0000FE2B0000}"/>
    <cellStyle name="40% - Accent2 3 2 2 6 2 2" xfId="9586" xr:uid="{00000000-0005-0000-0000-0000FF2B0000}"/>
    <cellStyle name="40% - Accent2 3 2 2 6 3" xfId="9587" xr:uid="{00000000-0005-0000-0000-0000002C0000}"/>
    <cellStyle name="40% - Accent2 3 2 2 6 4" xfId="9588" xr:uid="{00000000-0005-0000-0000-0000012C0000}"/>
    <cellStyle name="40% - Accent2 3 2 2 6 5" xfId="37991" xr:uid="{00000000-0005-0000-0000-0000022C0000}"/>
    <cellStyle name="40% - Accent2 3 2 2 7" xfId="9589" xr:uid="{00000000-0005-0000-0000-0000032C0000}"/>
    <cellStyle name="40% - Accent2 3 2 2 7 2" xfId="9590" xr:uid="{00000000-0005-0000-0000-0000042C0000}"/>
    <cellStyle name="40% - Accent2 3 2 2 7 2 2" xfId="9591" xr:uid="{00000000-0005-0000-0000-0000052C0000}"/>
    <cellStyle name="40% - Accent2 3 2 2 7 3" xfId="9592" xr:uid="{00000000-0005-0000-0000-0000062C0000}"/>
    <cellStyle name="40% - Accent2 3 2 2 7 4" xfId="9593" xr:uid="{00000000-0005-0000-0000-0000072C0000}"/>
    <cellStyle name="40% - Accent2 3 2 2 8" xfId="9594" xr:uid="{00000000-0005-0000-0000-0000082C0000}"/>
    <cellStyle name="40% - Accent2 3 2 2 8 2" xfId="9595" xr:uid="{00000000-0005-0000-0000-0000092C0000}"/>
    <cellStyle name="40% - Accent2 3 2 2 8 2 2" xfId="9596" xr:uid="{00000000-0005-0000-0000-00000A2C0000}"/>
    <cellStyle name="40% - Accent2 3 2 2 8 3" xfId="9597" xr:uid="{00000000-0005-0000-0000-00000B2C0000}"/>
    <cellStyle name="40% - Accent2 3 2 2 8 4" xfId="9598" xr:uid="{00000000-0005-0000-0000-00000C2C0000}"/>
    <cellStyle name="40% - Accent2 3 2 2 9" xfId="9599" xr:uid="{00000000-0005-0000-0000-00000D2C0000}"/>
    <cellStyle name="40% - Accent2 3 2 2 9 2" xfId="9600" xr:uid="{00000000-0005-0000-0000-00000E2C0000}"/>
    <cellStyle name="40% - Accent2 3 2 3" xfId="9601" xr:uid="{00000000-0005-0000-0000-00000F2C0000}"/>
    <cellStyle name="40% - Accent2 3 2 3 10" xfId="9602" xr:uid="{00000000-0005-0000-0000-0000102C0000}"/>
    <cellStyle name="40% - Accent2 3 2 3 11" xfId="34705" xr:uid="{00000000-0005-0000-0000-0000112C0000}"/>
    <cellStyle name="40% - Accent2 3 2 3 2" xfId="9603" xr:uid="{00000000-0005-0000-0000-0000122C0000}"/>
    <cellStyle name="40% - Accent2 3 2 3 2 10" xfId="34706" xr:uid="{00000000-0005-0000-0000-0000132C0000}"/>
    <cellStyle name="40% - Accent2 3 2 3 2 2" xfId="9604" xr:uid="{00000000-0005-0000-0000-0000142C0000}"/>
    <cellStyle name="40% - Accent2 3 2 3 2 2 2" xfId="9605" xr:uid="{00000000-0005-0000-0000-0000152C0000}"/>
    <cellStyle name="40% - Accent2 3 2 3 2 2 2 2" xfId="9606" xr:uid="{00000000-0005-0000-0000-0000162C0000}"/>
    <cellStyle name="40% - Accent2 3 2 3 2 2 2 2 2" xfId="9607" xr:uid="{00000000-0005-0000-0000-0000172C0000}"/>
    <cellStyle name="40% - Accent2 3 2 3 2 2 2 3" xfId="9608" xr:uid="{00000000-0005-0000-0000-0000182C0000}"/>
    <cellStyle name="40% - Accent2 3 2 3 2 2 2 4" xfId="9609" xr:uid="{00000000-0005-0000-0000-0000192C0000}"/>
    <cellStyle name="40% - Accent2 3 2 3 2 2 2 5" xfId="37993" xr:uid="{00000000-0005-0000-0000-00001A2C0000}"/>
    <cellStyle name="40% - Accent2 3 2 3 2 2 3" xfId="9610" xr:uid="{00000000-0005-0000-0000-00001B2C0000}"/>
    <cellStyle name="40% - Accent2 3 2 3 2 2 3 2" xfId="9611" xr:uid="{00000000-0005-0000-0000-00001C2C0000}"/>
    <cellStyle name="40% - Accent2 3 2 3 2 2 4" xfId="9612" xr:uid="{00000000-0005-0000-0000-00001D2C0000}"/>
    <cellStyle name="40% - Accent2 3 2 3 2 2 5" xfId="9613" xr:uid="{00000000-0005-0000-0000-00001E2C0000}"/>
    <cellStyle name="40% - Accent2 3 2 3 2 2 6" xfId="37992" xr:uid="{00000000-0005-0000-0000-00001F2C0000}"/>
    <cellStyle name="40% - Accent2 3 2 3 2 3" xfId="9614" xr:uid="{00000000-0005-0000-0000-0000202C0000}"/>
    <cellStyle name="40% - Accent2 3 2 3 2 3 2" xfId="9615" xr:uid="{00000000-0005-0000-0000-0000212C0000}"/>
    <cellStyle name="40% - Accent2 3 2 3 2 3 2 2" xfId="9616" xr:uid="{00000000-0005-0000-0000-0000222C0000}"/>
    <cellStyle name="40% - Accent2 3 2 3 2 3 2 2 2" xfId="9617" xr:uid="{00000000-0005-0000-0000-0000232C0000}"/>
    <cellStyle name="40% - Accent2 3 2 3 2 3 2 3" xfId="9618" xr:uid="{00000000-0005-0000-0000-0000242C0000}"/>
    <cellStyle name="40% - Accent2 3 2 3 2 3 2 4" xfId="9619" xr:uid="{00000000-0005-0000-0000-0000252C0000}"/>
    <cellStyle name="40% - Accent2 3 2 3 2 3 2 5" xfId="37995" xr:uid="{00000000-0005-0000-0000-0000262C0000}"/>
    <cellStyle name="40% - Accent2 3 2 3 2 3 3" xfId="9620" xr:uid="{00000000-0005-0000-0000-0000272C0000}"/>
    <cellStyle name="40% - Accent2 3 2 3 2 3 3 2" xfId="9621" xr:uid="{00000000-0005-0000-0000-0000282C0000}"/>
    <cellStyle name="40% - Accent2 3 2 3 2 3 4" xfId="9622" xr:uid="{00000000-0005-0000-0000-0000292C0000}"/>
    <cellStyle name="40% - Accent2 3 2 3 2 3 5" xfId="9623" xr:uid="{00000000-0005-0000-0000-00002A2C0000}"/>
    <cellStyle name="40% - Accent2 3 2 3 2 3 6" xfId="37994" xr:uid="{00000000-0005-0000-0000-00002B2C0000}"/>
    <cellStyle name="40% - Accent2 3 2 3 2 4" xfId="9624" xr:uid="{00000000-0005-0000-0000-00002C2C0000}"/>
    <cellStyle name="40% - Accent2 3 2 3 2 4 2" xfId="9625" xr:uid="{00000000-0005-0000-0000-00002D2C0000}"/>
    <cellStyle name="40% - Accent2 3 2 3 2 4 2 2" xfId="9626" xr:uid="{00000000-0005-0000-0000-00002E2C0000}"/>
    <cellStyle name="40% - Accent2 3 2 3 2 4 3" xfId="9627" xr:uid="{00000000-0005-0000-0000-00002F2C0000}"/>
    <cellStyle name="40% - Accent2 3 2 3 2 4 4" xfId="9628" xr:uid="{00000000-0005-0000-0000-0000302C0000}"/>
    <cellStyle name="40% - Accent2 3 2 3 2 4 5" xfId="37996" xr:uid="{00000000-0005-0000-0000-0000312C0000}"/>
    <cellStyle name="40% - Accent2 3 2 3 2 5" xfId="9629" xr:uid="{00000000-0005-0000-0000-0000322C0000}"/>
    <cellStyle name="40% - Accent2 3 2 3 2 5 2" xfId="9630" xr:uid="{00000000-0005-0000-0000-0000332C0000}"/>
    <cellStyle name="40% - Accent2 3 2 3 2 5 2 2" xfId="9631" xr:uid="{00000000-0005-0000-0000-0000342C0000}"/>
    <cellStyle name="40% - Accent2 3 2 3 2 5 3" xfId="9632" xr:uid="{00000000-0005-0000-0000-0000352C0000}"/>
    <cellStyle name="40% - Accent2 3 2 3 2 5 4" xfId="9633" xr:uid="{00000000-0005-0000-0000-0000362C0000}"/>
    <cellStyle name="40% - Accent2 3 2 3 2 6" xfId="9634" xr:uid="{00000000-0005-0000-0000-0000372C0000}"/>
    <cellStyle name="40% - Accent2 3 2 3 2 6 2" xfId="9635" xr:uid="{00000000-0005-0000-0000-0000382C0000}"/>
    <cellStyle name="40% - Accent2 3 2 3 2 6 2 2" xfId="9636" xr:uid="{00000000-0005-0000-0000-0000392C0000}"/>
    <cellStyle name="40% - Accent2 3 2 3 2 6 3" xfId="9637" xr:uid="{00000000-0005-0000-0000-00003A2C0000}"/>
    <cellStyle name="40% - Accent2 3 2 3 2 6 4" xfId="9638" xr:uid="{00000000-0005-0000-0000-00003B2C0000}"/>
    <cellStyle name="40% - Accent2 3 2 3 2 7" xfId="9639" xr:uid="{00000000-0005-0000-0000-00003C2C0000}"/>
    <cellStyle name="40% - Accent2 3 2 3 2 7 2" xfId="9640" xr:uid="{00000000-0005-0000-0000-00003D2C0000}"/>
    <cellStyle name="40% - Accent2 3 2 3 2 8" xfId="9641" xr:uid="{00000000-0005-0000-0000-00003E2C0000}"/>
    <cellStyle name="40% - Accent2 3 2 3 2 9" xfId="9642" xr:uid="{00000000-0005-0000-0000-00003F2C0000}"/>
    <cellStyle name="40% - Accent2 3 2 3 3" xfId="9643" xr:uid="{00000000-0005-0000-0000-0000402C0000}"/>
    <cellStyle name="40% - Accent2 3 2 3 3 2" xfId="9644" xr:uid="{00000000-0005-0000-0000-0000412C0000}"/>
    <cellStyle name="40% - Accent2 3 2 3 3 2 2" xfId="9645" xr:uid="{00000000-0005-0000-0000-0000422C0000}"/>
    <cellStyle name="40% - Accent2 3 2 3 3 2 2 2" xfId="9646" xr:uid="{00000000-0005-0000-0000-0000432C0000}"/>
    <cellStyle name="40% - Accent2 3 2 3 3 2 3" xfId="9647" xr:uid="{00000000-0005-0000-0000-0000442C0000}"/>
    <cellStyle name="40% - Accent2 3 2 3 3 2 4" xfId="9648" xr:uid="{00000000-0005-0000-0000-0000452C0000}"/>
    <cellStyle name="40% - Accent2 3 2 3 3 2 5" xfId="37998" xr:uid="{00000000-0005-0000-0000-0000462C0000}"/>
    <cellStyle name="40% - Accent2 3 2 3 3 3" xfId="9649" xr:uid="{00000000-0005-0000-0000-0000472C0000}"/>
    <cellStyle name="40% - Accent2 3 2 3 3 3 2" xfId="9650" xr:uid="{00000000-0005-0000-0000-0000482C0000}"/>
    <cellStyle name="40% - Accent2 3 2 3 3 4" xfId="9651" xr:uid="{00000000-0005-0000-0000-0000492C0000}"/>
    <cellStyle name="40% - Accent2 3 2 3 3 5" xfId="9652" xr:uid="{00000000-0005-0000-0000-00004A2C0000}"/>
    <cellStyle name="40% - Accent2 3 2 3 3 6" xfId="37997" xr:uid="{00000000-0005-0000-0000-00004B2C0000}"/>
    <cellStyle name="40% - Accent2 3 2 3 4" xfId="9653" xr:uid="{00000000-0005-0000-0000-00004C2C0000}"/>
    <cellStyle name="40% - Accent2 3 2 3 4 2" xfId="9654" xr:uid="{00000000-0005-0000-0000-00004D2C0000}"/>
    <cellStyle name="40% - Accent2 3 2 3 4 2 2" xfId="9655" xr:uid="{00000000-0005-0000-0000-00004E2C0000}"/>
    <cellStyle name="40% - Accent2 3 2 3 4 2 2 2" xfId="9656" xr:uid="{00000000-0005-0000-0000-00004F2C0000}"/>
    <cellStyle name="40% - Accent2 3 2 3 4 2 3" xfId="9657" xr:uid="{00000000-0005-0000-0000-0000502C0000}"/>
    <cellStyle name="40% - Accent2 3 2 3 4 2 4" xfId="9658" xr:uid="{00000000-0005-0000-0000-0000512C0000}"/>
    <cellStyle name="40% - Accent2 3 2 3 4 2 5" xfId="38000" xr:uid="{00000000-0005-0000-0000-0000522C0000}"/>
    <cellStyle name="40% - Accent2 3 2 3 4 3" xfId="9659" xr:uid="{00000000-0005-0000-0000-0000532C0000}"/>
    <cellStyle name="40% - Accent2 3 2 3 4 3 2" xfId="9660" xr:uid="{00000000-0005-0000-0000-0000542C0000}"/>
    <cellStyle name="40% - Accent2 3 2 3 4 4" xfId="9661" xr:uid="{00000000-0005-0000-0000-0000552C0000}"/>
    <cellStyle name="40% - Accent2 3 2 3 4 5" xfId="9662" xr:uid="{00000000-0005-0000-0000-0000562C0000}"/>
    <cellStyle name="40% - Accent2 3 2 3 4 6" xfId="37999" xr:uid="{00000000-0005-0000-0000-0000572C0000}"/>
    <cellStyle name="40% - Accent2 3 2 3 5" xfId="9663" xr:uid="{00000000-0005-0000-0000-0000582C0000}"/>
    <cellStyle name="40% - Accent2 3 2 3 5 2" xfId="9664" xr:uid="{00000000-0005-0000-0000-0000592C0000}"/>
    <cellStyle name="40% - Accent2 3 2 3 5 2 2" xfId="9665" xr:uid="{00000000-0005-0000-0000-00005A2C0000}"/>
    <cellStyle name="40% - Accent2 3 2 3 5 3" xfId="9666" xr:uid="{00000000-0005-0000-0000-00005B2C0000}"/>
    <cellStyle name="40% - Accent2 3 2 3 5 4" xfId="9667" xr:uid="{00000000-0005-0000-0000-00005C2C0000}"/>
    <cellStyle name="40% - Accent2 3 2 3 5 5" xfId="38001" xr:uid="{00000000-0005-0000-0000-00005D2C0000}"/>
    <cellStyle name="40% - Accent2 3 2 3 6" xfId="9668" xr:uid="{00000000-0005-0000-0000-00005E2C0000}"/>
    <cellStyle name="40% - Accent2 3 2 3 6 2" xfId="9669" xr:uid="{00000000-0005-0000-0000-00005F2C0000}"/>
    <cellStyle name="40% - Accent2 3 2 3 6 2 2" xfId="9670" xr:uid="{00000000-0005-0000-0000-0000602C0000}"/>
    <cellStyle name="40% - Accent2 3 2 3 6 3" xfId="9671" xr:uid="{00000000-0005-0000-0000-0000612C0000}"/>
    <cellStyle name="40% - Accent2 3 2 3 6 4" xfId="9672" xr:uid="{00000000-0005-0000-0000-0000622C0000}"/>
    <cellStyle name="40% - Accent2 3 2 3 7" xfId="9673" xr:uid="{00000000-0005-0000-0000-0000632C0000}"/>
    <cellStyle name="40% - Accent2 3 2 3 7 2" xfId="9674" xr:uid="{00000000-0005-0000-0000-0000642C0000}"/>
    <cellStyle name="40% - Accent2 3 2 3 7 2 2" xfId="9675" xr:uid="{00000000-0005-0000-0000-0000652C0000}"/>
    <cellStyle name="40% - Accent2 3 2 3 7 3" xfId="9676" xr:uid="{00000000-0005-0000-0000-0000662C0000}"/>
    <cellStyle name="40% - Accent2 3 2 3 7 4" xfId="9677" xr:uid="{00000000-0005-0000-0000-0000672C0000}"/>
    <cellStyle name="40% - Accent2 3 2 3 8" xfId="9678" xr:uid="{00000000-0005-0000-0000-0000682C0000}"/>
    <cellStyle name="40% - Accent2 3 2 3 8 2" xfId="9679" xr:uid="{00000000-0005-0000-0000-0000692C0000}"/>
    <cellStyle name="40% - Accent2 3 2 3 9" xfId="9680" xr:uid="{00000000-0005-0000-0000-00006A2C0000}"/>
    <cellStyle name="40% - Accent2 3 2 4" xfId="9681" xr:uid="{00000000-0005-0000-0000-00006B2C0000}"/>
    <cellStyle name="40% - Accent2 3 2 4 10" xfId="34707" xr:uid="{00000000-0005-0000-0000-00006C2C0000}"/>
    <cellStyle name="40% - Accent2 3 2 4 2" xfId="9682" xr:uid="{00000000-0005-0000-0000-00006D2C0000}"/>
    <cellStyle name="40% - Accent2 3 2 4 2 2" xfId="9683" xr:uid="{00000000-0005-0000-0000-00006E2C0000}"/>
    <cellStyle name="40% - Accent2 3 2 4 2 2 2" xfId="9684" xr:uid="{00000000-0005-0000-0000-00006F2C0000}"/>
    <cellStyle name="40% - Accent2 3 2 4 2 2 2 2" xfId="9685" xr:uid="{00000000-0005-0000-0000-0000702C0000}"/>
    <cellStyle name="40% - Accent2 3 2 4 2 2 3" xfId="9686" xr:uid="{00000000-0005-0000-0000-0000712C0000}"/>
    <cellStyle name="40% - Accent2 3 2 4 2 2 4" xfId="9687" xr:uid="{00000000-0005-0000-0000-0000722C0000}"/>
    <cellStyle name="40% - Accent2 3 2 4 2 2 5" xfId="38003" xr:uid="{00000000-0005-0000-0000-0000732C0000}"/>
    <cellStyle name="40% - Accent2 3 2 4 2 3" xfId="9688" xr:uid="{00000000-0005-0000-0000-0000742C0000}"/>
    <cellStyle name="40% - Accent2 3 2 4 2 3 2" xfId="9689" xr:uid="{00000000-0005-0000-0000-0000752C0000}"/>
    <cellStyle name="40% - Accent2 3 2 4 2 4" xfId="9690" xr:uid="{00000000-0005-0000-0000-0000762C0000}"/>
    <cellStyle name="40% - Accent2 3 2 4 2 5" xfId="9691" xr:uid="{00000000-0005-0000-0000-0000772C0000}"/>
    <cellStyle name="40% - Accent2 3 2 4 2 6" xfId="38002" xr:uid="{00000000-0005-0000-0000-0000782C0000}"/>
    <cellStyle name="40% - Accent2 3 2 4 3" xfId="9692" xr:uid="{00000000-0005-0000-0000-0000792C0000}"/>
    <cellStyle name="40% - Accent2 3 2 4 3 2" xfId="9693" xr:uid="{00000000-0005-0000-0000-00007A2C0000}"/>
    <cellStyle name="40% - Accent2 3 2 4 3 2 2" xfId="9694" xr:uid="{00000000-0005-0000-0000-00007B2C0000}"/>
    <cellStyle name="40% - Accent2 3 2 4 3 2 2 2" xfId="9695" xr:uid="{00000000-0005-0000-0000-00007C2C0000}"/>
    <cellStyle name="40% - Accent2 3 2 4 3 2 3" xfId="9696" xr:uid="{00000000-0005-0000-0000-00007D2C0000}"/>
    <cellStyle name="40% - Accent2 3 2 4 3 2 4" xfId="9697" xr:uid="{00000000-0005-0000-0000-00007E2C0000}"/>
    <cellStyle name="40% - Accent2 3 2 4 3 2 5" xfId="38005" xr:uid="{00000000-0005-0000-0000-00007F2C0000}"/>
    <cellStyle name="40% - Accent2 3 2 4 3 3" xfId="9698" xr:uid="{00000000-0005-0000-0000-0000802C0000}"/>
    <cellStyle name="40% - Accent2 3 2 4 3 3 2" xfId="9699" xr:uid="{00000000-0005-0000-0000-0000812C0000}"/>
    <cellStyle name="40% - Accent2 3 2 4 3 4" xfId="9700" xr:uid="{00000000-0005-0000-0000-0000822C0000}"/>
    <cellStyle name="40% - Accent2 3 2 4 3 5" xfId="9701" xr:uid="{00000000-0005-0000-0000-0000832C0000}"/>
    <cellStyle name="40% - Accent2 3 2 4 3 6" xfId="38004" xr:uid="{00000000-0005-0000-0000-0000842C0000}"/>
    <cellStyle name="40% - Accent2 3 2 4 4" xfId="9702" xr:uid="{00000000-0005-0000-0000-0000852C0000}"/>
    <cellStyle name="40% - Accent2 3 2 4 4 2" xfId="9703" xr:uid="{00000000-0005-0000-0000-0000862C0000}"/>
    <cellStyle name="40% - Accent2 3 2 4 4 2 2" xfId="9704" xr:uid="{00000000-0005-0000-0000-0000872C0000}"/>
    <cellStyle name="40% - Accent2 3 2 4 4 3" xfId="9705" xr:uid="{00000000-0005-0000-0000-0000882C0000}"/>
    <cellStyle name="40% - Accent2 3 2 4 4 4" xfId="9706" xr:uid="{00000000-0005-0000-0000-0000892C0000}"/>
    <cellStyle name="40% - Accent2 3 2 4 4 5" xfId="38006" xr:uid="{00000000-0005-0000-0000-00008A2C0000}"/>
    <cellStyle name="40% - Accent2 3 2 4 5" xfId="9707" xr:uid="{00000000-0005-0000-0000-00008B2C0000}"/>
    <cellStyle name="40% - Accent2 3 2 4 5 2" xfId="9708" xr:uid="{00000000-0005-0000-0000-00008C2C0000}"/>
    <cellStyle name="40% - Accent2 3 2 4 5 2 2" xfId="9709" xr:uid="{00000000-0005-0000-0000-00008D2C0000}"/>
    <cellStyle name="40% - Accent2 3 2 4 5 3" xfId="9710" xr:uid="{00000000-0005-0000-0000-00008E2C0000}"/>
    <cellStyle name="40% - Accent2 3 2 4 5 4" xfId="9711" xr:uid="{00000000-0005-0000-0000-00008F2C0000}"/>
    <cellStyle name="40% - Accent2 3 2 4 6" xfId="9712" xr:uid="{00000000-0005-0000-0000-0000902C0000}"/>
    <cellStyle name="40% - Accent2 3 2 4 6 2" xfId="9713" xr:uid="{00000000-0005-0000-0000-0000912C0000}"/>
    <cellStyle name="40% - Accent2 3 2 4 6 2 2" xfId="9714" xr:uid="{00000000-0005-0000-0000-0000922C0000}"/>
    <cellStyle name="40% - Accent2 3 2 4 6 3" xfId="9715" xr:uid="{00000000-0005-0000-0000-0000932C0000}"/>
    <cellStyle name="40% - Accent2 3 2 4 6 4" xfId="9716" xr:uid="{00000000-0005-0000-0000-0000942C0000}"/>
    <cellStyle name="40% - Accent2 3 2 4 7" xfId="9717" xr:uid="{00000000-0005-0000-0000-0000952C0000}"/>
    <cellStyle name="40% - Accent2 3 2 4 7 2" xfId="9718" xr:uid="{00000000-0005-0000-0000-0000962C0000}"/>
    <cellStyle name="40% - Accent2 3 2 4 8" xfId="9719" xr:uid="{00000000-0005-0000-0000-0000972C0000}"/>
    <cellStyle name="40% - Accent2 3 2 4 9" xfId="9720" xr:uid="{00000000-0005-0000-0000-0000982C0000}"/>
    <cellStyle name="40% - Accent2 3 2 5" xfId="9721" xr:uid="{00000000-0005-0000-0000-0000992C0000}"/>
    <cellStyle name="40% - Accent2 3 2 5 2" xfId="9722" xr:uid="{00000000-0005-0000-0000-00009A2C0000}"/>
    <cellStyle name="40% - Accent2 3 2 5 2 2" xfId="9723" xr:uid="{00000000-0005-0000-0000-00009B2C0000}"/>
    <cellStyle name="40% - Accent2 3 2 5 2 2 2" xfId="9724" xr:uid="{00000000-0005-0000-0000-00009C2C0000}"/>
    <cellStyle name="40% - Accent2 3 2 5 2 3" xfId="9725" xr:uid="{00000000-0005-0000-0000-00009D2C0000}"/>
    <cellStyle name="40% - Accent2 3 2 5 2 4" xfId="9726" xr:uid="{00000000-0005-0000-0000-00009E2C0000}"/>
    <cellStyle name="40% - Accent2 3 2 5 2 5" xfId="38008" xr:uid="{00000000-0005-0000-0000-00009F2C0000}"/>
    <cellStyle name="40% - Accent2 3 2 5 3" xfId="9727" xr:uid="{00000000-0005-0000-0000-0000A02C0000}"/>
    <cellStyle name="40% - Accent2 3 2 5 3 2" xfId="9728" xr:uid="{00000000-0005-0000-0000-0000A12C0000}"/>
    <cellStyle name="40% - Accent2 3 2 5 4" xfId="9729" xr:uid="{00000000-0005-0000-0000-0000A22C0000}"/>
    <cellStyle name="40% - Accent2 3 2 5 5" xfId="9730" xr:uid="{00000000-0005-0000-0000-0000A32C0000}"/>
    <cellStyle name="40% - Accent2 3 2 5 6" xfId="38007" xr:uid="{00000000-0005-0000-0000-0000A42C0000}"/>
    <cellStyle name="40% - Accent2 3 2 6" xfId="9731" xr:uid="{00000000-0005-0000-0000-0000A52C0000}"/>
    <cellStyle name="40% - Accent2 3 2 6 2" xfId="9732" xr:uid="{00000000-0005-0000-0000-0000A62C0000}"/>
    <cellStyle name="40% - Accent2 3 2 6 2 2" xfId="9733" xr:uid="{00000000-0005-0000-0000-0000A72C0000}"/>
    <cellStyle name="40% - Accent2 3 2 6 2 2 2" xfId="9734" xr:uid="{00000000-0005-0000-0000-0000A82C0000}"/>
    <cellStyle name="40% - Accent2 3 2 6 2 3" xfId="9735" xr:uid="{00000000-0005-0000-0000-0000A92C0000}"/>
    <cellStyle name="40% - Accent2 3 2 6 2 4" xfId="9736" xr:uid="{00000000-0005-0000-0000-0000AA2C0000}"/>
    <cellStyle name="40% - Accent2 3 2 6 2 5" xfId="38010" xr:uid="{00000000-0005-0000-0000-0000AB2C0000}"/>
    <cellStyle name="40% - Accent2 3 2 6 3" xfId="9737" xr:uid="{00000000-0005-0000-0000-0000AC2C0000}"/>
    <cellStyle name="40% - Accent2 3 2 6 3 2" xfId="9738" xr:uid="{00000000-0005-0000-0000-0000AD2C0000}"/>
    <cellStyle name="40% - Accent2 3 2 6 4" xfId="9739" xr:uid="{00000000-0005-0000-0000-0000AE2C0000}"/>
    <cellStyle name="40% - Accent2 3 2 6 5" xfId="9740" xr:uid="{00000000-0005-0000-0000-0000AF2C0000}"/>
    <cellStyle name="40% - Accent2 3 2 6 6" xfId="38009" xr:uid="{00000000-0005-0000-0000-0000B02C0000}"/>
    <cellStyle name="40% - Accent2 3 2 7" xfId="9741" xr:uid="{00000000-0005-0000-0000-0000B12C0000}"/>
    <cellStyle name="40% - Accent2 3 2 7 2" xfId="9742" xr:uid="{00000000-0005-0000-0000-0000B22C0000}"/>
    <cellStyle name="40% - Accent2 3 2 7 2 2" xfId="9743" xr:uid="{00000000-0005-0000-0000-0000B32C0000}"/>
    <cellStyle name="40% - Accent2 3 2 7 3" xfId="9744" xr:uid="{00000000-0005-0000-0000-0000B42C0000}"/>
    <cellStyle name="40% - Accent2 3 2 7 4" xfId="9745" xr:uid="{00000000-0005-0000-0000-0000B52C0000}"/>
    <cellStyle name="40% - Accent2 3 2 7 5" xfId="38011" xr:uid="{00000000-0005-0000-0000-0000B62C0000}"/>
    <cellStyle name="40% - Accent2 3 2 8" xfId="9746" xr:uid="{00000000-0005-0000-0000-0000B72C0000}"/>
    <cellStyle name="40% - Accent2 3 2 8 2" xfId="9747" xr:uid="{00000000-0005-0000-0000-0000B82C0000}"/>
    <cellStyle name="40% - Accent2 3 2 8 2 2" xfId="9748" xr:uid="{00000000-0005-0000-0000-0000B92C0000}"/>
    <cellStyle name="40% - Accent2 3 2 8 3" xfId="9749" xr:uid="{00000000-0005-0000-0000-0000BA2C0000}"/>
    <cellStyle name="40% - Accent2 3 2 8 4" xfId="9750" xr:uid="{00000000-0005-0000-0000-0000BB2C0000}"/>
    <cellStyle name="40% - Accent2 3 2 9" xfId="9751" xr:uid="{00000000-0005-0000-0000-0000BC2C0000}"/>
    <cellStyle name="40% - Accent2 3 2 9 2" xfId="9752" xr:uid="{00000000-0005-0000-0000-0000BD2C0000}"/>
    <cellStyle name="40% - Accent2 3 2 9 2 2" xfId="9753" xr:uid="{00000000-0005-0000-0000-0000BE2C0000}"/>
    <cellStyle name="40% - Accent2 3 2 9 3" xfId="9754" xr:uid="{00000000-0005-0000-0000-0000BF2C0000}"/>
    <cellStyle name="40% - Accent2 3 2 9 4" xfId="9755" xr:uid="{00000000-0005-0000-0000-0000C02C0000}"/>
    <cellStyle name="40% - Accent2 3 3" xfId="9756" xr:uid="{00000000-0005-0000-0000-0000C12C0000}"/>
    <cellStyle name="40% - Accent2 3 3 10" xfId="9757" xr:uid="{00000000-0005-0000-0000-0000C22C0000}"/>
    <cellStyle name="40% - Accent2 3 3 11" xfId="9758" xr:uid="{00000000-0005-0000-0000-0000C32C0000}"/>
    <cellStyle name="40% - Accent2 3 3 12" xfId="34708" xr:uid="{00000000-0005-0000-0000-0000C42C0000}"/>
    <cellStyle name="40% - Accent2 3 3 2" xfId="9759" xr:uid="{00000000-0005-0000-0000-0000C52C0000}"/>
    <cellStyle name="40% - Accent2 3 3 2 10" xfId="9760" xr:uid="{00000000-0005-0000-0000-0000C62C0000}"/>
    <cellStyle name="40% - Accent2 3 3 2 11" xfId="34709" xr:uid="{00000000-0005-0000-0000-0000C72C0000}"/>
    <cellStyle name="40% - Accent2 3 3 2 2" xfId="9761" xr:uid="{00000000-0005-0000-0000-0000C82C0000}"/>
    <cellStyle name="40% - Accent2 3 3 2 2 10" xfId="34710" xr:uid="{00000000-0005-0000-0000-0000C92C0000}"/>
    <cellStyle name="40% - Accent2 3 3 2 2 2" xfId="9762" xr:uid="{00000000-0005-0000-0000-0000CA2C0000}"/>
    <cellStyle name="40% - Accent2 3 3 2 2 2 2" xfId="9763" xr:uid="{00000000-0005-0000-0000-0000CB2C0000}"/>
    <cellStyle name="40% - Accent2 3 3 2 2 2 2 2" xfId="9764" xr:uid="{00000000-0005-0000-0000-0000CC2C0000}"/>
    <cellStyle name="40% - Accent2 3 3 2 2 2 2 2 2" xfId="9765" xr:uid="{00000000-0005-0000-0000-0000CD2C0000}"/>
    <cellStyle name="40% - Accent2 3 3 2 2 2 2 3" xfId="9766" xr:uid="{00000000-0005-0000-0000-0000CE2C0000}"/>
    <cellStyle name="40% - Accent2 3 3 2 2 2 2 4" xfId="9767" xr:uid="{00000000-0005-0000-0000-0000CF2C0000}"/>
    <cellStyle name="40% - Accent2 3 3 2 2 2 2 5" xfId="38013" xr:uid="{00000000-0005-0000-0000-0000D02C0000}"/>
    <cellStyle name="40% - Accent2 3 3 2 2 2 3" xfId="9768" xr:uid="{00000000-0005-0000-0000-0000D12C0000}"/>
    <cellStyle name="40% - Accent2 3 3 2 2 2 3 2" xfId="9769" xr:uid="{00000000-0005-0000-0000-0000D22C0000}"/>
    <cellStyle name="40% - Accent2 3 3 2 2 2 4" xfId="9770" xr:uid="{00000000-0005-0000-0000-0000D32C0000}"/>
    <cellStyle name="40% - Accent2 3 3 2 2 2 5" xfId="9771" xr:uid="{00000000-0005-0000-0000-0000D42C0000}"/>
    <cellStyle name="40% - Accent2 3 3 2 2 2 6" xfId="38012" xr:uid="{00000000-0005-0000-0000-0000D52C0000}"/>
    <cellStyle name="40% - Accent2 3 3 2 2 3" xfId="9772" xr:uid="{00000000-0005-0000-0000-0000D62C0000}"/>
    <cellStyle name="40% - Accent2 3 3 2 2 3 2" xfId="9773" xr:uid="{00000000-0005-0000-0000-0000D72C0000}"/>
    <cellStyle name="40% - Accent2 3 3 2 2 3 2 2" xfId="9774" xr:uid="{00000000-0005-0000-0000-0000D82C0000}"/>
    <cellStyle name="40% - Accent2 3 3 2 2 3 2 2 2" xfId="9775" xr:uid="{00000000-0005-0000-0000-0000D92C0000}"/>
    <cellStyle name="40% - Accent2 3 3 2 2 3 2 3" xfId="9776" xr:uid="{00000000-0005-0000-0000-0000DA2C0000}"/>
    <cellStyle name="40% - Accent2 3 3 2 2 3 2 4" xfId="9777" xr:uid="{00000000-0005-0000-0000-0000DB2C0000}"/>
    <cellStyle name="40% - Accent2 3 3 2 2 3 2 5" xfId="38015" xr:uid="{00000000-0005-0000-0000-0000DC2C0000}"/>
    <cellStyle name="40% - Accent2 3 3 2 2 3 3" xfId="9778" xr:uid="{00000000-0005-0000-0000-0000DD2C0000}"/>
    <cellStyle name="40% - Accent2 3 3 2 2 3 3 2" xfId="9779" xr:uid="{00000000-0005-0000-0000-0000DE2C0000}"/>
    <cellStyle name="40% - Accent2 3 3 2 2 3 4" xfId="9780" xr:uid="{00000000-0005-0000-0000-0000DF2C0000}"/>
    <cellStyle name="40% - Accent2 3 3 2 2 3 5" xfId="9781" xr:uid="{00000000-0005-0000-0000-0000E02C0000}"/>
    <cellStyle name="40% - Accent2 3 3 2 2 3 6" xfId="38014" xr:uid="{00000000-0005-0000-0000-0000E12C0000}"/>
    <cellStyle name="40% - Accent2 3 3 2 2 4" xfId="9782" xr:uid="{00000000-0005-0000-0000-0000E22C0000}"/>
    <cellStyle name="40% - Accent2 3 3 2 2 4 2" xfId="9783" xr:uid="{00000000-0005-0000-0000-0000E32C0000}"/>
    <cellStyle name="40% - Accent2 3 3 2 2 4 2 2" xfId="9784" xr:uid="{00000000-0005-0000-0000-0000E42C0000}"/>
    <cellStyle name="40% - Accent2 3 3 2 2 4 3" xfId="9785" xr:uid="{00000000-0005-0000-0000-0000E52C0000}"/>
    <cellStyle name="40% - Accent2 3 3 2 2 4 4" xfId="9786" xr:uid="{00000000-0005-0000-0000-0000E62C0000}"/>
    <cellStyle name="40% - Accent2 3 3 2 2 4 5" xfId="38016" xr:uid="{00000000-0005-0000-0000-0000E72C0000}"/>
    <cellStyle name="40% - Accent2 3 3 2 2 5" xfId="9787" xr:uid="{00000000-0005-0000-0000-0000E82C0000}"/>
    <cellStyle name="40% - Accent2 3 3 2 2 5 2" xfId="9788" xr:uid="{00000000-0005-0000-0000-0000E92C0000}"/>
    <cellStyle name="40% - Accent2 3 3 2 2 5 2 2" xfId="9789" xr:uid="{00000000-0005-0000-0000-0000EA2C0000}"/>
    <cellStyle name="40% - Accent2 3 3 2 2 5 3" xfId="9790" xr:uid="{00000000-0005-0000-0000-0000EB2C0000}"/>
    <cellStyle name="40% - Accent2 3 3 2 2 5 4" xfId="9791" xr:uid="{00000000-0005-0000-0000-0000EC2C0000}"/>
    <cellStyle name="40% - Accent2 3 3 2 2 6" xfId="9792" xr:uid="{00000000-0005-0000-0000-0000ED2C0000}"/>
    <cellStyle name="40% - Accent2 3 3 2 2 6 2" xfId="9793" xr:uid="{00000000-0005-0000-0000-0000EE2C0000}"/>
    <cellStyle name="40% - Accent2 3 3 2 2 6 2 2" xfId="9794" xr:uid="{00000000-0005-0000-0000-0000EF2C0000}"/>
    <cellStyle name="40% - Accent2 3 3 2 2 6 3" xfId="9795" xr:uid="{00000000-0005-0000-0000-0000F02C0000}"/>
    <cellStyle name="40% - Accent2 3 3 2 2 6 4" xfId="9796" xr:uid="{00000000-0005-0000-0000-0000F12C0000}"/>
    <cellStyle name="40% - Accent2 3 3 2 2 7" xfId="9797" xr:uid="{00000000-0005-0000-0000-0000F22C0000}"/>
    <cellStyle name="40% - Accent2 3 3 2 2 7 2" xfId="9798" xr:uid="{00000000-0005-0000-0000-0000F32C0000}"/>
    <cellStyle name="40% - Accent2 3 3 2 2 8" xfId="9799" xr:uid="{00000000-0005-0000-0000-0000F42C0000}"/>
    <cellStyle name="40% - Accent2 3 3 2 2 9" xfId="9800" xr:uid="{00000000-0005-0000-0000-0000F52C0000}"/>
    <cellStyle name="40% - Accent2 3 3 2 3" xfId="9801" xr:uid="{00000000-0005-0000-0000-0000F62C0000}"/>
    <cellStyle name="40% - Accent2 3 3 2 3 2" xfId="9802" xr:uid="{00000000-0005-0000-0000-0000F72C0000}"/>
    <cellStyle name="40% - Accent2 3 3 2 3 2 2" xfId="9803" xr:uid="{00000000-0005-0000-0000-0000F82C0000}"/>
    <cellStyle name="40% - Accent2 3 3 2 3 2 2 2" xfId="9804" xr:uid="{00000000-0005-0000-0000-0000F92C0000}"/>
    <cellStyle name="40% - Accent2 3 3 2 3 2 3" xfId="9805" xr:uid="{00000000-0005-0000-0000-0000FA2C0000}"/>
    <cellStyle name="40% - Accent2 3 3 2 3 2 4" xfId="9806" xr:uid="{00000000-0005-0000-0000-0000FB2C0000}"/>
    <cellStyle name="40% - Accent2 3 3 2 3 2 5" xfId="38018" xr:uid="{00000000-0005-0000-0000-0000FC2C0000}"/>
    <cellStyle name="40% - Accent2 3 3 2 3 3" xfId="9807" xr:uid="{00000000-0005-0000-0000-0000FD2C0000}"/>
    <cellStyle name="40% - Accent2 3 3 2 3 3 2" xfId="9808" xr:uid="{00000000-0005-0000-0000-0000FE2C0000}"/>
    <cellStyle name="40% - Accent2 3 3 2 3 4" xfId="9809" xr:uid="{00000000-0005-0000-0000-0000FF2C0000}"/>
    <cellStyle name="40% - Accent2 3 3 2 3 5" xfId="9810" xr:uid="{00000000-0005-0000-0000-0000002D0000}"/>
    <cellStyle name="40% - Accent2 3 3 2 3 6" xfId="38017" xr:uid="{00000000-0005-0000-0000-0000012D0000}"/>
    <cellStyle name="40% - Accent2 3 3 2 4" xfId="9811" xr:uid="{00000000-0005-0000-0000-0000022D0000}"/>
    <cellStyle name="40% - Accent2 3 3 2 4 2" xfId="9812" xr:uid="{00000000-0005-0000-0000-0000032D0000}"/>
    <cellStyle name="40% - Accent2 3 3 2 4 2 2" xfId="9813" xr:uid="{00000000-0005-0000-0000-0000042D0000}"/>
    <cellStyle name="40% - Accent2 3 3 2 4 2 2 2" xfId="9814" xr:uid="{00000000-0005-0000-0000-0000052D0000}"/>
    <cellStyle name="40% - Accent2 3 3 2 4 2 3" xfId="9815" xr:uid="{00000000-0005-0000-0000-0000062D0000}"/>
    <cellStyle name="40% - Accent2 3 3 2 4 2 4" xfId="9816" xr:uid="{00000000-0005-0000-0000-0000072D0000}"/>
    <cellStyle name="40% - Accent2 3 3 2 4 2 5" xfId="38020" xr:uid="{00000000-0005-0000-0000-0000082D0000}"/>
    <cellStyle name="40% - Accent2 3 3 2 4 3" xfId="9817" xr:uid="{00000000-0005-0000-0000-0000092D0000}"/>
    <cellStyle name="40% - Accent2 3 3 2 4 3 2" xfId="9818" xr:uid="{00000000-0005-0000-0000-00000A2D0000}"/>
    <cellStyle name="40% - Accent2 3 3 2 4 4" xfId="9819" xr:uid="{00000000-0005-0000-0000-00000B2D0000}"/>
    <cellStyle name="40% - Accent2 3 3 2 4 5" xfId="9820" xr:uid="{00000000-0005-0000-0000-00000C2D0000}"/>
    <cellStyle name="40% - Accent2 3 3 2 4 6" xfId="38019" xr:uid="{00000000-0005-0000-0000-00000D2D0000}"/>
    <cellStyle name="40% - Accent2 3 3 2 5" xfId="9821" xr:uid="{00000000-0005-0000-0000-00000E2D0000}"/>
    <cellStyle name="40% - Accent2 3 3 2 5 2" xfId="9822" xr:uid="{00000000-0005-0000-0000-00000F2D0000}"/>
    <cellStyle name="40% - Accent2 3 3 2 5 2 2" xfId="9823" xr:uid="{00000000-0005-0000-0000-0000102D0000}"/>
    <cellStyle name="40% - Accent2 3 3 2 5 3" xfId="9824" xr:uid="{00000000-0005-0000-0000-0000112D0000}"/>
    <cellStyle name="40% - Accent2 3 3 2 5 4" xfId="9825" xr:uid="{00000000-0005-0000-0000-0000122D0000}"/>
    <cellStyle name="40% - Accent2 3 3 2 5 5" xfId="38021" xr:uid="{00000000-0005-0000-0000-0000132D0000}"/>
    <cellStyle name="40% - Accent2 3 3 2 6" xfId="9826" xr:uid="{00000000-0005-0000-0000-0000142D0000}"/>
    <cellStyle name="40% - Accent2 3 3 2 6 2" xfId="9827" xr:uid="{00000000-0005-0000-0000-0000152D0000}"/>
    <cellStyle name="40% - Accent2 3 3 2 6 2 2" xfId="9828" xr:uid="{00000000-0005-0000-0000-0000162D0000}"/>
    <cellStyle name="40% - Accent2 3 3 2 6 3" xfId="9829" xr:uid="{00000000-0005-0000-0000-0000172D0000}"/>
    <cellStyle name="40% - Accent2 3 3 2 6 4" xfId="9830" xr:uid="{00000000-0005-0000-0000-0000182D0000}"/>
    <cellStyle name="40% - Accent2 3 3 2 7" xfId="9831" xr:uid="{00000000-0005-0000-0000-0000192D0000}"/>
    <cellStyle name="40% - Accent2 3 3 2 7 2" xfId="9832" xr:uid="{00000000-0005-0000-0000-00001A2D0000}"/>
    <cellStyle name="40% - Accent2 3 3 2 7 2 2" xfId="9833" xr:uid="{00000000-0005-0000-0000-00001B2D0000}"/>
    <cellStyle name="40% - Accent2 3 3 2 7 3" xfId="9834" xr:uid="{00000000-0005-0000-0000-00001C2D0000}"/>
    <cellStyle name="40% - Accent2 3 3 2 7 4" xfId="9835" xr:uid="{00000000-0005-0000-0000-00001D2D0000}"/>
    <cellStyle name="40% - Accent2 3 3 2 8" xfId="9836" xr:uid="{00000000-0005-0000-0000-00001E2D0000}"/>
    <cellStyle name="40% - Accent2 3 3 2 8 2" xfId="9837" xr:uid="{00000000-0005-0000-0000-00001F2D0000}"/>
    <cellStyle name="40% - Accent2 3 3 2 9" xfId="9838" xr:uid="{00000000-0005-0000-0000-0000202D0000}"/>
    <cellStyle name="40% - Accent2 3 3 3" xfId="9839" xr:uid="{00000000-0005-0000-0000-0000212D0000}"/>
    <cellStyle name="40% - Accent2 3 3 3 10" xfId="34711" xr:uid="{00000000-0005-0000-0000-0000222D0000}"/>
    <cellStyle name="40% - Accent2 3 3 3 2" xfId="9840" xr:uid="{00000000-0005-0000-0000-0000232D0000}"/>
    <cellStyle name="40% - Accent2 3 3 3 2 2" xfId="9841" xr:uid="{00000000-0005-0000-0000-0000242D0000}"/>
    <cellStyle name="40% - Accent2 3 3 3 2 2 2" xfId="9842" xr:uid="{00000000-0005-0000-0000-0000252D0000}"/>
    <cellStyle name="40% - Accent2 3 3 3 2 2 2 2" xfId="9843" xr:uid="{00000000-0005-0000-0000-0000262D0000}"/>
    <cellStyle name="40% - Accent2 3 3 3 2 2 3" xfId="9844" xr:uid="{00000000-0005-0000-0000-0000272D0000}"/>
    <cellStyle name="40% - Accent2 3 3 3 2 2 4" xfId="9845" xr:uid="{00000000-0005-0000-0000-0000282D0000}"/>
    <cellStyle name="40% - Accent2 3 3 3 2 2 5" xfId="38023" xr:uid="{00000000-0005-0000-0000-0000292D0000}"/>
    <cellStyle name="40% - Accent2 3 3 3 2 3" xfId="9846" xr:uid="{00000000-0005-0000-0000-00002A2D0000}"/>
    <cellStyle name="40% - Accent2 3 3 3 2 3 2" xfId="9847" xr:uid="{00000000-0005-0000-0000-00002B2D0000}"/>
    <cellStyle name="40% - Accent2 3 3 3 2 4" xfId="9848" xr:uid="{00000000-0005-0000-0000-00002C2D0000}"/>
    <cellStyle name="40% - Accent2 3 3 3 2 5" xfId="9849" xr:uid="{00000000-0005-0000-0000-00002D2D0000}"/>
    <cellStyle name="40% - Accent2 3 3 3 2 6" xfId="38022" xr:uid="{00000000-0005-0000-0000-00002E2D0000}"/>
    <cellStyle name="40% - Accent2 3 3 3 3" xfId="9850" xr:uid="{00000000-0005-0000-0000-00002F2D0000}"/>
    <cellStyle name="40% - Accent2 3 3 3 3 2" xfId="9851" xr:uid="{00000000-0005-0000-0000-0000302D0000}"/>
    <cellStyle name="40% - Accent2 3 3 3 3 2 2" xfId="9852" xr:uid="{00000000-0005-0000-0000-0000312D0000}"/>
    <cellStyle name="40% - Accent2 3 3 3 3 2 2 2" xfId="9853" xr:uid="{00000000-0005-0000-0000-0000322D0000}"/>
    <cellStyle name="40% - Accent2 3 3 3 3 2 3" xfId="9854" xr:uid="{00000000-0005-0000-0000-0000332D0000}"/>
    <cellStyle name="40% - Accent2 3 3 3 3 2 4" xfId="9855" xr:uid="{00000000-0005-0000-0000-0000342D0000}"/>
    <cellStyle name="40% - Accent2 3 3 3 3 2 5" xfId="38025" xr:uid="{00000000-0005-0000-0000-0000352D0000}"/>
    <cellStyle name="40% - Accent2 3 3 3 3 3" xfId="9856" xr:uid="{00000000-0005-0000-0000-0000362D0000}"/>
    <cellStyle name="40% - Accent2 3 3 3 3 3 2" xfId="9857" xr:uid="{00000000-0005-0000-0000-0000372D0000}"/>
    <cellStyle name="40% - Accent2 3 3 3 3 4" xfId="9858" xr:uid="{00000000-0005-0000-0000-0000382D0000}"/>
    <cellStyle name="40% - Accent2 3 3 3 3 5" xfId="9859" xr:uid="{00000000-0005-0000-0000-0000392D0000}"/>
    <cellStyle name="40% - Accent2 3 3 3 3 6" xfId="38024" xr:uid="{00000000-0005-0000-0000-00003A2D0000}"/>
    <cellStyle name="40% - Accent2 3 3 3 4" xfId="9860" xr:uid="{00000000-0005-0000-0000-00003B2D0000}"/>
    <cellStyle name="40% - Accent2 3 3 3 4 2" xfId="9861" xr:uid="{00000000-0005-0000-0000-00003C2D0000}"/>
    <cellStyle name="40% - Accent2 3 3 3 4 2 2" xfId="9862" xr:uid="{00000000-0005-0000-0000-00003D2D0000}"/>
    <cellStyle name="40% - Accent2 3 3 3 4 3" xfId="9863" xr:uid="{00000000-0005-0000-0000-00003E2D0000}"/>
    <cellStyle name="40% - Accent2 3 3 3 4 4" xfId="9864" xr:uid="{00000000-0005-0000-0000-00003F2D0000}"/>
    <cellStyle name="40% - Accent2 3 3 3 4 5" xfId="38026" xr:uid="{00000000-0005-0000-0000-0000402D0000}"/>
    <cellStyle name="40% - Accent2 3 3 3 5" xfId="9865" xr:uid="{00000000-0005-0000-0000-0000412D0000}"/>
    <cellStyle name="40% - Accent2 3 3 3 5 2" xfId="9866" xr:uid="{00000000-0005-0000-0000-0000422D0000}"/>
    <cellStyle name="40% - Accent2 3 3 3 5 2 2" xfId="9867" xr:uid="{00000000-0005-0000-0000-0000432D0000}"/>
    <cellStyle name="40% - Accent2 3 3 3 5 3" xfId="9868" xr:uid="{00000000-0005-0000-0000-0000442D0000}"/>
    <cellStyle name="40% - Accent2 3 3 3 5 4" xfId="9869" xr:uid="{00000000-0005-0000-0000-0000452D0000}"/>
    <cellStyle name="40% - Accent2 3 3 3 6" xfId="9870" xr:uid="{00000000-0005-0000-0000-0000462D0000}"/>
    <cellStyle name="40% - Accent2 3 3 3 6 2" xfId="9871" xr:uid="{00000000-0005-0000-0000-0000472D0000}"/>
    <cellStyle name="40% - Accent2 3 3 3 6 2 2" xfId="9872" xr:uid="{00000000-0005-0000-0000-0000482D0000}"/>
    <cellStyle name="40% - Accent2 3 3 3 6 3" xfId="9873" xr:uid="{00000000-0005-0000-0000-0000492D0000}"/>
    <cellStyle name="40% - Accent2 3 3 3 6 4" xfId="9874" xr:uid="{00000000-0005-0000-0000-00004A2D0000}"/>
    <cellStyle name="40% - Accent2 3 3 3 7" xfId="9875" xr:uid="{00000000-0005-0000-0000-00004B2D0000}"/>
    <cellStyle name="40% - Accent2 3 3 3 7 2" xfId="9876" xr:uid="{00000000-0005-0000-0000-00004C2D0000}"/>
    <cellStyle name="40% - Accent2 3 3 3 8" xfId="9877" xr:uid="{00000000-0005-0000-0000-00004D2D0000}"/>
    <cellStyle name="40% - Accent2 3 3 3 9" xfId="9878" xr:uid="{00000000-0005-0000-0000-00004E2D0000}"/>
    <cellStyle name="40% - Accent2 3 3 4" xfId="9879" xr:uid="{00000000-0005-0000-0000-00004F2D0000}"/>
    <cellStyle name="40% - Accent2 3 3 4 2" xfId="9880" xr:uid="{00000000-0005-0000-0000-0000502D0000}"/>
    <cellStyle name="40% - Accent2 3 3 4 2 2" xfId="9881" xr:uid="{00000000-0005-0000-0000-0000512D0000}"/>
    <cellStyle name="40% - Accent2 3 3 4 2 2 2" xfId="9882" xr:uid="{00000000-0005-0000-0000-0000522D0000}"/>
    <cellStyle name="40% - Accent2 3 3 4 2 3" xfId="9883" xr:uid="{00000000-0005-0000-0000-0000532D0000}"/>
    <cellStyle name="40% - Accent2 3 3 4 2 4" xfId="9884" xr:uid="{00000000-0005-0000-0000-0000542D0000}"/>
    <cellStyle name="40% - Accent2 3 3 4 2 5" xfId="38028" xr:uid="{00000000-0005-0000-0000-0000552D0000}"/>
    <cellStyle name="40% - Accent2 3 3 4 3" xfId="9885" xr:uid="{00000000-0005-0000-0000-0000562D0000}"/>
    <cellStyle name="40% - Accent2 3 3 4 3 2" xfId="9886" xr:uid="{00000000-0005-0000-0000-0000572D0000}"/>
    <cellStyle name="40% - Accent2 3 3 4 4" xfId="9887" xr:uid="{00000000-0005-0000-0000-0000582D0000}"/>
    <cellStyle name="40% - Accent2 3 3 4 5" xfId="9888" xr:uid="{00000000-0005-0000-0000-0000592D0000}"/>
    <cellStyle name="40% - Accent2 3 3 4 6" xfId="38027" xr:uid="{00000000-0005-0000-0000-00005A2D0000}"/>
    <cellStyle name="40% - Accent2 3 3 5" xfId="9889" xr:uid="{00000000-0005-0000-0000-00005B2D0000}"/>
    <cellStyle name="40% - Accent2 3 3 5 2" xfId="9890" xr:uid="{00000000-0005-0000-0000-00005C2D0000}"/>
    <cellStyle name="40% - Accent2 3 3 5 2 2" xfId="9891" xr:uid="{00000000-0005-0000-0000-00005D2D0000}"/>
    <cellStyle name="40% - Accent2 3 3 5 2 2 2" xfId="9892" xr:uid="{00000000-0005-0000-0000-00005E2D0000}"/>
    <cellStyle name="40% - Accent2 3 3 5 2 3" xfId="9893" xr:uid="{00000000-0005-0000-0000-00005F2D0000}"/>
    <cellStyle name="40% - Accent2 3 3 5 2 4" xfId="9894" xr:uid="{00000000-0005-0000-0000-0000602D0000}"/>
    <cellStyle name="40% - Accent2 3 3 5 2 5" xfId="38030" xr:uid="{00000000-0005-0000-0000-0000612D0000}"/>
    <cellStyle name="40% - Accent2 3 3 5 3" xfId="9895" xr:uid="{00000000-0005-0000-0000-0000622D0000}"/>
    <cellStyle name="40% - Accent2 3 3 5 3 2" xfId="9896" xr:uid="{00000000-0005-0000-0000-0000632D0000}"/>
    <cellStyle name="40% - Accent2 3 3 5 4" xfId="9897" xr:uid="{00000000-0005-0000-0000-0000642D0000}"/>
    <cellStyle name="40% - Accent2 3 3 5 5" xfId="9898" xr:uid="{00000000-0005-0000-0000-0000652D0000}"/>
    <cellStyle name="40% - Accent2 3 3 5 6" xfId="38029" xr:uid="{00000000-0005-0000-0000-0000662D0000}"/>
    <cellStyle name="40% - Accent2 3 3 6" xfId="9899" xr:uid="{00000000-0005-0000-0000-0000672D0000}"/>
    <cellStyle name="40% - Accent2 3 3 6 2" xfId="9900" xr:uid="{00000000-0005-0000-0000-0000682D0000}"/>
    <cellStyle name="40% - Accent2 3 3 6 2 2" xfId="9901" xr:uid="{00000000-0005-0000-0000-0000692D0000}"/>
    <cellStyle name="40% - Accent2 3 3 6 3" xfId="9902" xr:uid="{00000000-0005-0000-0000-00006A2D0000}"/>
    <cellStyle name="40% - Accent2 3 3 6 4" xfId="9903" xr:uid="{00000000-0005-0000-0000-00006B2D0000}"/>
    <cellStyle name="40% - Accent2 3 3 6 5" xfId="38031" xr:uid="{00000000-0005-0000-0000-00006C2D0000}"/>
    <cellStyle name="40% - Accent2 3 3 7" xfId="9904" xr:uid="{00000000-0005-0000-0000-00006D2D0000}"/>
    <cellStyle name="40% - Accent2 3 3 7 2" xfId="9905" xr:uid="{00000000-0005-0000-0000-00006E2D0000}"/>
    <cellStyle name="40% - Accent2 3 3 7 2 2" xfId="9906" xr:uid="{00000000-0005-0000-0000-00006F2D0000}"/>
    <cellStyle name="40% - Accent2 3 3 7 3" xfId="9907" xr:uid="{00000000-0005-0000-0000-0000702D0000}"/>
    <cellStyle name="40% - Accent2 3 3 7 4" xfId="9908" xr:uid="{00000000-0005-0000-0000-0000712D0000}"/>
    <cellStyle name="40% - Accent2 3 3 8" xfId="9909" xr:uid="{00000000-0005-0000-0000-0000722D0000}"/>
    <cellStyle name="40% - Accent2 3 3 8 2" xfId="9910" xr:uid="{00000000-0005-0000-0000-0000732D0000}"/>
    <cellStyle name="40% - Accent2 3 3 8 2 2" xfId="9911" xr:uid="{00000000-0005-0000-0000-0000742D0000}"/>
    <cellStyle name="40% - Accent2 3 3 8 3" xfId="9912" xr:uid="{00000000-0005-0000-0000-0000752D0000}"/>
    <cellStyle name="40% - Accent2 3 3 8 4" xfId="9913" xr:uid="{00000000-0005-0000-0000-0000762D0000}"/>
    <cellStyle name="40% - Accent2 3 3 9" xfId="9914" xr:uid="{00000000-0005-0000-0000-0000772D0000}"/>
    <cellStyle name="40% - Accent2 3 3 9 2" xfId="9915" xr:uid="{00000000-0005-0000-0000-0000782D0000}"/>
    <cellStyle name="40% - Accent2 3 4" xfId="9916" xr:uid="{00000000-0005-0000-0000-0000792D0000}"/>
    <cellStyle name="40% - Accent2 3 4 10" xfId="9917" xr:uid="{00000000-0005-0000-0000-00007A2D0000}"/>
    <cellStyle name="40% - Accent2 3 4 11" xfId="34712" xr:uid="{00000000-0005-0000-0000-00007B2D0000}"/>
    <cellStyle name="40% - Accent2 3 4 2" xfId="9918" xr:uid="{00000000-0005-0000-0000-00007C2D0000}"/>
    <cellStyle name="40% - Accent2 3 4 2 10" xfId="34713" xr:uid="{00000000-0005-0000-0000-00007D2D0000}"/>
    <cellStyle name="40% - Accent2 3 4 2 2" xfId="9919" xr:uid="{00000000-0005-0000-0000-00007E2D0000}"/>
    <cellStyle name="40% - Accent2 3 4 2 2 2" xfId="9920" xr:uid="{00000000-0005-0000-0000-00007F2D0000}"/>
    <cellStyle name="40% - Accent2 3 4 2 2 2 2" xfId="9921" xr:uid="{00000000-0005-0000-0000-0000802D0000}"/>
    <cellStyle name="40% - Accent2 3 4 2 2 2 2 2" xfId="9922" xr:uid="{00000000-0005-0000-0000-0000812D0000}"/>
    <cellStyle name="40% - Accent2 3 4 2 2 2 3" xfId="9923" xr:uid="{00000000-0005-0000-0000-0000822D0000}"/>
    <cellStyle name="40% - Accent2 3 4 2 2 2 4" xfId="9924" xr:uid="{00000000-0005-0000-0000-0000832D0000}"/>
    <cellStyle name="40% - Accent2 3 4 2 2 2 5" xfId="38033" xr:uid="{00000000-0005-0000-0000-0000842D0000}"/>
    <cellStyle name="40% - Accent2 3 4 2 2 3" xfId="9925" xr:uid="{00000000-0005-0000-0000-0000852D0000}"/>
    <cellStyle name="40% - Accent2 3 4 2 2 3 2" xfId="9926" xr:uid="{00000000-0005-0000-0000-0000862D0000}"/>
    <cellStyle name="40% - Accent2 3 4 2 2 4" xfId="9927" xr:uid="{00000000-0005-0000-0000-0000872D0000}"/>
    <cellStyle name="40% - Accent2 3 4 2 2 5" xfId="9928" xr:uid="{00000000-0005-0000-0000-0000882D0000}"/>
    <cellStyle name="40% - Accent2 3 4 2 2 6" xfId="38032" xr:uid="{00000000-0005-0000-0000-0000892D0000}"/>
    <cellStyle name="40% - Accent2 3 4 2 3" xfId="9929" xr:uid="{00000000-0005-0000-0000-00008A2D0000}"/>
    <cellStyle name="40% - Accent2 3 4 2 3 2" xfId="9930" xr:uid="{00000000-0005-0000-0000-00008B2D0000}"/>
    <cellStyle name="40% - Accent2 3 4 2 3 2 2" xfId="9931" xr:uid="{00000000-0005-0000-0000-00008C2D0000}"/>
    <cellStyle name="40% - Accent2 3 4 2 3 2 2 2" xfId="9932" xr:uid="{00000000-0005-0000-0000-00008D2D0000}"/>
    <cellStyle name="40% - Accent2 3 4 2 3 2 3" xfId="9933" xr:uid="{00000000-0005-0000-0000-00008E2D0000}"/>
    <cellStyle name="40% - Accent2 3 4 2 3 2 4" xfId="9934" xr:uid="{00000000-0005-0000-0000-00008F2D0000}"/>
    <cellStyle name="40% - Accent2 3 4 2 3 2 5" xfId="38035" xr:uid="{00000000-0005-0000-0000-0000902D0000}"/>
    <cellStyle name="40% - Accent2 3 4 2 3 3" xfId="9935" xr:uid="{00000000-0005-0000-0000-0000912D0000}"/>
    <cellStyle name="40% - Accent2 3 4 2 3 3 2" xfId="9936" xr:uid="{00000000-0005-0000-0000-0000922D0000}"/>
    <cellStyle name="40% - Accent2 3 4 2 3 4" xfId="9937" xr:uid="{00000000-0005-0000-0000-0000932D0000}"/>
    <cellStyle name="40% - Accent2 3 4 2 3 5" xfId="9938" xr:uid="{00000000-0005-0000-0000-0000942D0000}"/>
    <cellStyle name="40% - Accent2 3 4 2 3 6" xfId="38034" xr:uid="{00000000-0005-0000-0000-0000952D0000}"/>
    <cellStyle name="40% - Accent2 3 4 2 4" xfId="9939" xr:uid="{00000000-0005-0000-0000-0000962D0000}"/>
    <cellStyle name="40% - Accent2 3 4 2 4 2" xfId="9940" xr:uid="{00000000-0005-0000-0000-0000972D0000}"/>
    <cellStyle name="40% - Accent2 3 4 2 4 2 2" xfId="9941" xr:uid="{00000000-0005-0000-0000-0000982D0000}"/>
    <cellStyle name="40% - Accent2 3 4 2 4 3" xfId="9942" xr:uid="{00000000-0005-0000-0000-0000992D0000}"/>
    <cellStyle name="40% - Accent2 3 4 2 4 4" xfId="9943" xr:uid="{00000000-0005-0000-0000-00009A2D0000}"/>
    <cellStyle name="40% - Accent2 3 4 2 4 5" xfId="38036" xr:uid="{00000000-0005-0000-0000-00009B2D0000}"/>
    <cellStyle name="40% - Accent2 3 4 2 5" xfId="9944" xr:uid="{00000000-0005-0000-0000-00009C2D0000}"/>
    <cellStyle name="40% - Accent2 3 4 2 5 2" xfId="9945" xr:uid="{00000000-0005-0000-0000-00009D2D0000}"/>
    <cellStyle name="40% - Accent2 3 4 2 5 2 2" xfId="9946" xr:uid="{00000000-0005-0000-0000-00009E2D0000}"/>
    <cellStyle name="40% - Accent2 3 4 2 5 3" xfId="9947" xr:uid="{00000000-0005-0000-0000-00009F2D0000}"/>
    <cellStyle name="40% - Accent2 3 4 2 5 4" xfId="9948" xr:uid="{00000000-0005-0000-0000-0000A02D0000}"/>
    <cellStyle name="40% - Accent2 3 4 2 6" xfId="9949" xr:uid="{00000000-0005-0000-0000-0000A12D0000}"/>
    <cellStyle name="40% - Accent2 3 4 2 6 2" xfId="9950" xr:uid="{00000000-0005-0000-0000-0000A22D0000}"/>
    <cellStyle name="40% - Accent2 3 4 2 6 2 2" xfId="9951" xr:uid="{00000000-0005-0000-0000-0000A32D0000}"/>
    <cellStyle name="40% - Accent2 3 4 2 6 3" xfId="9952" xr:uid="{00000000-0005-0000-0000-0000A42D0000}"/>
    <cellStyle name="40% - Accent2 3 4 2 6 4" xfId="9953" xr:uid="{00000000-0005-0000-0000-0000A52D0000}"/>
    <cellStyle name="40% - Accent2 3 4 2 7" xfId="9954" xr:uid="{00000000-0005-0000-0000-0000A62D0000}"/>
    <cellStyle name="40% - Accent2 3 4 2 7 2" xfId="9955" xr:uid="{00000000-0005-0000-0000-0000A72D0000}"/>
    <cellStyle name="40% - Accent2 3 4 2 8" xfId="9956" xr:uid="{00000000-0005-0000-0000-0000A82D0000}"/>
    <cellStyle name="40% - Accent2 3 4 2 9" xfId="9957" xr:uid="{00000000-0005-0000-0000-0000A92D0000}"/>
    <cellStyle name="40% - Accent2 3 4 3" xfId="9958" xr:uid="{00000000-0005-0000-0000-0000AA2D0000}"/>
    <cellStyle name="40% - Accent2 3 4 3 2" xfId="9959" xr:uid="{00000000-0005-0000-0000-0000AB2D0000}"/>
    <cellStyle name="40% - Accent2 3 4 3 2 2" xfId="9960" xr:uid="{00000000-0005-0000-0000-0000AC2D0000}"/>
    <cellStyle name="40% - Accent2 3 4 3 2 2 2" xfId="9961" xr:uid="{00000000-0005-0000-0000-0000AD2D0000}"/>
    <cellStyle name="40% - Accent2 3 4 3 2 3" xfId="9962" xr:uid="{00000000-0005-0000-0000-0000AE2D0000}"/>
    <cellStyle name="40% - Accent2 3 4 3 2 4" xfId="9963" xr:uid="{00000000-0005-0000-0000-0000AF2D0000}"/>
    <cellStyle name="40% - Accent2 3 4 3 2 5" xfId="38038" xr:uid="{00000000-0005-0000-0000-0000B02D0000}"/>
    <cellStyle name="40% - Accent2 3 4 3 3" xfId="9964" xr:uid="{00000000-0005-0000-0000-0000B12D0000}"/>
    <cellStyle name="40% - Accent2 3 4 3 3 2" xfId="9965" xr:uid="{00000000-0005-0000-0000-0000B22D0000}"/>
    <cellStyle name="40% - Accent2 3 4 3 4" xfId="9966" xr:uid="{00000000-0005-0000-0000-0000B32D0000}"/>
    <cellStyle name="40% - Accent2 3 4 3 5" xfId="9967" xr:uid="{00000000-0005-0000-0000-0000B42D0000}"/>
    <cellStyle name="40% - Accent2 3 4 3 6" xfId="38037" xr:uid="{00000000-0005-0000-0000-0000B52D0000}"/>
    <cellStyle name="40% - Accent2 3 4 4" xfId="9968" xr:uid="{00000000-0005-0000-0000-0000B62D0000}"/>
    <cellStyle name="40% - Accent2 3 4 4 2" xfId="9969" xr:uid="{00000000-0005-0000-0000-0000B72D0000}"/>
    <cellStyle name="40% - Accent2 3 4 4 2 2" xfId="9970" xr:uid="{00000000-0005-0000-0000-0000B82D0000}"/>
    <cellStyle name="40% - Accent2 3 4 4 2 2 2" xfId="9971" xr:uid="{00000000-0005-0000-0000-0000B92D0000}"/>
    <cellStyle name="40% - Accent2 3 4 4 2 3" xfId="9972" xr:uid="{00000000-0005-0000-0000-0000BA2D0000}"/>
    <cellStyle name="40% - Accent2 3 4 4 2 4" xfId="9973" xr:uid="{00000000-0005-0000-0000-0000BB2D0000}"/>
    <cellStyle name="40% - Accent2 3 4 4 2 5" xfId="38040" xr:uid="{00000000-0005-0000-0000-0000BC2D0000}"/>
    <cellStyle name="40% - Accent2 3 4 4 3" xfId="9974" xr:uid="{00000000-0005-0000-0000-0000BD2D0000}"/>
    <cellStyle name="40% - Accent2 3 4 4 3 2" xfId="9975" xr:uid="{00000000-0005-0000-0000-0000BE2D0000}"/>
    <cellStyle name="40% - Accent2 3 4 4 4" xfId="9976" xr:uid="{00000000-0005-0000-0000-0000BF2D0000}"/>
    <cellStyle name="40% - Accent2 3 4 4 5" xfId="9977" xr:uid="{00000000-0005-0000-0000-0000C02D0000}"/>
    <cellStyle name="40% - Accent2 3 4 4 6" xfId="38039" xr:uid="{00000000-0005-0000-0000-0000C12D0000}"/>
    <cellStyle name="40% - Accent2 3 4 5" xfId="9978" xr:uid="{00000000-0005-0000-0000-0000C22D0000}"/>
    <cellStyle name="40% - Accent2 3 4 5 2" xfId="9979" xr:uid="{00000000-0005-0000-0000-0000C32D0000}"/>
    <cellStyle name="40% - Accent2 3 4 5 2 2" xfId="9980" xr:uid="{00000000-0005-0000-0000-0000C42D0000}"/>
    <cellStyle name="40% - Accent2 3 4 5 3" xfId="9981" xr:uid="{00000000-0005-0000-0000-0000C52D0000}"/>
    <cellStyle name="40% - Accent2 3 4 5 4" xfId="9982" xr:uid="{00000000-0005-0000-0000-0000C62D0000}"/>
    <cellStyle name="40% - Accent2 3 4 5 5" xfId="38041" xr:uid="{00000000-0005-0000-0000-0000C72D0000}"/>
    <cellStyle name="40% - Accent2 3 4 6" xfId="9983" xr:uid="{00000000-0005-0000-0000-0000C82D0000}"/>
    <cellStyle name="40% - Accent2 3 4 6 2" xfId="9984" xr:uid="{00000000-0005-0000-0000-0000C92D0000}"/>
    <cellStyle name="40% - Accent2 3 4 6 2 2" xfId="9985" xr:uid="{00000000-0005-0000-0000-0000CA2D0000}"/>
    <cellStyle name="40% - Accent2 3 4 6 3" xfId="9986" xr:uid="{00000000-0005-0000-0000-0000CB2D0000}"/>
    <cellStyle name="40% - Accent2 3 4 6 4" xfId="9987" xr:uid="{00000000-0005-0000-0000-0000CC2D0000}"/>
    <cellStyle name="40% - Accent2 3 4 7" xfId="9988" xr:uid="{00000000-0005-0000-0000-0000CD2D0000}"/>
    <cellStyle name="40% - Accent2 3 4 7 2" xfId="9989" xr:uid="{00000000-0005-0000-0000-0000CE2D0000}"/>
    <cellStyle name="40% - Accent2 3 4 7 2 2" xfId="9990" xr:uid="{00000000-0005-0000-0000-0000CF2D0000}"/>
    <cellStyle name="40% - Accent2 3 4 7 3" xfId="9991" xr:uid="{00000000-0005-0000-0000-0000D02D0000}"/>
    <cellStyle name="40% - Accent2 3 4 7 4" xfId="9992" xr:uid="{00000000-0005-0000-0000-0000D12D0000}"/>
    <cellStyle name="40% - Accent2 3 4 8" xfId="9993" xr:uid="{00000000-0005-0000-0000-0000D22D0000}"/>
    <cellStyle name="40% - Accent2 3 4 8 2" xfId="9994" xr:uid="{00000000-0005-0000-0000-0000D32D0000}"/>
    <cellStyle name="40% - Accent2 3 4 9" xfId="9995" xr:uid="{00000000-0005-0000-0000-0000D42D0000}"/>
    <cellStyle name="40% - Accent2 3 5" xfId="9996" xr:uid="{00000000-0005-0000-0000-0000D52D0000}"/>
    <cellStyle name="40% - Accent2 3 5 10" xfId="34714" xr:uid="{00000000-0005-0000-0000-0000D62D0000}"/>
    <cellStyle name="40% - Accent2 3 5 2" xfId="9997" xr:uid="{00000000-0005-0000-0000-0000D72D0000}"/>
    <cellStyle name="40% - Accent2 3 5 2 2" xfId="9998" xr:uid="{00000000-0005-0000-0000-0000D82D0000}"/>
    <cellStyle name="40% - Accent2 3 5 2 2 2" xfId="9999" xr:uid="{00000000-0005-0000-0000-0000D92D0000}"/>
    <cellStyle name="40% - Accent2 3 5 2 2 2 2" xfId="10000" xr:uid="{00000000-0005-0000-0000-0000DA2D0000}"/>
    <cellStyle name="40% - Accent2 3 5 2 2 3" xfId="10001" xr:uid="{00000000-0005-0000-0000-0000DB2D0000}"/>
    <cellStyle name="40% - Accent2 3 5 2 2 4" xfId="10002" xr:uid="{00000000-0005-0000-0000-0000DC2D0000}"/>
    <cellStyle name="40% - Accent2 3 5 2 2 5" xfId="38043" xr:uid="{00000000-0005-0000-0000-0000DD2D0000}"/>
    <cellStyle name="40% - Accent2 3 5 2 3" xfId="10003" xr:uid="{00000000-0005-0000-0000-0000DE2D0000}"/>
    <cellStyle name="40% - Accent2 3 5 2 3 2" xfId="10004" xr:uid="{00000000-0005-0000-0000-0000DF2D0000}"/>
    <cellStyle name="40% - Accent2 3 5 2 4" xfId="10005" xr:uid="{00000000-0005-0000-0000-0000E02D0000}"/>
    <cellStyle name="40% - Accent2 3 5 2 5" xfId="10006" xr:uid="{00000000-0005-0000-0000-0000E12D0000}"/>
    <cellStyle name="40% - Accent2 3 5 2 6" xfId="38042" xr:uid="{00000000-0005-0000-0000-0000E22D0000}"/>
    <cellStyle name="40% - Accent2 3 5 3" xfId="10007" xr:uid="{00000000-0005-0000-0000-0000E32D0000}"/>
    <cellStyle name="40% - Accent2 3 5 3 2" xfId="10008" xr:uid="{00000000-0005-0000-0000-0000E42D0000}"/>
    <cellStyle name="40% - Accent2 3 5 3 2 2" xfId="10009" xr:uid="{00000000-0005-0000-0000-0000E52D0000}"/>
    <cellStyle name="40% - Accent2 3 5 3 2 2 2" xfId="10010" xr:uid="{00000000-0005-0000-0000-0000E62D0000}"/>
    <cellStyle name="40% - Accent2 3 5 3 2 3" xfId="10011" xr:uid="{00000000-0005-0000-0000-0000E72D0000}"/>
    <cellStyle name="40% - Accent2 3 5 3 2 4" xfId="10012" xr:uid="{00000000-0005-0000-0000-0000E82D0000}"/>
    <cellStyle name="40% - Accent2 3 5 3 2 5" xfId="38045" xr:uid="{00000000-0005-0000-0000-0000E92D0000}"/>
    <cellStyle name="40% - Accent2 3 5 3 3" xfId="10013" xr:uid="{00000000-0005-0000-0000-0000EA2D0000}"/>
    <cellStyle name="40% - Accent2 3 5 3 3 2" xfId="10014" xr:uid="{00000000-0005-0000-0000-0000EB2D0000}"/>
    <cellStyle name="40% - Accent2 3 5 3 4" xfId="10015" xr:uid="{00000000-0005-0000-0000-0000EC2D0000}"/>
    <cellStyle name="40% - Accent2 3 5 3 5" xfId="10016" xr:uid="{00000000-0005-0000-0000-0000ED2D0000}"/>
    <cellStyle name="40% - Accent2 3 5 3 6" xfId="38044" xr:uid="{00000000-0005-0000-0000-0000EE2D0000}"/>
    <cellStyle name="40% - Accent2 3 5 4" xfId="10017" xr:uid="{00000000-0005-0000-0000-0000EF2D0000}"/>
    <cellStyle name="40% - Accent2 3 5 4 2" xfId="10018" xr:uid="{00000000-0005-0000-0000-0000F02D0000}"/>
    <cellStyle name="40% - Accent2 3 5 4 2 2" xfId="10019" xr:uid="{00000000-0005-0000-0000-0000F12D0000}"/>
    <cellStyle name="40% - Accent2 3 5 4 3" xfId="10020" xr:uid="{00000000-0005-0000-0000-0000F22D0000}"/>
    <cellStyle name="40% - Accent2 3 5 4 4" xfId="10021" xr:uid="{00000000-0005-0000-0000-0000F32D0000}"/>
    <cellStyle name="40% - Accent2 3 5 4 5" xfId="38046" xr:uid="{00000000-0005-0000-0000-0000F42D0000}"/>
    <cellStyle name="40% - Accent2 3 5 5" xfId="10022" xr:uid="{00000000-0005-0000-0000-0000F52D0000}"/>
    <cellStyle name="40% - Accent2 3 5 5 2" xfId="10023" xr:uid="{00000000-0005-0000-0000-0000F62D0000}"/>
    <cellStyle name="40% - Accent2 3 5 5 2 2" xfId="10024" xr:uid="{00000000-0005-0000-0000-0000F72D0000}"/>
    <cellStyle name="40% - Accent2 3 5 5 3" xfId="10025" xr:uid="{00000000-0005-0000-0000-0000F82D0000}"/>
    <cellStyle name="40% - Accent2 3 5 5 4" xfId="10026" xr:uid="{00000000-0005-0000-0000-0000F92D0000}"/>
    <cellStyle name="40% - Accent2 3 5 6" xfId="10027" xr:uid="{00000000-0005-0000-0000-0000FA2D0000}"/>
    <cellStyle name="40% - Accent2 3 5 6 2" xfId="10028" xr:uid="{00000000-0005-0000-0000-0000FB2D0000}"/>
    <cellStyle name="40% - Accent2 3 5 6 2 2" xfId="10029" xr:uid="{00000000-0005-0000-0000-0000FC2D0000}"/>
    <cellStyle name="40% - Accent2 3 5 6 3" xfId="10030" xr:uid="{00000000-0005-0000-0000-0000FD2D0000}"/>
    <cellStyle name="40% - Accent2 3 5 6 4" xfId="10031" xr:uid="{00000000-0005-0000-0000-0000FE2D0000}"/>
    <cellStyle name="40% - Accent2 3 5 7" xfId="10032" xr:uid="{00000000-0005-0000-0000-0000FF2D0000}"/>
    <cellStyle name="40% - Accent2 3 5 7 2" xfId="10033" xr:uid="{00000000-0005-0000-0000-0000002E0000}"/>
    <cellStyle name="40% - Accent2 3 5 8" xfId="10034" xr:uid="{00000000-0005-0000-0000-0000012E0000}"/>
    <cellStyle name="40% - Accent2 3 5 9" xfId="10035" xr:uid="{00000000-0005-0000-0000-0000022E0000}"/>
    <cellStyle name="40% - Accent2 3 6" xfId="10036" xr:uid="{00000000-0005-0000-0000-0000032E0000}"/>
    <cellStyle name="40% - Accent2 3 6 2" xfId="10037" xr:uid="{00000000-0005-0000-0000-0000042E0000}"/>
    <cellStyle name="40% - Accent2 3 6 2 2" xfId="10038" xr:uid="{00000000-0005-0000-0000-0000052E0000}"/>
    <cellStyle name="40% - Accent2 3 6 2 2 2" xfId="10039" xr:uid="{00000000-0005-0000-0000-0000062E0000}"/>
    <cellStyle name="40% - Accent2 3 6 2 3" xfId="10040" xr:uid="{00000000-0005-0000-0000-0000072E0000}"/>
    <cellStyle name="40% - Accent2 3 6 2 4" xfId="10041" xr:uid="{00000000-0005-0000-0000-0000082E0000}"/>
    <cellStyle name="40% - Accent2 3 6 2 5" xfId="38048" xr:uid="{00000000-0005-0000-0000-0000092E0000}"/>
    <cellStyle name="40% - Accent2 3 6 3" xfId="10042" xr:uid="{00000000-0005-0000-0000-00000A2E0000}"/>
    <cellStyle name="40% - Accent2 3 6 3 2" xfId="10043" xr:uid="{00000000-0005-0000-0000-00000B2E0000}"/>
    <cellStyle name="40% - Accent2 3 6 3 2 2" xfId="10044" xr:uid="{00000000-0005-0000-0000-00000C2E0000}"/>
    <cellStyle name="40% - Accent2 3 6 3 3" xfId="10045" xr:uid="{00000000-0005-0000-0000-00000D2E0000}"/>
    <cellStyle name="40% - Accent2 3 6 3 4" xfId="10046" xr:uid="{00000000-0005-0000-0000-00000E2E0000}"/>
    <cellStyle name="40% - Accent2 3 6 4" xfId="10047" xr:uid="{00000000-0005-0000-0000-00000F2E0000}"/>
    <cellStyle name="40% - Accent2 3 6 4 2" xfId="10048" xr:uid="{00000000-0005-0000-0000-0000102E0000}"/>
    <cellStyle name="40% - Accent2 3 6 5" xfId="10049" xr:uid="{00000000-0005-0000-0000-0000112E0000}"/>
    <cellStyle name="40% - Accent2 3 6 6" xfId="10050" xr:uid="{00000000-0005-0000-0000-0000122E0000}"/>
    <cellStyle name="40% - Accent2 3 6 7" xfId="38047" xr:uid="{00000000-0005-0000-0000-0000132E0000}"/>
    <cellStyle name="40% - Accent2 3 7" xfId="10051" xr:uid="{00000000-0005-0000-0000-0000142E0000}"/>
    <cellStyle name="40% - Accent2 3 7 2" xfId="10052" xr:uid="{00000000-0005-0000-0000-0000152E0000}"/>
    <cellStyle name="40% - Accent2 3 7 2 2" xfId="10053" xr:uid="{00000000-0005-0000-0000-0000162E0000}"/>
    <cellStyle name="40% - Accent2 3 7 2 2 2" xfId="10054" xr:uid="{00000000-0005-0000-0000-0000172E0000}"/>
    <cellStyle name="40% - Accent2 3 7 2 3" xfId="10055" xr:uid="{00000000-0005-0000-0000-0000182E0000}"/>
    <cellStyle name="40% - Accent2 3 7 2 4" xfId="10056" xr:uid="{00000000-0005-0000-0000-0000192E0000}"/>
    <cellStyle name="40% - Accent2 3 7 2 5" xfId="38050" xr:uid="{00000000-0005-0000-0000-00001A2E0000}"/>
    <cellStyle name="40% - Accent2 3 7 3" xfId="10057" xr:uid="{00000000-0005-0000-0000-00001B2E0000}"/>
    <cellStyle name="40% - Accent2 3 7 4" xfId="10058" xr:uid="{00000000-0005-0000-0000-00001C2E0000}"/>
    <cellStyle name="40% - Accent2 3 7 4 2" xfId="10059" xr:uid="{00000000-0005-0000-0000-00001D2E0000}"/>
    <cellStyle name="40% - Accent2 3 7 5" xfId="10060" xr:uid="{00000000-0005-0000-0000-00001E2E0000}"/>
    <cellStyle name="40% - Accent2 3 7 6" xfId="10061" xr:uid="{00000000-0005-0000-0000-00001F2E0000}"/>
    <cellStyle name="40% - Accent2 3 7 7" xfId="38049" xr:uid="{00000000-0005-0000-0000-0000202E0000}"/>
    <cellStyle name="40% - Accent2 3 8" xfId="10062" xr:uid="{00000000-0005-0000-0000-0000212E0000}"/>
    <cellStyle name="40% - Accent2 3 8 2" xfId="10063" xr:uid="{00000000-0005-0000-0000-0000222E0000}"/>
    <cellStyle name="40% - Accent2 3 8 2 2" xfId="10064" xr:uid="{00000000-0005-0000-0000-0000232E0000}"/>
    <cellStyle name="40% - Accent2 3 8 3" xfId="10065" xr:uid="{00000000-0005-0000-0000-0000242E0000}"/>
    <cellStyle name="40% - Accent2 3 8 4" xfId="10066" xr:uid="{00000000-0005-0000-0000-0000252E0000}"/>
    <cellStyle name="40% - Accent2 3 8 5" xfId="38051" xr:uid="{00000000-0005-0000-0000-0000262E0000}"/>
    <cellStyle name="40% - Accent2 3 9" xfId="10067" xr:uid="{00000000-0005-0000-0000-0000272E0000}"/>
    <cellStyle name="40% - Accent2 3 9 2" xfId="10068" xr:uid="{00000000-0005-0000-0000-0000282E0000}"/>
    <cellStyle name="40% - Accent2 3 9 2 2" xfId="10069" xr:uid="{00000000-0005-0000-0000-0000292E0000}"/>
    <cellStyle name="40% - Accent2 3 9 3" xfId="10070" xr:uid="{00000000-0005-0000-0000-00002A2E0000}"/>
    <cellStyle name="40% - Accent2 3 9 4" xfId="10071" xr:uid="{00000000-0005-0000-0000-00002B2E0000}"/>
    <cellStyle name="40% - Accent2 3 9 5" xfId="38052" xr:uid="{00000000-0005-0000-0000-00002C2E0000}"/>
    <cellStyle name="40% - Accent2 4" xfId="10072" xr:uid="{00000000-0005-0000-0000-00002D2E0000}"/>
    <cellStyle name="40% - Accent2 4 10" xfId="10073" xr:uid="{00000000-0005-0000-0000-00002E2E0000}"/>
    <cellStyle name="40% - Accent2 4 10 2" xfId="10074" xr:uid="{00000000-0005-0000-0000-00002F2E0000}"/>
    <cellStyle name="40% - Accent2 4 11" xfId="10075" xr:uid="{00000000-0005-0000-0000-0000302E0000}"/>
    <cellStyle name="40% - Accent2 4 12" xfId="10076" xr:uid="{00000000-0005-0000-0000-0000312E0000}"/>
    <cellStyle name="40% - Accent2 4 13" xfId="34715" xr:uid="{00000000-0005-0000-0000-0000322E0000}"/>
    <cellStyle name="40% - Accent2 4 2" xfId="10077" xr:uid="{00000000-0005-0000-0000-0000332E0000}"/>
    <cellStyle name="40% - Accent2 4 2 10" xfId="10078" xr:uid="{00000000-0005-0000-0000-0000342E0000}"/>
    <cellStyle name="40% - Accent2 4 2 11" xfId="10079" xr:uid="{00000000-0005-0000-0000-0000352E0000}"/>
    <cellStyle name="40% - Accent2 4 2 12" xfId="34716" xr:uid="{00000000-0005-0000-0000-0000362E0000}"/>
    <cellStyle name="40% - Accent2 4 2 2" xfId="10080" xr:uid="{00000000-0005-0000-0000-0000372E0000}"/>
    <cellStyle name="40% - Accent2 4 2 2 10" xfId="10081" xr:uid="{00000000-0005-0000-0000-0000382E0000}"/>
    <cellStyle name="40% - Accent2 4 2 2 11" xfId="34717" xr:uid="{00000000-0005-0000-0000-0000392E0000}"/>
    <cellStyle name="40% - Accent2 4 2 2 2" xfId="10082" xr:uid="{00000000-0005-0000-0000-00003A2E0000}"/>
    <cellStyle name="40% - Accent2 4 2 2 2 10" xfId="34718" xr:uid="{00000000-0005-0000-0000-00003B2E0000}"/>
    <cellStyle name="40% - Accent2 4 2 2 2 2" xfId="10083" xr:uid="{00000000-0005-0000-0000-00003C2E0000}"/>
    <cellStyle name="40% - Accent2 4 2 2 2 2 2" xfId="10084" xr:uid="{00000000-0005-0000-0000-00003D2E0000}"/>
    <cellStyle name="40% - Accent2 4 2 2 2 2 2 2" xfId="10085" xr:uid="{00000000-0005-0000-0000-00003E2E0000}"/>
    <cellStyle name="40% - Accent2 4 2 2 2 2 2 2 2" xfId="10086" xr:uid="{00000000-0005-0000-0000-00003F2E0000}"/>
    <cellStyle name="40% - Accent2 4 2 2 2 2 2 3" xfId="10087" xr:uid="{00000000-0005-0000-0000-0000402E0000}"/>
    <cellStyle name="40% - Accent2 4 2 2 2 2 2 4" xfId="10088" xr:uid="{00000000-0005-0000-0000-0000412E0000}"/>
    <cellStyle name="40% - Accent2 4 2 2 2 2 2 5" xfId="38054" xr:uid="{00000000-0005-0000-0000-0000422E0000}"/>
    <cellStyle name="40% - Accent2 4 2 2 2 2 3" xfId="10089" xr:uid="{00000000-0005-0000-0000-0000432E0000}"/>
    <cellStyle name="40% - Accent2 4 2 2 2 2 3 2" xfId="10090" xr:uid="{00000000-0005-0000-0000-0000442E0000}"/>
    <cellStyle name="40% - Accent2 4 2 2 2 2 4" xfId="10091" xr:uid="{00000000-0005-0000-0000-0000452E0000}"/>
    <cellStyle name="40% - Accent2 4 2 2 2 2 5" xfId="10092" xr:uid="{00000000-0005-0000-0000-0000462E0000}"/>
    <cellStyle name="40% - Accent2 4 2 2 2 2 6" xfId="38053" xr:uid="{00000000-0005-0000-0000-0000472E0000}"/>
    <cellStyle name="40% - Accent2 4 2 2 2 3" xfId="10093" xr:uid="{00000000-0005-0000-0000-0000482E0000}"/>
    <cellStyle name="40% - Accent2 4 2 2 2 3 2" xfId="10094" xr:uid="{00000000-0005-0000-0000-0000492E0000}"/>
    <cellStyle name="40% - Accent2 4 2 2 2 3 2 2" xfId="10095" xr:uid="{00000000-0005-0000-0000-00004A2E0000}"/>
    <cellStyle name="40% - Accent2 4 2 2 2 3 2 2 2" xfId="10096" xr:uid="{00000000-0005-0000-0000-00004B2E0000}"/>
    <cellStyle name="40% - Accent2 4 2 2 2 3 2 3" xfId="10097" xr:uid="{00000000-0005-0000-0000-00004C2E0000}"/>
    <cellStyle name="40% - Accent2 4 2 2 2 3 2 4" xfId="10098" xr:uid="{00000000-0005-0000-0000-00004D2E0000}"/>
    <cellStyle name="40% - Accent2 4 2 2 2 3 2 5" xfId="38056" xr:uid="{00000000-0005-0000-0000-00004E2E0000}"/>
    <cellStyle name="40% - Accent2 4 2 2 2 3 3" xfId="10099" xr:uid="{00000000-0005-0000-0000-00004F2E0000}"/>
    <cellStyle name="40% - Accent2 4 2 2 2 3 3 2" xfId="10100" xr:uid="{00000000-0005-0000-0000-0000502E0000}"/>
    <cellStyle name="40% - Accent2 4 2 2 2 3 4" xfId="10101" xr:uid="{00000000-0005-0000-0000-0000512E0000}"/>
    <cellStyle name="40% - Accent2 4 2 2 2 3 5" xfId="10102" xr:uid="{00000000-0005-0000-0000-0000522E0000}"/>
    <cellStyle name="40% - Accent2 4 2 2 2 3 6" xfId="38055" xr:uid="{00000000-0005-0000-0000-0000532E0000}"/>
    <cellStyle name="40% - Accent2 4 2 2 2 4" xfId="10103" xr:uid="{00000000-0005-0000-0000-0000542E0000}"/>
    <cellStyle name="40% - Accent2 4 2 2 2 4 2" xfId="10104" xr:uid="{00000000-0005-0000-0000-0000552E0000}"/>
    <cellStyle name="40% - Accent2 4 2 2 2 4 2 2" xfId="10105" xr:uid="{00000000-0005-0000-0000-0000562E0000}"/>
    <cellStyle name="40% - Accent2 4 2 2 2 4 3" xfId="10106" xr:uid="{00000000-0005-0000-0000-0000572E0000}"/>
    <cellStyle name="40% - Accent2 4 2 2 2 4 4" xfId="10107" xr:uid="{00000000-0005-0000-0000-0000582E0000}"/>
    <cellStyle name="40% - Accent2 4 2 2 2 4 5" xfId="38057" xr:uid="{00000000-0005-0000-0000-0000592E0000}"/>
    <cellStyle name="40% - Accent2 4 2 2 2 5" xfId="10108" xr:uid="{00000000-0005-0000-0000-00005A2E0000}"/>
    <cellStyle name="40% - Accent2 4 2 2 2 5 2" xfId="10109" xr:uid="{00000000-0005-0000-0000-00005B2E0000}"/>
    <cellStyle name="40% - Accent2 4 2 2 2 5 2 2" xfId="10110" xr:uid="{00000000-0005-0000-0000-00005C2E0000}"/>
    <cellStyle name="40% - Accent2 4 2 2 2 5 3" xfId="10111" xr:uid="{00000000-0005-0000-0000-00005D2E0000}"/>
    <cellStyle name="40% - Accent2 4 2 2 2 5 4" xfId="10112" xr:uid="{00000000-0005-0000-0000-00005E2E0000}"/>
    <cellStyle name="40% - Accent2 4 2 2 2 6" xfId="10113" xr:uid="{00000000-0005-0000-0000-00005F2E0000}"/>
    <cellStyle name="40% - Accent2 4 2 2 2 6 2" xfId="10114" xr:uid="{00000000-0005-0000-0000-0000602E0000}"/>
    <cellStyle name="40% - Accent2 4 2 2 2 6 2 2" xfId="10115" xr:uid="{00000000-0005-0000-0000-0000612E0000}"/>
    <cellStyle name="40% - Accent2 4 2 2 2 6 3" xfId="10116" xr:uid="{00000000-0005-0000-0000-0000622E0000}"/>
    <cellStyle name="40% - Accent2 4 2 2 2 6 4" xfId="10117" xr:uid="{00000000-0005-0000-0000-0000632E0000}"/>
    <cellStyle name="40% - Accent2 4 2 2 2 7" xfId="10118" xr:uid="{00000000-0005-0000-0000-0000642E0000}"/>
    <cellStyle name="40% - Accent2 4 2 2 2 7 2" xfId="10119" xr:uid="{00000000-0005-0000-0000-0000652E0000}"/>
    <cellStyle name="40% - Accent2 4 2 2 2 8" xfId="10120" xr:uid="{00000000-0005-0000-0000-0000662E0000}"/>
    <cellStyle name="40% - Accent2 4 2 2 2 9" xfId="10121" xr:uid="{00000000-0005-0000-0000-0000672E0000}"/>
    <cellStyle name="40% - Accent2 4 2 2 3" xfId="10122" xr:uid="{00000000-0005-0000-0000-0000682E0000}"/>
    <cellStyle name="40% - Accent2 4 2 2 3 2" xfId="10123" xr:uid="{00000000-0005-0000-0000-0000692E0000}"/>
    <cellStyle name="40% - Accent2 4 2 2 3 2 2" xfId="10124" xr:uid="{00000000-0005-0000-0000-00006A2E0000}"/>
    <cellStyle name="40% - Accent2 4 2 2 3 2 2 2" xfId="10125" xr:uid="{00000000-0005-0000-0000-00006B2E0000}"/>
    <cellStyle name="40% - Accent2 4 2 2 3 2 3" xfId="10126" xr:uid="{00000000-0005-0000-0000-00006C2E0000}"/>
    <cellStyle name="40% - Accent2 4 2 2 3 2 4" xfId="10127" xr:uid="{00000000-0005-0000-0000-00006D2E0000}"/>
    <cellStyle name="40% - Accent2 4 2 2 3 2 5" xfId="38059" xr:uid="{00000000-0005-0000-0000-00006E2E0000}"/>
    <cellStyle name="40% - Accent2 4 2 2 3 3" xfId="10128" xr:uid="{00000000-0005-0000-0000-00006F2E0000}"/>
    <cellStyle name="40% - Accent2 4 2 2 3 3 2" xfId="10129" xr:uid="{00000000-0005-0000-0000-0000702E0000}"/>
    <cellStyle name="40% - Accent2 4 2 2 3 4" xfId="10130" xr:uid="{00000000-0005-0000-0000-0000712E0000}"/>
    <cellStyle name="40% - Accent2 4 2 2 3 5" xfId="10131" xr:uid="{00000000-0005-0000-0000-0000722E0000}"/>
    <cellStyle name="40% - Accent2 4 2 2 3 6" xfId="38058" xr:uid="{00000000-0005-0000-0000-0000732E0000}"/>
    <cellStyle name="40% - Accent2 4 2 2 4" xfId="10132" xr:uid="{00000000-0005-0000-0000-0000742E0000}"/>
    <cellStyle name="40% - Accent2 4 2 2 4 2" xfId="10133" xr:uid="{00000000-0005-0000-0000-0000752E0000}"/>
    <cellStyle name="40% - Accent2 4 2 2 4 2 2" xfId="10134" xr:uid="{00000000-0005-0000-0000-0000762E0000}"/>
    <cellStyle name="40% - Accent2 4 2 2 4 2 2 2" xfId="10135" xr:uid="{00000000-0005-0000-0000-0000772E0000}"/>
    <cellStyle name="40% - Accent2 4 2 2 4 2 3" xfId="10136" xr:uid="{00000000-0005-0000-0000-0000782E0000}"/>
    <cellStyle name="40% - Accent2 4 2 2 4 2 4" xfId="10137" xr:uid="{00000000-0005-0000-0000-0000792E0000}"/>
    <cellStyle name="40% - Accent2 4 2 2 4 2 5" xfId="38061" xr:uid="{00000000-0005-0000-0000-00007A2E0000}"/>
    <cellStyle name="40% - Accent2 4 2 2 4 3" xfId="10138" xr:uid="{00000000-0005-0000-0000-00007B2E0000}"/>
    <cellStyle name="40% - Accent2 4 2 2 4 3 2" xfId="10139" xr:uid="{00000000-0005-0000-0000-00007C2E0000}"/>
    <cellStyle name="40% - Accent2 4 2 2 4 4" xfId="10140" xr:uid="{00000000-0005-0000-0000-00007D2E0000}"/>
    <cellStyle name="40% - Accent2 4 2 2 4 5" xfId="10141" xr:uid="{00000000-0005-0000-0000-00007E2E0000}"/>
    <cellStyle name="40% - Accent2 4 2 2 4 6" xfId="38060" xr:uid="{00000000-0005-0000-0000-00007F2E0000}"/>
    <cellStyle name="40% - Accent2 4 2 2 5" xfId="10142" xr:uid="{00000000-0005-0000-0000-0000802E0000}"/>
    <cellStyle name="40% - Accent2 4 2 2 5 2" xfId="10143" xr:uid="{00000000-0005-0000-0000-0000812E0000}"/>
    <cellStyle name="40% - Accent2 4 2 2 5 2 2" xfId="10144" xr:uid="{00000000-0005-0000-0000-0000822E0000}"/>
    <cellStyle name="40% - Accent2 4 2 2 5 3" xfId="10145" xr:uid="{00000000-0005-0000-0000-0000832E0000}"/>
    <cellStyle name="40% - Accent2 4 2 2 5 4" xfId="10146" xr:uid="{00000000-0005-0000-0000-0000842E0000}"/>
    <cellStyle name="40% - Accent2 4 2 2 5 5" xfId="38062" xr:uid="{00000000-0005-0000-0000-0000852E0000}"/>
    <cellStyle name="40% - Accent2 4 2 2 6" xfId="10147" xr:uid="{00000000-0005-0000-0000-0000862E0000}"/>
    <cellStyle name="40% - Accent2 4 2 2 6 2" xfId="10148" xr:uid="{00000000-0005-0000-0000-0000872E0000}"/>
    <cellStyle name="40% - Accent2 4 2 2 6 2 2" xfId="10149" xr:uid="{00000000-0005-0000-0000-0000882E0000}"/>
    <cellStyle name="40% - Accent2 4 2 2 6 3" xfId="10150" xr:uid="{00000000-0005-0000-0000-0000892E0000}"/>
    <cellStyle name="40% - Accent2 4 2 2 6 4" xfId="10151" xr:uid="{00000000-0005-0000-0000-00008A2E0000}"/>
    <cellStyle name="40% - Accent2 4 2 2 7" xfId="10152" xr:uid="{00000000-0005-0000-0000-00008B2E0000}"/>
    <cellStyle name="40% - Accent2 4 2 2 7 2" xfId="10153" xr:uid="{00000000-0005-0000-0000-00008C2E0000}"/>
    <cellStyle name="40% - Accent2 4 2 2 7 2 2" xfId="10154" xr:uid="{00000000-0005-0000-0000-00008D2E0000}"/>
    <cellStyle name="40% - Accent2 4 2 2 7 3" xfId="10155" xr:uid="{00000000-0005-0000-0000-00008E2E0000}"/>
    <cellStyle name="40% - Accent2 4 2 2 7 4" xfId="10156" xr:uid="{00000000-0005-0000-0000-00008F2E0000}"/>
    <cellStyle name="40% - Accent2 4 2 2 8" xfId="10157" xr:uid="{00000000-0005-0000-0000-0000902E0000}"/>
    <cellStyle name="40% - Accent2 4 2 2 8 2" xfId="10158" xr:uid="{00000000-0005-0000-0000-0000912E0000}"/>
    <cellStyle name="40% - Accent2 4 2 2 9" xfId="10159" xr:uid="{00000000-0005-0000-0000-0000922E0000}"/>
    <cellStyle name="40% - Accent2 4 2 3" xfId="10160" xr:uid="{00000000-0005-0000-0000-0000932E0000}"/>
    <cellStyle name="40% - Accent2 4 2 3 10" xfId="34719" xr:uid="{00000000-0005-0000-0000-0000942E0000}"/>
    <cellStyle name="40% - Accent2 4 2 3 2" xfId="10161" xr:uid="{00000000-0005-0000-0000-0000952E0000}"/>
    <cellStyle name="40% - Accent2 4 2 3 2 2" xfId="10162" xr:uid="{00000000-0005-0000-0000-0000962E0000}"/>
    <cellStyle name="40% - Accent2 4 2 3 2 2 2" xfId="10163" xr:uid="{00000000-0005-0000-0000-0000972E0000}"/>
    <cellStyle name="40% - Accent2 4 2 3 2 2 2 2" xfId="10164" xr:uid="{00000000-0005-0000-0000-0000982E0000}"/>
    <cellStyle name="40% - Accent2 4 2 3 2 2 3" xfId="10165" xr:uid="{00000000-0005-0000-0000-0000992E0000}"/>
    <cellStyle name="40% - Accent2 4 2 3 2 2 4" xfId="10166" xr:uid="{00000000-0005-0000-0000-00009A2E0000}"/>
    <cellStyle name="40% - Accent2 4 2 3 2 2 5" xfId="38064" xr:uid="{00000000-0005-0000-0000-00009B2E0000}"/>
    <cellStyle name="40% - Accent2 4 2 3 2 3" xfId="10167" xr:uid="{00000000-0005-0000-0000-00009C2E0000}"/>
    <cellStyle name="40% - Accent2 4 2 3 2 3 2" xfId="10168" xr:uid="{00000000-0005-0000-0000-00009D2E0000}"/>
    <cellStyle name="40% - Accent2 4 2 3 2 4" xfId="10169" xr:uid="{00000000-0005-0000-0000-00009E2E0000}"/>
    <cellStyle name="40% - Accent2 4 2 3 2 5" xfId="10170" xr:uid="{00000000-0005-0000-0000-00009F2E0000}"/>
    <cellStyle name="40% - Accent2 4 2 3 2 6" xfId="38063" xr:uid="{00000000-0005-0000-0000-0000A02E0000}"/>
    <cellStyle name="40% - Accent2 4 2 3 3" xfId="10171" xr:uid="{00000000-0005-0000-0000-0000A12E0000}"/>
    <cellStyle name="40% - Accent2 4 2 3 3 2" xfId="10172" xr:uid="{00000000-0005-0000-0000-0000A22E0000}"/>
    <cellStyle name="40% - Accent2 4 2 3 3 2 2" xfId="10173" xr:uid="{00000000-0005-0000-0000-0000A32E0000}"/>
    <cellStyle name="40% - Accent2 4 2 3 3 2 2 2" xfId="10174" xr:uid="{00000000-0005-0000-0000-0000A42E0000}"/>
    <cellStyle name="40% - Accent2 4 2 3 3 2 3" xfId="10175" xr:uid="{00000000-0005-0000-0000-0000A52E0000}"/>
    <cellStyle name="40% - Accent2 4 2 3 3 2 4" xfId="10176" xr:uid="{00000000-0005-0000-0000-0000A62E0000}"/>
    <cellStyle name="40% - Accent2 4 2 3 3 2 5" xfId="38066" xr:uid="{00000000-0005-0000-0000-0000A72E0000}"/>
    <cellStyle name="40% - Accent2 4 2 3 3 3" xfId="10177" xr:uid="{00000000-0005-0000-0000-0000A82E0000}"/>
    <cellStyle name="40% - Accent2 4 2 3 3 3 2" xfId="10178" xr:uid="{00000000-0005-0000-0000-0000A92E0000}"/>
    <cellStyle name="40% - Accent2 4 2 3 3 4" xfId="10179" xr:uid="{00000000-0005-0000-0000-0000AA2E0000}"/>
    <cellStyle name="40% - Accent2 4 2 3 3 5" xfId="10180" xr:uid="{00000000-0005-0000-0000-0000AB2E0000}"/>
    <cellStyle name="40% - Accent2 4 2 3 3 6" xfId="38065" xr:uid="{00000000-0005-0000-0000-0000AC2E0000}"/>
    <cellStyle name="40% - Accent2 4 2 3 4" xfId="10181" xr:uid="{00000000-0005-0000-0000-0000AD2E0000}"/>
    <cellStyle name="40% - Accent2 4 2 3 4 2" xfId="10182" xr:uid="{00000000-0005-0000-0000-0000AE2E0000}"/>
    <cellStyle name="40% - Accent2 4 2 3 4 2 2" xfId="10183" xr:uid="{00000000-0005-0000-0000-0000AF2E0000}"/>
    <cellStyle name="40% - Accent2 4 2 3 4 3" xfId="10184" xr:uid="{00000000-0005-0000-0000-0000B02E0000}"/>
    <cellStyle name="40% - Accent2 4 2 3 4 4" xfId="10185" xr:uid="{00000000-0005-0000-0000-0000B12E0000}"/>
    <cellStyle name="40% - Accent2 4 2 3 4 5" xfId="38067" xr:uid="{00000000-0005-0000-0000-0000B22E0000}"/>
    <cellStyle name="40% - Accent2 4 2 3 5" xfId="10186" xr:uid="{00000000-0005-0000-0000-0000B32E0000}"/>
    <cellStyle name="40% - Accent2 4 2 3 5 2" xfId="10187" xr:uid="{00000000-0005-0000-0000-0000B42E0000}"/>
    <cellStyle name="40% - Accent2 4 2 3 5 2 2" xfId="10188" xr:uid="{00000000-0005-0000-0000-0000B52E0000}"/>
    <cellStyle name="40% - Accent2 4 2 3 5 3" xfId="10189" xr:uid="{00000000-0005-0000-0000-0000B62E0000}"/>
    <cellStyle name="40% - Accent2 4 2 3 5 4" xfId="10190" xr:uid="{00000000-0005-0000-0000-0000B72E0000}"/>
    <cellStyle name="40% - Accent2 4 2 3 6" xfId="10191" xr:uid="{00000000-0005-0000-0000-0000B82E0000}"/>
    <cellStyle name="40% - Accent2 4 2 3 6 2" xfId="10192" xr:uid="{00000000-0005-0000-0000-0000B92E0000}"/>
    <cellStyle name="40% - Accent2 4 2 3 6 2 2" xfId="10193" xr:uid="{00000000-0005-0000-0000-0000BA2E0000}"/>
    <cellStyle name="40% - Accent2 4 2 3 6 3" xfId="10194" xr:uid="{00000000-0005-0000-0000-0000BB2E0000}"/>
    <cellStyle name="40% - Accent2 4 2 3 6 4" xfId="10195" xr:uid="{00000000-0005-0000-0000-0000BC2E0000}"/>
    <cellStyle name="40% - Accent2 4 2 3 7" xfId="10196" xr:uid="{00000000-0005-0000-0000-0000BD2E0000}"/>
    <cellStyle name="40% - Accent2 4 2 3 7 2" xfId="10197" xr:uid="{00000000-0005-0000-0000-0000BE2E0000}"/>
    <cellStyle name="40% - Accent2 4 2 3 8" xfId="10198" xr:uid="{00000000-0005-0000-0000-0000BF2E0000}"/>
    <cellStyle name="40% - Accent2 4 2 3 9" xfId="10199" xr:uid="{00000000-0005-0000-0000-0000C02E0000}"/>
    <cellStyle name="40% - Accent2 4 2 4" xfId="10200" xr:uid="{00000000-0005-0000-0000-0000C12E0000}"/>
    <cellStyle name="40% - Accent2 4 2 4 2" xfId="10201" xr:uid="{00000000-0005-0000-0000-0000C22E0000}"/>
    <cellStyle name="40% - Accent2 4 2 4 2 2" xfId="10202" xr:uid="{00000000-0005-0000-0000-0000C32E0000}"/>
    <cellStyle name="40% - Accent2 4 2 4 2 2 2" xfId="10203" xr:uid="{00000000-0005-0000-0000-0000C42E0000}"/>
    <cellStyle name="40% - Accent2 4 2 4 2 3" xfId="10204" xr:uid="{00000000-0005-0000-0000-0000C52E0000}"/>
    <cellStyle name="40% - Accent2 4 2 4 2 4" xfId="10205" xr:uid="{00000000-0005-0000-0000-0000C62E0000}"/>
    <cellStyle name="40% - Accent2 4 2 4 2 5" xfId="38069" xr:uid="{00000000-0005-0000-0000-0000C72E0000}"/>
    <cellStyle name="40% - Accent2 4 2 4 3" xfId="10206" xr:uid="{00000000-0005-0000-0000-0000C82E0000}"/>
    <cellStyle name="40% - Accent2 4 2 4 3 2" xfId="10207" xr:uid="{00000000-0005-0000-0000-0000C92E0000}"/>
    <cellStyle name="40% - Accent2 4 2 4 4" xfId="10208" xr:uid="{00000000-0005-0000-0000-0000CA2E0000}"/>
    <cellStyle name="40% - Accent2 4 2 4 5" xfId="10209" xr:uid="{00000000-0005-0000-0000-0000CB2E0000}"/>
    <cellStyle name="40% - Accent2 4 2 4 6" xfId="38068" xr:uid="{00000000-0005-0000-0000-0000CC2E0000}"/>
    <cellStyle name="40% - Accent2 4 2 5" xfId="10210" xr:uid="{00000000-0005-0000-0000-0000CD2E0000}"/>
    <cellStyle name="40% - Accent2 4 2 5 2" xfId="10211" xr:uid="{00000000-0005-0000-0000-0000CE2E0000}"/>
    <cellStyle name="40% - Accent2 4 2 5 2 2" xfId="10212" xr:uid="{00000000-0005-0000-0000-0000CF2E0000}"/>
    <cellStyle name="40% - Accent2 4 2 5 2 2 2" xfId="10213" xr:uid="{00000000-0005-0000-0000-0000D02E0000}"/>
    <cellStyle name="40% - Accent2 4 2 5 2 3" xfId="10214" xr:uid="{00000000-0005-0000-0000-0000D12E0000}"/>
    <cellStyle name="40% - Accent2 4 2 5 2 4" xfId="10215" xr:uid="{00000000-0005-0000-0000-0000D22E0000}"/>
    <cellStyle name="40% - Accent2 4 2 5 2 5" xfId="38071" xr:uid="{00000000-0005-0000-0000-0000D32E0000}"/>
    <cellStyle name="40% - Accent2 4 2 5 3" xfId="10216" xr:uid="{00000000-0005-0000-0000-0000D42E0000}"/>
    <cellStyle name="40% - Accent2 4 2 5 3 2" xfId="10217" xr:uid="{00000000-0005-0000-0000-0000D52E0000}"/>
    <cellStyle name="40% - Accent2 4 2 5 4" xfId="10218" xr:uid="{00000000-0005-0000-0000-0000D62E0000}"/>
    <cellStyle name="40% - Accent2 4 2 5 5" xfId="10219" xr:uid="{00000000-0005-0000-0000-0000D72E0000}"/>
    <cellStyle name="40% - Accent2 4 2 5 6" xfId="38070" xr:uid="{00000000-0005-0000-0000-0000D82E0000}"/>
    <cellStyle name="40% - Accent2 4 2 6" xfId="10220" xr:uid="{00000000-0005-0000-0000-0000D92E0000}"/>
    <cellStyle name="40% - Accent2 4 2 6 2" xfId="10221" xr:uid="{00000000-0005-0000-0000-0000DA2E0000}"/>
    <cellStyle name="40% - Accent2 4 2 6 2 2" xfId="10222" xr:uid="{00000000-0005-0000-0000-0000DB2E0000}"/>
    <cellStyle name="40% - Accent2 4 2 6 3" xfId="10223" xr:uid="{00000000-0005-0000-0000-0000DC2E0000}"/>
    <cellStyle name="40% - Accent2 4 2 6 4" xfId="10224" xr:uid="{00000000-0005-0000-0000-0000DD2E0000}"/>
    <cellStyle name="40% - Accent2 4 2 6 5" xfId="38072" xr:uid="{00000000-0005-0000-0000-0000DE2E0000}"/>
    <cellStyle name="40% - Accent2 4 2 7" xfId="10225" xr:uid="{00000000-0005-0000-0000-0000DF2E0000}"/>
    <cellStyle name="40% - Accent2 4 2 7 2" xfId="10226" xr:uid="{00000000-0005-0000-0000-0000E02E0000}"/>
    <cellStyle name="40% - Accent2 4 2 7 2 2" xfId="10227" xr:uid="{00000000-0005-0000-0000-0000E12E0000}"/>
    <cellStyle name="40% - Accent2 4 2 7 3" xfId="10228" xr:uid="{00000000-0005-0000-0000-0000E22E0000}"/>
    <cellStyle name="40% - Accent2 4 2 7 4" xfId="10229" xr:uid="{00000000-0005-0000-0000-0000E32E0000}"/>
    <cellStyle name="40% - Accent2 4 2 8" xfId="10230" xr:uid="{00000000-0005-0000-0000-0000E42E0000}"/>
    <cellStyle name="40% - Accent2 4 2 8 2" xfId="10231" xr:uid="{00000000-0005-0000-0000-0000E52E0000}"/>
    <cellStyle name="40% - Accent2 4 2 8 2 2" xfId="10232" xr:uid="{00000000-0005-0000-0000-0000E62E0000}"/>
    <cellStyle name="40% - Accent2 4 2 8 3" xfId="10233" xr:uid="{00000000-0005-0000-0000-0000E72E0000}"/>
    <cellStyle name="40% - Accent2 4 2 8 4" xfId="10234" xr:uid="{00000000-0005-0000-0000-0000E82E0000}"/>
    <cellStyle name="40% - Accent2 4 2 9" xfId="10235" xr:uid="{00000000-0005-0000-0000-0000E92E0000}"/>
    <cellStyle name="40% - Accent2 4 2 9 2" xfId="10236" xr:uid="{00000000-0005-0000-0000-0000EA2E0000}"/>
    <cellStyle name="40% - Accent2 4 3" xfId="10237" xr:uid="{00000000-0005-0000-0000-0000EB2E0000}"/>
    <cellStyle name="40% - Accent2 4 3 10" xfId="10238" xr:uid="{00000000-0005-0000-0000-0000EC2E0000}"/>
    <cellStyle name="40% - Accent2 4 3 11" xfId="34720" xr:uid="{00000000-0005-0000-0000-0000ED2E0000}"/>
    <cellStyle name="40% - Accent2 4 3 2" xfId="10239" xr:uid="{00000000-0005-0000-0000-0000EE2E0000}"/>
    <cellStyle name="40% - Accent2 4 3 2 10" xfId="34721" xr:uid="{00000000-0005-0000-0000-0000EF2E0000}"/>
    <cellStyle name="40% - Accent2 4 3 2 2" xfId="10240" xr:uid="{00000000-0005-0000-0000-0000F02E0000}"/>
    <cellStyle name="40% - Accent2 4 3 2 2 2" xfId="10241" xr:uid="{00000000-0005-0000-0000-0000F12E0000}"/>
    <cellStyle name="40% - Accent2 4 3 2 2 2 2" xfId="10242" xr:uid="{00000000-0005-0000-0000-0000F22E0000}"/>
    <cellStyle name="40% - Accent2 4 3 2 2 2 2 2" xfId="10243" xr:uid="{00000000-0005-0000-0000-0000F32E0000}"/>
    <cellStyle name="40% - Accent2 4 3 2 2 2 3" xfId="10244" xr:uid="{00000000-0005-0000-0000-0000F42E0000}"/>
    <cellStyle name="40% - Accent2 4 3 2 2 2 4" xfId="10245" xr:uid="{00000000-0005-0000-0000-0000F52E0000}"/>
    <cellStyle name="40% - Accent2 4 3 2 2 2 5" xfId="38074" xr:uid="{00000000-0005-0000-0000-0000F62E0000}"/>
    <cellStyle name="40% - Accent2 4 3 2 2 3" xfId="10246" xr:uid="{00000000-0005-0000-0000-0000F72E0000}"/>
    <cellStyle name="40% - Accent2 4 3 2 2 3 2" xfId="10247" xr:uid="{00000000-0005-0000-0000-0000F82E0000}"/>
    <cellStyle name="40% - Accent2 4 3 2 2 4" xfId="10248" xr:uid="{00000000-0005-0000-0000-0000F92E0000}"/>
    <cellStyle name="40% - Accent2 4 3 2 2 5" xfId="10249" xr:uid="{00000000-0005-0000-0000-0000FA2E0000}"/>
    <cellStyle name="40% - Accent2 4 3 2 2 6" xfId="38073" xr:uid="{00000000-0005-0000-0000-0000FB2E0000}"/>
    <cellStyle name="40% - Accent2 4 3 2 3" xfId="10250" xr:uid="{00000000-0005-0000-0000-0000FC2E0000}"/>
    <cellStyle name="40% - Accent2 4 3 2 3 2" xfId="10251" xr:uid="{00000000-0005-0000-0000-0000FD2E0000}"/>
    <cellStyle name="40% - Accent2 4 3 2 3 2 2" xfId="10252" xr:uid="{00000000-0005-0000-0000-0000FE2E0000}"/>
    <cellStyle name="40% - Accent2 4 3 2 3 2 2 2" xfId="10253" xr:uid="{00000000-0005-0000-0000-0000FF2E0000}"/>
    <cellStyle name="40% - Accent2 4 3 2 3 2 3" xfId="10254" xr:uid="{00000000-0005-0000-0000-0000002F0000}"/>
    <cellStyle name="40% - Accent2 4 3 2 3 2 4" xfId="10255" xr:uid="{00000000-0005-0000-0000-0000012F0000}"/>
    <cellStyle name="40% - Accent2 4 3 2 3 2 5" xfId="38076" xr:uid="{00000000-0005-0000-0000-0000022F0000}"/>
    <cellStyle name="40% - Accent2 4 3 2 3 3" xfId="10256" xr:uid="{00000000-0005-0000-0000-0000032F0000}"/>
    <cellStyle name="40% - Accent2 4 3 2 3 3 2" xfId="10257" xr:uid="{00000000-0005-0000-0000-0000042F0000}"/>
    <cellStyle name="40% - Accent2 4 3 2 3 4" xfId="10258" xr:uid="{00000000-0005-0000-0000-0000052F0000}"/>
    <cellStyle name="40% - Accent2 4 3 2 3 5" xfId="10259" xr:uid="{00000000-0005-0000-0000-0000062F0000}"/>
    <cellStyle name="40% - Accent2 4 3 2 3 6" xfId="38075" xr:uid="{00000000-0005-0000-0000-0000072F0000}"/>
    <cellStyle name="40% - Accent2 4 3 2 4" xfId="10260" xr:uid="{00000000-0005-0000-0000-0000082F0000}"/>
    <cellStyle name="40% - Accent2 4 3 2 4 2" xfId="10261" xr:uid="{00000000-0005-0000-0000-0000092F0000}"/>
    <cellStyle name="40% - Accent2 4 3 2 4 2 2" xfId="10262" xr:uid="{00000000-0005-0000-0000-00000A2F0000}"/>
    <cellStyle name="40% - Accent2 4 3 2 4 3" xfId="10263" xr:uid="{00000000-0005-0000-0000-00000B2F0000}"/>
    <cellStyle name="40% - Accent2 4 3 2 4 4" xfId="10264" xr:uid="{00000000-0005-0000-0000-00000C2F0000}"/>
    <cellStyle name="40% - Accent2 4 3 2 4 5" xfId="38077" xr:uid="{00000000-0005-0000-0000-00000D2F0000}"/>
    <cellStyle name="40% - Accent2 4 3 2 5" xfId="10265" xr:uid="{00000000-0005-0000-0000-00000E2F0000}"/>
    <cellStyle name="40% - Accent2 4 3 2 5 2" xfId="10266" xr:uid="{00000000-0005-0000-0000-00000F2F0000}"/>
    <cellStyle name="40% - Accent2 4 3 2 5 2 2" xfId="10267" xr:uid="{00000000-0005-0000-0000-0000102F0000}"/>
    <cellStyle name="40% - Accent2 4 3 2 5 3" xfId="10268" xr:uid="{00000000-0005-0000-0000-0000112F0000}"/>
    <cellStyle name="40% - Accent2 4 3 2 5 4" xfId="10269" xr:uid="{00000000-0005-0000-0000-0000122F0000}"/>
    <cellStyle name="40% - Accent2 4 3 2 6" xfId="10270" xr:uid="{00000000-0005-0000-0000-0000132F0000}"/>
    <cellStyle name="40% - Accent2 4 3 2 6 2" xfId="10271" xr:uid="{00000000-0005-0000-0000-0000142F0000}"/>
    <cellStyle name="40% - Accent2 4 3 2 6 2 2" xfId="10272" xr:uid="{00000000-0005-0000-0000-0000152F0000}"/>
    <cellStyle name="40% - Accent2 4 3 2 6 3" xfId="10273" xr:uid="{00000000-0005-0000-0000-0000162F0000}"/>
    <cellStyle name="40% - Accent2 4 3 2 6 4" xfId="10274" xr:uid="{00000000-0005-0000-0000-0000172F0000}"/>
    <cellStyle name="40% - Accent2 4 3 2 7" xfId="10275" xr:uid="{00000000-0005-0000-0000-0000182F0000}"/>
    <cellStyle name="40% - Accent2 4 3 2 7 2" xfId="10276" xr:uid="{00000000-0005-0000-0000-0000192F0000}"/>
    <cellStyle name="40% - Accent2 4 3 2 8" xfId="10277" xr:uid="{00000000-0005-0000-0000-00001A2F0000}"/>
    <cellStyle name="40% - Accent2 4 3 2 9" xfId="10278" xr:uid="{00000000-0005-0000-0000-00001B2F0000}"/>
    <cellStyle name="40% - Accent2 4 3 3" xfId="10279" xr:uid="{00000000-0005-0000-0000-00001C2F0000}"/>
    <cellStyle name="40% - Accent2 4 3 3 2" xfId="10280" xr:uid="{00000000-0005-0000-0000-00001D2F0000}"/>
    <cellStyle name="40% - Accent2 4 3 3 2 2" xfId="10281" xr:uid="{00000000-0005-0000-0000-00001E2F0000}"/>
    <cellStyle name="40% - Accent2 4 3 3 2 2 2" xfId="10282" xr:uid="{00000000-0005-0000-0000-00001F2F0000}"/>
    <cellStyle name="40% - Accent2 4 3 3 2 3" xfId="10283" xr:uid="{00000000-0005-0000-0000-0000202F0000}"/>
    <cellStyle name="40% - Accent2 4 3 3 2 4" xfId="10284" xr:uid="{00000000-0005-0000-0000-0000212F0000}"/>
    <cellStyle name="40% - Accent2 4 3 3 2 5" xfId="38079" xr:uid="{00000000-0005-0000-0000-0000222F0000}"/>
    <cellStyle name="40% - Accent2 4 3 3 3" xfId="10285" xr:uid="{00000000-0005-0000-0000-0000232F0000}"/>
    <cellStyle name="40% - Accent2 4 3 3 3 2" xfId="10286" xr:uid="{00000000-0005-0000-0000-0000242F0000}"/>
    <cellStyle name="40% - Accent2 4 3 3 4" xfId="10287" xr:uid="{00000000-0005-0000-0000-0000252F0000}"/>
    <cellStyle name="40% - Accent2 4 3 3 5" xfId="10288" xr:uid="{00000000-0005-0000-0000-0000262F0000}"/>
    <cellStyle name="40% - Accent2 4 3 3 6" xfId="38078" xr:uid="{00000000-0005-0000-0000-0000272F0000}"/>
    <cellStyle name="40% - Accent2 4 3 4" xfId="10289" xr:uid="{00000000-0005-0000-0000-0000282F0000}"/>
    <cellStyle name="40% - Accent2 4 3 4 2" xfId="10290" xr:uid="{00000000-0005-0000-0000-0000292F0000}"/>
    <cellStyle name="40% - Accent2 4 3 4 2 2" xfId="10291" xr:uid="{00000000-0005-0000-0000-00002A2F0000}"/>
    <cellStyle name="40% - Accent2 4 3 4 2 2 2" xfId="10292" xr:uid="{00000000-0005-0000-0000-00002B2F0000}"/>
    <cellStyle name="40% - Accent2 4 3 4 2 3" xfId="10293" xr:uid="{00000000-0005-0000-0000-00002C2F0000}"/>
    <cellStyle name="40% - Accent2 4 3 4 2 4" xfId="10294" xr:uid="{00000000-0005-0000-0000-00002D2F0000}"/>
    <cellStyle name="40% - Accent2 4 3 4 2 5" xfId="38081" xr:uid="{00000000-0005-0000-0000-00002E2F0000}"/>
    <cellStyle name="40% - Accent2 4 3 4 3" xfId="10295" xr:uid="{00000000-0005-0000-0000-00002F2F0000}"/>
    <cellStyle name="40% - Accent2 4 3 4 3 2" xfId="10296" xr:uid="{00000000-0005-0000-0000-0000302F0000}"/>
    <cellStyle name="40% - Accent2 4 3 4 4" xfId="10297" xr:uid="{00000000-0005-0000-0000-0000312F0000}"/>
    <cellStyle name="40% - Accent2 4 3 4 5" xfId="10298" xr:uid="{00000000-0005-0000-0000-0000322F0000}"/>
    <cellStyle name="40% - Accent2 4 3 4 6" xfId="38080" xr:uid="{00000000-0005-0000-0000-0000332F0000}"/>
    <cellStyle name="40% - Accent2 4 3 5" xfId="10299" xr:uid="{00000000-0005-0000-0000-0000342F0000}"/>
    <cellStyle name="40% - Accent2 4 3 5 2" xfId="10300" xr:uid="{00000000-0005-0000-0000-0000352F0000}"/>
    <cellStyle name="40% - Accent2 4 3 5 2 2" xfId="10301" xr:uid="{00000000-0005-0000-0000-0000362F0000}"/>
    <cellStyle name="40% - Accent2 4 3 5 3" xfId="10302" xr:uid="{00000000-0005-0000-0000-0000372F0000}"/>
    <cellStyle name="40% - Accent2 4 3 5 4" xfId="10303" xr:uid="{00000000-0005-0000-0000-0000382F0000}"/>
    <cellStyle name="40% - Accent2 4 3 5 5" xfId="38082" xr:uid="{00000000-0005-0000-0000-0000392F0000}"/>
    <cellStyle name="40% - Accent2 4 3 6" xfId="10304" xr:uid="{00000000-0005-0000-0000-00003A2F0000}"/>
    <cellStyle name="40% - Accent2 4 3 6 2" xfId="10305" xr:uid="{00000000-0005-0000-0000-00003B2F0000}"/>
    <cellStyle name="40% - Accent2 4 3 6 2 2" xfId="10306" xr:uid="{00000000-0005-0000-0000-00003C2F0000}"/>
    <cellStyle name="40% - Accent2 4 3 6 3" xfId="10307" xr:uid="{00000000-0005-0000-0000-00003D2F0000}"/>
    <cellStyle name="40% - Accent2 4 3 6 4" xfId="10308" xr:uid="{00000000-0005-0000-0000-00003E2F0000}"/>
    <cellStyle name="40% - Accent2 4 3 7" xfId="10309" xr:uid="{00000000-0005-0000-0000-00003F2F0000}"/>
    <cellStyle name="40% - Accent2 4 3 7 2" xfId="10310" xr:uid="{00000000-0005-0000-0000-0000402F0000}"/>
    <cellStyle name="40% - Accent2 4 3 7 2 2" xfId="10311" xr:uid="{00000000-0005-0000-0000-0000412F0000}"/>
    <cellStyle name="40% - Accent2 4 3 7 3" xfId="10312" xr:uid="{00000000-0005-0000-0000-0000422F0000}"/>
    <cellStyle name="40% - Accent2 4 3 7 4" xfId="10313" xr:uid="{00000000-0005-0000-0000-0000432F0000}"/>
    <cellStyle name="40% - Accent2 4 3 8" xfId="10314" xr:uid="{00000000-0005-0000-0000-0000442F0000}"/>
    <cellStyle name="40% - Accent2 4 3 8 2" xfId="10315" xr:uid="{00000000-0005-0000-0000-0000452F0000}"/>
    <cellStyle name="40% - Accent2 4 3 9" xfId="10316" xr:uid="{00000000-0005-0000-0000-0000462F0000}"/>
    <cellStyle name="40% - Accent2 4 4" xfId="10317" xr:uid="{00000000-0005-0000-0000-0000472F0000}"/>
    <cellStyle name="40% - Accent2 4 4 10" xfId="34722" xr:uid="{00000000-0005-0000-0000-0000482F0000}"/>
    <cellStyle name="40% - Accent2 4 4 2" xfId="10318" xr:uid="{00000000-0005-0000-0000-0000492F0000}"/>
    <cellStyle name="40% - Accent2 4 4 2 2" xfId="10319" xr:uid="{00000000-0005-0000-0000-00004A2F0000}"/>
    <cellStyle name="40% - Accent2 4 4 2 2 2" xfId="10320" xr:uid="{00000000-0005-0000-0000-00004B2F0000}"/>
    <cellStyle name="40% - Accent2 4 4 2 2 2 2" xfId="10321" xr:uid="{00000000-0005-0000-0000-00004C2F0000}"/>
    <cellStyle name="40% - Accent2 4 4 2 2 3" xfId="10322" xr:uid="{00000000-0005-0000-0000-00004D2F0000}"/>
    <cellStyle name="40% - Accent2 4 4 2 2 4" xfId="10323" xr:uid="{00000000-0005-0000-0000-00004E2F0000}"/>
    <cellStyle name="40% - Accent2 4 4 2 2 5" xfId="38084" xr:uid="{00000000-0005-0000-0000-00004F2F0000}"/>
    <cellStyle name="40% - Accent2 4 4 2 3" xfId="10324" xr:uid="{00000000-0005-0000-0000-0000502F0000}"/>
    <cellStyle name="40% - Accent2 4 4 2 3 2" xfId="10325" xr:uid="{00000000-0005-0000-0000-0000512F0000}"/>
    <cellStyle name="40% - Accent2 4 4 2 4" xfId="10326" xr:uid="{00000000-0005-0000-0000-0000522F0000}"/>
    <cellStyle name="40% - Accent2 4 4 2 5" xfId="10327" xr:uid="{00000000-0005-0000-0000-0000532F0000}"/>
    <cellStyle name="40% - Accent2 4 4 2 6" xfId="38083" xr:uid="{00000000-0005-0000-0000-0000542F0000}"/>
    <cellStyle name="40% - Accent2 4 4 3" xfId="10328" xr:uid="{00000000-0005-0000-0000-0000552F0000}"/>
    <cellStyle name="40% - Accent2 4 4 3 2" xfId="10329" xr:uid="{00000000-0005-0000-0000-0000562F0000}"/>
    <cellStyle name="40% - Accent2 4 4 3 2 2" xfId="10330" xr:uid="{00000000-0005-0000-0000-0000572F0000}"/>
    <cellStyle name="40% - Accent2 4 4 3 2 2 2" xfId="10331" xr:uid="{00000000-0005-0000-0000-0000582F0000}"/>
    <cellStyle name="40% - Accent2 4 4 3 2 3" xfId="10332" xr:uid="{00000000-0005-0000-0000-0000592F0000}"/>
    <cellStyle name="40% - Accent2 4 4 3 2 4" xfId="10333" xr:uid="{00000000-0005-0000-0000-00005A2F0000}"/>
    <cellStyle name="40% - Accent2 4 4 3 2 5" xfId="38086" xr:uid="{00000000-0005-0000-0000-00005B2F0000}"/>
    <cellStyle name="40% - Accent2 4 4 3 3" xfId="10334" xr:uid="{00000000-0005-0000-0000-00005C2F0000}"/>
    <cellStyle name="40% - Accent2 4 4 3 3 2" xfId="10335" xr:uid="{00000000-0005-0000-0000-00005D2F0000}"/>
    <cellStyle name="40% - Accent2 4 4 3 4" xfId="10336" xr:uid="{00000000-0005-0000-0000-00005E2F0000}"/>
    <cellStyle name="40% - Accent2 4 4 3 5" xfId="10337" xr:uid="{00000000-0005-0000-0000-00005F2F0000}"/>
    <cellStyle name="40% - Accent2 4 4 3 6" xfId="38085" xr:uid="{00000000-0005-0000-0000-0000602F0000}"/>
    <cellStyle name="40% - Accent2 4 4 4" xfId="10338" xr:uid="{00000000-0005-0000-0000-0000612F0000}"/>
    <cellStyle name="40% - Accent2 4 4 4 2" xfId="10339" xr:uid="{00000000-0005-0000-0000-0000622F0000}"/>
    <cellStyle name="40% - Accent2 4 4 4 2 2" xfId="10340" xr:uid="{00000000-0005-0000-0000-0000632F0000}"/>
    <cellStyle name="40% - Accent2 4 4 4 3" xfId="10341" xr:uid="{00000000-0005-0000-0000-0000642F0000}"/>
    <cellStyle name="40% - Accent2 4 4 4 4" xfId="10342" xr:uid="{00000000-0005-0000-0000-0000652F0000}"/>
    <cellStyle name="40% - Accent2 4 4 4 5" xfId="38087" xr:uid="{00000000-0005-0000-0000-0000662F0000}"/>
    <cellStyle name="40% - Accent2 4 4 5" xfId="10343" xr:uid="{00000000-0005-0000-0000-0000672F0000}"/>
    <cellStyle name="40% - Accent2 4 4 5 2" xfId="10344" xr:uid="{00000000-0005-0000-0000-0000682F0000}"/>
    <cellStyle name="40% - Accent2 4 4 5 2 2" xfId="10345" xr:uid="{00000000-0005-0000-0000-0000692F0000}"/>
    <cellStyle name="40% - Accent2 4 4 5 3" xfId="10346" xr:uid="{00000000-0005-0000-0000-00006A2F0000}"/>
    <cellStyle name="40% - Accent2 4 4 5 4" xfId="10347" xr:uid="{00000000-0005-0000-0000-00006B2F0000}"/>
    <cellStyle name="40% - Accent2 4 4 6" xfId="10348" xr:uid="{00000000-0005-0000-0000-00006C2F0000}"/>
    <cellStyle name="40% - Accent2 4 4 6 2" xfId="10349" xr:uid="{00000000-0005-0000-0000-00006D2F0000}"/>
    <cellStyle name="40% - Accent2 4 4 6 2 2" xfId="10350" xr:uid="{00000000-0005-0000-0000-00006E2F0000}"/>
    <cellStyle name="40% - Accent2 4 4 6 3" xfId="10351" xr:uid="{00000000-0005-0000-0000-00006F2F0000}"/>
    <cellStyle name="40% - Accent2 4 4 6 4" xfId="10352" xr:uid="{00000000-0005-0000-0000-0000702F0000}"/>
    <cellStyle name="40% - Accent2 4 4 7" xfId="10353" xr:uid="{00000000-0005-0000-0000-0000712F0000}"/>
    <cellStyle name="40% - Accent2 4 4 7 2" xfId="10354" xr:uid="{00000000-0005-0000-0000-0000722F0000}"/>
    <cellStyle name="40% - Accent2 4 4 8" xfId="10355" xr:uid="{00000000-0005-0000-0000-0000732F0000}"/>
    <cellStyle name="40% - Accent2 4 4 9" xfId="10356" xr:uid="{00000000-0005-0000-0000-0000742F0000}"/>
    <cellStyle name="40% - Accent2 4 5" xfId="10357" xr:uid="{00000000-0005-0000-0000-0000752F0000}"/>
    <cellStyle name="40% - Accent2 4 5 2" xfId="10358" xr:uid="{00000000-0005-0000-0000-0000762F0000}"/>
    <cellStyle name="40% - Accent2 4 5 2 2" xfId="10359" xr:uid="{00000000-0005-0000-0000-0000772F0000}"/>
    <cellStyle name="40% - Accent2 4 5 2 2 2" xfId="10360" xr:uid="{00000000-0005-0000-0000-0000782F0000}"/>
    <cellStyle name="40% - Accent2 4 5 2 3" xfId="10361" xr:uid="{00000000-0005-0000-0000-0000792F0000}"/>
    <cellStyle name="40% - Accent2 4 5 2 4" xfId="10362" xr:uid="{00000000-0005-0000-0000-00007A2F0000}"/>
    <cellStyle name="40% - Accent2 4 5 2 5" xfId="38089" xr:uid="{00000000-0005-0000-0000-00007B2F0000}"/>
    <cellStyle name="40% - Accent2 4 5 3" xfId="10363" xr:uid="{00000000-0005-0000-0000-00007C2F0000}"/>
    <cellStyle name="40% - Accent2 4 5 4" xfId="10364" xr:uid="{00000000-0005-0000-0000-00007D2F0000}"/>
    <cellStyle name="40% - Accent2 4 5 4 2" xfId="10365" xr:uid="{00000000-0005-0000-0000-00007E2F0000}"/>
    <cellStyle name="40% - Accent2 4 5 5" xfId="10366" xr:uid="{00000000-0005-0000-0000-00007F2F0000}"/>
    <cellStyle name="40% - Accent2 4 5 6" xfId="10367" xr:uid="{00000000-0005-0000-0000-0000802F0000}"/>
    <cellStyle name="40% - Accent2 4 5 7" xfId="38088" xr:uid="{00000000-0005-0000-0000-0000812F0000}"/>
    <cellStyle name="40% - Accent2 4 6" xfId="10368" xr:uid="{00000000-0005-0000-0000-0000822F0000}"/>
    <cellStyle name="40% - Accent2 4 6 2" xfId="10369" xr:uid="{00000000-0005-0000-0000-0000832F0000}"/>
    <cellStyle name="40% - Accent2 4 6 2 2" xfId="10370" xr:uid="{00000000-0005-0000-0000-0000842F0000}"/>
    <cellStyle name="40% - Accent2 4 6 2 2 2" xfId="10371" xr:uid="{00000000-0005-0000-0000-0000852F0000}"/>
    <cellStyle name="40% - Accent2 4 6 2 3" xfId="10372" xr:uid="{00000000-0005-0000-0000-0000862F0000}"/>
    <cellStyle name="40% - Accent2 4 6 2 4" xfId="10373" xr:uid="{00000000-0005-0000-0000-0000872F0000}"/>
    <cellStyle name="40% - Accent2 4 6 2 5" xfId="38091" xr:uid="{00000000-0005-0000-0000-0000882F0000}"/>
    <cellStyle name="40% - Accent2 4 6 3" xfId="10374" xr:uid="{00000000-0005-0000-0000-0000892F0000}"/>
    <cellStyle name="40% - Accent2 4 6 3 2" xfId="10375" xr:uid="{00000000-0005-0000-0000-00008A2F0000}"/>
    <cellStyle name="40% - Accent2 4 6 3 2 2" xfId="10376" xr:uid="{00000000-0005-0000-0000-00008B2F0000}"/>
    <cellStyle name="40% - Accent2 4 6 3 3" xfId="10377" xr:uid="{00000000-0005-0000-0000-00008C2F0000}"/>
    <cellStyle name="40% - Accent2 4 6 3 4" xfId="10378" xr:uid="{00000000-0005-0000-0000-00008D2F0000}"/>
    <cellStyle name="40% - Accent2 4 6 3 5" xfId="38092" xr:uid="{00000000-0005-0000-0000-00008E2F0000}"/>
    <cellStyle name="40% - Accent2 4 6 4" xfId="10379" xr:uid="{00000000-0005-0000-0000-00008F2F0000}"/>
    <cellStyle name="40% - Accent2 4 6 4 2" xfId="10380" xr:uid="{00000000-0005-0000-0000-0000902F0000}"/>
    <cellStyle name="40% - Accent2 4 6 5" xfId="10381" xr:uid="{00000000-0005-0000-0000-0000912F0000}"/>
    <cellStyle name="40% - Accent2 4 6 6" xfId="10382" xr:uid="{00000000-0005-0000-0000-0000922F0000}"/>
    <cellStyle name="40% - Accent2 4 6 7" xfId="38090" xr:uid="{00000000-0005-0000-0000-0000932F0000}"/>
    <cellStyle name="40% - Accent2 4 7" xfId="10383" xr:uid="{00000000-0005-0000-0000-0000942F0000}"/>
    <cellStyle name="40% - Accent2 4 7 2" xfId="10384" xr:uid="{00000000-0005-0000-0000-0000952F0000}"/>
    <cellStyle name="40% - Accent2 4 7 2 2" xfId="10385" xr:uid="{00000000-0005-0000-0000-0000962F0000}"/>
    <cellStyle name="40% - Accent2 4 7 3" xfId="10386" xr:uid="{00000000-0005-0000-0000-0000972F0000}"/>
    <cellStyle name="40% - Accent2 4 7 4" xfId="10387" xr:uid="{00000000-0005-0000-0000-0000982F0000}"/>
    <cellStyle name="40% - Accent2 4 7 5" xfId="38093" xr:uid="{00000000-0005-0000-0000-0000992F0000}"/>
    <cellStyle name="40% - Accent2 4 8" xfId="10388" xr:uid="{00000000-0005-0000-0000-00009A2F0000}"/>
    <cellStyle name="40% - Accent2 4 8 2" xfId="10389" xr:uid="{00000000-0005-0000-0000-00009B2F0000}"/>
    <cellStyle name="40% - Accent2 4 8 2 2" xfId="10390" xr:uid="{00000000-0005-0000-0000-00009C2F0000}"/>
    <cellStyle name="40% - Accent2 4 8 3" xfId="10391" xr:uid="{00000000-0005-0000-0000-00009D2F0000}"/>
    <cellStyle name="40% - Accent2 4 8 4" xfId="10392" xr:uid="{00000000-0005-0000-0000-00009E2F0000}"/>
    <cellStyle name="40% - Accent2 4 9" xfId="10393" xr:uid="{00000000-0005-0000-0000-00009F2F0000}"/>
    <cellStyle name="40% - Accent2 4 9 2" xfId="10394" xr:uid="{00000000-0005-0000-0000-0000A02F0000}"/>
    <cellStyle name="40% - Accent2 4 9 2 2" xfId="10395" xr:uid="{00000000-0005-0000-0000-0000A12F0000}"/>
    <cellStyle name="40% - Accent2 4 9 3" xfId="10396" xr:uid="{00000000-0005-0000-0000-0000A22F0000}"/>
    <cellStyle name="40% - Accent2 4 9 4" xfId="10397" xr:uid="{00000000-0005-0000-0000-0000A32F0000}"/>
    <cellStyle name="40% - Accent2 5" xfId="10398" xr:uid="{00000000-0005-0000-0000-0000A42F0000}"/>
    <cellStyle name="40% - Accent2 5 2" xfId="10399" xr:uid="{00000000-0005-0000-0000-0000A52F0000}"/>
    <cellStyle name="40% - Accent2 5 2 2" xfId="10400" xr:uid="{00000000-0005-0000-0000-0000A62F0000}"/>
    <cellStyle name="40% - Accent2 5 2 2 2" xfId="10401" xr:uid="{00000000-0005-0000-0000-0000A72F0000}"/>
    <cellStyle name="40% - Accent2 5 2 3" xfId="10402" xr:uid="{00000000-0005-0000-0000-0000A82F0000}"/>
    <cellStyle name="40% - Accent2 5 2 4" xfId="10403" xr:uid="{00000000-0005-0000-0000-0000A92F0000}"/>
    <cellStyle name="40% - Accent2 5 2 5" xfId="38094" xr:uid="{00000000-0005-0000-0000-0000AA2F0000}"/>
    <cellStyle name="40% - Accent2 6" xfId="10404" xr:uid="{00000000-0005-0000-0000-0000AB2F0000}"/>
    <cellStyle name="40% - Accent2 7" xfId="10405" xr:uid="{00000000-0005-0000-0000-0000AC2F0000}"/>
    <cellStyle name="40% - Accent2 7 2" xfId="10406" xr:uid="{00000000-0005-0000-0000-0000AD2F0000}"/>
    <cellStyle name="40% - Accent2 7 2 2" xfId="10407" xr:uid="{00000000-0005-0000-0000-0000AE2F0000}"/>
    <cellStyle name="40% - Accent2 7 3" xfId="10408" xr:uid="{00000000-0005-0000-0000-0000AF2F0000}"/>
    <cellStyle name="40% - Accent2 7 4" xfId="10409" xr:uid="{00000000-0005-0000-0000-0000B02F0000}"/>
    <cellStyle name="40% - Accent2 7 5" xfId="38095" xr:uid="{00000000-0005-0000-0000-0000B12F0000}"/>
    <cellStyle name="40% - Accent2 8" xfId="41861" xr:uid="{773C4378-75E9-400C-806D-0ED56851931D}"/>
    <cellStyle name="40% - Accent3 2" xfId="10410" xr:uid="{00000000-0005-0000-0000-0000B22F0000}"/>
    <cellStyle name="40% - Accent3 2 10" xfId="10411" xr:uid="{00000000-0005-0000-0000-0000B32F0000}"/>
    <cellStyle name="40% - Accent3 2 10 2" xfId="10412" xr:uid="{00000000-0005-0000-0000-0000B42F0000}"/>
    <cellStyle name="40% - Accent3 2 10 2 2" xfId="10413" xr:uid="{00000000-0005-0000-0000-0000B52F0000}"/>
    <cellStyle name="40% - Accent3 2 10 3" xfId="10414" xr:uid="{00000000-0005-0000-0000-0000B62F0000}"/>
    <cellStyle name="40% - Accent3 2 10 4" xfId="10415" xr:uid="{00000000-0005-0000-0000-0000B72F0000}"/>
    <cellStyle name="40% - Accent3 2 10 5" xfId="38096" xr:uid="{00000000-0005-0000-0000-0000B82F0000}"/>
    <cellStyle name="40% - Accent3 2 11" xfId="10416" xr:uid="{00000000-0005-0000-0000-0000B92F0000}"/>
    <cellStyle name="40% - Accent3 2 11 2" xfId="10417" xr:uid="{00000000-0005-0000-0000-0000BA2F0000}"/>
    <cellStyle name="40% - Accent3 2 12" xfId="10418" xr:uid="{00000000-0005-0000-0000-0000BB2F0000}"/>
    <cellStyle name="40% - Accent3 2 13" xfId="10419" xr:uid="{00000000-0005-0000-0000-0000BC2F0000}"/>
    <cellStyle name="40% - Accent3 2 2" xfId="10420" xr:uid="{00000000-0005-0000-0000-0000BD2F0000}"/>
    <cellStyle name="40% - Accent3 2 2 2" xfId="10421" xr:uid="{00000000-0005-0000-0000-0000BE2F0000}"/>
    <cellStyle name="40% - Accent3 2 2 3" xfId="10422" xr:uid="{00000000-0005-0000-0000-0000BF2F0000}"/>
    <cellStyle name="40% - Accent3 2 2 3 2" xfId="38098" xr:uid="{00000000-0005-0000-0000-0000C02F0000}"/>
    <cellStyle name="40% - Accent3 2 2 3 3" xfId="38097" xr:uid="{00000000-0005-0000-0000-0000C12F0000}"/>
    <cellStyle name="40% - Accent3 2 2 4" xfId="10423" xr:uid="{00000000-0005-0000-0000-0000C22F0000}"/>
    <cellStyle name="40% - Accent3 2 3" xfId="10424" xr:uid="{00000000-0005-0000-0000-0000C32F0000}"/>
    <cellStyle name="40% - Accent3 2 3 10" xfId="10425" xr:uid="{00000000-0005-0000-0000-0000C42F0000}"/>
    <cellStyle name="40% - Accent3 2 3 11" xfId="10426" xr:uid="{00000000-0005-0000-0000-0000C52F0000}"/>
    <cellStyle name="40% - Accent3 2 3 12" xfId="34723" xr:uid="{00000000-0005-0000-0000-0000C62F0000}"/>
    <cellStyle name="40% - Accent3 2 3 2" xfId="10427" xr:uid="{00000000-0005-0000-0000-0000C72F0000}"/>
    <cellStyle name="40% - Accent3 2 3 2 10" xfId="10428" xr:uid="{00000000-0005-0000-0000-0000C82F0000}"/>
    <cellStyle name="40% - Accent3 2 3 2 11" xfId="34724" xr:uid="{00000000-0005-0000-0000-0000C92F0000}"/>
    <cellStyle name="40% - Accent3 2 3 2 2" xfId="10429" xr:uid="{00000000-0005-0000-0000-0000CA2F0000}"/>
    <cellStyle name="40% - Accent3 2 3 2 2 10" xfId="34725" xr:uid="{00000000-0005-0000-0000-0000CB2F0000}"/>
    <cellStyle name="40% - Accent3 2 3 2 2 2" xfId="10430" xr:uid="{00000000-0005-0000-0000-0000CC2F0000}"/>
    <cellStyle name="40% - Accent3 2 3 2 2 2 2" xfId="10431" xr:uid="{00000000-0005-0000-0000-0000CD2F0000}"/>
    <cellStyle name="40% - Accent3 2 3 2 2 2 2 2" xfId="10432" xr:uid="{00000000-0005-0000-0000-0000CE2F0000}"/>
    <cellStyle name="40% - Accent3 2 3 2 2 2 2 2 2" xfId="10433" xr:uid="{00000000-0005-0000-0000-0000CF2F0000}"/>
    <cellStyle name="40% - Accent3 2 3 2 2 2 2 3" xfId="10434" xr:uid="{00000000-0005-0000-0000-0000D02F0000}"/>
    <cellStyle name="40% - Accent3 2 3 2 2 2 2 4" xfId="10435" xr:uid="{00000000-0005-0000-0000-0000D12F0000}"/>
    <cellStyle name="40% - Accent3 2 3 2 2 2 2 5" xfId="38100" xr:uid="{00000000-0005-0000-0000-0000D22F0000}"/>
    <cellStyle name="40% - Accent3 2 3 2 2 2 3" xfId="10436" xr:uid="{00000000-0005-0000-0000-0000D32F0000}"/>
    <cellStyle name="40% - Accent3 2 3 2 2 2 3 2" xfId="10437" xr:uid="{00000000-0005-0000-0000-0000D42F0000}"/>
    <cellStyle name="40% - Accent3 2 3 2 2 2 4" xfId="10438" xr:uid="{00000000-0005-0000-0000-0000D52F0000}"/>
    <cellStyle name="40% - Accent3 2 3 2 2 2 5" xfId="10439" xr:uid="{00000000-0005-0000-0000-0000D62F0000}"/>
    <cellStyle name="40% - Accent3 2 3 2 2 2 6" xfId="38099" xr:uid="{00000000-0005-0000-0000-0000D72F0000}"/>
    <cellStyle name="40% - Accent3 2 3 2 2 3" xfId="10440" xr:uid="{00000000-0005-0000-0000-0000D82F0000}"/>
    <cellStyle name="40% - Accent3 2 3 2 2 3 2" xfId="10441" xr:uid="{00000000-0005-0000-0000-0000D92F0000}"/>
    <cellStyle name="40% - Accent3 2 3 2 2 3 2 2" xfId="10442" xr:uid="{00000000-0005-0000-0000-0000DA2F0000}"/>
    <cellStyle name="40% - Accent3 2 3 2 2 3 2 2 2" xfId="10443" xr:uid="{00000000-0005-0000-0000-0000DB2F0000}"/>
    <cellStyle name="40% - Accent3 2 3 2 2 3 2 3" xfId="10444" xr:uid="{00000000-0005-0000-0000-0000DC2F0000}"/>
    <cellStyle name="40% - Accent3 2 3 2 2 3 2 4" xfId="10445" xr:uid="{00000000-0005-0000-0000-0000DD2F0000}"/>
    <cellStyle name="40% - Accent3 2 3 2 2 3 2 5" xfId="38102" xr:uid="{00000000-0005-0000-0000-0000DE2F0000}"/>
    <cellStyle name="40% - Accent3 2 3 2 2 3 3" xfId="10446" xr:uid="{00000000-0005-0000-0000-0000DF2F0000}"/>
    <cellStyle name="40% - Accent3 2 3 2 2 3 3 2" xfId="10447" xr:uid="{00000000-0005-0000-0000-0000E02F0000}"/>
    <cellStyle name="40% - Accent3 2 3 2 2 3 4" xfId="10448" xr:uid="{00000000-0005-0000-0000-0000E12F0000}"/>
    <cellStyle name="40% - Accent3 2 3 2 2 3 5" xfId="10449" xr:uid="{00000000-0005-0000-0000-0000E22F0000}"/>
    <cellStyle name="40% - Accent3 2 3 2 2 3 6" xfId="38101" xr:uid="{00000000-0005-0000-0000-0000E32F0000}"/>
    <cellStyle name="40% - Accent3 2 3 2 2 4" xfId="10450" xr:uid="{00000000-0005-0000-0000-0000E42F0000}"/>
    <cellStyle name="40% - Accent3 2 3 2 2 4 2" xfId="10451" xr:uid="{00000000-0005-0000-0000-0000E52F0000}"/>
    <cellStyle name="40% - Accent3 2 3 2 2 4 2 2" xfId="10452" xr:uid="{00000000-0005-0000-0000-0000E62F0000}"/>
    <cellStyle name="40% - Accent3 2 3 2 2 4 3" xfId="10453" xr:uid="{00000000-0005-0000-0000-0000E72F0000}"/>
    <cellStyle name="40% - Accent3 2 3 2 2 4 4" xfId="10454" xr:uid="{00000000-0005-0000-0000-0000E82F0000}"/>
    <cellStyle name="40% - Accent3 2 3 2 2 4 5" xfId="38103" xr:uid="{00000000-0005-0000-0000-0000E92F0000}"/>
    <cellStyle name="40% - Accent3 2 3 2 2 5" xfId="10455" xr:uid="{00000000-0005-0000-0000-0000EA2F0000}"/>
    <cellStyle name="40% - Accent3 2 3 2 2 5 2" xfId="10456" xr:uid="{00000000-0005-0000-0000-0000EB2F0000}"/>
    <cellStyle name="40% - Accent3 2 3 2 2 5 2 2" xfId="10457" xr:uid="{00000000-0005-0000-0000-0000EC2F0000}"/>
    <cellStyle name="40% - Accent3 2 3 2 2 5 3" xfId="10458" xr:uid="{00000000-0005-0000-0000-0000ED2F0000}"/>
    <cellStyle name="40% - Accent3 2 3 2 2 5 4" xfId="10459" xr:uid="{00000000-0005-0000-0000-0000EE2F0000}"/>
    <cellStyle name="40% - Accent3 2 3 2 2 6" xfId="10460" xr:uid="{00000000-0005-0000-0000-0000EF2F0000}"/>
    <cellStyle name="40% - Accent3 2 3 2 2 6 2" xfId="10461" xr:uid="{00000000-0005-0000-0000-0000F02F0000}"/>
    <cellStyle name="40% - Accent3 2 3 2 2 6 2 2" xfId="10462" xr:uid="{00000000-0005-0000-0000-0000F12F0000}"/>
    <cellStyle name="40% - Accent3 2 3 2 2 6 3" xfId="10463" xr:uid="{00000000-0005-0000-0000-0000F22F0000}"/>
    <cellStyle name="40% - Accent3 2 3 2 2 6 4" xfId="10464" xr:uid="{00000000-0005-0000-0000-0000F32F0000}"/>
    <cellStyle name="40% - Accent3 2 3 2 2 7" xfId="10465" xr:uid="{00000000-0005-0000-0000-0000F42F0000}"/>
    <cellStyle name="40% - Accent3 2 3 2 2 7 2" xfId="10466" xr:uid="{00000000-0005-0000-0000-0000F52F0000}"/>
    <cellStyle name="40% - Accent3 2 3 2 2 8" xfId="10467" xr:uid="{00000000-0005-0000-0000-0000F62F0000}"/>
    <cellStyle name="40% - Accent3 2 3 2 2 9" xfId="10468" xr:uid="{00000000-0005-0000-0000-0000F72F0000}"/>
    <cellStyle name="40% - Accent3 2 3 2 3" xfId="10469" xr:uid="{00000000-0005-0000-0000-0000F82F0000}"/>
    <cellStyle name="40% - Accent3 2 3 2 3 2" xfId="10470" xr:uid="{00000000-0005-0000-0000-0000F92F0000}"/>
    <cellStyle name="40% - Accent3 2 3 2 3 2 2" xfId="10471" xr:uid="{00000000-0005-0000-0000-0000FA2F0000}"/>
    <cellStyle name="40% - Accent3 2 3 2 3 2 2 2" xfId="10472" xr:uid="{00000000-0005-0000-0000-0000FB2F0000}"/>
    <cellStyle name="40% - Accent3 2 3 2 3 2 3" xfId="10473" xr:uid="{00000000-0005-0000-0000-0000FC2F0000}"/>
    <cellStyle name="40% - Accent3 2 3 2 3 2 4" xfId="10474" xr:uid="{00000000-0005-0000-0000-0000FD2F0000}"/>
    <cellStyle name="40% - Accent3 2 3 2 3 2 5" xfId="38105" xr:uid="{00000000-0005-0000-0000-0000FE2F0000}"/>
    <cellStyle name="40% - Accent3 2 3 2 3 3" xfId="10475" xr:uid="{00000000-0005-0000-0000-0000FF2F0000}"/>
    <cellStyle name="40% - Accent3 2 3 2 3 3 2" xfId="10476" xr:uid="{00000000-0005-0000-0000-000000300000}"/>
    <cellStyle name="40% - Accent3 2 3 2 3 4" xfId="10477" xr:uid="{00000000-0005-0000-0000-000001300000}"/>
    <cellStyle name="40% - Accent3 2 3 2 3 5" xfId="10478" xr:uid="{00000000-0005-0000-0000-000002300000}"/>
    <cellStyle name="40% - Accent3 2 3 2 3 6" xfId="38104" xr:uid="{00000000-0005-0000-0000-000003300000}"/>
    <cellStyle name="40% - Accent3 2 3 2 4" xfId="10479" xr:uid="{00000000-0005-0000-0000-000004300000}"/>
    <cellStyle name="40% - Accent3 2 3 2 4 2" xfId="10480" xr:uid="{00000000-0005-0000-0000-000005300000}"/>
    <cellStyle name="40% - Accent3 2 3 2 4 2 2" xfId="10481" xr:uid="{00000000-0005-0000-0000-000006300000}"/>
    <cellStyle name="40% - Accent3 2 3 2 4 2 2 2" xfId="10482" xr:uid="{00000000-0005-0000-0000-000007300000}"/>
    <cellStyle name="40% - Accent3 2 3 2 4 2 3" xfId="10483" xr:uid="{00000000-0005-0000-0000-000008300000}"/>
    <cellStyle name="40% - Accent3 2 3 2 4 2 4" xfId="10484" xr:uid="{00000000-0005-0000-0000-000009300000}"/>
    <cellStyle name="40% - Accent3 2 3 2 4 2 5" xfId="38107" xr:uid="{00000000-0005-0000-0000-00000A300000}"/>
    <cellStyle name="40% - Accent3 2 3 2 4 3" xfId="10485" xr:uid="{00000000-0005-0000-0000-00000B300000}"/>
    <cellStyle name="40% - Accent3 2 3 2 4 3 2" xfId="10486" xr:uid="{00000000-0005-0000-0000-00000C300000}"/>
    <cellStyle name="40% - Accent3 2 3 2 4 4" xfId="10487" xr:uid="{00000000-0005-0000-0000-00000D300000}"/>
    <cellStyle name="40% - Accent3 2 3 2 4 5" xfId="10488" xr:uid="{00000000-0005-0000-0000-00000E300000}"/>
    <cellStyle name="40% - Accent3 2 3 2 4 6" xfId="38106" xr:uid="{00000000-0005-0000-0000-00000F300000}"/>
    <cellStyle name="40% - Accent3 2 3 2 5" xfId="10489" xr:uid="{00000000-0005-0000-0000-000010300000}"/>
    <cellStyle name="40% - Accent3 2 3 2 5 2" xfId="10490" xr:uid="{00000000-0005-0000-0000-000011300000}"/>
    <cellStyle name="40% - Accent3 2 3 2 5 2 2" xfId="10491" xr:uid="{00000000-0005-0000-0000-000012300000}"/>
    <cellStyle name="40% - Accent3 2 3 2 5 3" xfId="10492" xr:uid="{00000000-0005-0000-0000-000013300000}"/>
    <cellStyle name="40% - Accent3 2 3 2 5 4" xfId="10493" xr:uid="{00000000-0005-0000-0000-000014300000}"/>
    <cellStyle name="40% - Accent3 2 3 2 5 5" xfId="38108" xr:uid="{00000000-0005-0000-0000-000015300000}"/>
    <cellStyle name="40% - Accent3 2 3 2 6" xfId="10494" xr:uid="{00000000-0005-0000-0000-000016300000}"/>
    <cellStyle name="40% - Accent3 2 3 2 6 2" xfId="10495" xr:uid="{00000000-0005-0000-0000-000017300000}"/>
    <cellStyle name="40% - Accent3 2 3 2 6 2 2" xfId="10496" xr:uid="{00000000-0005-0000-0000-000018300000}"/>
    <cellStyle name="40% - Accent3 2 3 2 6 3" xfId="10497" xr:uid="{00000000-0005-0000-0000-000019300000}"/>
    <cellStyle name="40% - Accent3 2 3 2 6 4" xfId="10498" xr:uid="{00000000-0005-0000-0000-00001A300000}"/>
    <cellStyle name="40% - Accent3 2 3 2 7" xfId="10499" xr:uid="{00000000-0005-0000-0000-00001B300000}"/>
    <cellStyle name="40% - Accent3 2 3 2 7 2" xfId="10500" xr:uid="{00000000-0005-0000-0000-00001C300000}"/>
    <cellStyle name="40% - Accent3 2 3 2 7 2 2" xfId="10501" xr:uid="{00000000-0005-0000-0000-00001D300000}"/>
    <cellStyle name="40% - Accent3 2 3 2 7 3" xfId="10502" xr:uid="{00000000-0005-0000-0000-00001E300000}"/>
    <cellStyle name="40% - Accent3 2 3 2 7 4" xfId="10503" xr:uid="{00000000-0005-0000-0000-00001F300000}"/>
    <cellStyle name="40% - Accent3 2 3 2 8" xfId="10504" xr:uid="{00000000-0005-0000-0000-000020300000}"/>
    <cellStyle name="40% - Accent3 2 3 2 8 2" xfId="10505" xr:uid="{00000000-0005-0000-0000-000021300000}"/>
    <cellStyle name="40% - Accent3 2 3 2 9" xfId="10506" xr:uid="{00000000-0005-0000-0000-000022300000}"/>
    <cellStyle name="40% - Accent3 2 3 3" xfId="10507" xr:uid="{00000000-0005-0000-0000-000023300000}"/>
    <cellStyle name="40% - Accent3 2 3 3 10" xfId="34726" xr:uid="{00000000-0005-0000-0000-000024300000}"/>
    <cellStyle name="40% - Accent3 2 3 3 2" xfId="10508" xr:uid="{00000000-0005-0000-0000-000025300000}"/>
    <cellStyle name="40% - Accent3 2 3 3 2 2" xfId="10509" xr:uid="{00000000-0005-0000-0000-000026300000}"/>
    <cellStyle name="40% - Accent3 2 3 3 2 2 2" xfId="10510" xr:uid="{00000000-0005-0000-0000-000027300000}"/>
    <cellStyle name="40% - Accent3 2 3 3 2 2 2 2" xfId="10511" xr:uid="{00000000-0005-0000-0000-000028300000}"/>
    <cellStyle name="40% - Accent3 2 3 3 2 2 3" xfId="10512" xr:uid="{00000000-0005-0000-0000-000029300000}"/>
    <cellStyle name="40% - Accent3 2 3 3 2 2 4" xfId="10513" xr:uid="{00000000-0005-0000-0000-00002A300000}"/>
    <cellStyle name="40% - Accent3 2 3 3 2 2 5" xfId="38110" xr:uid="{00000000-0005-0000-0000-00002B300000}"/>
    <cellStyle name="40% - Accent3 2 3 3 2 3" xfId="10514" xr:uid="{00000000-0005-0000-0000-00002C300000}"/>
    <cellStyle name="40% - Accent3 2 3 3 2 3 2" xfId="10515" xr:uid="{00000000-0005-0000-0000-00002D300000}"/>
    <cellStyle name="40% - Accent3 2 3 3 2 4" xfId="10516" xr:uid="{00000000-0005-0000-0000-00002E300000}"/>
    <cellStyle name="40% - Accent3 2 3 3 2 5" xfId="10517" xr:uid="{00000000-0005-0000-0000-00002F300000}"/>
    <cellStyle name="40% - Accent3 2 3 3 2 6" xfId="38109" xr:uid="{00000000-0005-0000-0000-000030300000}"/>
    <cellStyle name="40% - Accent3 2 3 3 3" xfId="10518" xr:uid="{00000000-0005-0000-0000-000031300000}"/>
    <cellStyle name="40% - Accent3 2 3 3 3 2" xfId="10519" xr:uid="{00000000-0005-0000-0000-000032300000}"/>
    <cellStyle name="40% - Accent3 2 3 3 3 2 2" xfId="10520" xr:uid="{00000000-0005-0000-0000-000033300000}"/>
    <cellStyle name="40% - Accent3 2 3 3 3 2 2 2" xfId="10521" xr:uid="{00000000-0005-0000-0000-000034300000}"/>
    <cellStyle name="40% - Accent3 2 3 3 3 2 3" xfId="10522" xr:uid="{00000000-0005-0000-0000-000035300000}"/>
    <cellStyle name="40% - Accent3 2 3 3 3 2 4" xfId="10523" xr:uid="{00000000-0005-0000-0000-000036300000}"/>
    <cellStyle name="40% - Accent3 2 3 3 3 2 5" xfId="38112" xr:uid="{00000000-0005-0000-0000-000037300000}"/>
    <cellStyle name="40% - Accent3 2 3 3 3 3" xfId="10524" xr:uid="{00000000-0005-0000-0000-000038300000}"/>
    <cellStyle name="40% - Accent3 2 3 3 3 3 2" xfId="10525" xr:uid="{00000000-0005-0000-0000-000039300000}"/>
    <cellStyle name="40% - Accent3 2 3 3 3 4" xfId="10526" xr:uid="{00000000-0005-0000-0000-00003A300000}"/>
    <cellStyle name="40% - Accent3 2 3 3 3 5" xfId="10527" xr:uid="{00000000-0005-0000-0000-00003B300000}"/>
    <cellStyle name="40% - Accent3 2 3 3 3 6" xfId="38111" xr:uid="{00000000-0005-0000-0000-00003C300000}"/>
    <cellStyle name="40% - Accent3 2 3 3 4" xfId="10528" xr:uid="{00000000-0005-0000-0000-00003D300000}"/>
    <cellStyle name="40% - Accent3 2 3 3 4 2" xfId="10529" xr:uid="{00000000-0005-0000-0000-00003E300000}"/>
    <cellStyle name="40% - Accent3 2 3 3 4 2 2" xfId="10530" xr:uid="{00000000-0005-0000-0000-00003F300000}"/>
    <cellStyle name="40% - Accent3 2 3 3 4 3" xfId="10531" xr:uid="{00000000-0005-0000-0000-000040300000}"/>
    <cellStyle name="40% - Accent3 2 3 3 4 4" xfId="10532" xr:uid="{00000000-0005-0000-0000-000041300000}"/>
    <cellStyle name="40% - Accent3 2 3 3 4 5" xfId="38113" xr:uid="{00000000-0005-0000-0000-000042300000}"/>
    <cellStyle name="40% - Accent3 2 3 3 5" xfId="10533" xr:uid="{00000000-0005-0000-0000-000043300000}"/>
    <cellStyle name="40% - Accent3 2 3 3 5 2" xfId="10534" xr:uid="{00000000-0005-0000-0000-000044300000}"/>
    <cellStyle name="40% - Accent3 2 3 3 5 2 2" xfId="10535" xr:uid="{00000000-0005-0000-0000-000045300000}"/>
    <cellStyle name="40% - Accent3 2 3 3 5 3" xfId="10536" xr:uid="{00000000-0005-0000-0000-000046300000}"/>
    <cellStyle name="40% - Accent3 2 3 3 5 4" xfId="10537" xr:uid="{00000000-0005-0000-0000-000047300000}"/>
    <cellStyle name="40% - Accent3 2 3 3 6" xfId="10538" xr:uid="{00000000-0005-0000-0000-000048300000}"/>
    <cellStyle name="40% - Accent3 2 3 3 6 2" xfId="10539" xr:uid="{00000000-0005-0000-0000-000049300000}"/>
    <cellStyle name="40% - Accent3 2 3 3 6 2 2" xfId="10540" xr:uid="{00000000-0005-0000-0000-00004A300000}"/>
    <cellStyle name="40% - Accent3 2 3 3 6 3" xfId="10541" xr:uid="{00000000-0005-0000-0000-00004B300000}"/>
    <cellStyle name="40% - Accent3 2 3 3 6 4" xfId="10542" xr:uid="{00000000-0005-0000-0000-00004C300000}"/>
    <cellStyle name="40% - Accent3 2 3 3 7" xfId="10543" xr:uid="{00000000-0005-0000-0000-00004D300000}"/>
    <cellStyle name="40% - Accent3 2 3 3 7 2" xfId="10544" xr:uid="{00000000-0005-0000-0000-00004E300000}"/>
    <cellStyle name="40% - Accent3 2 3 3 8" xfId="10545" xr:uid="{00000000-0005-0000-0000-00004F300000}"/>
    <cellStyle name="40% - Accent3 2 3 3 9" xfId="10546" xr:uid="{00000000-0005-0000-0000-000050300000}"/>
    <cellStyle name="40% - Accent3 2 3 4" xfId="10547" xr:uid="{00000000-0005-0000-0000-000051300000}"/>
    <cellStyle name="40% - Accent3 2 3 4 2" xfId="10548" xr:uid="{00000000-0005-0000-0000-000052300000}"/>
    <cellStyle name="40% - Accent3 2 3 4 2 2" xfId="10549" xr:uid="{00000000-0005-0000-0000-000053300000}"/>
    <cellStyle name="40% - Accent3 2 3 4 2 2 2" xfId="10550" xr:uid="{00000000-0005-0000-0000-000054300000}"/>
    <cellStyle name="40% - Accent3 2 3 4 2 3" xfId="10551" xr:uid="{00000000-0005-0000-0000-000055300000}"/>
    <cellStyle name="40% - Accent3 2 3 4 2 4" xfId="10552" xr:uid="{00000000-0005-0000-0000-000056300000}"/>
    <cellStyle name="40% - Accent3 2 3 4 2 5" xfId="38115" xr:uid="{00000000-0005-0000-0000-000057300000}"/>
    <cellStyle name="40% - Accent3 2 3 4 3" xfId="10553" xr:uid="{00000000-0005-0000-0000-000058300000}"/>
    <cellStyle name="40% - Accent3 2 3 4 4" xfId="10554" xr:uid="{00000000-0005-0000-0000-000059300000}"/>
    <cellStyle name="40% - Accent3 2 3 4 4 2" xfId="10555" xr:uid="{00000000-0005-0000-0000-00005A300000}"/>
    <cellStyle name="40% - Accent3 2 3 4 5" xfId="10556" xr:uid="{00000000-0005-0000-0000-00005B300000}"/>
    <cellStyle name="40% - Accent3 2 3 4 6" xfId="10557" xr:uid="{00000000-0005-0000-0000-00005C300000}"/>
    <cellStyle name="40% - Accent3 2 3 4 7" xfId="38114" xr:uid="{00000000-0005-0000-0000-00005D300000}"/>
    <cellStyle name="40% - Accent3 2 3 5" xfId="10558" xr:uid="{00000000-0005-0000-0000-00005E300000}"/>
    <cellStyle name="40% - Accent3 2 3 5 2" xfId="10559" xr:uid="{00000000-0005-0000-0000-00005F300000}"/>
    <cellStyle name="40% - Accent3 2 3 5 2 2" xfId="10560" xr:uid="{00000000-0005-0000-0000-000060300000}"/>
    <cellStyle name="40% - Accent3 2 3 5 2 2 2" xfId="10561" xr:uid="{00000000-0005-0000-0000-000061300000}"/>
    <cellStyle name="40% - Accent3 2 3 5 2 3" xfId="10562" xr:uid="{00000000-0005-0000-0000-000062300000}"/>
    <cellStyle name="40% - Accent3 2 3 5 2 4" xfId="10563" xr:uid="{00000000-0005-0000-0000-000063300000}"/>
    <cellStyle name="40% - Accent3 2 3 5 2 5" xfId="38117" xr:uid="{00000000-0005-0000-0000-000064300000}"/>
    <cellStyle name="40% - Accent3 2 3 5 3" xfId="10564" xr:uid="{00000000-0005-0000-0000-000065300000}"/>
    <cellStyle name="40% - Accent3 2 3 5 3 2" xfId="10565" xr:uid="{00000000-0005-0000-0000-000066300000}"/>
    <cellStyle name="40% - Accent3 2 3 5 4" xfId="10566" xr:uid="{00000000-0005-0000-0000-000067300000}"/>
    <cellStyle name="40% - Accent3 2 3 5 5" xfId="10567" xr:uid="{00000000-0005-0000-0000-000068300000}"/>
    <cellStyle name="40% - Accent3 2 3 5 6" xfId="38116" xr:uid="{00000000-0005-0000-0000-000069300000}"/>
    <cellStyle name="40% - Accent3 2 3 6" xfId="10568" xr:uid="{00000000-0005-0000-0000-00006A300000}"/>
    <cellStyle name="40% - Accent3 2 3 6 2" xfId="10569" xr:uid="{00000000-0005-0000-0000-00006B300000}"/>
    <cellStyle name="40% - Accent3 2 3 6 2 2" xfId="10570" xr:uid="{00000000-0005-0000-0000-00006C300000}"/>
    <cellStyle name="40% - Accent3 2 3 6 3" xfId="10571" xr:uid="{00000000-0005-0000-0000-00006D300000}"/>
    <cellStyle name="40% - Accent3 2 3 6 4" xfId="10572" xr:uid="{00000000-0005-0000-0000-00006E300000}"/>
    <cellStyle name="40% - Accent3 2 3 6 5" xfId="38118" xr:uid="{00000000-0005-0000-0000-00006F300000}"/>
    <cellStyle name="40% - Accent3 2 3 7" xfId="10573" xr:uid="{00000000-0005-0000-0000-000070300000}"/>
    <cellStyle name="40% - Accent3 2 3 7 2" xfId="10574" xr:uid="{00000000-0005-0000-0000-000071300000}"/>
    <cellStyle name="40% - Accent3 2 3 7 2 2" xfId="10575" xr:uid="{00000000-0005-0000-0000-000072300000}"/>
    <cellStyle name="40% - Accent3 2 3 7 3" xfId="10576" xr:uid="{00000000-0005-0000-0000-000073300000}"/>
    <cellStyle name="40% - Accent3 2 3 7 4" xfId="10577" xr:uid="{00000000-0005-0000-0000-000074300000}"/>
    <cellStyle name="40% - Accent3 2 3 8" xfId="10578" xr:uid="{00000000-0005-0000-0000-000075300000}"/>
    <cellStyle name="40% - Accent3 2 3 8 2" xfId="10579" xr:uid="{00000000-0005-0000-0000-000076300000}"/>
    <cellStyle name="40% - Accent3 2 3 8 2 2" xfId="10580" xr:uid="{00000000-0005-0000-0000-000077300000}"/>
    <cellStyle name="40% - Accent3 2 3 8 3" xfId="10581" xr:uid="{00000000-0005-0000-0000-000078300000}"/>
    <cellStyle name="40% - Accent3 2 3 8 4" xfId="10582" xr:uid="{00000000-0005-0000-0000-000079300000}"/>
    <cellStyle name="40% - Accent3 2 3 9" xfId="10583" xr:uid="{00000000-0005-0000-0000-00007A300000}"/>
    <cellStyle name="40% - Accent3 2 3 9 2" xfId="10584" xr:uid="{00000000-0005-0000-0000-00007B300000}"/>
    <cellStyle name="40% - Accent3 2 4" xfId="10585" xr:uid="{00000000-0005-0000-0000-00007C300000}"/>
    <cellStyle name="40% - Accent3 2 4 10" xfId="10586" xr:uid="{00000000-0005-0000-0000-00007D300000}"/>
    <cellStyle name="40% - Accent3 2 4 11" xfId="34727" xr:uid="{00000000-0005-0000-0000-00007E300000}"/>
    <cellStyle name="40% - Accent3 2 4 2" xfId="10587" xr:uid="{00000000-0005-0000-0000-00007F300000}"/>
    <cellStyle name="40% - Accent3 2 4 2 10" xfId="34728" xr:uid="{00000000-0005-0000-0000-000080300000}"/>
    <cellStyle name="40% - Accent3 2 4 2 2" xfId="10588" xr:uid="{00000000-0005-0000-0000-000081300000}"/>
    <cellStyle name="40% - Accent3 2 4 2 2 2" xfId="10589" xr:uid="{00000000-0005-0000-0000-000082300000}"/>
    <cellStyle name="40% - Accent3 2 4 2 2 2 2" xfId="10590" xr:uid="{00000000-0005-0000-0000-000083300000}"/>
    <cellStyle name="40% - Accent3 2 4 2 2 2 2 2" xfId="10591" xr:uid="{00000000-0005-0000-0000-000084300000}"/>
    <cellStyle name="40% - Accent3 2 4 2 2 2 3" xfId="10592" xr:uid="{00000000-0005-0000-0000-000085300000}"/>
    <cellStyle name="40% - Accent3 2 4 2 2 2 4" xfId="10593" xr:uid="{00000000-0005-0000-0000-000086300000}"/>
    <cellStyle name="40% - Accent3 2 4 2 2 2 5" xfId="38120" xr:uid="{00000000-0005-0000-0000-000087300000}"/>
    <cellStyle name="40% - Accent3 2 4 2 2 3" xfId="10594" xr:uid="{00000000-0005-0000-0000-000088300000}"/>
    <cellStyle name="40% - Accent3 2 4 2 2 3 2" xfId="10595" xr:uid="{00000000-0005-0000-0000-000089300000}"/>
    <cellStyle name="40% - Accent3 2 4 2 2 4" xfId="10596" xr:uid="{00000000-0005-0000-0000-00008A300000}"/>
    <cellStyle name="40% - Accent3 2 4 2 2 5" xfId="10597" xr:uid="{00000000-0005-0000-0000-00008B300000}"/>
    <cellStyle name="40% - Accent3 2 4 2 2 6" xfId="38119" xr:uid="{00000000-0005-0000-0000-00008C300000}"/>
    <cellStyle name="40% - Accent3 2 4 2 3" xfId="10598" xr:uid="{00000000-0005-0000-0000-00008D300000}"/>
    <cellStyle name="40% - Accent3 2 4 2 3 2" xfId="10599" xr:uid="{00000000-0005-0000-0000-00008E300000}"/>
    <cellStyle name="40% - Accent3 2 4 2 3 2 2" xfId="10600" xr:uid="{00000000-0005-0000-0000-00008F300000}"/>
    <cellStyle name="40% - Accent3 2 4 2 3 2 2 2" xfId="10601" xr:uid="{00000000-0005-0000-0000-000090300000}"/>
    <cellStyle name="40% - Accent3 2 4 2 3 2 3" xfId="10602" xr:uid="{00000000-0005-0000-0000-000091300000}"/>
    <cellStyle name="40% - Accent3 2 4 2 3 2 4" xfId="10603" xr:uid="{00000000-0005-0000-0000-000092300000}"/>
    <cellStyle name="40% - Accent3 2 4 2 3 2 5" xfId="38122" xr:uid="{00000000-0005-0000-0000-000093300000}"/>
    <cellStyle name="40% - Accent3 2 4 2 3 3" xfId="10604" xr:uid="{00000000-0005-0000-0000-000094300000}"/>
    <cellStyle name="40% - Accent3 2 4 2 3 3 2" xfId="10605" xr:uid="{00000000-0005-0000-0000-000095300000}"/>
    <cellStyle name="40% - Accent3 2 4 2 3 4" xfId="10606" xr:uid="{00000000-0005-0000-0000-000096300000}"/>
    <cellStyle name="40% - Accent3 2 4 2 3 5" xfId="10607" xr:uid="{00000000-0005-0000-0000-000097300000}"/>
    <cellStyle name="40% - Accent3 2 4 2 3 6" xfId="38121" xr:uid="{00000000-0005-0000-0000-000098300000}"/>
    <cellStyle name="40% - Accent3 2 4 2 4" xfId="10608" xr:uid="{00000000-0005-0000-0000-000099300000}"/>
    <cellStyle name="40% - Accent3 2 4 2 4 2" xfId="10609" xr:uid="{00000000-0005-0000-0000-00009A300000}"/>
    <cellStyle name="40% - Accent3 2 4 2 4 2 2" xfId="10610" xr:uid="{00000000-0005-0000-0000-00009B300000}"/>
    <cellStyle name="40% - Accent3 2 4 2 4 3" xfId="10611" xr:uid="{00000000-0005-0000-0000-00009C300000}"/>
    <cellStyle name="40% - Accent3 2 4 2 4 4" xfId="10612" xr:uid="{00000000-0005-0000-0000-00009D300000}"/>
    <cellStyle name="40% - Accent3 2 4 2 4 5" xfId="38123" xr:uid="{00000000-0005-0000-0000-00009E300000}"/>
    <cellStyle name="40% - Accent3 2 4 2 5" xfId="10613" xr:uid="{00000000-0005-0000-0000-00009F300000}"/>
    <cellStyle name="40% - Accent3 2 4 2 5 2" xfId="10614" xr:uid="{00000000-0005-0000-0000-0000A0300000}"/>
    <cellStyle name="40% - Accent3 2 4 2 5 2 2" xfId="10615" xr:uid="{00000000-0005-0000-0000-0000A1300000}"/>
    <cellStyle name="40% - Accent3 2 4 2 5 3" xfId="10616" xr:uid="{00000000-0005-0000-0000-0000A2300000}"/>
    <cellStyle name="40% - Accent3 2 4 2 5 4" xfId="10617" xr:uid="{00000000-0005-0000-0000-0000A3300000}"/>
    <cellStyle name="40% - Accent3 2 4 2 6" xfId="10618" xr:uid="{00000000-0005-0000-0000-0000A4300000}"/>
    <cellStyle name="40% - Accent3 2 4 2 6 2" xfId="10619" xr:uid="{00000000-0005-0000-0000-0000A5300000}"/>
    <cellStyle name="40% - Accent3 2 4 2 6 2 2" xfId="10620" xr:uid="{00000000-0005-0000-0000-0000A6300000}"/>
    <cellStyle name="40% - Accent3 2 4 2 6 3" xfId="10621" xr:uid="{00000000-0005-0000-0000-0000A7300000}"/>
    <cellStyle name="40% - Accent3 2 4 2 6 4" xfId="10622" xr:uid="{00000000-0005-0000-0000-0000A8300000}"/>
    <cellStyle name="40% - Accent3 2 4 2 7" xfId="10623" xr:uid="{00000000-0005-0000-0000-0000A9300000}"/>
    <cellStyle name="40% - Accent3 2 4 2 7 2" xfId="10624" xr:uid="{00000000-0005-0000-0000-0000AA300000}"/>
    <cellStyle name="40% - Accent3 2 4 2 8" xfId="10625" xr:uid="{00000000-0005-0000-0000-0000AB300000}"/>
    <cellStyle name="40% - Accent3 2 4 2 9" xfId="10626" xr:uid="{00000000-0005-0000-0000-0000AC300000}"/>
    <cellStyle name="40% - Accent3 2 4 3" xfId="10627" xr:uid="{00000000-0005-0000-0000-0000AD300000}"/>
    <cellStyle name="40% - Accent3 2 4 3 2" xfId="10628" xr:uid="{00000000-0005-0000-0000-0000AE300000}"/>
    <cellStyle name="40% - Accent3 2 4 3 2 2" xfId="10629" xr:uid="{00000000-0005-0000-0000-0000AF300000}"/>
    <cellStyle name="40% - Accent3 2 4 3 2 2 2" xfId="10630" xr:uid="{00000000-0005-0000-0000-0000B0300000}"/>
    <cellStyle name="40% - Accent3 2 4 3 2 3" xfId="10631" xr:uid="{00000000-0005-0000-0000-0000B1300000}"/>
    <cellStyle name="40% - Accent3 2 4 3 2 4" xfId="10632" xr:uid="{00000000-0005-0000-0000-0000B2300000}"/>
    <cellStyle name="40% - Accent3 2 4 3 2 5" xfId="38125" xr:uid="{00000000-0005-0000-0000-0000B3300000}"/>
    <cellStyle name="40% - Accent3 2 4 3 3" xfId="10633" xr:uid="{00000000-0005-0000-0000-0000B4300000}"/>
    <cellStyle name="40% - Accent3 2 4 3 3 2" xfId="10634" xr:uid="{00000000-0005-0000-0000-0000B5300000}"/>
    <cellStyle name="40% - Accent3 2 4 3 4" xfId="10635" xr:uid="{00000000-0005-0000-0000-0000B6300000}"/>
    <cellStyle name="40% - Accent3 2 4 3 5" xfId="10636" xr:uid="{00000000-0005-0000-0000-0000B7300000}"/>
    <cellStyle name="40% - Accent3 2 4 3 6" xfId="38124" xr:uid="{00000000-0005-0000-0000-0000B8300000}"/>
    <cellStyle name="40% - Accent3 2 4 4" xfId="10637" xr:uid="{00000000-0005-0000-0000-0000B9300000}"/>
    <cellStyle name="40% - Accent3 2 4 4 2" xfId="10638" xr:uid="{00000000-0005-0000-0000-0000BA300000}"/>
    <cellStyle name="40% - Accent3 2 4 4 2 2" xfId="10639" xr:uid="{00000000-0005-0000-0000-0000BB300000}"/>
    <cellStyle name="40% - Accent3 2 4 4 2 2 2" xfId="10640" xr:uid="{00000000-0005-0000-0000-0000BC300000}"/>
    <cellStyle name="40% - Accent3 2 4 4 2 3" xfId="10641" xr:uid="{00000000-0005-0000-0000-0000BD300000}"/>
    <cellStyle name="40% - Accent3 2 4 4 2 4" xfId="10642" xr:uid="{00000000-0005-0000-0000-0000BE300000}"/>
    <cellStyle name="40% - Accent3 2 4 4 2 5" xfId="38127" xr:uid="{00000000-0005-0000-0000-0000BF300000}"/>
    <cellStyle name="40% - Accent3 2 4 4 3" xfId="10643" xr:uid="{00000000-0005-0000-0000-0000C0300000}"/>
    <cellStyle name="40% - Accent3 2 4 4 3 2" xfId="10644" xr:uid="{00000000-0005-0000-0000-0000C1300000}"/>
    <cellStyle name="40% - Accent3 2 4 4 4" xfId="10645" xr:uid="{00000000-0005-0000-0000-0000C2300000}"/>
    <cellStyle name="40% - Accent3 2 4 4 5" xfId="10646" xr:uid="{00000000-0005-0000-0000-0000C3300000}"/>
    <cellStyle name="40% - Accent3 2 4 4 6" xfId="38126" xr:uid="{00000000-0005-0000-0000-0000C4300000}"/>
    <cellStyle name="40% - Accent3 2 4 5" xfId="10647" xr:uid="{00000000-0005-0000-0000-0000C5300000}"/>
    <cellStyle name="40% - Accent3 2 4 5 2" xfId="10648" xr:uid="{00000000-0005-0000-0000-0000C6300000}"/>
    <cellStyle name="40% - Accent3 2 4 5 2 2" xfId="10649" xr:uid="{00000000-0005-0000-0000-0000C7300000}"/>
    <cellStyle name="40% - Accent3 2 4 5 3" xfId="10650" xr:uid="{00000000-0005-0000-0000-0000C8300000}"/>
    <cellStyle name="40% - Accent3 2 4 5 4" xfId="10651" xr:uid="{00000000-0005-0000-0000-0000C9300000}"/>
    <cellStyle name="40% - Accent3 2 4 5 5" xfId="38128" xr:uid="{00000000-0005-0000-0000-0000CA300000}"/>
    <cellStyle name="40% - Accent3 2 4 6" xfId="10652" xr:uid="{00000000-0005-0000-0000-0000CB300000}"/>
    <cellStyle name="40% - Accent3 2 4 6 2" xfId="10653" xr:uid="{00000000-0005-0000-0000-0000CC300000}"/>
    <cellStyle name="40% - Accent3 2 4 6 2 2" xfId="10654" xr:uid="{00000000-0005-0000-0000-0000CD300000}"/>
    <cellStyle name="40% - Accent3 2 4 6 3" xfId="10655" xr:uid="{00000000-0005-0000-0000-0000CE300000}"/>
    <cellStyle name="40% - Accent3 2 4 6 4" xfId="10656" xr:uid="{00000000-0005-0000-0000-0000CF300000}"/>
    <cellStyle name="40% - Accent3 2 4 7" xfId="10657" xr:uid="{00000000-0005-0000-0000-0000D0300000}"/>
    <cellStyle name="40% - Accent3 2 4 7 2" xfId="10658" xr:uid="{00000000-0005-0000-0000-0000D1300000}"/>
    <cellStyle name="40% - Accent3 2 4 7 2 2" xfId="10659" xr:uid="{00000000-0005-0000-0000-0000D2300000}"/>
    <cellStyle name="40% - Accent3 2 4 7 3" xfId="10660" xr:uid="{00000000-0005-0000-0000-0000D3300000}"/>
    <cellStyle name="40% - Accent3 2 4 7 4" xfId="10661" xr:uid="{00000000-0005-0000-0000-0000D4300000}"/>
    <cellStyle name="40% - Accent3 2 4 8" xfId="10662" xr:uid="{00000000-0005-0000-0000-0000D5300000}"/>
    <cellStyle name="40% - Accent3 2 4 8 2" xfId="10663" xr:uid="{00000000-0005-0000-0000-0000D6300000}"/>
    <cellStyle name="40% - Accent3 2 4 9" xfId="10664" xr:uid="{00000000-0005-0000-0000-0000D7300000}"/>
    <cellStyle name="40% - Accent3 2 5" xfId="10665" xr:uid="{00000000-0005-0000-0000-0000D8300000}"/>
    <cellStyle name="40% - Accent3 2 5 10" xfId="34729" xr:uid="{00000000-0005-0000-0000-0000D9300000}"/>
    <cellStyle name="40% - Accent3 2 5 2" xfId="10666" xr:uid="{00000000-0005-0000-0000-0000DA300000}"/>
    <cellStyle name="40% - Accent3 2 5 2 2" xfId="10667" xr:uid="{00000000-0005-0000-0000-0000DB300000}"/>
    <cellStyle name="40% - Accent3 2 5 2 2 2" xfId="10668" xr:uid="{00000000-0005-0000-0000-0000DC300000}"/>
    <cellStyle name="40% - Accent3 2 5 2 2 2 2" xfId="10669" xr:uid="{00000000-0005-0000-0000-0000DD300000}"/>
    <cellStyle name="40% - Accent3 2 5 2 2 3" xfId="10670" xr:uid="{00000000-0005-0000-0000-0000DE300000}"/>
    <cellStyle name="40% - Accent3 2 5 2 2 4" xfId="10671" xr:uid="{00000000-0005-0000-0000-0000DF300000}"/>
    <cellStyle name="40% - Accent3 2 5 2 2 5" xfId="38130" xr:uid="{00000000-0005-0000-0000-0000E0300000}"/>
    <cellStyle name="40% - Accent3 2 5 2 3" xfId="10672" xr:uid="{00000000-0005-0000-0000-0000E1300000}"/>
    <cellStyle name="40% - Accent3 2 5 2 3 2" xfId="10673" xr:uid="{00000000-0005-0000-0000-0000E2300000}"/>
    <cellStyle name="40% - Accent3 2 5 2 4" xfId="10674" xr:uid="{00000000-0005-0000-0000-0000E3300000}"/>
    <cellStyle name="40% - Accent3 2 5 2 5" xfId="10675" xr:uid="{00000000-0005-0000-0000-0000E4300000}"/>
    <cellStyle name="40% - Accent3 2 5 2 6" xfId="38129" xr:uid="{00000000-0005-0000-0000-0000E5300000}"/>
    <cellStyle name="40% - Accent3 2 5 3" xfId="10676" xr:uid="{00000000-0005-0000-0000-0000E6300000}"/>
    <cellStyle name="40% - Accent3 2 5 3 2" xfId="10677" xr:uid="{00000000-0005-0000-0000-0000E7300000}"/>
    <cellStyle name="40% - Accent3 2 5 3 2 2" xfId="10678" xr:uid="{00000000-0005-0000-0000-0000E8300000}"/>
    <cellStyle name="40% - Accent3 2 5 3 2 2 2" xfId="10679" xr:uid="{00000000-0005-0000-0000-0000E9300000}"/>
    <cellStyle name="40% - Accent3 2 5 3 2 3" xfId="10680" xr:uid="{00000000-0005-0000-0000-0000EA300000}"/>
    <cellStyle name="40% - Accent3 2 5 3 2 4" xfId="10681" xr:uid="{00000000-0005-0000-0000-0000EB300000}"/>
    <cellStyle name="40% - Accent3 2 5 3 2 5" xfId="38132" xr:uid="{00000000-0005-0000-0000-0000EC300000}"/>
    <cellStyle name="40% - Accent3 2 5 3 3" xfId="10682" xr:uid="{00000000-0005-0000-0000-0000ED300000}"/>
    <cellStyle name="40% - Accent3 2 5 3 3 2" xfId="10683" xr:uid="{00000000-0005-0000-0000-0000EE300000}"/>
    <cellStyle name="40% - Accent3 2 5 3 4" xfId="10684" xr:uid="{00000000-0005-0000-0000-0000EF300000}"/>
    <cellStyle name="40% - Accent3 2 5 3 5" xfId="10685" xr:uid="{00000000-0005-0000-0000-0000F0300000}"/>
    <cellStyle name="40% - Accent3 2 5 3 6" xfId="38131" xr:uid="{00000000-0005-0000-0000-0000F1300000}"/>
    <cellStyle name="40% - Accent3 2 5 4" xfId="10686" xr:uid="{00000000-0005-0000-0000-0000F2300000}"/>
    <cellStyle name="40% - Accent3 2 5 4 2" xfId="10687" xr:uid="{00000000-0005-0000-0000-0000F3300000}"/>
    <cellStyle name="40% - Accent3 2 5 4 2 2" xfId="10688" xr:uid="{00000000-0005-0000-0000-0000F4300000}"/>
    <cellStyle name="40% - Accent3 2 5 4 3" xfId="10689" xr:uid="{00000000-0005-0000-0000-0000F5300000}"/>
    <cellStyle name="40% - Accent3 2 5 4 4" xfId="10690" xr:uid="{00000000-0005-0000-0000-0000F6300000}"/>
    <cellStyle name="40% - Accent3 2 5 4 5" xfId="38133" xr:uid="{00000000-0005-0000-0000-0000F7300000}"/>
    <cellStyle name="40% - Accent3 2 5 5" xfId="10691" xr:uid="{00000000-0005-0000-0000-0000F8300000}"/>
    <cellStyle name="40% - Accent3 2 5 5 2" xfId="10692" xr:uid="{00000000-0005-0000-0000-0000F9300000}"/>
    <cellStyle name="40% - Accent3 2 5 5 2 2" xfId="10693" xr:uid="{00000000-0005-0000-0000-0000FA300000}"/>
    <cellStyle name="40% - Accent3 2 5 5 3" xfId="10694" xr:uid="{00000000-0005-0000-0000-0000FB300000}"/>
    <cellStyle name="40% - Accent3 2 5 5 4" xfId="10695" xr:uid="{00000000-0005-0000-0000-0000FC300000}"/>
    <cellStyle name="40% - Accent3 2 5 6" xfId="10696" xr:uid="{00000000-0005-0000-0000-0000FD300000}"/>
    <cellStyle name="40% - Accent3 2 5 6 2" xfId="10697" xr:uid="{00000000-0005-0000-0000-0000FE300000}"/>
    <cellStyle name="40% - Accent3 2 5 6 2 2" xfId="10698" xr:uid="{00000000-0005-0000-0000-0000FF300000}"/>
    <cellStyle name="40% - Accent3 2 5 6 3" xfId="10699" xr:uid="{00000000-0005-0000-0000-000000310000}"/>
    <cellStyle name="40% - Accent3 2 5 6 4" xfId="10700" xr:uid="{00000000-0005-0000-0000-000001310000}"/>
    <cellStyle name="40% - Accent3 2 5 7" xfId="10701" xr:uid="{00000000-0005-0000-0000-000002310000}"/>
    <cellStyle name="40% - Accent3 2 5 7 2" xfId="10702" xr:uid="{00000000-0005-0000-0000-000003310000}"/>
    <cellStyle name="40% - Accent3 2 5 8" xfId="10703" xr:uid="{00000000-0005-0000-0000-000004310000}"/>
    <cellStyle name="40% - Accent3 2 5 9" xfId="10704" xr:uid="{00000000-0005-0000-0000-000005310000}"/>
    <cellStyle name="40% - Accent3 2 6" xfId="10705" xr:uid="{00000000-0005-0000-0000-000006310000}"/>
    <cellStyle name="40% - Accent3 2 7" xfId="10706" xr:uid="{00000000-0005-0000-0000-000007310000}"/>
    <cellStyle name="40% - Accent3 2 8" xfId="10707" xr:uid="{00000000-0005-0000-0000-000008310000}"/>
    <cellStyle name="40% - Accent3 2 8 2" xfId="10708" xr:uid="{00000000-0005-0000-0000-000009310000}"/>
    <cellStyle name="40% - Accent3 2 8 3" xfId="34730" xr:uid="{00000000-0005-0000-0000-00000A310000}"/>
    <cellStyle name="40% - Accent3 2 9" xfId="10709" xr:uid="{00000000-0005-0000-0000-00000B310000}"/>
    <cellStyle name="40% - Accent3 2 9 2" xfId="10710" xr:uid="{00000000-0005-0000-0000-00000C310000}"/>
    <cellStyle name="40% - Accent3 2 9 2 2" xfId="10711" xr:uid="{00000000-0005-0000-0000-00000D310000}"/>
    <cellStyle name="40% - Accent3 2 9 2 2 2" xfId="10712" xr:uid="{00000000-0005-0000-0000-00000E310000}"/>
    <cellStyle name="40% - Accent3 2 9 2 3" xfId="10713" xr:uid="{00000000-0005-0000-0000-00000F310000}"/>
    <cellStyle name="40% - Accent3 2 9 2 4" xfId="10714" xr:uid="{00000000-0005-0000-0000-000010310000}"/>
    <cellStyle name="40% - Accent3 2 9 2 5" xfId="38135" xr:uid="{00000000-0005-0000-0000-000011310000}"/>
    <cellStyle name="40% - Accent3 2 9 3" xfId="10715" xr:uid="{00000000-0005-0000-0000-000012310000}"/>
    <cellStyle name="40% - Accent3 2 9 4" xfId="10716" xr:uid="{00000000-0005-0000-0000-000013310000}"/>
    <cellStyle name="40% - Accent3 2 9 4 2" xfId="10717" xr:uid="{00000000-0005-0000-0000-000014310000}"/>
    <cellStyle name="40% - Accent3 2 9 5" xfId="10718" xr:uid="{00000000-0005-0000-0000-000015310000}"/>
    <cellStyle name="40% - Accent3 2 9 6" xfId="10719" xr:uid="{00000000-0005-0000-0000-000016310000}"/>
    <cellStyle name="40% - Accent3 2 9 7" xfId="38134" xr:uid="{00000000-0005-0000-0000-000017310000}"/>
    <cellStyle name="40% - Accent3 3" xfId="10720" xr:uid="{00000000-0005-0000-0000-000018310000}"/>
    <cellStyle name="40% - Accent3 3 2" xfId="10721" xr:uid="{00000000-0005-0000-0000-000019310000}"/>
    <cellStyle name="40% - Accent3 3 2 10" xfId="10722" xr:uid="{00000000-0005-0000-0000-00001A310000}"/>
    <cellStyle name="40% - Accent3 3 2 10 2" xfId="10723" xr:uid="{00000000-0005-0000-0000-00001B310000}"/>
    <cellStyle name="40% - Accent3 3 2 11" xfId="10724" xr:uid="{00000000-0005-0000-0000-00001C310000}"/>
    <cellStyle name="40% - Accent3 3 2 12" xfId="10725" xr:uid="{00000000-0005-0000-0000-00001D310000}"/>
    <cellStyle name="40% - Accent3 3 2 13" xfId="34731" xr:uid="{00000000-0005-0000-0000-00001E310000}"/>
    <cellStyle name="40% - Accent3 3 2 2" xfId="10726" xr:uid="{00000000-0005-0000-0000-00001F310000}"/>
    <cellStyle name="40% - Accent3 3 2 2 10" xfId="10727" xr:uid="{00000000-0005-0000-0000-000020310000}"/>
    <cellStyle name="40% - Accent3 3 2 2 11" xfId="10728" xr:uid="{00000000-0005-0000-0000-000021310000}"/>
    <cellStyle name="40% - Accent3 3 2 2 12" xfId="34732" xr:uid="{00000000-0005-0000-0000-000022310000}"/>
    <cellStyle name="40% - Accent3 3 2 2 2" xfId="10729" xr:uid="{00000000-0005-0000-0000-000023310000}"/>
    <cellStyle name="40% - Accent3 3 2 2 2 10" xfId="10730" xr:uid="{00000000-0005-0000-0000-000024310000}"/>
    <cellStyle name="40% - Accent3 3 2 2 2 11" xfId="34733" xr:uid="{00000000-0005-0000-0000-000025310000}"/>
    <cellStyle name="40% - Accent3 3 2 2 2 2" xfId="10731" xr:uid="{00000000-0005-0000-0000-000026310000}"/>
    <cellStyle name="40% - Accent3 3 2 2 2 2 10" xfId="34734" xr:uid="{00000000-0005-0000-0000-000027310000}"/>
    <cellStyle name="40% - Accent3 3 2 2 2 2 2" xfId="10732" xr:uid="{00000000-0005-0000-0000-000028310000}"/>
    <cellStyle name="40% - Accent3 3 2 2 2 2 2 2" xfId="10733" xr:uid="{00000000-0005-0000-0000-000029310000}"/>
    <cellStyle name="40% - Accent3 3 2 2 2 2 2 2 2" xfId="10734" xr:uid="{00000000-0005-0000-0000-00002A310000}"/>
    <cellStyle name="40% - Accent3 3 2 2 2 2 2 2 2 2" xfId="10735" xr:uid="{00000000-0005-0000-0000-00002B310000}"/>
    <cellStyle name="40% - Accent3 3 2 2 2 2 2 2 3" xfId="10736" xr:uid="{00000000-0005-0000-0000-00002C310000}"/>
    <cellStyle name="40% - Accent3 3 2 2 2 2 2 2 4" xfId="10737" xr:uid="{00000000-0005-0000-0000-00002D310000}"/>
    <cellStyle name="40% - Accent3 3 2 2 2 2 2 2 5" xfId="38137" xr:uid="{00000000-0005-0000-0000-00002E310000}"/>
    <cellStyle name="40% - Accent3 3 2 2 2 2 2 3" xfId="10738" xr:uid="{00000000-0005-0000-0000-00002F310000}"/>
    <cellStyle name="40% - Accent3 3 2 2 2 2 2 3 2" xfId="10739" xr:uid="{00000000-0005-0000-0000-000030310000}"/>
    <cellStyle name="40% - Accent3 3 2 2 2 2 2 4" xfId="10740" xr:uid="{00000000-0005-0000-0000-000031310000}"/>
    <cellStyle name="40% - Accent3 3 2 2 2 2 2 5" xfId="10741" xr:uid="{00000000-0005-0000-0000-000032310000}"/>
    <cellStyle name="40% - Accent3 3 2 2 2 2 2 6" xfId="38136" xr:uid="{00000000-0005-0000-0000-000033310000}"/>
    <cellStyle name="40% - Accent3 3 2 2 2 2 3" xfId="10742" xr:uid="{00000000-0005-0000-0000-000034310000}"/>
    <cellStyle name="40% - Accent3 3 2 2 2 2 3 2" xfId="10743" xr:uid="{00000000-0005-0000-0000-000035310000}"/>
    <cellStyle name="40% - Accent3 3 2 2 2 2 3 2 2" xfId="10744" xr:uid="{00000000-0005-0000-0000-000036310000}"/>
    <cellStyle name="40% - Accent3 3 2 2 2 2 3 2 2 2" xfId="10745" xr:uid="{00000000-0005-0000-0000-000037310000}"/>
    <cellStyle name="40% - Accent3 3 2 2 2 2 3 2 3" xfId="10746" xr:uid="{00000000-0005-0000-0000-000038310000}"/>
    <cellStyle name="40% - Accent3 3 2 2 2 2 3 2 4" xfId="10747" xr:uid="{00000000-0005-0000-0000-000039310000}"/>
    <cellStyle name="40% - Accent3 3 2 2 2 2 3 2 5" xfId="38139" xr:uid="{00000000-0005-0000-0000-00003A310000}"/>
    <cellStyle name="40% - Accent3 3 2 2 2 2 3 3" xfId="10748" xr:uid="{00000000-0005-0000-0000-00003B310000}"/>
    <cellStyle name="40% - Accent3 3 2 2 2 2 3 3 2" xfId="10749" xr:uid="{00000000-0005-0000-0000-00003C310000}"/>
    <cellStyle name="40% - Accent3 3 2 2 2 2 3 4" xfId="10750" xr:uid="{00000000-0005-0000-0000-00003D310000}"/>
    <cellStyle name="40% - Accent3 3 2 2 2 2 3 5" xfId="10751" xr:uid="{00000000-0005-0000-0000-00003E310000}"/>
    <cellStyle name="40% - Accent3 3 2 2 2 2 3 6" xfId="38138" xr:uid="{00000000-0005-0000-0000-00003F310000}"/>
    <cellStyle name="40% - Accent3 3 2 2 2 2 4" xfId="10752" xr:uid="{00000000-0005-0000-0000-000040310000}"/>
    <cellStyle name="40% - Accent3 3 2 2 2 2 4 2" xfId="10753" xr:uid="{00000000-0005-0000-0000-000041310000}"/>
    <cellStyle name="40% - Accent3 3 2 2 2 2 4 2 2" xfId="10754" xr:uid="{00000000-0005-0000-0000-000042310000}"/>
    <cellStyle name="40% - Accent3 3 2 2 2 2 4 3" xfId="10755" xr:uid="{00000000-0005-0000-0000-000043310000}"/>
    <cellStyle name="40% - Accent3 3 2 2 2 2 4 4" xfId="10756" xr:uid="{00000000-0005-0000-0000-000044310000}"/>
    <cellStyle name="40% - Accent3 3 2 2 2 2 4 5" xfId="38140" xr:uid="{00000000-0005-0000-0000-000045310000}"/>
    <cellStyle name="40% - Accent3 3 2 2 2 2 5" xfId="10757" xr:uid="{00000000-0005-0000-0000-000046310000}"/>
    <cellStyle name="40% - Accent3 3 2 2 2 2 5 2" xfId="10758" xr:uid="{00000000-0005-0000-0000-000047310000}"/>
    <cellStyle name="40% - Accent3 3 2 2 2 2 5 2 2" xfId="10759" xr:uid="{00000000-0005-0000-0000-000048310000}"/>
    <cellStyle name="40% - Accent3 3 2 2 2 2 5 3" xfId="10760" xr:uid="{00000000-0005-0000-0000-000049310000}"/>
    <cellStyle name="40% - Accent3 3 2 2 2 2 5 4" xfId="10761" xr:uid="{00000000-0005-0000-0000-00004A310000}"/>
    <cellStyle name="40% - Accent3 3 2 2 2 2 6" xfId="10762" xr:uid="{00000000-0005-0000-0000-00004B310000}"/>
    <cellStyle name="40% - Accent3 3 2 2 2 2 6 2" xfId="10763" xr:uid="{00000000-0005-0000-0000-00004C310000}"/>
    <cellStyle name="40% - Accent3 3 2 2 2 2 6 2 2" xfId="10764" xr:uid="{00000000-0005-0000-0000-00004D310000}"/>
    <cellStyle name="40% - Accent3 3 2 2 2 2 6 3" xfId="10765" xr:uid="{00000000-0005-0000-0000-00004E310000}"/>
    <cellStyle name="40% - Accent3 3 2 2 2 2 6 4" xfId="10766" xr:uid="{00000000-0005-0000-0000-00004F310000}"/>
    <cellStyle name="40% - Accent3 3 2 2 2 2 7" xfId="10767" xr:uid="{00000000-0005-0000-0000-000050310000}"/>
    <cellStyle name="40% - Accent3 3 2 2 2 2 7 2" xfId="10768" xr:uid="{00000000-0005-0000-0000-000051310000}"/>
    <cellStyle name="40% - Accent3 3 2 2 2 2 8" xfId="10769" xr:uid="{00000000-0005-0000-0000-000052310000}"/>
    <cellStyle name="40% - Accent3 3 2 2 2 2 9" xfId="10770" xr:uid="{00000000-0005-0000-0000-000053310000}"/>
    <cellStyle name="40% - Accent3 3 2 2 2 3" xfId="10771" xr:uid="{00000000-0005-0000-0000-000054310000}"/>
    <cellStyle name="40% - Accent3 3 2 2 2 3 2" xfId="10772" xr:uid="{00000000-0005-0000-0000-000055310000}"/>
    <cellStyle name="40% - Accent3 3 2 2 2 3 2 2" xfId="10773" xr:uid="{00000000-0005-0000-0000-000056310000}"/>
    <cellStyle name="40% - Accent3 3 2 2 2 3 2 2 2" xfId="10774" xr:uid="{00000000-0005-0000-0000-000057310000}"/>
    <cellStyle name="40% - Accent3 3 2 2 2 3 2 3" xfId="10775" xr:uid="{00000000-0005-0000-0000-000058310000}"/>
    <cellStyle name="40% - Accent3 3 2 2 2 3 2 4" xfId="10776" xr:uid="{00000000-0005-0000-0000-000059310000}"/>
    <cellStyle name="40% - Accent3 3 2 2 2 3 2 5" xfId="38142" xr:uid="{00000000-0005-0000-0000-00005A310000}"/>
    <cellStyle name="40% - Accent3 3 2 2 2 3 3" xfId="10777" xr:uid="{00000000-0005-0000-0000-00005B310000}"/>
    <cellStyle name="40% - Accent3 3 2 2 2 3 3 2" xfId="10778" xr:uid="{00000000-0005-0000-0000-00005C310000}"/>
    <cellStyle name="40% - Accent3 3 2 2 2 3 4" xfId="10779" xr:uid="{00000000-0005-0000-0000-00005D310000}"/>
    <cellStyle name="40% - Accent3 3 2 2 2 3 5" xfId="10780" xr:uid="{00000000-0005-0000-0000-00005E310000}"/>
    <cellStyle name="40% - Accent3 3 2 2 2 3 6" xfId="38141" xr:uid="{00000000-0005-0000-0000-00005F310000}"/>
    <cellStyle name="40% - Accent3 3 2 2 2 4" xfId="10781" xr:uid="{00000000-0005-0000-0000-000060310000}"/>
    <cellStyle name="40% - Accent3 3 2 2 2 4 2" xfId="10782" xr:uid="{00000000-0005-0000-0000-000061310000}"/>
    <cellStyle name="40% - Accent3 3 2 2 2 4 2 2" xfId="10783" xr:uid="{00000000-0005-0000-0000-000062310000}"/>
    <cellStyle name="40% - Accent3 3 2 2 2 4 2 2 2" xfId="10784" xr:uid="{00000000-0005-0000-0000-000063310000}"/>
    <cellStyle name="40% - Accent3 3 2 2 2 4 2 3" xfId="10785" xr:uid="{00000000-0005-0000-0000-000064310000}"/>
    <cellStyle name="40% - Accent3 3 2 2 2 4 2 4" xfId="10786" xr:uid="{00000000-0005-0000-0000-000065310000}"/>
    <cellStyle name="40% - Accent3 3 2 2 2 4 2 5" xfId="38144" xr:uid="{00000000-0005-0000-0000-000066310000}"/>
    <cellStyle name="40% - Accent3 3 2 2 2 4 3" xfId="10787" xr:uid="{00000000-0005-0000-0000-000067310000}"/>
    <cellStyle name="40% - Accent3 3 2 2 2 4 3 2" xfId="10788" xr:uid="{00000000-0005-0000-0000-000068310000}"/>
    <cellStyle name="40% - Accent3 3 2 2 2 4 4" xfId="10789" xr:uid="{00000000-0005-0000-0000-000069310000}"/>
    <cellStyle name="40% - Accent3 3 2 2 2 4 5" xfId="10790" xr:uid="{00000000-0005-0000-0000-00006A310000}"/>
    <cellStyle name="40% - Accent3 3 2 2 2 4 6" xfId="38143" xr:uid="{00000000-0005-0000-0000-00006B310000}"/>
    <cellStyle name="40% - Accent3 3 2 2 2 5" xfId="10791" xr:uid="{00000000-0005-0000-0000-00006C310000}"/>
    <cellStyle name="40% - Accent3 3 2 2 2 5 2" xfId="10792" xr:uid="{00000000-0005-0000-0000-00006D310000}"/>
    <cellStyle name="40% - Accent3 3 2 2 2 5 2 2" xfId="10793" xr:uid="{00000000-0005-0000-0000-00006E310000}"/>
    <cellStyle name="40% - Accent3 3 2 2 2 5 3" xfId="10794" xr:uid="{00000000-0005-0000-0000-00006F310000}"/>
    <cellStyle name="40% - Accent3 3 2 2 2 5 4" xfId="10795" xr:uid="{00000000-0005-0000-0000-000070310000}"/>
    <cellStyle name="40% - Accent3 3 2 2 2 5 5" xfId="38145" xr:uid="{00000000-0005-0000-0000-000071310000}"/>
    <cellStyle name="40% - Accent3 3 2 2 2 6" xfId="10796" xr:uid="{00000000-0005-0000-0000-000072310000}"/>
    <cellStyle name="40% - Accent3 3 2 2 2 6 2" xfId="10797" xr:uid="{00000000-0005-0000-0000-000073310000}"/>
    <cellStyle name="40% - Accent3 3 2 2 2 6 2 2" xfId="10798" xr:uid="{00000000-0005-0000-0000-000074310000}"/>
    <cellStyle name="40% - Accent3 3 2 2 2 6 3" xfId="10799" xr:uid="{00000000-0005-0000-0000-000075310000}"/>
    <cellStyle name="40% - Accent3 3 2 2 2 6 4" xfId="10800" xr:uid="{00000000-0005-0000-0000-000076310000}"/>
    <cellStyle name="40% - Accent3 3 2 2 2 7" xfId="10801" xr:uid="{00000000-0005-0000-0000-000077310000}"/>
    <cellStyle name="40% - Accent3 3 2 2 2 7 2" xfId="10802" xr:uid="{00000000-0005-0000-0000-000078310000}"/>
    <cellStyle name="40% - Accent3 3 2 2 2 7 2 2" xfId="10803" xr:uid="{00000000-0005-0000-0000-000079310000}"/>
    <cellStyle name="40% - Accent3 3 2 2 2 7 3" xfId="10804" xr:uid="{00000000-0005-0000-0000-00007A310000}"/>
    <cellStyle name="40% - Accent3 3 2 2 2 7 4" xfId="10805" xr:uid="{00000000-0005-0000-0000-00007B310000}"/>
    <cellStyle name="40% - Accent3 3 2 2 2 8" xfId="10806" xr:uid="{00000000-0005-0000-0000-00007C310000}"/>
    <cellStyle name="40% - Accent3 3 2 2 2 8 2" xfId="10807" xr:uid="{00000000-0005-0000-0000-00007D310000}"/>
    <cellStyle name="40% - Accent3 3 2 2 2 9" xfId="10808" xr:uid="{00000000-0005-0000-0000-00007E310000}"/>
    <cellStyle name="40% - Accent3 3 2 2 3" xfId="10809" xr:uid="{00000000-0005-0000-0000-00007F310000}"/>
    <cellStyle name="40% - Accent3 3 2 2 3 10" xfId="34735" xr:uid="{00000000-0005-0000-0000-000080310000}"/>
    <cellStyle name="40% - Accent3 3 2 2 3 2" xfId="10810" xr:uid="{00000000-0005-0000-0000-000081310000}"/>
    <cellStyle name="40% - Accent3 3 2 2 3 2 2" xfId="10811" xr:uid="{00000000-0005-0000-0000-000082310000}"/>
    <cellStyle name="40% - Accent3 3 2 2 3 2 2 2" xfId="10812" xr:uid="{00000000-0005-0000-0000-000083310000}"/>
    <cellStyle name="40% - Accent3 3 2 2 3 2 2 2 2" xfId="10813" xr:uid="{00000000-0005-0000-0000-000084310000}"/>
    <cellStyle name="40% - Accent3 3 2 2 3 2 2 3" xfId="10814" xr:uid="{00000000-0005-0000-0000-000085310000}"/>
    <cellStyle name="40% - Accent3 3 2 2 3 2 2 4" xfId="10815" xr:uid="{00000000-0005-0000-0000-000086310000}"/>
    <cellStyle name="40% - Accent3 3 2 2 3 2 2 5" xfId="38147" xr:uid="{00000000-0005-0000-0000-000087310000}"/>
    <cellStyle name="40% - Accent3 3 2 2 3 2 3" xfId="10816" xr:uid="{00000000-0005-0000-0000-000088310000}"/>
    <cellStyle name="40% - Accent3 3 2 2 3 2 3 2" xfId="10817" xr:uid="{00000000-0005-0000-0000-000089310000}"/>
    <cellStyle name="40% - Accent3 3 2 2 3 2 4" xfId="10818" xr:uid="{00000000-0005-0000-0000-00008A310000}"/>
    <cellStyle name="40% - Accent3 3 2 2 3 2 5" xfId="10819" xr:uid="{00000000-0005-0000-0000-00008B310000}"/>
    <cellStyle name="40% - Accent3 3 2 2 3 2 6" xfId="38146" xr:uid="{00000000-0005-0000-0000-00008C310000}"/>
    <cellStyle name="40% - Accent3 3 2 2 3 3" xfId="10820" xr:uid="{00000000-0005-0000-0000-00008D310000}"/>
    <cellStyle name="40% - Accent3 3 2 2 3 3 2" xfId="10821" xr:uid="{00000000-0005-0000-0000-00008E310000}"/>
    <cellStyle name="40% - Accent3 3 2 2 3 3 2 2" xfId="10822" xr:uid="{00000000-0005-0000-0000-00008F310000}"/>
    <cellStyle name="40% - Accent3 3 2 2 3 3 2 2 2" xfId="10823" xr:uid="{00000000-0005-0000-0000-000090310000}"/>
    <cellStyle name="40% - Accent3 3 2 2 3 3 2 3" xfId="10824" xr:uid="{00000000-0005-0000-0000-000091310000}"/>
    <cellStyle name="40% - Accent3 3 2 2 3 3 2 4" xfId="10825" xr:uid="{00000000-0005-0000-0000-000092310000}"/>
    <cellStyle name="40% - Accent3 3 2 2 3 3 2 5" xfId="38149" xr:uid="{00000000-0005-0000-0000-000093310000}"/>
    <cellStyle name="40% - Accent3 3 2 2 3 3 3" xfId="10826" xr:uid="{00000000-0005-0000-0000-000094310000}"/>
    <cellStyle name="40% - Accent3 3 2 2 3 3 3 2" xfId="10827" xr:uid="{00000000-0005-0000-0000-000095310000}"/>
    <cellStyle name="40% - Accent3 3 2 2 3 3 4" xfId="10828" xr:uid="{00000000-0005-0000-0000-000096310000}"/>
    <cellStyle name="40% - Accent3 3 2 2 3 3 5" xfId="10829" xr:uid="{00000000-0005-0000-0000-000097310000}"/>
    <cellStyle name="40% - Accent3 3 2 2 3 3 6" xfId="38148" xr:uid="{00000000-0005-0000-0000-000098310000}"/>
    <cellStyle name="40% - Accent3 3 2 2 3 4" xfId="10830" xr:uid="{00000000-0005-0000-0000-000099310000}"/>
    <cellStyle name="40% - Accent3 3 2 2 3 4 2" xfId="10831" xr:uid="{00000000-0005-0000-0000-00009A310000}"/>
    <cellStyle name="40% - Accent3 3 2 2 3 4 2 2" xfId="10832" xr:uid="{00000000-0005-0000-0000-00009B310000}"/>
    <cellStyle name="40% - Accent3 3 2 2 3 4 3" xfId="10833" xr:uid="{00000000-0005-0000-0000-00009C310000}"/>
    <cellStyle name="40% - Accent3 3 2 2 3 4 4" xfId="10834" xr:uid="{00000000-0005-0000-0000-00009D310000}"/>
    <cellStyle name="40% - Accent3 3 2 2 3 4 5" xfId="38150" xr:uid="{00000000-0005-0000-0000-00009E310000}"/>
    <cellStyle name="40% - Accent3 3 2 2 3 5" xfId="10835" xr:uid="{00000000-0005-0000-0000-00009F310000}"/>
    <cellStyle name="40% - Accent3 3 2 2 3 5 2" xfId="10836" xr:uid="{00000000-0005-0000-0000-0000A0310000}"/>
    <cellStyle name="40% - Accent3 3 2 2 3 5 2 2" xfId="10837" xr:uid="{00000000-0005-0000-0000-0000A1310000}"/>
    <cellStyle name="40% - Accent3 3 2 2 3 5 3" xfId="10838" xr:uid="{00000000-0005-0000-0000-0000A2310000}"/>
    <cellStyle name="40% - Accent3 3 2 2 3 5 4" xfId="10839" xr:uid="{00000000-0005-0000-0000-0000A3310000}"/>
    <cellStyle name="40% - Accent3 3 2 2 3 6" xfId="10840" xr:uid="{00000000-0005-0000-0000-0000A4310000}"/>
    <cellStyle name="40% - Accent3 3 2 2 3 6 2" xfId="10841" xr:uid="{00000000-0005-0000-0000-0000A5310000}"/>
    <cellStyle name="40% - Accent3 3 2 2 3 6 2 2" xfId="10842" xr:uid="{00000000-0005-0000-0000-0000A6310000}"/>
    <cellStyle name="40% - Accent3 3 2 2 3 6 3" xfId="10843" xr:uid="{00000000-0005-0000-0000-0000A7310000}"/>
    <cellStyle name="40% - Accent3 3 2 2 3 6 4" xfId="10844" xr:uid="{00000000-0005-0000-0000-0000A8310000}"/>
    <cellStyle name="40% - Accent3 3 2 2 3 7" xfId="10845" xr:uid="{00000000-0005-0000-0000-0000A9310000}"/>
    <cellStyle name="40% - Accent3 3 2 2 3 7 2" xfId="10846" xr:uid="{00000000-0005-0000-0000-0000AA310000}"/>
    <cellStyle name="40% - Accent3 3 2 2 3 8" xfId="10847" xr:uid="{00000000-0005-0000-0000-0000AB310000}"/>
    <cellStyle name="40% - Accent3 3 2 2 3 9" xfId="10848" xr:uid="{00000000-0005-0000-0000-0000AC310000}"/>
    <cellStyle name="40% - Accent3 3 2 2 4" xfId="10849" xr:uid="{00000000-0005-0000-0000-0000AD310000}"/>
    <cellStyle name="40% - Accent3 3 2 2 4 2" xfId="10850" xr:uid="{00000000-0005-0000-0000-0000AE310000}"/>
    <cellStyle name="40% - Accent3 3 2 2 4 2 2" xfId="10851" xr:uid="{00000000-0005-0000-0000-0000AF310000}"/>
    <cellStyle name="40% - Accent3 3 2 2 4 2 2 2" xfId="10852" xr:uid="{00000000-0005-0000-0000-0000B0310000}"/>
    <cellStyle name="40% - Accent3 3 2 2 4 2 3" xfId="10853" xr:uid="{00000000-0005-0000-0000-0000B1310000}"/>
    <cellStyle name="40% - Accent3 3 2 2 4 2 4" xfId="10854" xr:uid="{00000000-0005-0000-0000-0000B2310000}"/>
    <cellStyle name="40% - Accent3 3 2 2 4 2 5" xfId="38152" xr:uid="{00000000-0005-0000-0000-0000B3310000}"/>
    <cellStyle name="40% - Accent3 3 2 2 4 3" xfId="10855" xr:uid="{00000000-0005-0000-0000-0000B4310000}"/>
    <cellStyle name="40% - Accent3 3 2 2 4 3 2" xfId="10856" xr:uid="{00000000-0005-0000-0000-0000B5310000}"/>
    <cellStyle name="40% - Accent3 3 2 2 4 4" xfId="10857" xr:uid="{00000000-0005-0000-0000-0000B6310000}"/>
    <cellStyle name="40% - Accent3 3 2 2 4 5" xfId="10858" xr:uid="{00000000-0005-0000-0000-0000B7310000}"/>
    <cellStyle name="40% - Accent3 3 2 2 4 6" xfId="38151" xr:uid="{00000000-0005-0000-0000-0000B8310000}"/>
    <cellStyle name="40% - Accent3 3 2 2 5" xfId="10859" xr:uid="{00000000-0005-0000-0000-0000B9310000}"/>
    <cellStyle name="40% - Accent3 3 2 2 5 2" xfId="10860" xr:uid="{00000000-0005-0000-0000-0000BA310000}"/>
    <cellStyle name="40% - Accent3 3 2 2 5 2 2" xfId="10861" xr:uid="{00000000-0005-0000-0000-0000BB310000}"/>
    <cellStyle name="40% - Accent3 3 2 2 5 2 2 2" xfId="10862" xr:uid="{00000000-0005-0000-0000-0000BC310000}"/>
    <cellStyle name="40% - Accent3 3 2 2 5 2 3" xfId="10863" xr:uid="{00000000-0005-0000-0000-0000BD310000}"/>
    <cellStyle name="40% - Accent3 3 2 2 5 2 4" xfId="10864" xr:uid="{00000000-0005-0000-0000-0000BE310000}"/>
    <cellStyle name="40% - Accent3 3 2 2 5 2 5" xfId="38154" xr:uid="{00000000-0005-0000-0000-0000BF310000}"/>
    <cellStyle name="40% - Accent3 3 2 2 5 3" xfId="10865" xr:uid="{00000000-0005-0000-0000-0000C0310000}"/>
    <cellStyle name="40% - Accent3 3 2 2 5 3 2" xfId="10866" xr:uid="{00000000-0005-0000-0000-0000C1310000}"/>
    <cellStyle name="40% - Accent3 3 2 2 5 4" xfId="10867" xr:uid="{00000000-0005-0000-0000-0000C2310000}"/>
    <cellStyle name="40% - Accent3 3 2 2 5 5" xfId="10868" xr:uid="{00000000-0005-0000-0000-0000C3310000}"/>
    <cellStyle name="40% - Accent3 3 2 2 5 6" xfId="38153" xr:uid="{00000000-0005-0000-0000-0000C4310000}"/>
    <cellStyle name="40% - Accent3 3 2 2 6" xfId="10869" xr:uid="{00000000-0005-0000-0000-0000C5310000}"/>
    <cellStyle name="40% - Accent3 3 2 2 6 2" xfId="10870" xr:uid="{00000000-0005-0000-0000-0000C6310000}"/>
    <cellStyle name="40% - Accent3 3 2 2 6 2 2" xfId="10871" xr:uid="{00000000-0005-0000-0000-0000C7310000}"/>
    <cellStyle name="40% - Accent3 3 2 2 6 3" xfId="10872" xr:uid="{00000000-0005-0000-0000-0000C8310000}"/>
    <cellStyle name="40% - Accent3 3 2 2 6 4" xfId="10873" xr:uid="{00000000-0005-0000-0000-0000C9310000}"/>
    <cellStyle name="40% - Accent3 3 2 2 6 5" xfId="38155" xr:uid="{00000000-0005-0000-0000-0000CA310000}"/>
    <cellStyle name="40% - Accent3 3 2 2 7" xfId="10874" xr:uid="{00000000-0005-0000-0000-0000CB310000}"/>
    <cellStyle name="40% - Accent3 3 2 2 7 2" xfId="10875" xr:uid="{00000000-0005-0000-0000-0000CC310000}"/>
    <cellStyle name="40% - Accent3 3 2 2 7 2 2" xfId="10876" xr:uid="{00000000-0005-0000-0000-0000CD310000}"/>
    <cellStyle name="40% - Accent3 3 2 2 7 3" xfId="10877" xr:uid="{00000000-0005-0000-0000-0000CE310000}"/>
    <cellStyle name="40% - Accent3 3 2 2 7 4" xfId="10878" xr:uid="{00000000-0005-0000-0000-0000CF310000}"/>
    <cellStyle name="40% - Accent3 3 2 2 8" xfId="10879" xr:uid="{00000000-0005-0000-0000-0000D0310000}"/>
    <cellStyle name="40% - Accent3 3 2 2 8 2" xfId="10880" xr:uid="{00000000-0005-0000-0000-0000D1310000}"/>
    <cellStyle name="40% - Accent3 3 2 2 8 2 2" xfId="10881" xr:uid="{00000000-0005-0000-0000-0000D2310000}"/>
    <cellStyle name="40% - Accent3 3 2 2 8 3" xfId="10882" xr:uid="{00000000-0005-0000-0000-0000D3310000}"/>
    <cellStyle name="40% - Accent3 3 2 2 8 4" xfId="10883" xr:uid="{00000000-0005-0000-0000-0000D4310000}"/>
    <cellStyle name="40% - Accent3 3 2 2 9" xfId="10884" xr:uid="{00000000-0005-0000-0000-0000D5310000}"/>
    <cellStyle name="40% - Accent3 3 2 2 9 2" xfId="10885" xr:uid="{00000000-0005-0000-0000-0000D6310000}"/>
    <cellStyle name="40% - Accent3 3 2 3" xfId="10886" xr:uid="{00000000-0005-0000-0000-0000D7310000}"/>
    <cellStyle name="40% - Accent3 3 2 3 10" xfId="10887" xr:uid="{00000000-0005-0000-0000-0000D8310000}"/>
    <cellStyle name="40% - Accent3 3 2 3 11" xfId="34736" xr:uid="{00000000-0005-0000-0000-0000D9310000}"/>
    <cellStyle name="40% - Accent3 3 2 3 2" xfId="10888" xr:uid="{00000000-0005-0000-0000-0000DA310000}"/>
    <cellStyle name="40% - Accent3 3 2 3 2 10" xfId="34737" xr:uid="{00000000-0005-0000-0000-0000DB310000}"/>
    <cellStyle name="40% - Accent3 3 2 3 2 2" xfId="10889" xr:uid="{00000000-0005-0000-0000-0000DC310000}"/>
    <cellStyle name="40% - Accent3 3 2 3 2 2 2" xfId="10890" xr:uid="{00000000-0005-0000-0000-0000DD310000}"/>
    <cellStyle name="40% - Accent3 3 2 3 2 2 2 2" xfId="10891" xr:uid="{00000000-0005-0000-0000-0000DE310000}"/>
    <cellStyle name="40% - Accent3 3 2 3 2 2 2 2 2" xfId="10892" xr:uid="{00000000-0005-0000-0000-0000DF310000}"/>
    <cellStyle name="40% - Accent3 3 2 3 2 2 2 3" xfId="10893" xr:uid="{00000000-0005-0000-0000-0000E0310000}"/>
    <cellStyle name="40% - Accent3 3 2 3 2 2 2 4" xfId="10894" xr:uid="{00000000-0005-0000-0000-0000E1310000}"/>
    <cellStyle name="40% - Accent3 3 2 3 2 2 2 5" xfId="38157" xr:uid="{00000000-0005-0000-0000-0000E2310000}"/>
    <cellStyle name="40% - Accent3 3 2 3 2 2 3" xfId="10895" xr:uid="{00000000-0005-0000-0000-0000E3310000}"/>
    <cellStyle name="40% - Accent3 3 2 3 2 2 3 2" xfId="10896" xr:uid="{00000000-0005-0000-0000-0000E4310000}"/>
    <cellStyle name="40% - Accent3 3 2 3 2 2 4" xfId="10897" xr:uid="{00000000-0005-0000-0000-0000E5310000}"/>
    <cellStyle name="40% - Accent3 3 2 3 2 2 5" xfId="10898" xr:uid="{00000000-0005-0000-0000-0000E6310000}"/>
    <cellStyle name="40% - Accent3 3 2 3 2 2 6" xfId="38156" xr:uid="{00000000-0005-0000-0000-0000E7310000}"/>
    <cellStyle name="40% - Accent3 3 2 3 2 3" xfId="10899" xr:uid="{00000000-0005-0000-0000-0000E8310000}"/>
    <cellStyle name="40% - Accent3 3 2 3 2 3 2" xfId="10900" xr:uid="{00000000-0005-0000-0000-0000E9310000}"/>
    <cellStyle name="40% - Accent3 3 2 3 2 3 2 2" xfId="10901" xr:uid="{00000000-0005-0000-0000-0000EA310000}"/>
    <cellStyle name="40% - Accent3 3 2 3 2 3 2 2 2" xfId="10902" xr:uid="{00000000-0005-0000-0000-0000EB310000}"/>
    <cellStyle name="40% - Accent3 3 2 3 2 3 2 3" xfId="10903" xr:uid="{00000000-0005-0000-0000-0000EC310000}"/>
    <cellStyle name="40% - Accent3 3 2 3 2 3 2 4" xfId="10904" xr:uid="{00000000-0005-0000-0000-0000ED310000}"/>
    <cellStyle name="40% - Accent3 3 2 3 2 3 2 5" xfId="38159" xr:uid="{00000000-0005-0000-0000-0000EE310000}"/>
    <cellStyle name="40% - Accent3 3 2 3 2 3 3" xfId="10905" xr:uid="{00000000-0005-0000-0000-0000EF310000}"/>
    <cellStyle name="40% - Accent3 3 2 3 2 3 3 2" xfId="10906" xr:uid="{00000000-0005-0000-0000-0000F0310000}"/>
    <cellStyle name="40% - Accent3 3 2 3 2 3 4" xfId="10907" xr:uid="{00000000-0005-0000-0000-0000F1310000}"/>
    <cellStyle name="40% - Accent3 3 2 3 2 3 5" xfId="10908" xr:uid="{00000000-0005-0000-0000-0000F2310000}"/>
    <cellStyle name="40% - Accent3 3 2 3 2 3 6" xfId="38158" xr:uid="{00000000-0005-0000-0000-0000F3310000}"/>
    <cellStyle name="40% - Accent3 3 2 3 2 4" xfId="10909" xr:uid="{00000000-0005-0000-0000-0000F4310000}"/>
    <cellStyle name="40% - Accent3 3 2 3 2 4 2" xfId="10910" xr:uid="{00000000-0005-0000-0000-0000F5310000}"/>
    <cellStyle name="40% - Accent3 3 2 3 2 4 2 2" xfId="10911" xr:uid="{00000000-0005-0000-0000-0000F6310000}"/>
    <cellStyle name="40% - Accent3 3 2 3 2 4 3" xfId="10912" xr:uid="{00000000-0005-0000-0000-0000F7310000}"/>
    <cellStyle name="40% - Accent3 3 2 3 2 4 4" xfId="10913" xr:uid="{00000000-0005-0000-0000-0000F8310000}"/>
    <cellStyle name="40% - Accent3 3 2 3 2 4 5" xfId="38160" xr:uid="{00000000-0005-0000-0000-0000F9310000}"/>
    <cellStyle name="40% - Accent3 3 2 3 2 5" xfId="10914" xr:uid="{00000000-0005-0000-0000-0000FA310000}"/>
    <cellStyle name="40% - Accent3 3 2 3 2 5 2" xfId="10915" xr:uid="{00000000-0005-0000-0000-0000FB310000}"/>
    <cellStyle name="40% - Accent3 3 2 3 2 5 2 2" xfId="10916" xr:uid="{00000000-0005-0000-0000-0000FC310000}"/>
    <cellStyle name="40% - Accent3 3 2 3 2 5 3" xfId="10917" xr:uid="{00000000-0005-0000-0000-0000FD310000}"/>
    <cellStyle name="40% - Accent3 3 2 3 2 5 4" xfId="10918" xr:uid="{00000000-0005-0000-0000-0000FE310000}"/>
    <cellStyle name="40% - Accent3 3 2 3 2 6" xfId="10919" xr:uid="{00000000-0005-0000-0000-0000FF310000}"/>
    <cellStyle name="40% - Accent3 3 2 3 2 6 2" xfId="10920" xr:uid="{00000000-0005-0000-0000-000000320000}"/>
    <cellStyle name="40% - Accent3 3 2 3 2 6 2 2" xfId="10921" xr:uid="{00000000-0005-0000-0000-000001320000}"/>
    <cellStyle name="40% - Accent3 3 2 3 2 6 3" xfId="10922" xr:uid="{00000000-0005-0000-0000-000002320000}"/>
    <cellStyle name="40% - Accent3 3 2 3 2 6 4" xfId="10923" xr:uid="{00000000-0005-0000-0000-000003320000}"/>
    <cellStyle name="40% - Accent3 3 2 3 2 7" xfId="10924" xr:uid="{00000000-0005-0000-0000-000004320000}"/>
    <cellStyle name="40% - Accent3 3 2 3 2 7 2" xfId="10925" xr:uid="{00000000-0005-0000-0000-000005320000}"/>
    <cellStyle name="40% - Accent3 3 2 3 2 8" xfId="10926" xr:uid="{00000000-0005-0000-0000-000006320000}"/>
    <cellStyle name="40% - Accent3 3 2 3 2 9" xfId="10927" xr:uid="{00000000-0005-0000-0000-000007320000}"/>
    <cellStyle name="40% - Accent3 3 2 3 3" xfId="10928" xr:uid="{00000000-0005-0000-0000-000008320000}"/>
    <cellStyle name="40% - Accent3 3 2 3 3 2" xfId="10929" xr:uid="{00000000-0005-0000-0000-000009320000}"/>
    <cellStyle name="40% - Accent3 3 2 3 3 2 2" xfId="10930" xr:uid="{00000000-0005-0000-0000-00000A320000}"/>
    <cellStyle name="40% - Accent3 3 2 3 3 2 2 2" xfId="10931" xr:uid="{00000000-0005-0000-0000-00000B320000}"/>
    <cellStyle name="40% - Accent3 3 2 3 3 2 3" xfId="10932" xr:uid="{00000000-0005-0000-0000-00000C320000}"/>
    <cellStyle name="40% - Accent3 3 2 3 3 2 4" xfId="10933" xr:uid="{00000000-0005-0000-0000-00000D320000}"/>
    <cellStyle name="40% - Accent3 3 2 3 3 2 5" xfId="38162" xr:uid="{00000000-0005-0000-0000-00000E320000}"/>
    <cellStyle name="40% - Accent3 3 2 3 3 3" xfId="10934" xr:uid="{00000000-0005-0000-0000-00000F320000}"/>
    <cellStyle name="40% - Accent3 3 2 3 3 3 2" xfId="10935" xr:uid="{00000000-0005-0000-0000-000010320000}"/>
    <cellStyle name="40% - Accent3 3 2 3 3 4" xfId="10936" xr:uid="{00000000-0005-0000-0000-000011320000}"/>
    <cellStyle name="40% - Accent3 3 2 3 3 5" xfId="10937" xr:uid="{00000000-0005-0000-0000-000012320000}"/>
    <cellStyle name="40% - Accent3 3 2 3 3 6" xfId="38161" xr:uid="{00000000-0005-0000-0000-000013320000}"/>
    <cellStyle name="40% - Accent3 3 2 3 4" xfId="10938" xr:uid="{00000000-0005-0000-0000-000014320000}"/>
    <cellStyle name="40% - Accent3 3 2 3 4 2" xfId="10939" xr:uid="{00000000-0005-0000-0000-000015320000}"/>
    <cellStyle name="40% - Accent3 3 2 3 4 2 2" xfId="10940" xr:uid="{00000000-0005-0000-0000-000016320000}"/>
    <cellStyle name="40% - Accent3 3 2 3 4 2 2 2" xfId="10941" xr:uid="{00000000-0005-0000-0000-000017320000}"/>
    <cellStyle name="40% - Accent3 3 2 3 4 2 3" xfId="10942" xr:uid="{00000000-0005-0000-0000-000018320000}"/>
    <cellStyle name="40% - Accent3 3 2 3 4 2 4" xfId="10943" xr:uid="{00000000-0005-0000-0000-000019320000}"/>
    <cellStyle name="40% - Accent3 3 2 3 4 2 5" xfId="38164" xr:uid="{00000000-0005-0000-0000-00001A320000}"/>
    <cellStyle name="40% - Accent3 3 2 3 4 3" xfId="10944" xr:uid="{00000000-0005-0000-0000-00001B320000}"/>
    <cellStyle name="40% - Accent3 3 2 3 4 3 2" xfId="10945" xr:uid="{00000000-0005-0000-0000-00001C320000}"/>
    <cellStyle name="40% - Accent3 3 2 3 4 4" xfId="10946" xr:uid="{00000000-0005-0000-0000-00001D320000}"/>
    <cellStyle name="40% - Accent3 3 2 3 4 5" xfId="10947" xr:uid="{00000000-0005-0000-0000-00001E320000}"/>
    <cellStyle name="40% - Accent3 3 2 3 4 6" xfId="38163" xr:uid="{00000000-0005-0000-0000-00001F320000}"/>
    <cellStyle name="40% - Accent3 3 2 3 5" xfId="10948" xr:uid="{00000000-0005-0000-0000-000020320000}"/>
    <cellStyle name="40% - Accent3 3 2 3 5 2" xfId="10949" xr:uid="{00000000-0005-0000-0000-000021320000}"/>
    <cellStyle name="40% - Accent3 3 2 3 5 2 2" xfId="10950" xr:uid="{00000000-0005-0000-0000-000022320000}"/>
    <cellStyle name="40% - Accent3 3 2 3 5 3" xfId="10951" xr:uid="{00000000-0005-0000-0000-000023320000}"/>
    <cellStyle name="40% - Accent3 3 2 3 5 4" xfId="10952" xr:uid="{00000000-0005-0000-0000-000024320000}"/>
    <cellStyle name="40% - Accent3 3 2 3 5 5" xfId="38165" xr:uid="{00000000-0005-0000-0000-000025320000}"/>
    <cellStyle name="40% - Accent3 3 2 3 6" xfId="10953" xr:uid="{00000000-0005-0000-0000-000026320000}"/>
    <cellStyle name="40% - Accent3 3 2 3 6 2" xfId="10954" xr:uid="{00000000-0005-0000-0000-000027320000}"/>
    <cellStyle name="40% - Accent3 3 2 3 6 2 2" xfId="10955" xr:uid="{00000000-0005-0000-0000-000028320000}"/>
    <cellStyle name="40% - Accent3 3 2 3 6 3" xfId="10956" xr:uid="{00000000-0005-0000-0000-000029320000}"/>
    <cellStyle name="40% - Accent3 3 2 3 6 4" xfId="10957" xr:uid="{00000000-0005-0000-0000-00002A320000}"/>
    <cellStyle name="40% - Accent3 3 2 3 7" xfId="10958" xr:uid="{00000000-0005-0000-0000-00002B320000}"/>
    <cellStyle name="40% - Accent3 3 2 3 7 2" xfId="10959" xr:uid="{00000000-0005-0000-0000-00002C320000}"/>
    <cellStyle name="40% - Accent3 3 2 3 7 2 2" xfId="10960" xr:uid="{00000000-0005-0000-0000-00002D320000}"/>
    <cellStyle name="40% - Accent3 3 2 3 7 3" xfId="10961" xr:uid="{00000000-0005-0000-0000-00002E320000}"/>
    <cellStyle name="40% - Accent3 3 2 3 7 4" xfId="10962" xr:uid="{00000000-0005-0000-0000-00002F320000}"/>
    <cellStyle name="40% - Accent3 3 2 3 8" xfId="10963" xr:uid="{00000000-0005-0000-0000-000030320000}"/>
    <cellStyle name="40% - Accent3 3 2 3 8 2" xfId="10964" xr:uid="{00000000-0005-0000-0000-000031320000}"/>
    <cellStyle name="40% - Accent3 3 2 3 9" xfId="10965" xr:uid="{00000000-0005-0000-0000-000032320000}"/>
    <cellStyle name="40% - Accent3 3 2 4" xfId="10966" xr:uid="{00000000-0005-0000-0000-000033320000}"/>
    <cellStyle name="40% - Accent3 3 2 4 10" xfId="34738" xr:uid="{00000000-0005-0000-0000-000034320000}"/>
    <cellStyle name="40% - Accent3 3 2 4 2" xfId="10967" xr:uid="{00000000-0005-0000-0000-000035320000}"/>
    <cellStyle name="40% - Accent3 3 2 4 2 2" xfId="10968" xr:uid="{00000000-0005-0000-0000-000036320000}"/>
    <cellStyle name="40% - Accent3 3 2 4 2 2 2" xfId="10969" xr:uid="{00000000-0005-0000-0000-000037320000}"/>
    <cellStyle name="40% - Accent3 3 2 4 2 2 2 2" xfId="10970" xr:uid="{00000000-0005-0000-0000-000038320000}"/>
    <cellStyle name="40% - Accent3 3 2 4 2 2 3" xfId="10971" xr:uid="{00000000-0005-0000-0000-000039320000}"/>
    <cellStyle name="40% - Accent3 3 2 4 2 2 4" xfId="10972" xr:uid="{00000000-0005-0000-0000-00003A320000}"/>
    <cellStyle name="40% - Accent3 3 2 4 2 2 5" xfId="38167" xr:uid="{00000000-0005-0000-0000-00003B320000}"/>
    <cellStyle name="40% - Accent3 3 2 4 2 3" xfId="10973" xr:uid="{00000000-0005-0000-0000-00003C320000}"/>
    <cellStyle name="40% - Accent3 3 2 4 2 3 2" xfId="10974" xr:uid="{00000000-0005-0000-0000-00003D320000}"/>
    <cellStyle name="40% - Accent3 3 2 4 2 4" xfId="10975" xr:uid="{00000000-0005-0000-0000-00003E320000}"/>
    <cellStyle name="40% - Accent3 3 2 4 2 5" xfId="10976" xr:uid="{00000000-0005-0000-0000-00003F320000}"/>
    <cellStyle name="40% - Accent3 3 2 4 2 6" xfId="38166" xr:uid="{00000000-0005-0000-0000-000040320000}"/>
    <cellStyle name="40% - Accent3 3 2 4 3" xfId="10977" xr:uid="{00000000-0005-0000-0000-000041320000}"/>
    <cellStyle name="40% - Accent3 3 2 4 3 2" xfId="10978" xr:uid="{00000000-0005-0000-0000-000042320000}"/>
    <cellStyle name="40% - Accent3 3 2 4 3 2 2" xfId="10979" xr:uid="{00000000-0005-0000-0000-000043320000}"/>
    <cellStyle name="40% - Accent3 3 2 4 3 2 2 2" xfId="10980" xr:uid="{00000000-0005-0000-0000-000044320000}"/>
    <cellStyle name="40% - Accent3 3 2 4 3 2 3" xfId="10981" xr:uid="{00000000-0005-0000-0000-000045320000}"/>
    <cellStyle name="40% - Accent3 3 2 4 3 2 4" xfId="10982" xr:uid="{00000000-0005-0000-0000-000046320000}"/>
    <cellStyle name="40% - Accent3 3 2 4 3 2 5" xfId="38169" xr:uid="{00000000-0005-0000-0000-000047320000}"/>
    <cellStyle name="40% - Accent3 3 2 4 3 3" xfId="10983" xr:uid="{00000000-0005-0000-0000-000048320000}"/>
    <cellStyle name="40% - Accent3 3 2 4 3 3 2" xfId="10984" xr:uid="{00000000-0005-0000-0000-000049320000}"/>
    <cellStyle name="40% - Accent3 3 2 4 3 4" xfId="10985" xr:uid="{00000000-0005-0000-0000-00004A320000}"/>
    <cellStyle name="40% - Accent3 3 2 4 3 5" xfId="10986" xr:uid="{00000000-0005-0000-0000-00004B320000}"/>
    <cellStyle name="40% - Accent3 3 2 4 3 6" xfId="38168" xr:uid="{00000000-0005-0000-0000-00004C320000}"/>
    <cellStyle name="40% - Accent3 3 2 4 4" xfId="10987" xr:uid="{00000000-0005-0000-0000-00004D320000}"/>
    <cellStyle name="40% - Accent3 3 2 4 4 2" xfId="10988" xr:uid="{00000000-0005-0000-0000-00004E320000}"/>
    <cellStyle name="40% - Accent3 3 2 4 4 2 2" xfId="10989" xr:uid="{00000000-0005-0000-0000-00004F320000}"/>
    <cellStyle name="40% - Accent3 3 2 4 4 3" xfId="10990" xr:uid="{00000000-0005-0000-0000-000050320000}"/>
    <cellStyle name="40% - Accent3 3 2 4 4 4" xfId="10991" xr:uid="{00000000-0005-0000-0000-000051320000}"/>
    <cellStyle name="40% - Accent3 3 2 4 4 5" xfId="38170" xr:uid="{00000000-0005-0000-0000-000052320000}"/>
    <cellStyle name="40% - Accent3 3 2 4 5" xfId="10992" xr:uid="{00000000-0005-0000-0000-000053320000}"/>
    <cellStyle name="40% - Accent3 3 2 4 5 2" xfId="10993" xr:uid="{00000000-0005-0000-0000-000054320000}"/>
    <cellStyle name="40% - Accent3 3 2 4 5 2 2" xfId="10994" xr:uid="{00000000-0005-0000-0000-000055320000}"/>
    <cellStyle name="40% - Accent3 3 2 4 5 3" xfId="10995" xr:uid="{00000000-0005-0000-0000-000056320000}"/>
    <cellStyle name="40% - Accent3 3 2 4 5 4" xfId="10996" xr:uid="{00000000-0005-0000-0000-000057320000}"/>
    <cellStyle name="40% - Accent3 3 2 4 6" xfId="10997" xr:uid="{00000000-0005-0000-0000-000058320000}"/>
    <cellStyle name="40% - Accent3 3 2 4 6 2" xfId="10998" xr:uid="{00000000-0005-0000-0000-000059320000}"/>
    <cellStyle name="40% - Accent3 3 2 4 6 2 2" xfId="10999" xr:uid="{00000000-0005-0000-0000-00005A320000}"/>
    <cellStyle name="40% - Accent3 3 2 4 6 3" xfId="11000" xr:uid="{00000000-0005-0000-0000-00005B320000}"/>
    <cellStyle name="40% - Accent3 3 2 4 6 4" xfId="11001" xr:uid="{00000000-0005-0000-0000-00005C320000}"/>
    <cellStyle name="40% - Accent3 3 2 4 7" xfId="11002" xr:uid="{00000000-0005-0000-0000-00005D320000}"/>
    <cellStyle name="40% - Accent3 3 2 4 7 2" xfId="11003" xr:uid="{00000000-0005-0000-0000-00005E320000}"/>
    <cellStyle name="40% - Accent3 3 2 4 8" xfId="11004" xr:uid="{00000000-0005-0000-0000-00005F320000}"/>
    <cellStyle name="40% - Accent3 3 2 4 9" xfId="11005" xr:uid="{00000000-0005-0000-0000-000060320000}"/>
    <cellStyle name="40% - Accent3 3 2 5" xfId="11006" xr:uid="{00000000-0005-0000-0000-000061320000}"/>
    <cellStyle name="40% - Accent3 3 2 5 2" xfId="11007" xr:uid="{00000000-0005-0000-0000-000062320000}"/>
    <cellStyle name="40% - Accent3 3 2 5 2 2" xfId="11008" xr:uid="{00000000-0005-0000-0000-000063320000}"/>
    <cellStyle name="40% - Accent3 3 2 5 2 2 2" xfId="11009" xr:uid="{00000000-0005-0000-0000-000064320000}"/>
    <cellStyle name="40% - Accent3 3 2 5 2 3" xfId="11010" xr:uid="{00000000-0005-0000-0000-000065320000}"/>
    <cellStyle name="40% - Accent3 3 2 5 2 4" xfId="11011" xr:uid="{00000000-0005-0000-0000-000066320000}"/>
    <cellStyle name="40% - Accent3 3 2 5 2 5" xfId="38172" xr:uid="{00000000-0005-0000-0000-000067320000}"/>
    <cellStyle name="40% - Accent3 3 2 5 3" xfId="11012" xr:uid="{00000000-0005-0000-0000-000068320000}"/>
    <cellStyle name="40% - Accent3 3 2 5 3 2" xfId="11013" xr:uid="{00000000-0005-0000-0000-000069320000}"/>
    <cellStyle name="40% - Accent3 3 2 5 4" xfId="11014" xr:uid="{00000000-0005-0000-0000-00006A320000}"/>
    <cellStyle name="40% - Accent3 3 2 5 5" xfId="11015" xr:uid="{00000000-0005-0000-0000-00006B320000}"/>
    <cellStyle name="40% - Accent3 3 2 5 6" xfId="38171" xr:uid="{00000000-0005-0000-0000-00006C320000}"/>
    <cellStyle name="40% - Accent3 3 2 6" xfId="11016" xr:uid="{00000000-0005-0000-0000-00006D320000}"/>
    <cellStyle name="40% - Accent3 3 2 6 2" xfId="11017" xr:uid="{00000000-0005-0000-0000-00006E320000}"/>
    <cellStyle name="40% - Accent3 3 2 6 2 2" xfId="11018" xr:uid="{00000000-0005-0000-0000-00006F320000}"/>
    <cellStyle name="40% - Accent3 3 2 6 2 2 2" xfId="11019" xr:uid="{00000000-0005-0000-0000-000070320000}"/>
    <cellStyle name="40% - Accent3 3 2 6 2 3" xfId="11020" xr:uid="{00000000-0005-0000-0000-000071320000}"/>
    <cellStyle name="40% - Accent3 3 2 6 2 4" xfId="11021" xr:uid="{00000000-0005-0000-0000-000072320000}"/>
    <cellStyle name="40% - Accent3 3 2 6 2 5" xfId="38174" xr:uid="{00000000-0005-0000-0000-000073320000}"/>
    <cellStyle name="40% - Accent3 3 2 6 3" xfId="11022" xr:uid="{00000000-0005-0000-0000-000074320000}"/>
    <cellStyle name="40% - Accent3 3 2 6 3 2" xfId="11023" xr:uid="{00000000-0005-0000-0000-000075320000}"/>
    <cellStyle name="40% - Accent3 3 2 6 4" xfId="11024" xr:uid="{00000000-0005-0000-0000-000076320000}"/>
    <cellStyle name="40% - Accent3 3 2 6 5" xfId="11025" xr:uid="{00000000-0005-0000-0000-000077320000}"/>
    <cellStyle name="40% - Accent3 3 2 6 6" xfId="38173" xr:uid="{00000000-0005-0000-0000-000078320000}"/>
    <cellStyle name="40% - Accent3 3 2 7" xfId="11026" xr:uid="{00000000-0005-0000-0000-000079320000}"/>
    <cellStyle name="40% - Accent3 3 2 7 2" xfId="11027" xr:uid="{00000000-0005-0000-0000-00007A320000}"/>
    <cellStyle name="40% - Accent3 3 2 7 2 2" xfId="11028" xr:uid="{00000000-0005-0000-0000-00007B320000}"/>
    <cellStyle name="40% - Accent3 3 2 7 3" xfId="11029" xr:uid="{00000000-0005-0000-0000-00007C320000}"/>
    <cellStyle name="40% - Accent3 3 2 7 4" xfId="11030" xr:uid="{00000000-0005-0000-0000-00007D320000}"/>
    <cellStyle name="40% - Accent3 3 2 7 5" xfId="38175" xr:uid="{00000000-0005-0000-0000-00007E320000}"/>
    <cellStyle name="40% - Accent3 3 2 8" xfId="11031" xr:uid="{00000000-0005-0000-0000-00007F320000}"/>
    <cellStyle name="40% - Accent3 3 2 8 2" xfId="11032" xr:uid="{00000000-0005-0000-0000-000080320000}"/>
    <cellStyle name="40% - Accent3 3 2 8 2 2" xfId="11033" xr:uid="{00000000-0005-0000-0000-000081320000}"/>
    <cellStyle name="40% - Accent3 3 2 8 3" xfId="11034" xr:uid="{00000000-0005-0000-0000-000082320000}"/>
    <cellStyle name="40% - Accent3 3 2 8 4" xfId="11035" xr:uid="{00000000-0005-0000-0000-000083320000}"/>
    <cellStyle name="40% - Accent3 3 2 9" xfId="11036" xr:uid="{00000000-0005-0000-0000-000084320000}"/>
    <cellStyle name="40% - Accent3 3 2 9 2" xfId="11037" xr:uid="{00000000-0005-0000-0000-000085320000}"/>
    <cellStyle name="40% - Accent3 3 2 9 2 2" xfId="11038" xr:uid="{00000000-0005-0000-0000-000086320000}"/>
    <cellStyle name="40% - Accent3 3 2 9 3" xfId="11039" xr:uid="{00000000-0005-0000-0000-000087320000}"/>
    <cellStyle name="40% - Accent3 3 2 9 4" xfId="11040" xr:uid="{00000000-0005-0000-0000-000088320000}"/>
    <cellStyle name="40% - Accent3 3 3" xfId="11041" xr:uid="{00000000-0005-0000-0000-000089320000}"/>
    <cellStyle name="40% - Accent3 3 4" xfId="11042" xr:uid="{00000000-0005-0000-0000-00008A320000}"/>
    <cellStyle name="40% - Accent3 3 5" xfId="11043" xr:uid="{00000000-0005-0000-0000-00008B320000}"/>
    <cellStyle name="40% - Accent3 4" xfId="11044" xr:uid="{00000000-0005-0000-0000-00008C320000}"/>
    <cellStyle name="40% - Accent3 4 10" xfId="11045" xr:uid="{00000000-0005-0000-0000-00008D320000}"/>
    <cellStyle name="40% - Accent3 4 10 2" xfId="11046" xr:uid="{00000000-0005-0000-0000-00008E320000}"/>
    <cellStyle name="40% - Accent3 4 11" xfId="11047" xr:uid="{00000000-0005-0000-0000-00008F320000}"/>
    <cellStyle name="40% - Accent3 4 12" xfId="11048" xr:uid="{00000000-0005-0000-0000-000090320000}"/>
    <cellStyle name="40% - Accent3 4 13" xfId="34739" xr:uid="{00000000-0005-0000-0000-000091320000}"/>
    <cellStyle name="40% - Accent3 4 2" xfId="11049" xr:uid="{00000000-0005-0000-0000-000092320000}"/>
    <cellStyle name="40% - Accent3 4 2 10" xfId="11050" xr:uid="{00000000-0005-0000-0000-000093320000}"/>
    <cellStyle name="40% - Accent3 4 2 11" xfId="11051" xr:uid="{00000000-0005-0000-0000-000094320000}"/>
    <cellStyle name="40% - Accent3 4 2 12" xfId="34740" xr:uid="{00000000-0005-0000-0000-000095320000}"/>
    <cellStyle name="40% - Accent3 4 2 2" xfId="11052" xr:uid="{00000000-0005-0000-0000-000096320000}"/>
    <cellStyle name="40% - Accent3 4 2 2 10" xfId="11053" xr:uid="{00000000-0005-0000-0000-000097320000}"/>
    <cellStyle name="40% - Accent3 4 2 2 11" xfId="34741" xr:uid="{00000000-0005-0000-0000-000098320000}"/>
    <cellStyle name="40% - Accent3 4 2 2 2" xfId="11054" xr:uid="{00000000-0005-0000-0000-000099320000}"/>
    <cellStyle name="40% - Accent3 4 2 2 2 10" xfId="34742" xr:uid="{00000000-0005-0000-0000-00009A320000}"/>
    <cellStyle name="40% - Accent3 4 2 2 2 2" xfId="11055" xr:uid="{00000000-0005-0000-0000-00009B320000}"/>
    <cellStyle name="40% - Accent3 4 2 2 2 2 2" xfId="11056" xr:uid="{00000000-0005-0000-0000-00009C320000}"/>
    <cellStyle name="40% - Accent3 4 2 2 2 2 2 2" xfId="11057" xr:uid="{00000000-0005-0000-0000-00009D320000}"/>
    <cellStyle name="40% - Accent3 4 2 2 2 2 2 2 2" xfId="11058" xr:uid="{00000000-0005-0000-0000-00009E320000}"/>
    <cellStyle name="40% - Accent3 4 2 2 2 2 2 3" xfId="11059" xr:uid="{00000000-0005-0000-0000-00009F320000}"/>
    <cellStyle name="40% - Accent3 4 2 2 2 2 2 4" xfId="11060" xr:uid="{00000000-0005-0000-0000-0000A0320000}"/>
    <cellStyle name="40% - Accent3 4 2 2 2 2 2 5" xfId="38177" xr:uid="{00000000-0005-0000-0000-0000A1320000}"/>
    <cellStyle name="40% - Accent3 4 2 2 2 2 3" xfId="11061" xr:uid="{00000000-0005-0000-0000-0000A2320000}"/>
    <cellStyle name="40% - Accent3 4 2 2 2 2 3 2" xfId="11062" xr:uid="{00000000-0005-0000-0000-0000A3320000}"/>
    <cellStyle name="40% - Accent3 4 2 2 2 2 4" xfId="11063" xr:uid="{00000000-0005-0000-0000-0000A4320000}"/>
    <cellStyle name="40% - Accent3 4 2 2 2 2 5" xfId="11064" xr:uid="{00000000-0005-0000-0000-0000A5320000}"/>
    <cellStyle name="40% - Accent3 4 2 2 2 2 6" xfId="38176" xr:uid="{00000000-0005-0000-0000-0000A6320000}"/>
    <cellStyle name="40% - Accent3 4 2 2 2 3" xfId="11065" xr:uid="{00000000-0005-0000-0000-0000A7320000}"/>
    <cellStyle name="40% - Accent3 4 2 2 2 3 2" xfId="11066" xr:uid="{00000000-0005-0000-0000-0000A8320000}"/>
    <cellStyle name="40% - Accent3 4 2 2 2 3 2 2" xfId="11067" xr:uid="{00000000-0005-0000-0000-0000A9320000}"/>
    <cellStyle name="40% - Accent3 4 2 2 2 3 2 2 2" xfId="11068" xr:uid="{00000000-0005-0000-0000-0000AA320000}"/>
    <cellStyle name="40% - Accent3 4 2 2 2 3 2 3" xfId="11069" xr:uid="{00000000-0005-0000-0000-0000AB320000}"/>
    <cellStyle name="40% - Accent3 4 2 2 2 3 2 4" xfId="11070" xr:uid="{00000000-0005-0000-0000-0000AC320000}"/>
    <cellStyle name="40% - Accent3 4 2 2 2 3 2 5" xfId="38179" xr:uid="{00000000-0005-0000-0000-0000AD320000}"/>
    <cellStyle name="40% - Accent3 4 2 2 2 3 3" xfId="11071" xr:uid="{00000000-0005-0000-0000-0000AE320000}"/>
    <cellStyle name="40% - Accent3 4 2 2 2 3 3 2" xfId="11072" xr:uid="{00000000-0005-0000-0000-0000AF320000}"/>
    <cellStyle name="40% - Accent3 4 2 2 2 3 4" xfId="11073" xr:uid="{00000000-0005-0000-0000-0000B0320000}"/>
    <cellStyle name="40% - Accent3 4 2 2 2 3 5" xfId="11074" xr:uid="{00000000-0005-0000-0000-0000B1320000}"/>
    <cellStyle name="40% - Accent3 4 2 2 2 3 6" xfId="38178" xr:uid="{00000000-0005-0000-0000-0000B2320000}"/>
    <cellStyle name="40% - Accent3 4 2 2 2 4" xfId="11075" xr:uid="{00000000-0005-0000-0000-0000B3320000}"/>
    <cellStyle name="40% - Accent3 4 2 2 2 4 2" xfId="11076" xr:uid="{00000000-0005-0000-0000-0000B4320000}"/>
    <cellStyle name="40% - Accent3 4 2 2 2 4 2 2" xfId="11077" xr:uid="{00000000-0005-0000-0000-0000B5320000}"/>
    <cellStyle name="40% - Accent3 4 2 2 2 4 3" xfId="11078" xr:uid="{00000000-0005-0000-0000-0000B6320000}"/>
    <cellStyle name="40% - Accent3 4 2 2 2 4 4" xfId="11079" xr:uid="{00000000-0005-0000-0000-0000B7320000}"/>
    <cellStyle name="40% - Accent3 4 2 2 2 4 5" xfId="38180" xr:uid="{00000000-0005-0000-0000-0000B8320000}"/>
    <cellStyle name="40% - Accent3 4 2 2 2 5" xfId="11080" xr:uid="{00000000-0005-0000-0000-0000B9320000}"/>
    <cellStyle name="40% - Accent3 4 2 2 2 5 2" xfId="11081" xr:uid="{00000000-0005-0000-0000-0000BA320000}"/>
    <cellStyle name="40% - Accent3 4 2 2 2 5 2 2" xfId="11082" xr:uid="{00000000-0005-0000-0000-0000BB320000}"/>
    <cellStyle name="40% - Accent3 4 2 2 2 5 3" xfId="11083" xr:uid="{00000000-0005-0000-0000-0000BC320000}"/>
    <cellStyle name="40% - Accent3 4 2 2 2 5 4" xfId="11084" xr:uid="{00000000-0005-0000-0000-0000BD320000}"/>
    <cellStyle name="40% - Accent3 4 2 2 2 6" xfId="11085" xr:uid="{00000000-0005-0000-0000-0000BE320000}"/>
    <cellStyle name="40% - Accent3 4 2 2 2 6 2" xfId="11086" xr:uid="{00000000-0005-0000-0000-0000BF320000}"/>
    <cellStyle name="40% - Accent3 4 2 2 2 6 2 2" xfId="11087" xr:uid="{00000000-0005-0000-0000-0000C0320000}"/>
    <cellStyle name="40% - Accent3 4 2 2 2 6 3" xfId="11088" xr:uid="{00000000-0005-0000-0000-0000C1320000}"/>
    <cellStyle name="40% - Accent3 4 2 2 2 6 4" xfId="11089" xr:uid="{00000000-0005-0000-0000-0000C2320000}"/>
    <cellStyle name="40% - Accent3 4 2 2 2 7" xfId="11090" xr:uid="{00000000-0005-0000-0000-0000C3320000}"/>
    <cellStyle name="40% - Accent3 4 2 2 2 7 2" xfId="11091" xr:uid="{00000000-0005-0000-0000-0000C4320000}"/>
    <cellStyle name="40% - Accent3 4 2 2 2 8" xfId="11092" xr:uid="{00000000-0005-0000-0000-0000C5320000}"/>
    <cellStyle name="40% - Accent3 4 2 2 2 9" xfId="11093" xr:uid="{00000000-0005-0000-0000-0000C6320000}"/>
    <cellStyle name="40% - Accent3 4 2 2 3" xfId="11094" xr:uid="{00000000-0005-0000-0000-0000C7320000}"/>
    <cellStyle name="40% - Accent3 4 2 2 3 2" xfId="11095" xr:uid="{00000000-0005-0000-0000-0000C8320000}"/>
    <cellStyle name="40% - Accent3 4 2 2 3 2 2" xfId="11096" xr:uid="{00000000-0005-0000-0000-0000C9320000}"/>
    <cellStyle name="40% - Accent3 4 2 2 3 2 2 2" xfId="11097" xr:uid="{00000000-0005-0000-0000-0000CA320000}"/>
    <cellStyle name="40% - Accent3 4 2 2 3 2 3" xfId="11098" xr:uid="{00000000-0005-0000-0000-0000CB320000}"/>
    <cellStyle name="40% - Accent3 4 2 2 3 2 4" xfId="11099" xr:uid="{00000000-0005-0000-0000-0000CC320000}"/>
    <cellStyle name="40% - Accent3 4 2 2 3 2 5" xfId="38182" xr:uid="{00000000-0005-0000-0000-0000CD320000}"/>
    <cellStyle name="40% - Accent3 4 2 2 3 3" xfId="11100" xr:uid="{00000000-0005-0000-0000-0000CE320000}"/>
    <cellStyle name="40% - Accent3 4 2 2 3 3 2" xfId="11101" xr:uid="{00000000-0005-0000-0000-0000CF320000}"/>
    <cellStyle name="40% - Accent3 4 2 2 3 4" xfId="11102" xr:uid="{00000000-0005-0000-0000-0000D0320000}"/>
    <cellStyle name="40% - Accent3 4 2 2 3 5" xfId="11103" xr:uid="{00000000-0005-0000-0000-0000D1320000}"/>
    <cellStyle name="40% - Accent3 4 2 2 3 6" xfId="38181" xr:uid="{00000000-0005-0000-0000-0000D2320000}"/>
    <cellStyle name="40% - Accent3 4 2 2 4" xfId="11104" xr:uid="{00000000-0005-0000-0000-0000D3320000}"/>
    <cellStyle name="40% - Accent3 4 2 2 4 2" xfId="11105" xr:uid="{00000000-0005-0000-0000-0000D4320000}"/>
    <cellStyle name="40% - Accent3 4 2 2 4 2 2" xfId="11106" xr:uid="{00000000-0005-0000-0000-0000D5320000}"/>
    <cellStyle name="40% - Accent3 4 2 2 4 2 2 2" xfId="11107" xr:uid="{00000000-0005-0000-0000-0000D6320000}"/>
    <cellStyle name="40% - Accent3 4 2 2 4 2 3" xfId="11108" xr:uid="{00000000-0005-0000-0000-0000D7320000}"/>
    <cellStyle name="40% - Accent3 4 2 2 4 2 4" xfId="11109" xr:uid="{00000000-0005-0000-0000-0000D8320000}"/>
    <cellStyle name="40% - Accent3 4 2 2 4 2 5" xfId="38184" xr:uid="{00000000-0005-0000-0000-0000D9320000}"/>
    <cellStyle name="40% - Accent3 4 2 2 4 3" xfId="11110" xr:uid="{00000000-0005-0000-0000-0000DA320000}"/>
    <cellStyle name="40% - Accent3 4 2 2 4 3 2" xfId="11111" xr:uid="{00000000-0005-0000-0000-0000DB320000}"/>
    <cellStyle name="40% - Accent3 4 2 2 4 4" xfId="11112" xr:uid="{00000000-0005-0000-0000-0000DC320000}"/>
    <cellStyle name="40% - Accent3 4 2 2 4 5" xfId="11113" xr:uid="{00000000-0005-0000-0000-0000DD320000}"/>
    <cellStyle name="40% - Accent3 4 2 2 4 6" xfId="38183" xr:uid="{00000000-0005-0000-0000-0000DE320000}"/>
    <cellStyle name="40% - Accent3 4 2 2 5" xfId="11114" xr:uid="{00000000-0005-0000-0000-0000DF320000}"/>
    <cellStyle name="40% - Accent3 4 2 2 5 2" xfId="11115" xr:uid="{00000000-0005-0000-0000-0000E0320000}"/>
    <cellStyle name="40% - Accent3 4 2 2 5 2 2" xfId="11116" xr:uid="{00000000-0005-0000-0000-0000E1320000}"/>
    <cellStyle name="40% - Accent3 4 2 2 5 3" xfId="11117" xr:uid="{00000000-0005-0000-0000-0000E2320000}"/>
    <cellStyle name="40% - Accent3 4 2 2 5 4" xfId="11118" xr:uid="{00000000-0005-0000-0000-0000E3320000}"/>
    <cellStyle name="40% - Accent3 4 2 2 5 5" xfId="38185" xr:uid="{00000000-0005-0000-0000-0000E4320000}"/>
    <cellStyle name="40% - Accent3 4 2 2 6" xfId="11119" xr:uid="{00000000-0005-0000-0000-0000E5320000}"/>
    <cellStyle name="40% - Accent3 4 2 2 6 2" xfId="11120" xr:uid="{00000000-0005-0000-0000-0000E6320000}"/>
    <cellStyle name="40% - Accent3 4 2 2 6 2 2" xfId="11121" xr:uid="{00000000-0005-0000-0000-0000E7320000}"/>
    <cellStyle name="40% - Accent3 4 2 2 6 3" xfId="11122" xr:uid="{00000000-0005-0000-0000-0000E8320000}"/>
    <cellStyle name="40% - Accent3 4 2 2 6 4" xfId="11123" xr:uid="{00000000-0005-0000-0000-0000E9320000}"/>
    <cellStyle name="40% - Accent3 4 2 2 7" xfId="11124" xr:uid="{00000000-0005-0000-0000-0000EA320000}"/>
    <cellStyle name="40% - Accent3 4 2 2 7 2" xfId="11125" xr:uid="{00000000-0005-0000-0000-0000EB320000}"/>
    <cellStyle name="40% - Accent3 4 2 2 7 2 2" xfId="11126" xr:uid="{00000000-0005-0000-0000-0000EC320000}"/>
    <cellStyle name="40% - Accent3 4 2 2 7 3" xfId="11127" xr:uid="{00000000-0005-0000-0000-0000ED320000}"/>
    <cellStyle name="40% - Accent3 4 2 2 7 4" xfId="11128" xr:uid="{00000000-0005-0000-0000-0000EE320000}"/>
    <cellStyle name="40% - Accent3 4 2 2 8" xfId="11129" xr:uid="{00000000-0005-0000-0000-0000EF320000}"/>
    <cellStyle name="40% - Accent3 4 2 2 8 2" xfId="11130" xr:uid="{00000000-0005-0000-0000-0000F0320000}"/>
    <cellStyle name="40% - Accent3 4 2 2 9" xfId="11131" xr:uid="{00000000-0005-0000-0000-0000F1320000}"/>
    <cellStyle name="40% - Accent3 4 2 3" xfId="11132" xr:uid="{00000000-0005-0000-0000-0000F2320000}"/>
    <cellStyle name="40% - Accent3 4 2 3 10" xfId="34743" xr:uid="{00000000-0005-0000-0000-0000F3320000}"/>
    <cellStyle name="40% - Accent3 4 2 3 2" xfId="11133" xr:uid="{00000000-0005-0000-0000-0000F4320000}"/>
    <cellStyle name="40% - Accent3 4 2 3 2 2" xfId="11134" xr:uid="{00000000-0005-0000-0000-0000F5320000}"/>
    <cellStyle name="40% - Accent3 4 2 3 2 2 2" xfId="11135" xr:uid="{00000000-0005-0000-0000-0000F6320000}"/>
    <cellStyle name="40% - Accent3 4 2 3 2 2 2 2" xfId="11136" xr:uid="{00000000-0005-0000-0000-0000F7320000}"/>
    <cellStyle name="40% - Accent3 4 2 3 2 2 3" xfId="11137" xr:uid="{00000000-0005-0000-0000-0000F8320000}"/>
    <cellStyle name="40% - Accent3 4 2 3 2 2 4" xfId="11138" xr:uid="{00000000-0005-0000-0000-0000F9320000}"/>
    <cellStyle name="40% - Accent3 4 2 3 2 2 5" xfId="38187" xr:uid="{00000000-0005-0000-0000-0000FA320000}"/>
    <cellStyle name="40% - Accent3 4 2 3 2 3" xfId="11139" xr:uid="{00000000-0005-0000-0000-0000FB320000}"/>
    <cellStyle name="40% - Accent3 4 2 3 2 3 2" xfId="11140" xr:uid="{00000000-0005-0000-0000-0000FC320000}"/>
    <cellStyle name="40% - Accent3 4 2 3 2 4" xfId="11141" xr:uid="{00000000-0005-0000-0000-0000FD320000}"/>
    <cellStyle name="40% - Accent3 4 2 3 2 5" xfId="11142" xr:uid="{00000000-0005-0000-0000-0000FE320000}"/>
    <cellStyle name="40% - Accent3 4 2 3 2 6" xfId="38186" xr:uid="{00000000-0005-0000-0000-0000FF320000}"/>
    <cellStyle name="40% - Accent3 4 2 3 3" xfId="11143" xr:uid="{00000000-0005-0000-0000-000000330000}"/>
    <cellStyle name="40% - Accent3 4 2 3 3 2" xfId="11144" xr:uid="{00000000-0005-0000-0000-000001330000}"/>
    <cellStyle name="40% - Accent3 4 2 3 3 2 2" xfId="11145" xr:uid="{00000000-0005-0000-0000-000002330000}"/>
    <cellStyle name="40% - Accent3 4 2 3 3 2 2 2" xfId="11146" xr:uid="{00000000-0005-0000-0000-000003330000}"/>
    <cellStyle name="40% - Accent3 4 2 3 3 2 3" xfId="11147" xr:uid="{00000000-0005-0000-0000-000004330000}"/>
    <cellStyle name="40% - Accent3 4 2 3 3 2 4" xfId="11148" xr:uid="{00000000-0005-0000-0000-000005330000}"/>
    <cellStyle name="40% - Accent3 4 2 3 3 2 5" xfId="38189" xr:uid="{00000000-0005-0000-0000-000006330000}"/>
    <cellStyle name="40% - Accent3 4 2 3 3 3" xfId="11149" xr:uid="{00000000-0005-0000-0000-000007330000}"/>
    <cellStyle name="40% - Accent3 4 2 3 3 3 2" xfId="11150" xr:uid="{00000000-0005-0000-0000-000008330000}"/>
    <cellStyle name="40% - Accent3 4 2 3 3 4" xfId="11151" xr:uid="{00000000-0005-0000-0000-000009330000}"/>
    <cellStyle name="40% - Accent3 4 2 3 3 5" xfId="11152" xr:uid="{00000000-0005-0000-0000-00000A330000}"/>
    <cellStyle name="40% - Accent3 4 2 3 3 6" xfId="38188" xr:uid="{00000000-0005-0000-0000-00000B330000}"/>
    <cellStyle name="40% - Accent3 4 2 3 4" xfId="11153" xr:uid="{00000000-0005-0000-0000-00000C330000}"/>
    <cellStyle name="40% - Accent3 4 2 3 4 2" xfId="11154" xr:uid="{00000000-0005-0000-0000-00000D330000}"/>
    <cellStyle name="40% - Accent3 4 2 3 4 2 2" xfId="11155" xr:uid="{00000000-0005-0000-0000-00000E330000}"/>
    <cellStyle name="40% - Accent3 4 2 3 4 3" xfId="11156" xr:uid="{00000000-0005-0000-0000-00000F330000}"/>
    <cellStyle name="40% - Accent3 4 2 3 4 4" xfId="11157" xr:uid="{00000000-0005-0000-0000-000010330000}"/>
    <cellStyle name="40% - Accent3 4 2 3 4 5" xfId="38190" xr:uid="{00000000-0005-0000-0000-000011330000}"/>
    <cellStyle name="40% - Accent3 4 2 3 5" xfId="11158" xr:uid="{00000000-0005-0000-0000-000012330000}"/>
    <cellStyle name="40% - Accent3 4 2 3 5 2" xfId="11159" xr:uid="{00000000-0005-0000-0000-000013330000}"/>
    <cellStyle name="40% - Accent3 4 2 3 5 2 2" xfId="11160" xr:uid="{00000000-0005-0000-0000-000014330000}"/>
    <cellStyle name="40% - Accent3 4 2 3 5 3" xfId="11161" xr:uid="{00000000-0005-0000-0000-000015330000}"/>
    <cellStyle name="40% - Accent3 4 2 3 5 4" xfId="11162" xr:uid="{00000000-0005-0000-0000-000016330000}"/>
    <cellStyle name="40% - Accent3 4 2 3 6" xfId="11163" xr:uid="{00000000-0005-0000-0000-000017330000}"/>
    <cellStyle name="40% - Accent3 4 2 3 6 2" xfId="11164" xr:uid="{00000000-0005-0000-0000-000018330000}"/>
    <cellStyle name="40% - Accent3 4 2 3 6 2 2" xfId="11165" xr:uid="{00000000-0005-0000-0000-000019330000}"/>
    <cellStyle name="40% - Accent3 4 2 3 6 3" xfId="11166" xr:uid="{00000000-0005-0000-0000-00001A330000}"/>
    <cellStyle name="40% - Accent3 4 2 3 6 4" xfId="11167" xr:uid="{00000000-0005-0000-0000-00001B330000}"/>
    <cellStyle name="40% - Accent3 4 2 3 7" xfId="11168" xr:uid="{00000000-0005-0000-0000-00001C330000}"/>
    <cellStyle name="40% - Accent3 4 2 3 7 2" xfId="11169" xr:uid="{00000000-0005-0000-0000-00001D330000}"/>
    <cellStyle name="40% - Accent3 4 2 3 8" xfId="11170" xr:uid="{00000000-0005-0000-0000-00001E330000}"/>
    <cellStyle name="40% - Accent3 4 2 3 9" xfId="11171" xr:uid="{00000000-0005-0000-0000-00001F330000}"/>
    <cellStyle name="40% - Accent3 4 2 4" xfId="11172" xr:uid="{00000000-0005-0000-0000-000020330000}"/>
    <cellStyle name="40% - Accent3 4 2 4 2" xfId="11173" xr:uid="{00000000-0005-0000-0000-000021330000}"/>
    <cellStyle name="40% - Accent3 4 2 4 2 2" xfId="11174" xr:uid="{00000000-0005-0000-0000-000022330000}"/>
    <cellStyle name="40% - Accent3 4 2 4 2 2 2" xfId="11175" xr:uid="{00000000-0005-0000-0000-000023330000}"/>
    <cellStyle name="40% - Accent3 4 2 4 2 3" xfId="11176" xr:uid="{00000000-0005-0000-0000-000024330000}"/>
    <cellStyle name="40% - Accent3 4 2 4 2 4" xfId="11177" xr:uid="{00000000-0005-0000-0000-000025330000}"/>
    <cellStyle name="40% - Accent3 4 2 4 2 5" xfId="38192" xr:uid="{00000000-0005-0000-0000-000026330000}"/>
    <cellStyle name="40% - Accent3 4 2 4 3" xfId="11178" xr:uid="{00000000-0005-0000-0000-000027330000}"/>
    <cellStyle name="40% - Accent3 4 2 4 3 2" xfId="11179" xr:uid="{00000000-0005-0000-0000-000028330000}"/>
    <cellStyle name="40% - Accent3 4 2 4 4" xfId="11180" xr:uid="{00000000-0005-0000-0000-000029330000}"/>
    <cellStyle name="40% - Accent3 4 2 4 5" xfId="11181" xr:uid="{00000000-0005-0000-0000-00002A330000}"/>
    <cellStyle name="40% - Accent3 4 2 4 6" xfId="38191" xr:uid="{00000000-0005-0000-0000-00002B330000}"/>
    <cellStyle name="40% - Accent3 4 2 5" xfId="11182" xr:uid="{00000000-0005-0000-0000-00002C330000}"/>
    <cellStyle name="40% - Accent3 4 2 5 2" xfId="11183" xr:uid="{00000000-0005-0000-0000-00002D330000}"/>
    <cellStyle name="40% - Accent3 4 2 5 2 2" xfId="11184" xr:uid="{00000000-0005-0000-0000-00002E330000}"/>
    <cellStyle name="40% - Accent3 4 2 5 2 2 2" xfId="11185" xr:uid="{00000000-0005-0000-0000-00002F330000}"/>
    <cellStyle name="40% - Accent3 4 2 5 2 3" xfId="11186" xr:uid="{00000000-0005-0000-0000-000030330000}"/>
    <cellStyle name="40% - Accent3 4 2 5 2 4" xfId="11187" xr:uid="{00000000-0005-0000-0000-000031330000}"/>
    <cellStyle name="40% - Accent3 4 2 5 2 5" xfId="38194" xr:uid="{00000000-0005-0000-0000-000032330000}"/>
    <cellStyle name="40% - Accent3 4 2 5 3" xfId="11188" xr:uid="{00000000-0005-0000-0000-000033330000}"/>
    <cellStyle name="40% - Accent3 4 2 5 3 2" xfId="11189" xr:uid="{00000000-0005-0000-0000-000034330000}"/>
    <cellStyle name="40% - Accent3 4 2 5 4" xfId="11190" xr:uid="{00000000-0005-0000-0000-000035330000}"/>
    <cellStyle name="40% - Accent3 4 2 5 5" xfId="11191" xr:uid="{00000000-0005-0000-0000-000036330000}"/>
    <cellStyle name="40% - Accent3 4 2 5 6" xfId="38193" xr:uid="{00000000-0005-0000-0000-000037330000}"/>
    <cellStyle name="40% - Accent3 4 2 6" xfId="11192" xr:uid="{00000000-0005-0000-0000-000038330000}"/>
    <cellStyle name="40% - Accent3 4 2 6 2" xfId="11193" xr:uid="{00000000-0005-0000-0000-000039330000}"/>
    <cellStyle name="40% - Accent3 4 2 6 2 2" xfId="11194" xr:uid="{00000000-0005-0000-0000-00003A330000}"/>
    <cellStyle name="40% - Accent3 4 2 6 3" xfId="11195" xr:uid="{00000000-0005-0000-0000-00003B330000}"/>
    <cellStyle name="40% - Accent3 4 2 6 4" xfId="11196" xr:uid="{00000000-0005-0000-0000-00003C330000}"/>
    <cellStyle name="40% - Accent3 4 2 6 5" xfId="38195" xr:uid="{00000000-0005-0000-0000-00003D330000}"/>
    <cellStyle name="40% - Accent3 4 2 7" xfId="11197" xr:uid="{00000000-0005-0000-0000-00003E330000}"/>
    <cellStyle name="40% - Accent3 4 2 7 2" xfId="11198" xr:uid="{00000000-0005-0000-0000-00003F330000}"/>
    <cellStyle name="40% - Accent3 4 2 7 2 2" xfId="11199" xr:uid="{00000000-0005-0000-0000-000040330000}"/>
    <cellStyle name="40% - Accent3 4 2 7 3" xfId="11200" xr:uid="{00000000-0005-0000-0000-000041330000}"/>
    <cellStyle name="40% - Accent3 4 2 7 4" xfId="11201" xr:uid="{00000000-0005-0000-0000-000042330000}"/>
    <cellStyle name="40% - Accent3 4 2 8" xfId="11202" xr:uid="{00000000-0005-0000-0000-000043330000}"/>
    <cellStyle name="40% - Accent3 4 2 8 2" xfId="11203" xr:uid="{00000000-0005-0000-0000-000044330000}"/>
    <cellStyle name="40% - Accent3 4 2 8 2 2" xfId="11204" xr:uid="{00000000-0005-0000-0000-000045330000}"/>
    <cellStyle name="40% - Accent3 4 2 8 3" xfId="11205" xr:uid="{00000000-0005-0000-0000-000046330000}"/>
    <cellStyle name="40% - Accent3 4 2 8 4" xfId="11206" xr:uid="{00000000-0005-0000-0000-000047330000}"/>
    <cellStyle name="40% - Accent3 4 2 9" xfId="11207" xr:uid="{00000000-0005-0000-0000-000048330000}"/>
    <cellStyle name="40% - Accent3 4 2 9 2" xfId="11208" xr:uid="{00000000-0005-0000-0000-000049330000}"/>
    <cellStyle name="40% - Accent3 4 3" xfId="11209" xr:uid="{00000000-0005-0000-0000-00004A330000}"/>
    <cellStyle name="40% - Accent3 4 3 10" xfId="11210" xr:uid="{00000000-0005-0000-0000-00004B330000}"/>
    <cellStyle name="40% - Accent3 4 3 11" xfId="34744" xr:uid="{00000000-0005-0000-0000-00004C330000}"/>
    <cellStyle name="40% - Accent3 4 3 2" xfId="11211" xr:uid="{00000000-0005-0000-0000-00004D330000}"/>
    <cellStyle name="40% - Accent3 4 3 2 10" xfId="34745" xr:uid="{00000000-0005-0000-0000-00004E330000}"/>
    <cellStyle name="40% - Accent3 4 3 2 2" xfId="11212" xr:uid="{00000000-0005-0000-0000-00004F330000}"/>
    <cellStyle name="40% - Accent3 4 3 2 2 2" xfId="11213" xr:uid="{00000000-0005-0000-0000-000050330000}"/>
    <cellStyle name="40% - Accent3 4 3 2 2 2 2" xfId="11214" xr:uid="{00000000-0005-0000-0000-000051330000}"/>
    <cellStyle name="40% - Accent3 4 3 2 2 2 2 2" xfId="11215" xr:uid="{00000000-0005-0000-0000-000052330000}"/>
    <cellStyle name="40% - Accent3 4 3 2 2 2 3" xfId="11216" xr:uid="{00000000-0005-0000-0000-000053330000}"/>
    <cellStyle name="40% - Accent3 4 3 2 2 2 4" xfId="11217" xr:uid="{00000000-0005-0000-0000-000054330000}"/>
    <cellStyle name="40% - Accent3 4 3 2 2 2 5" xfId="38197" xr:uid="{00000000-0005-0000-0000-000055330000}"/>
    <cellStyle name="40% - Accent3 4 3 2 2 3" xfId="11218" xr:uid="{00000000-0005-0000-0000-000056330000}"/>
    <cellStyle name="40% - Accent3 4 3 2 2 3 2" xfId="11219" xr:uid="{00000000-0005-0000-0000-000057330000}"/>
    <cellStyle name="40% - Accent3 4 3 2 2 4" xfId="11220" xr:uid="{00000000-0005-0000-0000-000058330000}"/>
    <cellStyle name="40% - Accent3 4 3 2 2 5" xfId="11221" xr:uid="{00000000-0005-0000-0000-000059330000}"/>
    <cellStyle name="40% - Accent3 4 3 2 2 6" xfId="38196" xr:uid="{00000000-0005-0000-0000-00005A330000}"/>
    <cellStyle name="40% - Accent3 4 3 2 3" xfId="11222" xr:uid="{00000000-0005-0000-0000-00005B330000}"/>
    <cellStyle name="40% - Accent3 4 3 2 3 2" xfId="11223" xr:uid="{00000000-0005-0000-0000-00005C330000}"/>
    <cellStyle name="40% - Accent3 4 3 2 3 2 2" xfId="11224" xr:uid="{00000000-0005-0000-0000-00005D330000}"/>
    <cellStyle name="40% - Accent3 4 3 2 3 2 2 2" xfId="11225" xr:uid="{00000000-0005-0000-0000-00005E330000}"/>
    <cellStyle name="40% - Accent3 4 3 2 3 2 3" xfId="11226" xr:uid="{00000000-0005-0000-0000-00005F330000}"/>
    <cellStyle name="40% - Accent3 4 3 2 3 2 4" xfId="11227" xr:uid="{00000000-0005-0000-0000-000060330000}"/>
    <cellStyle name="40% - Accent3 4 3 2 3 2 5" xfId="38199" xr:uid="{00000000-0005-0000-0000-000061330000}"/>
    <cellStyle name="40% - Accent3 4 3 2 3 3" xfId="11228" xr:uid="{00000000-0005-0000-0000-000062330000}"/>
    <cellStyle name="40% - Accent3 4 3 2 3 3 2" xfId="11229" xr:uid="{00000000-0005-0000-0000-000063330000}"/>
    <cellStyle name="40% - Accent3 4 3 2 3 4" xfId="11230" xr:uid="{00000000-0005-0000-0000-000064330000}"/>
    <cellStyle name="40% - Accent3 4 3 2 3 5" xfId="11231" xr:uid="{00000000-0005-0000-0000-000065330000}"/>
    <cellStyle name="40% - Accent3 4 3 2 3 6" xfId="38198" xr:uid="{00000000-0005-0000-0000-000066330000}"/>
    <cellStyle name="40% - Accent3 4 3 2 4" xfId="11232" xr:uid="{00000000-0005-0000-0000-000067330000}"/>
    <cellStyle name="40% - Accent3 4 3 2 4 2" xfId="11233" xr:uid="{00000000-0005-0000-0000-000068330000}"/>
    <cellStyle name="40% - Accent3 4 3 2 4 2 2" xfId="11234" xr:uid="{00000000-0005-0000-0000-000069330000}"/>
    <cellStyle name="40% - Accent3 4 3 2 4 3" xfId="11235" xr:uid="{00000000-0005-0000-0000-00006A330000}"/>
    <cellStyle name="40% - Accent3 4 3 2 4 4" xfId="11236" xr:uid="{00000000-0005-0000-0000-00006B330000}"/>
    <cellStyle name="40% - Accent3 4 3 2 4 5" xfId="38200" xr:uid="{00000000-0005-0000-0000-00006C330000}"/>
    <cellStyle name="40% - Accent3 4 3 2 5" xfId="11237" xr:uid="{00000000-0005-0000-0000-00006D330000}"/>
    <cellStyle name="40% - Accent3 4 3 2 5 2" xfId="11238" xr:uid="{00000000-0005-0000-0000-00006E330000}"/>
    <cellStyle name="40% - Accent3 4 3 2 5 2 2" xfId="11239" xr:uid="{00000000-0005-0000-0000-00006F330000}"/>
    <cellStyle name="40% - Accent3 4 3 2 5 3" xfId="11240" xr:uid="{00000000-0005-0000-0000-000070330000}"/>
    <cellStyle name="40% - Accent3 4 3 2 5 4" xfId="11241" xr:uid="{00000000-0005-0000-0000-000071330000}"/>
    <cellStyle name="40% - Accent3 4 3 2 6" xfId="11242" xr:uid="{00000000-0005-0000-0000-000072330000}"/>
    <cellStyle name="40% - Accent3 4 3 2 6 2" xfId="11243" xr:uid="{00000000-0005-0000-0000-000073330000}"/>
    <cellStyle name="40% - Accent3 4 3 2 6 2 2" xfId="11244" xr:uid="{00000000-0005-0000-0000-000074330000}"/>
    <cellStyle name="40% - Accent3 4 3 2 6 3" xfId="11245" xr:uid="{00000000-0005-0000-0000-000075330000}"/>
    <cellStyle name="40% - Accent3 4 3 2 6 4" xfId="11246" xr:uid="{00000000-0005-0000-0000-000076330000}"/>
    <cellStyle name="40% - Accent3 4 3 2 7" xfId="11247" xr:uid="{00000000-0005-0000-0000-000077330000}"/>
    <cellStyle name="40% - Accent3 4 3 2 7 2" xfId="11248" xr:uid="{00000000-0005-0000-0000-000078330000}"/>
    <cellStyle name="40% - Accent3 4 3 2 8" xfId="11249" xr:uid="{00000000-0005-0000-0000-000079330000}"/>
    <cellStyle name="40% - Accent3 4 3 2 9" xfId="11250" xr:uid="{00000000-0005-0000-0000-00007A330000}"/>
    <cellStyle name="40% - Accent3 4 3 3" xfId="11251" xr:uid="{00000000-0005-0000-0000-00007B330000}"/>
    <cellStyle name="40% - Accent3 4 3 3 2" xfId="11252" xr:uid="{00000000-0005-0000-0000-00007C330000}"/>
    <cellStyle name="40% - Accent3 4 3 3 2 2" xfId="11253" xr:uid="{00000000-0005-0000-0000-00007D330000}"/>
    <cellStyle name="40% - Accent3 4 3 3 2 2 2" xfId="11254" xr:uid="{00000000-0005-0000-0000-00007E330000}"/>
    <cellStyle name="40% - Accent3 4 3 3 2 3" xfId="11255" xr:uid="{00000000-0005-0000-0000-00007F330000}"/>
    <cellStyle name="40% - Accent3 4 3 3 2 4" xfId="11256" xr:uid="{00000000-0005-0000-0000-000080330000}"/>
    <cellStyle name="40% - Accent3 4 3 3 2 5" xfId="38202" xr:uid="{00000000-0005-0000-0000-000081330000}"/>
    <cellStyle name="40% - Accent3 4 3 3 3" xfId="11257" xr:uid="{00000000-0005-0000-0000-000082330000}"/>
    <cellStyle name="40% - Accent3 4 3 3 3 2" xfId="11258" xr:uid="{00000000-0005-0000-0000-000083330000}"/>
    <cellStyle name="40% - Accent3 4 3 3 4" xfId="11259" xr:uid="{00000000-0005-0000-0000-000084330000}"/>
    <cellStyle name="40% - Accent3 4 3 3 5" xfId="11260" xr:uid="{00000000-0005-0000-0000-000085330000}"/>
    <cellStyle name="40% - Accent3 4 3 3 6" xfId="38201" xr:uid="{00000000-0005-0000-0000-000086330000}"/>
    <cellStyle name="40% - Accent3 4 3 4" xfId="11261" xr:uid="{00000000-0005-0000-0000-000087330000}"/>
    <cellStyle name="40% - Accent3 4 3 4 2" xfId="11262" xr:uid="{00000000-0005-0000-0000-000088330000}"/>
    <cellStyle name="40% - Accent3 4 3 4 2 2" xfId="11263" xr:uid="{00000000-0005-0000-0000-000089330000}"/>
    <cellStyle name="40% - Accent3 4 3 4 2 2 2" xfId="11264" xr:uid="{00000000-0005-0000-0000-00008A330000}"/>
    <cellStyle name="40% - Accent3 4 3 4 2 3" xfId="11265" xr:uid="{00000000-0005-0000-0000-00008B330000}"/>
    <cellStyle name="40% - Accent3 4 3 4 2 4" xfId="11266" xr:uid="{00000000-0005-0000-0000-00008C330000}"/>
    <cellStyle name="40% - Accent3 4 3 4 2 5" xfId="38204" xr:uid="{00000000-0005-0000-0000-00008D330000}"/>
    <cellStyle name="40% - Accent3 4 3 4 3" xfId="11267" xr:uid="{00000000-0005-0000-0000-00008E330000}"/>
    <cellStyle name="40% - Accent3 4 3 4 3 2" xfId="11268" xr:uid="{00000000-0005-0000-0000-00008F330000}"/>
    <cellStyle name="40% - Accent3 4 3 4 4" xfId="11269" xr:uid="{00000000-0005-0000-0000-000090330000}"/>
    <cellStyle name="40% - Accent3 4 3 4 5" xfId="11270" xr:uid="{00000000-0005-0000-0000-000091330000}"/>
    <cellStyle name="40% - Accent3 4 3 4 6" xfId="38203" xr:uid="{00000000-0005-0000-0000-000092330000}"/>
    <cellStyle name="40% - Accent3 4 3 5" xfId="11271" xr:uid="{00000000-0005-0000-0000-000093330000}"/>
    <cellStyle name="40% - Accent3 4 3 5 2" xfId="11272" xr:uid="{00000000-0005-0000-0000-000094330000}"/>
    <cellStyle name="40% - Accent3 4 3 5 2 2" xfId="11273" xr:uid="{00000000-0005-0000-0000-000095330000}"/>
    <cellStyle name="40% - Accent3 4 3 5 3" xfId="11274" xr:uid="{00000000-0005-0000-0000-000096330000}"/>
    <cellStyle name="40% - Accent3 4 3 5 4" xfId="11275" xr:uid="{00000000-0005-0000-0000-000097330000}"/>
    <cellStyle name="40% - Accent3 4 3 5 5" xfId="38205" xr:uid="{00000000-0005-0000-0000-000098330000}"/>
    <cellStyle name="40% - Accent3 4 3 6" xfId="11276" xr:uid="{00000000-0005-0000-0000-000099330000}"/>
    <cellStyle name="40% - Accent3 4 3 6 2" xfId="11277" xr:uid="{00000000-0005-0000-0000-00009A330000}"/>
    <cellStyle name="40% - Accent3 4 3 6 2 2" xfId="11278" xr:uid="{00000000-0005-0000-0000-00009B330000}"/>
    <cellStyle name="40% - Accent3 4 3 6 3" xfId="11279" xr:uid="{00000000-0005-0000-0000-00009C330000}"/>
    <cellStyle name="40% - Accent3 4 3 6 4" xfId="11280" xr:uid="{00000000-0005-0000-0000-00009D330000}"/>
    <cellStyle name="40% - Accent3 4 3 7" xfId="11281" xr:uid="{00000000-0005-0000-0000-00009E330000}"/>
    <cellStyle name="40% - Accent3 4 3 7 2" xfId="11282" xr:uid="{00000000-0005-0000-0000-00009F330000}"/>
    <cellStyle name="40% - Accent3 4 3 7 2 2" xfId="11283" xr:uid="{00000000-0005-0000-0000-0000A0330000}"/>
    <cellStyle name="40% - Accent3 4 3 7 3" xfId="11284" xr:uid="{00000000-0005-0000-0000-0000A1330000}"/>
    <cellStyle name="40% - Accent3 4 3 7 4" xfId="11285" xr:uid="{00000000-0005-0000-0000-0000A2330000}"/>
    <cellStyle name="40% - Accent3 4 3 8" xfId="11286" xr:uid="{00000000-0005-0000-0000-0000A3330000}"/>
    <cellStyle name="40% - Accent3 4 3 8 2" xfId="11287" xr:uid="{00000000-0005-0000-0000-0000A4330000}"/>
    <cellStyle name="40% - Accent3 4 3 9" xfId="11288" xr:uid="{00000000-0005-0000-0000-0000A5330000}"/>
    <cellStyle name="40% - Accent3 4 4" xfId="11289" xr:uid="{00000000-0005-0000-0000-0000A6330000}"/>
    <cellStyle name="40% - Accent3 4 4 10" xfId="34746" xr:uid="{00000000-0005-0000-0000-0000A7330000}"/>
    <cellStyle name="40% - Accent3 4 4 2" xfId="11290" xr:uid="{00000000-0005-0000-0000-0000A8330000}"/>
    <cellStyle name="40% - Accent3 4 4 2 2" xfId="11291" xr:uid="{00000000-0005-0000-0000-0000A9330000}"/>
    <cellStyle name="40% - Accent3 4 4 2 2 2" xfId="11292" xr:uid="{00000000-0005-0000-0000-0000AA330000}"/>
    <cellStyle name="40% - Accent3 4 4 2 2 2 2" xfId="11293" xr:uid="{00000000-0005-0000-0000-0000AB330000}"/>
    <cellStyle name="40% - Accent3 4 4 2 2 3" xfId="11294" xr:uid="{00000000-0005-0000-0000-0000AC330000}"/>
    <cellStyle name="40% - Accent3 4 4 2 2 4" xfId="11295" xr:uid="{00000000-0005-0000-0000-0000AD330000}"/>
    <cellStyle name="40% - Accent3 4 4 2 2 5" xfId="38207" xr:uid="{00000000-0005-0000-0000-0000AE330000}"/>
    <cellStyle name="40% - Accent3 4 4 2 3" xfId="11296" xr:uid="{00000000-0005-0000-0000-0000AF330000}"/>
    <cellStyle name="40% - Accent3 4 4 2 3 2" xfId="11297" xr:uid="{00000000-0005-0000-0000-0000B0330000}"/>
    <cellStyle name="40% - Accent3 4 4 2 4" xfId="11298" xr:uid="{00000000-0005-0000-0000-0000B1330000}"/>
    <cellStyle name="40% - Accent3 4 4 2 5" xfId="11299" xr:uid="{00000000-0005-0000-0000-0000B2330000}"/>
    <cellStyle name="40% - Accent3 4 4 2 6" xfId="38206" xr:uid="{00000000-0005-0000-0000-0000B3330000}"/>
    <cellStyle name="40% - Accent3 4 4 3" xfId="11300" xr:uid="{00000000-0005-0000-0000-0000B4330000}"/>
    <cellStyle name="40% - Accent3 4 4 3 2" xfId="11301" xr:uid="{00000000-0005-0000-0000-0000B5330000}"/>
    <cellStyle name="40% - Accent3 4 4 3 2 2" xfId="11302" xr:uid="{00000000-0005-0000-0000-0000B6330000}"/>
    <cellStyle name="40% - Accent3 4 4 3 2 2 2" xfId="11303" xr:uid="{00000000-0005-0000-0000-0000B7330000}"/>
    <cellStyle name="40% - Accent3 4 4 3 2 3" xfId="11304" xr:uid="{00000000-0005-0000-0000-0000B8330000}"/>
    <cellStyle name="40% - Accent3 4 4 3 2 4" xfId="11305" xr:uid="{00000000-0005-0000-0000-0000B9330000}"/>
    <cellStyle name="40% - Accent3 4 4 3 2 5" xfId="38209" xr:uid="{00000000-0005-0000-0000-0000BA330000}"/>
    <cellStyle name="40% - Accent3 4 4 3 3" xfId="11306" xr:uid="{00000000-0005-0000-0000-0000BB330000}"/>
    <cellStyle name="40% - Accent3 4 4 3 3 2" xfId="11307" xr:uid="{00000000-0005-0000-0000-0000BC330000}"/>
    <cellStyle name="40% - Accent3 4 4 3 4" xfId="11308" xr:uid="{00000000-0005-0000-0000-0000BD330000}"/>
    <cellStyle name="40% - Accent3 4 4 3 5" xfId="11309" xr:uid="{00000000-0005-0000-0000-0000BE330000}"/>
    <cellStyle name="40% - Accent3 4 4 3 6" xfId="38208" xr:uid="{00000000-0005-0000-0000-0000BF330000}"/>
    <cellStyle name="40% - Accent3 4 4 4" xfId="11310" xr:uid="{00000000-0005-0000-0000-0000C0330000}"/>
    <cellStyle name="40% - Accent3 4 4 4 2" xfId="11311" xr:uid="{00000000-0005-0000-0000-0000C1330000}"/>
    <cellStyle name="40% - Accent3 4 4 4 2 2" xfId="11312" xr:uid="{00000000-0005-0000-0000-0000C2330000}"/>
    <cellStyle name="40% - Accent3 4 4 4 3" xfId="11313" xr:uid="{00000000-0005-0000-0000-0000C3330000}"/>
    <cellStyle name="40% - Accent3 4 4 4 4" xfId="11314" xr:uid="{00000000-0005-0000-0000-0000C4330000}"/>
    <cellStyle name="40% - Accent3 4 4 4 5" xfId="38210" xr:uid="{00000000-0005-0000-0000-0000C5330000}"/>
    <cellStyle name="40% - Accent3 4 4 5" xfId="11315" xr:uid="{00000000-0005-0000-0000-0000C6330000}"/>
    <cellStyle name="40% - Accent3 4 4 5 2" xfId="11316" xr:uid="{00000000-0005-0000-0000-0000C7330000}"/>
    <cellStyle name="40% - Accent3 4 4 5 2 2" xfId="11317" xr:uid="{00000000-0005-0000-0000-0000C8330000}"/>
    <cellStyle name="40% - Accent3 4 4 5 3" xfId="11318" xr:uid="{00000000-0005-0000-0000-0000C9330000}"/>
    <cellStyle name="40% - Accent3 4 4 5 4" xfId="11319" xr:uid="{00000000-0005-0000-0000-0000CA330000}"/>
    <cellStyle name="40% - Accent3 4 4 6" xfId="11320" xr:uid="{00000000-0005-0000-0000-0000CB330000}"/>
    <cellStyle name="40% - Accent3 4 4 6 2" xfId="11321" xr:uid="{00000000-0005-0000-0000-0000CC330000}"/>
    <cellStyle name="40% - Accent3 4 4 6 2 2" xfId="11322" xr:uid="{00000000-0005-0000-0000-0000CD330000}"/>
    <cellStyle name="40% - Accent3 4 4 6 3" xfId="11323" xr:uid="{00000000-0005-0000-0000-0000CE330000}"/>
    <cellStyle name="40% - Accent3 4 4 6 4" xfId="11324" xr:uid="{00000000-0005-0000-0000-0000CF330000}"/>
    <cellStyle name="40% - Accent3 4 4 7" xfId="11325" xr:uid="{00000000-0005-0000-0000-0000D0330000}"/>
    <cellStyle name="40% - Accent3 4 4 7 2" xfId="11326" xr:uid="{00000000-0005-0000-0000-0000D1330000}"/>
    <cellStyle name="40% - Accent3 4 4 8" xfId="11327" xr:uid="{00000000-0005-0000-0000-0000D2330000}"/>
    <cellStyle name="40% - Accent3 4 4 9" xfId="11328" xr:uid="{00000000-0005-0000-0000-0000D3330000}"/>
    <cellStyle name="40% - Accent3 4 5" xfId="11329" xr:uid="{00000000-0005-0000-0000-0000D4330000}"/>
    <cellStyle name="40% - Accent3 4 5 2" xfId="11330" xr:uid="{00000000-0005-0000-0000-0000D5330000}"/>
    <cellStyle name="40% - Accent3 4 5 2 2" xfId="11331" xr:uid="{00000000-0005-0000-0000-0000D6330000}"/>
    <cellStyle name="40% - Accent3 4 5 2 2 2" xfId="11332" xr:uid="{00000000-0005-0000-0000-0000D7330000}"/>
    <cellStyle name="40% - Accent3 4 5 2 3" xfId="11333" xr:uid="{00000000-0005-0000-0000-0000D8330000}"/>
    <cellStyle name="40% - Accent3 4 5 2 4" xfId="11334" xr:uid="{00000000-0005-0000-0000-0000D9330000}"/>
    <cellStyle name="40% - Accent3 4 5 2 5" xfId="38212" xr:uid="{00000000-0005-0000-0000-0000DA330000}"/>
    <cellStyle name="40% - Accent3 4 5 3" xfId="11335" xr:uid="{00000000-0005-0000-0000-0000DB330000}"/>
    <cellStyle name="40% - Accent3 4 5 4" xfId="11336" xr:uid="{00000000-0005-0000-0000-0000DC330000}"/>
    <cellStyle name="40% - Accent3 4 5 4 2" xfId="11337" xr:uid="{00000000-0005-0000-0000-0000DD330000}"/>
    <cellStyle name="40% - Accent3 4 5 5" xfId="11338" xr:uid="{00000000-0005-0000-0000-0000DE330000}"/>
    <cellStyle name="40% - Accent3 4 5 6" xfId="11339" xr:uid="{00000000-0005-0000-0000-0000DF330000}"/>
    <cellStyle name="40% - Accent3 4 5 7" xfId="38211" xr:uid="{00000000-0005-0000-0000-0000E0330000}"/>
    <cellStyle name="40% - Accent3 4 6" xfId="11340" xr:uid="{00000000-0005-0000-0000-0000E1330000}"/>
    <cellStyle name="40% - Accent3 4 6 2" xfId="11341" xr:uid="{00000000-0005-0000-0000-0000E2330000}"/>
    <cellStyle name="40% - Accent3 4 6 2 2" xfId="11342" xr:uid="{00000000-0005-0000-0000-0000E3330000}"/>
    <cellStyle name="40% - Accent3 4 6 2 2 2" xfId="11343" xr:uid="{00000000-0005-0000-0000-0000E4330000}"/>
    <cellStyle name="40% - Accent3 4 6 2 3" xfId="11344" xr:uid="{00000000-0005-0000-0000-0000E5330000}"/>
    <cellStyle name="40% - Accent3 4 6 2 4" xfId="11345" xr:uid="{00000000-0005-0000-0000-0000E6330000}"/>
    <cellStyle name="40% - Accent3 4 6 2 5" xfId="38214" xr:uid="{00000000-0005-0000-0000-0000E7330000}"/>
    <cellStyle name="40% - Accent3 4 6 3" xfId="11346" xr:uid="{00000000-0005-0000-0000-0000E8330000}"/>
    <cellStyle name="40% - Accent3 4 6 3 2" xfId="11347" xr:uid="{00000000-0005-0000-0000-0000E9330000}"/>
    <cellStyle name="40% - Accent3 4 6 3 2 2" xfId="11348" xr:uid="{00000000-0005-0000-0000-0000EA330000}"/>
    <cellStyle name="40% - Accent3 4 6 3 3" xfId="11349" xr:uid="{00000000-0005-0000-0000-0000EB330000}"/>
    <cellStyle name="40% - Accent3 4 6 3 4" xfId="11350" xr:uid="{00000000-0005-0000-0000-0000EC330000}"/>
    <cellStyle name="40% - Accent3 4 6 3 5" xfId="38215" xr:uid="{00000000-0005-0000-0000-0000ED330000}"/>
    <cellStyle name="40% - Accent3 4 6 4" xfId="11351" xr:uid="{00000000-0005-0000-0000-0000EE330000}"/>
    <cellStyle name="40% - Accent3 4 6 4 2" xfId="11352" xr:uid="{00000000-0005-0000-0000-0000EF330000}"/>
    <cellStyle name="40% - Accent3 4 6 5" xfId="11353" xr:uid="{00000000-0005-0000-0000-0000F0330000}"/>
    <cellStyle name="40% - Accent3 4 6 6" xfId="11354" xr:uid="{00000000-0005-0000-0000-0000F1330000}"/>
    <cellStyle name="40% - Accent3 4 6 7" xfId="38213" xr:uid="{00000000-0005-0000-0000-0000F2330000}"/>
    <cellStyle name="40% - Accent3 4 7" xfId="11355" xr:uid="{00000000-0005-0000-0000-0000F3330000}"/>
    <cellStyle name="40% - Accent3 4 7 2" xfId="11356" xr:uid="{00000000-0005-0000-0000-0000F4330000}"/>
    <cellStyle name="40% - Accent3 4 7 2 2" xfId="11357" xr:uid="{00000000-0005-0000-0000-0000F5330000}"/>
    <cellStyle name="40% - Accent3 4 7 3" xfId="11358" xr:uid="{00000000-0005-0000-0000-0000F6330000}"/>
    <cellStyle name="40% - Accent3 4 7 4" xfId="11359" xr:uid="{00000000-0005-0000-0000-0000F7330000}"/>
    <cellStyle name="40% - Accent3 4 7 5" xfId="38216" xr:uid="{00000000-0005-0000-0000-0000F8330000}"/>
    <cellStyle name="40% - Accent3 4 8" xfId="11360" xr:uid="{00000000-0005-0000-0000-0000F9330000}"/>
    <cellStyle name="40% - Accent3 4 8 2" xfId="11361" xr:uid="{00000000-0005-0000-0000-0000FA330000}"/>
    <cellStyle name="40% - Accent3 4 8 2 2" xfId="11362" xr:uid="{00000000-0005-0000-0000-0000FB330000}"/>
    <cellStyle name="40% - Accent3 4 8 3" xfId="11363" xr:uid="{00000000-0005-0000-0000-0000FC330000}"/>
    <cellStyle name="40% - Accent3 4 8 4" xfId="11364" xr:uid="{00000000-0005-0000-0000-0000FD330000}"/>
    <cellStyle name="40% - Accent3 4 9" xfId="11365" xr:uid="{00000000-0005-0000-0000-0000FE330000}"/>
    <cellStyle name="40% - Accent3 4 9 2" xfId="11366" xr:uid="{00000000-0005-0000-0000-0000FF330000}"/>
    <cellStyle name="40% - Accent3 4 9 2 2" xfId="11367" xr:uid="{00000000-0005-0000-0000-000000340000}"/>
    <cellStyle name="40% - Accent3 4 9 3" xfId="11368" xr:uid="{00000000-0005-0000-0000-000001340000}"/>
    <cellStyle name="40% - Accent3 4 9 4" xfId="11369" xr:uid="{00000000-0005-0000-0000-000002340000}"/>
    <cellStyle name="40% - Accent3 5" xfId="11370" xr:uid="{00000000-0005-0000-0000-000003340000}"/>
    <cellStyle name="40% - Accent3 5 10" xfId="11371" xr:uid="{00000000-0005-0000-0000-000004340000}"/>
    <cellStyle name="40% - Accent3 5 10 2" xfId="11372" xr:uid="{00000000-0005-0000-0000-000005340000}"/>
    <cellStyle name="40% - Accent3 5 11" xfId="11373" xr:uid="{00000000-0005-0000-0000-000006340000}"/>
    <cellStyle name="40% - Accent3 5 12" xfId="11374" xr:uid="{00000000-0005-0000-0000-000007340000}"/>
    <cellStyle name="40% - Accent3 5 13" xfId="34747" xr:uid="{00000000-0005-0000-0000-000008340000}"/>
    <cellStyle name="40% - Accent3 5 2" xfId="11375" xr:uid="{00000000-0005-0000-0000-000009340000}"/>
    <cellStyle name="40% - Accent3 5 2 10" xfId="11376" xr:uid="{00000000-0005-0000-0000-00000A340000}"/>
    <cellStyle name="40% - Accent3 5 2 11" xfId="11377" xr:uid="{00000000-0005-0000-0000-00000B340000}"/>
    <cellStyle name="40% - Accent3 5 2 12" xfId="34748" xr:uid="{00000000-0005-0000-0000-00000C340000}"/>
    <cellStyle name="40% - Accent3 5 2 2" xfId="11378" xr:uid="{00000000-0005-0000-0000-00000D340000}"/>
    <cellStyle name="40% - Accent3 5 2 2 10" xfId="11379" xr:uid="{00000000-0005-0000-0000-00000E340000}"/>
    <cellStyle name="40% - Accent3 5 2 2 11" xfId="34749" xr:uid="{00000000-0005-0000-0000-00000F340000}"/>
    <cellStyle name="40% - Accent3 5 2 2 2" xfId="11380" xr:uid="{00000000-0005-0000-0000-000010340000}"/>
    <cellStyle name="40% - Accent3 5 2 2 2 10" xfId="34750" xr:uid="{00000000-0005-0000-0000-000011340000}"/>
    <cellStyle name="40% - Accent3 5 2 2 2 2" xfId="11381" xr:uid="{00000000-0005-0000-0000-000012340000}"/>
    <cellStyle name="40% - Accent3 5 2 2 2 2 2" xfId="11382" xr:uid="{00000000-0005-0000-0000-000013340000}"/>
    <cellStyle name="40% - Accent3 5 2 2 2 2 2 2" xfId="11383" xr:uid="{00000000-0005-0000-0000-000014340000}"/>
    <cellStyle name="40% - Accent3 5 2 2 2 2 2 2 2" xfId="11384" xr:uid="{00000000-0005-0000-0000-000015340000}"/>
    <cellStyle name="40% - Accent3 5 2 2 2 2 2 3" xfId="11385" xr:uid="{00000000-0005-0000-0000-000016340000}"/>
    <cellStyle name="40% - Accent3 5 2 2 2 2 2 4" xfId="11386" xr:uid="{00000000-0005-0000-0000-000017340000}"/>
    <cellStyle name="40% - Accent3 5 2 2 2 2 2 5" xfId="38218" xr:uid="{00000000-0005-0000-0000-000018340000}"/>
    <cellStyle name="40% - Accent3 5 2 2 2 2 3" xfId="11387" xr:uid="{00000000-0005-0000-0000-000019340000}"/>
    <cellStyle name="40% - Accent3 5 2 2 2 2 3 2" xfId="11388" xr:uid="{00000000-0005-0000-0000-00001A340000}"/>
    <cellStyle name="40% - Accent3 5 2 2 2 2 4" xfId="11389" xr:uid="{00000000-0005-0000-0000-00001B340000}"/>
    <cellStyle name="40% - Accent3 5 2 2 2 2 5" xfId="11390" xr:uid="{00000000-0005-0000-0000-00001C340000}"/>
    <cellStyle name="40% - Accent3 5 2 2 2 2 6" xfId="38217" xr:uid="{00000000-0005-0000-0000-00001D340000}"/>
    <cellStyle name="40% - Accent3 5 2 2 2 3" xfId="11391" xr:uid="{00000000-0005-0000-0000-00001E340000}"/>
    <cellStyle name="40% - Accent3 5 2 2 2 3 2" xfId="11392" xr:uid="{00000000-0005-0000-0000-00001F340000}"/>
    <cellStyle name="40% - Accent3 5 2 2 2 3 2 2" xfId="11393" xr:uid="{00000000-0005-0000-0000-000020340000}"/>
    <cellStyle name="40% - Accent3 5 2 2 2 3 2 2 2" xfId="11394" xr:uid="{00000000-0005-0000-0000-000021340000}"/>
    <cellStyle name="40% - Accent3 5 2 2 2 3 2 3" xfId="11395" xr:uid="{00000000-0005-0000-0000-000022340000}"/>
    <cellStyle name="40% - Accent3 5 2 2 2 3 2 4" xfId="11396" xr:uid="{00000000-0005-0000-0000-000023340000}"/>
    <cellStyle name="40% - Accent3 5 2 2 2 3 2 5" xfId="38220" xr:uid="{00000000-0005-0000-0000-000024340000}"/>
    <cellStyle name="40% - Accent3 5 2 2 2 3 3" xfId="11397" xr:uid="{00000000-0005-0000-0000-000025340000}"/>
    <cellStyle name="40% - Accent3 5 2 2 2 3 3 2" xfId="11398" xr:uid="{00000000-0005-0000-0000-000026340000}"/>
    <cellStyle name="40% - Accent3 5 2 2 2 3 4" xfId="11399" xr:uid="{00000000-0005-0000-0000-000027340000}"/>
    <cellStyle name="40% - Accent3 5 2 2 2 3 5" xfId="11400" xr:uid="{00000000-0005-0000-0000-000028340000}"/>
    <cellStyle name="40% - Accent3 5 2 2 2 3 6" xfId="38219" xr:uid="{00000000-0005-0000-0000-000029340000}"/>
    <cellStyle name="40% - Accent3 5 2 2 2 4" xfId="11401" xr:uid="{00000000-0005-0000-0000-00002A340000}"/>
    <cellStyle name="40% - Accent3 5 2 2 2 4 2" xfId="11402" xr:uid="{00000000-0005-0000-0000-00002B340000}"/>
    <cellStyle name="40% - Accent3 5 2 2 2 4 2 2" xfId="11403" xr:uid="{00000000-0005-0000-0000-00002C340000}"/>
    <cellStyle name="40% - Accent3 5 2 2 2 4 3" xfId="11404" xr:uid="{00000000-0005-0000-0000-00002D340000}"/>
    <cellStyle name="40% - Accent3 5 2 2 2 4 4" xfId="11405" xr:uid="{00000000-0005-0000-0000-00002E340000}"/>
    <cellStyle name="40% - Accent3 5 2 2 2 4 5" xfId="38221" xr:uid="{00000000-0005-0000-0000-00002F340000}"/>
    <cellStyle name="40% - Accent3 5 2 2 2 5" xfId="11406" xr:uid="{00000000-0005-0000-0000-000030340000}"/>
    <cellStyle name="40% - Accent3 5 2 2 2 5 2" xfId="11407" xr:uid="{00000000-0005-0000-0000-000031340000}"/>
    <cellStyle name="40% - Accent3 5 2 2 2 5 2 2" xfId="11408" xr:uid="{00000000-0005-0000-0000-000032340000}"/>
    <cellStyle name="40% - Accent3 5 2 2 2 5 3" xfId="11409" xr:uid="{00000000-0005-0000-0000-000033340000}"/>
    <cellStyle name="40% - Accent3 5 2 2 2 5 4" xfId="11410" xr:uid="{00000000-0005-0000-0000-000034340000}"/>
    <cellStyle name="40% - Accent3 5 2 2 2 6" xfId="11411" xr:uid="{00000000-0005-0000-0000-000035340000}"/>
    <cellStyle name="40% - Accent3 5 2 2 2 6 2" xfId="11412" xr:uid="{00000000-0005-0000-0000-000036340000}"/>
    <cellStyle name="40% - Accent3 5 2 2 2 6 2 2" xfId="11413" xr:uid="{00000000-0005-0000-0000-000037340000}"/>
    <cellStyle name="40% - Accent3 5 2 2 2 6 3" xfId="11414" xr:uid="{00000000-0005-0000-0000-000038340000}"/>
    <cellStyle name="40% - Accent3 5 2 2 2 6 4" xfId="11415" xr:uid="{00000000-0005-0000-0000-000039340000}"/>
    <cellStyle name="40% - Accent3 5 2 2 2 7" xfId="11416" xr:uid="{00000000-0005-0000-0000-00003A340000}"/>
    <cellStyle name="40% - Accent3 5 2 2 2 7 2" xfId="11417" xr:uid="{00000000-0005-0000-0000-00003B340000}"/>
    <cellStyle name="40% - Accent3 5 2 2 2 8" xfId="11418" xr:uid="{00000000-0005-0000-0000-00003C340000}"/>
    <cellStyle name="40% - Accent3 5 2 2 2 9" xfId="11419" xr:uid="{00000000-0005-0000-0000-00003D340000}"/>
    <cellStyle name="40% - Accent3 5 2 2 3" xfId="11420" xr:uid="{00000000-0005-0000-0000-00003E340000}"/>
    <cellStyle name="40% - Accent3 5 2 2 3 2" xfId="11421" xr:uid="{00000000-0005-0000-0000-00003F340000}"/>
    <cellStyle name="40% - Accent3 5 2 2 3 2 2" xfId="11422" xr:uid="{00000000-0005-0000-0000-000040340000}"/>
    <cellStyle name="40% - Accent3 5 2 2 3 2 2 2" xfId="11423" xr:uid="{00000000-0005-0000-0000-000041340000}"/>
    <cellStyle name="40% - Accent3 5 2 2 3 2 3" xfId="11424" xr:uid="{00000000-0005-0000-0000-000042340000}"/>
    <cellStyle name="40% - Accent3 5 2 2 3 2 4" xfId="11425" xr:uid="{00000000-0005-0000-0000-000043340000}"/>
    <cellStyle name="40% - Accent3 5 2 2 3 2 5" xfId="38223" xr:uid="{00000000-0005-0000-0000-000044340000}"/>
    <cellStyle name="40% - Accent3 5 2 2 3 3" xfId="11426" xr:uid="{00000000-0005-0000-0000-000045340000}"/>
    <cellStyle name="40% - Accent3 5 2 2 3 3 2" xfId="11427" xr:uid="{00000000-0005-0000-0000-000046340000}"/>
    <cellStyle name="40% - Accent3 5 2 2 3 4" xfId="11428" xr:uid="{00000000-0005-0000-0000-000047340000}"/>
    <cellStyle name="40% - Accent3 5 2 2 3 5" xfId="11429" xr:uid="{00000000-0005-0000-0000-000048340000}"/>
    <cellStyle name="40% - Accent3 5 2 2 3 6" xfId="38222" xr:uid="{00000000-0005-0000-0000-000049340000}"/>
    <cellStyle name="40% - Accent3 5 2 2 4" xfId="11430" xr:uid="{00000000-0005-0000-0000-00004A340000}"/>
    <cellStyle name="40% - Accent3 5 2 2 4 2" xfId="11431" xr:uid="{00000000-0005-0000-0000-00004B340000}"/>
    <cellStyle name="40% - Accent3 5 2 2 4 2 2" xfId="11432" xr:uid="{00000000-0005-0000-0000-00004C340000}"/>
    <cellStyle name="40% - Accent3 5 2 2 4 2 2 2" xfId="11433" xr:uid="{00000000-0005-0000-0000-00004D340000}"/>
    <cellStyle name="40% - Accent3 5 2 2 4 2 3" xfId="11434" xr:uid="{00000000-0005-0000-0000-00004E340000}"/>
    <cellStyle name="40% - Accent3 5 2 2 4 2 4" xfId="11435" xr:uid="{00000000-0005-0000-0000-00004F340000}"/>
    <cellStyle name="40% - Accent3 5 2 2 4 2 5" xfId="38225" xr:uid="{00000000-0005-0000-0000-000050340000}"/>
    <cellStyle name="40% - Accent3 5 2 2 4 3" xfId="11436" xr:uid="{00000000-0005-0000-0000-000051340000}"/>
    <cellStyle name="40% - Accent3 5 2 2 4 3 2" xfId="11437" xr:uid="{00000000-0005-0000-0000-000052340000}"/>
    <cellStyle name="40% - Accent3 5 2 2 4 4" xfId="11438" xr:uid="{00000000-0005-0000-0000-000053340000}"/>
    <cellStyle name="40% - Accent3 5 2 2 4 5" xfId="11439" xr:uid="{00000000-0005-0000-0000-000054340000}"/>
    <cellStyle name="40% - Accent3 5 2 2 4 6" xfId="38224" xr:uid="{00000000-0005-0000-0000-000055340000}"/>
    <cellStyle name="40% - Accent3 5 2 2 5" xfId="11440" xr:uid="{00000000-0005-0000-0000-000056340000}"/>
    <cellStyle name="40% - Accent3 5 2 2 5 2" xfId="11441" xr:uid="{00000000-0005-0000-0000-000057340000}"/>
    <cellStyle name="40% - Accent3 5 2 2 5 2 2" xfId="11442" xr:uid="{00000000-0005-0000-0000-000058340000}"/>
    <cellStyle name="40% - Accent3 5 2 2 5 3" xfId="11443" xr:uid="{00000000-0005-0000-0000-000059340000}"/>
    <cellStyle name="40% - Accent3 5 2 2 5 4" xfId="11444" xr:uid="{00000000-0005-0000-0000-00005A340000}"/>
    <cellStyle name="40% - Accent3 5 2 2 5 5" xfId="38226" xr:uid="{00000000-0005-0000-0000-00005B340000}"/>
    <cellStyle name="40% - Accent3 5 2 2 6" xfId="11445" xr:uid="{00000000-0005-0000-0000-00005C340000}"/>
    <cellStyle name="40% - Accent3 5 2 2 6 2" xfId="11446" xr:uid="{00000000-0005-0000-0000-00005D340000}"/>
    <cellStyle name="40% - Accent3 5 2 2 6 2 2" xfId="11447" xr:uid="{00000000-0005-0000-0000-00005E340000}"/>
    <cellStyle name="40% - Accent3 5 2 2 6 3" xfId="11448" xr:uid="{00000000-0005-0000-0000-00005F340000}"/>
    <cellStyle name="40% - Accent3 5 2 2 6 4" xfId="11449" xr:uid="{00000000-0005-0000-0000-000060340000}"/>
    <cellStyle name="40% - Accent3 5 2 2 7" xfId="11450" xr:uid="{00000000-0005-0000-0000-000061340000}"/>
    <cellStyle name="40% - Accent3 5 2 2 7 2" xfId="11451" xr:uid="{00000000-0005-0000-0000-000062340000}"/>
    <cellStyle name="40% - Accent3 5 2 2 7 2 2" xfId="11452" xr:uid="{00000000-0005-0000-0000-000063340000}"/>
    <cellStyle name="40% - Accent3 5 2 2 7 3" xfId="11453" xr:uid="{00000000-0005-0000-0000-000064340000}"/>
    <cellStyle name="40% - Accent3 5 2 2 7 4" xfId="11454" xr:uid="{00000000-0005-0000-0000-000065340000}"/>
    <cellStyle name="40% - Accent3 5 2 2 8" xfId="11455" xr:uid="{00000000-0005-0000-0000-000066340000}"/>
    <cellStyle name="40% - Accent3 5 2 2 8 2" xfId="11456" xr:uid="{00000000-0005-0000-0000-000067340000}"/>
    <cellStyle name="40% - Accent3 5 2 2 9" xfId="11457" xr:uid="{00000000-0005-0000-0000-000068340000}"/>
    <cellStyle name="40% - Accent3 5 2 3" xfId="11458" xr:uid="{00000000-0005-0000-0000-000069340000}"/>
    <cellStyle name="40% - Accent3 5 2 3 10" xfId="34751" xr:uid="{00000000-0005-0000-0000-00006A340000}"/>
    <cellStyle name="40% - Accent3 5 2 3 2" xfId="11459" xr:uid="{00000000-0005-0000-0000-00006B340000}"/>
    <cellStyle name="40% - Accent3 5 2 3 2 2" xfId="11460" xr:uid="{00000000-0005-0000-0000-00006C340000}"/>
    <cellStyle name="40% - Accent3 5 2 3 2 2 2" xfId="11461" xr:uid="{00000000-0005-0000-0000-00006D340000}"/>
    <cellStyle name="40% - Accent3 5 2 3 2 2 2 2" xfId="11462" xr:uid="{00000000-0005-0000-0000-00006E340000}"/>
    <cellStyle name="40% - Accent3 5 2 3 2 2 3" xfId="11463" xr:uid="{00000000-0005-0000-0000-00006F340000}"/>
    <cellStyle name="40% - Accent3 5 2 3 2 2 4" xfId="11464" xr:uid="{00000000-0005-0000-0000-000070340000}"/>
    <cellStyle name="40% - Accent3 5 2 3 2 2 5" xfId="38228" xr:uid="{00000000-0005-0000-0000-000071340000}"/>
    <cellStyle name="40% - Accent3 5 2 3 2 3" xfId="11465" xr:uid="{00000000-0005-0000-0000-000072340000}"/>
    <cellStyle name="40% - Accent3 5 2 3 2 3 2" xfId="11466" xr:uid="{00000000-0005-0000-0000-000073340000}"/>
    <cellStyle name="40% - Accent3 5 2 3 2 4" xfId="11467" xr:uid="{00000000-0005-0000-0000-000074340000}"/>
    <cellStyle name="40% - Accent3 5 2 3 2 5" xfId="11468" xr:uid="{00000000-0005-0000-0000-000075340000}"/>
    <cellStyle name="40% - Accent3 5 2 3 2 6" xfId="38227" xr:uid="{00000000-0005-0000-0000-000076340000}"/>
    <cellStyle name="40% - Accent3 5 2 3 3" xfId="11469" xr:uid="{00000000-0005-0000-0000-000077340000}"/>
    <cellStyle name="40% - Accent3 5 2 3 3 2" xfId="11470" xr:uid="{00000000-0005-0000-0000-000078340000}"/>
    <cellStyle name="40% - Accent3 5 2 3 3 2 2" xfId="11471" xr:uid="{00000000-0005-0000-0000-000079340000}"/>
    <cellStyle name="40% - Accent3 5 2 3 3 2 2 2" xfId="11472" xr:uid="{00000000-0005-0000-0000-00007A340000}"/>
    <cellStyle name="40% - Accent3 5 2 3 3 2 3" xfId="11473" xr:uid="{00000000-0005-0000-0000-00007B340000}"/>
    <cellStyle name="40% - Accent3 5 2 3 3 2 4" xfId="11474" xr:uid="{00000000-0005-0000-0000-00007C340000}"/>
    <cellStyle name="40% - Accent3 5 2 3 3 2 5" xfId="38230" xr:uid="{00000000-0005-0000-0000-00007D340000}"/>
    <cellStyle name="40% - Accent3 5 2 3 3 3" xfId="11475" xr:uid="{00000000-0005-0000-0000-00007E340000}"/>
    <cellStyle name="40% - Accent3 5 2 3 3 3 2" xfId="11476" xr:uid="{00000000-0005-0000-0000-00007F340000}"/>
    <cellStyle name="40% - Accent3 5 2 3 3 4" xfId="11477" xr:uid="{00000000-0005-0000-0000-000080340000}"/>
    <cellStyle name="40% - Accent3 5 2 3 3 5" xfId="11478" xr:uid="{00000000-0005-0000-0000-000081340000}"/>
    <cellStyle name="40% - Accent3 5 2 3 3 6" xfId="38229" xr:uid="{00000000-0005-0000-0000-000082340000}"/>
    <cellStyle name="40% - Accent3 5 2 3 4" xfId="11479" xr:uid="{00000000-0005-0000-0000-000083340000}"/>
    <cellStyle name="40% - Accent3 5 2 3 4 2" xfId="11480" xr:uid="{00000000-0005-0000-0000-000084340000}"/>
    <cellStyle name="40% - Accent3 5 2 3 4 2 2" xfId="11481" xr:uid="{00000000-0005-0000-0000-000085340000}"/>
    <cellStyle name="40% - Accent3 5 2 3 4 3" xfId="11482" xr:uid="{00000000-0005-0000-0000-000086340000}"/>
    <cellStyle name="40% - Accent3 5 2 3 4 4" xfId="11483" xr:uid="{00000000-0005-0000-0000-000087340000}"/>
    <cellStyle name="40% - Accent3 5 2 3 4 5" xfId="38231" xr:uid="{00000000-0005-0000-0000-000088340000}"/>
    <cellStyle name="40% - Accent3 5 2 3 5" xfId="11484" xr:uid="{00000000-0005-0000-0000-000089340000}"/>
    <cellStyle name="40% - Accent3 5 2 3 5 2" xfId="11485" xr:uid="{00000000-0005-0000-0000-00008A340000}"/>
    <cellStyle name="40% - Accent3 5 2 3 5 2 2" xfId="11486" xr:uid="{00000000-0005-0000-0000-00008B340000}"/>
    <cellStyle name="40% - Accent3 5 2 3 5 3" xfId="11487" xr:uid="{00000000-0005-0000-0000-00008C340000}"/>
    <cellStyle name="40% - Accent3 5 2 3 5 4" xfId="11488" xr:uid="{00000000-0005-0000-0000-00008D340000}"/>
    <cellStyle name="40% - Accent3 5 2 3 6" xfId="11489" xr:uid="{00000000-0005-0000-0000-00008E340000}"/>
    <cellStyle name="40% - Accent3 5 2 3 6 2" xfId="11490" xr:uid="{00000000-0005-0000-0000-00008F340000}"/>
    <cellStyle name="40% - Accent3 5 2 3 6 2 2" xfId="11491" xr:uid="{00000000-0005-0000-0000-000090340000}"/>
    <cellStyle name="40% - Accent3 5 2 3 6 3" xfId="11492" xr:uid="{00000000-0005-0000-0000-000091340000}"/>
    <cellStyle name="40% - Accent3 5 2 3 6 4" xfId="11493" xr:uid="{00000000-0005-0000-0000-000092340000}"/>
    <cellStyle name="40% - Accent3 5 2 3 7" xfId="11494" xr:uid="{00000000-0005-0000-0000-000093340000}"/>
    <cellStyle name="40% - Accent3 5 2 3 7 2" xfId="11495" xr:uid="{00000000-0005-0000-0000-000094340000}"/>
    <cellStyle name="40% - Accent3 5 2 3 8" xfId="11496" xr:uid="{00000000-0005-0000-0000-000095340000}"/>
    <cellStyle name="40% - Accent3 5 2 3 9" xfId="11497" xr:uid="{00000000-0005-0000-0000-000096340000}"/>
    <cellStyle name="40% - Accent3 5 2 4" xfId="11498" xr:uid="{00000000-0005-0000-0000-000097340000}"/>
    <cellStyle name="40% - Accent3 5 2 4 2" xfId="11499" xr:uid="{00000000-0005-0000-0000-000098340000}"/>
    <cellStyle name="40% - Accent3 5 2 4 2 2" xfId="11500" xr:uid="{00000000-0005-0000-0000-000099340000}"/>
    <cellStyle name="40% - Accent3 5 2 4 2 2 2" xfId="11501" xr:uid="{00000000-0005-0000-0000-00009A340000}"/>
    <cellStyle name="40% - Accent3 5 2 4 2 3" xfId="11502" xr:uid="{00000000-0005-0000-0000-00009B340000}"/>
    <cellStyle name="40% - Accent3 5 2 4 2 4" xfId="11503" xr:uid="{00000000-0005-0000-0000-00009C340000}"/>
    <cellStyle name="40% - Accent3 5 2 4 2 5" xfId="38233" xr:uid="{00000000-0005-0000-0000-00009D340000}"/>
    <cellStyle name="40% - Accent3 5 2 4 3" xfId="11504" xr:uid="{00000000-0005-0000-0000-00009E340000}"/>
    <cellStyle name="40% - Accent3 5 2 4 3 2" xfId="11505" xr:uid="{00000000-0005-0000-0000-00009F340000}"/>
    <cellStyle name="40% - Accent3 5 2 4 4" xfId="11506" xr:uid="{00000000-0005-0000-0000-0000A0340000}"/>
    <cellStyle name="40% - Accent3 5 2 4 5" xfId="11507" xr:uid="{00000000-0005-0000-0000-0000A1340000}"/>
    <cellStyle name="40% - Accent3 5 2 4 6" xfId="38232" xr:uid="{00000000-0005-0000-0000-0000A2340000}"/>
    <cellStyle name="40% - Accent3 5 2 5" xfId="11508" xr:uid="{00000000-0005-0000-0000-0000A3340000}"/>
    <cellStyle name="40% - Accent3 5 2 5 2" xfId="11509" xr:uid="{00000000-0005-0000-0000-0000A4340000}"/>
    <cellStyle name="40% - Accent3 5 2 5 2 2" xfId="11510" xr:uid="{00000000-0005-0000-0000-0000A5340000}"/>
    <cellStyle name="40% - Accent3 5 2 5 2 2 2" xfId="11511" xr:uid="{00000000-0005-0000-0000-0000A6340000}"/>
    <cellStyle name="40% - Accent3 5 2 5 2 3" xfId="11512" xr:uid="{00000000-0005-0000-0000-0000A7340000}"/>
    <cellStyle name="40% - Accent3 5 2 5 2 4" xfId="11513" xr:uid="{00000000-0005-0000-0000-0000A8340000}"/>
    <cellStyle name="40% - Accent3 5 2 5 2 5" xfId="38235" xr:uid="{00000000-0005-0000-0000-0000A9340000}"/>
    <cellStyle name="40% - Accent3 5 2 5 3" xfId="11514" xr:uid="{00000000-0005-0000-0000-0000AA340000}"/>
    <cellStyle name="40% - Accent3 5 2 5 3 2" xfId="11515" xr:uid="{00000000-0005-0000-0000-0000AB340000}"/>
    <cellStyle name="40% - Accent3 5 2 5 4" xfId="11516" xr:uid="{00000000-0005-0000-0000-0000AC340000}"/>
    <cellStyle name="40% - Accent3 5 2 5 5" xfId="11517" xr:uid="{00000000-0005-0000-0000-0000AD340000}"/>
    <cellStyle name="40% - Accent3 5 2 5 6" xfId="38234" xr:uid="{00000000-0005-0000-0000-0000AE340000}"/>
    <cellStyle name="40% - Accent3 5 2 6" xfId="11518" xr:uid="{00000000-0005-0000-0000-0000AF340000}"/>
    <cellStyle name="40% - Accent3 5 2 6 2" xfId="11519" xr:uid="{00000000-0005-0000-0000-0000B0340000}"/>
    <cellStyle name="40% - Accent3 5 2 6 2 2" xfId="11520" xr:uid="{00000000-0005-0000-0000-0000B1340000}"/>
    <cellStyle name="40% - Accent3 5 2 6 3" xfId="11521" xr:uid="{00000000-0005-0000-0000-0000B2340000}"/>
    <cellStyle name="40% - Accent3 5 2 6 4" xfId="11522" xr:uid="{00000000-0005-0000-0000-0000B3340000}"/>
    <cellStyle name="40% - Accent3 5 2 6 5" xfId="38236" xr:uid="{00000000-0005-0000-0000-0000B4340000}"/>
    <cellStyle name="40% - Accent3 5 2 7" xfId="11523" xr:uid="{00000000-0005-0000-0000-0000B5340000}"/>
    <cellStyle name="40% - Accent3 5 2 7 2" xfId="11524" xr:uid="{00000000-0005-0000-0000-0000B6340000}"/>
    <cellStyle name="40% - Accent3 5 2 7 2 2" xfId="11525" xr:uid="{00000000-0005-0000-0000-0000B7340000}"/>
    <cellStyle name="40% - Accent3 5 2 7 3" xfId="11526" xr:uid="{00000000-0005-0000-0000-0000B8340000}"/>
    <cellStyle name="40% - Accent3 5 2 7 4" xfId="11527" xr:uid="{00000000-0005-0000-0000-0000B9340000}"/>
    <cellStyle name="40% - Accent3 5 2 8" xfId="11528" xr:uid="{00000000-0005-0000-0000-0000BA340000}"/>
    <cellStyle name="40% - Accent3 5 2 8 2" xfId="11529" xr:uid="{00000000-0005-0000-0000-0000BB340000}"/>
    <cellStyle name="40% - Accent3 5 2 8 2 2" xfId="11530" xr:uid="{00000000-0005-0000-0000-0000BC340000}"/>
    <cellStyle name="40% - Accent3 5 2 8 3" xfId="11531" xr:uid="{00000000-0005-0000-0000-0000BD340000}"/>
    <cellStyle name="40% - Accent3 5 2 8 4" xfId="11532" xr:uid="{00000000-0005-0000-0000-0000BE340000}"/>
    <cellStyle name="40% - Accent3 5 2 9" xfId="11533" xr:uid="{00000000-0005-0000-0000-0000BF340000}"/>
    <cellStyle name="40% - Accent3 5 2 9 2" xfId="11534" xr:uid="{00000000-0005-0000-0000-0000C0340000}"/>
    <cellStyle name="40% - Accent3 5 3" xfId="11535" xr:uid="{00000000-0005-0000-0000-0000C1340000}"/>
    <cellStyle name="40% - Accent3 5 3 10" xfId="11536" xr:uid="{00000000-0005-0000-0000-0000C2340000}"/>
    <cellStyle name="40% - Accent3 5 3 11" xfId="34752" xr:uid="{00000000-0005-0000-0000-0000C3340000}"/>
    <cellStyle name="40% - Accent3 5 3 2" xfId="11537" xr:uid="{00000000-0005-0000-0000-0000C4340000}"/>
    <cellStyle name="40% - Accent3 5 3 2 10" xfId="34753" xr:uid="{00000000-0005-0000-0000-0000C5340000}"/>
    <cellStyle name="40% - Accent3 5 3 2 2" xfId="11538" xr:uid="{00000000-0005-0000-0000-0000C6340000}"/>
    <cellStyle name="40% - Accent3 5 3 2 2 2" xfId="11539" xr:uid="{00000000-0005-0000-0000-0000C7340000}"/>
    <cellStyle name="40% - Accent3 5 3 2 2 2 2" xfId="11540" xr:uid="{00000000-0005-0000-0000-0000C8340000}"/>
    <cellStyle name="40% - Accent3 5 3 2 2 2 2 2" xfId="11541" xr:uid="{00000000-0005-0000-0000-0000C9340000}"/>
    <cellStyle name="40% - Accent3 5 3 2 2 2 3" xfId="11542" xr:uid="{00000000-0005-0000-0000-0000CA340000}"/>
    <cellStyle name="40% - Accent3 5 3 2 2 2 4" xfId="11543" xr:uid="{00000000-0005-0000-0000-0000CB340000}"/>
    <cellStyle name="40% - Accent3 5 3 2 2 2 5" xfId="38238" xr:uid="{00000000-0005-0000-0000-0000CC340000}"/>
    <cellStyle name="40% - Accent3 5 3 2 2 3" xfId="11544" xr:uid="{00000000-0005-0000-0000-0000CD340000}"/>
    <cellStyle name="40% - Accent3 5 3 2 2 3 2" xfId="11545" xr:uid="{00000000-0005-0000-0000-0000CE340000}"/>
    <cellStyle name="40% - Accent3 5 3 2 2 4" xfId="11546" xr:uid="{00000000-0005-0000-0000-0000CF340000}"/>
    <cellStyle name="40% - Accent3 5 3 2 2 5" xfId="11547" xr:uid="{00000000-0005-0000-0000-0000D0340000}"/>
    <cellStyle name="40% - Accent3 5 3 2 2 6" xfId="38237" xr:uid="{00000000-0005-0000-0000-0000D1340000}"/>
    <cellStyle name="40% - Accent3 5 3 2 3" xfId="11548" xr:uid="{00000000-0005-0000-0000-0000D2340000}"/>
    <cellStyle name="40% - Accent3 5 3 2 3 2" xfId="11549" xr:uid="{00000000-0005-0000-0000-0000D3340000}"/>
    <cellStyle name="40% - Accent3 5 3 2 3 2 2" xfId="11550" xr:uid="{00000000-0005-0000-0000-0000D4340000}"/>
    <cellStyle name="40% - Accent3 5 3 2 3 2 2 2" xfId="11551" xr:uid="{00000000-0005-0000-0000-0000D5340000}"/>
    <cellStyle name="40% - Accent3 5 3 2 3 2 3" xfId="11552" xr:uid="{00000000-0005-0000-0000-0000D6340000}"/>
    <cellStyle name="40% - Accent3 5 3 2 3 2 4" xfId="11553" xr:uid="{00000000-0005-0000-0000-0000D7340000}"/>
    <cellStyle name="40% - Accent3 5 3 2 3 2 5" xfId="38240" xr:uid="{00000000-0005-0000-0000-0000D8340000}"/>
    <cellStyle name="40% - Accent3 5 3 2 3 3" xfId="11554" xr:uid="{00000000-0005-0000-0000-0000D9340000}"/>
    <cellStyle name="40% - Accent3 5 3 2 3 3 2" xfId="11555" xr:uid="{00000000-0005-0000-0000-0000DA340000}"/>
    <cellStyle name="40% - Accent3 5 3 2 3 4" xfId="11556" xr:uid="{00000000-0005-0000-0000-0000DB340000}"/>
    <cellStyle name="40% - Accent3 5 3 2 3 5" xfId="11557" xr:uid="{00000000-0005-0000-0000-0000DC340000}"/>
    <cellStyle name="40% - Accent3 5 3 2 3 6" xfId="38239" xr:uid="{00000000-0005-0000-0000-0000DD340000}"/>
    <cellStyle name="40% - Accent3 5 3 2 4" xfId="11558" xr:uid="{00000000-0005-0000-0000-0000DE340000}"/>
    <cellStyle name="40% - Accent3 5 3 2 4 2" xfId="11559" xr:uid="{00000000-0005-0000-0000-0000DF340000}"/>
    <cellStyle name="40% - Accent3 5 3 2 4 2 2" xfId="11560" xr:uid="{00000000-0005-0000-0000-0000E0340000}"/>
    <cellStyle name="40% - Accent3 5 3 2 4 3" xfId="11561" xr:uid="{00000000-0005-0000-0000-0000E1340000}"/>
    <cellStyle name="40% - Accent3 5 3 2 4 4" xfId="11562" xr:uid="{00000000-0005-0000-0000-0000E2340000}"/>
    <cellStyle name="40% - Accent3 5 3 2 4 5" xfId="38241" xr:uid="{00000000-0005-0000-0000-0000E3340000}"/>
    <cellStyle name="40% - Accent3 5 3 2 5" xfId="11563" xr:uid="{00000000-0005-0000-0000-0000E4340000}"/>
    <cellStyle name="40% - Accent3 5 3 2 5 2" xfId="11564" xr:uid="{00000000-0005-0000-0000-0000E5340000}"/>
    <cellStyle name="40% - Accent3 5 3 2 5 2 2" xfId="11565" xr:uid="{00000000-0005-0000-0000-0000E6340000}"/>
    <cellStyle name="40% - Accent3 5 3 2 5 3" xfId="11566" xr:uid="{00000000-0005-0000-0000-0000E7340000}"/>
    <cellStyle name="40% - Accent3 5 3 2 5 4" xfId="11567" xr:uid="{00000000-0005-0000-0000-0000E8340000}"/>
    <cellStyle name="40% - Accent3 5 3 2 6" xfId="11568" xr:uid="{00000000-0005-0000-0000-0000E9340000}"/>
    <cellStyle name="40% - Accent3 5 3 2 6 2" xfId="11569" xr:uid="{00000000-0005-0000-0000-0000EA340000}"/>
    <cellStyle name="40% - Accent3 5 3 2 6 2 2" xfId="11570" xr:uid="{00000000-0005-0000-0000-0000EB340000}"/>
    <cellStyle name="40% - Accent3 5 3 2 6 3" xfId="11571" xr:uid="{00000000-0005-0000-0000-0000EC340000}"/>
    <cellStyle name="40% - Accent3 5 3 2 6 4" xfId="11572" xr:uid="{00000000-0005-0000-0000-0000ED340000}"/>
    <cellStyle name="40% - Accent3 5 3 2 7" xfId="11573" xr:uid="{00000000-0005-0000-0000-0000EE340000}"/>
    <cellStyle name="40% - Accent3 5 3 2 7 2" xfId="11574" xr:uid="{00000000-0005-0000-0000-0000EF340000}"/>
    <cellStyle name="40% - Accent3 5 3 2 8" xfId="11575" xr:uid="{00000000-0005-0000-0000-0000F0340000}"/>
    <cellStyle name="40% - Accent3 5 3 2 9" xfId="11576" xr:uid="{00000000-0005-0000-0000-0000F1340000}"/>
    <cellStyle name="40% - Accent3 5 3 3" xfId="11577" xr:uid="{00000000-0005-0000-0000-0000F2340000}"/>
    <cellStyle name="40% - Accent3 5 3 3 2" xfId="11578" xr:uid="{00000000-0005-0000-0000-0000F3340000}"/>
    <cellStyle name="40% - Accent3 5 3 3 2 2" xfId="11579" xr:uid="{00000000-0005-0000-0000-0000F4340000}"/>
    <cellStyle name="40% - Accent3 5 3 3 2 2 2" xfId="11580" xr:uid="{00000000-0005-0000-0000-0000F5340000}"/>
    <cellStyle name="40% - Accent3 5 3 3 2 3" xfId="11581" xr:uid="{00000000-0005-0000-0000-0000F6340000}"/>
    <cellStyle name="40% - Accent3 5 3 3 2 4" xfId="11582" xr:uid="{00000000-0005-0000-0000-0000F7340000}"/>
    <cellStyle name="40% - Accent3 5 3 3 2 5" xfId="38243" xr:uid="{00000000-0005-0000-0000-0000F8340000}"/>
    <cellStyle name="40% - Accent3 5 3 3 3" xfId="11583" xr:uid="{00000000-0005-0000-0000-0000F9340000}"/>
    <cellStyle name="40% - Accent3 5 3 3 3 2" xfId="11584" xr:uid="{00000000-0005-0000-0000-0000FA340000}"/>
    <cellStyle name="40% - Accent3 5 3 3 4" xfId="11585" xr:uid="{00000000-0005-0000-0000-0000FB340000}"/>
    <cellStyle name="40% - Accent3 5 3 3 5" xfId="11586" xr:uid="{00000000-0005-0000-0000-0000FC340000}"/>
    <cellStyle name="40% - Accent3 5 3 3 6" xfId="38242" xr:uid="{00000000-0005-0000-0000-0000FD340000}"/>
    <cellStyle name="40% - Accent3 5 3 4" xfId="11587" xr:uid="{00000000-0005-0000-0000-0000FE340000}"/>
    <cellStyle name="40% - Accent3 5 3 4 2" xfId="11588" xr:uid="{00000000-0005-0000-0000-0000FF340000}"/>
    <cellStyle name="40% - Accent3 5 3 4 2 2" xfId="11589" xr:uid="{00000000-0005-0000-0000-000000350000}"/>
    <cellStyle name="40% - Accent3 5 3 4 2 2 2" xfId="11590" xr:uid="{00000000-0005-0000-0000-000001350000}"/>
    <cellStyle name="40% - Accent3 5 3 4 2 3" xfId="11591" xr:uid="{00000000-0005-0000-0000-000002350000}"/>
    <cellStyle name="40% - Accent3 5 3 4 2 4" xfId="11592" xr:uid="{00000000-0005-0000-0000-000003350000}"/>
    <cellStyle name="40% - Accent3 5 3 4 2 5" xfId="38245" xr:uid="{00000000-0005-0000-0000-000004350000}"/>
    <cellStyle name="40% - Accent3 5 3 4 3" xfId="11593" xr:uid="{00000000-0005-0000-0000-000005350000}"/>
    <cellStyle name="40% - Accent3 5 3 4 3 2" xfId="11594" xr:uid="{00000000-0005-0000-0000-000006350000}"/>
    <cellStyle name="40% - Accent3 5 3 4 4" xfId="11595" xr:uid="{00000000-0005-0000-0000-000007350000}"/>
    <cellStyle name="40% - Accent3 5 3 4 5" xfId="11596" xr:uid="{00000000-0005-0000-0000-000008350000}"/>
    <cellStyle name="40% - Accent3 5 3 4 6" xfId="38244" xr:uid="{00000000-0005-0000-0000-000009350000}"/>
    <cellStyle name="40% - Accent3 5 3 5" xfId="11597" xr:uid="{00000000-0005-0000-0000-00000A350000}"/>
    <cellStyle name="40% - Accent3 5 3 5 2" xfId="11598" xr:uid="{00000000-0005-0000-0000-00000B350000}"/>
    <cellStyle name="40% - Accent3 5 3 5 2 2" xfId="11599" xr:uid="{00000000-0005-0000-0000-00000C350000}"/>
    <cellStyle name="40% - Accent3 5 3 5 3" xfId="11600" xr:uid="{00000000-0005-0000-0000-00000D350000}"/>
    <cellStyle name="40% - Accent3 5 3 5 4" xfId="11601" xr:uid="{00000000-0005-0000-0000-00000E350000}"/>
    <cellStyle name="40% - Accent3 5 3 5 5" xfId="38246" xr:uid="{00000000-0005-0000-0000-00000F350000}"/>
    <cellStyle name="40% - Accent3 5 3 6" xfId="11602" xr:uid="{00000000-0005-0000-0000-000010350000}"/>
    <cellStyle name="40% - Accent3 5 3 6 2" xfId="11603" xr:uid="{00000000-0005-0000-0000-000011350000}"/>
    <cellStyle name="40% - Accent3 5 3 6 2 2" xfId="11604" xr:uid="{00000000-0005-0000-0000-000012350000}"/>
    <cellStyle name="40% - Accent3 5 3 6 3" xfId="11605" xr:uid="{00000000-0005-0000-0000-000013350000}"/>
    <cellStyle name="40% - Accent3 5 3 6 4" xfId="11606" xr:uid="{00000000-0005-0000-0000-000014350000}"/>
    <cellStyle name="40% - Accent3 5 3 7" xfId="11607" xr:uid="{00000000-0005-0000-0000-000015350000}"/>
    <cellStyle name="40% - Accent3 5 3 7 2" xfId="11608" xr:uid="{00000000-0005-0000-0000-000016350000}"/>
    <cellStyle name="40% - Accent3 5 3 7 2 2" xfId="11609" xr:uid="{00000000-0005-0000-0000-000017350000}"/>
    <cellStyle name="40% - Accent3 5 3 7 3" xfId="11610" xr:uid="{00000000-0005-0000-0000-000018350000}"/>
    <cellStyle name="40% - Accent3 5 3 7 4" xfId="11611" xr:uid="{00000000-0005-0000-0000-000019350000}"/>
    <cellStyle name="40% - Accent3 5 3 8" xfId="11612" xr:uid="{00000000-0005-0000-0000-00001A350000}"/>
    <cellStyle name="40% - Accent3 5 3 8 2" xfId="11613" xr:uid="{00000000-0005-0000-0000-00001B350000}"/>
    <cellStyle name="40% - Accent3 5 3 9" xfId="11614" xr:uid="{00000000-0005-0000-0000-00001C350000}"/>
    <cellStyle name="40% - Accent3 5 4" xfId="11615" xr:uid="{00000000-0005-0000-0000-00001D350000}"/>
    <cellStyle name="40% - Accent3 5 4 10" xfId="34754" xr:uid="{00000000-0005-0000-0000-00001E350000}"/>
    <cellStyle name="40% - Accent3 5 4 2" xfId="11616" xr:uid="{00000000-0005-0000-0000-00001F350000}"/>
    <cellStyle name="40% - Accent3 5 4 2 2" xfId="11617" xr:uid="{00000000-0005-0000-0000-000020350000}"/>
    <cellStyle name="40% - Accent3 5 4 2 2 2" xfId="11618" xr:uid="{00000000-0005-0000-0000-000021350000}"/>
    <cellStyle name="40% - Accent3 5 4 2 2 2 2" xfId="11619" xr:uid="{00000000-0005-0000-0000-000022350000}"/>
    <cellStyle name="40% - Accent3 5 4 2 2 3" xfId="11620" xr:uid="{00000000-0005-0000-0000-000023350000}"/>
    <cellStyle name="40% - Accent3 5 4 2 2 4" xfId="11621" xr:uid="{00000000-0005-0000-0000-000024350000}"/>
    <cellStyle name="40% - Accent3 5 4 2 2 5" xfId="38248" xr:uid="{00000000-0005-0000-0000-000025350000}"/>
    <cellStyle name="40% - Accent3 5 4 2 3" xfId="11622" xr:uid="{00000000-0005-0000-0000-000026350000}"/>
    <cellStyle name="40% - Accent3 5 4 2 3 2" xfId="11623" xr:uid="{00000000-0005-0000-0000-000027350000}"/>
    <cellStyle name="40% - Accent3 5 4 2 4" xfId="11624" xr:uid="{00000000-0005-0000-0000-000028350000}"/>
    <cellStyle name="40% - Accent3 5 4 2 5" xfId="11625" xr:uid="{00000000-0005-0000-0000-000029350000}"/>
    <cellStyle name="40% - Accent3 5 4 2 6" xfId="38247" xr:uid="{00000000-0005-0000-0000-00002A350000}"/>
    <cellStyle name="40% - Accent3 5 4 3" xfId="11626" xr:uid="{00000000-0005-0000-0000-00002B350000}"/>
    <cellStyle name="40% - Accent3 5 4 3 2" xfId="11627" xr:uid="{00000000-0005-0000-0000-00002C350000}"/>
    <cellStyle name="40% - Accent3 5 4 3 2 2" xfId="11628" xr:uid="{00000000-0005-0000-0000-00002D350000}"/>
    <cellStyle name="40% - Accent3 5 4 3 2 2 2" xfId="11629" xr:uid="{00000000-0005-0000-0000-00002E350000}"/>
    <cellStyle name="40% - Accent3 5 4 3 2 3" xfId="11630" xr:uid="{00000000-0005-0000-0000-00002F350000}"/>
    <cellStyle name="40% - Accent3 5 4 3 2 4" xfId="11631" xr:uid="{00000000-0005-0000-0000-000030350000}"/>
    <cellStyle name="40% - Accent3 5 4 3 2 5" xfId="38250" xr:uid="{00000000-0005-0000-0000-000031350000}"/>
    <cellStyle name="40% - Accent3 5 4 3 3" xfId="11632" xr:uid="{00000000-0005-0000-0000-000032350000}"/>
    <cellStyle name="40% - Accent3 5 4 3 3 2" xfId="11633" xr:uid="{00000000-0005-0000-0000-000033350000}"/>
    <cellStyle name="40% - Accent3 5 4 3 4" xfId="11634" xr:uid="{00000000-0005-0000-0000-000034350000}"/>
    <cellStyle name="40% - Accent3 5 4 3 5" xfId="11635" xr:uid="{00000000-0005-0000-0000-000035350000}"/>
    <cellStyle name="40% - Accent3 5 4 3 6" xfId="38249" xr:uid="{00000000-0005-0000-0000-000036350000}"/>
    <cellStyle name="40% - Accent3 5 4 4" xfId="11636" xr:uid="{00000000-0005-0000-0000-000037350000}"/>
    <cellStyle name="40% - Accent3 5 4 4 2" xfId="11637" xr:uid="{00000000-0005-0000-0000-000038350000}"/>
    <cellStyle name="40% - Accent3 5 4 4 2 2" xfId="11638" xr:uid="{00000000-0005-0000-0000-000039350000}"/>
    <cellStyle name="40% - Accent3 5 4 4 3" xfId="11639" xr:uid="{00000000-0005-0000-0000-00003A350000}"/>
    <cellStyle name="40% - Accent3 5 4 4 4" xfId="11640" xr:uid="{00000000-0005-0000-0000-00003B350000}"/>
    <cellStyle name="40% - Accent3 5 4 4 5" xfId="38251" xr:uid="{00000000-0005-0000-0000-00003C350000}"/>
    <cellStyle name="40% - Accent3 5 4 5" xfId="11641" xr:uid="{00000000-0005-0000-0000-00003D350000}"/>
    <cellStyle name="40% - Accent3 5 4 5 2" xfId="11642" xr:uid="{00000000-0005-0000-0000-00003E350000}"/>
    <cellStyle name="40% - Accent3 5 4 5 2 2" xfId="11643" xr:uid="{00000000-0005-0000-0000-00003F350000}"/>
    <cellStyle name="40% - Accent3 5 4 5 3" xfId="11644" xr:uid="{00000000-0005-0000-0000-000040350000}"/>
    <cellStyle name="40% - Accent3 5 4 5 4" xfId="11645" xr:uid="{00000000-0005-0000-0000-000041350000}"/>
    <cellStyle name="40% - Accent3 5 4 6" xfId="11646" xr:uid="{00000000-0005-0000-0000-000042350000}"/>
    <cellStyle name="40% - Accent3 5 4 6 2" xfId="11647" xr:uid="{00000000-0005-0000-0000-000043350000}"/>
    <cellStyle name="40% - Accent3 5 4 6 2 2" xfId="11648" xr:uid="{00000000-0005-0000-0000-000044350000}"/>
    <cellStyle name="40% - Accent3 5 4 6 3" xfId="11649" xr:uid="{00000000-0005-0000-0000-000045350000}"/>
    <cellStyle name="40% - Accent3 5 4 6 4" xfId="11650" xr:uid="{00000000-0005-0000-0000-000046350000}"/>
    <cellStyle name="40% - Accent3 5 4 7" xfId="11651" xr:uid="{00000000-0005-0000-0000-000047350000}"/>
    <cellStyle name="40% - Accent3 5 4 7 2" xfId="11652" xr:uid="{00000000-0005-0000-0000-000048350000}"/>
    <cellStyle name="40% - Accent3 5 4 8" xfId="11653" xr:uid="{00000000-0005-0000-0000-000049350000}"/>
    <cellStyle name="40% - Accent3 5 4 9" xfId="11654" xr:uid="{00000000-0005-0000-0000-00004A350000}"/>
    <cellStyle name="40% - Accent3 5 5" xfId="11655" xr:uid="{00000000-0005-0000-0000-00004B350000}"/>
    <cellStyle name="40% - Accent3 5 5 2" xfId="11656" xr:uid="{00000000-0005-0000-0000-00004C350000}"/>
    <cellStyle name="40% - Accent3 5 5 2 2" xfId="11657" xr:uid="{00000000-0005-0000-0000-00004D350000}"/>
    <cellStyle name="40% - Accent3 5 5 2 2 2" xfId="11658" xr:uid="{00000000-0005-0000-0000-00004E350000}"/>
    <cellStyle name="40% - Accent3 5 5 2 3" xfId="11659" xr:uid="{00000000-0005-0000-0000-00004F350000}"/>
    <cellStyle name="40% - Accent3 5 5 2 4" xfId="11660" xr:uid="{00000000-0005-0000-0000-000050350000}"/>
    <cellStyle name="40% - Accent3 5 5 2 5" xfId="38253" xr:uid="{00000000-0005-0000-0000-000051350000}"/>
    <cellStyle name="40% - Accent3 5 5 3" xfId="11661" xr:uid="{00000000-0005-0000-0000-000052350000}"/>
    <cellStyle name="40% - Accent3 5 5 3 2" xfId="11662" xr:uid="{00000000-0005-0000-0000-000053350000}"/>
    <cellStyle name="40% - Accent3 5 5 3 2 2" xfId="11663" xr:uid="{00000000-0005-0000-0000-000054350000}"/>
    <cellStyle name="40% - Accent3 5 5 3 3" xfId="11664" xr:uid="{00000000-0005-0000-0000-000055350000}"/>
    <cellStyle name="40% - Accent3 5 5 3 4" xfId="11665" xr:uid="{00000000-0005-0000-0000-000056350000}"/>
    <cellStyle name="40% - Accent3 5 5 3 5" xfId="38254" xr:uid="{00000000-0005-0000-0000-000057350000}"/>
    <cellStyle name="40% - Accent3 5 5 4" xfId="11666" xr:uid="{00000000-0005-0000-0000-000058350000}"/>
    <cellStyle name="40% - Accent3 5 5 4 2" xfId="11667" xr:uid="{00000000-0005-0000-0000-000059350000}"/>
    <cellStyle name="40% - Accent3 5 5 5" xfId="11668" xr:uid="{00000000-0005-0000-0000-00005A350000}"/>
    <cellStyle name="40% - Accent3 5 5 6" xfId="11669" xr:uid="{00000000-0005-0000-0000-00005B350000}"/>
    <cellStyle name="40% - Accent3 5 5 7" xfId="38252" xr:uid="{00000000-0005-0000-0000-00005C350000}"/>
    <cellStyle name="40% - Accent3 5 6" xfId="11670" xr:uid="{00000000-0005-0000-0000-00005D350000}"/>
    <cellStyle name="40% - Accent3 5 6 2" xfId="11671" xr:uid="{00000000-0005-0000-0000-00005E350000}"/>
    <cellStyle name="40% - Accent3 5 6 2 2" xfId="11672" xr:uid="{00000000-0005-0000-0000-00005F350000}"/>
    <cellStyle name="40% - Accent3 5 6 2 2 2" xfId="11673" xr:uid="{00000000-0005-0000-0000-000060350000}"/>
    <cellStyle name="40% - Accent3 5 6 2 3" xfId="11674" xr:uid="{00000000-0005-0000-0000-000061350000}"/>
    <cellStyle name="40% - Accent3 5 6 2 4" xfId="11675" xr:uid="{00000000-0005-0000-0000-000062350000}"/>
    <cellStyle name="40% - Accent3 5 6 2 5" xfId="38256" xr:uid="{00000000-0005-0000-0000-000063350000}"/>
    <cellStyle name="40% - Accent3 5 6 3" xfId="11676" xr:uid="{00000000-0005-0000-0000-000064350000}"/>
    <cellStyle name="40% - Accent3 5 6 3 2" xfId="11677" xr:uid="{00000000-0005-0000-0000-000065350000}"/>
    <cellStyle name="40% - Accent3 5 6 4" xfId="11678" xr:uid="{00000000-0005-0000-0000-000066350000}"/>
    <cellStyle name="40% - Accent3 5 6 5" xfId="11679" xr:uid="{00000000-0005-0000-0000-000067350000}"/>
    <cellStyle name="40% - Accent3 5 6 6" xfId="38255" xr:uid="{00000000-0005-0000-0000-000068350000}"/>
    <cellStyle name="40% - Accent3 5 7" xfId="11680" xr:uid="{00000000-0005-0000-0000-000069350000}"/>
    <cellStyle name="40% - Accent3 5 7 2" xfId="11681" xr:uid="{00000000-0005-0000-0000-00006A350000}"/>
    <cellStyle name="40% - Accent3 5 7 2 2" xfId="11682" xr:uid="{00000000-0005-0000-0000-00006B350000}"/>
    <cellStyle name="40% - Accent3 5 7 3" xfId="11683" xr:uid="{00000000-0005-0000-0000-00006C350000}"/>
    <cellStyle name="40% - Accent3 5 7 4" xfId="11684" xr:uid="{00000000-0005-0000-0000-00006D350000}"/>
    <cellStyle name="40% - Accent3 5 7 5" xfId="38257" xr:uid="{00000000-0005-0000-0000-00006E350000}"/>
    <cellStyle name="40% - Accent3 5 8" xfId="11685" xr:uid="{00000000-0005-0000-0000-00006F350000}"/>
    <cellStyle name="40% - Accent3 5 8 2" xfId="11686" xr:uid="{00000000-0005-0000-0000-000070350000}"/>
    <cellStyle name="40% - Accent3 5 8 2 2" xfId="11687" xr:uid="{00000000-0005-0000-0000-000071350000}"/>
    <cellStyle name="40% - Accent3 5 8 3" xfId="11688" xr:uid="{00000000-0005-0000-0000-000072350000}"/>
    <cellStyle name="40% - Accent3 5 8 4" xfId="11689" xr:uid="{00000000-0005-0000-0000-000073350000}"/>
    <cellStyle name="40% - Accent3 5 9" xfId="11690" xr:uid="{00000000-0005-0000-0000-000074350000}"/>
    <cellStyle name="40% - Accent3 5 9 2" xfId="11691" xr:uid="{00000000-0005-0000-0000-000075350000}"/>
    <cellStyle name="40% - Accent3 5 9 2 2" xfId="11692" xr:uid="{00000000-0005-0000-0000-000076350000}"/>
    <cellStyle name="40% - Accent3 5 9 3" xfId="11693" xr:uid="{00000000-0005-0000-0000-000077350000}"/>
    <cellStyle name="40% - Accent3 5 9 4" xfId="11694" xr:uid="{00000000-0005-0000-0000-000078350000}"/>
    <cellStyle name="40% - Accent3 6" xfId="11695" xr:uid="{00000000-0005-0000-0000-000079350000}"/>
    <cellStyle name="40% - Accent3 7" xfId="11696" xr:uid="{00000000-0005-0000-0000-00007A350000}"/>
    <cellStyle name="40% - Accent3 8" xfId="11697" xr:uid="{00000000-0005-0000-0000-00007B350000}"/>
    <cellStyle name="40% - Accent3 9" xfId="11698" xr:uid="{00000000-0005-0000-0000-00007C350000}"/>
    <cellStyle name="40% - Accent3 9 2" xfId="11699" xr:uid="{00000000-0005-0000-0000-00007D350000}"/>
    <cellStyle name="40% - Accent3 9 2 2" xfId="11700" xr:uid="{00000000-0005-0000-0000-00007E350000}"/>
    <cellStyle name="40% - Accent3 9 3" xfId="11701" xr:uid="{00000000-0005-0000-0000-00007F350000}"/>
    <cellStyle name="40% - Accent3 9 4" xfId="11702" xr:uid="{00000000-0005-0000-0000-000080350000}"/>
    <cellStyle name="40% - Accent3 9 5" xfId="38258" xr:uid="{00000000-0005-0000-0000-000081350000}"/>
    <cellStyle name="40% - Accent4 10" xfId="41863" xr:uid="{0F6472CF-5BEC-4A17-9EBE-1BC47BE77287}"/>
    <cellStyle name="40% - Accent4 2" xfId="11703" xr:uid="{00000000-0005-0000-0000-000082350000}"/>
    <cellStyle name="40% - Accent4 2 10" xfId="41864" xr:uid="{68E8147C-7F05-4709-9290-38241CF823CD}"/>
    <cellStyle name="40% - Accent4 2 2" xfId="11704" xr:uid="{00000000-0005-0000-0000-000083350000}"/>
    <cellStyle name="40% - Accent4 2 2 2" xfId="11705" xr:uid="{00000000-0005-0000-0000-000084350000}"/>
    <cellStyle name="40% - Accent4 2 2 3" xfId="11706" xr:uid="{00000000-0005-0000-0000-000085350000}"/>
    <cellStyle name="40% - Accent4 2 2 3 2" xfId="38260" xr:uid="{00000000-0005-0000-0000-000086350000}"/>
    <cellStyle name="40% - Accent4 2 2 3 3" xfId="38259" xr:uid="{00000000-0005-0000-0000-000087350000}"/>
    <cellStyle name="40% - Accent4 2 2 4" xfId="11707" xr:uid="{00000000-0005-0000-0000-000088350000}"/>
    <cellStyle name="40% - Accent4 2 3" xfId="11708" xr:uid="{00000000-0005-0000-0000-000089350000}"/>
    <cellStyle name="40% - Accent4 2 3 2" xfId="11709" xr:uid="{00000000-0005-0000-0000-00008A350000}"/>
    <cellStyle name="40% - Accent4 2 3 2 10" xfId="11710" xr:uid="{00000000-0005-0000-0000-00008B350000}"/>
    <cellStyle name="40% - Accent4 2 3 2 11" xfId="34756" xr:uid="{00000000-0005-0000-0000-00008C350000}"/>
    <cellStyle name="40% - Accent4 2 3 2 2" xfId="11711" xr:uid="{00000000-0005-0000-0000-00008D350000}"/>
    <cellStyle name="40% - Accent4 2 3 2 2 10" xfId="34757" xr:uid="{00000000-0005-0000-0000-00008E350000}"/>
    <cellStyle name="40% - Accent4 2 3 2 2 2" xfId="11712" xr:uid="{00000000-0005-0000-0000-00008F350000}"/>
    <cellStyle name="40% - Accent4 2 3 2 2 2 2" xfId="11713" xr:uid="{00000000-0005-0000-0000-000090350000}"/>
    <cellStyle name="40% - Accent4 2 3 2 2 2 2 2" xfId="11714" xr:uid="{00000000-0005-0000-0000-000091350000}"/>
    <cellStyle name="40% - Accent4 2 3 2 2 2 2 2 2" xfId="11715" xr:uid="{00000000-0005-0000-0000-000092350000}"/>
    <cellStyle name="40% - Accent4 2 3 2 2 2 2 3" xfId="11716" xr:uid="{00000000-0005-0000-0000-000093350000}"/>
    <cellStyle name="40% - Accent4 2 3 2 2 2 2 4" xfId="11717" xr:uid="{00000000-0005-0000-0000-000094350000}"/>
    <cellStyle name="40% - Accent4 2 3 2 2 2 2 5" xfId="38262" xr:uid="{00000000-0005-0000-0000-000095350000}"/>
    <cellStyle name="40% - Accent4 2 3 2 2 2 3" xfId="11718" xr:uid="{00000000-0005-0000-0000-000096350000}"/>
    <cellStyle name="40% - Accent4 2 3 2 2 2 3 2" xfId="11719" xr:uid="{00000000-0005-0000-0000-000097350000}"/>
    <cellStyle name="40% - Accent4 2 3 2 2 2 4" xfId="11720" xr:uid="{00000000-0005-0000-0000-000098350000}"/>
    <cellStyle name="40% - Accent4 2 3 2 2 2 5" xfId="11721" xr:uid="{00000000-0005-0000-0000-000099350000}"/>
    <cellStyle name="40% - Accent4 2 3 2 2 2 6" xfId="38261" xr:uid="{00000000-0005-0000-0000-00009A350000}"/>
    <cellStyle name="40% - Accent4 2 3 2 2 3" xfId="11722" xr:uid="{00000000-0005-0000-0000-00009B350000}"/>
    <cellStyle name="40% - Accent4 2 3 2 2 3 2" xfId="11723" xr:uid="{00000000-0005-0000-0000-00009C350000}"/>
    <cellStyle name="40% - Accent4 2 3 2 2 3 2 2" xfId="11724" xr:uid="{00000000-0005-0000-0000-00009D350000}"/>
    <cellStyle name="40% - Accent4 2 3 2 2 3 2 2 2" xfId="11725" xr:uid="{00000000-0005-0000-0000-00009E350000}"/>
    <cellStyle name="40% - Accent4 2 3 2 2 3 2 3" xfId="11726" xr:uid="{00000000-0005-0000-0000-00009F350000}"/>
    <cellStyle name="40% - Accent4 2 3 2 2 3 2 4" xfId="11727" xr:uid="{00000000-0005-0000-0000-0000A0350000}"/>
    <cellStyle name="40% - Accent4 2 3 2 2 3 2 5" xfId="38264" xr:uid="{00000000-0005-0000-0000-0000A1350000}"/>
    <cellStyle name="40% - Accent4 2 3 2 2 3 3" xfId="11728" xr:uid="{00000000-0005-0000-0000-0000A2350000}"/>
    <cellStyle name="40% - Accent4 2 3 2 2 3 3 2" xfId="11729" xr:uid="{00000000-0005-0000-0000-0000A3350000}"/>
    <cellStyle name="40% - Accent4 2 3 2 2 3 4" xfId="11730" xr:uid="{00000000-0005-0000-0000-0000A4350000}"/>
    <cellStyle name="40% - Accent4 2 3 2 2 3 5" xfId="11731" xr:uid="{00000000-0005-0000-0000-0000A5350000}"/>
    <cellStyle name="40% - Accent4 2 3 2 2 3 6" xfId="38263" xr:uid="{00000000-0005-0000-0000-0000A6350000}"/>
    <cellStyle name="40% - Accent4 2 3 2 2 4" xfId="11732" xr:uid="{00000000-0005-0000-0000-0000A7350000}"/>
    <cellStyle name="40% - Accent4 2 3 2 2 4 2" xfId="11733" xr:uid="{00000000-0005-0000-0000-0000A8350000}"/>
    <cellStyle name="40% - Accent4 2 3 2 2 4 2 2" xfId="11734" xr:uid="{00000000-0005-0000-0000-0000A9350000}"/>
    <cellStyle name="40% - Accent4 2 3 2 2 4 3" xfId="11735" xr:uid="{00000000-0005-0000-0000-0000AA350000}"/>
    <cellStyle name="40% - Accent4 2 3 2 2 4 4" xfId="11736" xr:uid="{00000000-0005-0000-0000-0000AB350000}"/>
    <cellStyle name="40% - Accent4 2 3 2 2 4 5" xfId="38265" xr:uid="{00000000-0005-0000-0000-0000AC350000}"/>
    <cellStyle name="40% - Accent4 2 3 2 2 5" xfId="11737" xr:uid="{00000000-0005-0000-0000-0000AD350000}"/>
    <cellStyle name="40% - Accent4 2 3 2 2 5 2" xfId="11738" xr:uid="{00000000-0005-0000-0000-0000AE350000}"/>
    <cellStyle name="40% - Accent4 2 3 2 2 5 2 2" xfId="11739" xr:uid="{00000000-0005-0000-0000-0000AF350000}"/>
    <cellStyle name="40% - Accent4 2 3 2 2 5 3" xfId="11740" xr:uid="{00000000-0005-0000-0000-0000B0350000}"/>
    <cellStyle name="40% - Accent4 2 3 2 2 5 4" xfId="11741" xr:uid="{00000000-0005-0000-0000-0000B1350000}"/>
    <cellStyle name="40% - Accent4 2 3 2 2 6" xfId="11742" xr:uid="{00000000-0005-0000-0000-0000B2350000}"/>
    <cellStyle name="40% - Accent4 2 3 2 2 6 2" xfId="11743" xr:uid="{00000000-0005-0000-0000-0000B3350000}"/>
    <cellStyle name="40% - Accent4 2 3 2 2 6 2 2" xfId="11744" xr:uid="{00000000-0005-0000-0000-0000B4350000}"/>
    <cellStyle name="40% - Accent4 2 3 2 2 6 3" xfId="11745" xr:uid="{00000000-0005-0000-0000-0000B5350000}"/>
    <cellStyle name="40% - Accent4 2 3 2 2 6 4" xfId="11746" xr:uid="{00000000-0005-0000-0000-0000B6350000}"/>
    <cellStyle name="40% - Accent4 2 3 2 2 7" xfId="11747" xr:uid="{00000000-0005-0000-0000-0000B7350000}"/>
    <cellStyle name="40% - Accent4 2 3 2 2 7 2" xfId="11748" xr:uid="{00000000-0005-0000-0000-0000B8350000}"/>
    <cellStyle name="40% - Accent4 2 3 2 2 8" xfId="11749" xr:uid="{00000000-0005-0000-0000-0000B9350000}"/>
    <cellStyle name="40% - Accent4 2 3 2 2 9" xfId="11750" xr:uid="{00000000-0005-0000-0000-0000BA350000}"/>
    <cellStyle name="40% - Accent4 2 3 2 3" xfId="11751" xr:uid="{00000000-0005-0000-0000-0000BB350000}"/>
    <cellStyle name="40% - Accent4 2 3 2 3 2" xfId="11752" xr:uid="{00000000-0005-0000-0000-0000BC350000}"/>
    <cellStyle name="40% - Accent4 2 3 2 3 2 2" xfId="11753" xr:uid="{00000000-0005-0000-0000-0000BD350000}"/>
    <cellStyle name="40% - Accent4 2 3 2 3 2 2 2" xfId="11754" xr:uid="{00000000-0005-0000-0000-0000BE350000}"/>
    <cellStyle name="40% - Accent4 2 3 2 3 2 3" xfId="11755" xr:uid="{00000000-0005-0000-0000-0000BF350000}"/>
    <cellStyle name="40% - Accent4 2 3 2 3 2 4" xfId="11756" xr:uid="{00000000-0005-0000-0000-0000C0350000}"/>
    <cellStyle name="40% - Accent4 2 3 2 3 2 5" xfId="38267" xr:uid="{00000000-0005-0000-0000-0000C1350000}"/>
    <cellStyle name="40% - Accent4 2 3 2 3 3" xfId="11757" xr:uid="{00000000-0005-0000-0000-0000C2350000}"/>
    <cellStyle name="40% - Accent4 2 3 2 3 3 2" xfId="11758" xr:uid="{00000000-0005-0000-0000-0000C3350000}"/>
    <cellStyle name="40% - Accent4 2 3 2 3 4" xfId="11759" xr:uid="{00000000-0005-0000-0000-0000C4350000}"/>
    <cellStyle name="40% - Accent4 2 3 2 3 5" xfId="11760" xr:uid="{00000000-0005-0000-0000-0000C5350000}"/>
    <cellStyle name="40% - Accent4 2 3 2 3 6" xfId="38266" xr:uid="{00000000-0005-0000-0000-0000C6350000}"/>
    <cellStyle name="40% - Accent4 2 3 2 4" xfId="11761" xr:uid="{00000000-0005-0000-0000-0000C7350000}"/>
    <cellStyle name="40% - Accent4 2 3 2 4 2" xfId="11762" xr:uid="{00000000-0005-0000-0000-0000C8350000}"/>
    <cellStyle name="40% - Accent4 2 3 2 4 2 2" xfId="11763" xr:uid="{00000000-0005-0000-0000-0000C9350000}"/>
    <cellStyle name="40% - Accent4 2 3 2 4 2 2 2" xfId="11764" xr:uid="{00000000-0005-0000-0000-0000CA350000}"/>
    <cellStyle name="40% - Accent4 2 3 2 4 2 3" xfId="11765" xr:uid="{00000000-0005-0000-0000-0000CB350000}"/>
    <cellStyle name="40% - Accent4 2 3 2 4 2 4" xfId="11766" xr:uid="{00000000-0005-0000-0000-0000CC350000}"/>
    <cellStyle name="40% - Accent4 2 3 2 4 2 5" xfId="38269" xr:uid="{00000000-0005-0000-0000-0000CD350000}"/>
    <cellStyle name="40% - Accent4 2 3 2 4 3" xfId="11767" xr:uid="{00000000-0005-0000-0000-0000CE350000}"/>
    <cellStyle name="40% - Accent4 2 3 2 4 3 2" xfId="11768" xr:uid="{00000000-0005-0000-0000-0000CF350000}"/>
    <cellStyle name="40% - Accent4 2 3 2 4 4" xfId="11769" xr:uid="{00000000-0005-0000-0000-0000D0350000}"/>
    <cellStyle name="40% - Accent4 2 3 2 4 5" xfId="11770" xr:uid="{00000000-0005-0000-0000-0000D1350000}"/>
    <cellStyle name="40% - Accent4 2 3 2 4 6" xfId="38268" xr:uid="{00000000-0005-0000-0000-0000D2350000}"/>
    <cellStyle name="40% - Accent4 2 3 2 5" xfId="11771" xr:uid="{00000000-0005-0000-0000-0000D3350000}"/>
    <cellStyle name="40% - Accent4 2 3 2 5 2" xfId="11772" xr:uid="{00000000-0005-0000-0000-0000D4350000}"/>
    <cellStyle name="40% - Accent4 2 3 2 5 2 2" xfId="11773" xr:uid="{00000000-0005-0000-0000-0000D5350000}"/>
    <cellStyle name="40% - Accent4 2 3 2 5 3" xfId="11774" xr:uid="{00000000-0005-0000-0000-0000D6350000}"/>
    <cellStyle name="40% - Accent4 2 3 2 5 4" xfId="11775" xr:uid="{00000000-0005-0000-0000-0000D7350000}"/>
    <cellStyle name="40% - Accent4 2 3 2 5 5" xfId="38270" xr:uid="{00000000-0005-0000-0000-0000D8350000}"/>
    <cellStyle name="40% - Accent4 2 3 2 6" xfId="11776" xr:uid="{00000000-0005-0000-0000-0000D9350000}"/>
    <cellStyle name="40% - Accent4 2 3 2 6 2" xfId="11777" xr:uid="{00000000-0005-0000-0000-0000DA350000}"/>
    <cellStyle name="40% - Accent4 2 3 2 6 2 2" xfId="11778" xr:uid="{00000000-0005-0000-0000-0000DB350000}"/>
    <cellStyle name="40% - Accent4 2 3 2 6 3" xfId="11779" xr:uid="{00000000-0005-0000-0000-0000DC350000}"/>
    <cellStyle name="40% - Accent4 2 3 2 6 4" xfId="11780" xr:uid="{00000000-0005-0000-0000-0000DD350000}"/>
    <cellStyle name="40% - Accent4 2 3 2 7" xfId="11781" xr:uid="{00000000-0005-0000-0000-0000DE350000}"/>
    <cellStyle name="40% - Accent4 2 3 2 7 2" xfId="11782" xr:uid="{00000000-0005-0000-0000-0000DF350000}"/>
    <cellStyle name="40% - Accent4 2 3 2 7 2 2" xfId="11783" xr:uid="{00000000-0005-0000-0000-0000E0350000}"/>
    <cellStyle name="40% - Accent4 2 3 2 7 3" xfId="11784" xr:uid="{00000000-0005-0000-0000-0000E1350000}"/>
    <cellStyle name="40% - Accent4 2 3 2 7 4" xfId="11785" xr:uid="{00000000-0005-0000-0000-0000E2350000}"/>
    <cellStyle name="40% - Accent4 2 3 2 8" xfId="11786" xr:uid="{00000000-0005-0000-0000-0000E3350000}"/>
    <cellStyle name="40% - Accent4 2 3 2 8 2" xfId="11787" xr:uid="{00000000-0005-0000-0000-0000E4350000}"/>
    <cellStyle name="40% - Accent4 2 3 2 9" xfId="11788" xr:uid="{00000000-0005-0000-0000-0000E5350000}"/>
    <cellStyle name="40% - Accent4 2 3 3" xfId="11789" xr:uid="{00000000-0005-0000-0000-0000E6350000}"/>
    <cellStyle name="40% - Accent4 2 3 3 10" xfId="34758" xr:uid="{00000000-0005-0000-0000-0000E7350000}"/>
    <cellStyle name="40% - Accent4 2 3 3 2" xfId="11790" xr:uid="{00000000-0005-0000-0000-0000E8350000}"/>
    <cellStyle name="40% - Accent4 2 3 3 2 2" xfId="11791" xr:uid="{00000000-0005-0000-0000-0000E9350000}"/>
    <cellStyle name="40% - Accent4 2 3 3 2 2 2" xfId="11792" xr:uid="{00000000-0005-0000-0000-0000EA350000}"/>
    <cellStyle name="40% - Accent4 2 3 3 2 2 2 2" xfId="11793" xr:uid="{00000000-0005-0000-0000-0000EB350000}"/>
    <cellStyle name="40% - Accent4 2 3 3 2 2 3" xfId="11794" xr:uid="{00000000-0005-0000-0000-0000EC350000}"/>
    <cellStyle name="40% - Accent4 2 3 3 2 2 4" xfId="11795" xr:uid="{00000000-0005-0000-0000-0000ED350000}"/>
    <cellStyle name="40% - Accent4 2 3 3 2 2 5" xfId="38272" xr:uid="{00000000-0005-0000-0000-0000EE350000}"/>
    <cellStyle name="40% - Accent4 2 3 3 2 3" xfId="11796" xr:uid="{00000000-0005-0000-0000-0000EF350000}"/>
    <cellStyle name="40% - Accent4 2 3 3 2 3 2" xfId="11797" xr:uid="{00000000-0005-0000-0000-0000F0350000}"/>
    <cellStyle name="40% - Accent4 2 3 3 2 4" xfId="11798" xr:uid="{00000000-0005-0000-0000-0000F1350000}"/>
    <cellStyle name="40% - Accent4 2 3 3 2 5" xfId="11799" xr:uid="{00000000-0005-0000-0000-0000F2350000}"/>
    <cellStyle name="40% - Accent4 2 3 3 2 6" xfId="38271" xr:uid="{00000000-0005-0000-0000-0000F3350000}"/>
    <cellStyle name="40% - Accent4 2 3 3 3" xfId="11800" xr:uid="{00000000-0005-0000-0000-0000F4350000}"/>
    <cellStyle name="40% - Accent4 2 3 3 3 2" xfId="11801" xr:uid="{00000000-0005-0000-0000-0000F5350000}"/>
    <cellStyle name="40% - Accent4 2 3 3 3 2 2" xfId="11802" xr:uid="{00000000-0005-0000-0000-0000F6350000}"/>
    <cellStyle name="40% - Accent4 2 3 3 3 2 2 2" xfId="11803" xr:uid="{00000000-0005-0000-0000-0000F7350000}"/>
    <cellStyle name="40% - Accent4 2 3 3 3 2 3" xfId="11804" xr:uid="{00000000-0005-0000-0000-0000F8350000}"/>
    <cellStyle name="40% - Accent4 2 3 3 3 2 4" xfId="11805" xr:uid="{00000000-0005-0000-0000-0000F9350000}"/>
    <cellStyle name="40% - Accent4 2 3 3 3 2 5" xfId="38274" xr:uid="{00000000-0005-0000-0000-0000FA350000}"/>
    <cellStyle name="40% - Accent4 2 3 3 3 3" xfId="11806" xr:uid="{00000000-0005-0000-0000-0000FB350000}"/>
    <cellStyle name="40% - Accent4 2 3 3 3 3 2" xfId="11807" xr:uid="{00000000-0005-0000-0000-0000FC350000}"/>
    <cellStyle name="40% - Accent4 2 3 3 3 4" xfId="11808" xr:uid="{00000000-0005-0000-0000-0000FD350000}"/>
    <cellStyle name="40% - Accent4 2 3 3 3 5" xfId="11809" xr:uid="{00000000-0005-0000-0000-0000FE350000}"/>
    <cellStyle name="40% - Accent4 2 3 3 3 6" xfId="38273" xr:uid="{00000000-0005-0000-0000-0000FF350000}"/>
    <cellStyle name="40% - Accent4 2 3 3 4" xfId="11810" xr:uid="{00000000-0005-0000-0000-000000360000}"/>
    <cellStyle name="40% - Accent4 2 3 3 4 2" xfId="11811" xr:uid="{00000000-0005-0000-0000-000001360000}"/>
    <cellStyle name="40% - Accent4 2 3 3 4 2 2" xfId="11812" xr:uid="{00000000-0005-0000-0000-000002360000}"/>
    <cellStyle name="40% - Accent4 2 3 3 4 3" xfId="11813" xr:uid="{00000000-0005-0000-0000-000003360000}"/>
    <cellStyle name="40% - Accent4 2 3 3 4 4" xfId="11814" xr:uid="{00000000-0005-0000-0000-000004360000}"/>
    <cellStyle name="40% - Accent4 2 3 3 4 5" xfId="38275" xr:uid="{00000000-0005-0000-0000-000005360000}"/>
    <cellStyle name="40% - Accent4 2 3 3 5" xfId="11815" xr:uid="{00000000-0005-0000-0000-000006360000}"/>
    <cellStyle name="40% - Accent4 2 3 3 5 2" xfId="11816" xr:uid="{00000000-0005-0000-0000-000007360000}"/>
    <cellStyle name="40% - Accent4 2 3 3 5 2 2" xfId="11817" xr:uid="{00000000-0005-0000-0000-000008360000}"/>
    <cellStyle name="40% - Accent4 2 3 3 5 3" xfId="11818" xr:uid="{00000000-0005-0000-0000-000009360000}"/>
    <cellStyle name="40% - Accent4 2 3 3 5 4" xfId="11819" xr:uid="{00000000-0005-0000-0000-00000A360000}"/>
    <cellStyle name="40% - Accent4 2 3 3 6" xfId="11820" xr:uid="{00000000-0005-0000-0000-00000B360000}"/>
    <cellStyle name="40% - Accent4 2 3 3 6 2" xfId="11821" xr:uid="{00000000-0005-0000-0000-00000C360000}"/>
    <cellStyle name="40% - Accent4 2 3 3 6 2 2" xfId="11822" xr:uid="{00000000-0005-0000-0000-00000D360000}"/>
    <cellStyle name="40% - Accent4 2 3 3 6 3" xfId="11823" xr:uid="{00000000-0005-0000-0000-00000E360000}"/>
    <cellStyle name="40% - Accent4 2 3 3 6 4" xfId="11824" xr:uid="{00000000-0005-0000-0000-00000F360000}"/>
    <cellStyle name="40% - Accent4 2 3 3 7" xfId="11825" xr:uid="{00000000-0005-0000-0000-000010360000}"/>
    <cellStyle name="40% - Accent4 2 3 3 7 2" xfId="11826" xr:uid="{00000000-0005-0000-0000-000011360000}"/>
    <cellStyle name="40% - Accent4 2 3 3 8" xfId="11827" xr:uid="{00000000-0005-0000-0000-000012360000}"/>
    <cellStyle name="40% - Accent4 2 3 3 9" xfId="11828" xr:uid="{00000000-0005-0000-0000-000013360000}"/>
    <cellStyle name="40% - Accent4 2 3 4" xfId="11829" xr:uid="{00000000-0005-0000-0000-000014360000}"/>
    <cellStyle name="40% - Accent4 2 3 4 2" xfId="11830" xr:uid="{00000000-0005-0000-0000-000015360000}"/>
    <cellStyle name="40% - Accent4 2 3 4 2 2" xfId="11831" xr:uid="{00000000-0005-0000-0000-000016360000}"/>
    <cellStyle name="40% - Accent4 2 3 4 2 2 2" xfId="11832" xr:uid="{00000000-0005-0000-0000-000017360000}"/>
    <cellStyle name="40% - Accent4 2 3 4 2 2 2 2" xfId="11833" xr:uid="{00000000-0005-0000-0000-000018360000}"/>
    <cellStyle name="40% - Accent4 2 3 4 2 2 3" xfId="11834" xr:uid="{00000000-0005-0000-0000-000019360000}"/>
    <cellStyle name="40% - Accent4 2 3 4 2 2 4" xfId="11835" xr:uid="{00000000-0005-0000-0000-00001A360000}"/>
    <cellStyle name="40% - Accent4 2 3 4 2 2 5" xfId="38278" xr:uid="{00000000-0005-0000-0000-00001B360000}"/>
    <cellStyle name="40% - Accent4 2 3 4 2 3" xfId="11836" xr:uid="{00000000-0005-0000-0000-00001C360000}"/>
    <cellStyle name="40% - Accent4 2 3 4 2 3 2" xfId="11837" xr:uid="{00000000-0005-0000-0000-00001D360000}"/>
    <cellStyle name="40% - Accent4 2 3 4 2 4" xfId="11838" xr:uid="{00000000-0005-0000-0000-00001E360000}"/>
    <cellStyle name="40% - Accent4 2 3 4 2 5" xfId="11839" xr:uid="{00000000-0005-0000-0000-00001F360000}"/>
    <cellStyle name="40% - Accent4 2 3 4 2 6" xfId="38277" xr:uid="{00000000-0005-0000-0000-000020360000}"/>
    <cellStyle name="40% - Accent4 2 3 4 3" xfId="11840" xr:uid="{00000000-0005-0000-0000-000021360000}"/>
    <cellStyle name="40% - Accent4 2 3 4 3 2" xfId="11841" xr:uid="{00000000-0005-0000-0000-000022360000}"/>
    <cellStyle name="40% - Accent4 2 3 4 3 2 2" xfId="11842" xr:uid="{00000000-0005-0000-0000-000023360000}"/>
    <cellStyle name="40% - Accent4 2 3 4 3 3" xfId="11843" xr:uid="{00000000-0005-0000-0000-000024360000}"/>
    <cellStyle name="40% - Accent4 2 3 4 3 4" xfId="11844" xr:uid="{00000000-0005-0000-0000-000025360000}"/>
    <cellStyle name="40% - Accent4 2 3 4 3 5" xfId="38279" xr:uid="{00000000-0005-0000-0000-000026360000}"/>
    <cellStyle name="40% - Accent4 2 3 4 4" xfId="11845" xr:uid="{00000000-0005-0000-0000-000027360000}"/>
    <cellStyle name="40% - Accent4 2 3 4 5" xfId="11846" xr:uid="{00000000-0005-0000-0000-000028360000}"/>
    <cellStyle name="40% - Accent4 2 3 4 5 2" xfId="11847" xr:uid="{00000000-0005-0000-0000-000029360000}"/>
    <cellStyle name="40% - Accent4 2 3 4 6" xfId="11848" xr:uid="{00000000-0005-0000-0000-00002A360000}"/>
    <cellStyle name="40% - Accent4 2 3 4 7" xfId="11849" xr:uid="{00000000-0005-0000-0000-00002B360000}"/>
    <cellStyle name="40% - Accent4 2 3 4 8" xfId="38276" xr:uid="{00000000-0005-0000-0000-00002C360000}"/>
    <cellStyle name="40% - Accent4 2 3 5" xfId="11850" xr:uid="{00000000-0005-0000-0000-00002D360000}"/>
    <cellStyle name="40% - Accent4 2 3 5 2" xfId="11851" xr:uid="{00000000-0005-0000-0000-00002E360000}"/>
    <cellStyle name="40% - Accent4 2 3 5 2 2" xfId="11852" xr:uid="{00000000-0005-0000-0000-00002F360000}"/>
    <cellStyle name="40% - Accent4 2 3 5 2 2 2" xfId="11853" xr:uid="{00000000-0005-0000-0000-000030360000}"/>
    <cellStyle name="40% - Accent4 2 3 5 2 3" xfId="11854" xr:uid="{00000000-0005-0000-0000-000031360000}"/>
    <cellStyle name="40% - Accent4 2 3 5 2 4" xfId="11855" xr:uid="{00000000-0005-0000-0000-000032360000}"/>
    <cellStyle name="40% - Accent4 2 3 5 2 5" xfId="38281" xr:uid="{00000000-0005-0000-0000-000033360000}"/>
    <cellStyle name="40% - Accent4 2 3 5 3" xfId="11856" xr:uid="{00000000-0005-0000-0000-000034360000}"/>
    <cellStyle name="40% - Accent4 2 3 5 3 2" xfId="11857" xr:uid="{00000000-0005-0000-0000-000035360000}"/>
    <cellStyle name="40% - Accent4 2 3 5 4" xfId="11858" xr:uid="{00000000-0005-0000-0000-000036360000}"/>
    <cellStyle name="40% - Accent4 2 3 5 5" xfId="11859" xr:uid="{00000000-0005-0000-0000-000037360000}"/>
    <cellStyle name="40% - Accent4 2 3 5 6" xfId="38280" xr:uid="{00000000-0005-0000-0000-000038360000}"/>
    <cellStyle name="40% - Accent4 2 3 6" xfId="11860" xr:uid="{00000000-0005-0000-0000-000039360000}"/>
    <cellStyle name="40% - Accent4 2 3 6 2" xfId="11861" xr:uid="{00000000-0005-0000-0000-00003A360000}"/>
    <cellStyle name="40% - Accent4 2 3 6 2 2" xfId="11862" xr:uid="{00000000-0005-0000-0000-00003B360000}"/>
    <cellStyle name="40% - Accent4 2 3 6 3" xfId="11863" xr:uid="{00000000-0005-0000-0000-00003C360000}"/>
    <cellStyle name="40% - Accent4 2 3 6 4" xfId="11864" xr:uid="{00000000-0005-0000-0000-00003D360000}"/>
    <cellStyle name="40% - Accent4 2 3 7" xfId="11865" xr:uid="{00000000-0005-0000-0000-00003E360000}"/>
    <cellStyle name="40% - Accent4 2 3 7 2" xfId="11866" xr:uid="{00000000-0005-0000-0000-00003F360000}"/>
    <cellStyle name="40% - Accent4 2 3 7 2 2" xfId="11867" xr:uid="{00000000-0005-0000-0000-000040360000}"/>
    <cellStyle name="40% - Accent4 2 3 7 3" xfId="11868" xr:uid="{00000000-0005-0000-0000-000041360000}"/>
    <cellStyle name="40% - Accent4 2 3 7 4" xfId="11869" xr:uid="{00000000-0005-0000-0000-000042360000}"/>
    <cellStyle name="40% - Accent4 2 3 8" xfId="34755" xr:uid="{00000000-0005-0000-0000-000043360000}"/>
    <cellStyle name="40% - Accent4 2 4" xfId="11870" xr:uid="{00000000-0005-0000-0000-000044360000}"/>
    <cellStyle name="40% - Accent4 2 4 10" xfId="11871" xr:uid="{00000000-0005-0000-0000-000045360000}"/>
    <cellStyle name="40% - Accent4 2 4 11" xfId="34759" xr:uid="{00000000-0005-0000-0000-000046360000}"/>
    <cellStyle name="40% - Accent4 2 4 2" xfId="11872" xr:uid="{00000000-0005-0000-0000-000047360000}"/>
    <cellStyle name="40% - Accent4 2 4 2 10" xfId="34760" xr:uid="{00000000-0005-0000-0000-000048360000}"/>
    <cellStyle name="40% - Accent4 2 4 2 2" xfId="11873" xr:uid="{00000000-0005-0000-0000-000049360000}"/>
    <cellStyle name="40% - Accent4 2 4 2 2 2" xfId="11874" xr:uid="{00000000-0005-0000-0000-00004A360000}"/>
    <cellStyle name="40% - Accent4 2 4 2 2 2 2" xfId="11875" xr:uid="{00000000-0005-0000-0000-00004B360000}"/>
    <cellStyle name="40% - Accent4 2 4 2 2 2 2 2" xfId="11876" xr:uid="{00000000-0005-0000-0000-00004C360000}"/>
    <cellStyle name="40% - Accent4 2 4 2 2 2 3" xfId="11877" xr:uid="{00000000-0005-0000-0000-00004D360000}"/>
    <cellStyle name="40% - Accent4 2 4 2 2 2 4" xfId="11878" xr:uid="{00000000-0005-0000-0000-00004E360000}"/>
    <cellStyle name="40% - Accent4 2 4 2 2 2 5" xfId="38283" xr:uid="{00000000-0005-0000-0000-00004F360000}"/>
    <cellStyle name="40% - Accent4 2 4 2 2 3" xfId="11879" xr:uid="{00000000-0005-0000-0000-000050360000}"/>
    <cellStyle name="40% - Accent4 2 4 2 2 3 2" xfId="11880" xr:uid="{00000000-0005-0000-0000-000051360000}"/>
    <cellStyle name="40% - Accent4 2 4 2 2 4" xfId="11881" xr:uid="{00000000-0005-0000-0000-000052360000}"/>
    <cellStyle name="40% - Accent4 2 4 2 2 5" xfId="11882" xr:uid="{00000000-0005-0000-0000-000053360000}"/>
    <cellStyle name="40% - Accent4 2 4 2 2 6" xfId="38282" xr:uid="{00000000-0005-0000-0000-000054360000}"/>
    <cellStyle name="40% - Accent4 2 4 2 3" xfId="11883" xr:uid="{00000000-0005-0000-0000-000055360000}"/>
    <cellStyle name="40% - Accent4 2 4 2 3 2" xfId="11884" xr:uid="{00000000-0005-0000-0000-000056360000}"/>
    <cellStyle name="40% - Accent4 2 4 2 3 2 2" xfId="11885" xr:uid="{00000000-0005-0000-0000-000057360000}"/>
    <cellStyle name="40% - Accent4 2 4 2 3 2 2 2" xfId="11886" xr:uid="{00000000-0005-0000-0000-000058360000}"/>
    <cellStyle name="40% - Accent4 2 4 2 3 2 3" xfId="11887" xr:uid="{00000000-0005-0000-0000-000059360000}"/>
    <cellStyle name="40% - Accent4 2 4 2 3 2 4" xfId="11888" xr:uid="{00000000-0005-0000-0000-00005A360000}"/>
    <cellStyle name="40% - Accent4 2 4 2 3 2 5" xfId="38285" xr:uid="{00000000-0005-0000-0000-00005B360000}"/>
    <cellStyle name="40% - Accent4 2 4 2 3 3" xfId="11889" xr:uid="{00000000-0005-0000-0000-00005C360000}"/>
    <cellStyle name="40% - Accent4 2 4 2 3 3 2" xfId="11890" xr:uid="{00000000-0005-0000-0000-00005D360000}"/>
    <cellStyle name="40% - Accent4 2 4 2 3 4" xfId="11891" xr:uid="{00000000-0005-0000-0000-00005E360000}"/>
    <cellStyle name="40% - Accent4 2 4 2 3 5" xfId="11892" xr:uid="{00000000-0005-0000-0000-00005F360000}"/>
    <cellStyle name="40% - Accent4 2 4 2 3 6" xfId="38284" xr:uid="{00000000-0005-0000-0000-000060360000}"/>
    <cellStyle name="40% - Accent4 2 4 2 4" xfId="11893" xr:uid="{00000000-0005-0000-0000-000061360000}"/>
    <cellStyle name="40% - Accent4 2 4 2 4 2" xfId="11894" xr:uid="{00000000-0005-0000-0000-000062360000}"/>
    <cellStyle name="40% - Accent4 2 4 2 4 2 2" xfId="11895" xr:uid="{00000000-0005-0000-0000-000063360000}"/>
    <cellStyle name="40% - Accent4 2 4 2 4 3" xfId="11896" xr:uid="{00000000-0005-0000-0000-000064360000}"/>
    <cellStyle name="40% - Accent4 2 4 2 4 4" xfId="11897" xr:uid="{00000000-0005-0000-0000-000065360000}"/>
    <cellStyle name="40% - Accent4 2 4 2 4 5" xfId="38286" xr:uid="{00000000-0005-0000-0000-000066360000}"/>
    <cellStyle name="40% - Accent4 2 4 2 5" xfId="11898" xr:uid="{00000000-0005-0000-0000-000067360000}"/>
    <cellStyle name="40% - Accent4 2 4 2 5 2" xfId="11899" xr:uid="{00000000-0005-0000-0000-000068360000}"/>
    <cellStyle name="40% - Accent4 2 4 2 5 2 2" xfId="11900" xr:uid="{00000000-0005-0000-0000-000069360000}"/>
    <cellStyle name="40% - Accent4 2 4 2 5 3" xfId="11901" xr:uid="{00000000-0005-0000-0000-00006A360000}"/>
    <cellStyle name="40% - Accent4 2 4 2 5 4" xfId="11902" xr:uid="{00000000-0005-0000-0000-00006B360000}"/>
    <cellStyle name="40% - Accent4 2 4 2 6" xfId="11903" xr:uid="{00000000-0005-0000-0000-00006C360000}"/>
    <cellStyle name="40% - Accent4 2 4 2 6 2" xfId="11904" xr:uid="{00000000-0005-0000-0000-00006D360000}"/>
    <cellStyle name="40% - Accent4 2 4 2 6 2 2" xfId="11905" xr:uid="{00000000-0005-0000-0000-00006E360000}"/>
    <cellStyle name="40% - Accent4 2 4 2 6 3" xfId="11906" xr:uid="{00000000-0005-0000-0000-00006F360000}"/>
    <cellStyle name="40% - Accent4 2 4 2 6 4" xfId="11907" xr:uid="{00000000-0005-0000-0000-000070360000}"/>
    <cellStyle name="40% - Accent4 2 4 2 7" xfId="11908" xr:uid="{00000000-0005-0000-0000-000071360000}"/>
    <cellStyle name="40% - Accent4 2 4 2 7 2" xfId="11909" xr:uid="{00000000-0005-0000-0000-000072360000}"/>
    <cellStyle name="40% - Accent4 2 4 2 8" xfId="11910" xr:uid="{00000000-0005-0000-0000-000073360000}"/>
    <cellStyle name="40% - Accent4 2 4 2 9" xfId="11911" xr:uid="{00000000-0005-0000-0000-000074360000}"/>
    <cellStyle name="40% - Accent4 2 4 3" xfId="11912" xr:uid="{00000000-0005-0000-0000-000075360000}"/>
    <cellStyle name="40% - Accent4 2 4 3 2" xfId="11913" xr:uid="{00000000-0005-0000-0000-000076360000}"/>
    <cellStyle name="40% - Accent4 2 4 3 2 2" xfId="11914" xr:uid="{00000000-0005-0000-0000-000077360000}"/>
    <cellStyle name="40% - Accent4 2 4 3 2 2 2" xfId="11915" xr:uid="{00000000-0005-0000-0000-000078360000}"/>
    <cellStyle name="40% - Accent4 2 4 3 2 3" xfId="11916" xr:uid="{00000000-0005-0000-0000-000079360000}"/>
    <cellStyle name="40% - Accent4 2 4 3 2 4" xfId="11917" xr:uid="{00000000-0005-0000-0000-00007A360000}"/>
    <cellStyle name="40% - Accent4 2 4 3 2 5" xfId="38288" xr:uid="{00000000-0005-0000-0000-00007B360000}"/>
    <cellStyle name="40% - Accent4 2 4 3 3" xfId="11918" xr:uid="{00000000-0005-0000-0000-00007C360000}"/>
    <cellStyle name="40% - Accent4 2 4 3 3 2" xfId="11919" xr:uid="{00000000-0005-0000-0000-00007D360000}"/>
    <cellStyle name="40% - Accent4 2 4 3 4" xfId="11920" xr:uid="{00000000-0005-0000-0000-00007E360000}"/>
    <cellStyle name="40% - Accent4 2 4 3 5" xfId="11921" xr:uid="{00000000-0005-0000-0000-00007F360000}"/>
    <cellStyle name="40% - Accent4 2 4 3 6" xfId="38287" xr:uid="{00000000-0005-0000-0000-000080360000}"/>
    <cellStyle name="40% - Accent4 2 4 4" xfId="11922" xr:uid="{00000000-0005-0000-0000-000081360000}"/>
    <cellStyle name="40% - Accent4 2 4 4 2" xfId="11923" xr:uid="{00000000-0005-0000-0000-000082360000}"/>
    <cellStyle name="40% - Accent4 2 4 4 2 2" xfId="11924" xr:uid="{00000000-0005-0000-0000-000083360000}"/>
    <cellStyle name="40% - Accent4 2 4 4 2 2 2" xfId="11925" xr:uid="{00000000-0005-0000-0000-000084360000}"/>
    <cellStyle name="40% - Accent4 2 4 4 2 3" xfId="11926" xr:uid="{00000000-0005-0000-0000-000085360000}"/>
    <cellStyle name="40% - Accent4 2 4 4 2 4" xfId="11927" xr:uid="{00000000-0005-0000-0000-000086360000}"/>
    <cellStyle name="40% - Accent4 2 4 4 2 5" xfId="38290" xr:uid="{00000000-0005-0000-0000-000087360000}"/>
    <cellStyle name="40% - Accent4 2 4 4 3" xfId="11928" xr:uid="{00000000-0005-0000-0000-000088360000}"/>
    <cellStyle name="40% - Accent4 2 4 4 3 2" xfId="11929" xr:uid="{00000000-0005-0000-0000-000089360000}"/>
    <cellStyle name="40% - Accent4 2 4 4 4" xfId="11930" xr:uid="{00000000-0005-0000-0000-00008A360000}"/>
    <cellStyle name="40% - Accent4 2 4 4 5" xfId="11931" xr:uid="{00000000-0005-0000-0000-00008B360000}"/>
    <cellStyle name="40% - Accent4 2 4 4 6" xfId="38289" xr:uid="{00000000-0005-0000-0000-00008C360000}"/>
    <cellStyle name="40% - Accent4 2 4 5" xfId="11932" xr:uid="{00000000-0005-0000-0000-00008D360000}"/>
    <cellStyle name="40% - Accent4 2 4 5 2" xfId="11933" xr:uid="{00000000-0005-0000-0000-00008E360000}"/>
    <cellStyle name="40% - Accent4 2 4 5 2 2" xfId="11934" xr:uid="{00000000-0005-0000-0000-00008F360000}"/>
    <cellStyle name="40% - Accent4 2 4 5 3" xfId="11935" xr:uid="{00000000-0005-0000-0000-000090360000}"/>
    <cellStyle name="40% - Accent4 2 4 5 4" xfId="11936" xr:uid="{00000000-0005-0000-0000-000091360000}"/>
    <cellStyle name="40% - Accent4 2 4 5 5" xfId="38291" xr:uid="{00000000-0005-0000-0000-000092360000}"/>
    <cellStyle name="40% - Accent4 2 4 6" xfId="11937" xr:uid="{00000000-0005-0000-0000-000093360000}"/>
    <cellStyle name="40% - Accent4 2 4 6 2" xfId="11938" xr:uid="{00000000-0005-0000-0000-000094360000}"/>
    <cellStyle name="40% - Accent4 2 4 6 2 2" xfId="11939" xr:uid="{00000000-0005-0000-0000-000095360000}"/>
    <cellStyle name="40% - Accent4 2 4 6 3" xfId="11940" xr:uid="{00000000-0005-0000-0000-000096360000}"/>
    <cellStyle name="40% - Accent4 2 4 6 4" xfId="11941" xr:uid="{00000000-0005-0000-0000-000097360000}"/>
    <cellStyle name="40% - Accent4 2 4 7" xfId="11942" xr:uid="{00000000-0005-0000-0000-000098360000}"/>
    <cellStyle name="40% - Accent4 2 4 7 2" xfId="11943" xr:uid="{00000000-0005-0000-0000-000099360000}"/>
    <cellStyle name="40% - Accent4 2 4 7 2 2" xfId="11944" xr:uid="{00000000-0005-0000-0000-00009A360000}"/>
    <cellStyle name="40% - Accent4 2 4 7 3" xfId="11945" xr:uid="{00000000-0005-0000-0000-00009B360000}"/>
    <cellStyle name="40% - Accent4 2 4 7 4" xfId="11946" xr:uid="{00000000-0005-0000-0000-00009C360000}"/>
    <cellStyle name="40% - Accent4 2 4 8" xfId="11947" xr:uid="{00000000-0005-0000-0000-00009D360000}"/>
    <cellStyle name="40% - Accent4 2 4 8 2" xfId="11948" xr:uid="{00000000-0005-0000-0000-00009E360000}"/>
    <cellStyle name="40% - Accent4 2 4 9" xfId="11949" xr:uid="{00000000-0005-0000-0000-00009F360000}"/>
    <cellStyle name="40% - Accent4 2 5" xfId="11950" xr:uid="{00000000-0005-0000-0000-0000A0360000}"/>
    <cellStyle name="40% - Accent4 2 5 10" xfId="34761" xr:uid="{00000000-0005-0000-0000-0000A1360000}"/>
    <cellStyle name="40% - Accent4 2 5 2" xfId="11951" xr:uid="{00000000-0005-0000-0000-0000A2360000}"/>
    <cellStyle name="40% - Accent4 2 5 2 2" xfId="11952" xr:uid="{00000000-0005-0000-0000-0000A3360000}"/>
    <cellStyle name="40% - Accent4 2 5 2 2 2" xfId="11953" xr:uid="{00000000-0005-0000-0000-0000A4360000}"/>
    <cellStyle name="40% - Accent4 2 5 2 2 2 2" xfId="11954" xr:uid="{00000000-0005-0000-0000-0000A5360000}"/>
    <cellStyle name="40% - Accent4 2 5 2 2 3" xfId="11955" xr:uid="{00000000-0005-0000-0000-0000A6360000}"/>
    <cellStyle name="40% - Accent4 2 5 2 2 4" xfId="11956" xr:uid="{00000000-0005-0000-0000-0000A7360000}"/>
    <cellStyle name="40% - Accent4 2 5 2 2 5" xfId="38293" xr:uid="{00000000-0005-0000-0000-0000A8360000}"/>
    <cellStyle name="40% - Accent4 2 5 2 3" xfId="11957" xr:uid="{00000000-0005-0000-0000-0000A9360000}"/>
    <cellStyle name="40% - Accent4 2 5 2 3 2" xfId="11958" xr:uid="{00000000-0005-0000-0000-0000AA360000}"/>
    <cellStyle name="40% - Accent4 2 5 2 4" xfId="11959" xr:uid="{00000000-0005-0000-0000-0000AB360000}"/>
    <cellStyle name="40% - Accent4 2 5 2 5" xfId="11960" xr:uid="{00000000-0005-0000-0000-0000AC360000}"/>
    <cellStyle name="40% - Accent4 2 5 2 6" xfId="38292" xr:uid="{00000000-0005-0000-0000-0000AD360000}"/>
    <cellStyle name="40% - Accent4 2 5 3" xfId="11961" xr:uid="{00000000-0005-0000-0000-0000AE360000}"/>
    <cellStyle name="40% - Accent4 2 5 3 2" xfId="11962" xr:uid="{00000000-0005-0000-0000-0000AF360000}"/>
    <cellStyle name="40% - Accent4 2 5 3 2 2" xfId="11963" xr:uid="{00000000-0005-0000-0000-0000B0360000}"/>
    <cellStyle name="40% - Accent4 2 5 3 2 2 2" xfId="11964" xr:uid="{00000000-0005-0000-0000-0000B1360000}"/>
    <cellStyle name="40% - Accent4 2 5 3 2 3" xfId="11965" xr:uid="{00000000-0005-0000-0000-0000B2360000}"/>
    <cellStyle name="40% - Accent4 2 5 3 2 4" xfId="11966" xr:uid="{00000000-0005-0000-0000-0000B3360000}"/>
    <cellStyle name="40% - Accent4 2 5 3 2 5" xfId="38295" xr:uid="{00000000-0005-0000-0000-0000B4360000}"/>
    <cellStyle name="40% - Accent4 2 5 3 3" xfId="11967" xr:uid="{00000000-0005-0000-0000-0000B5360000}"/>
    <cellStyle name="40% - Accent4 2 5 3 3 2" xfId="11968" xr:uid="{00000000-0005-0000-0000-0000B6360000}"/>
    <cellStyle name="40% - Accent4 2 5 3 4" xfId="11969" xr:uid="{00000000-0005-0000-0000-0000B7360000}"/>
    <cellStyle name="40% - Accent4 2 5 3 5" xfId="11970" xr:uid="{00000000-0005-0000-0000-0000B8360000}"/>
    <cellStyle name="40% - Accent4 2 5 3 6" xfId="38294" xr:uid="{00000000-0005-0000-0000-0000B9360000}"/>
    <cellStyle name="40% - Accent4 2 5 4" xfId="11971" xr:uid="{00000000-0005-0000-0000-0000BA360000}"/>
    <cellStyle name="40% - Accent4 2 5 4 2" xfId="11972" xr:uid="{00000000-0005-0000-0000-0000BB360000}"/>
    <cellStyle name="40% - Accent4 2 5 4 2 2" xfId="11973" xr:uid="{00000000-0005-0000-0000-0000BC360000}"/>
    <cellStyle name="40% - Accent4 2 5 4 3" xfId="11974" xr:uid="{00000000-0005-0000-0000-0000BD360000}"/>
    <cellStyle name="40% - Accent4 2 5 4 4" xfId="11975" xr:uid="{00000000-0005-0000-0000-0000BE360000}"/>
    <cellStyle name="40% - Accent4 2 5 4 5" xfId="38296" xr:uid="{00000000-0005-0000-0000-0000BF360000}"/>
    <cellStyle name="40% - Accent4 2 5 5" xfId="11976" xr:uid="{00000000-0005-0000-0000-0000C0360000}"/>
    <cellStyle name="40% - Accent4 2 5 5 2" xfId="11977" xr:uid="{00000000-0005-0000-0000-0000C1360000}"/>
    <cellStyle name="40% - Accent4 2 5 5 2 2" xfId="11978" xr:uid="{00000000-0005-0000-0000-0000C2360000}"/>
    <cellStyle name="40% - Accent4 2 5 5 3" xfId="11979" xr:uid="{00000000-0005-0000-0000-0000C3360000}"/>
    <cellStyle name="40% - Accent4 2 5 5 4" xfId="11980" xr:uid="{00000000-0005-0000-0000-0000C4360000}"/>
    <cellStyle name="40% - Accent4 2 5 6" xfId="11981" xr:uid="{00000000-0005-0000-0000-0000C5360000}"/>
    <cellStyle name="40% - Accent4 2 5 6 2" xfId="11982" xr:uid="{00000000-0005-0000-0000-0000C6360000}"/>
    <cellStyle name="40% - Accent4 2 5 6 2 2" xfId="11983" xr:uid="{00000000-0005-0000-0000-0000C7360000}"/>
    <cellStyle name="40% - Accent4 2 5 6 3" xfId="11984" xr:uid="{00000000-0005-0000-0000-0000C8360000}"/>
    <cellStyle name="40% - Accent4 2 5 6 4" xfId="11985" xr:uid="{00000000-0005-0000-0000-0000C9360000}"/>
    <cellStyle name="40% - Accent4 2 5 7" xfId="11986" xr:uid="{00000000-0005-0000-0000-0000CA360000}"/>
    <cellStyle name="40% - Accent4 2 5 7 2" xfId="11987" xr:uid="{00000000-0005-0000-0000-0000CB360000}"/>
    <cellStyle name="40% - Accent4 2 5 8" xfId="11988" xr:uid="{00000000-0005-0000-0000-0000CC360000}"/>
    <cellStyle name="40% - Accent4 2 5 9" xfId="11989" xr:uid="{00000000-0005-0000-0000-0000CD360000}"/>
    <cellStyle name="40% - Accent4 2 6" xfId="11990" xr:uid="{00000000-0005-0000-0000-0000CE360000}"/>
    <cellStyle name="40% - Accent4 2 7" xfId="11991" xr:uid="{00000000-0005-0000-0000-0000CF360000}"/>
    <cellStyle name="40% - Accent4 2 8" xfId="11992" xr:uid="{00000000-0005-0000-0000-0000D0360000}"/>
    <cellStyle name="40% - Accent4 2 8 2" xfId="11993" xr:uid="{00000000-0005-0000-0000-0000D1360000}"/>
    <cellStyle name="40% - Accent4 2 8 3" xfId="34762" xr:uid="{00000000-0005-0000-0000-0000D2360000}"/>
    <cellStyle name="40% - Accent4 2 9" xfId="11994" xr:uid="{00000000-0005-0000-0000-0000D3360000}"/>
    <cellStyle name="40% - Accent4 3" xfId="11995" xr:uid="{00000000-0005-0000-0000-0000D4360000}"/>
    <cellStyle name="40% - Accent4 3 2" xfId="11996" xr:uid="{00000000-0005-0000-0000-0000D5360000}"/>
    <cellStyle name="40% - Accent4 3 2 10" xfId="11997" xr:uid="{00000000-0005-0000-0000-0000D6360000}"/>
    <cellStyle name="40% - Accent4 3 2 10 2" xfId="11998" xr:uid="{00000000-0005-0000-0000-0000D7360000}"/>
    <cellStyle name="40% - Accent4 3 2 11" xfId="11999" xr:uid="{00000000-0005-0000-0000-0000D8360000}"/>
    <cellStyle name="40% - Accent4 3 2 12" xfId="12000" xr:uid="{00000000-0005-0000-0000-0000D9360000}"/>
    <cellStyle name="40% - Accent4 3 2 13" xfId="34763" xr:uid="{00000000-0005-0000-0000-0000DA360000}"/>
    <cellStyle name="40% - Accent4 3 2 2" xfId="12001" xr:uid="{00000000-0005-0000-0000-0000DB360000}"/>
    <cellStyle name="40% - Accent4 3 2 2 10" xfId="12002" xr:uid="{00000000-0005-0000-0000-0000DC360000}"/>
    <cellStyle name="40% - Accent4 3 2 2 11" xfId="12003" xr:uid="{00000000-0005-0000-0000-0000DD360000}"/>
    <cellStyle name="40% - Accent4 3 2 2 12" xfId="34764" xr:uid="{00000000-0005-0000-0000-0000DE360000}"/>
    <cellStyle name="40% - Accent4 3 2 2 2" xfId="12004" xr:uid="{00000000-0005-0000-0000-0000DF360000}"/>
    <cellStyle name="40% - Accent4 3 2 2 2 10" xfId="12005" xr:uid="{00000000-0005-0000-0000-0000E0360000}"/>
    <cellStyle name="40% - Accent4 3 2 2 2 11" xfId="34765" xr:uid="{00000000-0005-0000-0000-0000E1360000}"/>
    <cellStyle name="40% - Accent4 3 2 2 2 2" xfId="12006" xr:uid="{00000000-0005-0000-0000-0000E2360000}"/>
    <cellStyle name="40% - Accent4 3 2 2 2 2 10" xfId="34766" xr:uid="{00000000-0005-0000-0000-0000E3360000}"/>
    <cellStyle name="40% - Accent4 3 2 2 2 2 2" xfId="12007" xr:uid="{00000000-0005-0000-0000-0000E4360000}"/>
    <cellStyle name="40% - Accent4 3 2 2 2 2 2 2" xfId="12008" xr:uid="{00000000-0005-0000-0000-0000E5360000}"/>
    <cellStyle name="40% - Accent4 3 2 2 2 2 2 2 2" xfId="12009" xr:uid="{00000000-0005-0000-0000-0000E6360000}"/>
    <cellStyle name="40% - Accent4 3 2 2 2 2 2 2 2 2" xfId="12010" xr:uid="{00000000-0005-0000-0000-0000E7360000}"/>
    <cellStyle name="40% - Accent4 3 2 2 2 2 2 2 3" xfId="12011" xr:uid="{00000000-0005-0000-0000-0000E8360000}"/>
    <cellStyle name="40% - Accent4 3 2 2 2 2 2 2 4" xfId="12012" xr:uid="{00000000-0005-0000-0000-0000E9360000}"/>
    <cellStyle name="40% - Accent4 3 2 2 2 2 2 2 5" xfId="38298" xr:uid="{00000000-0005-0000-0000-0000EA360000}"/>
    <cellStyle name="40% - Accent4 3 2 2 2 2 2 3" xfId="12013" xr:uid="{00000000-0005-0000-0000-0000EB360000}"/>
    <cellStyle name="40% - Accent4 3 2 2 2 2 2 3 2" xfId="12014" xr:uid="{00000000-0005-0000-0000-0000EC360000}"/>
    <cellStyle name="40% - Accent4 3 2 2 2 2 2 4" xfId="12015" xr:uid="{00000000-0005-0000-0000-0000ED360000}"/>
    <cellStyle name="40% - Accent4 3 2 2 2 2 2 5" xfId="12016" xr:uid="{00000000-0005-0000-0000-0000EE360000}"/>
    <cellStyle name="40% - Accent4 3 2 2 2 2 2 6" xfId="38297" xr:uid="{00000000-0005-0000-0000-0000EF360000}"/>
    <cellStyle name="40% - Accent4 3 2 2 2 2 3" xfId="12017" xr:uid="{00000000-0005-0000-0000-0000F0360000}"/>
    <cellStyle name="40% - Accent4 3 2 2 2 2 3 2" xfId="12018" xr:uid="{00000000-0005-0000-0000-0000F1360000}"/>
    <cellStyle name="40% - Accent4 3 2 2 2 2 3 2 2" xfId="12019" xr:uid="{00000000-0005-0000-0000-0000F2360000}"/>
    <cellStyle name="40% - Accent4 3 2 2 2 2 3 2 2 2" xfId="12020" xr:uid="{00000000-0005-0000-0000-0000F3360000}"/>
    <cellStyle name="40% - Accent4 3 2 2 2 2 3 2 3" xfId="12021" xr:uid="{00000000-0005-0000-0000-0000F4360000}"/>
    <cellStyle name="40% - Accent4 3 2 2 2 2 3 2 4" xfId="12022" xr:uid="{00000000-0005-0000-0000-0000F5360000}"/>
    <cellStyle name="40% - Accent4 3 2 2 2 2 3 2 5" xfId="38300" xr:uid="{00000000-0005-0000-0000-0000F6360000}"/>
    <cellStyle name="40% - Accent4 3 2 2 2 2 3 3" xfId="12023" xr:uid="{00000000-0005-0000-0000-0000F7360000}"/>
    <cellStyle name="40% - Accent4 3 2 2 2 2 3 3 2" xfId="12024" xr:uid="{00000000-0005-0000-0000-0000F8360000}"/>
    <cellStyle name="40% - Accent4 3 2 2 2 2 3 4" xfId="12025" xr:uid="{00000000-0005-0000-0000-0000F9360000}"/>
    <cellStyle name="40% - Accent4 3 2 2 2 2 3 5" xfId="12026" xr:uid="{00000000-0005-0000-0000-0000FA360000}"/>
    <cellStyle name="40% - Accent4 3 2 2 2 2 3 6" xfId="38299" xr:uid="{00000000-0005-0000-0000-0000FB360000}"/>
    <cellStyle name="40% - Accent4 3 2 2 2 2 4" xfId="12027" xr:uid="{00000000-0005-0000-0000-0000FC360000}"/>
    <cellStyle name="40% - Accent4 3 2 2 2 2 4 2" xfId="12028" xr:uid="{00000000-0005-0000-0000-0000FD360000}"/>
    <cellStyle name="40% - Accent4 3 2 2 2 2 4 2 2" xfId="12029" xr:uid="{00000000-0005-0000-0000-0000FE360000}"/>
    <cellStyle name="40% - Accent4 3 2 2 2 2 4 3" xfId="12030" xr:uid="{00000000-0005-0000-0000-0000FF360000}"/>
    <cellStyle name="40% - Accent4 3 2 2 2 2 4 4" xfId="12031" xr:uid="{00000000-0005-0000-0000-000000370000}"/>
    <cellStyle name="40% - Accent4 3 2 2 2 2 4 5" xfId="38301" xr:uid="{00000000-0005-0000-0000-000001370000}"/>
    <cellStyle name="40% - Accent4 3 2 2 2 2 5" xfId="12032" xr:uid="{00000000-0005-0000-0000-000002370000}"/>
    <cellStyle name="40% - Accent4 3 2 2 2 2 5 2" xfId="12033" xr:uid="{00000000-0005-0000-0000-000003370000}"/>
    <cellStyle name="40% - Accent4 3 2 2 2 2 5 2 2" xfId="12034" xr:uid="{00000000-0005-0000-0000-000004370000}"/>
    <cellStyle name="40% - Accent4 3 2 2 2 2 5 3" xfId="12035" xr:uid="{00000000-0005-0000-0000-000005370000}"/>
    <cellStyle name="40% - Accent4 3 2 2 2 2 5 4" xfId="12036" xr:uid="{00000000-0005-0000-0000-000006370000}"/>
    <cellStyle name="40% - Accent4 3 2 2 2 2 6" xfId="12037" xr:uid="{00000000-0005-0000-0000-000007370000}"/>
    <cellStyle name="40% - Accent4 3 2 2 2 2 6 2" xfId="12038" xr:uid="{00000000-0005-0000-0000-000008370000}"/>
    <cellStyle name="40% - Accent4 3 2 2 2 2 6 2 2" xfId="12039" xr:uid="{00000000-0005-0000-0000-000009370000}"/>
    <cellStyle name="40% - Accent4 3 2 2 2 2 6 3" xfId="12040" xr:uid="{00000000-0005-0000-0000-00000A370000}"/>
    <cellStyle name="40% - Accent4 3 2 2 2 2 6 4" xfId="12041" xr:uid="{00000000-0005-0000-0000-00000B370000}"/>
    <cellStyle name="40% - Accent4 3 2 2 2 2 7" xfId="12042" xr:uid="{00000000-0005-0000-0000-00000C370000}"/>
    <cellStyle name="40% - Accent4 3 2 2 2 2 7 2" xfId="12043" xr:uid="{00000000-0005-0000-0000-00000D370000}"/>
    <cellStyle name="40% - Accent4 3 2 2 2 2 8" xfId="12044" xr:uid="{00000000-0005-0000-0000-00000E370000}"/>
    <cellStyle name="40% - Accent4 3 2 2 2 2 9" xfId="12045" xr:uid="{00000000-0005-0000-0000-00000F370000}"/>
    <cellStyle name="40% - Accent4 3 2 2 2 3" xfId="12046" xr:uid="{00000000-0005-0000-0000-000010370000}"/>
    <cellStyle name="40% - Accent4 3 2 2 2 3 2" xfId="12047" xr:uid="{00000000-0005-0000-0000-000011370000}"/>
    <cellStyle name="40% - Accent4 3 2 2 2 3 2 2" xfId="12048" xr:uid="{00000000-0005-0000-0000-000012370000}"/>
    <cellStyle name="40% - Accent4 3 2 2 2 3 2 2 2" xfId="12049" xr:uid="{00000000-0005-0000-0000-000013370000}"/>
    <cellStyle name="40% - Accent4 3 2 2 2 3 2 3" xfId="12050" xr:uid="{00000000-0005-0000-0000-000014370000}"/>
    <cellStyle name="40% - Accent4 3 2 2 2 3 2 4" xfId="12051" xr:uid="{00000000-0005-0000-0000-000015370000}"/>
    <cellStyle name="40% - Accent4 3 2 2 2 3 2 5" xfId="38303" xr:uid="{00000000-0005-0000-0000-000016370000}"/>
    <cellStyle name="40% - Accent4 3 2 2 2 3 3" xfId="12052" xr:uid="{00000000-0005-0000-0000-000017370000}"/>
    <cellStyle name="40% - Accent4 3 2 2 2 3 3 2" xfId="12053" xr:uid="{00000000-0005-0000-0000-000018370000}"/>
    <cellStyle name="40% - Accent4 3 2 2 2 3 4" xfId="12054" xr:uid="{00000000-0005-0000-0000-000019370000}"/>
    <cellStyle name="40% - Accent4 3 2 2 2 3 5" xfId="12055" xr:uid="{00000000-0005-0000-0000-00001A370000}"/>
    <cellStyle name="40% - Accent4 3 2 2 2 3 6" xfId="38302" xr:uid="{00000000-0005-0000-0000-00001B370000}"/>
    <cellStyle name="40% - Accent4 3 2 2 2 4" xfId="12056" xr:uid="{00000000-0005-0000-0000-00001C370000}"/>
    <cellStyle name="40% - Accent4 3 2 2 2 4 2" xfId="12057" xr:uid="{00000000-0005-0000-0000-00001D370000}"/>
    <cellStyle name="40% - Accent4 3 2 2 2 4 2 2" xfId="12058" xr:uid="{00000000-0005-0000-0000-00001E370000}"/>
    <cellStyle name="40% - Accent4 3 2 2 2 4 2 2 2" xfId="12059" xr:uid="{00000000-0005-0000-0000-00001F370000}"/>
    <cellStyle name="40% - Accent4 3 2 2 2 4 2 3" xfId="12060" xr:uid="{00000000-0005-0000-0000-000020370000}"/>
    <cellStyle name="40% - Accent4 3 2 2 2 4 2 4" xfId="12061" xr:uid="{00000000-0005-0000-0000-000021370000}"/>
    <cellStyle name="40% - Accent4 3 2 2 2 4 2 5" xfId="38305" xr:uid="{00000000-0005-0000-0000-000022370000}"/>
    <cellStyle name="40% - Accent4 3 2 2 2 4 3" xfId="12062" xr:uid="{00000000-0005-0000-0000-000023370000}"/>
    <cellStyle name="40% - Accent4 3 2 2 2 4 3 2" xfId="12063" xr:uid="{00000000-0005-0000-0000-000024370000}"/>
    <cellStyle name="40% - Accent4 3 2 2 2 4 4" xfId="12064" xr:uid="{00000000-0005-0000-0000-000025370000}"/>
    <cellStyle name="40% - Accent4 3 2 2 2 4 5" xfId="12065" xr:uid="{00000000-0005-0000-0000-000026370000}"/>
    <cellStyle name="40% - Accent4 3 2 2 2 4 6" xfId="38304" xr:uid="{00000000-0005-0000-0000-000027370000}"/>
    <cellStyle name="40% - Accent4 3 2 2 2 5" xfId="12066" xr:uid="{00000000-0005-0000-0000-000028370000}"/>
    <cellStyle name="40% - Accent4 3 2 2 2 5 2" xfId="12067" xr:uid="{00000000-0005-0000-0000-000029370000}"/>
    <cellStyle name="40% - Accent4 3 2 2 2 5 2 2" xfId="12068" xr:uid="{00000000-0005-0000-0000-00002A370000}"/>
    <cellStyle name="40% - Accent4 3 2 2 2 5 3" xfId="12069" xr:uid="{00000000-0005-0000-0000-00002B370000}"/>
    <cellStyle name="40% - Accent4 3 2 2 2 5 4" xfId="12070" xr:uid="{00000000-0005-0000-0000-00002C370000}"/>
    <cellStyle name="40% - Accent4 3 2 2 2 5 5" xfId="38306" xr:uid="{00000000-0005-0000-0000-00002D370000}"/>
    <cellStyle name="40% - Accent4 3 2 2 2 6" xfId="12071" xr:uid="{00000000-0005-0000-0000-00002E370000}"/>
    <cellStyle name="40% - Accent4 3 2 2 2 6 2" xfId="12072" xr:uid="{00000000-0005-0000-0000-00002F370000}"/>
    <cellStyle name="40% - Accent4 3 2 2 2 6 2 2" xfId="12073" xr:uid="{00000000-0005-0000-0000-000030370000}"/>
    <cellStyle name="40% - Accent4 3 2 2 2 6 3" xfId="12074" xr:uid="{00000000-0005-0000-0000-000031370000}"/>
    <cellStyle name="40% - Accent4 3 2 2 2 6 4" xfId="12075" xr:uid="{00000000-0005-0000-0000-000032370000}"/>
    <cellStyle name="40% - Accent4 3 2 2 2 7" xfId="12076" xr:uid="{00000000-0005-0000-0000-000033370000}"/>
    <cellStyle name="40% - Accent4 3 2 2 2 7 2" xfId="12077" xr:uid="{00000000-0005-0000-0000-000034370000}"/>
    <cellStyle name="40% - Accent4 3 2 2 2 7 2 2" xfId="12078" xr:uid="{00000000-0005-0000-0000-000035370000}"/>
    <cellStyle name="40% - Accent4 3 2 2 2 7 3" xfId="12079" xr:uid="{00000000-0005-0000-0000-000036370000}"/>
    <cellStyle name="40% - Accent4 3 2 2 2 7 4" xfId="12080" xr:uid="{00000000-0005-0000-0000-000037370000}"/>
    <cellStyle name="40% - Accent4 3 2 2 2 8" xfId="12081" xr:uid="{00000000-0005-0000-0000-000038370000}"/>
    <cellStyle name="40% - Accent4 3 2 2 2 8 2" xfId="12082" xr:uid="{00000000-0005-0000-0000-000039370000}"/>
    <cellStyle name="40% - Accent4 3 2 2 2 9" xfId="12083" xr:uid="{00000000-0005-0000-0000-00003A370000}"/>
    <cellStyle name="40% - Accent4 3 2 2 3" xfId="12084" xr:uid="{00000000-0005-0000-0000-00003B370000}"/>
    <cellStyle name="40% - Accent4 3 2 2 3 10" xfId="34767" xr:uid="{00000000-0005-0000-0000-00003C370000}"/>
    <cellStyle name="40% - Accent4 3 2 2 3 2" xfId="12085" xr:uid="{00000000-0005-0000-0000-00003D370000}"/>
    <cellStyle name="40% - Accent4 3 2 2 3 2 2" xfId="12086" xr:uid="{00000000-0005-0000-0000-00003E370000}"/>
    <cellStyle name="40% - Accent4 3 2 2 3 2 2 2" xfId="12087" xr:uid="{00000000-0005-0000-0000-00003F370000}"/>
    <cellStyle name="40% - Accent4 3 2 2 3 2 2 2 2" xfId="12088" xr:uid="{00000000-0005-0000-0000-000040370000}"/>
    <cellStyle name="40% - Accent4 3 2 2 3 2 2 3" xfId="12089" xr:uid="{00000000-0005-0000-0000-000041370000}"/>
    <cellStyle name="40% - Accent4 3 2 2 3 2 2 4" xfId="12090" xr:uid="{00000000-0005-0000-0000-000042370000}"/>
    <cellStyle name="40% - Accent4 3 2 2 3 2 2 5" xfId="38308" xr:uid="{00000000-0005-0000-0000-000043370000}"/>
    <cellStyle name="40% - Accent4 3 2 2 3 2 3" xfId="12091" xr:uid="{00000000-0005-0000-0000-000044370000}"/>
    <cellStyle name="40% - Accent4 3 2 2 3 2 3 2" xfId="12092" xr:uid="{00000000-0005-0000-0000-000045370000}"/>
    <cellStyle name="40% - Accent4 3 2 2 3 2 4" xfId="12093" xr:uid="{00000000-0005-0000-0000-000046370000}"/>
    <cellStyle name="40% - Accent4 3 2 2 3 2 5" xfId="12094" xr:uid="{00000000-0005-0000-0000-000047370000}"/>
    <cellStyle name="40% - Accent4 3 2 2 3 2 6" xfId="38307" xr:uid="{00000000-0005-0000-0000-000048370000}"/>
    <cellStyle name="40% - Accent4 3 2 2 3 3" xfId="12095" xr:uid="{00000000-0005-0000-0000-000049370000}"/>
    <cellStyle name="40% - Accent4 3 2 2 3 3 2" xfId="12096" xr:uid="{00000000-0005-0000-0000-00004A370000}"/>
    <cellStyle name="40% - Accent4 3 2 2 3 3 2 2" xfId="12097" xr:uid="{00000000-0005-0000-0000-00004B370000}"/>
    <cellStyle name="40% - Accent4 3 2 2 3 3 2 2 2" xfId="12098" xr:uid="{00000000-0005-0000-0000-00004C370000}"/>
    <cellStyle name="40% - Accent4 3 2 2 3 3 2 3" xfId="12099" xr:uid="{00000000-0005-0000-0000-00004D370000}"/>
    <cellStyle name="40% - Accent4 3 2 2 3 3 2 4" xfId="12100" xr:uid="{00000000-0005-0000-0000-00004E370000}"/>
    <cellStyle name="40% - Accent4 3 2 2 3 3 2 5" xfId="38310" xr:uid="{00000000-0005-0000-0000-00004F370000}"/>
    <cellStyle name="40% - Accent4 3 2 2 3 3 3" xfId="12101" xr:uid="{00000000-0005-0000-0000-000050370000}"/>
    <cellStyle name="40% - Accent4 3 2 2 3 3 3 2" xfId="12102" xr:uid="{00000000-0005-0000-0000-000051370000}"/>
    <cellStyle name="40% - Accent4 3 2 2 3 3 4" xfId="12103" xr:uid="{00000000-0005-0000-0000-000052370000}"/>
    <cellStyle name="40% - Accent4 3 2 2 3 3 5" xfId="12104" xr:uid="{00000000-0005-0000-0000-000053370000}"/>
    <cellStyle name="40% - Accent4 3 2 2 3 3 6" xfId="38309" xr:uid="{00000000-0005-0000-0000-000054370000}"/>
    <cellStyle name="40% - Accent4 3 2 2 3 4" xfId="12105" xr:uid="{00000000-0005-0000-0000-000055370000}"/>
    <cellStyle name="40% - Accent4 3 2 2 3 4 2" xfId="12106" xr:uid="{00000000-0005-0000-0000-000056370000}"/>
    <cellStyle name="40% - Accent4 3 2 2 3 4 2 2" xfId="12107" xr:uid="{00000000-0005-0000-0000-000057370000}"/>
    <cellStyle name="40% - Accent4 3 2 2 3 4 3" xfId="12108" xr:uid="{00000000-0005-0000-0000-000058370000}"/>
    <cellStyle name="40% - Accent4 3 2 2 3 4 4" xfId="12109" xr:uid="{00000000-0005-0000-0000-000059370000}"/>
    <cellStyle name="40% - Accent4 3 2 2 3 4 5" xfId="38311" xr:uid="{00000000-0005-0000-0000-00005A370000}"/>
    <cellStyle name="40% - Accent4 3 2 2 3 5" xfId="12110" xr:uid="{00000000-0005-0000-0000-00005B370000}"/>
    <cellStyle name="40% - Accent4 3 2 2 3 5 2" xfId="12111" xr:uid="{00000000-0005-0000-0000-00005C370000}"/>
    <cellStyle name="40% - Accent4 3 2 2 3 5 2 2" xfId="12112" xr:uid="{00000000-0005-0000-0000-00005D370000}"/>
    <cellStyle name="40% - Accent4 3 2 2 3 5 3" xfId="12113" xr:uid="{00000000-0005-0000-0000-00005E370000}"/>
    <cellStyle name="40% - Accent4 3 2 2 3 5 4" xfId="12114" xr:uid="{00000000-0005-0000-0000-00005F370000}"/>
    <cellStyle name="40% - Accent4 3 2 2 3 6" xfId="12115" xr:uid="{00000000-0005-0000-0000-000060370000}"/>
    <cellStyle name="40% - Accent4 3 2 2 3 6 2" xfId="12116" xr:uid="{00000000-0005-0000-0000-000061370000}"/>
    <cellStyle name="40% - Accent4 3 2 2 3 6 2 2" xfId="12117" xr:uid="{00000000-0005-0000-0000-000062370000}"/>
    <cellStyle name="40% - Accent4 3 2 2 3 6 3" xfId="12118" xr:uid="{00000000-0005-0000-0000-000063370000}"/>
    <cellStyle name="40% - Accent4 3 2 2 3 6 4" xfId="12119" xr:uid="{00000000-0005-0000-0000-000064370000}"/>
    <cellStyle name="40% - Accent4 3 2 2 3 7" xfId="12120" xr:uid="{00000000-0005-0000-0000-000065370000}"/>
    <cellStyle name="40% - Accent4 3 2 2 3 7 2" xfId="12121" xr:uid="{00000000-0005-0000-0000-000066370000}"/>
    <cellStyle name="40% - Accent4 3 2 2 3 8" xfId="12122" xr:uid="{00000000-0005-0000-0000-000067370000}"/>
    <cellStyle name="40% - Accent4 3 2 2 3 9" xfId="12123" xr:uid="{00000000-0005-0000-0000-000068370000}"/>
    <cellStyle name="40% - Accent4 3 2 2 4" xfId="12124" xr:uid="{00000000-0005-0000-0000-000069370000}"/>
    <cellStyle name="40% - Accent4 3 2 2 4 2" xfId="12125" xr:uid="{00000000-0005-0000-0000-00006A370000}"/>
    <cellStyle name="40% - Accent4 3 2 2 4 2 2" xfId="12126" xr:uid="{00000000-0005-0000-0000-00006B370000}"/>
    <cellStyle name="40% - Accent4 3 2 2 4 2 2 2" xfId="12127" xr:uid="{00000000-0005-0000-0000-00006C370000}"/>
    <cellStyle name="40% - Accent4 3 2 2 4 2 3" xfId="12128" xr:uid="{00000000-0005-0000-0000-00006D370000}"/>
    <cellStyle name="40% - Accent4 3 2 2 4 2 4" xfId="12129" xr:uid="{00000000-0005-0000-0000-00006E370000}"/>
    <cellStyle name="40% - Accent4 3 2 2 4 2 5" xfId="38313" xr:uid="{00000000-0005-0000-0000-00006F370000}"/>
    <cellStyle name="40% - Accent4 3 2 2 4 3" xfId="12130" xr:uid="{00000000-0005-0000-0000-000070370000}"/>
    <cellStyle name="40% - Accent4 3 2 2 4 3 2" xfId="12131" xr:uid="{00000000-0005-0000-0000-000071370000}"/>
    <cellStyle name="40% - Accent4 3 2 2 4 4" xfId="12132" xr:uid="{00000000-0005-0000-0000-000072370000}"/>
    <cellStyle name="40% - Accent4 3 2 2 4 5" xfId="12133" xr:uid="{00000000-0005-0000-0000-000073370000}"/>
    <cellStyle name="40% - Accent4 3 2 2 4 6" xfId="38312" xr:uid="{00000000-0005-0000-0000-000074370000}"/>
    <cellStyle name="40% - Accent4 3 2 2 5" xfId="12134" xr:uid="{00000000-0005-0000-0000-000075370000}"/>
    <cellStyle name="40% - Accent4 3 2 2 5 2" xfId="12135" xr:uid="{00000000-0005-0000-0000-000076370000}"/>
    <cellStyle name="40% - Accent4 3 2 2 5 2 2" xfId="12136" xr:uid="{00000000-0005-0000-0000-000077370000}"/>
    <cellStyle name="40% - Accent4 3 2 2 5 2 2 2" xfId="12137" xr:uid="{00000000-0005-0000-0000-000078370000}"/>
    <cellStyle name="40% - Accent4 3 2 2 5 2 3" xfId="12138" xr:uid="{00000000-0005-0000-0000-000079370000}"/>
    <cellStyle name="40% - Accent4 3 2 2 5 2 4" xfId="12139" xr:uid="{00000000-0005-0000-0000-00007A370000}"/>
    <cellStyle name="40% - Accent4 3 2 2 5 2 5" xfId="38315" xr:uid="{00000000-0005-0000-0000-00007B370000}"/>
    <cellStyle name="40% - Accent4 3 2 2 5 3" xfId="12140" xr:uid="{00000000-0005-0000-0000-00007C370000}"/>
    <cellStyle name="40% - Accent4 3 2 2 5 3 2" xfId="12141" xr:uid="{00000000-0005-0000-0000-00007D370000}"/>
    <cellStyle name="40% - Accent4 3 2 2 5 4" xfId="12142" xr:uid="{00000000-0005-0000-0000-00007E370000}"/>
    <cellStyle name="40% - Accent4 3 2 2 5 5" xfId="12143" xr:uid="{00000000-0005-0000-0000-00007F370000}"/>
    <cellStyle name="40% - Accent4 3 2 2 5 6" xfId="38314" xr:uid="{00000000-0005-0000-0000-000080370000}"/>
    <cellStyle name="40% - Accent4 3 2 2 6" xfId="12144" xr:uid="{00000000-0005-0000-0000-000081370000}"/>
    <cellStyle name="40% - Accent4 3 2 2 6 2" xfId="12145" xr:uid="{00000000-0005-0000-0000-000082370000}"/>
    <cellStyle name="40% - Accent4 3 2 2 6 2 2" xfId="12146" xr:uid="{00000000-0005-0000-0000-000083370000}"/>
    <cellStyle name="40% - Accent4 3 2 2 6 3" xfId="12147" xr:uid="{00000000-0005-0000-0000-000084370000}"/>
    <cellStyle name="40% - Accent4 3 2 2 6 4" xfId="12148" xr:uid="{00000000-0005-0000-0000-000085370000}"/>
    <cellStyle name="40% - Accent4 3 2 2 6 5" xfId="38316" xr:uid="{00000000-0005-0000-0000-000086370000}"/>
    <cellStyle name="40% - Accent4 3 2 2 7" xfId="12149" xr:uid="{00000000-0005-0000-0000-000087370000}"/>
    <cellStyle name="40% - Accent4 3 2 2 7 2" xfId="12150" xr:uid="{00000000-0005-0000-0000-000088370000}"/>
    <cellStyle name="40% - Accent4 3 2 2 7 2 2" xfId="12151" xr:uid="{00000000-0005-0000-0000-000089370000}"/>
    <cellStyle name="40% - Accent4 3 2 2 7 3" xfId="12152" xr:uid="{00000000-0005-0000-0000-00008A370000}"/>
    <cellStyle name="40% - Accent4 3 2 2 7 4" xfId="12153" xr:uid="{00000000-0005-0000-0000-00008B370000}"/>
    <cellStyle name="40% - Accent4 3 2 2 8" xfId="12154" xr:uid="{00000000-0005-0000-0000-00008C370000}"/>
    <cellStyle name="40% - Accent4 3 2 2 8 2" xfId="12155" xr:uid="{00000000-0005-0000-0000-00008D370000}"/>
    <cellStyle name="40% - Accent4 3 2 2 8 2 2" xfId="12156" xr:uid="{00000000-0005-0000-0000-00008E370000}"/>
    <cellStyle name="40% - Accent4 3 2 2 8 3" xfId="12157" xr:uid="{00000000-0005-0000-0000-00008F370000}"/>
    <cellStyle name="40% - Accent4 3 2 2 8 4" xfId="12158" xr:uid="{00000000-0005-0000-0000-000090370000}"/>
    <cellStyle name="40% - Accent4 3 2 2 9" xfId="12159" xr:uid="{00000000-0005-0000-0000-000091370000}"/>
    <cellStyle name="40% - Accent4 3 2 2 9 2" xfId="12160" xr:uid="{00000000-0005-0000-0000-000092370000}"/>
    <cellStyle name="40% - Accent4 3 2 3" xfId="12161" xr:uid="{00000000-0005-0000-0000-000093370000}"/>
    <cellStyle name="40% - Accent4 3 2 3 10" xfId="12162" xr:uid="{00000000-0005-0000-0000-000094370000}"/>
    <cellStyle name="40% - Accent4 3 2 3 11" xfId="34768" xr:uid="{00000000-0005-0000-0000-000095370000}"/>
    <cellStyle name="40% - Accent4 3 2 3 2" xfId="12163" xr:uid="{00000000-0005-0000-0000-000096370000}"/>
    <cellStyle name="40% - Accent4 3 2 3 2 10" xfId="34769" xr:uid="{00000000-0005-0000-0000-000097370000}"/>
    <cellStyle name="40% - Accent4 3 2 3 2 2" xfId="12164" xr:uid="{00000000-0005-0000-0000-000098370000}"/>
    <cellStyle name="40% - Accent4 3 2 3 2 2 2" xfId="12165" xr:uid="{00000000-0005-0000-0000-000099370000}"/>
    <cellStyle name="40% - Accent4 3 2 3 2 2 2 2" xfId="12166" xr:uid="{00000000-0005-0000-0000-00009A370000}"/>
    <cellStyle name="40% - Accent4 3 2 3 2 2 2 2 2" xfId="12167" xr:uid="{00000000-0005-0000-0000-00009B370000}"/>
    <cellStyle name="40% - Accent4 3 2 3 2 2 2 3" xfId="12168" xr:uid="{00000000-0005-0000-0000-00009C370000}"/>
    <cellStyle name="40% - Accent4 3 2 3 2 2 2 4" xfId="12169" xr:uid="{00000000-0005-0000-0000-00009D370000}"/>
    <cellStyle name="40% - Accent4 3 2 3 2 2 2 5" xfId="38318" xr:uid="{00000000-0005-0000-0000-00009E370000}"/>
    <cellStyle name="40% - Accent4 3 2 3 2 2 3" xfId="12170" xr:uid="{00000000-0005-0000-0000-00009F370000}"/>
    <cellStyle name="40% - Accent4 3 2 3 2 2 3 2" xfId="12171" xr:uid="{00000000-0005-0000-0000-0000A0370000}"/>
    <cellStyle name="40% - Accent4 3 2 3 2 2 4" xfId="12172" xr:uid="{00000000-0005-0000-0000-0000A1370000}"/>
    <cellStyle name="40% - Accent4 3 2 3 2 2 5" xfId="12173" xr:uid="{00000000-0005-0000-0000-0000A2370000}"/>
    <cellStyle name="40% - Accent4 3 2 3 2 2 6" xfId="38317" xr:uid="{00000000-0005-0000-0000-0000A3370000}"/>
    <cellStyle name="40% - Accent4 3 2 3 2 3" xfId="12174" xr:uid="{00000000-0005-0000-0000-0000A4370000}"/>
    <cellStyle name="40% - Accent4 3 2 3 2 3 2" xfId="12175" xr:uid="{00000000-0005-0000-0000-0000A5370000}"/>
    <cellStyle name="40% - Accent4 3 2 3 2 3 2 2" xfId="12176" xr:uid="{00000000-0005-0000-0000-0000A6370000}"/>
    <cellStyle name="40% - Accent4 3 2 3 2 3 2 2 2" xfId="12177" xr:uid="{00000000-0005-0000-0000-0000A7370000}"/>
    <cellStyle name="40% - Accent4 3 2 3 2 3 2 3" xfId="12178" xr:uid="{00000000-0005-0000-0000-0000A8370000}"/>
    <cellStyle name="40% - Accent4 3 2 3 2 3 2 4" xfId="12179" xr:uid="{00000000-0005-0000-0000-0000A9370000}"/>
    <cellStyle name="40% - Accent4 3 2 3 2 3 2 5" xfId="38320" xr:uid="{00000000-0005-0000-0000-0000AA370000}"/>
    <cellStyle name="40% - Accent4 3 2 3 2 3 3" xfId="12180" xr:uid="{00000000-0005-0000-0000-0000AB370000}"/>
    <cellStyle name="40% - Accent4 3 2 3 2 3 3 2" xfId="12181" xr:uid="{00000000-0005-0000-0000-0000AC370000}"/>
    <cellStyle name="40% - Accent4 3 2 3 2 3 4" xfId="12182" xr:uid="{00000000-0005-0000-0000-0000AD370000}"/>
    <cellStyle name="40% - Accent4 3 2 3 2 3 5" xfId="12183" xr:uid="{00000000-0005-0000-0000-0000AE370000}"/>
    <cellStyle name="40% - Accent4 3 2 3 2 3 6" xfId="38319" xr:uid="{00000000-0005-0000-0000-0000AF370000}"/>
    <cellStyle name="40% - Accent4 3 2 3 2 4" xfId="12184" xr:uid="{00000000-0005-0000-0000-0000B0370000}"/>
    <cellStyle name="40% - Accent4 3 2 3 2 4 2" xfId="12185" xr:uid="{00000000-0005-0000-0000-0000B1370000}"/>
    <cellStyle name="40% - Accent4 3 2 3 2 4 2 2" xfId="12186" xr:uid="{00000000-0005-0000-0000-0000B2370000}"/>
    <cellStyle name="40% - Accent4 3 2 3 2 4 3" xfId="12187" xr:uid="{00000000-0005-0000-0000-0000B3370000}"/>
    <cellStyle name="40% - Accent4 3 2 3 2 4 4" xfId="12188" xr:uid="{00000000-0005-0000-0000-0000B4370000}"/>
    <cellStyle name="40% - Accent4 3 2 3 2 4 5" xfId="38321" xr:uid="{00000000-0005-0000-0000-0000B5370000}"/>
    <cellStyle name="40% - Accent4 3 2 3 2 5" xfId="12189" xr:uid="{00000000-0005-0000-0000-0000B6370000}"/>
    <cellStyle name="40% - Accent4 3 2 3 2 5 2" xfId="12190" xr:uid="{00000000-0005-0000-0000-0000B7370000}"/>
    <cellStyle name="40% - Accent4 3 2 3 2 5 2 2" xfId="12191" xr:uid="{00000000-0005-0000-0000-0000B8370000}"/>
    <cellStyle name="40% - Accent4 3 2 3 2 5 3" xfId="12192" xr:uid="{00000000-0005-0000-0000-0000B9370000}"/>
    <cellStyle name="40% - Accent4 3 2 3 2 5 4" xfId="12193" xr:uid="{00000000-0005-0000-0000-0000BA370000}"/>
    <cellStyle name="40% - Accent4 3 2 3 2 6" xfId="12194" xr:uid="{00000000-0005-0000-0000-0000BB370000}"/>
    <cellStyle name="40% - Accent4 3 2 3 2 6 2" xfId="12195" xr:uid="{00000000-0005-0000-0000-0000BC370000}"/>
    <cellStyle name="40% - Accent4 3 2 3 2 6 2 2" xfId="12196" xr:uid="{00000000-0005-0000-0000-0000BD370000}"/>
    <cellStyle name="40% - Accent4 3 2 3 2 6 3" xfId="12197" xr:uid="{00000000-0005-0000-0000-0000BE370000}"/>
    <cellStyle name="40% - Accent4 3 2 3 2 6 4" xfId="12198" xr:uid="{00000000-0005-0000-0000-0000BF370000}"/>
    <cellStyle name="40% - Accent4 3 2 3 2 7" xfId="12199" xr:uid="{00000000-0005-0000-0000-0000C0370000}"/>
    <cellStyle name="40% - Accent4 3 2 3 2 7 2" xfId="12200" xr:uid="{00000000-0005-0000-0000-0000C1370000}"/>
    <cellStyle name="40% - Accent4 3 2 3 2 8" xfId="12201" xr:uid="{00000000-0005-0000-0000-0000C2370000}"/>
    <cellStyle name="40% - Accent4 3 2 3 2 9" xfId="12202" xr:uid="{00000000-0005-0000-0000-0000C3370000}"/>
    <cellStyle name="40% - Accent4 3 2 3 3" xfId="12203" xr:uid="{00000000-0005-0000-0000-0000C4370000}"/>
    <cellStyle name="40% - Accent4 3 2 3 3 2" xfId="12204" xr:uid="{00000000-0005-0000-0000-0000C5370000}"/>
    <cellStyle name="40% - Accent4 3 2 3 3 2 2" xfId="12205" xr:uid="{00000000-0005-0000-0000-0000C6370000}"/>
    <cellStyle name="40% - Accent4 3 2 3 3 2 2 2" xfId="12206" xr:uid="{00000000-0005-0000-0000-0000C7370000}"/>
    <cellStyle name="40% - Accent4 3 2 3 3 2 3" xfId="12207" xr:uid="{00000000-0005-0000-0000-0000C8370000}"/>
    <cellStyle name="40% - Accent4 3 2 3 3 2 4" xfId="12208" xr:uid="{00000000-0005-0000-0000-0000C9370000}"/>
    <cellStyle name="40% - Accent4 3 2 3 3 2 5" xfId="38323" xr:uid="{00000000-0005-0000-0000-0000CA370000}"/>
    <cellStyle name="40% - Accent4 3 2 3 3 3" xfId="12209" xr:uid="{00000000-0005-0000-0000-0000CB370000}"/>
    <cellStyle name="40% - Accent4 3 2 3 3 3 2" xfId="12210" xr:uid="{00000000-0005-0000-0000-0000CC370000}"/>
    <cellStyle name="40% - Accent4 3 2 3 3 4" xfId="12211" xr:uid="{00000000-0005-0000-0000-0000CD370000}"/>
    <cellStyle name="40% - Accent4 3 2 3 3 5" xfId="12212" xr:uid="{00000000-0005-0000-0000-0000CE370000}"/>
    <cellStyle name="40% - Accent4 3 2 3 3 6" xfId="38322" xr:uid="{00000000-0005-0000-0000-0000CF370000}"/>
    <cellStyle name="40% - Accent4 3 2 3 4" xfId="12213" xr:uid="{00000000-0005-0000-0000-0000D0370000}"/>
    <cellStyle name="40% - Accent4 3 2 3 4 2" xfId="12214" xr:uid="{00000000-0005-0000-0000-0000D1370000}"/>
    <cellStyle name="40% - Accent4 3 2 3 4 2 2" xfId="12215" xr:uid="{00000000-0005-0000-0000-0000D2370000}"/>
    <cellStyle name="40% - Accent4 3 2 3 4 2 2 2" xfId="12216" xr:uid="{00000000-0005-0000-0000-0000D3370000}"/>
    <cellStyle name="40% - Accent4 3 2 3 4 2 3" xfId="12217" xr:uid="{00000000-0005-0000-0000-0000D4370000}"/>
    <cellStyle name="40% - Accent4 3 2 3 4 2 4" xfId="12218" xr:uid="{00000000-0005-0000-0000-0000D5370000}"/>
    <cellStyle name="40% - Accent4 3 2 3 4 2 5" xfId="38325" xr:uid="{00000000-0005-0000-0000-0000D6370000}"/>
    <cellStyle name="40% - Accent4 3 2 3 4 3" xfId="12219" xr:uid="{00000000-0005-0000-0000-0000D7370000}"/>
    <cellStyle name="40% - Accent4 3 2 3 4 3 2" xfId="12220" xr:uid="{00000000-0005-0000-0000-0000D8370000}"/>
    <cellStyle name="40% - Accent4 3 2 3 4 4" xfId="12221" xr:uid="{00000000-0005-0000-0000-0000D9370000}"/>
    <cellStyle name="40% - Accent4 3 2 3 4 5" xfId="12222" xr:uid="{00000000-0005-0000-0000-0000DA370000}"/>
    <cellStyle name="40% - Accent4 3 2 3 4 6" xfId="38324" xr:uid="{00000000-0005-0000-0000-0000DB370000}"/>
    <cellStyle name="40% - Accent4 3 2 3 5" xfId="12223" xr:uid="{00000000-0005-0000-0000-0000DC370000}"/>
    <cellStyle name="40% - Accent4 3 2 3 5 2" xfId="12224" xr:uid="{00000000-0005-0000-0000-0000DD370000}"/>
    <cellStyle name="40% - Accent4 3 2 3 5 2 2" xfId="12225" xr:uid="{00000000-0005-0000-0000-0000DE370000}"/>
    <cellStyle name="40% - Accent4 3 2 3 5 3" xfId="12226" xr:uid="{00000000-0005-0000-0000-0000DF370000}"/>
    <cellStyle name="40% - Accent4 3 2 3 5 4" xfId="12227" xr:uid="{00000000-0005-0000-0000-0000E0370000}"/>
    <cellStyle name="40% - Accent4 3 2 3 5 5" xfId="38326" xr:uid="{00000000-0005-0000-0000-0000E1370000}"/>
    <cellStyle name="40% - Accent4 3 2 3 6" xfId="12228" xr:uid="{00000000-0005-0000-0000-0000E2370000}"/>
    <cellStyle name="40% - Accent4 3 2 3 6 2" xfId="12229" xr:uid="{00000000-0005-0000-0000-0000E3370000}"/>
    <cellStyle name="40% - Accent4 3 2 3 6 2 2" xfId="12230" xr:uid="{00000000-0005-0000-0000-0000E4370000}"/>
    <cellStyle name="40% - Accent4 3 2 3 6 3" xfId="12231" xr:uid="{00000000-0005-0000-0000-0000E5370000}"/>
    <cellStyle name="40% - Accent4 3 2 3 6 4" xfId="12232" xr:uid="{00000000-0005-0000-0000-0000E6370000}"/>
    <cellStyle name="40% - Accent4 3 2 3 7" xfId="12233" xr:uid="{00000000-0005-0000-0000-0000E7370000}"/>
    <cellStyle name="40% - Accent4 3 2 3 7 2" xfId="12234" xr:uid="{00000000-0005-0000-0000-0000E8370000}"/>
    <cellStyle name="40% - Accent4 3 2 3 7 2 2" xfId="12235" xr:uid="{00000000-0005-0000-0000-0000E9370000}"/>
    <cellStyle name="40% - Accent4 3 2 3 7 3" xfId="12236" xr:uid="{00000000-0005-0000-0000-0000EA370000}"/>
    <cellStyle name="40% - Accent4 3 2 3 7 4" xfId="12237" xr:uid="{00000000-0005-0000-0000-0000EB370000}"/>
    <cellStyle name="40% - Accent4 3 2 3 8" xfId="12238" xr:uid="{00000000-0005-0000-0000-0000EC370000}"/>
    <cellStyle name="40% - Accent4 3 2 3 8 2" xfId="12239" xr:uid="{00000000-0005-0000-0000-0000ED370000}"/>
    <cellStyle name="40% - Accent4 3 2 3 9" xfId="12240" xr:uid="{00000000-0005-0000-0000-0000EE370000}"/>
    <cellStyle name="40% - Accent4 3 2 4" xfId="12241" xr:uid="{00000000-0005-0000-0000-0000EF370000}"/>
    <cellStyle name="40% - Accent4 3 2 4 10" xfId="34770" xr:uid="{00000000-0005-0000-0000-0000F0370000}"/>
    <cellStyle name="40% - Accent4 3 2 4 2" xfId="12242" xr:uid="{00000000-0005-0000-0000-0000F1370000}"/>
    <cellStyle name="40% - Accent4 3 2 4 2 2" xfId="12243" xr:uid="{00000000-0005-0000-0000-0000F2370000}"/>
    <cellStyle name="40% - Accent4 3 2 4 2 2 2" xfId="12244" xr:uid="{00000000-0005-0000-0000-0000F3370000}"/>
    <cellStyle name="40% - Accent4 3 2 4 2 2 2 2" xfId="12245" xr:uid="{00000000-0005-0000-0000-0000F4370000}"/>
    <cellStyle name="40% - Accent4 3 2 4 2 2 3" xfId="12246" xr:uid="{00000000-0005-0000-0000-0000F5370000}"/>
    <cellStyle name="40% - Accent4 3 2 4 2 2 4" xfId="12247" xr:uid="{00000000-0005-0000-0000-0000F6370000}"/>
    <cellStyle name="40% - Accent4 3 2 4 2 2 5" xfId="38328" xr:uid="{00000000-0005-0000-0000-0000F7370000}"/>
    <cellStyle name="40% - Accent4 3 2 4 2 3" xfId="12248" xr:uid="{00000000-0005-0000-0000-0000F8370000}"/>
    <cellStyle name="40% - Accent4 3 2 4 2 3 2" xfId="12249" xr:uid="{00000000-0005-0000-0000-0000F9370000}"/>
    <cellStyle name="40% - Accent4 3 2 4 2 4" xfId="12250" xr:uid="{00000000-0005-0000-0000-0000FA370000}"/>
    <cellStyle name="40% - Accent4 3 2 4 2 5" xfId="12251" xr:uid="{00000000-0005-0000-0000-0000FB370000}"/>
    <cellStyle name="40% - Accent4 3 2 4 2 6" xfId="38327" xr:uid="{00000000-0005-0000-0000-0000FC370000}"/>
    <cellStyle name="40% - Accent4 3 2 4 3" xfId="12252" xr:uid="{00000000-0005-0000-0000-0000FD370000}"/>
    <cellStyle name="40% - Accent4 3 2 4 3 2" xfId="12253" xr:uid="{00000000-0005-0000-0000-0000FE370000}"/>
    <cellStyle name="40% - Accent4 3 2 4 3 2 2" xfId="12254" xr:uid="{00000000-0005-0000-0000-0000FF370000}"/>
    <cellStyle name="40% - Accent4 3 2 4 3 2 2 2" xfId="12255" xr:uid="{00000000-0005-0000-0000-000000380000}"/>
    <cellStyle name="40% - Accent4 3 2 4 3 2 3" xfId="12256" xr:uid="{00000000-0005-0000-0000-000001380000}"/>
    <cellStyle name="40% - Accent4 3 2 4 3 2 4" xfId="12257" xr:uid="{00000000-0005-0000-0000-000002380000}"/>
    <cellStyle name="40% - Accent4 3 2 4 3 2 5" xfId="38330" xr:uid="{00000000-0005-0000-0000-000003380000}"/>
    <cellStyle name="40% - Accent4 3 2 4 3 3" xfId="12258" xr:uid="{00000000-0005-0000-0000-000004380000}"/>
    <cellStyle name="40% - Accent4 3 2 4 3 3 2" xfId="12259" xr:uid="{00000000-0005-0000-0000-000005380000}"/>
    <cellStyle name="40% - Accent4 3 2 4 3 4" xfId="12260" xr:uid="{00000000-0005-0000-0000-000006380000}"/>
    <cellStyle name="40% - Accent4 3 2 4 3 5" xfId="12261" xr:uid="{00000000-0005-0000-0000-000007380000}"/>
    <cellStyle name="40% - Accent4 3 2 4 3 6" xfId="38329" xr:uid="{00000000-0005-0000-0000-000008380000}"/>
    <cellStyle name="40% - Accent4 3 2 4 4" xfId="12262" xr:uid="{00000000-0005-0000-0000-000009380000}"/>
    <cellStyle name="40% - Accent4 3 2 4 4 2" xfId="12263" xr:uid="{00000000-0005-0000-0000-00000A380000}"/>
    <cellStyle name="40% - Accent4 3 2 4 4 2 2" xfId="12264" xr:uid="{00000000-0005-0000-0000-00000B380000}"/>
    <cellStyle name="40% - Accent4 3 2 4 4 3" xfId="12265" xr:uid="{00000000-0005-0000-0000-00000C380000}"/>
    <cellStyle name="40% - Accent4 3 2 4 4 4" xfId="12266" xr:uid="{00000000-0005-0000-0000-00000D380000}"/>
    <cellStyle name="40% - Accent4 3 2 4 4 5" xfId="38331" xr:uid="{00000000-0005-0000-0000-00000E380000}"/>
    <cellStyle name="40% - Accent4 3 2 4 5" xfId="12267" xr:uid="{00000000-0005-0000-0000-00000F380000}"/>
    <cellStyle name="40% - Accent4 3 2 4 5 2" xfId="12268" xr:uid="{00000000-0005-0000-0000-000010380000}"/>
    <cellStyle name="40% - Accent4 3 2 4 5 2 2" xfId="12269" xr:uid="{00000000-0005-0000-0000-000011380000}"/>
    <cellStyle name="40% - Accent4 3 2 4 5 3" xfId="12270" xr:uid="{00000000-0005-0000-0000-000012380000}"/>
    <cellStyle name="40% - Accent4 3 2 4 5 4" xfId="12271" xr:uid="{00000000-0005-0000-0000-000013380000}"/>
    <cellStyle name="40% - Accent4 3 2 4 6" xfId="12272" xr:uid="{00000000-0005-0000-0000-000014380000}"/>
    <cellStyle name="40% - Accent4 3 2 4 6 2" xfId="12273" xr:uid="{00000000-0005-0000-0000-000015380000}"/>
    <cellStyle name="40% - Accent4 3 2 4 6 2 2" xfId="12274" xr:uid="{00000000-0005-0000-0000-000016380000}"/>
    <cellStyle name="40% - Accent4 3 2 4 6 3" xfId="12275" xr:uid="{00000000-0005-0000-0000-000017380000}"/>
    <cellStyle name="40% - Accent4 3 2 4 6 4" xfId="12276" xr:uid="{00000000-0005-0000-0000-000018380000}"/>
    <cellStyle name="40% - Accent4 3 2 4 7" xfId="12277" xr:uid="{00000000-0005-0000-0000-000019380000}"/>
    <cellStyle name="40% - Accent4 3 2 4 7 2" xfId="12278" xr:uid="{00000000-0005-0000-0000-00001A380000}"/>
    <cellStyle name="40% - Accent4 3 2 4 8" xfId="12279" xr:uid="{00000000-0005-0000-0000-00001B380000}"/>
    <cellStyle name="40% - Accent4 3 2 4 9" xfId="12280" xr:uid="{00000000-0005-0000-0000-00001C380000}"/>
    <cellStyle name="40% - Accent4 3 2 5" xfId="12281" xr:uid="{00000000-0005-0000-0000-00001D380000}"/>
    <cellStyle name="40% - Accent4 3 2 5 2" xfId="12282" xr:uid="{00000000-0005-0000-0000-00001E380000}"/>
    <cellStyle name="40% - Accent4 3 2 5 2 2" xfId="12283" xr:uid="{00000000-0005-0000-0000-00001F380000}"/>
    <cellStyle name="40% - Accent4 3 2 5 2 2 2" xfId="12284" xr:uid="{00000000-0005-0000-0000-000020380000}"/>
    <cellStyle name="40% - Accent4 3 2 5 2 3" xfId="12285" xr:uid="{00000000-0005-0000-0000-000021380000}"/>
    <cellStyle name="40% - Accent4 3 2 5 2 4" xfId="12286" xr:uid="{00000000-0005-0000-0000-000022380000}"/>
    <cellStyle name="40% - Accent4 3 2 5 2 5" xfId="38333" xr:uid="{00000000-0005-0000-0000-000023380000}"/>
    <cellStyle name="40% - Accent4 3 2 5 3" xfId="12287" xr:uid="{00000000-0005-0000-0000-000024380000}"/>
    <cellStyle name="40% - Accent4 3 2 5 3 2" xfId="12288" xr:uid="{00000000-0005-0000-0000-000025380000}"/>
    <cellStyle name="40% - Accent4 3 2 5 4" xfId="12289" xr:uid="{00000000-0005-0000-0000-000026380000}"/>
    <cellStyle name="40% - Accent4 3 2 5 5" xfId="12290" xr:uid="{00000000-0005-0000-0000-000027380000}"/>
    <cellStyle name="40% - Accent4 3 2 5 6" xfId="38332" xr:uid="{00000000-0005-0000-0000-000028380000}"/>
    <cellStyle name="40% - Accent4 3 2 6" xfId="12291" xr:uid="{00000000-0005-0000-0000-000029380000}"/>
    <cellStyle name="40% - Accent4 3 2 6 2" xfId="12292" xr:uid="{00000000-0005-0000-0000-00002A380000}"/>
    <cellStyle name="40% - Accent4 3 2 6 2 2" xfId="12293" xr:uid="{00000000-0005-0000-0000-00002B380000}"/>
    <cellStyle name="40% - Accent4 3 2 6 2 2 2" xfId="12294" xr:uid="{00000000-0005-0000-0000-00002C380000}"/>
    <cellStyle name="40% - Accent4 3 2 6 2 3" xfId="12295" xr:uid="{00000000-0005-0000-0000-00002D380000}"/>
    <cellStyle name="40% - Accent4 3 2 6 2 4" xfId="12296" xr:uid="{00000000-0005-0000-0000-00002E380000}"/>
    <cellStyle name="40% - Accent4 3 2 6 2 5" xfId="38335" xr:uid="{00000000-0005-0000-0000-00002F380000}"/>
    <cellStyle name="40% - Accent4 3 2 6 3" xfId="12297" xr:uid="{00000000-0005-0000-0000-000030380000}"/>
    <cellStyle name="40% - Accent4 3 2 6 3 2" xfId="12298" xr:uid="{00000000-0005-0000-0000-000031380000}"/>
    <cellStyle name="40% - Accent4 3 2 6 4" xfId="12299" xr:uid="{00000000-0005-0000-0000-000032380000}"/>
    <cellStyle name="40% - Accent4 3 2 6 5" xfId="12300" xr:uid="{00000000-0005-0000-0000-000033380000}"/>
    <cellStyle name="40% - Accent4 3 2 6 6" xfId="38334" xr:uid="{00000000-0005-0000-0000-000034380000}"/>
    <cellStyle name="40% - Accent4 3 2 7" xfId="12301" xr:uid="{00000000-0005-0000-0000-000035380000}"/>
    <cellStyle name="40% - Accent4 3 2 7 2" xfId="12302" xr:uid="{00000000-0005-0000-0000-000036380000}"/>
    <cellStyle name="40% - Accent4 3 2 7 2 2" xfId="12303" xr:uid="{00000000-0005-0000-0000-000037380000}"/>
    <cellStyle name="40% - Accent4 3 2 7 3" xfId="12304" xr:uid="{00000000-0005-0000-0000-000038380000}"/>
    <cellStyle name="40% - Accent4 3 2 7 4" xfId="12305" xr:uid="{00000000-0005-0000-0000-000039380000}"/>
    <cellStyle name="40% - Accent4 3 2 7 5" xfId="38336" xr:uid="{00000000-0005-0000-0000-00003A380000}"/>
    <cellStyle name="40% - Accent4 3 2 8" xfId="12306" xr:uid="{00000000-0005-0000-0000-00003B380000}"/>
    <cellStyle name="40% - Accent4 3 2 8 2" xfId="12307" xr:uid="{00000000-0005-0000-0000-00003C380000}"/>
    <cellStyle name="40% - Accent4 3 2 8 2 2" xfId="12308" xr:uid="{00000000-0005-0000-0000-00003D380000}"/>
    <cellStyle name="40% - Accent4 3 2 8 3" xfId="12309" xr:uid="{00000000-0005-0000-0000-00003E380000}"/>
    <cellStyle name="40% - Accent4 3 2 8 4" xfId="12310" xr:uid="{00000000-0005-0000-0000-00003F380000}"/>
    <cellStyle name="40% - Accent4 3 2 9" xfId="12311" xr:uid="{00000000-0005-0000-0000-000040380000}"/>
    <cellStyle name="40% - Accent4 3 2 9 2" xfId="12312" xr:uid="{00000000-0005-0000-0000-000041380000}"/>
    <cellStyle name="40% - Accent4 3 2 9 2 2" xfId="12313" xr:uid="{00000000-0005-0000-0000-000042380000}"/>
    <cellStyle name="40% - Accent4 3 2 9 3" xfId="12314" xr:uid="{00000000-0005-0000-0000-000043380000}"/>
    <cellStyle name="40% - Accent4 3 2 9 4" xfId="12315" xr:uid="{00000000-0005-0000-0000-000044380000}"/>
    <cellStyle name="40% - Accent4 3 3" xfId="12316" xr:uid="{00000000-0005-0000-0000-000045380000}"/>
    <cellStyle name="40% - Accent4 3 4" xfId="12317" xr:uid="{00000000-0005-0000-0000-000046380000}"/>
    <cellStyle name="40% - Accent4 3 4 2" xfId="12318" xr:uid="{00000000-0005-0000-0000-000047380000}"/>
    <cellStyle name="40% - Accent4 3 4 2 2" xfId="12319" xr:uid="{00000000-0005-0000-0000-000048380000}"/>
    <cellStyle name="40% - Accent4 3 4 2 2 2" xfId="12320" xr:uid="{00000000-0005-0000-0000-000049380000}"/>
    <cellStyle name="40% - Accent4 3 4 2 3" xfId="12321" xr:uid="{00000000-0005-0000-0000-00004A380000}"/>
    <cellStyle name="40% - Accent4 3 4 2 4" xfId="12322" xr:uid="{00000000-0005-0000-0000-00004B380000}"/>
    <cellStyle name="40% - Accent4 3 4 2 5" xfId="38338" xr:uid="{00000000-0005-0000-0000-00004C380000}"/>
    <cellStyle name="40% - Accent4 3 4 3" xfId="12323" xr:uid="{00000000-0005-0000-0000-00004D380000}"/>
    <cellStyle name="40% - Accent4 3 4 4" xfId="12324" xr:uid="{00000000-0005-0000-0000-00004E380000}"/>
    <cellStyle name="40% - Accent4 3 4 4 2" xfId="12325" xr:uid="{00000000-0005-0000-0000-00004F380000}"/>
    <cellStyle name="40% - Accent4 3 4 5" xfId="12326" xr:uid="{00000000-0005-0000-0000-000050380000}"/>
    <cellStyle name="40% - Accent4 3 4 6" xfId="12327" xr:uid="{00000000-0005-0000-0000-000051380000}"/>
    <cellStyle name="40% - Accent4 3 4 7" xfId="38337" xr:uid="{00000000-0005-0000-0000-000052380000}"/>
    <cellStyle name="40% - Accent4 3 5" xfId="12328" xr:uid="{00000000-0005-0000-0000-000053380000}"/>
    <cellStyle name="40% - Accent4 3 5 2" xfId="12329" xr:uid="{00000000-0005-0000-0000-000054380000}"/>
    <cellStyle name="40% - Accent4 3 5 2 2" xfId="12330" xr:uid="{00000000-0005-0000-0000-000055380000}"/>
    <cellStyle name="40% - Accent4 3 5 3" xfId="12331" xr:uid="{00000000-0005-0000-0000-000056380000}"/>
    <cellStyle name="40% - Accent4 3 5 4" xfId="12332" xr:uid="{00000000-0005-0000-0000-000057380000}"/>
    <cellStyle name="40% - Accent4 3 5 5" xfId="38339" xr:uid="{00000000-0005-0000-0000-000058380000}"/>
    <cellStyle name="40% - Accent4 3 6" xfId="12333" xr:uid="{00000000-0005-0000-0000-000059380000}"/>
    <cellStyle name="40% - Accent4 3 7" xfId="12334" xr:uid="{00000000-0005-0000-0000-00005A380000}"/>
    <cellStyle name="40% - Accent4 3 7 2" xfId="12335" xr:uid="{00000000-0005-0000-0000-00005B380000}"/>
    <cellStyle name="40% - Accent4 3 8" xfId="12336" xr:uid="{00000000-0005-0000-0000-00005C380000}"/>
    <cellStyle name="40% - Accent4 3 9" xfId="12337" xr:uid="{00000000-0005-0000-0000-00005D380000}"/>
    <cellStyle name="40% - Accent4 4" xfId="12338" xr:uid="{00000000-0005-0000-0000-00005E380000}"/>
    <cellStyle name="40% - Accent4 4 2" xfId="12339" xr:uid="{00000000-0005-0000-0000-00005F380000}"/>
    <cellStyle name="40% - Accent4 4 2 10" xfId="12340" xr:uid="{00000000-0005-0000-0000-000060380000}"/>
    <cellStyle name="40% - Accent4 4 2 11" xfId="12341" xr:uid="{00000000-0005-0000-0000-000061380000}"/>
    <cellStyle name="40% - Accent4 4 2 12" xfId="34772" xr:uid="{00000000-0005-0000-0000-000062380000}"/>
    <cellStyle name="40% - Accent4 4 2 2" xfId="12342" xr:uid="{00000000-0005-0000-0000-000063380000}"/>
    <cellStyle name="40% - Accent4 4 2 2 10" xfId="12343" xr:uid="{00000000-0005-0000-0000-000064380000}"/>
    <cellStyle name="40% - Accent4 4 2 2 11" xfId="34773" xr:uid="{00000000-0005-0000-0000-000065380000}"/>
    <cellStyle name="40% - Accent4 4 2 2 2" xfId="12344" xr:uid="{00000000-0005-0000-0000-000066380000}"/>
    <cellStyle name="40% - Accent4 4 2 2 2 10" xfId="34774" xr:uid="{00000000-0005-0000-0000-000067380000}"/>
    <cellStyle name="40% - Accent4 4 2 2 2 2" xfId="12345" xr:uid="{00000000-0005-0000-0000-000068380000}"/>
    <cellStyle name="40% - Accent4 4 2 2 2 2 2" xfId="12346" xr:uid="{00000000-0005-0000-0000-000069380000}"/>
    <cellStyle name="40% - Accent4 4 2 2 2 2 2 2" xfId="12347" xr:uid="{00000000-0005-0000-0000-00006A380000}"/>
    <cellStyle name="40% - Accent4 4 2 2 2 2 2 2 2" xfId="12348" xr:uid="{00000000-0005-0000-0000-00006B380000}"/>
    <cellStyle name="40% - Accent4 4 2 2 2 2 2 3" xfId="12349" xr:uid="{00000000-0005-0000-0000-00006C380000}"/>
    <cellStyle name="40% - Accent4 4 2 2 2 2 2 4" xfId="12350" xr:uid="{00000000-0005-0000-0000-00006D380000}"/>
    <cellStyle name="40% - Accent4 4 2 2 2 2 2 5" xfId="38341" xr:uid="{00000000-0005-0000-0000-00006E380000}"/>
    <cellStyle name="40% - Accent4 4 2 2 2 2 3" xfId="12351" xr:uid="{00000000-0005-0000-0000-00006F380000}"/>
    <cellStyle name="40% - Accent4 4 2 2 2 2 3 2" xfId="12352" xr:uid="{00000000-0005-0000-0000-000070380000}"/>
    <cellStyle name="40% - Accent4 4 2 2 2 2 4" xfId="12353" xr:uid="{00000000-0005-0000-0000-000071380000}"/>
    <cellStyle name="40% - Accent4 4 2 2 2 2 5" xfId="12354" xr:uid="{00000000-0005-0000-0000-000072380000}"/>
    <cellStyle name="40% - Accent4 4 2 2 2 2 6" xfId="38340" xr:uid="{00000000-0005-0000-0000-000073380000}"/>
    <cellStyle name="40% - Accent4 4 2 2 2 3" xfId="12355" xr:uid="{00000000-0005-0000-0000-000074380000}"/>
    <cellStyle name="40% - Accent4 4 2 2 2 3 2" xfId="12356" xr:uid="{00000000-0005-0000-0000-000075380000}"/>
    <cellStyle name="40% - Accent4 4 2 2 2 3 2 2" xfId="12357" xr:uid="{00000000-0005-0000-0000-000076380000}"/>
    <cellStyle name="40% - Accent4 4 2 2 2 3 2 2 2" xfId="12358" xr:uid="{00000000-0005-0000-0000-000077380000}"/>
    <cellStyle name="40% - Accent4 4 2 2 2 3 2 3" xfId="12359" xr:uid="{00000000-0005-0000-0000-000078380000}"/>
    <cellStyle name="40% - Accent4 4 2 2 2 3 2 4" xfId="12360" xr:uid="{00000000-0005-0000-0000-000079380000}"/>
    <cellStyle name="40% - Accent4 4 2 2 2 3 2 5" xfId="38343" xr:uid="{00000000-0005-0000-0000-00007A380000}"/>
    <cellStyle name="40% - Accent4 4 2 2 2 3 3" xfId="12361" xr:uid="{00000000-0005-0000-0000-00007B380000}"/>
    <cellStyle name="40% - Accent4 4 2 2 2 3 3 2" xfId="12362" xr:uid="{00000000-0005-0000-0000-00007C380000}"/>
    <cellStyle name="40% - Accent4 4 2 2 2 3 4" xfId="12363" xr:uid="{00000000-0005-0000-0000-00007D380000}"/>
    <cellStyle name="40% - Accent4 4 2 2 2 3 5" xfId="12364" xr:uid="{00000000-0005-0000-0000-00007E380000}"/>
    <cellStyle name="40% - Accent4 4 2 2 2 3 6" xfId="38342" xr:uid="{00000000-0005-0000-0000-00007F380000}"/>
    <cellStyle name="40% - Accent4 4 2 2 2 4" xfId="12365" xr:uid="{00000000-0005-0000-0000-000080380000}"/>
    <cellStyle name="40% - Accent4 4 2 2 2 4 2" xfId="12366" xr:uid="{00000000-0005-0000-0000-000081380000}"/>
    <cellStyle name="40% - Accent4 4 2 2 2 4 2 2" xfId="12367" xr:uid="{00000000-0005-0000-0000-000082380000}"/>
    <cellStyle name="40% - Accent4 4 2 2 2 4 3" xfId="12368" xr:uid="{00000000-0005-0000-0000-000083380000}"/>
    <cellStyle name="40% - Accent4 4 2 2 2 4 4" xfId="12369" xr:uid="{00000000-0005-0000-0000-000084380000}"/>
    <cellStyle name="40% - Accent4 4 2 2 2 4 5" xfId="38344" xr:uid="{00000000-0005-0000-0000-000085380000}"/>
    <cellStyle name="40% - Accent4 4 2 2 2 5" xfId="12370" xr:uid="{00000000-0005-0000-0000-000086380000}"/>
    <cellStyle name="40% - Accent4 4 2 2 2 5 2" xfId="12371" xr:uid="{00000000-0005-0000-0000-000087380000}"/>
    <cellStyle name="40% - Accent4 4 2 2 2 5 2 2" xfId="12372" xr:uid="{00000000-0005-0000-0000-000088380000}"/>
    <cellStyle name="40% - Accent4 4 2 2 2 5 3" xfId="12373" xr:uid="{00000000-0005-0000-0000-000089380000}"/>
    <cellStyle name="40% - Accent4 4 2 2 2 5 4" xfId="12374" xr:uid="{00000000-0005-0000-0000-00008A380000}"/>
    <cellStyle name="40% - Accent4 4 2 2 2 6" xfId="12375" xr:uid="{00000000-0005-0000-0000-00008B380000}"/>
    <cellStyle name="40% - Accent4 4 2 2 2 6 2" xfId="12376" xr:uid="{00000000-0005-0000-0000-00008C380000}"/>
    <cellStyle name="40% - Accent4 4 2 2 2 6 2 2" xfId="12377" xr:uid="{00000000-0005-0000-0000-00008D380000}"/>
    <cellStyle name="40% - Accent4 4 2 2 2 6 3" xfId="12378" xr:uid="{00000000-0005-0000-0000-00008E380000}"/>
    <cellStyle name="40% - Accent4 4 2 2 2 6 4" xfId="12379" xr:uid="{00000000-0005-0000-0000-00008F380000}"/>
    <cellStyle name="40% - Accent4 4 2 2 2 7" xfId="12380" xr:uid="{00000000-0005-0000-0000-000090380000}"/>
    <cellStyle name="40% - Accent4 4 2 2 2 7 2" xfId="12381" xr:uid="{00000000-0005-0000-0000-000091380000}"/>
    <cellStyle name="40% - Accent4 4 2 2 2 8" xfId="12382" xr:uid="{00000000-0005-0000-0000-000092380000}"/>
    <cellStyle name="40% - Accent4 4 2 2 2 9" xfId="12383" xr:uid="{00000000-0005-0000-0000-000093380000}"/>
    <cellStyle name="40% - Accent4 4 2 2 3" xfId="12384" xr:uid="{00000000-0005-0000-0000-000094380000}"/>
    <cellStyle name="40% - Accent4 4 2 2 3 2" xfId="12385" xr:uid="{00000000-0005-0000-0000-000095380000}"/>
    <cellStyle name="40% - Accent4 4 2 2 3 2 2" xfId="12386" xr:uid="{00000000-0005-0000-0000-000096380000}"/>
    <cellStyle name="40% - Accent4 4 2 2 3 2 2 2" xfId="12387" xr:uid="{00000000-0005-0000-0000-000097380000}"/>
    <cellStyle name="40% - Accent4 4 2 2 3 2 3" xfId="12388" xr:uid="{00000000-0005-0000-0000-000098380000}"/>
    <cellStyle name="40% - Accent4 4 2 2 3 2 4" xfId="12389" xr:uid="{00000000-0005-0000-0000-000099380000}"/>
    <cellStyle name="40% - Accent4 4 2 2 3 2 5" xfId="38346" xr:uid="{00000000-0005-0000-0000-00009A380000}"/>
    <cellStyle name="40% - Accent4 4 2 2 3 3" xfId="12390" xr:uid="{00000000-0005-0000-0000-00009B380000}"/>
    <cellStyle name="40% - Accent4 4 2 2 3 3 2" xfId="12391" xr:uid="{00000000-0005-0000-0000-00009C380000}"/>
    <cellStyle name="40% - Accent4 4 2 2 3 4" xfId="12392" xr:uid="{00000000-0005-0000-0000-00009D380000}"/>
    <cellStyle name="40% - Accent4 4 2 2 3 5" xfId="12393" xr:uid="{00000000-0005-0000-0000-00009E380000}"/>
    <cellStyle name="40% - Accent4 4 2 2 3 6" xfId="38345" xr:uid="{00000000-0005-0000-0000-00009F380000}"/>
    <cellStyle name="40% - Accent4 4 2 2 4" xfId="12394" xr:uid="{00000000-0005-0000-0000-0000A0380000}"/>
    <cellStyle name="40% - Accent4 4 2 2 4 2" xfId="12395" xr:uid="{00000000-0005-0000-0000-0000A1380000}"/>
    <cellStyle name="40% - Accent4 4 2 2 4 2 2" xfId="12396" xr:uid="{00000000-0005-0000-0000-0000A2380000}"/>
    <cellStyle name="40% - Accent4 4 2 2 4 2 2 2" xfId="12397" xr:uid="{00000000-0005-0000-0000-0000A3380000}"/>
    <cellStyle name="40% - Accent4 4 2 2 4 2 3" xfId="12398" xr:uid="{00000000-0005-0000-0000-0000A4380000}"/>
    <cellStyle name="40% - Accent4 4 2 2 4 2 4" xfId="12399" xr:uid="{00000000-0005-0000-0000-0000A5380000}"/>
    <cellStyle name="40% - Accent4 4 2 2 4 2 5" xfId="38348" xr:uid="{00000000-0005-0000-0000-0000A6380000}"/>
    <cellStyle name="40% - Accent4 4 2 2 4 3" xfId="12400" xr:uid="{00000000-0005-0000-0000-0000A7380000}"/>
    <cellStyle name="40% - Accent4 4 2 2 4 3 2" xfId="12401" xr:uid="{00000000-0005-0000-0000-0000A8380000}"/>
    <cellStyle name="40% - Accent4 4 2 2 4 4" xfId="12402" xr:uid="{00000000-0005-0000-0000-0000A9380000}"/>
    <cellStyle name="40% - Accent4 4 2 2 4 5" xfId="12403" xr:uid="{00000000-0005-0000-0000-0000AA380000}"/>
    <cellStyle name="40% - Accent4 4 2 2 4 6" xfId="38347" xr:uid="{00000000-0005-0000-0000-0000AB380000}"/>
    <cellStyle name="40% - Accent4 4 2 2 5" xfId="12404" xr:uid="{00000000-0005-0000-0000-0000AC380000}"/>
    <cellStyle name="40% - Accent4 4 2 2 5 2" xfId="12405" xr:uid="{00000000-0005-0000-0000-0000AD380000}"/>
    <cellStyle name="40% - Accent4 4 2 2 5 2 2" xfId="12406" xr:uid="{00000000-0005-0000-0000-0000AE380000}"/>
    <cellStyle name="40% - Accent4 4 2 2 5 3" xfId="12407" xr:uid="{00000000-0005-0000-0000-0000AF380000}"/>
    <cellStyle name="40% - Accent4 4 2 2 5 4" xfId="12408" xr:uid="{00000000-0005-0000-0000-0000B0380000}"/>
    <cellStyle name="40% - Accent4 4 2 2 5 5" xfId="38349" xr:uid="{00000000-0005-0000-0000-0000B1380000}"/>
    <cellStyle name="40% - Accent4 4 2 2 6" xfId="12409" xr:uid="{00000000-0005-0000-0000-0000B2380000}"/>
    <cellStyle name="40% - Accent4 4 2 2 6 2" xfId="12410" xr:uid="{00000000-0005-0000-0000-0000B3380000}"/>
    <cellStyle name="40% - Accent4 4 2 2 6 2 2" xfId="12411" xr:uid="{00000000-0005-0000-0000-0000B4380000}"/>
    <cellStyle name="40% - Accent4 4 2 2 6 3" xfId="12412" xr:uid="{00000000-0005-0000-0000-0000B5380000}"/>
    <cellStyle name="40% - Accent4 4 2 2 6 4" xfId="12413" xr:uid="{00000000-0005-0000-0000-0000B6380000}"/>
    <cellStyle name="40% - Accent4 4 2 2 7" xfId="12414" xr:uid="{00000000-0005-0000-0000-0000B7380000}"/>
    <cellStyle name="40% - Accent4 4 2 2 7 2" xfId="12415" xr:uid="{00000000-0005-0000-0000-0000B8380000}"/>
    <cellStyle name="40% - Accent4 4 2 2 7 2 2" xfId="12416" xr:uid="{00000000-0005-0000-0000-0000B9380000}"/>
    <cellStyle name="40% - Accent4 4 2 2 7 3" xfId="12417" xr:uid="{00000000-0005-0000-0000-0000BA380000}"/>
    <cellStyle name="40% - Accent4 4 2 2 7 4" xfId="12418" xr:uid="{00000000-0005-0000-0000-0000BB380000}"/>
    <cellStyle name="40% - Accent4 4 2 2 8" xfId="12419" xr:uid="{00000000-0005-0000-0000-0000BC380000}"/>
    <cellStyle name="40% - Accent4 4 2 2 8 2" xfId="12420" xr:uid="{00000000-0005-0000-0000-0000BD380000}"/>
    <cellStyle name="40% - Accent4 4 2 2 9" xfId="12421" xr:uid="{00000000-0005-0000-0000-0000BE380000}"/>
    <cellStyle name="40% - Accent4 4 2 3" xfId="12422" xr:uid="{00000000-0005-0000-0000-0000BF380000}"/>
    <cellStyle name="40% - Accent4 4 2 3 10" xfId="34775" xr:uid="{00000000-0005-0000-0000-0000C0380000}"/>
    <cellStyle name="40% - Accent4 4 2 3 2" xfId="12423" xr:uid="{00000000-0005-0000-0000-0000C1380000}"/>
    <cellStyle name="40% - Accent4 4 2 3 2 2" xfId="12424" xr:uid="{00000000-0005-0000-0000-0000C2380000}"/>
    <cellStyle name="40% - Accent4 4 2 3 2 2 2" xfId="12425" xr:uid="{00000000-0005-0000-0000-0000C3380000}"/>
    <cellStyle name="40% - Accent4 4 2 3 2 2 2 2" xfId="12426" xr:uid="{00000000-0005-0000-0000-0000C4380000}"/>
    <cellStyle name="40% - Accent4 4 2 3 2 2 3" xfId="12427" xr:uid="{00000000-0005-0000-0000-0000C5380000}"/>
    <cellStyle name="40% - Accent4 4 2 3 2 2 4" xfId="12428" xr:uid="{00000000-0005-0000-0000-0000C6380000}"/>
    <cellStyle name="40% - Accent4 4 2 3 2 2 5" xfId="38351" xr:uid="{00000000-0005-0000-0000-0000C7380000}"/>
    <cellStyle name="40% - Accent4 4 2 3 2 3" xfId="12429" xr:uid="{00000000-0005-0000-0000-0000C8380000}"/>
    <cellStyle name="40% - Accent4 4 2 3 2 3 2" xfId="12430" xr:uid="{00000000-0005-0000-0000-0000C9380000}"/>
    <cellStyle name="40% - Accent4 4 2 3 2 4" xfId="12431" xr:uid="{00000000-0005-0000-0000-0000CA380000}"/>
    <cellStyle name="40% - Accent4 4 2 3 2 5" xfId="12432" xr:uid="{00000000-0005-0000-0000-0000CB380000}"/>
    <cellStyle name="40% - Accent4 4 2 3 2 6" xfId="38350" xr:uid="{00000000-0005-0000-0000-0000CC380000}"/>
    <cellStyle name="40% - Accent4 4 2 3 3" xfId="12433" xr:uid="{00000000-0005-0000-0000-0000CD380000}"/>
    <cellStyle name="40% - Accent4 4 2 3 3 2" xfId="12434" xr:uid="{00000000-0005-0000-0000-0000CE380000}"/>
    <cellStyle name="40% - Accent4 4 2 3 3 2 2" xfId="12435" xr:uid="{00000000-0005-0000-0000-0000CF380000}"/>
    <cellStyle name="40% - Accent4 4 2 3 3 2 2 2" xfId="12436" xr:uid="{00000000-0005-0000-0000-0000D0380000}"/>
    <cellStyle name="40% - Accent4 4 2 3 3 2 3" xfId="12437" xr:uid="{00000000-0005-0000-0000-0000D1380000}"/>
    <cellStyle name="40% - Accent4 4 2 3 3 2 4" xfId="12438" xr:uid="{00000000-0005-0000-0000-0000D2380000}"/>
    <cellStyle name="40% - Accent4 4 2 3 3 2 5" xfId="38353" xr:uid="{00000000-0005-0000-0000-0000D3380000}"/>
    <cellStyle name="40% - Accent4 4 2 3 3 3" xfId="12439" xr:uid="{00000000-0005-0000-0000-0000D4380000}"/>
    <cellStyle name="40% - Accent4 4 2 3 3 3 2" xfId="12440" xr:uid="{00000000-0005-0000-0000-0000D5380000}"/>
    <cellStyle name="40% - Accent4 4 2 3 3 4" xfId="12441" xr:uid="{00000000-0005-0000-0000-0000D6380000}"/>
    <cellStyle name="40% - Accent4 4 2 3 3 5" xfId="12442" xr:uid="{00000000-0005-0000-0000-0000D7380000}"/>
    <cellStyle name="40% - Accent4 4 2 3 3 6" xfId="38352" xr:uid="{00000000-0005-0000-0000-0000D8380000}"/>
    <cellStyle name="40% - Accent4 4 2 3 4" xfId="12443" xr:uid="{00000000-0005-0000-0000-0000D9380000}"/>
    <cellStyle name="40% - Accent4 4 2 3 4 2" xfId="12444" xr:uid="{00000000-0005-0000-0000-0000DA380000}"/>
    <cellStyle name="40% - Accent4 4 2 3 4 2 2" xfId="12445" xr:uid="{00000000-0005-0000-0000-0000DB380000}"/>
    <cellStyle name="40% - Accent4 4 2 3 4 3" xfId="12446" xr:uid="{00000000-0005-0000-0000-0000DC380000}"/>
    <cellStyle name="40% - Accent4 4 2 3 4 4" xfId="12447" xr:uid="{00000000-0005-0000-0000-0000DD380000}"/>
    <cellStyle name="40% - Accent4 4 2 3 4 5" xfId="38354" xr:uid="{00000000-0005-0000-0000-0000DE380000}"/>
    <cellStyle name="40% - Accent4 4 2 3 5" xfId="12448" xr:uid="{00000000-0005-0000-0000-0000DF380000}"/>
    <cellStyle name="40% - Accent4 4 2 3 5 2" xfId="12449" xr:uid="{00000000-0005-0000-0000-0000E0380000}"/>
    <cellStyle name="40% - Accent4 4 2 3 5 2 2" xfId="12450" xr:uid="{00000000-0005-0000-0000-0000E1380000}"/>
    <cellStyle name="40% - Accent4 4 2 3 5 3" xfId="12451" xr:uid="{00000000-0005-0000-0000-0000E2380000}"/>
    <cellStyle name="40% - Accent4 4 2 3 5 4" xfId="12452" xr:uid="{00000000-0005-0000-0000-0000E3380000}"/>
    <cellStyle name="40% - Accent4 4 2 3 6" xfId="12453" xr:uid="{00000000-0005-0000-0000-0000E4380000}"/>
    <cellStyle name="40% - Accent4 4 2 3 6 2" xfId="12454" xr:uid="{00000000-0005-0000-0000-0000E5380000}"/>
    <cellStyle name="40% - Accent4 4 2 3 6 2 2" xfId="12455" xr:uid="{00000000-0005-0000-0000-0000E6380000}"/>
    <cellStyle name="40% - Accent4 4 2 3 6 3" xfId="12456" xr:uid="{00000000-0005-0000-0000-0000E7380000}"/>
    <cellStyle name="40% - Accent4 4 2 3 6 4" xfId="12457" xr:uid="{00000000-0005-0000-0000-0000E8380000}"/>
    <cellStyle name="40% - Accent4 4 2 3 7" xfId="12458" xr:uid="{00000000-0005-0000-0000-0000E9380000}"/>
    <cellStyle name="40% - Accent4 4 2 3 7 2" xfId="12459" xr:uid="{00000000-0005-0000-0000-0000EA380000}"/>
    <cellStyle name="40% - Accent4 4 2 3 8" xfId="12460" xr:uid="{00000000-0005-0000-0000-0000EB380000}"/>
    <cellStyle name="40% - Accent4 4 2 3 9" xfId="12461" xr:uid="{00000000-0005-0000-0000-0000EC380000}"/>
    <cellStyle name="40% - Accent4 4 2 4" xfId="12462" xr:uid="{00000000-0005-0000-0000-0000ED380000}"/>
    <cellStyle name="40% - Accent4 4 2 4 2" xfId="12463" xr:uid="{00000000-0005-0000-0000-0000EE380000}"/>
    <cellStyle name="40% - Accent4 4 2 4 2 2" xfId="12464" xr:uid="{00000000-0005-0000-0000-0000EF380000}"/>
    <cellStyle name="40% - Accent4 4 2 4 2 2 2" xfId="12465" xr:uid="{00000000-0005-0000-0000-0000F0380000}"/>
    <cellStyle name="40% - Accent4 4 2 4 2 3" xfId="12466" xr:uid="{00000000-0005-0000-0000-0000F1380000}"/>
    <cellStyle name="40% - Accent4 4 2 4 2 4" xfId="12467" xr:uid="{00000000-0005-0000-0000-0000F2380000}"/>
    <cellStyle name="40% - Accent4 4 2 4 2 5" xfId="38356" xr:uid="{00000000-0005-0000-0000-0000F3380000}"/>
    <cellStyle name="40% - Accent4 4 2 4 3" xfId="12468" xr:uid="{00000000-0005-0000-0000-0000F4380000}"/>
    <cellStyle name="40% - Accent4 4 2 4 3 2" xfId="12469" xr:uid="{00000000-0005-0000-0000-0000F5380000}"/>
    <cellStyle name="40% - Accent4 4 2 4 4" xfId="12470" xr:uid="{00000000-0005-0000-0000-0000F6380000}"/>
    <cellStyle name="40% - Accent4 4 2 4 5" xfId="12471" xr:uid="{00000000-0005-0000-0000-0000F7380000}"/>
    <cellStyle name="40% - Accent4 4 2 4 6" xfId="38355" xr:uid="{00000000-0005-0000-0000-0000F8380000}"/>
    <cellStyle name="40% - Accent4 4 2 5" xfId="12472" xr:uid="{00000000-0005-0000-0000-0000F9380000}"/>
    <cellStyle name="40% - Accent4 4 2 5 2" xfId="12473" xr:uid="{00000000-0005-0000-0000-0000FA380000}"/>
    <cellStyle name="40% - Accent4 4 2 5 2 2" xfId="12474" xr:uid="{00000000-0005-0000-0000-0000FB380000}"/>
    <cellStyle name="40% - Accent4 4 2 5 2 2 2" xfId="12475" xr:uid="{00000000-0005-0000-0000-0000FC380000}"/>
    <cellStyle name="40% - Accent4 4 2 5 2 3" xfId="12476" xr:uid="{00000000-0005-0000-0000-0000FD380000}"/>
    <cellStyle name="40% - Accent4 4 2 5 2 4" xfId="12477" xr:uid="{00000000-0005-0000-0000-0000FE380000}"/>
    <cellStyle name="40% - Accent4 4 2 5 2 5" xfId="38358" xr:uid="{00000000-0005-0000-0000-0000FF380000}"/>
    <cellStyle name="40% - Accent4 4 2 5 3" xfId="12478" xr:uid="{00000000-0005-0000-0000-000000390000}"/>
    <cellStyle name="40% - Accent4 4 2 5 3 2" xfId="12479" xr:uid="{00000000-0005-0000-0000-000001390000}"/>
    <cellStyle name="40% - Accent4 4 2 5 4" xfId="12480" xr:uid="{00000000-0005-0000-0000-000002390000}"/>
    <cellStyle name="40% - Accent4 4 2 5 5" xfId="12481" xr:uid="{00000000-0005-0000-0000-000003390000}"/>
    <cellStyle name="40% - Accent4 4 2 5 6" xfId="38357" xr:uid="{00000000-0005-0000-0000-000004390000}"/>
    <cellStyle name="40% - Accent4 4 2 6" xfId="12482" xr:uid="{00000000-0005-0000-0000-000005390000}"/>
    <cellStyle name="40% - Accent4 4 2 6 2" xfId="12483" xr:uid="{00000000-0005-0000-0000-000006390000}"/>
    <cellStyle name="40% - Accent4 4 2 6 2 2" xfId="12484" xr:uid="{00000000-0005-0000-0000-000007390000}"/>
    <cellStyle name="40% - Accent4 4 2 6 3" xfId="12485" xr:uid="{00000000-0005-0000-0000-000008390000}"/>
    <cellStyle name="40% - Accent4 4 2 6 4" xfId="12486" xr:uid="{00000000-0005-0000-0000-000009390000}"/>
    <cellStyle name="40% - Accent4 4 2 6 5" xfId="38359" xr:uid="{00000000-0005-0000-0000-00000A390000}"/>
    <cellStyle name="40% - Accent4 4 2 7" xfId="12487" xr:uid="{00000000-0005-0000-0000-00000B390000}"/>
    <cellStyle name="40% - Accent4 4 2 7 2" xfId="12488" xr:uid="{00000000-0005-0000-0000-00000C390000}"/>
    <cellStyle name="40% - Accent4 4 2 7 2 2" xfId="12489" xr:uid="{00000000-0005-0000-0000-00000D390000}"/>
    <cellStyle name="40% - Accent4 4 2 7 3" xfId="12490" xr:uid="{00000000-0005-0000-0000-00000E390000}"/>
    <cellStyle name="40% - Accent4 4 2 7 4" xfId="12491" xr:uid="{00000000-0005-0000-0000-00000F390000}"/>
    <cellStyle name="40% - Accent4 4 2 8" xfId="12492" xr:uid="{00000000-0005-0000-0000-000010390000}"/>
    <cellStyle name="40% - Accent4 4 2 8 2" xfId="12493" xr:uid="{00000000-0005-0000-0000-000011390000}"/>
    <cellStyle name="40% - Accent4 4 2 8 2 2" xfId="12494" xr:uid="{00000000-0005-0000-0000-000012390000}"/>
    <cellStyle name="40% - Accent4 4 2 8 3" xfId="12495" xr:uid="{00000000-0005-0000-0000-000013390000}"/>
    <cellStyle name="40% - Accent4 4 2 8 4" xfId="12496" xr:uid="{00000000-0005-0000-0000-000014390000}"/>
    <cellStyle name="40% - Accent4 4 2 9" xfId="12497" xr:uid="{00000000-0005-0000-0000-000015390000}"/>
    <cellStyle name="40% - Accent4 4 2 9 2" xfId="12498" xr:uid="{00000000-0005-0000-0000-000016390000}"/>
    <cellStyle name="40% - Accent4 4 3" xfId="12499" xr:uid="{00000000-0005-0000-0000-000017390000}"/>
    <cellStyle name="40% - Accent4 4 3 10" xfId="12500" xr:uid="{00000000-0005-0000-0000-000018390000}"/>
    <cellStyle name="40% - Accent4 4 3 11" xfId="34776" xr:uid="{00000000-0005-0000-0000-000019390000}"/>
    <cellStyle name="40% - Accent4 4 3 2" xfId="12501" xr:uid="{00000000-0005-0000-0000-00001A390000}"/>
    <cellStyle name="40% - Accent4 4 3 2 10" xfId="34777" xr:uid="{00000000-0005-0000-0000-00001B390000}"/>
    <cellStyle name="40% - Accent4 4 3 2 2" xfId="12502" xr:uid="{00000000-0005-0000-0000-00001C390000}"/>
    <cellStyle name="40% - Accent4 4 3 2 2 2" xfId="12503" xr:uid="{00000000-0005-0000-0000-00001D390000}"/>
    <cellStyle name="40% - Accent4 4 3 2 2 2 2" xfId="12504" xr:uid="{00000000-0005-0000-0000-00001E390000}"/>
    <cellStyle name="40% - Accent4 4 3 2 2 2 2 2" xfId="12505" xr:uid="{00000000-0005-0000-0000-00001F390000}"/>
    <cellStyle name="40% - Accent4 4 3 2 2 2 3" xfId="12506" xr:uid="{00000000-0005-0000-0000-000020390000}"/>
    <cellStyle name="40% - Accent4 4 3 2 2 2 4" xfId="12507" xr:uid="{00000000-0005-0000-0000-000021390000}"/>
    <cellStyle name="40% - Accent4 4 3 2 2 2 5" xfId="38361" xr:uid="{00000000-0005-0000-0000-000022390000}"/>
    <cellStyle name="40% - Accent4 4 3 2 2 3" xfId="12508" xr:uid="{00000000-0005-0000-0000-000023390000}"/>
    <cellStyle name="40% - Accent4 4 3 2 2 3 2" xfId="12509" xr:uid="{00000000-0005-0000-0000-000024390000}"/>
    <cellStyle name="40% - Accent4 4 3 2 2 4" xfId="12510" xr:uid="{00000000-0005-0000-0000-000025390000}"/>
    <cellStyle name="40% - Accent4 4 3 2 2 5" xfId="12511" xr:uid="{00000000-0005-0000-0000-000026390000}"/>
    <cellStyle name="40% - Accent4 4 3 2 2 6" xfId="38360" xr:uid="{00000000-0005-0000-0000-000027390000}"/>
    <cellStyle name="40% - Accent4 4 3 2 3" xfId="12512" xr:uid="{00000000-0005-0000-0000-000028390000}"/>
    <cellStyle name="40% - Accent4 4 3 2 3 2" xfId="12513" xr:uid="{00000000-0005-0000-0000-000029390000}"/>
    <cellStyle name="40% - Accent4 4 3 2 3 2 2" xfId="12514" xr:uid="{00000000-0005-0000-0000-00002A390000}"/>
    <cellStyle name="40% - Accent4 4 3 2 3 2 2 2" xfId="12515" xr:uid="{00000000-0005-0000-0000-00002B390000}"/>
    <cellStyle name="40% - Accent4 4 3 2 3 2 3" xfId="12516" xr:uid="{00000000-0005-0000-0000-00002C390000}"/>
    <cellStyle name="40% - Accent4 4 3 2 3 2 4" xfId="12517" xr:uid="{00000000-0005-0000-0000-00002D390000}"/>
    <cellStyle name="40% - Accent4 4 3 2 3 2 5" xfId="38363" xr:uid="{00000000-0005-0000-0000-00002E390000}"/>
    <cellStyle name="40% - Accent4 4 3 2 3 3" xfId="12518" xr:uid="{00000000-0005-0000-0000-00002F390000}"/>
    <cellStyle name="40% - Accent4 4 3 2 3 3 2" xfId="12519" xr:uid="{00000000-0005-0000-0000-000030390000}"/>
    <cellStyle name="40% - Accent4 4 3 2 3 4" xfId="12520" xr:uid="{00000000-0005-0000-0000-000031390000}"/>
    <cellStyle name="40% - Accent4 4 3 2 3 5" xfId="12521" xr:uid="{00000000-0005-0000-0000-000032390000}"/>
    <cellStyle name="40% - Accent4 4 3 2 3 6" xfId="38362" xr:uid="{00000000-0005-0000-0000-000033390000}"/>
    <cellStyle name="40% - Accent4 4 3 2 4" xfId="12522" xr:uid="{00000000-0005-0000-0000-000034390000}"/>
    <cellStyle name="40% - Accent4 4 3 2 4 2" xfId="12523" xr:uid="{00000000-0005-0000-0000-000035390000}"/>
    <cellStyle name="40% - Accent4 4 3 2 4 2 2" xfId="12524" xr:uid="{00000000-0005-0000-0000-000036390000}"/>
    <cellStyle name="40% - Accent4 4 3 2 4 3" xfId="12525" xr:uid="{00000000-0005-0000-0000-000037390000}"/>
    <cellStyle name="40% - Accent4 4 3 2 4 4" xfId="12526" xr:uid="{00000000-0005-0000-0000-000038390000}"/>
    <cellStyle name="40% - Accent4 4 3 2 4 5" xfId="38364" xr:uid="{00000000-0005-0000-0000-000039390000}"/>
    <cellStyle name="40% - Accent4 4 3 2 5" xfId="12527" xr:uid="{00000000-0005-0000-0000-00003A390000}"/>
    <cellStyle name="40% - Accent4 4 3 2 5 2" xfId="12528" xr:uid="{00000000-0005-0000-0000-00003B390000}"/>
    <cellStyle name="40% - Accent4 4 3 2 5 2 2" xfId="12529" xr:uid="{00000000-0005-0000-0000-00003C390000}"/>
    <cellStyle name="40% - Accent4 4 3 2 5 3" xfId="12530" xr:uid="{00000000-0005-0000-0000-00003D390000}"/>
    <cellStyle name="40% - Accent4 4 3 2 5 4" xfId="12531" xr:uid="{00000000-0005-0000-0000-00003E390000}"/>
    <cellStyle name="40% - Accent4 4 3 2 6" xfId="12532" xr:uid="{00000000-0005-0000-0000-00003F390000}"/>
    <cellStyle name="40% - Accent4 4 3 2 6 2" xfId="12533" xr:uid="{00000000-0005-0000-0000-000040390000}"/>
    <cellStyle name="40% - Accent4 4 3 2 6 2 2" xfId="12534" xr:uid="{00000000-0005-0000-0000-000041390000}"/>
    <cellStyle name="40% - Accent4 4 3 2 6 3" xfId="12535" xr:uid="{00000000-0005-0000-0000-000042390000}"/>
    <cellStyle name="40% - Accent4 4 3 2 6 4" xfId="12536" xr:uid="{00000000-0005-0000-0000-000043390000}"/>
    <cellStyle name="40% - Accent4 4 3 2 7" xfId="12537" xr:uid="{00000000-0005-0000-0000-000044390000}"/>
    <cellStyle name="40% - Accent4 4 3 2 7 2" xfId="12538" xr:uid="{00000000-0005-0000-0000-000045390000}"/>
    <cellStyle name="40% - Accent4 4 3 2 8" xfId="12539" xr:uid="{00000000-0005-0000-0000-000046390000}"/>
    <cellStyle name="40% - Accent4 4 3 2 9" xfId="12540" xr:uid="{00000000-0005-0000-0000-000047390000}"/>
    <cellStyle name="40% - Accent4 4 3 3" xfId="12541" xr:uid="{00000000-0005-0000-0000-000048390000}"/>
    <cellStyle name="40% - Accent4 4 3 3 2" xfId="12542" xr:uid="{00000000-0005-0000-0000-000049390000}"/>
    <cellStyle name="40% - Accent4 4 3 3 2 2" xfId="12543" xr:uid="{00000000-0005-0000-0000-00004A390000}"/>
    <cellStyle name="40% - Accent4 4 3 3 2 2 2" xfId="12544" xr:uid="{00000000-0005-0000-0000-00004B390000}"/>
    <cellStyle name="40% - Accent4 4 3 3 2 3" xfId="12545" xr:uid="{00000000-0005-0000-0000-00004C390000}"/>
    <cellStyle name="40% - Accent4 4 3 3 2 4" xfId="12546" xr:uid="{00000000-0005-0000-0000-00004D390000}"/>
    <cellStyle name="40% - Accent4 4 3 3 2 5" xfId="38366" xr:uid="{00000000-0005-0000-0000-00004E390000}"/>
    <cellStyle name="40% - Accent4 4 3 3 3" xfId="12547" xr:uid="{00000000-0005-0000-0000-00004F390000}"/>
    <cellStyle name="40% - Accent4 4 3 3 3 2" xfId="12548" xr:uid="{00000000-0005-0000-0000-000050390000}"/>
    <cellStyle name="40% - Accent4 4 3 3 4" xfId="12549" xr:uid="{00000000-0005-0000-0000-000051390000}"/>
    <cellStyle name="40% - Accent4 4 3 3 5" xfId="12550" xr:uid="{00000000-0005-0000-0000-000052390000}"/>
    <cellStyle name="40% - Accent4 4 3 3 6" xfId="38365" xr:uid="{00000000-0005-0000-0000-000053390000}"/>
    <cellStyle name="40% - Accent4 4 3 4" xfId="12551" xr:uid="{00000000-0005-0000-0000-000054390000}"/>
    <cellStyle name="40% - Accent4 4 3 4 2" xfId="12552" xr:uid="{00000000-0005-0000-0000-000055390000}"/>
    <cellStyle name="40% - Accent4 4 3 4 2 2" xfId="12553" xr:uid="{00000000-0005-0000-0000-000056390000}"/>
    <cellStyle name="40% - Accent4 4 3 4 2 2 2" xfId="12554" xr:uid="{00000000-0005-0000-0000-000057390000}"/>
    <cellStyle name="40% - Accent4 4 3 4 2 3" xfId="12555" xr:uid="{00000000-0005-0000-0000-000058390000}"/>
    <cellStyle name="40% - Accent4 4 3 4 2 4" xfId="12556" xr:uid="{00000000-0005-0000-0000-000059390000}"/>
    <cellStyle name="40% - Accent4 4 3 4 2 5" xfId="38368" xr:uid="{00000000-0005-0000-0000-00005A390000}"/>
    <cellStyle name="40% - Accent4 4 3 4 3" xfId="12557" xr:uid="{00000000-0005-0000-0000-00005B390000}"/>
    <cellStyle name="40% - Accent4 4 3 4 3 2" xfId="12558" xr:uid="{00000000-0005-0000-0000-00005C390000}"/>
    <cellStyle name="40% - Accent4 4 3 4 4" xfId="12559" xr:uid="{00000000-0005-0000-0000-00005D390000}"/>
    <cellStyle name="40% - Accent4 4 3 4 5" xfId="12560" xr:uid="{00000000-0005-0000-0000-00005E390000}"/>
    <cellStyle name="40% - Accent4 4 3 4 6" xfId="38367" xr:uid="{00000000-0005-0000-0000-00005F390000}"/>
    <cellStyle name="40% - Accent4 4 3 5" xfId="12561" xr:uid="{00000000-0005-0000-0000-000060390000}"/>
    <cellStyle name="40% - Accent4 4 3 5 2" xfId="12562" xr:uid="{00000000-0005-0000-0000-000061390000}"/>
    <cellStyle name="40% - Accent4 4 3 5 2 2" xfId="12563" xr:uid="{00000000-0005-0000-0000-000062390000}"/>
    <cellStyle name="40% - Accent4 4 3 5 3" xfId="12564" xr:uid="{00000000-0005-0000-0000-000063390000}"/>
    <cellStyle name="40% - Accent4 4 3 5 4" xfId="12565" xr:uid="{00000000-0005-0000-0000-000064390000}"/>
    <cellStyle name="40% - Accent4 4 3 5 5" xfId="38369" xr:uid="{00000000-0005-0000-0000-000065390000}"/>
    <cellStyle name="40% - Accent4 4 3 6" xfId="12566" xr:uid="{00000000-0005-0000-0000-000066390000}"/>
    <cellStyle name="40% - Accent4 4 3 6 2" xfId="12567" xr:uid="{00000000-0005-0000-0000-000067390000}"/>
    <cellStyle name="40% - Accent4 4 3 6 2 2" xfId="12568" xr:uid="{00000000-0005-0000-0000-000068390000}"/>
    <cellStyle name="40% - Accent4 4 3 6 3" xfId="12569" xr:uid="{00000000-0005-0000-0000-000069390000}"/>
    <cellStyle name="40% - Accent4 4 3 6 4" xfId="12570" xr:uid="{00000000-0005-0000-0000-00006A390000}"/>
    <cellStyle name="40% - Accent4 4 3 7" xfId="12571" xr:uid="{00000000-0005-0000-0000-00006B390000}"/>
    <cellStyle name="40% - Accent4 4 3 7 2" xfId="12572" xr:uid="{00000000-0005-0000-0000-00006C390000}"/>
    <cellStyle name="40% - Accent4 4 3 7 2 2" xfId="12573" xr:uid="{00000000-0005-0000-0000-00006D390000}"/>
    <cellStyle name="40% - Accent4 4 3 7 3" xfId="12574" xr:uid="{00000000-0005-0000-0000-00006E390000}"/>
    <cellStyle name="40% - Accent4 4 3 7 4" xfId="12575" xr:uid="{00000000-0005-0000-0000-00006F390000}"/>
    <cellStyle name="40% - Accent4 4 3 8" xfId="12576" xr:uid="{00000000-0005-0000-0000-000070390000}"/>
    <cellStyle name="40% - Accent4 4 3 8 2" xfId="12577" xr:uid="{00000000-0005-0000-0000-000071390000}"/>
    <cellStyle name="40% - Accent4 4 3 9" xfId="12578" xr:uid="{00000000-0005-0000-0000-000072390000}"/>
    <cellStyle name="40% - Accent4 4 4" xfId="12579" xr:uid="{00000000-0005-0000-0000-000073390000}"/>
    <cellStyle name="40% - Accent4 4 4 10" xfId="34778" xr:uid="{00000000-0005-0000-0000-000074390000}"/>
    <cellStyle name="40% - Accent4 4 4 2" xfId="12580" xr:uid="{00000000-0005-0000-0000-000075390000}"/>
    <cellStyle name="40% - Accent4 4 4 2 2" xfId="12581" xr:uid="{00000000-0005-0000-0000-000076390000}"/>
    <cellStyle name="40% - Accent4 4 4 2 2 2" xfId="12582" xr:uid="{00000000-0005-0000-0000-000077390000}"/>
    <cellStyle name="40% - Accent4 4 4 2 2 2 2" xfId="12583" xr:uid="{00000000-0005-0000-0000-000078390000}"/>
    <cellStyle name="40% - Accent4 4 4 2 2 3" xfId="12584" xr:uid="{00000000-0005-0000-0000-000079390000}"/>
    <cellStyle name="40% - Accent4 4 4 2 2 4" xfId="12585" xr:uid="{00000000-0005-0000-0000-00007A390000}"/>
    <cellStyle name="40% - Accent4 4 4 2 2 5" xfId="38371" xr:uid="{00000000-0005-0000-0000-00007B390000}"/>
    <cellStyle name="40% - Accent4 4 4 2 3" xfId="12586" xr:uid="{00000000-0005-0000-0000-00007C390000}"/>
    <cellStyle name="40% - Accent4 4 4 2 3 2" xfId="12587" xr:uid="{00000000-0005-0000-0000-00007D390000}"/>
    <cellStyle name="40% - Accent4 4 4 2 4" xfId="12588" xr:uid="{00000000-0005-0000-0000-00007E390000}"/>
    <cellStyle name="40% - Accent4 4 4 2 5" xfId="12589" xr:uid="{00000000-0005-0000-0000-00007F390000}"/>
    <cellStyle name="40% - Accent4 4 4 2 6" xfId="38370" xr:uid="{00000000-0005-0000-0000-000080390000}"/>
    <cellStyle name="40% - Accent4 4 4 3" xfId="12590" xr:uid="{00000000-0005-0000-0000-000081390000}"/>
    <cellStyle name="40% - Accent4 4 4 3 2" xfId="12591" xr:uid="{00000000-0005-0000-0000-000082390000}"/>
    <cellStyle name="40% - Accent4 4 4 3 2 2" xfId="12592" xr:uid="{00000000-0005-0000-0000-000083390000}"/>
    <cellStyle name="40% - Accent4 4 4 3 2 2 2" xfId="12593" xr:uid="{00000000-0005-0000-0000-000084390000}"/>
    <cellStyle name="40% - Accent4 4 4 3 2 3" xfId="12594" xr:uid="{00000000-0005-0000-0000-000085390000}"/>
    <cellStyle name="40% - Accent4 4 4 3 2 4" xfId="12595" xr:uid="{00000000-0005-0000-0000-000086390000}"/>
    <cellStyle name="40% - Accent4 4 4 3 2 5" xfId="38373" xr:uid="{00000000-0005-0000-0000-000087390000}"/>
    <cellStyle name="40% - Accent4 4 4 3 3" xfId="12596" xr:uid="{00000000-0005-0000-0000-000088390000}"/>
    <cellStyle name="40% - Accent4 4 4 3 3 2" xfId="12597" xr:uid="{00000000-0005-0000-0000-000089390000}"/>
    <cellStyle name="40% - Accent4 4 4 3 4" xfId="12598" xr:uid="{00000000-0005-0000-0000-00008A390000}"/>
    <cellStyle name="40% - Accent4 4 4 3 5" xfId="12599" xr:uid="{00000000-0005-0000-0000-00008B390000}"/>
    <cellStyle name="40% - Accent4 4 4 3 6" xfId="38372" xr:uid="{00000000-0005-0000-0000-00008C390000}"/>
    <cellStyle name="40% - Accent4 4 4 4" xfId="12600" xr:uid="{00000000-0005-0000-0000-00008D390000}"/>
    <cellStyle name="40% - Accent4 4 4 4 2" xfId="12601" xr:uid="{00000000-0005-0000-0000-00008E390000}"/>
    <cellStyle name="40% - Accent4 4 4 4 2 2" xfId="12602" xr:uid="{00000000-0005-0000-0000-00008F390000}"/>
    <cellStyle name="40% - Accent4 4 4 4 3" xfId="12603" xr:uid="{00000000-0005-0000-0000-000090390000}"/>
    <cellStyle name="40% - Accent4 4 4 4 4" xfId="12604" xr:uid="{00000000-0005-0000-0000-000091390000}"/>
    <cellStyle name="40% - Accent4 4 4 4 5" xfId="38374" xr:uid="{00000000-0005-0000-0000-000092390000}"/>
    <cellStyle name="40% - Accent4 4 4 5" xfId="12605" xr:uid="{00000000-0005-0000-0000-000093390000}"/>
    <cellStyle name="40% - Accent4 4 4 5 2" xfId="12606" xr:uid="{00000000-0005-0000-0000-000094390000}"/>
    <cellStyle name="40% - Accent4 4 4 5 2 2" xfId="12607" xr:uid="{00000000-0005-0000-0000-000095390000}"/>
    <cellStyle name="40% - Accent4 4 4 5 3" xfId="12608" xr:uid="{00000000-0005-0000-0000-000096390000}"/>
    <cellStyle name="40% - Accent4 4 4 5 4" xfId="12609" xr:uid="{00000000-0005-0000-0000-000097390000}"/>
    <cellStyle name="40% - Accent4 4 4 6" xfId="12610" xr:uid="{00000000-0005-0000-0000-000098390000}"/>
    <cellStyle name="40% - Accent4 4 4 6 2" xfId="12611" xr:uid="{00000000-0005-0000-0000-000099390000}"/>
    <cellStyle name="40% - Accent4 4 4 6 2 2" xfId="12612" xr:uid="{00000000-0005-0000-0000-00009A390000}"/>
    <cellStyle name="40% - Accent4 4 4 6 3" xfId="12613" xr:uid="{00000000-0005-0000-0000-00009B390000}"/>
    <cellStyle name="40% - Accent4 4 4 6 4" xfId="12614" xr:uid="{00000000-0005-0000-0000-00009C390000}"/>
    <cellStyle name="40% - Accent4 4 4 7" xfId="12615" xr:uid="{00000000-0005-0000-0000-00009D390000}"/>
    <cellStyle name="40% - Accent4 4 4 7 2" xfId="12616" xr:uid="{00000000-0005-0000-0000-00009E390000}"/>
    <cellStyle name="40% - Accent4 4 4 8" xfId="12617" xr:uid="{00000000-0005-0000-0000-00009F390000}"/>
    <cellStyle name="40% - Accent4 4 4 9" xfId="12618" xr:uid="{00000000-0005-0000-0000-0000A0390000}"/>
    <cellStyle name="40% - Accent4 4 5" xfId="12619" xr:uid="{00000000-0005-0000-0000-0000A1390000}"/>
    <cellStyle name="40% - Accent4 4 5 2" xfId="12620" xr:uid="{00000000-0005-0000-0000-0000A2390000}"/>
    <cellStyle name="40% - Accent4 4 5 2 2" xfId="12621" xr:uid="{00000000-0005-0000-0000-0000A3390000}"/>
    <cellStyle name="40% - Accent4 4 5 2 2 2" xfId="12622" xr:uid="{00000000-0005-0000-0000-0000A4390000}"/>
    <cellStyle name="40% - Accent4 4 5 2 2 2 2" xfId="12623" xr:uid="{00000000-0005-0000-0000-0000A5390000}"/>
    <cellStyle name="40% - Accent4 4 5 2 2 3" xfId="12624" xr:uid="{00000000-0005-0000-0000-0000A6390000}"/>
    <cellStyle name="40% - Accent4 4 5 2 2 4" xfId="12625" xr:uid="{00000000-0005-0000-0000-0000A7390000}"/>
    <cellStyle name="40% - Accent4 4 5 2 2 5" xfId="38377" xr:uid="{00000000-0005-0000-0000-0000A8390000}"/>
    <cellStyle name="40% - Accent4 4 5 2 3" xfId="12626" xr:uid="{00000000-0005-0000-0000-0000A9390000}"/>
    <cellStyle name="40% - Accent4 4 5 2 3 2" xfId="12627" xr:uid="{00000000-0005-0000-0000-0000AA390000}"/>
    <cellStyle name="40% - Accent4 4 5 2 4" xfId="12628" xr:uid="{00000000-0005-0000-0000-0000AB390000}"/>
    <cellStyle name="40% - Accent4 4 5 2 5" xfId="12629" xr:uid="{00000000-0005-0000-0000-0000AC390000}"/>
    <cellStyle name="40% - Accent4 4 5 2 6" xfId="38376" xr:uid="{00000000-0005-0000-0000-0000AD390000}"/>
    <cellStyle name="40% - Accent4 4 5 3" xfId="12630" xr:uid="{00000000-0005-0000-0000-0000AE390000}"/>
    <cellStyle name="40% - Accent4 4 5 3 2" xfId="12631" xr:uid="{00000000-0005-0000-0000-0000AF390000}"/>
    <cellStyle name="40% - Accent4 4 5 3 2 2" xfId="12632" xr:uid="{00000000-0005-0000-0000-0000B0390000}"/>
    <cellStyle name="40% - Accent4 4 5 3 3" xfId="12633" xr:uid="{00000000-0005-0000-0000-0000B1390000}"/>
    <cellStyle name="40% - Accent4 4 5 3 4" xfId="12634" xr:uid="{00000000-0005-0000-0000-0000B2390000}"/>
    <cellStyle name="40% - Accent4 4 5 3 5" xfId="38378" xr:uid="{00000000-0005-0000-0000-0000B3390000}"/>
    <cellStyle name="40% - Accent4 4 5 4" xfId="12635" xr:uid="{00000000-0005-0000-0000-0000B4390000}"/>
    <cellStyle name="40% - Accent4 4 5 5" xfId="12636" xr:uid="{00000000-0005-0000-0000-0000B5390000}"/>
    <cellStyle name="40% - Accent4 4 5 5 2" xfId="12637" xr:uid="{00000000-0005-0000-0000-0000B6390000}"/>
    <cellStyle name="40% - Accent4 4 5 6" xfId="12638" xr:uid="{00000000-0005-0000-0000-0000B7390000}"/>
    <cellStyle name="40% - Accent4 4 5 7" xfId="12639" xr:uid="{00000000-0005-0000-0000-0000B8390000}"/>
    <cellStyle name="40% - Accent4 4 5 8" xfId="38375" xr:uid="{00000000-0005-0000-0000-0000B9390000}"/>
    <cellStyle name="40% - Accent4 4 6" xfId="12640" xr:uid="{00000000-0005-0000-0000-0000BA390000}"/>
    <cellStyle name="40% - Accent4 4 6 2" xfId="12641" xr:uid="{00000000-0005-0000-0000-0000BB390000}"/>
    <cellStyle name="40% - Accent4 4 6 2 2" xfId="12642" xr:uid="{00000000-0005-0000-0000-0000BC390000}"/>
    <cellStyle name="40% - Accent4 4 6 2 2 2" xfId="12643" xr:uid="{00000000-0005-0000-0000-0000BD390000}"/>
    <cellStyle name="40% - Accent4 4 6 2 3" xfId="12644" xr:uid="{00000000-0005-0000-0000-0000BE390000}"/>
    <cellStyle name="40% - Accent4 4 6 2 4" xfId="12645" xr:uid="{00000000-0005-0000-0000-0000BF390000}"/>
    <cellStyle name="40% - Accent4 4 6 2 5" xfId="38380" xr:uid="{00000000-0005-0000-0000-0000C0390000}"/>
    <cellStyle name="40% - Accent4 4 6 3" xfId="12646" xr:uid="{00000000-0005-0000-0000-0000C1390000}"/>
    <cellStyle name="40% - Accent4 4 6 3 2" xfId="12647" xr:uid="{00000000-0005-0000-0000-0000C2390000}"/>
    <cellStyle name="40% - Accent4 4 6 3 2 2" xfId="12648" xr:uid="{00000000-0005-0000-0000-0000C3390000}"/>
    <cellStyle name="40% - Accent4 4 6 3 3" xfId="12649" xr:uid="{00000000-0005-0000-0000-0000C4390000}"/>
    <cellStyle name="40% - Accent4 4 6 3 4" xfId="12650" xr:uid="{00000000-0005-0000-0000-0000C5390000}"/>
    <cellStyle name="40% - Accent4 4 6 3 5" xfId="38381" xr:uid="{00000000-0005-0000-0000-0000C6390000}"/>
    <cellStyle name="40% - Accent4 4 6 4" xfId="12651" xr:uid="{00000000-0005-0000-0000-0000C7390000}"/>
    <cellStyle name="40% - Accent4 4 6 4 2" xfId="12652" xr:uid="{00000000-0005-0000-0000-0000C8390000}"/>
    <cellStyle name="40% - Accent4 4 6 5" xfId="12653" xr:uid="{00000000-0005-0000-0000-0000C9390000}"/>
    <cellStyle name="40% - Accent4 4 6 6" xfId="12654" xr:uid="{00000000-0005-0000-0000-0000CA390000}"/>
    <cellStyle name="40% - Accent4 4 6 7" xfId="38379" xr:uid="{00000000-0005-0000-0000-0000CB390000}"/>
    <cellStyle name="40% - Accent4 4 7" xfId="12655" xr:uid="{00000000-0005-0000-0000-0000CC390000}"/>
    <cellStyle name="40% - Accent4 4 7 2" xfId="12656" xr:uid="{00000000-0005-0000-0000-0000CD390000}"/>
    <cellStyle name="40% - Accent4 4 7 2 2" xfId="12657" xr:uid="{00000000-0005-0000-0000-0000CE390000}"/>
    <cellStyle name="40% - Accent4 4 7 3" xfId="12658" xr:uid="{00000000-0005-0000-0000-0000CF390000}"/>
    <cellStyle name="40% - Accent4 4 7 4" xfId="12659" xr:uid="{00000000-0005-0000-0000-0000D0390000}"/>
    <cellStyle name="40% - Accent4 4 8" xfId="12660" xr:uid="{00000000-0005-0000-0000-0000D1390000}"/>
    <cellStyle name="40% - Accent4 4 8 2" xfId="12661" xr:uid="{00000000-0005-0000-0000-0000D2390000}"/>
    <cellStyle name="40% - Accent4 4 8 2 2" xfId="12662" xr:uid="{00000000-0005-0000-0000-0000D3390000}"/>
    <cellStyle name="40% - Accent4 4 8 3" xfId="12663" xr:uid="{00000000-0005-0000-0000-0000D4390000}"/>
    <cellStyle name="40% - Accent4 4 8 4" xfId="12664" xr:uid="{00000000-0005-0000-0000-0000D5390000}"/>
    <cellStyle name="40% - Accent4 4 9" xfId="34771" xr:uid="{00000000-0005-0000-0000-0000D6390000}"/>
    <cellStyle name="40% - Accent4 5" xfId="12665" xr:uid="{00000000-0005-0000-0000-0000D7390000}"/>
    <cellStyle name="40% - Accent4 5 2" xfId="12666" xr:uid="{00000000-0005-0000-0000-0000D8390000}"/>
    <cellStyle name="40% - Accent4 5 2 10" xfId="12667" xr:uid="{00000000-0005-0000-0000-0000D9390000}"/>
    <cellStyle name="40% - Accent4 5 2 11" xfId="12668" xr:uid="{00000000-0005-0000-0000-0000DA390000}"/>
    <cellStyle name="40% - Accent4 5 2 12" xfId="34780" xr:uid="{00000000-0005-0000-0000-0000DB390000}"/>
    <cellStyle name="40% - Accent4 5 2 2" xfId="12669" xr:uid="{00000000-0005-0000-0000-0000DC390000}"/>
    <cellStyle name="40% - Accent4 5 2 2 10" xfId="12670" xr:uid="{00000000-0005-0000-0000-0000DD390000}"/>
    <cellStyle name="40% - Accent4 5 2 2 11" xfId="34781" xr:uid="{00000000-0005-0000-0000-0000DE390000}"/>
    <cellStyle name="40% - Accent4 5 2 2 2" xfId="12671" xr:uid="{00000000-0005-0000-0000-0000DF390000}"/>
    <cellStyle name="40% - Accent4 5 2 2 2 10" xfId="34782" xr:uid="{00000000-0005-0000-0000-0000E0390000}"/>
    <cellStyle name="40% - Accent4 5 2 2 2 2" xfId="12672" xr:uid="{00000000-0005-0000-0000-0000E1390000}"/>
    <cellStyle name="40% - Accent4 5 2 2 2 2 2" xfId="12673" xr:uid="{00000000-0005-0000-0000-0000E2390000}"/>
    <cellStyle name="40% - Accent4 5 2 2 2 2 2 2" xfId="12674" xr:uid="{00000000-0005-0000-0000-0000E3390000}"/>
    <cellStyle name="40% - Accent4 5 2 2 2 2 2 2 2" xfId="12675" xr:uid="{00000000-0005-0000-0000-0000E4390000}"/>
    <cellStyle name="40% - Accent4 5 2 2 2 2 2 3" xfId="12676" xr:uid="{00000000-0005-0000-0000-0000E5390000}"/>
    <cellStyle name="40% - Accent4 5 2 2 2 2 2 4" xfId="12677" xr:uid="{00000000-0005-0000-0000-0000E6390000}"/>
    <cellStyle name="40% - Accent4 5 2 2 2 2 2 5" xfId="38383" xr:uid="{00000000-0005-0000-0000-0000E7390000}"/>
    <cellStyle name="40% - Accent4 5 2 2 2 2 3" xfId="12678" xr:uid="{00000000-0005-0000-0000-0000E8390000}"/>
    <cellStyle name="40% - Accent4 5 2 2 2 2 3 2" xfId="12679" xr:uid="{00000000-0005-0000-0000-0000E9390000}"/>
    <cellStyle name="40% - Accent4 5 2 2 2 2 4" xfId="12680" xr:uid="{00000000-0005-0000-0000-0000EA390000}"/>
    <cellStyle name="40% - Accent4 5 2 2 2 2 5" xfId="12681" xr:uid="{00000000-0005-0000-0000-0000EB390000}"/>
    <cellStyle name="40% - Accent4 5 2 2 2 2 6" xfId="38382" xr:uid="{00000000-0005-0000-0000-0000EC390000}"/>
    <cellStyle name="40% - Accent4 5 2 2 2 3" xfId="12682" xr:uid="{00000000-0005-0000-0000-0000ED390000}"/>
    <cellStyle name="40% - Accent4 5 2 2 2 3 2" xfId="12683" xr:uid="{00000000-0005-0000-0000-0000EE390000}"/>
    <cellStyle name="40% - Accent4 5 2 2 2 3 2 2" xfId="12684" xr:uid="{00000000-0005-0000-0000-0000EF390000}"/>
    <cellStyle name="40% - Accent4 5 2 2 2 3 2 2 2" xfId="12685" xr:uid="{00000000-0005-0000-0000-0000F0390000}"/>
    <cellStyle name="40% - Accent4 5 2 2 2 3 2 3" xfId="12686" xr:uid="{00000000-0005-0000-0000-0000F1390000}"/>
    <cellStyle name="40% - Accent4 5 2 2 2 3 2 4" xfId="12687" xr:uid="{00000000-0005-0000-0000-0000F2390000}"/>
    <cellStyle name="40% - Accent4 5 2 2 2 3 2 5" xfId="38385" xr:uid="{00000000-0005-0000-0000-0000F3390000}"/>
    <cellStyle name="40% - Accent4 5 2 2 2 3 3" xfId="12688" xr:uid="{00000000-0005-0000-0000-0000F4390000}"/>
    <cellStyle name="40% - Accent4 5 2 2 2 3 3 2" xfId="12689" xr:uid="{00000000-0005-0000-0000-0000F5390000}"/>
    <cellStyle name="40% - Accent4 5 2 2 2 3 4" xfId="12690" xr:uid="{00000000-0005-0000-0000-0000F6390000}"/>
    <cellStyle name="40% - Accent4 5 2 2 2 3 5" xfId="12691" xr:uid="{00000000-0005-0000-0000-0000F7390000}"/>
    <cellStyle name="40% - Accent4 5 2 2 2 3 6" xfId="38384" xr:uid="{00000000-0005-0000-0000-0000F8390000}"/>
    <cellStyle name="40% - Accent4 5 2 2 2 4" xfId="12692" xr:uid="{00000000-0005-0000-0000-0000F9390000}"/>
    <cellStyle name="40% - Accent4 5 2 2 2 4 2" xfId="12693" xr:uid="{00000000-0005-0000-0000-0000FA390000}"/>
    <cellStyle name="40% - Accent4 5 2 2 2 4 2 2" xfId="12694" xr:uid="{00000000-0005-0000-0000-0000FB390000}"/>
    <cellStyle name="40% - Accent4 5 2 2 2 4 3" xfId="12695" xr:uid="{00000000-0005-0000-0000-0000FC390000}"/>
    <cellStyle name="40% - Accent4 5 2 2 2 4 4" xfId="12696" xr:uid="{00000000-0005-0000-0000-0000FD390000}"/>
    <cellStyle name="40% - Accent4 5 2 2 2 4 5" xfId="38386" xr:uid="{00000000-0005-0000-0000-0000FE390000}"/>
    <cellStyle name="40% - Accent4 5 2 2 2 5" xfId="12697" xr:uid="{00000000-0005-0000-0000-0000FF390000}"/>
    <cellStyle name="40% - Accent4 5 2 2 2 5 2" xfId="12698" xr:uid="{00000000-0005-0000-0000-0000003A0000}"/>
    <cellStyle name="40% - Accent4 5 2 2 2 5 2 2" xfId="12699" xr:uid="{00000000-0005-0000-0000-0000013A0000}"/>
    <cellStyle name="40% - Accent4 5 2 2 2 5 3" xfId="12700" xr:uid="{00000000-0005-0000-0000-0000023A0000}"/>
    <cellStyle name="40% - Accent4 5 2 2 2 5 4" xfId="12701" xr:uid="{00000000-0005-0000-0000-0000033A0000}"/>
    <cellStyle name="40% - Accent4 5 2 2 2 6" xfId="12702" xr:uid="{00000000-0005-0000-0000-0000043A0000}"/>
    <cellStyle name="40% - Accent4 5 2 2 2 6 2" xfId="12703" xr:uid="{00000000-0005-0000-0000-0000053A0000}"/>
    <cellStyle name="40% - Accent4 5 2 2 2 6 2 2" xfId="12704" xr:uid="{00000000-0005-0000-0000-0000063A0000}"/>
    <cellStyle name="40% - Accent4 5 2 2 2 6 3" xfId="12705" xr:uid="{00000000-0005-0000-0000-0000073A0000}"/>
    <cellStyle name="40% - Accent4 5 2 2 2 6 4" xfId="12706" xr:uid="{00000000-0005-0000-0000-0000083A0000}"/>
    <cellStyle name="40% - Accent4 5 2 2 2 7" xfId="12707" xr:uid="{00000000-0005-0000-0000-0000093A0000}"/>
    <cellStyle name="40% - Accent4 5 2 2 2 7 2" xfId="12708" xr:uid="{00000000-0005-0000-0000-00000A3A0000}"/>
    <cellStyle name="40% - Accent4 5 2 2 2 8" xfId="12709" xr:uid="{00000000-0005-0000-0000-00000B3A0000}"/>
    <cellStyle name="40% - Accent4 5 2 2 2 9" xfId="12710" xr:uid="{00000000-0005-0000-0000-00000C3A0000}"/>
    <cellStyle name="40% - Accent4 5 2 2 3" xfId="12711" xr:uid="{00000000-0005-0000-0000-00000D3A0000}"/>
    <cellStyle name="40% - Accent4 5 2 2 3 2" xfId="12712" xr:uid="{00000000-0005-0000-0000-00000E3A0000}"/>
    <cellStyle name="40% - Accent4 5 2 2 3 2 2" xfId="12713" xr:uid="{00000000-0005-0000-0000-00000F3A0000}"/>
    <cellStyle name="40% - Accent4 5 2 2 3 2 2 2" xfId="12714" xr:uid="{00000000-0005-0000-0000-0000103A0000}"/>
    <cellStyle name="40% - Accent4 5 2 2 3 2 3" xfId="12715" xr:uid="{00000000-0005-0000-0000-0000113A0000}"/>
    <cellStyle name="40% - Accent4 5 2 2 3 2 4" xfId="12716" xr:uid="{00000000-0005-0000-0000-0000123A0000}"/>
    <cellStyle name="40% - Accent4 5 2 2 3 2 5" xfId="38388" xr:uid="{00000000-0005-0000-0000-0000133A0000}"/>
    <cellStyle name="40% - Accent4 5 2 2 3 3" xfId="12717" xr:uid="{00000000-0005-0000-0000-0000143A0000}"/>
    <cellStyle name="40% - Accent4 5 2 2 3 3 2" xfId="12718" xr:uid="{00000000-0005-0000-0000-0000153A0000}"/>
    <cellStyle name="40% - Accent4 5 2 2 3 4" xfId="12719" xr:uid="{00000000-0005-0000-0000-0000163A0000}"/>
    <cellStyle name="40% - Accent4 5 2 2 3 5" xfId="12720" xr:uid="{00000000-0005-0000-0000-0000173A0000}"/>
    <cellStyle name="40% - Accent4 5 2 2 3 6" xfId="38387" xr:uid="{00000000-0005-0000-0000-0000183A0000}"/>
    <cellStyle name="40% - Accent4 5 2 2 4" xfId="12721" xr:uid="{00000000-0005-0000-0000-0000193A0000}"/>
    <cellStyle name="40% - Accent4 5 2 2 4 2" xfId="12722" xr:uid="{00000000-0005-0000-0000-00001A3A0000}"/>
    <cellStyle name="40% - Accent4 5 2 2 4 2 2" xfId="12723" xr:uid="{00000000-0005-0000-0000-00001B3A0000}"/>
    <cellStyle name="40% - Accent4 5 2 2 4 2 2 2" xfId="12724" xr:uid="{00000000-0005-0000-0000-00001C3A0000}"/>
    <cellStyle name="40% - Accent4 5 2 2 4 2 3" xfId="12725" xr:uid="{00000000-0005-0000-0000-00001D3A0000}"/>
    <cellStyle name="40% - Accent4 5 2 2 4 2 4" xfId="12726" xr:uid="{00000000-0005-0000-0000-00001E3A0000}"/>
    <cellStyle name="40% - Accent4 5 2 2 4 2 5" xfId="38390" xr:uid="{00000000-0005-0000-0000-00001F3A0000}"/>
    <cellStyle name="40% - Accent4 5 2 2 4 3" xfId="12727" xr:uid="{00000000-0005-0000-0000-0000203A0000}"/>
    <cellStyle name="40% - Accent4 5 2 2 4 3 2" xfId="12728" xr:uid="{00000000-0005-0000-0000-0000213A0000}"/>
    <cellStyle name="40% - Accent4 5 2 2 4 4" xfId="12729" xr:uid="{00000000-0005-0000-0000-0000223A0000}"/>
    <cellStyle name="40% - Accent4 5 2 2 4 5" xfId="12730" xr:uid="{00000000-0005-0000-0000-0000233A0000}"/>
    <cellStyle name="40% - Accent4 5 2 2 4 6" xfId="38389" xr:uid="{00000000-0005-0000-0000-0000243A0000}"/>
    <cellStyle name="40% - Accent4 5 2 2 5" xfId="12731" xr:uid="{00000000-0005-0000-0000-0000253A0000}"/>
    <cellStyle name="40% - Accent4 5 2 2 5 2" xfId="12732" xr:uid="{00000000-0005-0000-0000-0000263A0000}"/>
    <cellStyle name="40% - Accent4 5 2 2 5 2 2" xfId="12733" xr:uid="{00000000-0005-0000-0000-0000273A0000}"/>
    <cellStyle name="40% - Accent4 5 2 2 5 3" xfId="12734" xr:uid="{00000000-0005-0000-0000-0000283A0000}"/>
    <cellStyle name="40% - Accent4 5 2 2 5 4" xfId="12735" xr:uid="{00000000-0005-0000-0000-0000293A0000}"/>
    <cellStyle name="40% - Accent4 5 2 2 5 5" xfId="38391" xr:uid="{00000000-0005-0000-0000-00002A3A0000}"/>
    <cellStyle name="40% - Accent4 5 2 2 6" xfId="12736" xr:uid="{00000000-0005-0000-0000-00002B3A0000}"/>
    <cellStyle name="40% - Accent4 5 2 2 6 2" xfId="12737" xr:uid="{00000000-0005-0000-0000-00002C3A0000}"/>
    <cellStyle name="40% - Accent4 5 2 2 6 2 2" xfId="12738" xr:uid="{00000000-0005-0000-0000-00002D3A0000}"/>
    <cellStyle name="40% - Accent4 5 2 2 6 3" xfId="12739" xr:uid="{00000000-0005-0000-0000-00002E3A0000}"/>
    <cellStyle name="40% - Accent4 5 2 2 6 4" xfId="12740" xr:uid="{00000000-0005-0000-0000-00002F3A0000}"/>
    <cellStyle name="40% - Accent4 5 2 2 7" xfId="12741" xr:uid="{00000000-0005-0000-0000-0000303A0000}"/>
    <cellStyle name="40% - Accent4 5 2 2 7 2" xfId="12742" xr:uid="{00000000-0005-0000-0000-0000313A0000}"/>
    <cellStyle name="40% - Accent4 5 2 2 7 2 2" xfId="12743" xr:uid="{00000000-0005-0000-0000-0000323A0000}"/>
    <cellStyle name="40% - Accent4 5 2 2 7 3" xfId="12744" xr:uid="{00000000-0005-0000-0000-0000333A0000}"/>
    <cellStyle name="40% - Accent4 5 2 2 7 4" xfId="12745" xr:uid="{00000000-0005-0000-0000-0000343A0000}"/>
    <cellStyle name="40% - Accent4 5 2 2 8" xfId="12746" xr:uid="{00000000-0005-0000-0000-0000353A0000}"/>
    <cellStyle name="40% - Accent4 5 2 2 8 2" xfId="12747" xr:uid="{00000000-0005-0000-0000-0000363A0000}"/>
    <cellStyle name="40% - Accent4 5 2 2 9" xfId="12748" xr:uid="{00000000-0005-0000-0000-0000373A0000}"/>
    <cellStyle name="40% - Accent4 5 2 3" xfId="12749" xr:uid="{00000000-0005-0000-0000-0000383A0000}"/>
    <cellStyle name="40% - Accent4 5 2 3 10" xfId="34783" xr:uid="{00000000-0005-0000-0000-0000393A0000}"/>
    <cellStyle name="40% - Accent4 5 2 3 2" xfId="12750" xr:uid="{00000000-0005-0000-0000-00003A3A0000}"/>
    <cellStyle name="40% - Accent4 5 2 3 2 2" xfId="12751" xr:uid="{00000000-0005-0000-0000-00003B3A0000}"/>
    <cellStyle name="40% - Accent4 5 2 3 2 2 2" xfId="12752" xr:uid="{00000000-0005-0000-0000-00003C3A0000}"/>
    <cellStyle name="40% - Accent4 5 2 3 2 2 2 2" xfId="12753" xr:uid="{00000000-0005-0000-0000-00003D3A0000}"/>
    <cellStyle name="40% - Accent4 5 2 3 2 2 3" xfId="12754" xr:uid="{00000000-0005-0000-0000-00003E3A0000}"/>
    <cellStyle name="40% - Accent4 5 2 3 2 2 4" xfId="12755" xr:uid="{00000000-0005-0000-0000-00003F3A0000}"/>
    <cellStyle name="40% - Accent4 5 2 3 2 2 5" xfId="38393" xr:uid="{00000000-0005-0000-0000-0000403A0000}"/>
    <cellStyle name="40% - Accent4 5 2 3 2 3" xfId="12756" xr:uid="{00000000-0005-0000-0000-0000413A0000}"/>
    <cellStyle name="40% - Accent4 5 2 3 2 3 2" xfId="12757" xr:uid="{00000000-0005-0000-0000-0000423A0000}"/>
    <cellStyle name="40% - Accent4 5 2 3 2 4" xfId="12758" xr:uid="{00000000-0005-0000-0000-0000433A0000}"/>
    <cellStyle name="40% - Accent4 5 2 3 2 5" xfId="12759" xr:uid="{00000000-0005-0000-0000-0000443A0000}"/>
    <cellStyle name="40% - Accent4 5 2 3 2 6" xfId="38392" xr:uid="{00000000-0005-0000-0000-0000453A0000}"/>
    <cellStyle name="40% - Accent4 5 2 3 3" xfId="12760" xr:uid="{00000000-0005-0000-0000-0000463A0000}"/>
    <cellStyle name="40% - Accent4 5 2 3 3 2" xfId="12761" xr:uid="{00000000-0005-0000-0000-0000473A0000}"/>
    <cellStyle name="40% - Accent4 5 2 3 3 2 2" xfId="12762" xr:uid="{00000000-0005-0000-0000-0000483A0000}"/>
    <cellStyle name="40% - Accent4 5 2 3 3 2 2 2" xfId="12763" xr:uid="{00000000-0005-0000-0000-0000493A0000}"/>
    <cellStyle name="40% - Accent4 5 2 3 3 2 3" xfId="12764" xr:uid="{00000000-0005-0000-0000-00004A3A0000}"/>
    <cellStyle name="40% - Accent4 5 2 3 3 2 4" xfId="12765" xr:uid="{00000000-0005-0000-0000-00004B3A0000}"/>
    <cellStyle name="40% - Accent4 5 2 3 3 2 5" xfId="38395" xr:uid="{00000000-0005-0000-0000-00004C3A0000}"/>
    <cellStyle name="40% - Accent4 5 2 3 3 3" xfId="12766" xr:uid="{00000000-0005-0000-0000-00004D3A0000}"/>
    <cellStyle name="40% - Accent4 5 2 3 3 3 2" xfId="12767" xr:uid="{00000000-0005-0000-0000-00004E3A0000}"/>
    <cellStyle name="40% - Accent4 5 2 3 3 4" xfId="12768" xr:uid="{00000000-0005-0000-0000-00004F3A0000}"/>
    <cellStyle name="40% - Accent4 5 2 3 3 5" xfId="12769" xr:uid="{00000000-0005-0000-0000-0000503A0000}"/>
    <cellStyle name="40% - Accent4 5 2 3 3 6" xfId="38394" xr:uid="{00000000-0005-0000-0000-0000513A0000}"/>
    <cellStyle name="40% - Accent4 5 2 3 4" xfId="12770" xr:uid="{00000000-0005-0000-0000-0000523A0000}"/>
    <cellStyle name="40% - Accent4 5 2 3 4 2" xfId="12771" xr:uid="{00000000-0005-0000-0000-0000533A0000}"/>
    <cellStyle name="40% - Accent4 5 2 3 4 2 2" xfId="12772" xr:uid="{00000000-0005-0000-0000-0000543A0000}"/>
    <cellStyle name="40% - Accent4 5 2 3 4 3" xfId="12773" xr:uid="{00000000-0005-0000-0000-0000553A0000}"/>
    <cellStyle name="40% - Accent4 5 2 3 4 4" xfId="12774" xr:uid="{00000000-0005-0000-0000-0000563A0000}"/>
    <cellStyle name="40% - Accent4 5 2 3 4 5" xfId="38396" xr:uid="{00000000-0005-0000-0000-0000573A0000}"/>
    <cellStyle name="40% - Accent4 5 2 3 5" xfId="12775" xr:uid="{00000000-0005-0000-0000-0000583A0000}"/>
    <cellStyle name="40% - Accent4 5 2 3 5 2" xfId="12776" xr:uid="{00000000-0005-0000-0000-0000593A0000}"/>
    <cellStyle name="40% - Accent4 5 2 3 5 2 2" xfId="12777" xr:uid="{00000000-0005-0000-0000-00005A3A0000}"/>
    <cellStyle name="40% - Accent4 5 2 3 5 3" xfId="12778" xr:uid="{00000000-0005-0000-0000-00005B3A0000}"/>
    <cellStyle name="40% - Accent4 5 2 3 5 4" xfId="12779" xr:uid="{00000000-0005-0000-0000-00005C3A0000}"/>
    <cellStyle name="40% - Accent4 5 2 3 6" xfId="12780" xr:uid="{00000000-0005-0000-0000-00005D3A0000}"/>
    <cellStyle name="40% - Accent4 5 2 3 6 2" xfId="12781" xr:uid="{00000000-0005-0000-0000-00005E3A0000}"/>
    <cellStyle name="40% - Accent4 5 2 3 6 2 2" xfId="12782" xr:uid="{00000000-0005-0000-0000-00005F3A0000}"/>
    <cellStyle name="40% - Accent4 5 2 3 6 3" xfId="12783" xr:uid="{00000000-0005-0000-0000-0000603A0000}"/>
    <cellStyle name="40% - Accent4 5 2 3 6 4" xfId="12784" xr:uid="{00000000-0005-0000-0000-0000613A0000}"/>
    <cellStyle name="40% - Accent4 5 2 3 7" xfId="12785" xr:uid="{00000000-0005-0000-0000-0000623A0000}"/>
    <cellStyle name="40% - Accent4 5 2 3 7 2" xfId="12786" xr:uid="{00000000-0005-0000-0000-0000633A0000}"/>
    <cellStyle name="40% - Accent4 5 2 3 8" xfId="12787" xr:uid="{00000000-0005-0000-0000-0000643A0000}"/>
    <cellStyle name="40% - Accent4 5 2 3 9" xfId="12788" xr:uid="{00000000-0005-0000-0000-0000653A0000}"/>
    <cellStyle name="40% - Accent4 5 2 4" xfId="12789" xr:uid="{00000000-0005-0000-0000-0000663A0000}"/>
    <cellStyle name="40% - Accent4 5 2 4 2" xfId="12790" xr:uid="{00000000-0005-0000-0000-0000673A0000}"/>
    <cellStyle name="40% - Accent4 5 2 4 2 2" xfId="12791" xr:uid="{00000000-0005-0000-0000-0000683A0000}"/>
    <cellStyle name="40% - Accent4 5 2 4 2 2 2" xfId="12792" xr:uid="{00000000-0005-0000-0000-0000693A0000}"/>
    <cellStyle name="40% - Accent4 5 2 4 2 3" xfId="12793" xr:uid="{00000000-0005-0000-0000-00006A3A0000}"/>
    <cellStyle name="40% - Accent4 5 2 4 2 4" xfId="12794" xr:uid="{00000000-0005-0000-0000-00006B3A0000}"/>
    <cellStyle name="40% - Accent4 5 2 4 2 5" xfId="38398" xr:uid="{00000000-0005-0000-0000-00006C3A0000}"/>
    <cellStyle name="40% - Accent4 5 2 4 3" xfId="12795" xr:uid="{00000000-0005-0000-0000-00006D3A0000}"/>
    <cellStyle name="40% - Accent4 5 2 4 3 2" xfId="12796" xr:uid="{00000000-0005-0000-0000-00006E3A0000}"/>
    <cellStyle name="40% - Accent4 5 2 4 4" xfId="12797" xr:uid="{00000000-0005-0000-0000-00006F3A0000}"/>
    <cellStyle name="40% - Accent4 5 2 4 5" xfId="12798" xr:uid="{00000000-0005-0000-0000-0000703A0000}"/>
    <cellStyle name="40% - Accent4 5 2 4 6" xfId="38397" xr:uid="{00000000-0005-0000-0000-0000713A0000}"/>
    <cellStyle name="40% - Accent4 5 2 5" xfId="12799" xr:uid="{00000000-0005-0000-0000-0000723A0000}"/>
    <cellStyle name="40% - Accent4 5 2 5 2" xfId="12800" xr:uid="{00000000-0005-0000-0000-0000733A0000}"/>
    <cellStyle name="40% - Accent4 5 2 5 2 2" xfId="12801" xr:uid="{00000000-0005-0000-0000-0000743A0000}"/>
    <cellStyle name="40% - Accent4 5 2 5 2 2 2" xfId="12802" xr:uid="{00000000-0005-0000-0000-0000753A0000}"/>
    <cellStyle name="40% - Accent4 5 2 5 2 3" xfId="12803" xr:uid="{00000000-0005-0000-0000-0000763A0000}"/>
    <cellStyle name="40% - Accent4 5 2 5 2 4" xfId="12804" xr:uid="{00000000-0005-0000-0000-0000773A0000}"/>
    <cellStyle name="40% - Accent4 5 2 5 2 5" xfId="38400" xr:uid="{00000000-0005-0000-0000-0000783A0000}"/>
    <cellStyle name="40% - Accent4 5 2 5 3" xfId="12805" xr:uid="{00000000-0005-0000-0000-0000793A0000}"/>
    <cellStyle name="40% - Accent4 5 2 5 3 2" xfId="12806" xr:uid="{00000000-0005-0000-0000-00007A3A0000}"/>
    <cellStyle name="40% - Accent4 5 2 5 4" xfId="12807" xr:uid="{00000000-0005-0000-0000-00007B3A0000}"/>
    <cellStyle name="40% - Accent4 5 2 5 5" xfId="12808" xr:uid="{00000000-0005-0000-0000-00007C3A0000}"/>
    <cellStyle name="40% - Accent4 5 2 5 6" xfId="38399" xr:uid="{00000000-0005-0000-0000-00007D3A0000}"/>
    <cellStyle name="40% - Accent4 5 2 6" xfId="12809" xr:uid="{00000000-0005-0000-0000-00007E3A0000}"/>
    <cellStyle name="40% - Accent4 5 2 6 2" xfId="12810" xr:uid="{00000000-0005-0000-0000-00007F3A0000}"/>
    <cellStyle name="40% - Accent4 5 2 6 2 2" xfId="12811" xr:uid="{00000000-0005-0000-0000-0000803A0000}"/>
    <cellStyle name="40% - Accent4 5 2 6 3" xfId="12812" xr:uid="{00000000-0005-0000-0000-0000813A0000}"/>
    <cellStyle name="40% - Accent4 5 2 6 4" xfId="12813" xr:uid="{00000000-0005-0000-0000-0000823A0000}"/>
    <cellStyle name="40% - Accent4 5 2 6 5" xfId="38401" xr:uid="{00000000-0005-0000-0000-0000833A0000}"/>
    <cellStyle name="40% - Accent4 5 2 7" xfId="12814" xr:uid="{00000000-0005-0000-0000-0000843A0000}"/>
    <cellStyle name="40% - Accent4 5 2 7 2" xfId="12815" xr:uid="{00000000-0005-0000-0000-0000853A0000}"/>
    <cellStyle name="40% - Accent4 5 2 7 2 2" xfId="12816" xr:uid="{00000000-0005-0000-0000-0000863A0000}"/>
    <cellStyle name="40% - Accent4 5 2 7 3" xfId="12817" xr:uid="{00000000-0005-0000-0000-0000873A0000}"/>
    <cellStyle name="40% - Accent4 5 2 7 4" xfId="12818" xr:uid="{00000000-0005-0000-0000-0000883A0000}"/>
    <cellStyle name="40% - Accent4 5 2 8" xfId="12819" xr:uid="{00000000-0005-0000-0000-0000893A0000}"/>
    <cellStyle name="40% - Accent4 5 2 8 2" xfId="12820" xr:uid="{00000000-0005-0000-0000-00008A3A0000}"/>
    <cellStyle name="40% - Accent4 5 2 8 2 2" xfId="12821" xr:uid="{00000000-0005-0000-0000-00008B3A0000}"/>
    <cellStyle name="40% - Accent4 5 2 8 3" xfId="12822" xr:uid="{00000000-0005-0000-0000-00008C3A0000}"/>
    <cellStyle name="40% - Accent4 5 2 8 4" xfId="12823" xr:uid="{00000000-0005-0000-0000-00008D3A0000}"/>
    <cellStyle name="40% - Accent4 5 2 9" xfId="12824" xr:uid="{00000000-0005-0000-0000-00008E3A0000}"/>
    <cellStyle name="40% - Accent4 5 2 9 2" xfId="12825" xr:uid="{00000000-0005-0000-0000-00008F3A0000}"/>
    <cellStyle name="40% - Accent4 5 3" xfId="12826" xr:uid="{00000000-0005-0000-0000-0000903A0000}"/>
    <cellStyle name="40% - Accent4 5 3 10" xfId="12827" xr:uid="{00000000-0005-0000-0000-0000913A0000}"/>
    <cellStyle name="40% - Accent4 5 3 11" xfId="34784" xr:uid="{00000000-0005-0000-0000-0000923A0000}"/>
    <cellStyle name="40% - Accent4 5 3 2" xfId="12828" xr:uid="{00000000-0005-0000-0000-0000933A0000}"/>
    <cellStyle name="40% - Accent4 5 3 2 10" xfId="34785" xr:uid="{00000000-0005-0000-0000-0000943A0000}"/>
    <cellStyle name="40% - Accent4 5 3 2 2" xfId="12829" xr:uid="{00000000-0005-0000-0000-0000953A0000}"/>
    <cellStyle name="40% - Accent4 5 3 2 2 2" xfId="12830" xr:uid="{00000000-0005-0000-0000-0000963A0000}"/>
    <cellStyle name="40% - Accent4 5 3 2 2 2 2" xfId="12831" xr:uid="{00000000-0005-0000-0000-0000973A0000}"/>
    <cellStyle name="40% - Accent4 5 3 2 2 2 2 2" xfId="12832" xr:uid="{00000000-0005-0000-0000-0000983A0000}"/>
    <cellStyle name="40% - Accent4 5 3 2 2 2 3" xfId="12833" xr:uid="{00000000-0005-0000-0000-0000993A0000}"/>
    <cellStyle name="40% - Accent4 5 3 2 2 2 4" xfId="12834" xr:uid="{00000000-0005-0000-0000-00009A3A0000}"/>
    <cellStyle name="40% - Accent4 5 3 2 2 2 5" xfId="38403" xr:uid="{00000000-0005-0000-0000-00009B3A0000}"/>
    <cellStyle name="40% - Accent4 5 3 2 2 3" xfId="12835" xr:uid="{00000000-0005-0000-0000-00009C3A0000}"/>
    <cellStyle name="40% - Accent4 5 3 2 2 3 2" xfId="12836" xr:uid="{00000000-0005-0000-0000-00009D3A0000}"/>
    <cellStyle name="40% - Accent4 5 3 2 2 4" xfId="12837" xr:uid="{00000000-0005-0000-0000-00009E3A0000}"/>
    <cellStyle name="40% - Accent4 5 3 2 2 5" xfId="12838" xr:uid="{00000000-0005-0000-0000-00009F3A0000}"/>
    <cellStyle name="40% - Accent4 5 3 2 2 6" xfId="38402" xr:uid="{00000000-0005-0000-0000-0000A03A0000}"/>
    <cellStyle name="40% - Accent4 5 3 2 3" xfId="12839" xr:uid="{00000000-0005-0000-0000-0000A13A0000}"/>
    <cellStyle name="40% - Accent4 5 3 2 3 2" xfId="12840" xr:uid="{00000000-0005-0000-0000-0000A23A0000}"/>
    <cellStyle name="40% - Accent4 5 3 2 3 2 2" xfId="12841" xr:uid="{00000000-0005-0000-0000-0000A33A0000}"/>
    <cellStyle name="40% - Accent4 5 3 2 3 2 2 2" xfId="12842" xr:uid="{00000000-0005-0000-0000-0000A43A0000}"/>
    <cellStyle name="40% - Accent4 5 3 2 3 2 3" xfId="12843" xr:uid="{00000000-0005-0000-0000-0000A53A0000}"/>
    <cellStyle name="40% - Accent4 5 3 2 3 2 4" xfId="12844" xr:uid="{00000000-0005-0000-0000-0000A63A0000}"/>
    <cellStyle name="40% - Accent4 5 3 2 3 2 5" xfId="38405" xr:uid="{00000000-0005-0000-0000-0000A73A0000}"/>
    <cellStyle name="40% - Accent4 5 3 2 3 3" xfId="12845" xr:uid="{00000000-0005-0000-0000-0000A83A0000}"/>
    <cellStyle name="40% - Accent4 5 3 2 3 3 2" xfId="12846" xr:uid="{00000000-0005-0000-0000-0000A93A0000}"/>
    <cellStyle name="40% - Accent4 5 3 2 3 4" xfId="12847" xr:uid="{00000000-0005-0000-0000-0000AA3A0000}"/>
    <cellStyle name="40% - Accent4 5 3 2 3 5" xfId="12848" xr:uid="{00000000-0005-0000-0000-0000AB3A0000}"/>
    <cellStyle name="40% - Accent4 5 3 2 3 6" xfId="38404" xr:uid="{00000000-0005-0000-0000-0000AC3A0000}"/>
    <cellStyle name="40% - Accent4 5 3 2 4" xfId="12849" xr:uid="{00000000-0005-0000-0000-0000AD3A0000}"/>
    <cellStyle name="40% - Accent4 5 3 2 4 2" xfId="12850" xr:uid="{00000000-0005-0000-0000-0000AE3A0000}"/>
    <cellStyle name="40% - Accent4 5 3 2 4 2 2" xfId="12851" xr:uid="{00000000-0005-0000-0000-0000AF3A0000}"/>
    <cellStyle name="40% - Accent4 5 3 2 4 3" xfId="12852" xr:uid="{00000000-0005-0000-0000-0000B03A0000}"/>
    <cellStyle name="40% - Accent4 5 3 2 4 4" xfId="12853" xr:uid="{00000000-0005-0000-0000-0000B13A0000}"/>
    <cellStyle name="40% - Accent4 5 3 2 4 5" xfId="38406" xr:uid="{00000000-0005-0000-0000-0000B23A0000}"/>
    <cellStyle name="40% - Accent4 5 3 2 5" xfId="12854" xr:uid="{00000000-0005-0000-0000-0000B33A0000}"/>
    <cellStyle name="40% - Accent4 5 3 2 5 2" xfId="12855" xr:uid="{00000000-0005-0000-0000-0000B43A0000}"/>
    <cellStyle name="40% - Accent4 5 3 2 5 2 2" xfId="12856" xr:uid="{00000000-0005-0000-0000-0000B53A0000}"/>
    <cellStyle name="40% - Accent4 5 3 2 5 3" xfId="12857" xr:uid="{00000000-0005-0000-0000-0000B63A0000}"/>
    <cellStyle name="40% - Accent4 5 3 2 5 4" xfId="12858" xr:uid="{00000000-0005-0000-0000-0000B73A0000}"/>
    <cellStyle name="40% - Accent4 5 3 2 6" xfId="12859" xr:uid="{00000000-0005-0000-0000-0000B83A0000}"/>
    <cellStyle name="40% - Accent4 5 3 2 6 2" xfId="12860" xr:uid="{00000000-0005-0000-0000-0000B93A0000}"/>
    <cellStyle name="40% - Accent4 5 3 2 6 2 2" xfId="12861" xr:uid="{00000000-0005-0000-0000-0000BA3A0000}"/>
    <cellStyle name="40% - Accent4 5 3 2 6 3" xfId="12862" xr:uid="{00000000-0005-0000-0000-0000BB3A0000}"/>
    <cellStyle name="40% - Accent4 5 3 2 6 4" xfId="12863" xr:uid="{00000000-0005-0000-0000-0000BC3A0000}"/>
    <cellStyle name="40% - Accent4 5 3 2 7" xfId="12864" xr:uid="{00000000-0005-0000-0000-0000BD3A0000}"/>
    <cellStyle name="40% - Accent4 5 3 2 7 2" xfId="12865" xr:uid="{00000000-0005-0000-0000-0000BE3A0000}"/>
    <cellStyle name="40% - Accent4 5 3 2 8" xfId="12866" xr:uid="{00000000-0005-0000-0000-0000BF3A0000}"/>
    <cellStyle name="40% - Accent4 5 3 2 9" xfId="12867" xr:uid="{00000000-0005-0000-0000-0000C03A0000}"/>
    <cellStyle name="40% - Accent4 5 3 3" xfId="12868" xr:uid="{00000000-0005-0000-0000-0000C13A0000}"/>
    <cellStyle name="40% - Accent4 5 3 3 2" xfId="12869" xr:uid="{00000000-0005-0000-0000-0000C23A0000}"/>
    <cellStyle name="40% - Accent4 5 3 3 2 2" xfId="12870" xr:uid="{00000000-0005-0000-0000-0000C33A0000}"/>
    <cellStyle name="40% - Accent4 5 3 3 2 2 2" xfId="12871" xr:uid="{00000000-0005-0000-0000-0000C43A0000}"/>
    <cellStyle name="40% - Accent4 5 3 3 2 3" xfId="12872" xr:uid="{00000000-0005-0000-0000-0000C53A0000}"/>
    <cellStyle name="40% - Accent4 5 3 3 2 4" xfId="12873" xr:uid="{00000000-0005-0000-0000-0000C63A0000}"/>
    <cellStyle name="40% - Accent4 5 3 3 2 5" xfId="38408" xr:uid="{00000000-0005-0000-0000-0000C73A0000}"/>
    <cellStyle name="40% - Accent4 5 3 3 3" xfId="12874" xr:uid="{00000000-0005-0000-0000-0000C83A0000}"/>
    <cellStyle name="40% - Accent4 5 3 3 3 2" xfId="12875" xr:uid="{00000000-0005-0000-0000-0000C93A0000}"/>
    <cellStyle name="40% - Accent4 5 3 3 4" xfId="12876" xr:uid="{00000000-0005-0000-0000-0000CA3A0000}"/>
    <cellStyle name="40% - Accent4 5 3 3 5" xfId="12877" xr:uid="{00000000-0005-0000-0000-0000CB3A0000}"/>
    <cellStyle name="40% - Accent4 5 3 3 6" xfId="38407" xr:uid="{00000000-0005-0000-0000-0000CC3A0000}"/>
    <cellStyle name="40% - Accent4 5 3 4" xfId="12878" xr:uid="{00000000-0005-0000-0000-0000CD3A0000}"/>
    <cellStyle name="40% - Accent4 5 3 4 2" xfId="12879" xr:uid="{00000000-0005-0000-0000-0000CE3A0000}"/>
    <cellStyle name="40% - Accent4 5 3 4 2 2" xfId="12880" xr:uid="{00000000-0005-0000-0000-0000CF3A0000}"/>
    <cellStyle name="40% - Accent4 5 3 4 2 2 2" xfId="12881" xr:uid="{00000000-0005-0000-0000-0000D03A0000}"/>
    <cellStyle name="40% - Accent4 5 3 4 2 3" xfId="12882" xr:uid="{00000000-0005-0000-0000-0000D13A0000}"/>
    <cellStyle name="40% - Accent4 5 3 4 2 4" xfId="12883" xr:uid="{00000000-0005-0000-0000-0000D23A0000}"/>
    <cellStyle name="40% - Accent4 5 3 4 2 5" xfId="38410" xr:uid="{00000000-0005-0000-0000-0000D33A0000}"/>
    <cellStyle name="40% - Accent4 5 3 4 3" xfId="12884" xr:uid="{00000000-0005-0000-0000-0000D43A0000}"/>
    <cellStyle name="40% - Accent4 5 3 4 3 2" xfId="12885" xr:uid="{00000000-0005-0000-0000-0000D53A0000}"/>
    <cellStyle name="40% - Accent4 5 3 4 4" xfId="12886" xr:uid="{00000000-0005-0000-0000-0000D63A0000}"/>
    <cellStyle name="40% - Accent4 5 3 4 5" xfId="12887" xr:uid="{00000000-0005-0000-0000-0000D73A0000}"/>
    <cellStyle name="40% - Accent4 5 3 4 6" xfId="38409" xr:uid="{00000000-0005-0000-0000-0000D83A0000}"/>
    <cellStyle name="40% - Accent4 5 3 5" xfId="12888" xr:uid="{00000000-0005-0000-0000-0000D93A0000}"/>
    <cellStyle name="40% - Accent4 5 3 5 2" xfId="12889" xr:uid="{00000000-0005-0000-0000-0000DA3A0000}"/>
    <cellStyle name="40% - Accent4 5 3 5 2 2" xfId="12890" xr:uid="{00000000-0005-0000-0000-0000DB3A0000}"/>
    <cellStyle name="40% - Accent4 5 3 5 3" xfId="12891" xr:uid="{00000000-0005-0000-0000-0000DC3A0000}"/>
    <cellStyle name="40% - Accent4 5 3 5 4" xfId="12892" xr:uid="{00000000-0005-0000-0000-0000DD3A0000}"/>
    <cellStyle name="40% - Accent4 5 3 5 5" xfId="38411" xr:uid="{00000000-0005-0000-0000-0000DE3A0000}"/>
    <cellStyle name="40% - Accent4 5 3 6" xfId="12893" xr:uid="{00000000-0005-0000-0000-0000DF3A0000}"/>
    <cellStyle name="40% - Accent4 5 3 6 2" xfId="12894" xr:uid="{00000000-0005-0000-0000-0000E03A0000}"/>
    <cellStyle name="40% - Accent4 5 3 6 2 2" xfId="12895" xr:uid="{00000000-0005-0000-0000-0000E13A0000}"/>
    <cellStyle name="40% - Accent4 5 3 6 3" xfId="12896" xr:uid="{00000000-0005-0000-0000-0000E23A0000}"/>
    <cellStyle name="40% - Accent4 5 3 6 4" xfId="12897" xr:uid="{00000000-0005-0000-0000-0000E33A0000}"/>
    <cellStyle name="40% - Accent4 5 3 7" xfId="12898" xr:uid="{00000000-0005-0000-0000-0000E43A0000}"/>
    <cellStyle name="40% - Accent4 5 3 7 2" xfId="12899" xr:uid="{00000000-0005-0000-0000-0000E53A0000}"/>
    <cellStyle name="40% - Accent4 5 3 7 2 2" xfId="12900" xr:uid="{00000000-0005-0000-0000-0000E63A0000}"/>
    <cellStyle name="40% - Accent4 5 3 7 3" xfId="12901" xr:uid="{00000000-0005-0000-0000-0000E73A0000}"/>
    <cellStyle name="40% - Accent4 5 3 7 4" xfId="12902" xr:uid="{00000000-0005-0000-0000-0000E83A0000}"/>
    <cellStyle name="40% - Accent4 5 3 8" xfId="12903" xr:uid="{00000000-0005-0000-0000-0000E93A0000}"/>
    <cellStyle name="40% - Accent4 5 3 8 2" xfId="12904" xr:uid="{00000000-0005-0000-0000-0000EA3A0000}"/>
    <cellStyle name="40% - Accent4 5 3 9" xfId="12905" xr:uid="{00000000-0005-0000-0000-0000EB3A0000}"/>
    <cellStyle name="40% - Accent4 5 4" xfId="12906" xr:uid="{00000000-0005-0000-0000-0000EC3A0000}"/>
    <cellStyle name="40% - Accent4 5 4 10" xfId="34786" xr:uid="{00000000-0005-0000-0000-0000ED3A0000}"/>
    <cellStyle name="40% - Accent4 5 4 2" xfId="12907" xr:uid="{00000000-0005-0000-0000-0000EE3A0000}"/>
    <cellStyle name="40% - Accent4 5 4 2 2" xfId="12908" xr:uid="{00000000-0005-0000-0000-0000EF3A0000}"/>
    <cellStyle name="40% - Accent4 5 4 2 2 2" xfId="12909" xr:uid="{00000000-0005-0000-0000-0000F03A0000}"/>
    <cellStyle name="40% - Accent4 5 4 2 2 2 2" xfId="12910" xr:uid="{00000000-0005-0000-0000-0000F13A0000}"/>
    <cellStyle name="40% - Accent4 5 4 2 2 3" xfId="12911" xr:uid="{00000000-0005-0000-0000-0000F23A0000}"/>
    <cellStyle name="40% - Accent4 5 4 2 2 4" xfId="12912" xr:uid="{00000000-0005-0000-0000-0000F33A0000}"/>
    <cellStyle name="40% - Accent4 5 4 2 2 5" xfId="38413" xr:uid="{00000000-0005-0000-0000-0000F43A0000}"/>
    <cellStyle name="40% - Accent4 5 4 2 3" xfId="12913" xr:uid="{00000000-0005-0000-0000-0000F53A0000}"/>
    <cellStyle name="40% - Accent4 5 4 2 3 2" xfId="12914" xr:uid="{00000000-0005-0000-0000-0000F63A0000}"/>
    <cellStyle name="40% - Accent4 5 4 2 4" xfId="12915" xr:uid="{00000000-0005-0000-0000-0000F73A0000}"/>
    <cellStyle name="40% - Accent4 5 4 2 5" xfId="12916" xr:uid="{00000000-0005-0000-0000-0000F83A0000}"/>
    <cellStyle name="40% - Accent4 5 4 2 6" xfId="38412" xr:uid="{00000000-0005-0000-0000-0000F93A0000}"/>
    <cellStyle name="40% - Accent4 5 4 3" xfId="12917" xr:uid="{00000000-0005-0000-0000-0000FA3A0000}"/>
    <cellStyle name="40% - Accent4 5 4 3 2" xfId="12918" xr:uid="{00000000-0005-0000-0000-0000FB3A0000}"/>
    <cellStyle name="40% - Accent4 5 4 3 2 2" xfId="12919" xr:uid="{00000000-0005-0000-0000-0000FC3A0000}"/>
    <cellStyle name="40% - Accent4 5 4 3 2 2 2" xfId="12920" xr:uid="{00000000-0005-0000-0000-0000FD3A0000}"/>
    <cellStyle name="40% - Accent4 5 4 3 2 3" xfId="12921" xr:uid="{00000000-0005-0000-0000-0000FE3A0000}"/>
    <cellStyle name="40% - Accent4 5 4 3 2 4" xfId="12922" xr:uid="{00000000-0005-0000-0000-0000FF3A0000}"/>
    <cellStyle name="40% - Accent4 5 4 3 2 5" xfId="38415" xr:uid="{00000000-0005-0000-0000-0000003B0000}"/>
    <cellStyle name="40% - Accent4 5 4 3 3" xfId="12923" xr:uid="{00000000-0005-0000-0000-0000013B0000}"/>
    <cellStyle name="40% - Accent4 5 4 3 3 2" xfId="12924" xr:uid="{00000000-0005-0000-0000-0000023B0000}"/>
    <cellStyle name="40% - Accent4 5 4 3 4" xfId="12925" xr:uid="{00000000-0005-0000-0000-0000033B0000}"/>
    <cellStyle name="40% - Accent4 5 4 3 5" xfId="12926" xr:uid="{00000000-0005-0000-0000-0000043B0000}"/>
    <cellStyle name="40% - Accent4 5 4 3 6" xfId="38414" xr:uid="{00000000-0005-0000-0000-0000053B0000}"/>
    <cellStyle name="40% - Accent4 5 4 4" xfId="12927" xr:uid="{00000000-0005-0000-0000-0000063B0000}"/>
    <cellStyle name="40% - Accent4 5 4 4 2" xfId="12928" xr:uid="{00000000-0005-0000-0000-0000073B0000}"/>
    <cellStyle name="40% - Accent4 5 4 4 2 2" xfId="12929" xr:uid="{00000000-0005-0000-0000-0000083B0000}"/>
    <cellStyle name="40% - Accent4 5 4 4 3" xfId="12930" xr:uid="{00000000-0005-0000-0000-0000093B0000}"/>
    <cellStyle name="40% - Accent4 5 4 4 4" xfId="12931" xr:uid="{00000000-0005-0000-0000-00000A3B0000}"/>
    <cellStyle name="40% - Accent4 5 4 4 5" xfId="38416" xr:uid="{00000000-0005-0000-0000-00000B3B0000}"/>
    <cellStyle name="40% - Accent4 5 4 5" xfId="12932" xr:uid="{00000000-0005-0000-0000-00000C3B0000}"/>
    <cellStyle name="40% - Accent4 5 4 5 2" xfId="12933" xr:uid="{00000000-0005-0000-0000-00000D3B0000}"/>
    <cellStyle name="40% - Accent4 5 4 5 2 2" xfId="12934" xr:uid="{00000000-0005-0000-0000-00000E3B0000}"/>
    <cellStyle name="40% - Accent4 5 4 5 3" xfId="12935" xr:uid="{00000000-0005-0000-0000-00000F3B0000}"/>
    <cellStyle name="40% - Accent4 5 4 5 4" xfId="12936" xr:uid="{00000000-0005-0000-0000-0000103B0000}"/>
    <cellStyle name="40% - Accent4 5 4 6" xfId="12937" xr:uid="{00000000-0005-0000-0000-0000113B0000}"/>
    <cellStyle name="40% - Accent4 5 4 6 2" xfId="12938" xr:uid="{00000000-0005-0000-0000-0000123B0000}"/>
    <cellStyle name="40% - Accent4 5 4 6 2 2" xfId="12939" xr:uid="{00000000-0005-0000-0000-0000133B0000}"/>
    <cellStyle name="40% - Accent4 5 4 6 3" xfId="12940" xr:uid="{00000000-0005-0000-0000-0000143B0000}"/>
    <cellStyle name="40% - Accent4 5 4 6 4" xfId="12941" xr:uid="{00000000-0005-0000-0000-0000153B0000}"/>
    <cellStyle name="40% - Accent4 5 4 7" xfId="12942" xr:uid="{00000000-0005-0000-0000-0000163B0000}"/>
    <cellStyle name="40% - Accent4 5 4 7 2" xfId="12943" xr:uid="{00000000-0005-0000-0000-0000173B0000}"/>
    <cellStyle name="40% - Accent4 5 4 8" xfId="12944" xr:uid="{00000000-0005-0000-0000-0000183B0000}"/>
    <cellStyle name="40% - Accent4 5 4 9" xfId="12945" xr:uid="{00000000-0005-0000-0000-0000193B0000}"/>
    <cellStyle name="40% - Accent4 5 5" xfId="12946" xr:uid="{00000000-0005-0000-0000-00001A3B0000}"/>
    <cellStyle name="40% - Accent4 5 5 2" xfId="12947" xr:uid="{00000000-0005-0000-0000-00001B3B0000}"/>
    <cellStyle name="40% - Accent4 5 5 2 2" xfId="12948" xr:uid="{00000000-0005-0000-0000-00001C3B0000}"/>
    <cellStyle name="40% - Accent4 5 5 2 2 2" xfId="12949" xr:uid="{00000000-0005-0000-0000-00001D3B0000}"/>
    <cellStyle name="40% - Accent4 5 5 2 2 2 2" xfId="12950" xr:uid="{00000000-0005-0000-0000-00001E3B0000}"/>
    <cellStyle name="40% - Accent4 5 5 2 2 3" xfId="12951" xr:uid="{00000000-0005-0000-0000-00001F3B0000}"/>
    <cellStyle name="40% - Accent4 5 5 2 2 4" xfId="12952" xr:uid="{00000000-0005-0000-0000-0000203B0000}"/>
    <cellStyle name="40% - Accent4 5 5 2 2 5" xfId="38419" xr:uid="{00000000-0005-0000-0000-0000213B0000}"/>
    <cellStyle name="40% - Accent4 5 5 2 3" xfId="12953" xr:uid="{00000000-0005-0000-0000-0000223B0000}"/>
    <cellStyle name="40% - Accent4 5 5 2 3 2" xfId="12954" xr:uid="{00000000-0005-0000-0000-0000233B0000}"/>
    <cellStyle name="40% - Accent4 5 5 2 4" xfId="12955" xr:uid="{00000000-0005-0000-0000-0000243B0000}"/>
    <cellStyle name="40% - Accent4 5 5 2 5" xfId="12956" xr:uid="{00000000-0005-0000-0000-0000253B0000}"/>
    <cellStyle name="40% - Accent4 5 5 2 6" xfId="38418" xr:uid="{00000000-0005-0000-0000-0000263B0000}"/>
    <cellStyle name="40% - Accent4 5 5 3" xfId="12957" xr:uid="{00000000-0005-0000-0000-0000273B0000}"/>
    <cellStyle name="40% - Accent4 5 5 3 2" xfId="12958" xr:uid="{00000000-0005-0000-0000-0000283B0000}"/>
    <cellStyle name="40% - Accent4 5 5 3 2 2" xfId="12959" xr:uid="{00000000-0005-0000-0000-0000293B0000}"/>
    <cellStyle name="40% - Accent4 5 5 3 3" xfId="12960" xr:uid="{00000000-0005-0000-0000-00002A3B0000}"/>
    <cellStyle name="40% - Accent4 5 5 3 4" xfId="12961" xr:uid="{00000000-0005-0000-0000-00002B3B0000}"/>
    <cellStyle name="40% - Accent4 5 5 3 5" xfId="38420" xr:uid="{00000000-0005-0000-0000-00002C3B0000}"/>
    <cellStyle name="40% - Accent4 5 5 4" xfId="12962" xr:uid="{00000000-0005-0000-0000-00002D3B0000}"/>
    <cellStyle name="40% - Accent4 5 5 4 2" xfId="12963" xr:uid="{00000000-0005-0000-0000-00002E3B0000}"/>
    <cellStyle name="40% - Accent4 5 5 4 2 2" xfId="12964" xr:uid="{00000000-0005-0000-0000-00002F3B0000}"/>
    <cellStyle name="40% - Accent4 5 5 4 3" xfId="12965" xr:uid="{00000000-0005-0000-0000-0000303B0000}"/>
    <cellStyle name="40% - Accent4 5 5 4 4" xfId="12966" xr:uid="{00000000-0005-0000-0000-0000313B0000}"/>
    <cellStyle name="40% - Accent4 5 5 4 5" xfId="38421" xr:uid="{00000000-0005-0000-0000-0000323B0000}"/>
    <cellStyle name="40% - Accent4 5 5 5" xfId="12967" xr:uid="{00000000-0005-0000-0000-0000333B0000}"/>
    <cellStyle name="40% - Accent4 5 5 5 2" xfId="12968" xr:uid="{00000000-0005-0000-0000-0000343B0000}"/>
    <cellStyle name="40% - Accent4 5 5 6" xfId="12969" xr:uid="{00000000-0005-0000-0000-0000353B0000}"/>
    <cellStyle name="40% - Accent4 5 5 7" xfId="12970" xr:uid="{00000000-0005-0000-0000-0000363B0000}"/>
    <cellStyle name="40% - Accent4 5 5 8" xfId="38417" xr:uid="{00000000-0005-0000-0000-0000373B0000}"/>
    <cellStyle name="40% - Accent4 5 6" xfId="12971" xr:uid="{00000000-0005-0000-0000-0000383B0000}"/>
    <cellStyle name="40% - Accent4 5 6 2" xfId="12972" xr:uid="{00000000-0005-0000-0000-0000393B0000}"/>
    <cellStyle name="40% - Accent4 5 6 2 2" xfId="12973" xr:uid="{00000000-0005-0000-0000-00003A3B0000}"/>
    <cellStyle name="40% - Accent4 5 6 2 2 2" xfId="12974" xr:uid="{00000000-0005-0000-0000-00003B3B0000}"/>
    <cellStyle name="40% - Accent4 5 6 2 3" xfId="12975" xr:uid="{00000000-0005-0000-0000-00003C3B0000}"/>
    <cellStyle name="40% - Accent4 5 6 2 4" xfId="12976" xr:uid="{00000000-0005-0000-0000-00003D3B0000}"/>
    <cellStyle name="40% - Accent4 5 6 2 5" xfId="38423" xr:uid="{00000000-0005-0000-0000-00003E3B0000}"/>
    <cellStyle name="40% - Accent4 5 6 3" xfId="12977" xr:uid="{00000000-0005-0000-0000-00003F3B0000}"/>
    <cellStyle name="40% - Accent4 5 6 3 2" xfId="12978" xr:uid="{00000000-0005-0000-0000-0000403B0000}"/>
    <cellStyle name="40% - Accent4 5 6 4" xfId="12979" xr:uid="{00000000-0005-0000-0000-0000413B0000}"/>
    <cellStyle name="40% - Accent4 5 6 5" xfId="12980" xr:uid="{00000000-0005-0000-0000-0000423B0000}"/>
    <cellStyle name="40% - Accent4 5 6 6" xfId="38422" xr:uid="{00000000-0005-0000-0000-0000433B0000}"/>
    <cellStyle name="40% - Accent4 5 7" xfId="12981" xr:uid="{00000000-0005-0000-0000-0000443B0000}"/>
    <cellStyle name="40% - Accent4 5 7 2" xfId="12982" xr:uid="{00000000-0005-0000-0000-0000453B0000}"/>
    <cellStyle name="40% - Accent4 5 7 2 2" xfId="12983" xr:uid="{00000000-0005-0000-0000-0000463B0000}"/>
    <cellStyle name="40% - Accent4 5 7 3" xfId="12984" xr:uid="{00000000-0005-0000-0000-0000473B0000}"/>
    <cellStyle name="40% - Accent4 5 7 4" xfId="12985" xr:uid="{00000000-0005-0000-0000-0000483B0000}"/>
    <cellStyle name="40% - Accent4 5 8" xfId="12986" xr:uid="{00000000-0005-0000-0000-0000493B0000}"/>
    <cellStyle name="40% - Accent4 5 8 2" xfId="12987" xr:uid="{00000000-0005-0000-0000-00004A3B0000}"/>
    <cellStyle name="40% - Accent4 5 8 2 2" xfId="12988" xr:uid="{00000000-0005-0000-0000-00004B3B0000}"/>
    <cellStyle name="40% - Accent4 5 8 3" xfId="12989" xr:uid="{00000000-0005-0000-0000-00004C3B0000}"/>
    <cellStyle name="40% - Accent4 5 8 4" xfId="12990" xr:uid="{00000000-0005-0000-0000-00004D3B0000}"/>
    <cellStyle name="40% - Accent4 5 9" xfId="34779" xr:uid="{00000000-0005-0000-0000-00004E3B0000}"/>
    <cellStyle name="40% - Accent4 6" xfId="12991" xr:uid="{00000000-0005-0000-0000-00004F3B0000}"/>
    <cellStyle name="40% - Accent4 7" xfId="12992" xr:uid="{00000000-0005-0000-0000-0000503B0000}"/>
    <cellStyle name="40% - Accent4 8" xfId="12993" xr:uid="{00000000-0005-0000-0000-0000513B0000}"/>
    <cellStyle name="40% - Accent4 9" xfId="12994" xr:uid="{00000000-0005-0000-0000-0000523B0000}"/>
    <cellStyle name="40% - Accent4 9 2" xfId="12995" xr:uid="{00000000-0005-0000-0000-0000533B0000}"/>
    <cellStyle name="40% - Accent4 9 2 2" xfId="12996" xr:uid="{00000000-0005-0000-0000-0000543B0000}"/>
    <cellStyle name="40% - Accent4 9 3" xfId="12997" xr:uid="{00000000-0005-0000-0000-0000553B0000}"/>
    <cellStyle name="40% - Accent4 9 4" xfId="12998" xr:uid="{00000000-0005-0000-0000-0000563B0000}"/>
    <cellStyle name="40% - Accent4 9 5" xfId="38424" xr:uid="{00000000-0005-0000-0000-0000573B0000}"/>
    <cellStyle name="40% - Accent5 10" xfId="41865" xr:uid="{2A584B0E-56D1-4F9B-A137-3F8EE5ADA12F}"/>
    <cellStyle name="40% - Accent5 2" xfId="12999" xr:uid="{00000000-0005-0000-0000-0000583B0000}"/>
    <cellStyle name="40% - Accent5 2 10" xfId="41866" xr:uid="{8F87EA5B-7B95-4E00-83ED-082C52F34B19}"/>
    <cellStyle name="40% - Accent5 2 2" xfId="13000" xr:uid="{00000000-0005-0000-0000-0000593B0000}"/>
    <cellStyle name="40% - Accent5 2 2 2" xfId="13001" xr:uid="{00000000-0005-0000-0000-00005A3B0000}"/>
    <cellStyle name="40% - Accent5 2 2 3" xfId="13002" xr:uid="{00000000-0005-0000-0000-00005B3B0000}"/>
    <cellStyle name="40% - Accent5 2 2 3 2" xfId="38426" xr:uid="{00000000-0005-0000-0000-00005C3B0000}"/>
    <cellStyle name="40% - Accent5 2 2 3 3" xfId="38425" xr:uid="{00000000-0005-0000-0000-00005D3B0000}"/>
    <cellStyle name="40% - Accent5 2 2 4" xfId="13003" xr:uid="{00000000-0005-0000-0000-00005E3B0000}"/>
    <cellStyle name="40% - Accent5 2 3" xfId="13004" xr:uid="{00000000-0005-0000-0000-00005F3B0000}"/>
    <cellStyle name="40% - Accent5 2 3 2" xfId="13005" xr:uid="{00000000-0005-0000-0000-0000603B0000}"/>
    <cellStyle name="40% - Accent5 2 3 2 10" xfId="13006" xr:uid="{00000000-0005-0000-0000-0000613B0000}"/>
    <cellStyle name="40% - Accent5 2 3 2 11" xfId="34788" xr:uid="{00000000-0005-0000-0000-0000623B0000}"/>
    <cellStyle name="40% - Accent5 2 3 2 2" xfId="13007" xr:uid="{00000000-0005-0000-0000-0000633B0000}"/>
    <cellStyle name="40% - Accent5 2 3 2 2 10" xfId="34789" xr:uid="{00000000-0005-0000-0000-0000643B0000}"/>
    <cellStyle name="40% - Accent5 2 3 2 2 2" xfId="13008" xr:uid="{00000000-0005-0000-0000-0000653B0000}"/>
    <cellStyle name="40% - Accent5 2 3 2 2 2 2" xfId="13009" xr:uid="{00000000-0005-0000-0000-0000663B0000}"/>
    <cellStyle name="40% - Accent5 2 3 2 2 2 2 2" xfId="13010" xr:uid="{00000000-0005-0000-0000-0000673B0000}"/>
    <cellStyle name="40% - Accent5 2 3 2 2 2 2 2 2" xfId="13011" xr:uid="{00000000-0005-0000-0000-0000683B0000}"/>
    <cellStyle name="40% - Accent5 2 3 2 2 2 2 3" xfId="13012" xr:uid="{00000000-0005-0000-0000-0000693B0000}"/>
    <cellStyle name="40% - Accent5 2 3 2 2 2 2 4" xfId="13013" xr:uid="{00000000-0005-0000-0000-00006A3B0000}"/>
    <cellStyle name="40% - Accent5 2 3 2 2 2 2 5" xfId="38428" xr:uid="{00000000-0005-0000-0000-00006B3B0000}"/>
    <cellStyle name="40% - Accent5 2 3 2 2 2 3" xfId="13014" xr:uid="{00000000-0005-0000-0000-00006C3B0000}"/>
    <cellStyle name="40% - Accent5 2 3 2 2 2 3 2" xfId="13015" xr:uid="{00000000-0005-0000-0000-00006D3B0000}"/>
    <cellStyle name="40% - Accent5 2 3 2 2 2 4" xfId="13016" xr:uid="{00000000-0005-0000-0000-00006E3B0000}"/>
    <cellStyle name="40% - Accent5 2 3 2 2 2 5" xfId="13017" xr:uid="{00000000-0005-0000-0000-00006F3B0000}"/>
    <cellStyle name="40% - Accent5 2 3 2 2 2 6" xfId="38427" xr:uid="{00000000-0005-0000-0000-0000703B0000}"/>
    <cellStyle name="40% - Accent5 2 3 2 2 3" xfId="13018" xr:uid="{00000000-0005-0000-0000-0000713B0000}"/>
    <cellStyle name="40% - Accent5 2 3 2 2 3 2" xfId="13019" xr:uid="{00000000-0005-0000-0000-0000723B0000}"/>
    <cellStyle name="40% - Accent5 2 3 2 2 3 2 2" xfId="13020" xr:uid="{00000000-0005-0000-0000-0000733B0000}"/>
    <cellStyle name="40% - Accent5 2 3 2 2 3 2 2 2" xfId="13021" xr:uid="{00000000-0005-0000-0000-0000743B0000}"/>
    <cellStyle name="40% - Accent5 2 3 2 2 3 2 3" xfId="13022" xr:uid="{00000000-0005-0000-0000-0000753B0000}"/>
    <cellStyle name="40% - Accent5 2 3 2 2 3 2 4" xfId="13023" xr:uid="{00000000-0005-0000-0000-0000763B0000}"/>
    <cellStyle name="40% - Accent5 2 3 2 2 3 2 5" xfId="38430" xr:uid="{00000000-0005-0000-0000-0000773B0000}"/>
    <cellStyle name="40% - Accent5 2 3 2 2 3 3" xfId="13024" xr:uid="{00000000-0005-0000-0000-0000783B0000}"/>
    <cellStyle name="40% - Accent5 2 3 2 2 3 3 2" xfId="13025" xr:uid="{00000000-0005-0000-0000-0000793B0000}"/>
    <cellStyle name="40% - Accent5 2 3 2 2 3 4" xfId="13026" xr:uid="{00000000-0005-0000-0000-00007A3B0000}"/>
    <cellStyle name="40% - Accent5 2 3 2 2 3 5" xfId="13027" xr:uid="{00000000-0005-0000-0000-00007B3B0000}"/>
    <cellStyle name="40% - Accent5 2 3 2 2 3 6" xfId="38429" xr:uid="{00000000-0005-0000-0000-00007C3B0000}"/>
    <cellStyle name="40% - Accent5 2 3 2 2 4" xfId="13028" xr:uid="{00000000-0005-0000-0000-00007D3B0000}"/>
    <cellStyle name="40% - Accent5 2 3 2 2 4 2" xfId="13029" xr:uid="{00000000-0005-0000-0000-00007E3B0000}"/>
    <cellStyle name="40% - Accent5 2 3 2 2 4 2 2" xfId="13030" xr:uid="{00000000-0005-0000-0000-00007F3B0000}"/>
    <cellStyle name="40% - Accent5 2 3 2 2 4 3" xfId="13031" xr:uid="{00000000-0005-0000-0000-0000803B0000}"/>
    <cellStyle name="40% - Accent5 2 3 2 2 4 4" xfId="13032" xr:uid="{00000000-0005-0000-0000-0000813B0000}"/>
    <cellStyle name="40% - Accent5 2 3 2 2 4 5" xfId="38431" xr:uid="{00000000-0005-0000-0000-0000823B0000}"/>
    <cellStyle name="40% - Accent5 2 3 2 2 5" xfId="13033" xr:uid="{00000000-0005-0000-0000-0000833B0000}"/>
    <cellStyle name="40% - Accent5 2 3 2 2 5 2" xfId="13034" xr:uid="{00000000-0005-0000-0000-0000843B0000}"/>
    <cellStyle name="40% - Accent5 2 3 2 2 5 2 2" xfId="13035" xr:uid="{00000000-0005-0000-0000-0000853B0000}"/>
    <cellStyle name="40% - Accent5 2 3 2 2 5 3" xfId="13036" xr:uid="{00000000-0005-0000-0000-0000863B0000}"/>
    <cellStyle name="40% - Accent5 2 3 2 2 5 4" xfId="13037" xr:uid="{00000000-0005-0000-0000-0000873B0000}"/>
    <cellStyle name="40% - Accent5 2 3 2 2 6" xfId="13038" xr:uid="{00000000-0005-0000-0000-0000883B0000}"/>
    <cellStyle name="40% - Accent5 2 3 2 2 6 2" xfId="13039" xr:uid="{00000000-0005-0000-0000-0000893B0000}"/>
    <cellStyle name="40% - Accent5 2 3 2 2 6 2 2" xfId="13040" xr:uid="{00000000-0005-0000-0000-00008A3B0000}"/>
    <cellStyle name="40% - Accent5 2 3 2 2 6 3" xfId="13041" xr:uid="{00000000-0005-0000-0000-00008B3B0000}"/>
    <cellStyle name="40% - Accent5 2 3 2 2 6 4" xfId="13042" xr:uid="{00000000-0005-0000-0000-00008C3B0000}"/>
    <cellStyle name="40% - Accent5 2 3 2 2 7" xfId="13043" xr:uid="{00000000-0005-0000-0000-00008D3B0000}"/>
    <cellStyle name="40% - Accent5 2 3 2 2 7 2" xfId="13044" xr:uid="{00000000-0005-0000-0000-00008E3B0000}"/>
    <cellStyle name="40% - Accent5 2 3 2 2 8" xfId="13045" xr:uid="{00000000-0005-0000-0000-00008F3B0000}"/>
    <cellStyle name="40% - Accent5 2 3 2 2 9" xfId="13046" xr:uid="{00000000-0005-0000-0000-0000903B0000}"/>
    <cellStyle name="40% - Accent5 2 3 2 3" xfId="13047" xr:uid="{00000000-0005-0000-0000-0000913B0000}"/>
    <cellStyle name="40% - Accent5 2 3 2 3 2" xfId="13048" xr:uid="{00000000-0005-0000-0000-0000923B0000}"/>
    <cellStyle name="40% - Accent5 2 3 2 3 2 2" xfId="13049" xr:uid="{00000000-0005-0000-0000-0000933B0000}"/>
    <cellStyle name="40% - Accent5 2 3 2 3 2 2 2" xfId="13050" xr:uid="{00000000-0005-0000-0000-0000943B0000}"/>
    <cellStyle name="40% - Accent5 2 3 2 3 2 3" xfId="13051" xr:uid="{00000000-0005-0000-0000-0000953B0000}"/>
    <cellStyle name="40% - Accent5 2 3 2 3 2 4" xfId="13052" xr:uid="{00000000-0005-0000-0000-0000963B0000}"/>
    <cellStyle name="40% - Accent5 2 3 2 3 2 5" xfId="38433" xr:uid="{00000000-0005-0000-0000-0000973B0000}"/>
    <cellStyle name="40% - Accent5 2 3 2 3 3" xfId="13053" xr:uid="{00000000-0005-0000-0000-0000983B0000}"/>
    <cellStyle name="40% - Accent5 2 3 2 3 3 2" xfId="13054" xr:uid="{00000000-0005-0000-0000-0000993B0000}"/>
    <cellStyle name="40% - Accent5 2 3 2 3 4" xfId="13055" xr:uid="{00000000-0005-0000-0000-00009A3B0000}"/>
    <cellStyle name="40% - Accent5 2 3 2 3 5" xfId="13056" xr:uid="{00000000-0005-0000-0000-00009B3B0000}"/>
    <cellStyle name="40% - Accent5 2 3 2 3 6" xfId="38432" xr:uid="{00000000-0005-0000-0000-00009C3B0000}"/>
    <cellStyle name="40% - Accent5 2 3 2 4" xfId="13057" xr:uid="{00000000-0005-0000-0000-00009D3B0000}"/>
    <cellStyle name="40% - Accent5 2 3 2 4 2" xfId="13058" xr:uid="{00000000-0005-0000-0000-00009E3B0000}"/>
    <cellStyle name="40% - Accent5 2 3 2 4 2 2" xfId="13059" xr:uid="{00000000-0005-0000-0000-00009F3B0000}"/>
    <cellStyle name="40% - Accent5 2 3 2 4 2 2 2" xfId="13060" xr:uid="{00000000-0005-0000-0000-0000A03B0000}"/>
    <cellStyle name="40% - Accent5 2 3 2 4 2 3" xfId="13061" xr:uid="{00000000-0005-0000-0000-0000A13B0000}"/>
    <cellStyle name="40% - Accent5 2 3 2 4 2 4" xfId="13062" xr:uid="{00000000-0005-0000-0000-0000A23B0000}"/>
    <cellStyle name="40% - Accent5 2 3 2 4 2 5" xfId="38435" xr:uid="{00000000-0005-0000-0000-0000A33B0000}"/>
    <cellStyle name="40% - Accent5 2 3 2 4 3" xfId="13063" xr:uid="{00000000-0005-0000-0000-0000A43B0000}"/>
    <cellStyle name="40% - Accent5 2 3 2 4 3 2" xfId="13064" xr:uid="{00000000-0005-0000-0000-0000A53B0000}"/>
    <cellStyle name="40% - Accent5 2 3 2 4 4" xfId="13065" xr:uid="{00000000-0005-0000-0000-0000A63B0000}"/>
    <cellStyle name="40% - Accent5 2 3 2 4 5" xfId="13066" xr:uid="{00000000-0005-0000-0000-0000A73B0000}"/>
    <cellStyle name="40% - Accent5 2 3 2 4 6" xfId="38434" xr:uid="{00000000-0005-0000-0000-0000A83B0000}"/>
    <cellStyle name="40% - Accent5 2 3 2 5" xfId="13067" xr:uid="{00000000-0005-0000-0000-0000A93B0000}"/>
    <cellStyle name="40% - Accent5 2 3 2 5 2" xfId="13068" xr:uid="{00000000-0005-0000-0000-0000AA3B0000}"/>
    <cellStyle name="40% - Accent5 2 3 2 5 2 2" xfId="13069" xr:uid="{00000000-0005-0000-0000-0000AB3B0000}"/>
    <cellStyle name="40% - Accent5 2 3 2 5 3" xfId="13070" xr:uid="{00000000-0005-0000-0000-0000AC3B0000}"/>
    <cellStyle name="40% - Accent5 2 3 2 5 4" xfId="13071" xr:uid="{00000000-0005-0000-0000-0000AD3B0000}"/>
    <cellStyle name="40% - Accent5 2 3 2 5 5" xfId="38436" xr:uid="{00000000-0005-0000-0000-0000AE3B0000}"/>
    <cellStyle name="40% - Accent5 2 3 2 6" xfId="13072" xr:uid="{00000000-0005-0000-0000-0000AF3B0000}"/>
    <cellStyle name="40% - Accent5 2 3 2 6 2" xfId="13073" xr:uid="{00000000-0005-0000-0000-0000B03B0000}"/>
    <cellStyle name="40% - Accent5 2 3 2 6 2 2" xfId="13074" xr:uid="{00000000-0005-0000-0000-0000B13B0000}"/>
    <cellStyle name="40% - Accent5 2 3 2 6 3" xfId="13075" xr:uid="{00000000-0005-0000-0000-0000B23B0000}"/>
    <cellStyle name="40% - Accent5 2 3 2 6 4" xfId="13076" xr:uid="{00000000-0005-0000-0000-0000B33B0000}"/>
    <cellStyle name="40% - Accent5 2 3 2 7" xfId="13077" xr:uid="{00000000-0005-0000-0000-0000B43B0000}"/>
    <cellStyle name="40% - Accent5 2 3 2 7 2" xfId="13078" xr:uid="{00000000-0005-0000-0000-0000B53B0000}"/>
    <cellStyle name="40% - Accent5 2 3 2 7 2 2" xfId="13079" xr:uid="{00000000-0005-0000-0000-0000B63B0000}"/>
    <cellStyle name="40% - Accent5 2 3 2 7 3" xfId="13080" xr:uid="{00000000-0005-0000-0000-0000B73B0000}"/>
    <cellStyle name="40% - Accent5 2 3 2 7 4" xfId="13081" xr:uid="{00000000-0005-0000-0000-0000B83B0000}"/>
    <cellStyle name="40% - Accent5 2 3 2 8" xfId="13082" xr:uid="{00000000-0005-0000-0000-0000B93B0000}"/>
    <cellStyle name="40% - Accent5 2 3 2 8 2" xfId="13083" xr:uid="{00000000-0005-0000-0000-0000BA3B0000}"/>
    <cellStyle name="40% - Accent5 2 3 2 9" xfId="13084" xr:uid="{00000000-0005-0000-0000-0000BB3B0000}"/>
    <cellStyle name="40% - Accent5 2 3 3" xfId="13085" xr:uid="{00000000-0005-0000-0000-0000BC3B0000}"/>
    <cellStyle name="40% - Accent5 2 3 3 10" xfId="34790" xr:uid="{00000000-0005-0000-0000-0000BD3B0000}"/>
    <cellStyle name="40% - Accent5 2 3 3 2" xfId="13086" xr:uid="{00000000-0005-0000-0000-0000BE3B0000}"/>
    <cellStyle name="40% - Accent5 2 3 3 2 2" xfId="13087" xr:uid="{00000000-0005-0000-0000-0000BF3B0000}"/>
    <cellStyle name="40% - Accent5 2 3 3 2 2 2" xfId="13088" xr:uid="{00000000-0005-0000-0000-0000C03B0000}"/>
    <cellStyle name="40% - Accent5 2 3 3 2 2 2 2" xfId="13089" xr:uid="{00000000-0005-0000-0000-0000C13B0000}"/>
    <cellStyle name="40% - Accent5 2 3 3 2 2 3" xfId="13090" xr:uid="{00000000-0005-0000-0000-0000C23B0000}"/>
    <cellStyle name="40% - Accent5 2 3 3 2 2 4" xfId="13091" xr:uid="{00000000-0005-0000-0000-0000C33B0000}"/>
    <cellStyle name="40% - Accent5 2 3 3 2 2 5" xfId="38438" xr:uid="{00000000-0005-0000-0000-0000C43B0000}"/>
    <cellStyle name="40% - Accent5 2 3 3 2 3" xfId="13092" xr:uid="{00000000-0005-0000-0000-0000C53B0000}"/>
    <cellStyle name="40% - Accent5 2 3 3 2 3 2" xfId="13093" xr:uid="{00000000-0005-0000-0000-0000C63B0000}"/>
    <cellStyle name="40% - Accent5 2 3 3 2 4" xfId="13094" xr:uid="{00000000-0005-0000-0000-0000C73B0000}"/>
    <cellStyle name="40% - Accent5 2 3 3 2 5" xfId="13095" xr:uid="{00000000-0005-0000-0000-0000C83B0000}"/>
    <cellStyle name="40% - Accent5 2 3 3 2 6" xfId="38437" xr:uid="{00000000-0005-0000-0000-0000C93B0000}"/>
    <cellStyle name="40% - Accent5 2 3 3 3" xfId="13096" xr:uid="{00000000-0005-0000-0000-0000CA3B0000}"/>
    <cellStyle name="40% - Accent5 2 3 3 3 2" xfId="13097" xr:uid="{00000000-0005-0000-0000-0000CB3B0000}"/>
    <cellStyle name="40% - Accent5 2 3 3 3 2 2" xfId="13098" xr:uid="{00000000-0005-0000-0000-0000CC3B0000}"/>
    <cellStyle name="40% - Accent5 2 3 3 3 2 2 2" xfId="13099" xr:uid="{00000000-0005-0000-0000-0000CD3B0000}"/>
    <cellStyle name="40% - Accent5 2 3 3 3 2 3" xfId="13100" xr:uid="{00000000-0005-0000-0000-0000CE3B0000}"/>
    <cellStyle name="40% - Accent5 2 3 3 3 2 4" xfId="13101" xr:uid="{00000000-0005-0000-0000-0000CF3B0000}"/>
    <cellStyle name="40% - Accent5 2 3 3 3 2 5" xfId="38440" xr:uid="{00000000-0005-0000-0000-0000D03B0000}"/>
    <cellStyle name="40% - Accent5 2 3 3 3 3" xfId="13102" xr:uid="{00000000-0005-0000-0000-0000D13B0000}"/>
    <cellStyle name="40% - Accent5 2 3 3 3 3 2" xfId="13103" xr:uid="{00000000-0005-0000-0000-0000D23B0000}"/>
    <cellStyle name="40% - Accent5 2 3 3 3 4" xfId="13104" xr:uid="{00000000-0005-0000-0000-0000D33B0000}"/>
    <cellStyle name="40% - Accent5 2 3 3 3 5" xfId="13105" xr:uid="{00000000-0005-0000-0000-0000D43B0000}"/>
    <cellStyle name="40% - Accent5 2 3 3 3 6" xfId="38439" xr:uid="{00000000-0005-0000-0000-0000D53B0000}"/>
    <cellStyle name="40% - Accent5 2 3 3 4" xfId="13106" xr:uid="{00000000-0005-0000-0000-0000D63B0000}"/>
    <cellStyle name="40% - Accent5 2 3 3 4 2" xfId="13107" xr:uid="{00000000-0005-0000-0000-0000D73B0000}"/>
    <cellStyle name="40% - Accent5 2 3 3 4 2 2" xfId="13108" xr:uid="{00000000-0005-0000-0000-0000D83B0000}"/>
    <cellStyle name="40% - Accent5 2 3 3 4 3" xfId="13109" xr:uid="{00000000-0005-0000-0000-0000D93B0000}"/>
    <cellStyle name="40% - Accent5 2 3 3 4 4" xfId="13110" xr:uid="{00000000-0005-0000-0000-0000DA3B0000}"/>
    <cellStyle name="40% - Accent5 2 3 3 4 5" xfId="38441" xr:uid="{00000000-0005-0000-0000-0000DB3B0000}"/>
    <cellStyle name="40% - Accent5 2 3 3 5" xfId="13111" xr:uid="{00000000-0005-0000-0000-0000DC3B0000}"/>
    <cellStyle name="40% - Accent5 2 3 3 5 2" xfId="13112" xr:uid="{00000000-0005-0000-0000-0000DD3B0000}"/>
    <cellStyle name="40% - Accent5 2 3 3 5 2 2" xfId="13113" xr:uid="{00000000-0005-0000-0000-0000DE3B0000}"/>
    <cellStyle name="40% - Accent5 2 3 3 5 3" xfId="13114" xr:uid="{00000000-0005-0000-0000-0000DF3B0000}"/>
    <cellStyle name="40% - Accent5 2 3 3 5 4" xfId="13115" xr:uid="{00000000-0005-0000-0000-0000E03B0000}"/>
    <cellStyle name="40% - Accent5 2 3 3 6" xfId="13116" xr:uid="{00000000-0005-0000-0000-0000E13B0000}"/>
    <cellStyle name="40% - Accent5 2 3 3 6 2" xfId="13117" xr:uid="{00000000-0005-0000-0000-0000E23B0000}"/>
    <cellStyle name="40% - Accent5 2 3 3 6 2 2" xfId="13118" xr:uid="{00000000-0005-0000-0000-0000E33B0000}"/>
    <cellStyle name="40% - Accent5 2 3 3 6 3" xfId="13119" xr:uid="{00000000-0005-0000-0000-0000E43B0000}"/>
    <cellStyle name="40% - Accent5 2 3 3 6 4" xfId="13120" xr:uid="{00000000-0005-0000-0000-0000E53B0000}"/>
    <cellStyle name="40% - Accent5 2 3 3 7" xfId="13121" xr:uid="{00000000-0005-0000-0000-0000E63B0000}"/>
    <cellStyle name="40% - Accent5 2 3 3 7 2" xfId="13122" xr:uid="{00000000-0005-0000-0000-0000E73B0000}"/>
    <cellStyle name="40% - Accent5 2 3 3 8" xfId="13123" xr:uid="{00000000-0005-0000-0000-0000E83B0000}"/>
    <cellStyle name="40% - Accent5 2 3 3 9" xfId="13124" xr:uid="{00000000-0005-0000-0000-0000E93B0000}"/>
    <cellStyle name="40% - Accent5 2 3 4" xfId="13125" xr:uid="{00000000-0005-0000-0000-0000EA3B0000}"/>
    <cellStyle name="40% - Accent5 2 3 4 2" xfId="13126" xr:uid="{00000000-0005-0000-0000-0000EB3B0000}"/>
    <cellStyle name="40% - Accent5 2 3 4 2 2" xfId="13127" xr:uid="{00000000-0005-0000-0000-0000EC3B0000}"/>
    <cellStyle name="40% - Accent5 2 3 4 2 2 2" xfId="13128" xr:uid="{00000000-0005-0000-0000-0000ED3B0000}"/>
    <cellStyle name="40% - Accent5 2 3 4 2 2 2 2" xfId="13129" xr:uid="{00000000-0005-0000-0000-0000EE3B0000}"/>
    <cellStyle name="40% - Accent5 2 3 4 2 2 3" xfId="13130" xr:uid="{00000000-0005-0000-0000-0000EF3B0000}"/>
    <cellStyle name="40% - Accent5 2 3 4 2 2 4" xfId="13131" xr:uid="{00000000-0005-0000-0000-0000F03B0000}"/>
    <cellStyle name="40% - Accent5 2 3 4 2 2 5" xfId="38444" xr:uid="{00000000-0005-0000-0000-0000F13B0000}"/>
    <cellStyle name="40% - Accent5 2 3 4 2 3" xfId="13132" xr:uid="{00000000-0005-0000-0000-0000F23B0000}"/>
    <cellStyle name="40% - Accent5 2 3 4 2 3 2" xfId="13133" xr:uid="{00000000-0005-0000-0000-0000F33B0000}"/>
    <cellStyle name="40% - Accent5 2 3 4 2 4" xfId="13134" xr:uid="{00000000-0005-0000-0000-0000F43B0000}"/>
    <cellStyle name="40% - Accent5 2 3 4 2 5" xfId="13135" xr:uid="{00000000-0005-0000-0000-0000F53B0000}"/>
    <cellStyle name="40% - Accent5 2 3 4 2 6" xfId="38443" xr:uid="{00000000-0005-0000-0000-0000F63B0000}"/>
    <cellStyle name="40% - Accent5 2 3 4 3" xfId="13136" xr:uid="{00000000-0005-0000-0000-0000F73B0000}"/>
    <cellStyle name="40% - Accent5 2 3 4 3 2" xfId="13137" xr:uid="{00000000-0005-0000-0000-0000F83B0000}"/>
    <cellStyle name="40% - Accent5 2 3 4 3 2 2" xfId="13138" xr:uid="{00000000-0005-0000-0000-0000F93B0000}"/>
    <cellStyle name="40% - Accent5 2 3 4 3 3" xfId="13139" xr:uid="{00000000-0005-0000-0000-0000FA3B0000}"/>
    <cellStyle name="40% - Accent5 2 3 4 3 4" xfId="13140" xr:uid="{00000000-0005-0000-0000-0000FB3B0000}"/>
    <cellStyle name="40% - Accent5 2 3 4 3 5" xfId="38445" xr:uid="{00000000-0005-0000-0000-0000FC3B0000}"/>
    <cellStyle name="40% - Accent5 2 3 4 4" xfId="13141" xr:uid="{00000000-0005-0000-0000-0000FD3B0000}"/>
    <cellStyle name="40% - Accent5 2 3 4 5" xfId="13142" xr:uid="{00000000-0005-0000-0000-0000FE3B0000}"/>
    <cellStyle name="40% - Accent5 2 3 4 5 2" xfId="13143" xr:uid="{00000000-0005-0000-0000-0000FF3B0000}"/>
    <cellStyle name="40% - Accent5 2 3 4 6" xfId="13144" xr:uid="{00000000-0005-0000-0000-0000003C0000}"/>
    <cellStyle name="40% - Accent5 2 3 4 7" xfId="13145" xr:uid="{00000000-0005-0000-0000-0000013C0000}"/>
    <cellStyle name="40% - Accent5 2 3 4 8" xfId="38442" xr:uid="{00000000-0005-0000-0000-0000023C0000}"/>
    <cellStyle name="40% - Accent5 2 3 5" xfId="13146" xr:uid="{00000000-0005-0000-0000-0000033C0000}"/>
    <cellStyle name="40% - Accent5 2 3 5 2" xfId="13147" xr:uid="{00000000-0005-0000-0000-0000043C0000}"/>
    <cellStyle name="40% - Accent5 2 3 5 2 2" xfId="13148" xr:uid="{00000000-0005-0000-0000-0000053C0000}"/>
    <cellStyle name="40% - Accent5 2 3 5 2 2 2" xfId="13149" xr:uid="{00000000-0005-0000-0000-0000063C0000}"/>
    <cellStyle name="40% - Accent5 2 3 5 2 3" xfId="13150" xr:uid="{00000000-0005-0000-0000-0000073C0000}"/>
    <cellStyle name="40% - Accent5 2 3 5 2 4" xfId="13151" xr:uid="{00000000-0005-0000-0000-0000083C0000}"/>
    <cellStyle name="40% - Accent5 2 3 5 2 5" xfId="38447" xr:uid="{00000000-0005-0000-0000-0000093C0000}"/>
    <cellStyle name="40% - Accent5 2 3 5 3" xfId="13152" xr:uid="{00000000-0005-0000-0000-00000A3C0000}"/>
    <cellStyle name="40% - Accent5 2 3 5 3 2" xfId="13153" xr:uid="{00000000-0005-0000-0000-00000B3C0000}"/>
    <cellStyle name="40% - Accent5 2 3 5 4" xfId="13154" xr:uid="{00000000-0005-0000-0000-00000C3C0000}"/>
    <cellStyle name="40% - Accent5 2 3 5 5" xfId="13155" xr:uid="{00000000-0005-0000-0000-00000D3C0000}"/>
    <cellStyle name="40% - Accent5 2 3 5 6" xfId="38446" xr:uid="{00000000-0005-0000-0000-00000E3C0000}"/>
    <cellStyle name="40% - Accent5 2 3 6" xfId="13156" xr:uid="{00000000-0005-0000-0000-00000F3C0000}"/>
    <cellStyle name="40% - Accent5 2 3 6 2" xfId="13157" xr:uid="{00000000-0005-0000-0000-0000103C0000}"/>
    <cellStyle name="40% - Accent5 2 3 6 2 2" xfId="13158" xr:uid="{00000000-0005-0000-0000-0000113C0000}"/>
    <cellStyle name="40% - Accent5 2 3 6 3" xfId="13159" xr:uid="{00000000-0005-0000-0000-0000123C0000}"/>
    <cellStyle name="40% - Accent5 2 3 6 4" xfId="13160" xr:uid="{00000000-0005-0000-0000-0000133C0000}"/>
    <cellStyle name="40% - Accent5 2 3 7" xfId="13161" xr:uid="{00000000-0005-0000-0000-0000143C0000}"/>
    <cellStyle name="40% - Accent5 2 3 7 2" xfId="13162" xr:uid="{00000000-0005-0000-0000-0000153C0000}"/>
    <cellStyle name="40% - Accent5 2 3 7 2 2" xfId="13163" xr:uid="{00000000-0005-0000-0000-0000163C0000}"/>
    <cellStyle name="40% - Accent5 2 3 7 3" xfId="13164" xr:uid="{00000000-0005-0000-0000-0000173C0000}"/>
    <cellStyle name="40% - Accent5 2 3 7 4" xfId="13165" xr:uid="{00000000-0005-0000-0000-0000183C0000}"/>
    <cellStyle name="40% - Accent5 2 3 8" xfId="34787" xr:uid="{00000000-0005-0000-0000-0000193C0000}"/>
    <cellStyle name="40% - Accent5 2 4" xfId="13166" xr:uid="{00000000-0005-0000-0000-00001A3C0000}"/>
    <cellStyle name="40% - Accent5 2 4 10" xfId="13167" xr:uid="{00000000-0005-0000-0000-00001B3C0000}"/>
    <cellStyle name="40% - Accent5 2 4 11" xfId="34791" xr:uid="{00000000-0005-0000-0000-00001C3C0000}"/>
    <cellStyle name="40% - Accent5 2 4 2" xfId="13168" xr:uid="{00000000-0005-0000-0000-00001D3C0000}"/>
    <cellStyle name="40% - Accent5 2 4 2 10" xfId="34792" xr:uid="{00000000-0005-0000-0000-00001E3C0000}"/>
    <cellStyle name="40% - Accent5 2 4 2 2" xfId="13169" xr:uid="{00000000-0005-0000-0000-00001F3C0000}"/>
    <cellStyle name="40% - Accent5 2 4 2 2 2" xfId="13170" xr:uid="{00000000-0005-0000-0000-0000203C0000}"/>
    <cellStyle name="40% - Accent5 2 4 2 2 2 2" xfId="13171" xr:uid="{00000000-0005-0000-0000-0000213C0000}"/>
    <cellStyle name="40% - Accent5 2 4 2 2 2 2 2" xfId="13172" xr:uid="{00000000-0005-0000-0000-0000223C0000}"/>
    <cellStyle name="40% - Accent5 2 4 2 2 2 3" xfId="13173" xr:uid="{00000000-0005-0000-0000-0000233C0000}"/>
    <cellStyle name="40% - Accent5 2 4 2 2 2 4" xfId="13174" xr:uid="{00000000-0005-0000-0000-0000243C0000}"/>
    <cellStyle name="40% - Accent5 2 4 2 2 2 5" xfId="38449" xr:uid="{00000000-0005-0000-0000-0000253C0000}"/>
    <cellStyle name="40% - Accent5 2 4 2 2 3" xfId="13175" xr:uid="{00000000-0005-0000-0000-0000263C0000}"/>
    <cellStyle name="40% - Accent5 2 4 2 2 3 2" xfId="13176" xr:uid="{00000000-0005-0000-0000-0000273C0000}"/>
    <cellStyle name="40% - Accent5 2 4 2 2 4" xfId="13177" xr:uid="{00000000-0005-0000-0000-0000283C0000}"/>
    <cellStyle name="40% - Accent5 2 4 2 2 5" xfId="13178" xr:uid="{00000000-0005-0000-0000-0000293C0000}"/>
    <cellStyle name="40% - Accent5 2 4 2 2 6" xfId="38448" xr:uid="{00000000-0005-0000-0000-00002A3C0000}"/>
    <cellStyle name="40% - Accent5 2 4 2 3" xfId="13179" xr:uid="{00000000-0005-0000-0000-00002B3C0000}"/>
    <cellStyle name="40% - Accent5 2 4 2 3 2" xfId="13180" xr:uid="{00000000-0005-0000-0000-00002C3C0000}"/>
    <cellStyle name="40% - Accent5 2 4 2 3 2 2" xfId="13181" xr:uid="{00000000-0005-0000-0000-00002D3C0000}"/>
    <cellStyle name="40% - Accent5 2 4 2 3 2 2 2" xfId="13182" xr:uid="{00000000-0005-0000-0000-00002E3C0000}"/>
    <cellStyle name="40% - Accent5 2 4 2 3 2 3" xfId="13183" xr:uid="{00000000-0005-0000-0000-00002F3C0000}"/>
    <cellStyle name="40% - Accent5 2 4 2 3 2 4" xfId="13184" xr:uid="{00000000-0005-0000-0000-0000303C0000}"/>
    <cellStyle name="40% - Accent5 2 4 2 3 2 5" xfId="38451" xr:uid="{00000000-0005-0000-0000-0000313C0000}"/>
    <cellStyle name="40% - Accent5 2 4 2 3 3" xfId="13185" xr:uid="{00000000-0005-0000-0000-0000323C0000}"/>
    <cellStyle name="40% - Accent5 2 4 2 3 3 2" xfId="13186" xr:uid="{00000000-0005-0000-0000-0000333C0000}"/>
    <cellStyle name="40% - Accent5 2 4 2 3 4" xfId="13187" xr:uid="{00000000-0005-0000-0000-0000343C0000}"/>
    <cellStyle name="40% - Accent5 2 4 2 3 5" xfId="13188" xr:uid="{00000000-0005-0000-0000-0000353C0000}"/>
    <cellStyle name="40% - Accent5 2 4 2 3 6" xfId="38450" xr:uid="{00000000-0005-0000-0000-0000363C0000}"/>
    <cellStyle name="40% - Accent5 2 4 2 4" xfId="13189" xr:uid="{00000000-0005-0000-0000-0000373C0000}"/>
    <cellStyle name="40% - Accent5 2 4 2 4 2" xfId="13190" xr:uid="{00000000-0005-0000-0000-0000383C0000}"/>
    <cellStyle name="40% - Accent5 2 4 2 4 2 2" xfId="13191" xr:uid="{00000000-0005-0000-0000-0000393C0000}"/>
    <cellStyle name="40% - Accent5 2 4 2 4 3" xfId="13192" xr:uid="{00000000-0005-0000-0000-00003A3C0000}"/>
    <cellStyle name="40% - Accent5 2 4 2 4 4" xfId="13193" xr:uid="{00000000-0005-0000-0000-00003B3C0000}"/>
    <cellStyle name="40% - Accent5 2 4 2 4 5" xfId="38452" xr:uid="{00000000-0005-0000-0000-00003C3C0000}"/>
    <cellStyle name="40% - Accent5 2 4 2 5" xfId="13194" xr:uid="{00000000-0005-0000-0000-00003D3C0000}"/>
    <cellStyle name="40% - Accent5 2 4 2 5 2" xfId="13195" xr:uid="{00000000-0005-0000-0000-00003E3C0000}"/>
    <cellStyle name="40% - Accent5 2 4 2 5 2 2" xfId="13196" xr:uid="{00000000-0005-0000-0000-00003F3C0000}"/>
    <cellStyle name="40% - Accent5 2 4 2 5 3" xfId="13197" xr:uid="{00000000-0005-0000-0000-0000403C0000}"/>
    <cellStyle name="40% - Accent5 2 4 2 5 4" xfId="13198" xr:uid="{00000000-0005-0000-0000-0000413C0000}"/>
    <cellStyle name="40% - Accent5 2 4 2 6" xfId="13199" xr:uid="{00000000-0005-0000-0000-0000423C0000}"/>
    <cellStyle name="40% - Accent5 2 4 2 6 2" xfId="13200" xr:uid="{00000000-0005-0000-0000-0000433C0000}"/>
    <cellStyle name="40% - Accent5 2 4 2 6 2 2" xfId="13201" xr:uid="{00000000-0005-0000-0000-0000443C0000}"/>
    <cellStyle name="40% - Accent5 2 4 2 6 3" xfId="13202" xr:uid="{00000000-0005-0000-0000-0000453C0000}"/>
    <cellStyle name="40% - Accent5 2 4 2 6 4" xfId="13203" xr:uid="{00000000-0005-0000-0000-0000463C0000}"/>
    <cellStyle name="40% - Accent5 2 4 2 7" xfId="13204" xr:uid="{00000000-0005-0000-0000-0000473C0000}"/>
    <cellStyle name="40% - Accent5 2 4 2 7 2" xfId="13205" xr:uid="{00000000-0005-0000-0000-0000483C0000}"/>
    <cellStyle name="40% - Accent5 2 4 2 8" xfId="13206" xr:uid="{00000000-0005-0000-0000-0000493C0000}"/>
    <cellStyle name="40% - Accent5 2 4 2 9" xfId="13207" xr:uid="{00000000-0005-0000-0000-00004A3C0000}"/>
    <cellStyle name="40% - Accent5 2 4 3" xfId="13208" xr:uid="{00000000-0005-0000-0000-00004B3C0000}"/>
    <cellStyle name="40% - Accent5 2 4 3 2" xfId="13209" xr:uid="{00000000-0005-0000-0000-00004C3C0000}"/>
    <cellStyle name="40% - Accent5 2 4 3 2 2" xfId="13210" xr:uid="{00000000-0005-0000-0000-00004D3C0000}"/>
    <cellStyle name="40% - Accent5 2 4 3 2 2 2" xfId="13211" xr:uid="{00000000-0005-0000-0000-00004E3C0000}"/>
    <cellStyle name="40% - Accent5 2 4 3 2 3" xfId="13212" xr:uid="{00000000-0005-0000-0000-00004F3C0000}"/>
    <cellStyle name="40% - Accent5 2 4 3 2 4" xfId="13213" xr:uid="{00000000-0005-0000-0000-0000503C0000}"/>
    <cellStyle name="40% - Accent5 2 4 3 2 5" xfId="38454" xr:uid="{00000000-0005-0000-0000-0000513C0000}"/>
    <cellStyle name="40% - Accent5 2 4 3 3" xfId="13214" xr:uid="{00000000-0005-0000-0000-0000523C0000}"/>
    <cellStyle name="40% - Accent5 2 4 3 3 2" xfId="13215" xr:uid="{00000000-0005-0000-0000-0000533C0000}"/>
    <cellStyle name="40% - Accent5 2 4 3 4" xfId="13216" xr:uid="{00000000-0005-0000-0000-0000543C0000}"/>
    <cellStyle name="40% - Accent5 2 4 3 5" xfId="13217" xr:uid="{00000000-0005-0000-0000-0000553C0000}"/>
    <cellStyle name="40% - Accent5 2 4 3 6" xfId="38453" xr:uid="{00000000-0005-0000-0000-0000563C0000}"/>
    <cellStyle name="40% - Accent5 2 4 4" xfId="13218" xr:uid="{00000000-0005-0000-0000-0000573C0000}"/>
    <cellStyle name="40% - Accent5 2 4 4 2" xfId="13219" xr:uid="{00000000-0005-0000-0000-0000583C0000}"/>
    <cellStyle name="40% - Accent5 2 4 4 2 2" xfId="13220" xr:uid="{00000000-0005-0000-0000-0000593C0000}"/>
    <cellStyle name="40% - Accent5 2 4 4 2 2 2" xfId="13221" xr:uid="{00000000-0005-0000-0000-00005A3C0000}"/>
    <cellStyle name="40% - Accent5 2 4 4 2 3" xfId="13222" xr:uid="{00000000-0005-0000-0000-00005B3C0000}"/>
    <cellStyle name="40% - Accent5 2 4 4 2 4" xfId="13223" xr:uid="{00000000-0005-0000-0000-00005C3C0000}"/>
    <cellStyle name="40% - Accent5 2 4 4 2 5" xfId="38456" xr:uid="{00000000-0005-0000-0000-00005D3C0000}"/>
    <cellStyle name="40% - Accent5 2 4 4 3" xfId="13224" xr:uid="{00000000-0005-0000-0000-00005E3C0000}"/>
    <cellStyle name="40% - Accent5 2 4 4 3 2" xfId="13225" xr:uid="{00000000-0005-0000-0000-00005F3C0000}"/>
    <cellStyle name="40% - Accent5 2 4 4 4" xfId="13226" xr:uid="{00000000-0005-0000-0000-0000603C0000}"/>
    <cellStyle name="40% - Accent5 2 4 4 5" xfId="13227" xr:uid="{00000000-0005-0000-0000-0000613C0000}"/>
    <cellStyle name="40% - Accent5 2 4 4 6" xfId="38455" xr:uid="{00000000-0005-0000-0000-0000623C0000}"/>
    <cellStyle name="40% - Accent5 2 4 5" xfId="13228" xr:uid="{00000000-0005-0000-0000-0000633C0000}"/>
    <cellStyle name="40% - Accent5 2 4 5 2" xfId="13229" xr:uid="{00000000-0005-0000-0000-0000643C0000}"/>
    <cellStyle name="40% - Accent5 2 4 5 2 2" xfId="13230" xr:uid="{00000000-0005-0000-0000-0000653C0000}"/>
    <cellStyle name="40% - Accent5 2 4 5 3" xfId="13231" xr:uid="{00000000-0005-0000-0000-0000663C0000}"/>
    <cellStyle name="40% - Accent5 2 4 5 4" xfId="13232" xr:uid="{00000000-0005-0000-0000-0000673C0000}"/>
    <cellStyle name="40% - Accent5 2 4 5 5" xfId="38457" xr:uid="{00000000-0005-0000-0000-0000683C0000}"/>
    <cellStyle name="40% - Accent5 2 4 6" xfId="13233" xr:uid="{00000000-0005-0000-0000-0000693C0000}"/>
    <cellStyle name="40% - Accent5 2 4 6 2" xfId="13234" xr:uid="{00000000-0005-0000-0000-00006A3C0000}"/>
    <cellStyle name="40% - Accent5 2 4 6 2 2" xfId="13235" xr:uid="{00000000-0005-0000-0000-00006B3C0000}"/>
    <cellStyle name="40% - Accent5 2 4 6 3" xfId="13236" xr:uid="{00000000-0005-0000-0000-00006C3C0000}"/>
    <cellStyle name="40% - Accent5 2 4 6 4" xfId="13237" xr:uid="{00000000-0005-0000-0000-00006D3C0000}"/>
    <cellStyle name="40% - Accent5 2 4 7" xfId="13238" xr:uid="{00000000-0005-0000-0000-00006E3C0000}"/>
    <cellStyle name="40% - Accent5 2 4 7 2" xfId="13239" xr:uid="{00000000-0005-0000-0000-00006F3C0000}"/>
    <cellStyle name="40% - Accent5 2 4 7 2 2" xfId="13240" xr:uid="{00000000-0005-0000-0000-0000703C0000}"/>
    <cellStyle name="40% - Accent5 2 4 7 3" xfId="13241" xr:uid="{00000000-0005-0000-0000-0000713C0000}"/>
    <cellStyle name="40% - Accent5 2 4 7 4" xfId="13242" xr:uid="{00000000-0005-0000-0000-0000723C0000}"/>
    <cellStyle name="40% - Accent5 2 4 8" xfId="13243" xr:uid="{00000000-0005-0000-0000-0000733C0000}"/>
    <cellStyle name="40% - Accent5 2 4 8 2" xfId="13244" xr:uid="{00000000-0005-0000-0000-0000743C0000}"/>
    <cellStyle name="40% - Accent5 2 4 9" xfId="13245" xr:uid="{00000000-0005-0000-0000-0000753C0000}"/>
    <cellStyle name="40% - Accent5 2 5" xfId="13246" xr:uid="{00000000-0005-0000-0000-0000763C0000}"/>
    <cellStyle name="40% - Accent5 2 5 10" xfId="34793" xr:uid="{00000000-0005-0000-0000-0000773C0000}"/>
    <cellStyle name="40% - Accent5 2 5 2" xfId="13247" xr:uid="{00000000-0005-0000-0000-0000783C0000}"/>
    <cellStyle name="40% - Accent5 2 5 2 2" xfId="13248" xr:uid="{00000000-0005-0000-0000-0000793C0000}"/>
    <cellStyle name="40% - Accent5 2 5 2 2 2" xfId="13249" xr:uid="{00000000-0005-0000-0000-00007A3C0000}"/>
    <cellStyle name="40% - Accent5 2 5 2 2 2 2" xfId="13250" xr:uid="{00000000-0005-0000-0000-00007B3C0000}"/>
    <cellStyle name="40% - Accent5 2 5 2 2 3" xfId="13251" xr:uid="{00000000-0005-0000-0000-00007C3C0000}"/>
    <cellStyle name="40% - Accent5 2 5 2 2 4" xfId="13252" xr:uid="{00000000-0005-0000-0000-00007D3C0000}"/>
    <cellStyle name="40% - Accent5 2 5 2 2 5" xfId="38459" xr:uid="{00000000-0005-0000-0000-00007E3C0000}"/>
    <cellStyle name="40% - Accent5 2 5 2 3" xfId="13253" xr:uid="{00000000-0005-0000-0000-00007F3C0000}"/>
    <cellStyle name="40% - Accent5 2 5 2 3 2" xfId="13254" xr:uid="{00000000-0005-0000-0000-0000803C0000}"/>
    <cellStyle name="40% - Accent5 2 5 2 4" xfId="13255" xr:uid="{00000000-0005-0000-0000-0000813C0000}"/>
    <cellStyle name="40% - Accent5 2 5 2 5" xfId="13256" xr:uid="{00000000-0005-0000-0000-0000823C0000}"/>
    <cellStyle name="40% - Accent5 2 5 2 6" xfId="38458" xr:uid="{00000000-0005-0000-0000-0000833C0000}"/>
    <cellStyle name="40% - Accent5 2 5 3" xfId="13257" xr:uid="{00000000-0005-0000-0000-0000843C0000}"/>
    <cellStyle name="40% - Accent5 2 5 3 2" xfId="13258" xr:uid="{00000000-0005-0000-0000-0000853C0000}"/>
    <cellStyle name="40% - Accent5 2 5 3 2 2" xfId="13259" xr:uid="{00000000-0005-0000-0000-0000863C0000}"/>
    <cellStyle name="40% - Accent5 2 5 3 2 2 2" xfId="13260" xr:uid="{00000000-0005-0000-0000-0000873C0000}"/>
    <cellStyle name="40% - Accent5 2 5 3 2 3" xfId="13261" xr:uid="{00000000-0005-0000-0000-0000883C0000}"/>
    <cellStyle name="40% - Accent5 2 5 3 2 4" xfId="13262" xr:uid="{00000000-0005-0000-0000-0000893C0000}"/>
    <cellStyle name="40% - Accent5 2 5 3 2 5" xfId="38461" xr:uid="{00000000-0005-0000-0000-00008A3C0000}"/>
    <cellStyle name="40% - Accent5 2 5 3 3" xfId="13263" xr:uid="{00000000-0005-0000-0000-00008B3C0000}"/>
    <cellStyle name="40% - Accent5 2 5 3 3 2" xfId="13264" xr:uid="{00000000-0005-0000-0000-00008C3C0000}"/>
    <cellStyle name="40% - Accent5 2 5 3 4" xfId="13265" xr:uid="{00000000-0005-0000-0000-00008D3C0000}"/>
    <cellStyle name="40% - Accent5 2 5 3 5" xfId="13266" xr:uid="{00000000-0005-0000-0000-00008E3C0000}"/>
    <cellStyle name="40% - Accent5 2 5 3 6" xfId="38460" xr:uid="{00000000-0005-0000-0000-00008F3C0000}"/>
    <cellStyle name="40% - Accent5 2 5 4" xfId="13267" xr:uid="{00000000-0005-0000-0000-0000903C0000}"/>
    <cellStyle name="40% - Accent5 2 5 4 2" xfId="13268" xr:uid="{00000000-0005-0000-0000-0000913C0000}"/>
    <cellStyle name="40% - Accent5 2 5 4 2 2" xfId="13269" xr:uid="{00000000-0005-0000-0000-0000923C0000}"/>
    <cellStyle name="40% - Accent5 2 5 4 3" xfId="13270" xr:uid="{00000000-0005-0000-0000-0000933C0000}"/>
    <cellStyle name="40% - Accent5 2 5 4 4" xfId="13271" xr:uid="{00000000-0005-0000-0000-0000943C0000}"/>
    <cellStyle name="40% - Accent5 2 5 4 5" xfId="38462" xr:uid="{00000000-0005-0000-0000-0000953C0000}"/>
    <cellStyle name="40% - Accent5 2 5 5" xfId="13272" xr:uid="{00000000-0005-0000-0000-0000963C0000}"/>
    <cellStyle name="40% - Accent5 2 5 5 2" xfId="13273" xr:uid="{00000000-0005-0000-0000-0000973C0000}"/>
    <cellStyle name="40% - Accent5 2 5 5 2 2" xfId="13274" xr:uid="{00000000-0005-0000-0000-0000983C0000}"/>
    <cellStyle name="40% - Accent5 2 5 5 3" xfId="13275" xr:uid="{00000000-0005-0000-0000-0000993C0000}"/>
    <cellStyle name="40% - Accent5 2 5 5 4" xfId="13276" xr:uid="{00000000-0005-0000-0000-00009A3C0000}"/>
    <cellStyle name="40% - Accent5 2 5 6" xfId="13277" xr:uid="{00000000-0005-0000-0000-00009B3C0000}"/>
    <cellStyle name="40% - Accent5 2 5 6 2" xfId="13278" xr:uid="{00000000-0005-0000-0000-00009C3C0000}"/>
    <cellStyle name="40% - Accent5 2 5 6 2 2" xfId="13279" xr:uid="{00000000-0005-0000-0000-00009D3C0000}"/>
    <cellStyle name="40% - Accent5 2 5 6 3" xfId="13280" xr:uid="{00000000-0005-0000-0000-00009E3C0000}"/>
    <cellStyle name="40% - Accent5 2 5 6 4" xfId="13281" xr:uid="{00000000-0005-0000-0000-00009F3C0000}"/>
    <cellStyle name="40% - Accent5 2 5 7" xfId="13282" xr:uid="{00000000-0005-0000-0000-0000A03C0000}"/>
    <cellStyle name="40% - Accent5 2 5 7 2" xfId="13283" xr:uid="{00000000-0005-0000-0000-0000A13C0000}"/>
    <cellStyle name="40% - Accent5 2 5 8" xfId="13284" xr:uid="{00000000-0005-0000-0000-0000A23C0000}"/>
    <cellStyle name="40% - Accent5 2 5 9" xfId="13285" xr:uid="{00000000-0005-0000-0000-0000A33C0000}"/>
    <cellStyle name="40% - Accent5 2 6" xfId="13286" xr:uid="{00000000-0005-0000-0000-0000A43C0000}"/>
    <cellStyle name="40% - Accent5 2 7" xfId="13287" xr:uid="{00000000-0005-0000-0000-0000A53C0000}"/>
    <cellStyle name="40% - Accent5 2 8" xfId="13288" xr:uid="{00000000-0005-0000-0000-0000A63C0000}"/>
    <cellStyle name="40% - Accent5 2 8 2" xfId="13289" xr:uid="{00000000-0005-0000-0000-0000A73C0000}"/>
    <cellStyle name="40% - Accent5 2 8 3" xfId="34794" xr:uid="{00000000-0005-0000-0000-0000A83C0000}"/>
    <cellStyle name="40% - Accent5 2 9" xfId="13290" xr:uid="{00000000-0005-0000-0000-0000A93C0000}"/>
    <cellStyle name="40% - Accent5 3" xfId="13291" xr:uid="{00000000-0005-0000-0000-0000AA3C0000}"/>
    <cellStyle name="40% - Accent5 3 2" xfId="13292" xr:uid="{00000000-0005-0000-0000-0000AB3C0000}"/>
    <cellStyle name="40% - Accent5 3 2 10" xfId="13293" xr:uid="{00000000-0005-0000-0000-0000AC3C0000}"/>
    <cellStyle name="40% - Accent5 3 2 10 2" xfId="13294" xr:uid="{00000000-0005-0000-0000-0000AD3C0000}"/>
    <cellStyle name="40% - Accent5 3 2 11" xfId="13295" xr:uid="{00000000-0005-0000-0000-0000AE3C0000}"/>
    <cellStyle name="40% - Accent5 3 2 12" xfId="13296" xr:uid="{00000000-0005-0000-0000-0000AF3C0000}"/>
    <cellStyle name="40% - Accent5 3 2 13" xfId="34795" xr:uid="{00000000-0005-0000-0000-0000B03C0000}"/>
    <cellStyle name="40% - Accent5 3 2 2" xfId="13297" xr:uid="{00000000-0005-0000-0000-0000B13C0000}"/>
    <cellStyle name="40% - Accent5 3 2 2 10" xfId="13298" xr:uid="{00000000-0005-0000-0000-0000B23C0000}"/>
    <cellStyle name="40% - Accent5 3 2 2 11" xfId="13299" xr:uid="{00000000-0005-0000-0000-0000B33C0000}"/>
    <cellStyle name="40% - Accent5 3 2 2 12" xfId="34796" xr:uid="{00000000-0005-0000-0000-0000B43C0000}"/>
    <cellStyle name="40% - Accent5 3 2 2 2" xfId="13300" xr:uid="{00000000-0005-0000-0000-0000B53C0000}"/>
    <cellStyle name="40% - Accent5 3 2 2 2 10" xfId="13301" xr:uid="{00000000-0005-0000-0000-0000B63C0000}"/>
    <cellStyle name="40% - Accent5 3 2 2 2 11" xfId="34797" xr:uid="{00000000-0005-0000-0000-0000B73C0000}"/>
    <cellStyle name="40% - Accent5 3 2 2 2 2" xfId="13302" xr:uid="{00000000-0005-0000-0000-0000B83C0000}"/>
    <cellStyle name="40% - Accent5 3 2 2 2 2 10" xfId="34798" xr:uid="{00000000-0005-0000-0000-0000B93C0000}"/>
    <cellStyle name="40% - Accent5 3 2 2 2 2 2" xfId="13303" xr:uid="{00000000-0005-0000-0000-0000BA3C0000}"/>
    <cellStyle name="40% - Accent5 3 2 2 2 2 2 2" xfId="13304" xr:uid="{00000000-0005-0000-0000-0000BB3C0000}"/>
    <cellStyle name="40% - Accent5 3 2 2 2 2 2 2 2" xfId="13305" xr:uid="{00000000-0005-0000-0000-0000BC3C0000}"/>
    <cellStyle name="40% - Accent5 3 2 2 2 2 2 2 2 2" xfId="13306" xr:uid="{00000000-0005-0000-0000-0000BD3C0000}"/>
    <cellStyle name="40% - Accent5 3 2 2 2 2 2 2 3" xfId="13307" xr:uid="{00000000-0005-0000-0000-0000BE3C0000}"/>
    <cellStyle name="40% - Accent5 3 2 2 2 2 2 2 4" xfId="13308" xr:uid="{00000000-0005-0000-0000-0000BF3C0000}"/>
    <cellStyle name="40% - Accent5 3 2 2 2 2 2 2 5" xfId="38464" xr:uid="{00000000-0005-0000-0000-0000C03C0000}"/>
    <cellStyle name="40% - Accent5 3 2 2 2 2 2 3" xfId="13309" xr:uid="{00000000-0005-0000-0000-0000C13C0000}"/>
    <cellStyle name="40% - Accent5 3 2 2 2 2 2 3 2" xfId="13310" xr:uid="{00000000-0005-0000-0000-0000C23C0000}"/>
    <cellStyle name="40% - Accent5 3 2 2 2 2 2 4" xfId="13311" xr:uid="{00000000-0005-0000-0000-0000C33C0000}"/>
    <cellStyle name="40% - Accent5 3 2 2 2 2 2 5" xfId="13312" xr:uid="{00000000-0005-0000-0000-0000C43C0000}"/>
    <cellStyle name="40% - Accent5 3 2 2 2 2 2 6" xfId="38463" xr:uid="{00000000-0005-0000-0000-0000C53C0000}"/>
    <cellStyle name="40% - Accent5 3 2 2 2 2 3" xfId="13313" xr:uid="{00000000-0005-0000-0000-0000C63C0000}"/>
    <cellStyle name="40% - Accent5 3 2 2 2 2 3 2" xfId="13314" xr:uid="{00000000-0005-0000-0000-0000C73C0000}"/>
    <cellStyle name="40% - Accent5 3 2 2 2 2 3 2 2" xfId="13315" xr:uid="{00000000-0005-0000-0000-0000C83C0000}"/>
    <cellStyle name="40% - Accent5 3 2 2 2 2 3 2 2 2" xfId="13316" xr:uid="{00000000-0005-0000-0000-0000C93C0000}"/>
    <cellStyle name="40% - Accent5 3 2 2 2 2 3 2 3" xfId="13317" xr:uid="{00000000-0005-0000-0000-0000CA3C0000}"/>
    <cellStyle name="40% - Accent5 3 2 2 2 2 3 2 4" xfId="13318" xr:uid="{00000000-0005-0000-0000-0000CB3C0000}"/>
    <cellStyle name="40% - Accent5 3 2 2 2 2 3 2 5" xfId="38466" xr:uid="{00000000-0005-0000-0000-0000CC3C0000}"/>
    <cellStyle name="40% - Accent5 3 2 2 2 2 3 3" xfId="13319" xr:uid="{00000000-0005-0000-0000-0000CD3C0000}"/>
    <cellStyle name="40% - Accent5 3 2 2 2 2 3 3 2" xfId="13320" xr:uid="{00000000-0005-0000-0000-0000CE3C0000}"/>
    <cellStyle name="40% - Accent5 3 2 2 2 2 3 4" xfId="13321" xr:uid="{00000000-0005-0000-0000-0000CF3C0000}"/>
    <cellStyle name="40% - Accent5 3 2 2 2 2 3 5" xfId="13322" xr:uid="{00000000-0005-0000-0000-0000D03C0000}"/>
    <cellStyle name="40% - Accent5 3 2 2 2 2 3 6" xfId="38465" xr:uid="{00000000-0005-0000-0000-0000D13C0000}"/>
    <cellStyle name="40% - Accent5 3 2 2 2 2 4" xfId="13323" xr:uid="{00000000-0005-0000-0000-0000D23C0000}"/>
    <cellStyle name="40% - Accent5 3 2 2 2 2 4 2" xfId="13324" xr:uid="{00000000-0005-0000-0000-0000D33C0000}"/>
    <cellStyle name="40% - Accent5 3 2 2 2 2 4 2 2" xfId="13325" xr:uid="{00000000-0005-0000-0000-0000D43C0000}"/>
    <cellStyle name="40% - Accent5 3 2 2 2 2 4 3" xfId="13326" xr:uid="{00000000-0005-0000-0000-0000D53C0000}"/>
    <cellStyle name="40% - Accent5 3 2 2 2 2 4 4" xfId="13327" xr:uid="{00000000-0005-0000-0000-0000D63C0000}"/>
    <cellStyle name="40% - Accent5 3 2 2 2 2 4 5" xfId="38467" xr:uid="{00000000-0005-0000-0000-0000D73C0000}"/>
    <cellStyle name="40% - Accent5 3 2 2 2 2 5" xfId="13328" xr:uid="{00000000-0005-0000-0000-0000D83C0000}"/>
    <cellStyle name="40% - Accent5 3 2 2 2 2 5 2" xfId="13329" xr:uid="{00000000-0005-0000-0000-0000D93C0000}"/>
    <cellStyle name="40% - Accent5 3 2 2 2 2 5 2 2" xfId="13330" xr:uid="{00000000-0005-0000-0000-0000DA3C0000}"/>
    <cellStyle name="40% - Accent5 3 2 2 2 2 5 3" xfId="13331" xr:uid="{00000000-0005-0000-0000-0000DB3C0000}"/>
    <cellStyle name="40% - Accent5 3 2 2 2 2 5 4" xfId="13332" xr:uid="{00000000-0005-0000-0000-0000DC3C0000}"/>
    <cellStyle name="40% - Accent5 3 2 2 2 2 6" xfId="13333" xr:uid="{00000000-0005-0000-0000-0000DD3C0000}"/>
    <cellStyle name="40% - Accent5 3 2 2 2 2 6 2" xfId="13334" xr:uid="{00000000-0005-0000-0000-0000DE3C0000}"/>
    <cellStyle name="40% - Accent5 3 2 2 2 2 6 2 2" xfId="13335" xr:uid="{00000000-0005-0000-0000-0000DF3C0000}"/>
    <cellStyle name="40% - Accent5 3 2 2 2 2 6 3" xfId="13336" xr:uid="{00000000-0005-0000-0000-0000E03C0000}"/>
    <cellStyle name="40% - Accent5 3 2 2 2 2 6 4" xfId="13337" xr:uid="{00000000-0005-0000-0000-0000E13C0000}"/>
    <cellStyle name="40% - Accent5 3 2 2 2 2 7" xfId="13338" xr:uid="{00000000-0005-0000-0000-0000E23C0000}"/>
    <cellStyle name="40% - Accent5 3 2 2 2 2 7 2" xfId="13339" xr:uid="{00000000-0005-0000-0000-0000E33C0000}"/>
    <cellStyle name="40% - Accent5 3 2 2 2 2 8" xfId="13340" xr:uid="{00000000-0005-0000-0000-0000E43C0000}"/>
    <cellStyle name="40% - Accent5 3 2 2 2 2 9" xfId="13341" xr:uid="{00000000-0005-0000-0000-0000E53C0000}"/>
    <cellStyle name="40% - Accent5 3 2 2 2 3" xfId="13342" xr:uid="{00000000-0005-0000-0000-0000E63C0000}"/>
    <cellStyle name="40% - Accent5 3 2 2 2 3 2" xfId="13343" xr:uid="{00000000-0005-0000-0000-0000E73C0000}"/>
    <cellStyle name="40% - Accent5 3 2 2 2 3 2 2" xfId="13344" xr:uid="{00000000-0005-0000-0000-0000E83C0000}"/>
    <cellStyle name="40% - Accent5 3 2 2 2 3 2 2 2" xfId="13345" xr:uid="{00000000-0005-0000-0000-0000E93C0000}"/>
    <cellStyle name="40% - Accent5 3 2 2 2 3 2 3" xfId="13346" xr:uid="{00000000-0005-0000-0000-0000EA3C0000}"/>
    <cellStyle name="40% - Accent5 3 2 2 2 3 2 4" xfId="13347" xr:uid="{00000000-0005-0000-0000-0000EB3C0000}"/>
    <cellStyle name="40% - Accent5 3 2 2 2 3 2 5" xfId="38469" xr:uid="{00000000-0005-0000-0000-0000EC3C0000}"/>
    <cellStyle name="40% - Accent5 3 2 2 2 3 3" xfId="13348" xr:uid="{00000000-0005-0000-0000-0000ED3C0000}"/>
    <cellStyle name="40% - Accent5 3 2 2 2 3 3 2" xfId="13349" xr:uid="{00000000-0005-0000-0000-0000EE3C0000}"/>
    <cellStyle name="40% - Accent5 3 2 2 2 3 4" xfId="13350" xr:uid="{00000000-0005-0000-0000-0000EF3C0000}"/>
    <cellStyle name="40% - Accent5 3 2 2 2 3 5" xfId="13351" xr:uid="{00000000-0005-0000-0000-0000F03C0000}"/>
    <cellStyle name="40% - Accent5 3 2 2 2 3 6" xfId="38468" xr:uid="{00000000-0005-0000-0000-0000F13C0000}"/>
    <cellStyle name="40% - Accent5 3 2 2 2 4" xfId="13352" xr:uid="{00000000-0005-0000-0000-0000F23C0000}"/>
    <cellStyle name="40% - Accent5 3 2 2 2 4 2" xfId="13353" xr:uid="{00000000-0005-0000-0000-0000F33C0000}"/>
    <cellStyle name="40% - Accent5 3 2 2 2 4 2 2" xfId="13354" xr:uid="{00000000-0005-0000-0000-0000F43C0000}"/>
    <cellStyle name="40% - Accent5 3 2 2 2 4 2 2 2" xfId="13355" xr:uid="{00000000-0005-0000-0000-0000F53C0000}"/>
    <cellStyle name="40% - Accent5 3 2 2 2 4 2 3" xfId="13356" xr:uid="{00000000-0005-0000-0000-0000F63C0000}"/>
    <cellStyle name="40% - Accent5 3 2 2 2 4 2 4" xfId="13357" xr:uid="{00000000-0005-0000-0000-0000F73C0000}"/>
    <cellStyle name="40% - Accent5 3 2 2 2 4 2 5" xfId="38471" xr:uid="{00000000-0005-0000-0000-0000F83C0000}"/>
    <cellStyle name="40% - Accent5 3 2 2 2 4 3" xfId="13358" xr:uid="{00000000-0005-0000-0000-0000F93C0000}"/>
    <cellStyle name="40% - Accent5 3 2 2 2 4 3 2" xfId="13359" xr:uid="{00000000-0005-0000-0000-0000FA3C0000}"/>
    <cellStyle name="40% - Accent5 3 2 2 2 4 4" xfId="13360" xr:uid="{00000000-0005-0000-0000-0000FB3C0000}"/>
    <cellStyle name="40% - Accent5 3 2 2 2 4 5" xfId="13361" xr:uid="{00000000-0005-0000-0000-0000FC3C0000}"/>
    <cellStyle name="40% - Accent5 3 2 2 2 4 6" xfId="38470" xr:uid="{00000000-0005-0000-0000-0000FD3C0000}"/>
    <cellStyle name="40% - Accent5 3 2 2 2 5" xfId="13362" xr:uid="{00000000-0005-0000-0000-0000FE3C0000}"/>
    <cellStyle name="40% - Accent5 3 2 2 2 5 2" xfId="13363" xr:uid="{00000000-0005-0000-0000-0000FF3C0000}"/>
    <cellStyle name="40% - Accent5 3 2 2 2 5 2 2" xfId="13364" xr:uid="{00000000-0005-0000-0000-0000003D0000}"/>
    <cellStyle name="40% - Accent5 3 2 2 2 5 3" xfId="13365" xr:uid="{00000000-0005-0000-0000-0000013D0000}"/>
    <cellStyle name="40% - Accent5 3 2 2 2 5 4" xfId="13366" xr:uid="{00000000-0005-0000-0000-0000023D0000}"/>
    <cellStyle name="40% - Accent5 3 2 2 2 5 5" xfId="38472" xr:uid="{00000000-0005-0000-0000-0000033D0000}"/>
    <cellStyle name="40% - Accent5 3 2 2 2 6" xfId="13367" xr:uid="{00000000-0005-0000-0000-0000043D0000}"/>
    <cellStyle name="40% - Accent5 3 2 2 2 6 2" xfId="13368" xr:uid="{00000000-0005-0000-0000-0000053D0000}"/>
    <cellStyle name="40% - Accent5 3 2 2 2 6 2 2" xfId="13369" xr:uid="{00000000-0005-0000-0000-0000063D0000}"/>
    <cellStyle name="40% - Accent5 3 2 2 2 6 3" xfId="13370" xr:uid="{00000000-0005-0000-0000-0000073D0000}"/>
    <cellStyle name="40% - Accent5 3 2 2 2 6 4" xfId="13371" xr:uid="{00000000-0005-0000-0000-0000083D0000}"/>
    <cellStyle name="40% - Accent5 3 2 2 2 7" xfId="13372" xr:uid="{00000000-0005-0000-0000-0000093D0000}"/>
    <cellStyle name="40% - Accent5 3 2 2 2 7 2" xfId="13373" xr:uid="{00000000-0005-0000-0000-00000A3D0000}"/>
    <cellStyle name="40% - Accent5 3 2 2 2 7 2 2" xfId="13374" xr:uid="{00000000-0005-0000-0000-00000B3D0000}"/>
    <cellStyle name="40% - Accent5 3 2 2 2 7 3" xfId="13375" xr:uid="{00000000-0005-0000-0000-00000C3D0000}"/>
    <cellStyle name="40% - Accent5 3 2 2 2 7 4" xfId="13376" xr:uid="{00000000-0005-0000-0000-00000D3D0000}"/>
    <cellStyle name="40% - Accent5 3 2 2 2 8" xfId="13377" xr:uid="{00000000-0005-0000-0000-00000E3D0000}"/>
    <cellStyle name="40% - Accent5 3 2 2 2 8 2" xfId="13378" xr:uid="{00000000-0005-0000-0000-00000F3D0000}"/>
    <cellStyle name="40% - Accent5 3 2 2 2 9" xfId="13379" xr:uid="{00000000-0005-0000-0000-0000103D0000}"/>
    <cellStyle name="40% - Accent5 3 2 2 3" xfId="13380" xr:uid="{00000000-0005-0000-0000-0000113D0000}"/>
    <cellStyle name="40% - Accent5 3 2 2 3 10" xfId="34799" xr:uid="{00000000-0005-0000-0000-0000123D0000}"/>
    <cellStyle name="40% - Accent5 3 2 2 3 2" xfId="13381" xr:uid="{00000000-0005-0000-0000-0000133D0000}"/>
    <cellStyle name="40% - Accent5 3 2 2 3 2 2" xfId="13382" xr:uid="{00000000-0005-0000-0000-0000143D0000}"/>
    <cellStyle name="40% - Accent5 3 2 2 3 2 2 2" xfId="13383" xr:uid="{00000000-0005-0000-0000-0000153D0000}"/>
    <cellStyle name="40% - Accent5 3 2 2 3 2 2 2 2" xfId="13384" xr:uid="{00000000-0005-0000-0000-0000163D0000}"/>
    <cellStyle name="40% - Accent5 3 2 2 3 2 2 3" xfId="13385" xr:uid="{00000000-0005-0000-0000-0000173D0000}"/>
    <cellStyle name="40% - Accent5 3 2 2 3 2 2 4" xfId="13386" xr:uid="{00000000-0005-0000-0000-0000183D0000}"/>
    <cellStyle name="40% - Accent5 3 2 2 3 2 2 5" xfId="38474" xr:uid="{00000000-0005-0000-0000-0000193D0000}"/>
    <cellStyle name="40% - Accent5 3 2 2 3 2 3" xfId="13387" xr:uid="{00000000-0005-0000-0000-00001A3D0000}"/>
    <cellStyle name="40% - Accent5 3 2 2 3 2 3 2" xfId="13388" xr:uid="{00000000-0005-0000-0000-00001B3D0000}"/>
    <cellStyle name="40% - Accent5 3 2 2 3 2 4" xfId="13389" xr:uid="{00000000-0005-0000-0000-00001C3D0000}"/>
    <cellStyle name="40% - Accent5 3 2 2 3 2 5" xfId="13390" xr:uid="{00000000-0005-0000-0000-00001D3D0000}"/>
    <cellStyle name="40% - Accent5 3 2 2 3 2 6" xfId="38473" xr:uid="{00000000-0005-0000-0000-00001E3D0000}"/>
    <cellStyle name="40% - Accent5 3 2 2 3 3" xfId="13391" xr:uid="{00000000-0005-0000-0000-00001F3D0000}"/>
    <cellStyle name="40% - Accent5 3 2 2 3 3 2" xfId="13392" xr:uid="{00000000-0005-0000-0000-0000203D0000}"/>
    <cellStyle name="40% - Accent5 3 2 2 3 3 2 2" xfId="13393" xr:uid="{00000000-0005-0000-0000-0000213D0000}"/>
    <cellStyle name="40% - Accent5 3 2 2 3 3 2 2 2" xfId="13394" xr:uid="{00000000-0005-0000-0000-0000223D0000}"/>
    <cellStyle name="40% - Accent5 3 2 2 3 3 2 3" xfId="13395" xr:uid="{00000000-0005-0000-0000-0000233D0000}"/>
    <cellStyle name="40% - Accent5 3 2 2 3 3 2 4" xfId="13396" xr:uid="{00000000-0005-0000-0000-0000243D0000}"/>
    <cellStyle name="40% - Accent5 3 2 2 3 3 2 5" xfId="38476" xr:uid="{00000000-0005-0000-0000-0000253D0000}"/>
    <cellStyle name="40% - Accent5 3 2 2 3 3 3" xfId="13397" xr:uid="{00000000-0005-0000-0000-0000263D0000}"/>
    <cellStyle name="40% - Accent5 3 2 2 3 3 3 2" xfId="13398" xr:uid="{00000000-0005-0000-0000-0000273D0000}"/>
    <cellStyle name="40% - Accent5 3 2 2 3 3 4" xfId="13399" xr:uid="{00000000-0005-0000-0000-0000283D0000}"/>
    <cellStyle name="40% - Accent5 3 2 2 3 3 5" xfId="13400" xr:uid="{00000000-0005-0000-0000-0000293D0000}"/>
    <cellStyle name="40% - Accent5 3 2 2 3 3 6" xfId="38475" xr:uid="{00000000-0005-0000-0000-00002A3D0000}"/>
    <cellStyle name="40% - Accent5 3 2 2 3 4" xfId="13401" xr:uid="{00000000-0005-0000-0000-00002B3D0000}"/>
    <cellStyle name="40% - Accent5 3 2 2 3 4 2" xfId="13402" xr:uid="{00000000-0005-0000-0000-00002C3D0000}"/>
    <cellStyle name="40% - Accent5 3 2 2 3 4 2 2" xfId="13403" xr:uid="{00000000-0005-0000-0000-00002D3D0000}"/>
    <cellStyle name="40% - Accent5 3 2 2 3 4 3" xfId="13404" xr:uid="{00000000-0005-0000-0000-00002E3D0000}"/>
    <cellStyle name="40% - Accent5 3 2 2 3 4 4" xfId="13405" xr:uid="{00000000-0005-0000-0000-00002F3D0000}"/>
    <cellStyle name="40% - Accent5 3 2 2 3 4 5" xfId="38477" xr:uid="{00000000-0005-0000-0000-0000303D0000}"/>
    <cellStyle name="40% - Accent5 3 2 2 3 5" xfId="13406" xr:uid="{00000000-0005-0000-0000-0000313D0000}"/>
    <cellStyle name="40% - Accent5 3 2 2 3 5 2" xfId="13407" xr:uid="{00000000-0005-0000-0000-0000323D0000}"/>
    <cellStyle name="40% - Accent5 3 2 2 3 5 2 2" xfId="13408" xr:uid="{00000000-0005-0000-0000-0000333D0000}"/>
    <cellStyle name="40% - Accent5 3 2 2 3 5 3" xfId="13409" xr:uid="{00000000-0005-0000-0000-0000343D0000}"/>
    <cellStyle name="40% - Accent5 3 2 2 3 5 4" xfId="13410" xr:uid="{00000000-0005-0000-0000-0000353D0000}"/>
    <cellStyle name="40% - Accent5 3 2 2 3 6" xfId="13411" xr:uid="{00000000-0005-0000-0000-0000363D0000}"/>
    <cellStyle name="40% - Accent5 3 2 2 3 6 2" xfId="13412" xr:uid="{00000000-0005-0000-0000-0000373D0000}"/>
    <cellStyle name="40% - Accent5 3 2 2 3 6 2 2" xfId="13413" xr:uid="{00000000-0005-0000-0000-0000383D0000}"/>
    <cellStyle name="40% - Accent5 3 2 2 3 6 3" xfId="13414" xr:uid="{00000000-0005-0000-0000-0000393D0000}"/>
    <cellStyle name="40% - Accent5 3 2 2 3 6 4" xfId="13415" xr:uid="{00000000-0005-0000-0000-00003A3D0000}"/>
    <cellStyle name="40% - Accent5 3 2 2 3 7" xfId="13416" xr:uid="{00000000-0005-0000-0000-00003B3D0000}"/>
    <cellStyle name="40% - Accent5 3 2 2 3 7 2" xfId="13417" xr:uid="{00000000-0005-0000-0000-00003C3D0000}"/>
    <cellStyle name="40% - Accent5 3 2 2 3 8" xfId="13418" xr:uid="{00000000-0005-0000-0000-00003D3D0000}"/>
    <cellStyle name="40% - Accent5 3 2 2 3 9" xfId="13419" xr:uid="{00000000-0005-0000-0000-00003E3D0000}"/>
    <cellStyle name="40% - Accent5 3 2 2 4" xfId="13420" xr:uid="{00000000-0005-0000-0000-00003F3D0000}"/>
    <cellStyle name="40% - Accent5 3 2 2 4 2" xfId="13421" xr:uid="{00000000-0005-0000-0000-0000403D0000}"/>
    <cellStyle name="40% - Accent5 3 2 2 4 2 2" xfId="13422" xr:uid="{00000000-0005-0000-0000-0000413D0000}"/>
    <cellStyle name="40% - Accent5 3 2 2 4 2 2 2" xfId="13423" xr:uid="{00000000-0005-0000-0000-0000423D0000}"/>
    <cellStyle name="40% - Accent5 3 2 2 4 2 3" xfId="13424" xr:uid="{00000000-0005-0000-0000-0000433D0000}"/>
    <cellStyle name="40% - Accent5 3 2 2 4 2 4" xfId="13425" xr:uid="{00000000-0005-0000-0000-0000443D0000}"/>
    <cellStyle name="40% - Accent5 3 2 2 4 2 5" xfId="38479" xr:uid="{00000000-0005-0000-0000-0000453D0000}"/>
    <cellStyle name="40% - Accent5 3 2 2 4 3" xfId="13426" xr:uid="{00000000-0005-0000-0000-0000463D0000}"/>
    <cellStyle name="40% - Accent5 3 2 2 4 3 2" xfId="13427" xr:uid="{00000000-0005-0000-0000-0000473D0000}"/>
    <cellStyle name="40% - Accent5 3 2 2 4 4" xfId="13428" xr:uid="{00000000-0005-0000-0000-0000483D0000}"/>
    <cellStyle name="40% - Accent5 3 2 2 4 5" xfId="13429" xr:uid="{00000000-0005-0000-0000-0000493D0000}"/>
    <cellStyle name="40% - Accent5 3 2 2 4 6" xfId="38478" xr:uid="{00000000-0005-0000-0000-00004A3D0000}"/>
    <cellStyle name="40% - Accent5 3 2 2 5" xfId="13430" xr:uid="{00000000-0005-0000-0000-00004B3D0000}"/>
    <cellStyle name="40% - Accent5 3 2 2 5 2" xfId="13431" xr:uid="{00000000-0005-0000-0000-00004C3D0000}"/>
    <cellStyle name="40% - Accent5 3 2 2 5 2 2" xfId="13432" xr:uid="{00000000-0005-0000-0000-00004D3D0000}"/>
    <cellStyle name="40% - Accent5 3 2 2 5 2 2 2" xfId="13433" xr:uid="{00000000-0005-0000-0000-00004E3D0000}"/>
    <cellStyle name="40% - Accent5 3 2 2 5 2 3" xfId="13434" xr:uid="{00000000-0005-0000-0000-00004F3D0000}"/>
    <cellStyle name="40% - Accent5 3 2 2 5 2 4" xfId="13435" xr:uid="{00000000-0005-0000-0000-0000503D0000}"/>
    <cellStyle name="40% - Accent5 3 2 2 5 2 5" xfId="38481" xr:uid="{00000000-0005-0000-0000-0000513D0000}"/>
    <cellStyle name="40% - Accent5 3 2 2 5 3" xfId="13436" xr:uid="{00000000-0005-0000-0000-0000523D0000}"/>
    <cellStyle name="40% - Accent5 3 2 2 5 3 2" xfId="13437" xr:uid="{00000000-0005-0000-0000-0000533D0000}"/>
    <cellStyle name="40% - Accent5 3 2 2 5 4" xfId="13438" xr:uid="{00000000-0005-0000-0000-0000543D0000}"/>
    <cellStyle name="40% - Accent5 3 2 2 5 5" xfId="13439" xr:uid="{00000000-0005-0000-0000-0000553D0000}"/>
    <cellStyle name="40% - Accent5 3 2 2 5 6" xfId="38480" xr:uid="{00000000-0005-0000-0000-0000563D0000}"/>
    <cellStyle name="40% - Accent5 3 2 2 6" xfId="13440" xr:uid="{00000000-0005-0000-0000-0000573D0000}"/>
    <cellStyle name="40% - Accent5 3 2 2 6 2" xfId="13441" xr:uid="{00000000-0005-0000-0000-0000583D0000}"/>
    <cellStyle name="40% - Accent5 3 2 2 6 2 2" xfId="13442" xr:uid="{00000000-0005-0000-0000-0000593D0000}"/>
    <cellStyle name="40% - Accent5 3 2 2 6 3" xfId="13443" xr:uid="{00000000-0005-0000-0000-00005A3D0000}"/>
    <cellStyle name="40% - Accent5 3 2 2 6 4" xfId="13444" xr:uid="{00000000-0005-0000-0000-00005B3D0000}"/>
    <cellStyle name="40% - Accent5 3 2 2 6 5" xfId="38482" xr:uid="{00000000-0005-0000-0000-00005C3D0000}"/>
    <cellStyle name="40% - Accent5 3 2 2 7" xfId="13445" xr:uid="{00000000-0005-0000-0000-00005D3D0000}"/>
    <cellStyle name="40% - Accent5 3 2 2 7 2" xfId="13446" xr:uid="{00000000-0005-0000-0000-00005E3D0000}"/>
    <cellStyle name="40% - Accent5 3 2 2 7 2 2" xfId="13447" xr:uid="{00000000-0005-0000-0000-00005F3D0000}"/>
    <cellStyle name="40% - Accent5 3 2 2 7 3" xfId="13448" xr:uid="{00000000-0005-0000-0000-0000603D0000}"/>
    <cellStyle name="40% - Accent5 3 2 2 7 4" xfId="13449" xr:uid="{00000000-0005-0000-0000-0000613D0000}"/>
    <cellStyle name="40% - Accent5 3 2 2 8" xfId="13450" xr:uid="{00000000-0005-0000-0000-0000623D0000}"/>
    <cellStyle name="40% - Accent5 3 2 2 8 2" xfId="13451" xr:uid="{00000000-0005-0000-0000-0000633D0000}"/>
    <cellStyle name="40% - Accent5 3 2 2 8 2 2" xfId="13452" xr:uid="{00000000-0005-0000-0000-0000643D0000}"/>
    <cellStyle name="40% - Accent5 3 2 2 8 3" xfId="13453" xr:uid="{00000000-0005-0000-0000-0000653D0000}"/>
    <cellStyle name="40% - Accent5 3 2 2 8 4" xfId="13454" xr:uid="{00000000-0005-0000-0000-0000663D0000}"/>
    <cellStyle name="40% - Accent5 3 2 2 9" xfId="13455" xr:uid="{00000000-0005-0000-0000-0000673D0000}"/>
    <cellStyle name="40% - Accent5 3 2 2 9 2" xfId="13456" xr:uid="{00000000-0005-0000-0000-0000683D0000}"/>
    <cellStyle name="40% - Accent5 3 2 3" xfId="13457" xr:uid="{00000000-0005-0000-0000-0000693D0000}"/>
    <cellStyle name="40% - Accent5 3 2 3 10" xfId="13458" xr:uid="{00000000-0005-0000-0000-00006A3D0000}"/>
    <cellStyle name="40% - Accent5 3 2 3 11" xfId="34800" xr:uid="{00000000-0005-0000-0000-00006B3D0000}"/>
    <cellStyle name="40% - Accent5 3 2 3 2" xfId="13459" xr:uid="{00000000-0005-0000-0000-00006C3D0000}"/>
    <cellStyle name="40% - Accent5 3 2 3 2 10" xfId="34801" xr:uid="{00000000-0005-0000-0000-00006D3D0000}"/>
    <cellStyle name="40% - Accent5 3 2 3 2 2" xfId="13460" xr:uid="{00000000-0005-0000-0000-00006E3D0000}"/>
    <cellStyle name="40% - Accent5 3 2 3 2 2 2" xfId="13461" xr:uid="{00000000-0005-0000-0000-00006F3D0000}"/>
    <cellStyle name="40% - Accent5 3 2 3 2 2 2 2" xfId="13462" xr:uid="{00000000-0005-0000-0000-0000703D0000}"/>
    <cellStyle name="40% - Accent5 3 2 3 2 2 2 2 2" xfId="13463" xr:uid="{00000000-0005-0000-0000-0000713D0000}"/>
    <cellStyle name="40% - Accent5 3 2 3 2 2 2 3" xfId="13464" xr:uid="{00000000-0005-0000-0000-0000723D0000}"/>
    <cellStyle name="40% - Accent5 3 2 3 2 2 2 4" xfId="13465" xr:uid="{00000000-0005-0000-0000-0000733D0000}"/>
    <cellStyle name="40% - Accent5 3 2 3 2 2 2 5" xfId="38484" xr:uid="{00000000-0005-0000-0000-0000743D0000}"/>
    <cellStyle name="40% - Accent5 3 2 3 2 2 3" xfId="13466" xr:uid="{00000000-0005-0000-0000-0000753D0000}"/>
    <cellStyle name="40% - Accent5 3 2 3 2 2 3 2" xfId="13467" xr:uid="{00000000-0005-0000-0000-0000763D0000}"/>
    <cellStyle name="40% - Accent5 3 2 3 2 2 4" xfId="13468" xr:uid="{00000000-0005-0000-0000-0000773D0000}"/>
    <cellStyle name="40% - Accent5 3 2 3 2 2 5" xfId="13469" xr:uid="{00000000-0005-0000-0000-0000783D0000}"/>
    <cellStyle name="40% - Accent5 3 2 3 2 2 6" xfId="38483" xr:uid="{00000000-0005-0000-0000-0000793D0000}"/>
    <cellStyle name="40% - Accent5 3 2 3 2 3" xfId="13470" xr:uid="{00000000-0005-0000-0000-00007A3D0000}"/>
    <cellStyle name="40% - Accent5 3 2 3 2 3 2" xfId="13471" xr:uid="{00000000-0005-0000-0000-00007B3D0000}"/>
    <cellStyle name="40% - Accent5 3 2 3 2 3 2 2" xfId="13472" xr:uid="{00000000-0005-0000-0000-00007C3D0000}"/>
    <cellStyle name="40% - Accent5 3 2 3 2 3 2 2 2" xfId="13473" xr:uid="{00000000-0005-0000-0000-00007D3D0000}"/>
    <cellStyle name="40% - Accent5 3 2 3 2 3 2 3" xfId="13474" xr:uid="{00000000-0005-0000-0000-00007E3D0000}"/>
    <cellStyle name="40% - Accent5 3 2 3 2 3 2 4" xfId="13475" xr:uid="{00000000-0005-0000-0000-00007F3D0000}"/>
    <cellStyle name="40% - Accent5 3 2 3 2 3 2 5" xfId="38486" xr:uid="{00000000-0005-0000-0000-0000803D0000}"/>
    <cellStyle name="40% - Accent5 3 2 3 2 3 3" xfId="13476" xr:uid="{00000000-0005-0000-0000-0000813D0000}"/>
    <cellStyle name="40% - Accent5 3 2 3 2 3 3 2" xfId="13477" xr:uid="{00000000-0005-0000-0000-0000823D0000}"/>
    <cellStyle name="40% - Accent5 3 2 3 2 3 4" xfId="13478" xr:uid="{00000000-0005-0000-0000-0000833D0000}"/>
    <cellStyle name="40% - Accent5 3 2 3 2 3 5" xfId="13479" xr:uid="{00000000-0005-0000-0000-0000843D0000}"/>
    <cellStyle name="40% - Accent5 3 2 3 2 3 6" xfId="38485" xr:uid="{00000000-0005-0000-0000-0000853D0000}"/>
    <cellStyle name="40% - Accent5 3 2 3 2 4" xfId="13480" xr:uid="{00000000-0005-0000-0000-0000863D0000}"/>
    <cellStyle name="40% - Accent5 3 2 3 2 4 2" xfId="13481" xr:uid="{00000000-0005-0000-0000-0000873D0000}"/>
    <cellStyle name="40% - Accent5 3 2 3 2 4 2 2" xfId="13482" xr:uid="{00000000-0005-0000-0000-0000883D0000}"/>
    <cellStyle name="40% - Accent5 3 2 3 2 4 3" xfId="13483" xr:uid="{00000000-0005-0000-0000-0000893D0000}"/>
    <cellStyle name="40% - Accent5 3 2 3 2 4 4" xfId="13484" xr:uid="{00000000-0005-0000-0000-00008A3D0000}"/>
    <cellStyle name="40% - Accent5 3 2 3 2 4 5" xfId="38487" xr:uid="{00000000-0005-0000-0000-00008B3D0000}"/>
    <cellStyle name="40% - Accent5 3 2 3 2 5" xfId="13485" xr:uid="{00000000-0005-0000-0000-00008C3D0000}"/>
    <cellStyle name="40% - Accent5 3 2 3 2 5 2" xfId="13486" xr:uid="{00000000-0005-0000-0000-00008D3D0000}"/>
    <cellStyle name="40% - Accent5 3 2 3 2 5 2 2" xfId="13487" xr:uid="{00000000-0005-0000-0000-00008E3D0000}"/>
    <cellStyle name="40% - Accent5 3 2 3 2 5 3" xfId="13488" xr:uid="{00000000-0005-0000-0000-00008F3D0000}"/>
    <cellStyle name="40% - Accent5 3 2 3 2 5 4" xfId="13489" xr:uid="{00000000-0005-0000-0000-0000903D0000}"/>
    <cellStyle name="40% - Accent5 3 2 3 2 6" xfId="13490" xr:uid="{00000000-0005-0000-0000-0000913D0000}"/>
    <cellStyle name="40% - Accent5 3 2 3 2 6 2" xfId="13491" xr:uid="{00000000-0005-0000-0000-0000923D0000}"/>
    <cellStyle name="40% - Accent5 3 2 3 2 6 2 2" xfId="13492" xr:uid="{00000000-0005-0000-0000-0000933D0000}"/>
    <cellStyle name="40% - Accent5 3 2 3 2 6 3" xfId="13493" xr:uid="{00000000-0005-0000-0000-0000943D0000}"/>
    <cellStyle name="40% - Accent5 3 2 3 2 6 4" xfId="13494" xr:uid="{00000000-0005-0000-0000-0000953D0000}"/>
    <cellStyle name="40% - Accent5 3 2 3 2 7" xfId="13495" xr:uid="{00000000-0005-0000-0000-0000963D0000}"/>
    <cellStyle name="40% - Accent5 3 2 3 2 7 2" xfId="13496" xr:uid="{00000000-0005-0000-0000-0000973D0000}"/>
    <cellStyle name="40% - Accent5 3 2 3 2 8" xfId="13497" xr:uid="{00000000-0005-0000-0000-0000983D0000}"/>
    <cellStyle name="40% - Accent5 3 2 3 2 9" xfId="13498" xr:uid="{00000000-0005-0000-0000-0000993D0000}"/>
    <cellStyle name="40% - Accent5 3 2 3 3" xfId="13499" xr:uid="{00000000-0005-0000-0000-00009A3D0000}"/>
    <cellStyle name="40% - Accent5 3 2 3 3 2" xfId="13500" xr:uid="{00000000-0005-0000-0000-00009B3D0000}"/>
    <cellStyle name="40% - Accent5 3 2 3 3 2 2" xfId="13501" xr:uid="{00000000-0005-0000-0000-00009C3D0000}"/>
    <cellStyle name="40% - Accent5 3 2 3 3 2 2 2" xfId="13502" xr:uid="{00000000-0005-0000-0000-00009D3D0000}"/>
    <cellStyle name="40% - Accent5 3 2 3 3 2 3" xfId="13503" xr:uid="{00000000-0005-0000-0000-00009E3D0000}"/>
    <cellStyle name="40% - Accent5 3 2 3 3 2 4" xfId="13504" xr:uid="{00000000-0005-0000-0000-00009F3D0000}"/>
    <cellStyle name="40% - Accent5 3 2 3 3 2 5" xfId="38489" xr:uid="{00000000-0005-0000-0000-0000A03D0000}"/>
    <cellStyle name="40% - Accent5 3 2 3 3 3" xfId="13505" xr:uid="{00000000-0005-0000-0000-0000A13D0000}"/>
    <cellStyle name="40% - Accent5 3 2 3 3 3 2" xfId="13506" xr:uid="{00000000-0005-0000-0000-0000A23D0000}"/>
    <cellStyle name="40% - Accent5 3 2 3 3 4" xfId="13507" xr:uid="{00000000-0005-0000-0000-0000A33D0000}"/>
    <cellStyle name="40% - Accent5 3 2 3 3 5" xfId="13508" xr:uid="{00000000-0005-0000-0000-0000A43D0000}"/>
    <cellStyle name="40% - Accent5 3 2 3 3 6" xfId="38488" xr:uid="{00000000-0005-0000-0000-0000A53D0000}"/>
    <cellStyle name="40% - Accent5 3 2 3 4" xfId="13509" xr:uid="{00000000-0005-0000-0000-0000A63D0000}"/>
    <cellStyle name="40% - Accent5 3 2 3 4 2" xfId="13510" xr:uid="{00000000-0005-0000-0000-0000A73D0000}"/>
    <cellStyle name="40% - Accent5 3 2 3 4 2 2" xfId="13511" xr:uid="{00000000-0005-0000-0000-0000A83D0000}"/>
    <cellStyle name="40% - Accent5 3 2 3 4 2 2 2" xfId="13512" xr:uid="{00000000-0005-0000-0000-0000A93D0000}"/>
    <cellStyle name="40% - Accent5 3 2 3 4 2 3" xfId="13513" xr:uid="{00000000-0005-0000-0000-0000AA3D0000}"/>
    <cellStyle name="40% - Accent5 3 2 3 4 2 4" xfId="13514" xr:uid="{00000000-0005-0000-0000-0000AB3D0000}"/>
    <cellStyle name="40% - Accent5 3 2 3 4 2 5" xfId="38491" xr:uid="{00000000-0005-0000-0000-0000AC3D0000}"/>
    <cellStyle name="40% - Accent5 3 2 3 4 3" xfId="13515" xr:uid="{00000000-0005-0000-0000-0000AD3D0000}"/>
    <cellStyle name="40% - Accent5 3 2 3 4 3 2" xfId="13516" xr:uid="{00000000-0005-0000-0000-0000AE3D0000}"/>
    <cellStyle name="40% - Accent5 3 2 3 4 4" xfId="13517" xr:uid="{00000000-0005-0000-0000-0000AF3D0000}"/>
    <cellStyle name="40% - Accent5 3 2 3 4 5" xfId="13518" xr:uid="{00000000-0005-0000-0000-0000B03D0000}"/>
    <cellStyle name="40% - Accent5 3 2 3 4 6" xfId="38490" xr:uid="{00000000-0005-0000-0000-0000B13D0000}"/>
    <cellStyle name="40% - Accent5 3 2 3 5" xfId="13519" xr:uid="{00000000-0005-0000-0000-0000B23D0000}"/>
    <cellStyle name="40% - Accent5 3 2 3 5 2" xfId="13520" xr:uid="{00000000-0005-0000-0000-0000B33D0000}"/>
    <cellStyle name="40% - Accent5 3 2 3 5 2 2" xfId="13521" xr:uid="{00000000-0005-0000-0000-0000B43D0000}"/>
    <cellStyle name="40% - Accent5 3 2 3 5 3" xfId="13522" xr:uid="{00000000-0005-0000-0000-0000B53D0000}"/>
    <cellStyle name="40% - Accent5 3 2 3 5 4" xfId="13523" xr:uid="{00000000-0005-0000-0000-0000B63D0000}"/>
    <cellStyle name="40% - Accent5 3 2 3 5 5" xfId="38492" xr:uid="{00000000-0005-0000-0000-0000B73D0000}"/>
    <cellStyle name="40% - Accent5 3 2 3 6" xfId="13524" xr:uid="{00000000-0005-0000-0000-0000B83D0000}"/>
    <cellStyle name="40% - Accent5 3 2 3 6 2" xfId="13525" xr:uid="{00000000-0005-0000-0000-0000B93D0000}"/>
    <cellStyle name="40% - Accent5 3 2 3 6 2 2" xfId="13526" xr:uid="{00000000-0005-0000-0000-0000BA3D0000}"/>
    <cellStyle name="40% - Accent5 3 2 3 6 3" xfId="13527" xr:uid="{00000000-0005-0000-0000-0000BB3D0000}"/>
    <cellStyle name="40% - Accent5 3 2 3 6 4" xfId="13528" xr:uid="{00000000-0005-0000-0000-0000BC3D0000}"/>
    <cellStyle name="40% - Accent5 3 2 3 7" xfId="13529" xr:uid="{00000000-0005-0000-0000-0000BD3D0000}"/>
    <cellStyle name="40% - Accent5 3 2 3 7 2" xfId="13530" xr:uid="{00000000-0005-0000-0000-0000BE3D0000}"/>
    <cellStyle name="40% - Accent5 3 2 3 7 2 2" xfId="13531" xr:uid="{00000000-0005-0000-0000-0000BF3D0000}"/>
    <cellStyle name="40% - Accent5 3 2 3 7 3" xfId="13532" xr:uid="{00000000-0005-0000-0000-0000C03D0000}"/>
    <cellStyle name="40% - Accent5 3 2 3 7 4" xfId="13533" xr:uid="{00000000-0005-0000-0000-0000C13D0000}"/>
    <cellStyle name="40% - Accent5 3 2 3 8" xfId="13534" xr:uid="{00000000-0005-0000-0000-0000C23D0000}"/>
    <cellStyle name="40% - Accent5 3 2 3 8 2" xfId="13535" xr:uid="{00000000-0005-0000-0000-0000C33D0000}"/>
    <cellStyle name="40% - Accent5 3 2 3 9" xfId="13536" xr:uid="{00000000-0005-0000-0000-0000C43D0000}"/>
    <cellStyle name="40% - Accent5 3 2 4" xfId="13537" xr:uid="{00000000-0005-0000-0000-0000C53D0000}"/>
    <cellStyle name="40% - Accent5 3 2 4 10" xfId="34802" xr:uid="{00000000-0005-0000-0000-0000C63D0000}"/>
    <cellStyle name="40% - Accent5 3 2 4 2" xfId="13538" xr:uid="{00000000-0005-0000-0000-0000C73D0000}"/>
    <cellStyle name="40% - Accent5 3 2 4 2 2" xfId="13539" xr:uid="{00000000-0005-0000-0000-0000C83D0000}"/>
    <cellStyle name="40% - Accent5 3 2 4 2 2 2" xfId="13540" xr:uid="{00000000-0005-0000-0000-0000C93D0000}"/>
    <cellStyle name="40% - Accent5 3 2 4 2 2 2 2" xfId="13541" xr:uid="{00000000-0005-0000-0000-0000CA3D0000}"/>
    <cellStyle name="40% - Accent5 3 2 4 2 2 3" xfId="13542" xr:uid="{00000000-0005-0000-0000-0000CB3D0000}"/>
    <cellStyle name="40% - Accent5 3 2 4 2 2 4" xfId="13543" xr:uid="{00000000-0005-0000-0000-0000CC3D0000}"/>
    <cellStyle name="40% - Accent5 3 2 4 2 2 5" xfId="38494" xr:uid="{00000000-0005-0000-0000-0000CD3D0000}"/>
    <cellStyle name="40% - Accent5 3 2 4 2 3" xfId="13544" xr:uid="{00000000-0005-0000-0000-0000CE3D0000}"/>
    <cellStyle name="40% - Accent5 3 2 4 2 3 2" xfId="13545" xr:uid="{00000000-0005-0000-0000-0000CF3D0000}"/>
    <cellStyle name="40% - Accent5 3 2 4 2 4" xfId="13546" xr:uid="{00000000-0005-0000-0000-0000D03D0000}"/>
    <cellStyle name="40% - Accent5 3 2 4 2 5" xfId="13547" xr:uid="{00000000-0005-0000-0000-0000D13D0000}"/>
    <cellStyle name="40% - Accent5 3 2 4 2 6" xfId="38493" xr:uid="{00000000-0005-0000-0000-0000D23D0000}"/>
    <cellStyle name="40% - Accent5 3 2 4 3" xfId="13548" xr:uid="{00000000-0005-0000-0000-0000D33D0000}"/>
    <cellStyle name="40% - Accent5 3 2 4 3 2" xfId="13549" xr:uid="{00000000-0005-0000-0000-0000D43D0000}"/>
    <cellStyle name="40% - Accent5 3 2 4 3 2 2" xfId="13550" xr:uid="{00000000-0005-0000-0000-0000D53D0000}"/>
    <cellStyle name="40% - Accent5 3 2 4 3 2 2 2" xfId="13551" xr:uid="{00000000-0005-0000-0000-0000D63D0000}"/>
    <cellStyle name="40% - Accent5 3 2 4 3 2 3" xfId="13552" xr:uid="{00000000-0005-0000-0000-0000D73D0000}"/>
    <cellStyle name="40% - Accent5 3 2 4 3 2 4" xfId="13553" xr:uid="{00000000-0005-0000-0000-0000D83D0000}"/>
    <cellStyle name="40% - Accent5 3 2 4 3 2 5" xfId="38496" xr:uid="{00000000-0005-0000-0000-0000D93D0000}"/>
    <cellStyle name="40% - Accent5 3 2 4 3 3" xfId="13554" xr:uid="{00000000-0005-0000-0000-0000DA3D0000}"/>
    <cellStyle name="40% - Accent5 3 2 4 3 3 2" xfId="13555" xr:uid="{00000000-0005-0000-0000-0000DB3D0000}"/>
    <cellStyle name="40% - Accent5 3 2 4 3 4" xfId="13556" xr:uid="{00000000-0005-0000-0000-0000DC3D0000}"/>
    <cellStyle name="40% - Accent5 3 2 4 3 5" xfId="13557" xr:uid="{00000000-0005-0000-0000-0000DD3D0000}"/>
    <cellStyle name="40% - Accent5 3 2 4 3 6" xfId="38495" xr:uid="{00000000-0005-0000-0000-0000DE3D0000}"/>
    <cellStyle name="40% - Accent5 3 2 4 4" xfId="13558" xr:uid="{00000000-0005-0000-0000-0000DF3D0000}"/>
    <cellStyle name="40% - Accent5 3 2 4 4 2" xfId="13559" xr:uid="{00000000-0005-0000-0000-0000E03D0000}"/>
    <cellStyle name="40% - Accent5 3 2 4 4 2 2" xfId="13560" xr:uid="{00000000-0005-0000-0000-0000E13D0000}"/>
    <cellStyle name="40% - Accent5 3 2 4 4 3" xfId="13561" xr:uid="{00000000-0005-0000-0000-0000E23D0000}"/>
    <cellStyle name="40% - Accent5 3 2 4 4 4" xfId="13562" xr:uid="{00000000-0005-0000-0000-0000E33D0000}"/>
    <cellStyle name="40% - Accent5 3 2 4 4 5" xfId="38497" xr:uid="{00000000-0005-0000-0000-0000E43D0000}"/>
    <cellStyle name="40% - Accent5 3 2 4 5" xfId="13563" xr:uid="{00000000-0005-0000-0000-0000E53D0000}"/>
    <cellStyle name="40% - Accent5 3 2 4 5 2" xfId="13564" xr:uid="{00000000-0005-0000-0000-0000E63D0000}"/>
    <cellStyle name="40% - Accent5 3 2 4 5 2 2" xfId="13565" xr:uid="{00000000-0005-0000-0000-0000E73D0000}"/>
    <cellStyle name="40% - Accent5 3 2 4 5 3" xfId="13566" xr:uid="{00000000-0005-0000-0000-0000E83D0000}"/>
    <cellStyle name="40% - Accent5 3 2 4 5 4" xfId="13567" xr:uid="{00000000-0005-0000-0000-0000E93D0000}"/>
    <cellStyle name="40% - Accent5 3 2 4 6" xfId="13568" xr:uid="{00000000-0005-0000-0000-0000EA3D0000}"/>
    <cellStyle name="40% - Accent5 3 2 4 6 2" xfId="13569" xr:uid="{00000000-0005-0000-0000-0000EB3D0000}"/>
    <cellStyle name="40% - Accent5 3 2 4 6 2 2" xfId="13570" xr:uid="{00000000-0005-0000-0000-0000EC3D0000}"/>
    <cellStyle name="40% - Accent5 3 2 4 6 3" xfId="13571" xr:uid="{00000000-0005-0000-0000-0000ED3D0000}"/>
    <cellStyle name="40% - Accent5 3 2 4 6 4" xfId="13572" xr:uid="{00000000-0005-0000-0000-0000EE3D0000}"/>
    <cellStyle name="40% - Accent5 3 2 4 7" xfId="13573" xr:uid="{00000000-0005-0000-0000-0000EF3D0000}"/>
    <cellStyle name="40% - Accent5 3 2 4 7 2" xfId="13574" xr:uid="{00000000-0005-0000-0000-0000F03D0000}"/>
    <cellStyle name="40% - Accent5 3 2 4 8" xfId="13575" xr:uid="{00000000-0005-0000-0000-0000F13D0000}"/>
    <cellStyle name="40% - Accent5 3 2 4 9" xfId="13576" xr:uid="{00000000-0005-0000-0000-0000F23D0000}"/>
    <cellStyle name="40% - Accent5 3 2 5" xfId="13577" xr:uid="{00000000-0005-0000-0000-0000F33D0000}"/>
    <cellStyle name="40% - Accent5 3 2 5 2" xfId="13578" xr:uid="{00000000-0005-0000-0000-0000F43D0000}"/>
    <cellStyle name="40% - Accent5 3 2 5 2 2" xfId="13579" xr:uid="{00000000-0005-0000-0000-0000F53D0000}"/>
    <cellStyle name="40% - Accent5 3 2 5 2 2 2" xfId="13580" xr:uid="{00000000-0005-0000-0000-0000F63D0000}"/>
    <cellStyle name="40% - Accent5 3 2 5 2 3" xfId="13581" xr:uid="{00000000-0005-0000-0000-0000F73D0000}"/>
    <cellStyle name="40% - Accent5 3 2 5 2 4" xfId="13582" xr:uid="{00000000-0005-0000-0000-0000F83D0000}"/>
    <cellStyle name="40% - Accent5 3 2 5 2 5" xfId="38499" xr:uid="{00000000-0005-0000-0000-0000F93D0000}"/>
    <cellStyle name="40% - Accent5 3 2 5 3" xfId="13583" xr:uid="{00000000-0005-0000-0000-0000FA3D0000}"/>
    <cellStyle name="40% - Accent5 3 2 5 3 2" xfId="13584" xr:uid="{00000000-0005-0000-0000-0000FB3D0000}"/>
    <cellStyle name="40% - Accent5 3 2 5 4" xfId="13585" xr:uid="{00000000-0005-0000-0000-0000FC3D0000}"/>
    <cellStyle name="40% - Accent5 3 2 5 5" xfId="13586" xr:uid="{00000000-0005-0000-0000-0000FD3D0000}"/>
    <cellStyle name="40% - Accent5 3 2 5 6" xfId="38498" xr:uid="{00000000-0005-0000-0000-0000FE3D0000}"/>
    <cellStyle name="40% - Accent5 3 2 6" xfId="13587" xr:uid="{00000000-0005-0000-0000-0000FF3D0000}"/>
    <cellStyle name="40% - Accent5 3 2 6 2" xfId="13588" xr:uid="{00000000-0005-0000-0000-0000003E0000}"/>
    <cellStyle name="40% - Accent5 3 2 6 2 2" xfId="13589" xr:uid="{00000000-0005-0000-0000-0000013E0000}"/>
    <cellStyle name="40% - Accent5 3 2 6 2 2 2" xfId="13590" xr:uid="{00000000-0005-0000-0000-0000023E0000}"/>
    <cellStyle name="40% - Accent5 3 2 6 2 3" xfId="13591" xr:uid="{00000000-0005-0000-0000-0000033E0000}"/>
    <cellStyle name="40% - Accent5 3 2 6 2 4" xfId="13592" xr:uid="{00000000-0005-0000-0000-0000043E0000}"/>
    <cellStyle name="40% - Accent5 3 2 6 2 5" xfId="38501" xr:uid="{00000000-0005-0000-0000-0000053E0000}"/>
    <cellStyle name="40% - Accent5 3 2 6 3" xfId="13593" xr:uid="{00000000-0005-0000-0000-0000063E0000}"/>
    <cellStyle name="40% - Accent5 3 2 6 3 2" xfId="13594" xr:uid="{00000000-0005-0000-0000-0000073E0000}"/>
    <cellStyle name="40% - Accent5 3 2 6 4" xfId="13595" xr:uid="{00000000-0005-0000-0000-0000083E0000}"/>
    <cellStyle name="40% - Accent5 3 2 6 5" xfId="13596" xr:uid="{00000000-0005-0000-0000-0000093E0000}"/>
    <cellStyle name="40% - Accent5 3 2 6 6" xfId="38500" xr:uid="{00000000-0005-0000-0000-00000A3E0000}"/>
    <cellStyle name="40% - Accent5 3 2 7" xfId="13597" xr:uid="{00000000-0005-0000-0000-00000B3E0000}"/>
    <cellStyle name="40% - Accent5 3 2 7 2" xfId="13598" xr:uid="{00000000-0005-0000-0000-00000C3E0000}"/>
    <cellStyle name="40% - Accent5 3 2 7 2 2" xfId="13599" xr:uid="{00000000-0005-0000-0000-00000D3E0000}"/>
    <cellStyle name="40% - Accent5 3 2 7 3" xfId="13600" xr:uid="{00000000-0005-0000-0000-00000E3E0000}"/>
    <cellStyle name="40% - Accent5 3 2 7 4" xfId="13601" xr:uid="{00000000-0005-0000-0000-00000F3E0000}"/>
    <cellStyle name="40% - Accent5 3 2 7 5" xfId="38502" xr:uid="{00000000-0005-0000-0000-0000103E0000}"/>
    <cellStyle name="40% - Accent5 3 2 8" xfId="13602" xr:uid="{00000000-0005-0000-0000-0000113E0000}"/>
    <cellStyle name="40% - Accent5 3 2 8 2" xfId="13603" xr:uid="{00000000-0005-0000-0000-0000123E0000}"/>
    <cellStyle name="40% - Accent5 3 2 8 2 2" xfId="13604" xr:uid="{00000000-0005-0000-0000-0000133E0000}"/>
    <cellStyle name="40% - Accent5 3 2 8 3" xfId="13605" xr:uid="{00000000-0005-0000-0000-0000143E0000}"/>
    <cellStyle name="40% - Accent5 3 2 8 4" xfId="13606" xr:uid="{00000000-0005-0000-0000-0000153E0000}"/>
    <cellStyle name="40% - Accent5 3 2 9" xfId="13607" xr:uid="{00000000-0005-0000-0000-0000163E0000}"/>
    <cellStyle name="40% - Accent5 3 2 9 2" xfId="13608" xr:uid="{00000000-0005-0000-0000-0000173E0000}"/>
    <cellStyle name="40% - Accent5 3 2 9 2 2" xfId="13609" xr:uid="{00000000-0005-0000-0000-0000183E0000}"/>
    <cellStyle name="40% - Accent5 3 2 9 3" xfId="13610" xr:uid="{00000000-0005-0000-0000-0000193E0000}"/>
    <cellStyle name="40% - Accent5 3 2 9 4" xfId="13611" xr:uid="{00000000-0005-0000-0000-00001A3E0000}"/>
    <cellStyle name="40% - Accent5 3 3" xfId="13612" xr:uid="{00000000-0005-0000-0000-00001B3E0000}"/>
    <cellStyle name="40% - Accent5 3 4" xfId="13613" xr:uid="{00000000-0005-0000-0000-00001C3E0000}"/>
    <cellStyle name="40% - Accent5 3 4 2" xfId="13614" xr:uid="{00000000-0005-0000-0000-00001D3E0000}"/>
    <cellStyle name="40% - Accent5 3 4 2 2" xfId="13615" xr:uid="{00000000-0005-0000-0000-00001E3E0000}"/>
    <cellStyle name="40% - Accent5 3 4 2 2 2" xfId="13616" xr:uid="{00000000-0005-0000-0000-00001F3E0000}"/>
    <cellStyle name="40% - Accent5 3 4 2 3" xfId="13617" xr:uid="{00000000-0005-0000-0000-0000203E0000}"/>
    <cellStyle name="40% - Accent5 3 4 2 4" xfId="13618" xr:uid="{00000000-0005-0000-0000-0000213E0000}"/>
    <cellStyle name="40% - Accent5 3 4 2 5" xfId="38504" xr:uid="{00000000-0005-0000-0000-0000223E0000}"/>
    <cellStyle name="40% - Accent5 3 4 3" xfId="13619" xr:uid="{00000000-0005-0000-0000-0000233E0000}"/>
    <cellStyle name="40% - Accent5 3 4 4" xfId="13620" xr:uid="{00000000-0005-0000-0000-0000243E0000}"/>
    <cellStyle name="40% - Accent5 3 4 4 2" xfId="13621" xr:uid="{00000000-0005-0000-0000-0000253E0000}"/>
    <cellStyle name="40% - Accent5 3 4 5" xfId="13622" xr:uid="{00000000-0005-0000-0000-0000263E0000}"/>
    <cellStyle name="40% - Accent5 3 4 6" xfId="13623" xr:uid="{00000000-0005-0000-0000-0000273E0000}"/>
    <cellStyle name="40% - Accent5 3 4 7" xfId="38503" xr:uid="{00000000-0005-0000-0000-0000283E0000}"/>
    <cellStyle name="40% - Accent5 3 5" xfId="13624" xr:uid="{00000000-0005-0000-0000-0000293E0000}"/>
    <cellStyle name="40% - Accent5 3 5 2" xfId="13625" xr:uid="{00000000-0005-0000-0000-00002A3E0000}"/>
    <cellStyle name="40% - Accent5 3 5 2 2" xfId="13626" xr:uid="{00000000-0005-0000-0000-00002B3E0000}"/>
    <cellStyle name="40% - Accent5 3 5 3" xfId="13627" xr:uid="{00000000-0005-0000-0000-00002C3E0000}"/>
    <cellStyle name="40% - Accent5 3 5 4" xfId="13628" xr:uid="{00000000-0005-0000-0000-00002D3E0000}"/>
    <cellStyle name="40% - Accent5 3 5 5" xfId="38505" xr:uid="{00000000-0005-0000-0000-00002E3E0000}"/>
    <cellStyle name="40% - Accent5 3 6" xfId="13629" xr:uid="{00000000-0005-0000-0000-00002F3E0000}"/>
    <cellStyle name="40% - Accent5 3 7" xfId="13630" xr:uid="{00000000-0005-0000-0000-0000303E0000}"/>
    <cellStyle name="40% - Accent5 3 7 2" xfId="13631" xr:uid="{00000000-0005-0000-0000-0000313E0000}"/>
    <cellStyle name="40% - Accent5 3 8" xfId="13632" xr:uid="{00000000-0005-0000-0000-0000323E0000}"/>
    <cellStyle name="40% - Accent5 3 9" xfId="13633" xr:uid="{00000000-0005-0000-0000-0000333E0000}"/>
    <cellStyle name="40% - Accent5 4" xfId="13634" xr:uid="{00000000-0005-0000-0000-0000343E0000}"/>
    <cellStyle name="40% - Accent5 4 2" xfId="13635" xr:uid="{00000000-0005-0000-0000-0000353E0000}"/>
    <cellStyle name="40% - Accent5 4 2 10" xfId="13636" xr:uid="{00000000-0005-0000-0000-0000363E0000}"/>
    <cellStyle name="40% - Accent5 4 2 11" xfId="13637" xr:uid="{00000000-0005-0000-0000-0000373E0000}"/>
    <cellStyle name="40% - Accent5 4 2 12" xfId="34804" xr:uid="{00000000-0005-0000-0000-0000383E0000}"/>
    <cellStyle name="40% - Accent5 4 2 2" xfId="13638" xr:uid="{00000000-0005-0000-0000-0000393E0000}"/>
    <cellStyle name="40% - Accent5 4 2 2 10" xfId="13639" xr:uid="{00000000-0005-0000-0000-00003A3E0000}"/>
    <cellStyle name="40% - Accent5 4 2 2 11" xfId="34805" xr:uid="{00000000-0005-0000-0000-00003B3E0000}"/>
    <cellStyle name="40% - Accent5 4 2 2 2" xfId="13640" xr:uid="{00000000-0005-0000-0000-00003C3E0000}"/>
    <cellStyle name="40% - Accent5 4 2 2 2 10" xfId="34806" xr:uid="{00000000-0005-0000-0000-00003D3E0000}"/>
    <cellStyle name="40% - Accent5 4 2 2 2 2" xfId="13641" xr:uid="{00000000-0005-0000-0000-00003E3E0000}"/>
    <cellStyle name="40% - Accent5 4 2 2 2 2 2" xfId="13642" xr:uid="{00000000-0005-0000-0000-00003F3E0000}"/>
    <cellStyle name="40% - Accent5 4 2 2 2 2 2 2" xfId="13643" xr:uid="{00000000-0005-0000-0000-0000403E0000}"/>
    <cellStyle name="40% - Accent5 4 2 2 2 2 2 2 2" xfId="13644" xr:uid="{00000000-0005-0000-0000-0000413E0000}"/>
    <cellStyle name="40% - Accent5 4 2 2 2 2 2 3" xfId="13645" xr:uid="{00000000-0005-0000-0000-0000423E0000}"/>
    <cellStyle name="40% - Accent5 4 2 2 2 2 2 4" xfId="13646" xr:uid="{00000000-0005-0000-0000-0000433E0000}"/>
    <cellStyle name="40% - Accent5 4 2 2 2 2 2 5" xfId="38507" xr:uid="{00000000-0005-0000-0000-0000443E0000}"/>
    <cellStyle name="40% - Accent5 4 2 2 2 2 3" xfId="13647" xr:uid="{00000000-0005-0000-0000-0000453E0000}"/>
    <cellStyle name="40% - Accent5 4 2 2 2 2 3 2" xfId="13648" xr:uid="{00000000-0005-0000-0000-0000463E0000}"/>
    <cellStyle name="40% - Accent5 4 2 2 2 2 4" xfId="13649" xr:uid="{00000000-0005-0000-0000-0000473E0000}"/>
    <cellStyle name="40% - Accent5 4 2 2 2 2 5" xfId="13650" xr:uid="{00000000-0005-0000-0000-0000483E0000}"/>
    <cellStyle name="40% - Accent5 4 2 2 2 2 6" xfId="38506" xr:uid="{00000000-0005-0000-0000-0000493E0000}"/>
    <cellStyle name="40% - Accent5 4 2 2 2 3" xfId="13651" xr:uid="{00000000-0005-0000-0000-00004A3E0000}"/>
    <cellStyle name="40% - Accent5 4 2 2 2 3 2" xfId="13652" xr:uid="{00000000-0005-0000-0000-00004B3E0000}"/>
    <cellStyle name="40% - Accent5 4 2 2 2 3 2 2" xfId="13653" xr:uid="{00000000-0005-0000-0000-00004C3E0000}"/>
    <cellStyle name="40% - Accent5 4 2 2 2 3 2 2 2" xfId="13654" xr:uid="{00000000-0005-0000-0000-00004D3E0000}"/>
    <cellStyle name="40% - Accent5 4 2 2 2 3 2 3" xfId="13655" xr:uid="{00000000-0005-0000-0000-00004E3E0000}"/>
    <cellStyle name="40% - Accent5 4 2 2 2 3 2 4" xfId="13656" xr:uid="{00000000-0005-0000-0000-00004F3E0000}"/>
    <cellStyle name="40% - Accent5 4 2 2 2 3 2 5" xfId="38509" xr:uid="{00000000-0005-0000-0000-0000503E0000}"/>
    <cellStyle name="40% - Accent5 4 2 2 2 3 3" xfId="13657" xr:uid="{00000000-0005-0000-0000-0000513E0000}"/>
    <cellStyle name="40% - Accent5 4 2 2 2 3 3 2" xfId="13658" xr:uid="{00000000-0005-0000-0000-0000523E0000}"/>
    <cellStyle name="40% - Accent5 4 2 2 2 3 4" xfId="13659" xr:uid="{00000000-0005-0000-0000-0000533E0000}"/>
    <cellStyle name="40% - Accent5 4 2 2 2 3 5" xfId="13660" xr:uid="{00000000-0005-0000-0000-0000543E0000}"/>
    <cellStyle name="40% - Accent5 4 2 2 2 3 6" xfId="38508" xr:uid="{00000000-0005-0000-0000-0000553E0000}"/>
    <cellStyle name="40% - Accent5 4 2 2 2 4" xfId="13661" xr:uid="{00000000-0005-0000-0000-0000563E0000}"/>
    <cellStyle name="40% - Accent5 4 2 2 2 4 2" xfId="13662" xr:uid="{00000000-0005-0000-0000-0000573E0000}"/>
    <cellStyle name="40% - Accent5 4 2 2 2 4 2 2" xfId="13663" xr:uid="{00000000-0005-0000-0000-0000583E0000}"/>
    <cellStyle name="40% - Accent5 4 2 2 2 4 3" xfId="13664" xr:uid="{00000000-0005-0000-0000-0000593E0000}"/>
    <cellStyle name="40% - Accent5 4 2 2 2 4 4" xfId="13665" xr:uid="{00000000-0005-0000-0000-00005A3E0000}"/>
    <cellStyle name="40% - Accent5 4 2 2 2 4 5" xfId="38510" xr:uid="{00000000-0005-0000-0000-00005B3E0000}"/>
    <cellStyle name="40% - Accent5 4 2 2 2 5" xfId="13666" xr:uid="{00000000-0005-0000-0000-00005C3E0000}"/>
    <cellStyle name="40% - Accent5 4 2 2 2 5 2" xfId="13667" xr:uid="{00000000-0005-0000-0000-00005D3E0000}"/>
    <cellStyle name="40% - Accent5 4 2 2 2 5 2 2" xfId="13668" xr:uid="{00000000-0005-0000-0000-00005E3E0000}"/>
    <cellStyle name="40% - Accent5 4 2 2 2 5 3" xfId="13669" xr:uid="{00000000-0005-0000-0000-00005F3E0000}"/>
    <cellStyle name="40% - Accent5 4 2 2 2 5 4" xfId="13670" xr:uid="{00000000-0005-0000-0000-0000603E0000}"/>
    <cellStyle name="40% - Accent5 4 2 2 2 6" xfId="13671" xr:uid="{00000000-0005-0000-0000-0000613E0000}"/>
    <cellStyle name="40% - Accent5 4 2 2 2 6 2" xfId="13672" xr:uid="{00000000-0005-0000-0000-0000623E0000}"/>
    <cellStyle name="40% - Accent5 4 2 2 2 6 2 2" xfId="13673" xr:uid="{00000000-0005-0000-0000-0000633E0000}"/>
    <cellStyle name="40% - Accent5 4 2 2 2 6 3" xfId="13674" xr:uid="{00000000-0005-0000-0000-0000643E0000}"/>
    <cellStyle name="40% - Accent5 4 2 2 2 6 4" xfId="13675" xr:uid="{00000000-0005-0000-0000-0000653E0000}"/>
    <cellStyle name="40% - Accent5 4 2 2 2 7" xfId="13676" xr:uid="{00000000-0005-0000-0000-0000663E0000}"/>
    <cellStyle name="40% - Accent5 4 2 2 2 7 2" xfId="13677" xr:uid="{00000000-0005-0000-0000-0000673E0000}"/>
    <cellStyle name="40% - Accent5 4 2 2 2 8" xfId="13678" xr:uid="{00000000-0005-0000-0000-0000683E0000}"/>
    <cellStyle name="40% - Accent5 4 2 2 2 9" xfId="13679" xr:uid="{00000000-0005-0000-0000-0000693E0000}"/>
    <cellStyle name="40% - Accent5 4 2 2 3" xfId="13680" xr:uid="{00000000-0005-0000-0000-00006A3E0000}"/>
    <cellStyle name="40% - Accent5 4 2 2 3 2" xfId="13681" xr:uid="{00000000-0005-0000-0000-00006B3E0000}"/>
    <cellStyle name="40% - Accent5 4 2 2 3 2 2" xfId="13682" xr:uid="{00000000-0005-0000-0000-00006C3E0000}"/>
    <cellStyle name="40% - Accent5 4 2 2 3 2 2 2" xfId="13683" xr:uid="{00000000-0005-0000-0000-00006D3E0000}"/>
    <cellStyle name="40% - Accent5 4 2 2 3 2 3" xfId="13684" xr:uid="{00000000-0005-0000-0000-00006E3E0000}"/>
    <cellStyle name="40% - Accent5 4 2 2 3 2 4" xfId="13685" xr:uid="{00000000-0005-0000-0000-00006F3E0000}"/>
    <cellStyle name="40% - Accent5 4 2 2 3 2 5" xfId="38512" xr:uid="{00000000-0005-0000-0000-0000703E0000}"/>
    <cellStyle name="40% - Accent5 4 2 2 3 3" xfId="13686" xr:uid="{00000000-0005-0000-0000-0000713E0000}"/>
    <cellStyle name="40% - Accent5 4 2 2 3 3 2" xfId="13687" xr:uid="{00000000-0005-0000-0000-0000723E0000}"/>
    <cellStyle name="40% - Accent5 4 2 2 3 4" xfId="13688" xr:uid="{00000000-0005-0000-0000-0000733E0000}"/>
    <cellStyle name="40% - Accent5 4 2 2 3 5" xfId="13689" xr:uid="{00000000-0005-0000-0000-0000743E0000}"/>
    <cellStyle name="40% - Accent5 4 2 2 3 6" xfId="38511" xr:uid="{00000000-0005-0000-0000-0000753E0000}"/>
    <cellStyle name="40% - Accent5 4 2 2 4" xfId="13690" xr:uid="{00000000-0005-0000-0000-0000763E0000}"/>
    <cellStyle name="40% - Accent5 4 2 2 4 2" xfId="13691" xr:uid="{00000000-0005-0000-0000-0000773E0000}"/>
    <cellStyle name="40% - Accent5 4 2 2 4 2 2" xfId="13692" xr:uid="{00000000-0005-0000-0000-0000783E0000}"/>
    <cellStyle name="40% - Accent5 4 2 2 4 2 2 2" xfId="13693" xr:uid="{00000000-0005-0000-0000-0000793E0000}"/>
    <cellStyle name="40% - Accent5 4 2 2 4 2 3" xfId="13694" xr:uid="{00000000-0005-0000-0000-00007A3E0000}"/>
    <cellStyle name="40% - Accent5 4 2 2 4 2 4" xfId="13695" xr:uid="{00000000-0005-0000-0000-00007B3E0000}"/>
    <cellStyle name="40% - Accent5 4 2 2 4 2 5" xfId="38514" xr:uid="{00000000-0005-0000-0000-00007C3E0000}"/>
    <cellStyle name="40% - Accent5 4 2 2 4 3" xfId="13696" xr:uid="{00000000-0005-0000-0000-00007D3E0000}"/>
    <cellStyle name="40% - Accent5 4 2 2 4 3 2" xfId="13697" xr:uid="{00000000-0005-0000-0000-00007E3E0000}"/>
    <cellStyle name="40% - Accent5 4 2 2 4 4" xfId="13698" xr:uid="{00000000-0005-0000-0000-00007F3E0000}"/>
    <cellStyle name="40% - Accent5 4 2 2 4 5" xfId="13699" xr:uid="{00000000-0005-0000-0000-0000803E0000}"/>
    <cellStyle name="40% - Accent5 4 2 2 4 6" xfId="38513" xr:uid="{00000000-0005-0000-0000-0000813E0000}"/>
    <cellStyle name="40% - Accent5 4 2 2 5" xfId="13700" xr:uid="{00000000-0005-0000-0000-0000823E0000}"/>
    <cellStyle name="40% - Accent5 4 2 2 5 2" xfId="13701" xr:uid="{00000000-0005-0000-0000-0000833E0000}"/>
    <cellStyle name="40% - Accent5 4 2 2 5 2 2" xfId="13702" xr:uid="{00000000-0005-0000-0000-0000843E0000}"/>
    <cellStyle name="40% - Accent5 4 2 2 5 3" xfId="13703" xr:uid="{00000000-0005-0000-0000-0000853E0000}"/>
    <cellStyle name="40% - Accent5 4 2 2 5 4" xfId="13704" xr:uid="{00000000-0005-0000-0000-0000863E0000}"/>
    <cellStyle name="40% - Accent5 4 2 2 5 5" xfId="38515" xr:uid="{00000000-0005-0000-0000-0000873E0000}"/>
    <cellStyle name="40% - Accent5 4 2 2 6" xfId="13705" xr:uid="{00000000-0005-0000-0000-0000883E0000}"/>
    <cellStyle name="40% - Accent5 4 2 2 6 2" xfId="13706" xr:uid="{00000000-0005-0000-0000-0000893E0000}"/>
    <cellStyle name="40% - Accent5 4 2 2 6 2 2" xfId="13707" xr:uid="{00000000-0005-0000-0000-00008A3E0000}"/>
    <cellStyle name="40% - Accent5 4 2 2 6 3" xfId="13708" xr:uid="{00000000-0005-0000-0000-00008B3E0000}"/>
    <cellStyle name="40% - Accent5 4 2 2 6 4" xfId="13709" xr:uid="{00000000-0005-0000-0000-00008C3E0000}"/>
    <cellStyle name="40% - Accent5 4 2 2 7" xfId="13710" xr:uid="{00000000-0005-0000-0000-00008D3E0000}"/>
    <cellStyle name="40% - Accent5 4 2 2 7 2" xfId="13711" xr:uid="{00000000-0005-0000-0000-00008E3E0000}"/>
    <cellStyle name="40% - Accent5 4 2 2 7 2 2" xfId="13712" xr:uid="{00000000-0005-0000-0000-00008F3E0000}"/>
    <cellStyle name="40% - Accent5 4 2 2 7 3" xfId="13713" xr:uid="{00000000-0005-0000-0000-0000903E0000}"/>
    <cellStyle name="40% - Accent5 4 2 2 7 4" xfId="13714" xr:uid="{00000000-0005-0000-0000-0000913E0000}"/>
    <cellStyle name="40% - Accent5 4 2 2 8" xfId="13715" xr:uid="{00000000-0005-0000-0000-0000923E0000}"/>
    <cellStyle name="40% - Accent5 4 2 2 8 2" xfId="13716" xr:uid="{00000000-0005-0000-0000-0000933E0000}"/>
    <cellStyle name="40% - Accent5 4 2 2 9" xfId="13717" xr:uid="{00000000-0005-0000-0000-0000943E0000}"/>
    <cellStyle name="40% - Accent5 4 2 3" xfId="13718" xr:uid="{00000000-0005-0000-0000-0000953E0000}"/>
    <cellStyle name="40% - Accent5 4 2 3 10" xfId="34807" xr:uid="{00000000-0005-0000-0000-0000963E0000}"/>
    <cellStyle name="40% - Accent5 4 2 3 2" xfId="13719" xr:uid="{00000000-0005-0000-0000-0000973E0000}"/>
    <cellStyle name="40% - Accent5 4 2 3 2 2" xfId="13720" xr:uid="{00000000-0005-0000-0000-0000983E0000}"/>
    <cellStyle name="40% - Accent5 4 2 3 2 2 2" xfId="13721" xr:uid="{00000000-0005-0000-0000-0000993E0000}"/>
    <cellStyle name="40% - Accent5 4 2 3 2 2 2 2" xfId="13722" xr:uid="{00000000-0005-0000-0000-00009A3E0000}"/>
    <cellStyle name="40% - Accent5 4 2 3 2 2 3" xfId="13723" xr:uid="{00000000-0005-0000-0000-00009B3E0000}"/>
    <cellStyle name="40% - Accent5 4 2 3 2 2 4" xfId="13724" xr:uid="{00000000-0005-0000-0000-00009C3E0000}"/>
    <cellStyle name="40% - Accent5 4 2 3 2 2 5" xfId="38517" xr:uid="{00000000-0005-0000-0000-00009D3E0000}"/>
    <cellStyle name="40% - Accent5 4 2 3 2 3" xfId="13725" xr:uid="{00000000-0005-0000-0000-00009E3E0000}"/>
    <cellStyle name="40% - Accent5 4 2 3 2 3 2" xfId="13726" xr:uid="{00000000-0005-0000-0000-00009F3E0000}"/>
    <cellStyle name="40% - Accent5 4 2 3 2 4" xfId="13727" xr:uid="{00000000-0005-0000-0000-0000A03E0000}"/>
    <cellStyle name="40% - Accent5 4 2 3 2 5" xfId="13728" xr:uid="{00000000-0005-0000-0000-0000A13E0000}"/>
    <cellStyle name="40% - Accent5 4 2 3 2 6" xfId="38516" xr:uid="{00000000-0005-0000-0000-0000A23E0000}"/>
    <cellStyle name="40% - Accent5 4 2 3 3" xfId="13729" xr:uid="{00000000-0005-0000-0000-0000A33E0000}"/>
    <cellStyle name="40% - Accent5 4 2 3 3 2" xfId="13730" xr:uid="{00000000-0005-0000-0000-0000A43E0000}"/>
    <cellStyle name="40% - Accent5 4 2 3 3 2 2" xfId="13731" xr:uid="{00000000-0005-0000-0000-0000A53E0000}"/>
    <cellStyle name="40% - Accent5 4 2 3 3 2 2 2" xfId="13732" xr:uid="{00000000-0005-0000-0000-0000A63E0000}"/>
    <cellStyle name="40% - Accent5 4 2 3 3 2 3" xfId="13733" xr:uid="{00000000-0005-0000-0000-0000A73E0000}"/>
    <cellStyle name="40% - Accent5 4 2 3 3 2 4" xfId="13734" xr:uid="{00000000-0005-0000-0000-0000A83E0000}"/>
    <cellStyle name="40% - Accent5 4 2 3 3 2 5" xfId="38519" xr:uid="{00000000-0005-0000-0000-0000A93E0000}"/>
    <cellStyle name="40% - Accent5 4 2 3 3 3" xfId="13735" xr:uid="{00000000-0005-0000-0000-0000AA3E0000}"/>
    <cellStyle name="40% - Accent5 4 2 3 3 3 2" xfId="13736" xr:uid="{00000000-0005-0000-0000-0000AB3E0000}"/>
    <cellStyle name="40% - Accent5 4 2 3 3 4" xfId="13737" xr:uid="{00000000-0005-0000-0000-0000AC3E0000}"/>
    <cellStyle name="40% - Accent5 4 2 3 3 5" xfId="13738" xr:uid="{00000000-0005-0000-0000-0000AD3E0000}"/>
    <cellStyle name="40% - Accent5 4 2 3 3 6" xfId="38518" xr:uid="{00000000-0005-0000-0000-0000AE3E0000}"/>
    <cellStyle name="40% - Accent5 4 2 3 4" xfId="13739" xr:uid="{00000000-0005-0000-0000-0000AF3E0000}"/>
    <cellStyle name="40% - Accent5 4 2 3 4 2" xfId="13740" xr:uid="{00000000-0005-0000-0000-0000B03E0000}"/>
    <cellStyle name="40% - Accent5 4 2 3 4 2 2" xfId="13741" xr:uid="{00000000-0005-0000-0000-0000B13E0000}"/>
    <cellStyle name="40% - Accent5 4 2 3 4 3" xfId="13742" xr:uid="{00000000-0005-0000-0000-0000B23E0000}"/>
    <cellStyle name="40% - Accent5 4 2 3 4 4" xfId="13743" xr:uid="{00000000-0005-0000-0000-0000B33E0000}"/>
    <cellStyle name="40% - Accent5 4 2 3 4 5" xfId="38520" xr:uid="{00000000-0005-0000-0000-0000B43E0000}"/>
    <cellStyle name="40% - Accent5 4 2 3 5" xfId="13744" xr:uid="{00000000-0005-0000-0000-0000B53E0000}"/>
    <cellStyle name="40% - Accent5 4 2 3 5 2" xfId="13745" xr:uid="{00000000-0005-0000-0000-0000B63E0000}"/>
    <cellStyle name="40% - Accent5 4 2 3 5 2 2" xfId="13746" xr:uid="{00000000-0005-0000-0000-0000B73E0000}"/>
    <cellStyle name="40% - Accent5 4 2 3 5 3" xfId="13747" xr:uid="{00000000-0005-0000-0000-0000B83E0000}"/>
    <cellStyle name="40% - Accent5 4 2 3 5 4" xfId="13748" xr:uid="{00000000-0005-0000-0000-0000B93E0000}"/>
    <cellStyle name="40% - Accent5 4 2 3 6" xfId="13749" xr:uid="{00000000-0005-0000-0000-0000BA3E0000}"/>
    <cellStyle name="40% - Accent5 4 2 3 6 2" xfId="13750" xr:uid="{00000000-0005-0000-0000-0000BB3E0000}"/>
    <cellStyle name="40% - Accent5 4 2 3 6 2 2" xfId="13751" xr:uid="{00000000-0005-0000-0000-0000BC3E0000}"/>
    <cellStyle name="40% - Accent5 4 2 3 6 3" xfId="13752" xr:uid="{00000000-0005-0000-0000-0000BD3E0000}"/>
    <cellStyle name="40% - Accent5 4 2 3 6 4" xfId="13753" xr:uid="{00000000-0005-0000-0000-0000BE3E0000}"/>
    <cellStyle name="40% - Accent5 4 2 3 7" xfId="13754" xr:uid="{00000000-0005-0000-0000-0000BF3E0000}"/>
    <cellStyle name="40% - Accent5 4 2 3 7 2" xfId="13755" xr:uid="{00000000-0005-0000-0000-0000C03E0000}"/>
    <cellStyle name="40% - Accent5 4 2 3 8" xfId="13756" xr:uid="{00000000-0005-0000-0000-0000C13E0000}"/>
    <cellStyle name="40% - Accent5 4 2 3 9" xfId="13757" xr:uid="{00000000-0005-0000-0000-0000C23E0000}"/>
    <cellStyle name="40% - Accent5 4 2 4" xfId="13758" xr:uid="{00000000-0005-0000-0000-0000C33E0000}"/>
    <cellStyle name="40% - Accent5 4 2 4 2" xfId="13759" xr:uid="{00000000-0005-0000-0000-0000C43E0000}"/>
    <cellStyle name="40% - Accent5 4 2 4 2 2" xfId="13760" xr:uid="{00000000-0005-0000-0000-0000C53E0000}"/>
    <cellStyle name="40% - Accent5 4 2 4 2 2 2" xfId="13761" xr:uid="{00000000-0005-0000-0000-0000C63E0000}"/>
    <cellStyle name="40% - Accent5 4 2 4 2 3" xfId="13762" xr:uid="{00000000-0005-0000-0000-0000C73E0000}"/>
    <cellStyle name="40% - Accent5 4 2 4 2 4" xfId="13763" xr:uid="{00000000-0005-0000-0000-0000C83E0000}"/>
    <cellStyle name="40% - Accent5 4 2 4 2 5" xfId="38522" xr:uid="{00000000-0005-0000-0000-0000C93E0000}"/>
    <cellStyle name="40% - Accent5 4 2 4 3" xfId="13764" xr:uid="{00000000-0005-0000-0000-0000CA3E0000}"/>
    <cellStyle name="40% - Accent5 4 2 4 3 2" xfId="13765" xr:uid="{00000000-0005-0000-0000-0000CB3E0000}"/>
    <cellStyle name="40% - Accent5 4 2 4 4" xfId="13766" xr:uid="{00000000-0005-0000-0000-0000CC3E0000}"/>
    <cellStyle name="40% - Accent5 4 2 4 5" xfId="13767" xr:uid="{00000000-0005-0000-0000-0000CD3E0000}"/>
    <cellStyle name="40% - Accent5 4 2 4 6" xfId="38521" xr:uid="{00000000-0005-0000-0000-0000CE3E0000}"/>
    <cellStyle name="40% - Accent5 4 2 5" xfId="13768" xr:uid="{00000000-0005-0000-0000-0000CF3E0000}"/>
    <cellStyle name="40% - Accent5 4 2 5 2" xfId="13769" xr:uid="{00000000-0005-0000-0000-0000D03E0000}"/>
    <cellStyle name="40% - Accent5 4 2 5 2 2" xfId="13770" xr:uid="{00000000-0005-0000-0000-0000D13E0000}"/>
    <cellStyle name="40% - Accent5 4 2 5 2 2 2" xfId="13771" xr:uid="{00000000-0005-0000-0000-0000D23E0000}"/>
    <cellStyle name="40% - Accent5 4 2 5 2 3" xfId="13772" xr:uid="{00000000-0005-0000-0000-0000D33E0000}"/>
    <cellStyle name="40% - Accent5 4 2 5 2 4" xfId="13773" xr:uid="{00000000-0005-0000-0000-0000D43E0000}"/>
    <cellStyle name="40% - Accent5 4 2 5 2 5" xfId="38524" xr:uid="{00000000-0005-0000-0000-0000D53E0000}"/>
    <cellStyle name="40% - Accent5 4 2 5 3" xfId="13774" xr:uid="{00000000-0005-0000-0000-0000D63E0000}"/>
    <cellStyle name="40% - Accent5 4 2 5 3 2" xfId="13775" xr:uid="{00000000-0005-0000-0000-0000D73E0000}"/>
    <cellStyle name="40% - Accent5 4 2 5 4" xfId="13776" xr:uid="{00000000-0005-0000-0000-0000D83E0000}"/>
    <cellStyle name="40% - Accent5 4 2 5 5" xfId="13777" xr:uid="{00000000-0005-0000-0000-0000D93E0000}"/>
    <cellStyle name="40% - Accent5 4 2 5 6" xfId="38523" xr:uid="{00000000-0005-0000-0000-0000DA3E0000}"/>
    <cellStyle name="40% - Accent5 4 2 6" xfId="13778" xr:uid="{00000000-0005-0000-0000-0000DB3E0000}"/>
    <cellStyle name="40% - Accent5 4 2 6 2" xfId="13779" xr:uid="{00000000-0005-0000-0000-0000DC3E0000}"/>
    <cellStyle name="40% - Accent5 4 2 6 2 2" xfId="13780" xr:uid="{00000000-0005-0000-0000-0000DD3E0000}"/>
    <cellStyle name="40% - Accent5 4 2 6 3" xfId="13781" xr:uid="{00000000-0005-0000-0000-0000DE3E0000}"/>
    <cellStyle name="40% - Accent5 4 2 6 4" xfId="13782" xr:uid="{00000000-0005-0000-0000-0000DF3E0000}"/>
    <cellStyle name="40% - Accent5 4 2 6 5" xfId="38525" xr:uid="{00000000-0005-0000-0000-0000E03E0000}"/>
    <cellStyle name="40% - Accent5 4 2 7" xfId="13783" xr:uid="{00000000-0005-0000-0000-0000E13E0000}"/>
    <cellStyle name="40% - Accent5 4 2 7 2" xfId="13784" xr:uid="{00000000-0005-0000-0000-0000E23E0000}"/>
    <cellStyle name="40% - Accent5 4 2 7 2 2" xfId="13785" xr:uid="{00000000-0005-0000-0000-0000E33E0000}"/>
    <cellStyle name="40% - Accent5 4 2 7 3" xfId="13786" xr:uid="{00000000-0005-0000-0000-0000E43E0000}"/>
    <cellStyle name="40% - Accent5 4 2 7 4" xfId="13787" xr:uid="{00000000-0005-0000-0000-0000E53E0000}"/>
    <cellStyle name="40% - Accent5 4 2 8" xfId="13788" xr:uid="{00000000-0005-0000-0000-0000E63E0000}"/>
    <cellStyle name="40% - Accent5 4 2 8 2" xfId="13789" xr:uid="{00000000-0005-0000-0000-0000E73E0000}"/>
    <cellStyle name="40% - Accent5 4 2 8 2 2" xfId="13790" xr:uid="{00000000-0005-0000-0000-0000E83E0000}"/>
    <cellStyle name="40% - Accent5 4 2 8 3" xfId="13791" xr:uid="{00000000-0005-0000-0000-0000E93E0000}"/>
    <cellStyle name="40% - Accent5 4 2 8 4" xfId="13792" xr:uid="{00000000-0005-0000-0000-0000EA3E0000}"/>
    <cellStyle name="40% - Accent5 4 2 9" xfId="13793" xr:uid="{00000000-0005-0000-0000-0000EB3E0000}"/>
    <cellStyle name="40% - Accent5 4 2 9 2" xfId="13794" xr:uid="{00000000-0005-0000-0000-0000EC3E0000}"/>
    <cellStyle name="40% - Accent5 4 3" xfId="13795" xr:uid="{00000000-0005-0000-0000-0000ED3E0000}"/>
    <cellStyle name="40% - Accent5 4 3 10" xfId="13796" xr:uid="{00000000-0005-0000-0000-0000EE3E0000}"/>
    <cellStyle name="40% - Accent5 4 3 11" xfId="34808" xr:uid="{00000000-0005-0000-0000-0000EF3E0000}"/>
    <cellStyle name="40% - Accent5 4 3 2" xfId="13797" xr:uid="{00000000-0005-0000-0000-0000F03E0000}"/>
    <cellStyle name="40% - Accent5 4 3 2 10" xfId="34809" xr:uid="{00000000-0005-0000-0000-0000F13E0000}"/>
    <cellStyle name="40% - Accent5 4 3 2 2" xfId="13798" xr:uid="{00000000-0005-0000-0000-0000F23E0000}"/>
    <cellStyle name="40% - Accent5 4 3 2 2 2" xfId="13799" xr:uid="{00000000-0005-0000-0000-0000F33E0000}"/>
    <cellStyle name="40% - Accent5 4 3 2 2 2 2" xfId="13800" xr:uid="{00000000-0005-0000-0000-0000F43E0000}"/>
    <cellStyle name="40% - Accent5 4 3 2 2 2 2 2" xfId="13801" xr:uid="{00000000-0005-0000-0000-0000F53E0000}"/>
    <cellStyle name="40% - Accent5 4 3 2 2 2 3" xfId="13802" xr:uid="{00000000-0005-0000-0000-0000F63E0000}"/>
    <cellStyle name="40% - Accent5 4 3 2 2 2 4" xfId="13803" xr:uid="{00000000-0005-0000-0000-0000F73E0000}"/>
    <cellStyle name="40% - Accent5 4 3 2 2 2 5" xfId="38527" xr:uid="{00000000-0005-0000-0000-0000F83E0000}"/>
    <cellStyle name="40% - Accent5 4 3 2 2 3" xfId="13804" xr:uid="{00000000-0005-0000-0000-0000F93E0000}"/>
    <cellStyle name="40% - Accent5 4 3 2 2 3 2" xfId="13805" xr:uid="{00000000-0005-0000-0000-0000FA3E0000}"/>
    <cellStyle name="40% - Accent5 4 3 2 2 4" xfId="13806" xr:uid="{00000000-0005-0000-0000-0000FB3E0000}"/>
    <cellStyle name="40% - Accent5 4 3 2 2 5" xfId="13807" xr:uid="{00000000-0005-0000-0000-0000FC3E0000}"/>
    <cellStyle name="40% - Accent5 4 3 2 2 6" xfId="38526" xr:uid="{00000000-0005-0000-0000-0000FD3E0000}"/>
    <cellStyle name="40% - Accent5 4 3 2 3" xfId="13808" xr:uid="{00000000-0005-0000-0000-0000FE3E0000}"/>
    <cellStyle name="40% - Accent5 4 3 2 3 2" xfId="13809" xr:uid="{00000000-0005-0000-0000-0000FF3E0000}"/>
    <cellStyle name="40% - Accent5 4 3 2 3 2 2" xfId="13810" xr:uid="{00000000-0005-0000-0000-0000003F0000}"/>
    <cellStyle name="40% - Accent5 4 3 2 3 2 2 2" xfId="13811" xr:uid="{00000000-0005-0000-0000-0000013F0000}"/>
    <cellStyle name="40% - Accent5 4 3 2 3 2 3" xfId="13812" xr:uid="{00000000-0005-0000-0000-0000023F0000}"/>
    <cellStyle name="40% - Accent5 4 3 2 3 2 4" xfId="13813" xr:uid="{00000000-0005-0000-0000-0000033F0000}"/>
    <cellStyle name="40% - Accent5 4 3 2 3 2 5" xfId="38529" xr:uid="{00000000-0005-0000-0000-0000043F0000}"/>
    <cellStyle name="40% - Accent5 4 3 2 3 3" xfId="13814" xr:uid="{00000000-0005-0000-0000-0000053F0000}"/>
    <cellStyle name="40% - Accent5 4 3 2 3 3 2" xfId="13815" xr:uid="{00000000-0005-0000-0000-0000063F0000}"/>
    <cellStyle name="40% - Accent5 4 3 2 3 4" xfId="13816" xr:uid="{00000000-0005-0000-0000-0000073F0000}"/>
    <cellStyle name="40% - Accent5 4 3 2 3 5" xfId="13817" xr:uid="{00000000-0005-0000-0000-0000083F0000}"/>
    <cellStyle name="40% - Accent5 4 3 2 3 6" xfId="38528" xr:uid="{00000000-0005-0000-0000-0000093F0000}"/>
    <cellStyle name="40% - Accent5 4 3 2 4" xfId="13818" xr:uid="{00000000-0005-0000-0000-00000A3F0000}"/>
    <cellStyle name="40% - Accent5 4 3 2 4 2" xfId="13819" xr:uid="{00000000-0005-0000-0000-00000B3F0000}"/>
    <cellStyle name="40% - Accent5 4 3 2 4 2 2" xfId="13820" xr:uid="{00000000-0005-0000-0000-00000C3F0000}"/>
    <cellStyle name="40% - Accent5 4 3 2 4 3" xfId="13821" xr:uid="{00000000-0005-0000-0000-00000D3F0000}"/>
    <cellStyle name="40% - Accent5 4 3 2 4 4" xfId="13822" xr:uid="{00000000-0005-0000-0000-00000E3F0000}"/>
    <cellStyle name="40% - Accent5 4 3 2 4 5" xfId="38530" xr:uid="{00000000-0005-0000-0000-00000F3F0000}"/>
    <cellStyle name="40% - Accent5 4 3 2 5" xfId="13823" xr:uid="{00000000-0005-0000-0000-0000103F0000}"/>
    <cellStyle name="40% - Accent5 4 3 2 5 2" xfId="13824" xr:uid="{00000000-0005-0000-0000-0000113F0000}"/>
    <cellStyle name="40% - Accent5 4 3 2 5 2 2" xfId="13825" xr:uid="{00000000-0005-0000-0000-0000123F0000}"/>
    <cellStyle name="40% - Accent5 4 3 2 5 3" xfId="13826" xr:uid="{00000000-0005-0000-0000-0000133F0000}"/>
    <cellStyle name="40% - Accent5 4 3 2 5 4" xfId="13827" xr:uid="{00000000-0005-0000-0000-0000143F0000}"/>
    <cellStyle name="40% - Accent5 4 3 2 6" xfId="13828" xr:uid="{00000000-0005-0000-0000-0000153F0000}"/>
    <cellStyle name="40% - Accent5 4 3 2 6 2" xfId="13829" xr:uid="{00000000-0005-0000-0000-0000163F0000}"/>
    <cellStyle name="40% - Accent5 4 3 2 6 2 2" xfId="13830" xr:uid="{00000000-0005-0000-0000-0000173F0000}"/>
    <cellStyle name="40% - Accent5 4 3 2 6 3" xfId="13831" xr:uid="{00000000-0005-0000-0000-0000183F0000}"/>
    <cellStyle name="40% - Accent5 4 3 2 6 4" xfId="13832" xr:uid="{00000000-0005-0000-0000-0000193F0000}"/>
    <cellStyle name="40% - Accent5 4 3 2 7" xfId="13833" xr:uid="{00000000-0005-0000-0000-00001A3F0000}"/>
    <cellStyle name="40% - Accent5 4 3 2 7 2" xfId="13834" xr:uid="{00000000-0005-0000-0000-00001B3F0000}"/>
    <cellStyle name="40% - Accent5 4 3 2 8" xfId="13835" xr:uid="{00000000-0005-0000-0000-00001C3F0000}"/>
    <cellStyle name="40% - Accent5 4 3 2 9" xfId="13836" xr:uid="{00000000-0005-0000-0000-00001D3F0000}"/>
    <cellStyle name="40% - Accent5 4 3 3" xfId="13837" xr:uid="{00000000-0005-0000-0000-00001E3F0000}"/>
    <cellStyle name="40% - Accent5 4 3 3 2" xfId="13838" xr:uid="{00000000-0005-0000-0000-00001F3F0000}"/>
    <cellStyle name="40% - Accent5 4 3 3 2 2" xfId="13839" xr:uid="{00000000-0005-0000-0000-0000203F0000}"/>
    <cellStyle name="40% - Accent5 4 3 3 2 2 2" xfId="13840" xr:uid="{00000000-0005-0000-0000-0000213F0000}"/>
    <cellStyle name="40% - Accent5 4 3 3 2 3" xfId="13841" xr:uid="{00000000-0005-0000-0000-0000223F0000}"/>
    <cellStyle name="40% - Accent5 4 3 3 2 4" xfId="13842" xr:uid="{00000000-0005-0000-0000-0000233F0000}"/>
    <cellStyle name="40% - Accent5 4 3 3 2 5" xfId="38532" xr:uid="{00000000-0005-0000-0000-0000243F0000}"/>
    <cellStyle name="40% - Accent5 4 3 3 3" xfId="13843" xr:uid="{00000000-0005-0000-0000-0000253F0000}"/>
    <cellStyle name="40% - Accent5 4 3 3 3 2" xfId="13844" xr:uid="{00000000-0005-0000-0000-0000263F0000}"/>
    <cellStyle name="40% - Accent5 4 3 3 4" xfId="13845" xr:uid="{00000000-0005-0000-0000-0000273F0000}"/>
    <cellStyle name="40% - Accent5 4 3 3 5" xfId="13846" xr:uid="{00000000-0005-0000-0000-0000283F0000}"/>
    <cellStyle name="40% - Accent5 4 3 3 6" xfId="38531" xr:uid="{00000000-0005-0000-0000-0000293F0000}"/>
    <cellStyle name="40% - Accent5 4 3 4" xfId="13847" xr:uid="{00000000-0005-0000-0000-00002A3F0000}"/>
    <cellStyle name="40% - Accent5 4 3 4 2" xfId="13848" xr:uid="{00000000-0005-0000-0000-00002B3F0000}"/>
    <cellStyle name="40% - Accent5 4 3 4 2 2" xfId="13849" xr:uid="{00000000-0005-0000-0000-00002C3F0000}"/>
    <cellStyle name="40% - Accent5 4 3 4 2 2 2" xfId="13850" xr:uid="{00000000-0005-0000-0000-00002D3F0000}"/>
    <cellStyle name="40% - Accent5 4 3 4 2 3" xfId="13851" xr:uid="{00000000-0005-0000-0000-00002E3F0000}"/>
    <cellStyle name="40% - Accent5 4 3 4 2 4" xfId="13852" xr:uid="{00000000-0005-0000-0000-00002F3F0000}"/>
    <cellStyle name="40% - Accent5 4 3 4 2 5" xfId="38534" xr:uid="{00000000-0005-0000-0000-0000303F0000}"/>
    <cellStyle name="40% - Accent5 4 3 4 3" xfId="13853" xr:uid="{00000000-0005-0000-0000-0000313F0000}"/>
    <cellStyle name="40% - Accent5 4 3 4 3 2" xfId="13854" xr:uid="{00000000-0005-0000-0000-0000323F0000}"/>
    <cellStyle name="40% - Accent5 4 3 4 4" xfId="13855" xr:uid="{00000000-0005-0000-0000-0000333F0000}"/>
    <cellStyle name="40% - Accent5 4 3 4 5" xfId="13856" xr:uid="{00000000-0005-0000-0000-0000343F0000}"/>
    <cellStyle name="40% - Accent5 4 3 4 6" xfId="38533" xr:uid="{00000000-0005-0000-0000-0000353F0000}"/>
    <cellStyle name="40% - Accent5 4 3 5" xfId="13857" xr:uid="{00000000-0005-0000-0000-0000363F0000}"/>
    <cellStyle name="40% - Accent5 4 3 5 2" xfId="13858" xr:uid="{00000000-0005-0000-0000-0000373F0000}"/>
    <cellStyle name="40% - Accent5 4 3 5 2 2" xfId="13859" xr:uid="{00000000-0005-0000-0000-0000383F0000}"/>
    <cellStyle name="40% - Accent5 4 3 5 3" xfId="13860" xr:uid="{00000000-0005-0000-0000-0000393F0000}"/>
    <cellStyle name="40% - Accent5 4 3 5 4" xfId="13861" xr:uid="{00000000-0005-0000-0000-00003A3F0000}"/>
    <cellStyle name="40% - Accent5 4 3 5 5" xfId="38535" xr:uid="{00000000-0005-0000-0000-00003B3F0000}"/>
    <cellStyle name="40% - Accent5 4 3 6" xfId="13862" xr:uid="{00000000-0005-0000-0000-00003C3F0000}"/>
    <cellStyle name="40% - Accent5 4 3 6 2" xfId="13863" xr:uid="{00000000-0005-0000-0000-00003D3F0000}"/>
    <cellStyle name="40% - Accent5 4 3 6 2 2" xfId="13864" xr:uid="{00000000-0005-0000-0000-00003E3F0000}"/>
    <cellStyle name="40% - Accent5 4 3 6 3" xfId="13865" xr:uid="{00000000-0005-0000-0000-00003F3F0000}"/>
    <cellStyle name="40% - Accent5 4 3 6 4" xfId="13866" xr:uid="{00000000-0005-0000-0000-0000403F0000}"/>
    <cellStyle name="40% - Accent5 4 3 7" xfId="13867" xr:uid="{00000000-0005-0000-0000-0000413F0000}"/>
    <cellStyle name="40% - Accent5 4 3 7 2" xfId="13868" xr:uid="{00000000-0005-0000-0000-0000423F0000}"/>
    <cellStyle name="40% - Accent5 4 3 7 2 2" xfId="13869" xr:uid="{00000000-0005-0000-0000-0000433F0000}"/>
    <cellStyle name="40% - Accent5 4 3 7 3" xfId="13870" xr:uid="{00000000-0005-0000-0000-0000443F0000}"/>
    <cellStyle name="40% - Accent5 4 3 7 4" xfId="13871" xr:uid="{00000000-0005-0000-0000-0000453F0000}"/>
    <cellStyle name="40% - Accent5 4 3 8" xfId="13872" xr:uid="{00000000-0005-0000-0000-0000463F0000}"/>
    <cellStyle name="40% - Accent5 4 3 8 2" xfId="13873" xr:uid="{00000000-0005-0000-0000-0000473F0000}"/>
    <cellStyle name="40% - Accent5 4 3 9" xfId="13874" xr:uid="{00000000-0005-0000-0000-0000483F0000}"/>
    <cellStyle name="40% - Accent5 4 4" xfId="13875" xr:uid="{00000000-0005-0000-0000-0000493F0000}"/>
    <cellStyle name="40% - Accent5 4 4 10" xfId="34810" xr:uid="{00000000-0005-0000-0000-00004A3F0000}"/>
    <cellStyle name="40% - Accent5 4 4 2" xfId="13876" xr:uid="{00000000-0005-0000-0000-00004B3F0000}"/>
    <cellStyle name="40% - Accent5 4 4 2 2" xfId="13877" xr:uid="{00000000-0005-0000-0000-00004C3F0000}"/>
    <cellStyle name="40% - Accent5 4 4 2 2 2" xfId="13878" xr:uid="{00000000-0005-0000-0000-00004D3F0000}"/>
    <cellStyle name="40% - Accent5 4 4 2 2 2 2" xfId="13879" xr:uid="{00000000-0005-0000-0000-00004E3F0000}"/>
    <cellStyle name="40% - Accent5 4 4 2 2 3" xfId="13880" xr:uid="{00000000-0005-0000-0000-00004F3F0000}"/>
    <cellStyle name="40% - Accent5 4 4 2 2 4" xfId="13881" xr:uid="{00000000-0005-0000-0000-0000503F0000}"/>
    <cellStyle name="40% - Accent5 4 4 2 2 5" xfId="38537" xr:uid="{00000000-0005-0000-0000-0000513F0000}"/>
    <cellStyle name="40% - Accent5 4 4 2 3" xfId="13882" xr:uid="{00000000-0005-0000-0000-0000523F0000}"/>
    <cellStyle name="40% - Accent5 4 4 2 3 2" xfId="13883" xr:uid="{00000000-0005-0000-0000-0000533F0000}"/>
    <cellStyle name="40% - Accent5 4 4 2 4" xfId="13884" xr:uid="{00000000-0005-0000-0000-0000543F0000}"/>
    <cellStyle name="40% - Accent5 4 4 2 5" xfId="13885" xr:uid="{00000000-0005-0000-0000-0000553F0000}"/>
    <cellStyle name="40% - Accent5 4 4 2 6" xfId="38536" xr:uid="{00000000-0005-0000-0000-0000563F0000}"/>
    <cellStyle name="40% - Accent5 4 4 3" xfId="13886" xr:uid="{00000000-0005-0000-0000-0000573F0000}"/>
    <cellStyle name="40% - Accent5 4 4 3 2" xfId="13887" xr:uid="{00000000-0005-0000-0000-0000583F0000}"/>
    <cellStyle name="40% - Accent5 4 4 3 2 2" xfId="13888" xr:uid="{00000000-0005-0000-0000-0000593F0000}"/>
    <cellStyle name="40% - Accent5 4 4 3 2 2 2" xfId="13889" xr:uid="{00000000-0005-0000-0000-00005A3F0000}"/>
    <cellStyle name="40% - Accent5 4 4 3 2 3" xfId="13890" xr:uid="{00000000-0005-0000-0000-00005B3F0000}"/>
    <cellStyle name="40% - Accent5 4 4 3 2 4" xfId="13891" xr:uid="{00000000-0005-0000-0000-00005C3F0000}"/>
    <cellStyle name="40% - Accent5 4 4 3 2 5" xfId="38539" xr:uid="{00000000-0005-0000-0000-00005D3F0000}"/>
    <cellStyle name="40% - Accent5 4 4 3 3" xfId="13892" xr:uid="{00000000-0005-0000-0000-00005E3F0000}"/>
    <cellStyle name="40% - Accent5 4 4 3 3 2" xfId="13893" xr:uid="{00000000-0005-0000-0000-00005F3F0000}"/>
    <cellStyle name="40% - Accent5 4 4 3 4" xfId="13894" xr:uid="{00000000-0005-0000-0000-0000603F0000}"/>
    <cellStyle name="40% - Accent5 4 4 3 5" xfId="13895" xr:uid="{00000000-0005-0000-0000-0000613F0000}"/>
    <cellStyle name="40% - Accent5 4 4 3 6" xfId="38538" xr:uid="{00000000-0005-0000-0000-0000623F0000}"/>
    <cellStyle name="40% - Accent5 4 4 4" xfId="13896" xr:uid="{00000000-0005-0000-0000-0000633F0000}"/>
    <cellStyle name="40% - Accent5 4 4 4 2" xfId="13897" xr:uid="{00000000-0005-0000-0000-0000643F0000}"/>
    <cellStyle name="40% - Accent5 4 4 4 2 2" xfId="13898" xr:uid="{00000000-0005-0000-0000-0000653F0000}"/>
    <cellStyle name="40% - Accent5 4 4 4 3" xfId="13899" xr:uid="{00000000-0005-0000-0000-0000663F0000}"/>
    <cellStyle name="40% - Accent5 4 4 4 4" xfId="13900" xr:uid="{00000000-0005-0000-0000-0000673F0000}"/>
    <cellStyle name="40% - Accent5 4 4 4 5" xfId="38540" xr:uid="{00000000-0005-0000-0000-0000683F0000}"/>
    <cellStyle name="40% - Accent5 4 4 5" xfId="13901" xr:uid="{00000000-0005-0000-0000-0000693F0000}"/>
    <cellStyle name="40% - Accent5 4 4 5 2" xfId="13902" xr:uid="{00000000-0005-0000-0000-00006A3F0000}"/>
    <cellStyle name="40% - Accent5 4 4 5 2 2" xfId="13903" xr:uid="{00000000-0005-0000-0000-00006B3F0000}"/>
    <cellStyle name="40% - Accent5 4 4 5 3" xfId="13904" xr:uid="{00000000-0005-0000-0000-00006C3F0000}"/>
    <cellStyle name="40% - Accent5 4 4 5 4" xfId="13905" xr:uid="{00000000-0005-0000-0000-00006D3F0000}"/>
    <cellStyle name="40% - Accent5 4 4 6" xfId="13906" xr:uid="{00000000-0005-0000-0000-00006E3F0000}"/>
    <cellStyle name="40% - Accent5 4 4 6 2" xfId="13907" xr:uid="{00000000-0005-0000-0000-00006F3F0000}"/>
    <cellStyle name="40% - Accent5 4 4 6 2 2" xfId="13908" xr:uid="{00000000-0005-0000-0000-0000703F0000}"/>
    <cellStyle name="40% - Accent5 4 4 6 3" xfId="13909" xr:uid="{00000000-0005-0000-0000-0000713F0000}"/>
    <cellStyle name="40% - Accent5 4 4 6 4" xfId="13910" xr:uid="{00000000-0005-0000-0000-0000723F0000}"/>
    <cellStyle name="40% - Accent5 4 4 7" xfId="13911" xr:uid="{00000000-0005-0000-0000-0000733F0000}"/>
    <cellStyle name="40% - Accent5 4 4 7 2" xfId="13912" xr:uid="{00000000-0005-0000-0000-0000743F0000}"/>
    <cellStyle name="40% - Accent5 4 4 8" xfId="13913" xr:uid="{00000000-0005-0000-0000-0000753F0000}"/>
    <cellStyle name="40% - Accent5 4 4 9" xfId="13914" xr:uid="{00000000-0005-0000-0000-0000763F0000}"/>
    <cellStyle name="40% - Accent5 4 5" xfId="13915" xr:uid="{00000000-0005-0000-0000-0000773F0000}"/>
    <cellStyle name="40% - Accent5 4 5 2" xfId="13916" xr:uid="{00000000-0005-0000-0000-0000783F0000}"/>
    <cellStyle name="40% - Accent5 4 5 2 2" xfId="13917" xr:uid="{00000000-0005-0000-0000-0000793F0000}"/>
    <cellStyle name="40% - Accent5 4 5 2 2 2" xfId="13918" xr:uid="{00000000-0005-0000-0000-00007A3F0000}"/>
    <cellStyle name="40% - Accent5 4 5 2 2 2 2" xfId="13919" xr:uid="{00000000-0005-0000-0000-00007B3F0000}"/>
    <cellStyle name="40% - Accent5 4 5 2 2 3" xfId="13920" xr:uid="{00000000-0005-0000-0000-00007C3F0000}"/>
    <cellStyle name="40% - Accent5 4 5 2 2 4" xfId="13921" xr:uid="{00000000-0005-0000-0000-00007D3F0000}"/>
    <cellStyle name="40% - Accent5 4 5 2 2 5" xfId="38543" xr:uid="{00000000-0005-0000-0000-00007E3F0000}"/>
    <cellStyle name="40% - Accent5 4 5 2 3" xfId="13922" xr:uid="{00000000-0005-0000-0000-00007F3F0000}"/>
    <cellStyle name="40% - Accent5 4 5 2 3 2" xfId="13923" xr:uid="{00000000-0005-0000-0000-0000803F0000}"/>
    <cellStyle name="40% - Accent5 4 5 2 4" xfId="13924" xr:uid="{00000000-0005-0000-0000-0000813F0000}"/>
    <cellStyle name="40% - Accent5 4 5 2 5" xfId="13925" xr:uid="{00000000-0005-0000-0000-0000823F0000}"/>
    <cellStyle name="40% - Accent5 4 5 2 6" xfId="38542" xr:uid="{00000000-0005-0000-0000-0000833F0000}"/>
    <cellStyle name="40% - Accent5 4 5 3" xfId="13926" xr:uid="{00000000-0005-0000-0000-0000843F0000}"/>
    <cellStyle name="40% - Accent5 4 5 3 2" xfId="13927" xr:uid="{00000000-0005-0000-0000-0000853F0000}"/>
    <cellStyle name="40% - Accent5 4 5 3 2 2" xfId="13928" xr:uid="{00000000-0005-0000-0000-0000863F0000}"/>
    <cellStyle name="40% - Accent5 4 5 3 3" xfId="13929" xr:uid="{00000000-0005-0000-0000-0000873F0000}"/>
    <cellStyle name="40% - Accent5 4 5 3 4" xfId="13930" xr:uid="{00000000-0005-0000-0000-0000883F0000}"/>
    <cellStyle name="40% - Accent5 4 5 3 5" xfId="38544" xr:uid="{00000000-0005-0000-0000-0000893F0000}"/>
    <cellStyle name="40% - Accent5 4 5 4" xfId="13931" xr:uid="{00000000-0005-0000-0000-00008A3F0000}"/>
    <cellStyle name="40% - Accent5 4 5 5" xfId="13932" xr:uid="{00000000-0005-0000-0000-00008B3F0000}"/>
    <cellStyle name="40% - Accent5 4 5 5 2" xfId="13933" xr:uid="{00000000-0005-0000-0000-00008C3F0000}"/>
    <cellStyle name="40% - Accent5 4 5 6" xfId="13934" xr:uid="{00000000-0005-0000-0000-00008D3F0000}"/>
    <cellStyle name="40% - Accent5 4 5 7" xfId="13935" xr:uid="{00000000-0005-0000-0000-00008E3F0000}"/>
    <cellStyle name="40% - Accent5 4 5 8" xfId="38541" xr:uid="{00000000-0005-0000-0000-00008F3F0000}"/>
    <cellStyle name="40% - Accent5 4 6" xfId="13936" xr:uid="{00000000-0005-0000-0000-0000903F0000}"/>
    <cellStyle name="40% - Accent5 4 6 2" xfId="13937" xr:uid="{00000000-0005-0000-0000-0000913F0000}"/>
    <cellStyle name="40% - Accent5 4 6 2 2" xfId="13938" xr:uid="{00000000-0005-0000-0000-0000923F0000}"/>
    <cellStyle name="40% - Accent5 4 6 2 2 2" xfId="13939" xr:uid="{00000000-0005-0000-0000-0000933F0000}"/>
    <cellStyle name="40% - Accent5 4 6 2 3" xfId="13940" xr:uid="{00000000-0005-0000-0000-0000943F0000}"/>
    <cellStyle name="40% - Accent5 4 6 2 4" xfId="13941" xr:uid="{00000000-0005-0000-0000-0000953F0000}"/>
    <cellStyle name="40% - Accent5 4 6 2 5" xfId="38546" xr:uid="{00000000-0005-0000-0000-0000963F0000}"/>
    <cellStyle name="40% - Accent5 4 6 3" xfId="13942" xr:uid="{00000000-0005-0000-0000-0000973F0000}"/>
    <cellStyle name="40% - Accent5 4 6 3 2" xfId="13943" xr:uid="{00000000-0005-0000-0000-0000983F0000}"/>
    <cellStyle name="40% - Accent5 4 6 3 2 2" xfId="13944" xr:uid="{00000000-0005-0000-0000-0000993F0000}"/>
    <cellStyle name="40% - Accent5 4 6 3 3" xfId="13945" xr:uid="{00000000-0005-0000-0000-00009A3F0000}"/>
    <cellStyle name="40% - Accent5 4 6 3 4" xfId="13946" xr:uid="{00000000-0005-0000-0000-00009B3F0000}"/>
    <cellStyle name="40% - Accent5 4 6 3 5" xfId="38547" xr:uid="{00000000-0005-0000-0000-00009C3F0000}"/>
    <cellStyle name="40% - Accent5 4 6 4" xfId="13947" xr:uid="{00000000-0005-0000-0000-00009D3F0000}"/>
    <cellStyle name="40% - Accent5 4 6 4 2" xfId="13948" xr:uid="{00000000-0005-0000-0000-00009E3F0000}"/>
    <cellStyle name="40% - Accent5 4 6 5" xfId="13949" xr:uid="{00000000-0005-0000-0000-00009F3F0000}"/>
    <cellStyle name="40% - Accent5 4 6 6" xfId="13950" xr:uid="{00000000-0005-0000-0000-0000A03F0000}"/>
    <cellStyle name="40% - Accent5 4 6 7" xfId="38545" xr:uid="{00000000-0005-0000-0000-0000A13F0000}"/>
    <cellStyle name="40% - Accent5 4 7" xfId="13951" xr:uid="{00000000-0005-0000-0000-0000A23F0000}"/>
    <cellStyle name="40% - Accent5 4 7 2" xfId="13952" xr:uid="{00000000-0005-0000-0000-0000A33F0000}"/>
    <cellStyle name="40% - Accent5 4 7 2 2" xfId="13953" xr:uid="{00000000-0005-0000-0000-0000A43F0000}"/>
    <cellStyle name="40% - Accent5 4 7 3" xfId="13954" xr:uid="{00000000-0005-0000-0000-0000A53F0000}"/>
    <cellStyle name="40% - Accent5 4 7 4" xfId="13955" xr:uid="{00000000-0005-0000-0000-0000A63F0000}"/>
    <cellStyle name="40% - Accent5 4 8" xfId="13956" xr:uid="{00000000-0005-0000-0000-0000A73F0000}"/>
    <cellStyle name="40% - Accent5 4 8 2" xfId="13957" xr:uid="{00000000-0005-0000-0000-0000A83F0000}"/>
    <cellStyle name="40% - Accent5 4 8 2 2" xfId="13958" xr:uid="{00000000-0005-0000-0000-0000A93F0000}"/>
    <cellStyle name="40% - Accent5 4 8 3" xfId="13959" xr:uid="{00000000-0005-0000-0000-0000AA3F0000}"/>
    <cellStyle name="40% - Accent5 4 8 4" xfId="13960" xr:uid="{00000000-0005-0000-0000-0000AB3F0000}"/>
    <cellStyle name="40% - Accent5 4 9" xfId="34803" xr:uid="{00000000-0005-0000-0000-0000AC3F0000}"/>
    <cellStyle name="40% - Accent5 5" xfId="13961" xr:uid="{00000000-0005-0000-0000-0000AD3F0000}"/>
    <cellStyle name="40% - Accent5 5 2" xfId="13962" xr:uid="{00000000-0005-0000-0000-0000AE3F0000}"/>
    <cellStyle name="40% - Accent5 5 2 10" xfId="13963" xr:uid="{00000000-0005-0000-0000-0000AF3F0000}"/>
    <cellStyle name="40% - Accent5 5 2 11" xfId="13964" xr:uid="{00000000-0005-0000-0000-0000B03F0000}"/>
    <cellStyle name="40% - Accent5 5 2 12" xfId="34812" xr:uid="{00000000-0005-0000-0000-0000B13F0000}"/>
    <cellStyle name="40% - Accent5 5 2 2" xfId="13965" xr:uid="{00000000-0005-0000-0000-0000B23F0000}"/>
    <cellStyle name="40% - Accent5 5 2 2 10" xfId="13966" xr:uid="{00000000-0005-0000-0000-0000B33F0000}"/>
    <cellStyle name="40% - Accent5 5 2 2 11" xfId="34813" xr:uid="{00000000-0005-0000-0000-0000B43F0000}"/>
    <cellStyle name="40% - Accent5 5 2 2 2" xfId="13967" xr:uid="{00000000-0005-0000-0000-0000B53F0000}"/>
    <cellStyle name="40% - Accent5 5 2 2 2 10" xfId="34814" xr:uid="{00000000-0005-0000-0000-0000B63F0000}"/>
    <cellStyle name="40% - Accent5 5 2 2 2 2" xfId="13968" xr:uid="{00000000-0005-0000-0000-0000B73F0000}"/>
    <cellStyle name="40% - Accent5 5 2 2 2 2 2" xfId="13969" xr:uid="{00000000-0005-0000-0000-0000B83F0000}"/>
    <cellStyle name="40% - Accent5 5 2 2 2 2 2 2" xfId="13970" xr:uid="{00000000-0005-0000-0000-0000B93F0000}"/>
    <cellStyle name="40% - Accent5 5 2 2 2 2 2 2 2" xfId="13971" xr:uid="{00000000-0005-0000-0000-0000BA3F0000}"/>
    <cellStyle name="40% - Accent5 5 2 2 2 2 2 3" xfId="13972" xr:uid="{00000000-0005-0000-0000-0000BB3F0000}"/>
    <cellStyle name="40% - Accent5 5 2 2 2 2 2 4" xfId="13973" xr:uid="{00000000-0005-0000-0000-0000BC3F0000}"/>
    <cellStyle name="40% - Accent5 5 2 2 2 2 2 5" xfId="38549" xr:uid="{00000000-0005-0000-0000-0000BD3F0000}"/>
    <cellStyle name="40% - Accent5 5 2 2 2 2 3" xfId="13974" xr:uid="{00000000-0005-0000-0000-0000BE3F0000}"/>
    <cellStyle name="40% - Accent5 5 2 2 2 2 3 2" xfId="13975" xr:uid="{00000000-0005-0000-0000-0000BF3F0000}"/>
    <cellStyle name="40% - Accent5 5 2 2 2 2 4" xfId="13976" xr:uid="{00000000-0005-0000-0000-0000C03F0000}"/>
    <cellStyle name="40% - Accent5 5 2 2 2 2 5" xfId="13977" xr:uid="{00000000-0005-0000-0000-0000C13F0000}"/>
    <cellStyle name="40% - Accent5 5 2 2 2 2 6" xfId="38548" xr:uid="{00000000-0005-0000-0000-0000C23F0000}"/>
    <cellStyle name="40% - Accent5 5 2 2 2 3" xfId="13978" xr:uid="{00000000-0005-0000-0000-0000C33F0000}"/>
    <cellStyle name="40% - Accent5 5 2 2 2 3 2" xfId="13979" xr:uid="{00000000-0005-0000-0000-0000C43F0000}"/>
    <cellStyle name="40% - Accent5 5 2 2 2 3 2 2" xfId="13980" xr:uid="{00000000-0005-0000-0000-0000C53F0000}"/>
    <cellStyle name="40% - Accent5 5 2 2 2 3 2 2 2" xfId="13981" xr:uid="{00000000-0005-0000-0000-0000C63F0000}"/>
    <cellStyle name="40% - Accent5 5 2 2 2 3 2 3" xfId="13982" xr:uid="{00000000-0005-0000-0000-0000C73F0000}"/>
    <cellStyle name="40% - Accent5 5 2 2 2 3 2 4" xfId="13983" xr:uid="{00000000-0005-0000-0000-0000C83F0000}"/>
    <cellStyle name="40% - Accent5 5 2 2 2 3 2 5" xfId="38551" xr:uid="{00000000-0005-0000-0000-0000C93F0000}"/>
    <cellStyle name="40% - Accent5 5 2 2 2 3 3" xfId="13984" xr:uid="{00000000-0005-0000-0000-0000CA3F0000}"/>
    <cellStyle name="40% - Accent5 5 2 2 2 3 3 2" xfId="13985" xr:uid="{00000000-0005-0000-0000-0000CB3F0000}"/>
    <cellStyle name="40% - Accent5 5 2 2 2 3 4" xfId="13986" xr:uid="{00000000-0005-0000-0000-0000CC3F0000}"/>
    <cellStyle name="40% - Accent5 5 2 2 2 3 5" xfId="13987" xr:uid="{00000000-0005-0000-0000-0000CD3F0000}"/>
    <cellStyle name="40% - Accent5 5 2 2 2 3 6" xfId="38550" xr:uid="{00000000-0005-0000-0000-0000CE3F0000}"/>
    <cellStyle name="40% - Accent5 5 2 2 2 4" xfId="13988" xr:uid="{00000000-0005-0000-0000-0000CF3F0000}"/>
    <cellStyle name="40% - Accent5 5 2 2 2 4 2" xfId="13989" xr:uid="{00000000-0005-0000-0000-0000D03F0000}"/>
    <cellStyle name="40% - Accent5 5 2 2 2 4 2 2" xfId="13990" xr:uid="{00000000-0005-0000-0000-0000D13F0000}"/>
    <cellStyle name="40% - Accent5 5 2 2 2 4 3" xfId="13991" xr:uid="{00000000-0005-0000-0000-0000D23F0000}"/>
    <cellStyle name="40% - Accent5 5 2 2 2 4 4" xfId="13992" xr:uid="{00000000-0005-0000-0000-0000D33F0000}"/>
    <cellStyle name="40% - Accent5 5 2 2 2 4 5" xfId="38552" xr:uid="{00000000-0005-0000-0000-0000D43F0000}"/>
    <cellStyle name="40% - Accent5 5 2 2 2 5" xfId="13993" xr:uid="{00000000-0005-0000-0000-0000D53F0000}"/>
    <cellStyle name="40% - Accent5 5 2 2 2 5 2" xfId="13994" xr:uid="{00000000-0005-0000-0000-0000D63F0000}"/>
    <cellStyle name="40% - Accent5 5 2 2 2 5 2 2" xfId="13995" xr:uid="{00000000-0005-0000-0000-0000D73F0000}"/>
    <cellStyle name="40% - Accent5 5 2 2 2 5 3" xfId="13996" xr:uid="{00000000-0005-0000-0000-0000D83F0000}"/>
    <cellStyle name="40% - Accent5 5 2 2 2 5 4" xfId="13997" xr:uid="{00000000-0005-0000-0000-0000D93F0000}"/>
    <cellStyle name="40% - Accent5 5 2 2 2 6" xfId="13998" xr:uid="{00000000-0005-0000-0000-0000DA3F0000}"/>
    <cellStyle name="40% - Accent5 5 2 2 2 6 2" xfId="13999" xr:uid="{00000000-0005-0000-0000-0000DB3F0000}"/>
    <cellStyle name="40% - Accent5 5 2 2 2 6 2 2" xfId="14000" xr:uid="{00000000-0005-0000-0000-0000DC3F0000}"/>
    <cellStyle name="40% - Accent5 5 2 2 2 6 3" xfId="14001" xr:uid="{00000000-0005-0000-0000-0000DD3F0000}"/>
    <cellStyle name="40% - Accent5 5 2 2 2 6 4" xfId="14002" xr:uid="{00000000-0005-0000-0000-0000DE3F0000}"/>
    <cellStyle name="40% - Accent5 5 2 2 2 7" xfId="14003" xr:uid="{00000000-0005-0000-0000-0000DF3F0000}"/>
    <cellStyle name="40% - Accent5 5 2 2 2 7 2" xfId="14004" xr:uid="{00000000-0005-0000-0000-0000E03F0000}"/>
    <cellStyle name="40% - Accent5 5 2 2 2 8" xfId="14005" xr:uid="{00000000-0005-0000-0000-0000E13F0000}"/>
    <cellStyle name="40% - Accent5 5 2 2 2 9" xfId="14006" xr:uid="{00000000-0005-0000-0000-0000E23F0000}"/>
    <cellStyle name="40% - Accent5 5 2 2 3" xfId="14007" xr:uid="{00000000-0005-0000-0000-0000E33F0000}"/>
    <cellStyle name="40% - Accent5 5 2 2 3 2" xfId="14008" xr:uid="{00000000-0005-0000-0000-0000E43F0000}"/>
    <cellStyle name="40% - Accent5 5 2 2 3 2 2" xfId="14009" xr:uid="{00000000-0005-0000-0000-0000E53F0000}"/>
    <cellStyle name="40% - Accent5 5 2 2 3 2 2 2" xfId="14010" xr:uid="{00000000-0005-0000-0000-0000E63F0000}"/>
    <cellStyle name="40% - Accent5 5 2 2 3 2 3" xfId="14011" xr:uid="{00000000-0005-0000-0000-0000E73F0000}"/>
    <cellStyle name="40% - Accent5 5 2 2 3 2 4" xfId="14012" xr:uid="{00000000-0005-0000-0000-0000E83F0000}"/>
    <cellStyle name="40% - Accent5 5 2 2 3 2 5" xfId="38554" xr:uid="{00000000-0005-0000-0000-0000E93F0000}"/>
    <cellStyle name="40% - Accent5 5 2 2 3 3" xfId="14013" xr:uid="{00000000-0005-0000-0000-0000EA3F0000}"/>
    <cellStyle name="40% - Accent5 5 2 2 3 3 2" xfId="14014" xr:uid="{00000000-0005-0000-0000-0000EB3F0000}"/>
    <cellStyle name="40% - Accent5 5 2 2 3 4" xfId="14015" xr:uid="{00000000-0005-0000-0000-0000EC3F0000}"/>
    <cellStyle name="40% - Accent5 5 2 2 3 5" xfId="14016" xr:uid="{00000000-0005-0000-0000-0000ED3F0000}"/>
    <cellStyle name="40% - Accent5 5 2 2 3 6" xfId="38553" xr:uid="{00000000-0005-0000-0000-0000EE3F0000}"/>
    <cellStyle name="40% - Accent5 5 2 2 4" xfId="14017" xr:uid="{00000000-0005-0000-0000-0000EF3F0000}"/>
    <cellStyle name="40% - Accent5 5 2 2 4 2" xfId="14018" xr:uid="{00000000-0005-0000-0000-0000F03F0000}"/>
    <cellStyle name="40% - Accent5 5 2 2 4 2 2" xfId="14019" xr:uid="{00000000-0005-0000-0000-0000F13F0000}"/>
    <cellStyle name="40% - Accent5 5 2 2 4 2 2 2" xfId="14020" xr:uid="{00000000-0005-0000-0000-0000F23F0000}"/>
    <cellStyle name="40% - Accent5 5 2 2 4 2 3" xfId="14021" xr:uid="{00000000-0005-0000-0000-0000F33F0000}"/>
    <cellStyle name="40% - Accent5 5 2 2 4 2 4" xfId="14022" xr:uid="{00000000-0005-0000-0000-0000F43F0000}"/>
    <cellStyle name="40% - Accent5 5 2 2 4 2 5" xfId="38556" xr:uid="{00000000-0005-0000-0000-0000F53F0000}"/>
    <cellStyle name="40% - Accent5 5 2 2 4 3" xfId="14023" xr:uid="{00000000-0005-0000-0000-0000F63F0000}"/>
    <cellStyle name="40% - Accent5 5 2 2 4 3 2" xfId="14024" xr:uid="{00000000-0005-0000-0000-0000F73F0000}"/>
    <cellStyle name="40% - Accent5 5 2 2 4 4" xfId="14025" xr:uid="{00000000-0005-0000-0000-0000F83F0000}"/>
    <cellStyle name="40% - Accent5 5 2 2 4 5" xfId="14026" xr:uid="{00000000-0005-0000-0000-0000F93F0000}"/>
    <cellStyle name="40% - Accent5 5 2 2 4 6" xfId="38555" xr:uid="{00000000-0005-0000-0000-0000FA3F0000}"/>
    <cellStyle name="40% - Accent5 5 2 2 5" xfId="14027" xr:uid="{00000000-0005-0000-0000-0000FB3F0000}"/>
    <cellStyle name="40% - Accent5 5 2 2 5 2" xfId="14028" xr:uid="{00000000-0005-0000-0000-0000FC3F0000}"/>
    <cellStyle name="40% - Accent5 5 2 2 5 2 2" xfId="14029" xr:uid="{00000000-0005-0000-0000-0000FD3F0000}"/>
    <cellStyle name="40% - Accent5 5 2 2 5 3" xfId="14030" xr:uid="{00000000-0005-0000-0000-0000FE3F0000}"/>
    <cellStyle name="40% - Accent5 5 2 2 5 4" xfId="14031" xr:uid="{00000000-0005-0000-0000-0000FF3F0000}"/>
    <cellStyle name="40% - Accent5 5 2 2 5 5" xfId="38557" xr:uid="{00000000-0005-0000-0000-000000400000}"/>
    <cellStyle name="40% - Accent5 5 2 2 6" xfId="14032" xr:uid="{00000000-0005-0000-0000-000001400000}"/>
    <cellStyle name="40% - Accent5 5 2 2 6 2" xfId="14033" xr:uid="{00000000-0005-0000-0000-000002400000}"/>
    <cellStyle name="40% - Accent5 5 2 2 6 2 2" xfId="14034" xr:uid="{00000000-0005-0000-0000-000003400000}"/>
    <cellStyle name="40% - Accent5 5 2 2 6 3" xfId="14035" xr:uid="{00000000-0005-0000-0000-000004400000}"/>
    <cellStyle name="40% - Accent5 5 2 2 6 4" xfId="14036" xr:uid="{00000000-0005-0000-0000-000005400000}"/>
    <cellStyle name="40% - Accent5 5 2 2 7" xfId="14037" xr:uid="{00000000-0005-0000-0000-000006400000}"/>
    <cellStyle name="40% - Accent5 5 2 2 7 2" xfId="14038" xr:uid="{00000000-0005-0000-0000-000007400000}"/>
    <cellStyle name="40% - Accent5 5 2 2 7 2 2" xfId="14039" xr:uid="{00000000-0005-0000-0000-000008400000}"/>
    <cellStyle name="40% - Accent5 5 2 2 7 3" xfId="14040" xr:uid="{00000000-0005-0000-0000-000009400000}"/>
    <cellStyle name="40% - Accent5 5 2 2 7 4" xfId="14041" xr:uid="{00000000-0005-0000-0000-00000A400000}"/>
    <cellStyle name="40% - Accent5 5 2 2 8" xfId="14042" xr:uid="{00000000-0005-0000-0000-00000B400000}"/>
    <cellStyle name="40% - Accent5 5 2 2 8 2" xfId="14043" xr:uid="{00000000-0005-0000-0000-00000C400000}"/>
    <cellStyle name="40% - Accent5 5 2 2 9" xfId="14044" xr:uid="{00000000-0005-0000-0000-00000D400000}"/>
    <cellStyle name="40% - Accent5 5 2 3" xfId="14045" xr:uid="{00000000-0005-0000-0000-00000E400000}"/>
    <cellStyle name="40% - Accent5 5 2 3 10" xfId="34815" xr:uid="{00000000-0005-0000-0000-00000F400000}"/>
    <cellStyle name="40% - Accent5 5 2 3 2" xfId="14046" xr:uid="{00000000-0005-0000-0000-000010400000}"/>
    <cellStyle name="40% - Accent5 5 2 3 2 2" xfId="14047" xr:uid="{00000000-0005-0000-0000-000011400000}"/>
    <cellStyle name="40% - Accent5 5 2 3 2 2 2" xfId="14048" xr:uid="{00000000-0005-0000-0000-000012400000}"/>
    <cellStyle name="40% - Accent5 5 2 3 2 2 2 2" xfId="14049" xr:uid="{00000000-0005-0000-0000-000013400000}"/>
    <cellStyle name="40% - Accent5 5 2 3 2 2 3" xfId="14050" xr:uid="{00000000-0005-0000-0000-000014400000}"/>
    <cellStyle name="40% - Accent5 5 2 3 2 2 4" xfId="14051" xr:uid="{00000000-0005-0000-0000-000015400000}"/>
    <cellStyle name="40% - Accent5 5 2 3 2 2 5" xfId="38559" xr:uid="{00000000-0005-0000-0000-000016400000}"/>
    <cellStyle name="40% - Accent5 5 2 3 2 3" xfId="14052" xr:uid="{00000000-0005-0000-0000-000017400000}"/>
    <cellStyle name="40% - Accent5 5 2 3 2 3 2" xfId="14053" xr:uid="{00000000-0005-0000-0000-000018400000}"/>
    <cellStyle name="40% - Accent5 5 2 3 2 4" xfId="14054" xr:uid="{00000000-0005-0000-0000-000019400000}"/>
    <cellStyle name="40% - Accent5 5 2 3 2 5" xfId="14055" xr:uid="{00000000-0005-0000-0000-00001A400000}"/>
    <cellStyle name="40% - Accent5 5 2 3 2 6" xfId="38558" xr:uid="{00000000-0005-0000-0000-00001B400000}"/>
    <cellStyle name="40% - Accent5 5 2 3 3" xfId="14056" xr:uid="{00000000-0005-0000-0000-00001C400000}"/>
    <cellStyle name="40% - Accent5 5 2 3 3 2" xfId="14057" xr:uid="{00000000-0005-0000-0000-00001D400000}"/>
    <cellStyle name="40% - Accent5 5 2 3 3 2 2" xfId="14058" xr:uid="{00000000-0005-0000-0000-00001E400000}"/>
    <cellStyle name="40% - Accent5 5 2 3 3 2 2 2" xfId="14059" xr:uid="{00000000-0005-0000-0000-00001F400000}"/>
    <cellStyle name="40% - Accent5 5 2 3 3 2 3" xfId="14060" xr:uid="{00000000-0005-0000-0000-000020400000}"/>
    <cellStyle name="40% - Accent5 5 2 3 3 2 4" xfId="14061" xr:uid="{00000000-0005-0000-0000-000021400000}"/>
    <cellStyle name="40% - Accent5 5 2 3 3 2 5" xfId="38561" xr:uid="{00000000-0005-0000-0000-000022400000}"/>
    <cellStyle name="40% - Accent5 5 2 3 3 3" xfId="14062" xr:uid="{00000000-0005-0000-0000-000023400000}"/>
    <cellStyle name="40% - Accent5 5 2 3 3 3 2" xfId="14063" xr:uid="{00000000-0005-0000-0000-000024400000}"/>
    <cellStyle name="40% - Accent5 5 2 3 3 4" xfId="14064" xr:uid="{00000000-0005-0000-0000-000025400000}"/>
    <cellStyle name="40% - Accent5 5 2 3 3 5" xfId="14065" xr:uid="{00000000-0005-0000-0000-000026400000}"/>
    <cellStyle name="40% - Accent5 5 2 3 3 6" xfId="38560" xr:uid="{00000000-0005-0000-0000-000027400000}"/>
    <cellStyle name="40% - Accent5 5 2 3 4" xfId="14066" xr:uid="{00000000-0005-0000-0000-000028400000}"/>
    <cellStyle name="40% - Accent5 5 2 3 4 2" xfId="14067" xr:uid="{00000000-0005-0000-0000-000029400000}"/>
    <cellStyle name="40% - Accent5 5 2 3 4 2 2" xfId="14068" xr:uid="{00000000-0005-0000-0000-00002A400000}"/>
    <cellStyle name="40% - Accent5 5 2 3 4 3" xfId="14069" xr:uid="{00000000-0005-0000-0000-00002B400000}"/>
    <cellStyle name="40% - Accent5 5 2 3 4 4" xfId="14070" xr:uid="{00000000-0005-0000-0000-00002C400000}"/>
    <cellStyle name="40% - Accent5 5 2 3 4 5" xfId="38562" xr:uid="{00000000-0005-0000-0000-00002D400000}"/>
    <cellStyle name="40% - Accent5 5 2 3 5" xfId="14071" xr:uid="{00000000-0005-0000-0000-00002E400000}"/>
    <cellStyle name="40% - Accent5 5 2 3 5 2" xfId="14072" xr:uid="{00000000-0005-0000-0000-00002F400000}"/>
    <cellStyle name="40% - Accent5 5 2 3 5 2 2" xfId="14073" xr:uid="{00000000-0005-0000-0000-000030400000}"/>
    <cellStyle name="40% - Accent5 5 2 3 5 3" xfId="14074" xr:uid="{00000000-0005-0000-0000-000031400000}"/>
    <cellStyle name="40% - Accent5 5 2 3 5 4" xfId="14075" xr:uid="{00000000-0005-0000-0000-000032400000}"/>
    <cellStyle name="40% - Accent5 5 2 3 6" xfId="14076" xr:uid="{00000000-0005-0000-0000-000033400000}"/>
    <cellStyle name="40% - Accent5 5 2 3 6 2" xfId="14077" xr:uid="{00000000-0005-0000-0000-000034400000}"/>
    <cellStyle name="40% - Accent5 5 2 3 6 2 2" xfId="14078" xr:uid="{00000000-0005-0000-0000-000035400000}"/>
    <cellStyle name="40% - Accent5 5 2 3 6 3" xfId="14079" xr:uid="{00000000-0005-0000-0000-000036400000}"/>
    <cellStyle name="40% - Accent5 5 2 3 6 4" xfId="14080" xr:uid="{00000000-0005-0000-0000-000037400000}"/>
    <cellStyle name="40% - Accent5 5 2 3 7" xfId="14081" xr:uid="{00000000-0005-0000-0000-000038400000}"/>
    <cellStyle name="40% - Accent5 5 2 3 7 2" xfId="14082" xr:uid="{00000000-0005-0000-0000-000039400000}"/>
    <cellStyle name="40% - Accent5 5 2 3 8" xfId="14083" xr:uid="{00000000-0005-0000-0000-00003A400000}"/>
    <cellStyle name="40% - Accent5 5 2 3 9" xfId="14084" xr:uid="{00000000-0005-0000-0000-00003B400000}"/>
    <cellStyle name="40% - Accent5 5 2 4" xfId="14085" xr:uid="{00000000-0005-0000-0000-00003C400000}"/>
    <cellStyle name="40% - Accent5 5 2 4 2" xfId="14086" xr:uid="{00000000-0005-0000-0000-00003D400000}"/>
    <cellStyle name="40% - Accent5 5 2 4 2 2" xfId="14087" xr:uid="{00000000-0005-0000-0000-00003E400000}"/>
    <cellStyle name="40% - Accent5 5 2 4 2 2 2" xfId="14088" xr:uid="{00000000-0005-0000-0000-00003F400000}"/>
    <cellStyle name="40% - Accent5 5 2 4 2 3" xfId="14089" xr:uid="{00000000-0005-0000-0000-000040400000}"/>
    <cellStyle name="40% - Accent5 5 2 4 2 4" xfId="14090" xr:uid="{00000000-0005-0000-0000-000041400000}"/>
    <cellStyle name="40% - Accent5 5 2 4 2 5" xfId="38564" xr:uid="{00000000-0005-0000-0000-000042400000}"/>
    <cellStyle name="40% - Accent5 5 2 4 3" xfId="14091" xr:uid="{00000000-0005-0000-0000-000043400000}"/>
    <cellStyle name="40% - Accent5 5 2 4 3 2" xfId="14092" xr:uid="{00000000-0005-0000-0000-000044400000}"/>
    <cellStyle name="40% - Accent5 5 2 4 4" xfId="14093" xr:uid="{00000000-0005-0000-0000-000045400000}"/>
    <cellStyle name="40% - Accent5 5 2 4 5" xfId="14094" xr:uid="{00000000-0005-0000-0000-000046400000}"/>
    <cellStyle name="40% - Accent5 5 2 4 6" xfId="38563" xr:uid="{00000000-0005-0000-0000-000047400000}"/>
    <cellStyle name="40% - Accent5 5 2 5" xfId="14095" xr:uid="{00000000-0005-0000-0000-000048400000}"/>
    <cellStyle name="40% - Accent5 5 2 5 2" xfId="14096" xr:uid="{00000000-0005-0000-0000-000049400000}"/>
    <cellStyle name="40% - Accent5 5 2 5 2 2" xfId="14097" xr:uid="{00000000-0005-0000-0000-00004A400000}"/>
    <cellStyle name="40% - Accent5 5 2 5 2 2 2" xfId="14098" xr:uid="{00000000-0005-0000-0000-00004B400000}"/>
    <cellStyle name="40% - Accent5 5 2 5 2 3" xfId="14099" xr:uid="{00000000-0005-0000-0000-00004C400000}"/>
    <cellStyle name="40% - Accent5 5 2 5 2 4" xfId="14100" xr:uid="{00000000-0005-0000-0000-00004D400000}"/>
    <cellStyle name="40% - Accent5 5 2 5 2 5" xfId="38566" xr:uid="{00000000-0005-0000-0000-00004E400000}"/>
    <cellStyle name="40% - Accent5 5 2 5 3" xfId="14101" xr:uid="{00000000-0005-0000-0000-00004F400000}"/>
    <cellStyle name="40% - Accent5 5 2 5 3 2" xfId="14102" xr:uid="{00000000-0005-0000-0000-000050400000}"/>
    <cellStyle name="40% - Accent5 5 2 5 4" xfId="14103" xr:uid="{00000000-0005-0000-0000-000051400000}"/>
    <cellStyle name="40% - Accent5 5 2 5 5" xfId="14104" xr:uid="{00000000-0005-0000-0000-000052400000}"/>
    <cellStyle name="40% - Accent5 5 2 5 6" xfId="38565" xr:uid="{00000000-0005-0000-0000-000053400000}"/>
    <cellStyle name="40% - Accent5 5 2 6" xfId="14105" xr:uid="{00000000-0005-0000-0000-000054400000}"/>
    <cellStyle name="40% - Accent5 5 2 6 2" xfId="14106" xr:uid="{00000000-0005-0000-0000-000055400000}"/>
    <cellStyle name="40% - Accent5 5 2 6 2 2" xfId="14107" xr:uid="{00000000-0005-0000-0000-000056400000}"/>
    <cellStyle name="40% - Accent5 5 2 6 3" xfId="14108" xr:uid="{00000000-0005-0000-0000-000057400000}"/>
    <cellStyle name="40% - Accent5 5 2 6 4" xfId="14109" xr:uid="{00000000-0005-0000-0000-000058400000}"/>
    <cellStyle name="40% - Accent5 5 2 6 5" xfId="38567" xr:uid="{00000000-0005-0000-0000-000059400000}"/>
    <cellStyle name="40% - Accent5 5 2 7" xfId="14110" xr:uid="{00000000-0005-0000-0000-00005A400000}"/>
    <cellStyle name="40% - Accent5 5 2 7 2" xfId="14111" xr:uid="{00000000-0005-0000-0000-00005B400000}"/>
    <cellStyle name="40% - Accent5 5 2 7 2 2" xfId="14112" xr:uid="{00000000-0005-0000-0000-00005C400000}"/>
    <cellStyle name="40% - Accent5 5 2 7 3" xfId="14113" xr:uid="{00000000-0005-0000-0000-00005D400000}"/>
    <cellStyle name="40% - Accent5 5 2 7 4" xfId="14114" xr:uid="{00000000-0005-0000-0000-00005E400000}"/>
    <cellStyle name="40% - Accent5 5 2 8" xfId="14115" xr:uid="{00000000-0005-0000-0000-00005F400000}"/>
    <cellStyle name="40% - Accent5 5 2 8 2" xfId="14116" xr:uid="{00000000-0005-0000-0000-000060400000}"/>
    <cellStyle name="40% - Accent5 5 2 8 2 2" xfId="14117" xr:uid="{00000000-0005-0000-0000-000061400000}"/>
    <cellStyle name="40% - Accent5 5 2 8 3" xfId="14118" xr:uid="{00000000-0005-0000-0000-000062400000}"/>
    <cellStyle name="40% - Accent5 5 2 8 4" xfId="14119" xr:uid="{00000000-0005-0000-0000-000063400000}"/>
    <cellStyle name="40% - Accent5 5 2 9" xfId="14120" xr:uid="{00000000-0005-0000-0000-000064400000}"/>
    <cellStyle name="40% - Accent5 5 2 9 2" xfId="14121" xr:uid="{00000000-0005-0000-0000-000065400000}"/>
    <cellStyle name="40% - Accent5 5 3" xfId="14122" xr:uid="{00000000-0005-0000-0000-000066400000}"/>
    <cellStyle name="40% - Accent5 5 3 10" xfId="14123" xr:uid="{00000000-0005-0000-0000-000067400000}"/>
    <cellStyle name="40% - Accent5 5 3 11" xfId="34816" xr:uid="{00000000-0005-0000-0000-000068400000}"/>
    <cellStyle name="40% - Accent5 5 3 2" xfId="14124" xr:uid="{00000000-0005-0000-0000-000069400000}"/>
    <cellStyle name="40% - Accent5 5 3 2 10" xfId="34817" xr:uid="{00000000-0005-0000-0000-00006A400000}"/>
    <cellStyle name="40% - Accent5 5 3 2 2" xfId="14125" xr:uid="{00000000-0005-0000-0000-00006B400000}"/>
    <cellStyle name="40% - Accent5 5 3 2 2 2" xfId="14126" xr:uid="{00000000-0005-0000-0000-00006C400000}"/>
    <cellStyle name="40% - Accent5 5 3 2 2 2 2" xfId="14127" xr:uid="{00000000-0005-0000-0000-00006D400000}"/>
    <cellStyle name="40% - Accent5 5 3 2 2 2 2 2" xfId="14128" xr:uid="{00000000-0005-0000-0000-00006E400000}"/>
    <cellStyle name="40% - Accent5 5 3 2 2 2 3" xfId="14129" xr:uid="{00000000-0005-0000-0000-00006F400000}"/>
    <cellStyle name="40% - Accent5 5 3 2 2 2 4" xfId="14130" xr:uid="{00000000-0005-0000-0000-000070400000}"/>
    <cellStyle name="40% - Accent5 5 3 2 2 2 5" xfId="38569" xr:uid="{00000000-0005-0000-0000-000071400000}"/>
    <cellStyle name="40% - Accent5 5 3 2 2 3" xfId="14131" xr:uid="{00000000-0005-0000-0000-000072400000}"/>
    <cellStyle name="40% - Accent5 5 3 2 2 3 2" xfId="14132" xr:uid="{00000000-0005-0000-0000-000073400000}"/>
    <cellStyle name="40% - Accent5 5 3 2 2 4" xfId="14133" xr:uid="{00000000-0005-0000-0000-000074400000}"/>
    <cellStyle name="40% - Accent5 5 3 2 2 5" xfId="14134" xr:uid="{00000000-0005-0000-0000-000075400000}"/>
    <cellStyle name="40% - Accent5 5 3 2 2 6" xfId="38568" xr:uid="{00000000-0005-0000-0000-000076400000}"/>
    <cellStyle name="40% - Accent5 5 3 2 3" xfId="14135" xr:uid="{00000000-0005-0000-0000-000077400000}"/>
    <cellStyle name="40% - Accent5 5 3 2 3 2" xfId="14136" xr:uid="{00000000-0005-0000-0000-000078400000}"/>
    <cellStyle name="40% - Accent5 5 3 2 3 2 2" xfId="14137" xr:uid="{00000000-0005-0000-0000-000079400000}"/>
    <cellStyle name="40% - Accent5 5 3 2 3 2 2 2" xfId="14138" xr:uid="{00000000-0005-0000-0000-00007A400000}"/>
    <cellStyle name="40% - Accent5 5 3 2 3 2 3" xfId="14139" xr:uid="{00000000-0005-0000-0000-00007B400000}"/>
    <cellStyle name="40% - Accent5 5 3 2 3 2 4" xfId="14140" xr:uid="{00000000-0005-0000-0000-00007C400000}"/>
    <cellStyle name="40% - Accent5 5 3 2 3 2 5" xfId="38571" xr:uid="{00000000-0005-0000-0000-00007D400000}"/>
    <cellStyle name="40% - Accent5 5 3 2 3 3" xfId="14141" xr:uid="{00000000-0005-0000-0000-00007E400000}"/>
    <cellStyle name="40% - Accent5 5 3 2 3 3 2" xfId="14142" xr:uid="{00000000-0005-0000-0000-00007F400000}"/>
    <cellStyle name="40% - Accent5 5 3 2 3 4" xfId="14143" xr:uid="{00000000-0005-0000-0000-000080400000}"/>
    <cellStyle name="40% - Accent5 5 3 2 3 5" xfId="14144" xr:uid="{00000000-0005-0000-0000-000081400000}"/>
    <cellStyle name="40% - Accent5 5 3 2 3 6" xfId="38570" xr:uid="{00000000-0005-0000-0000-000082400000}"/>
    <cellStyle name="40% - Accent5 5 3 2 4" xfId="14145" xr:uid="{00000000-0005-0000-0000-000083400000}"/>
    <cellStyle name="40% - Accent5 5 3 2 4 2" xfId="14146" xr:uid="{00000000-0005-0000-0000-000084400000}"/>
    <cellStyle name="40% - Accent5 5 3 2 4 2 2" xfId="14147" xr:uid="{00000000-0005-0000-0000-000085400000}"/>
    <cellStyle name="40% - Accent5 5 3 2 4 3" xfId="14148" xr:uid="{00000000-0005-0000-0000-000086400000}"/>
    <cellStyle name="40% - Accent5 5 3 2 4 4" xfId="14149" xr:uid="{00000000-0005-0000-0000-000087400000}"/>
    <cellStyle name="40% - Accent5 5 3 2 4 5" xfId="38572" xr:uid="{00000000-0005-0000-0000-000088400000}"/>
    <cellStyle name="40% - Accent5 5 3 2 5" xfId="14150" xr:uid="{00000000-0005-0000-0000-000089400000}"/>
    <cellStyle name="40% - Accent5 5 3 2 5 2" xfId="14151" xr:uid="{00000000-0005-0000-0000-00008A400000}"/>
    <cellStyle name="40% - Accent5 5 3 2 5 2 2" xfId="14152" xr:uid="{00000000-0005-0000-0000-00008B400000}"/>
    <cellStyle name="40% - Accent5 5 3 2 5 3" xfId="14153" xr:uid="{00000000-0005-0000-0000-00008C400000}"/>
    <cellStyle name="40% - Accent5 5 3 2 5 4" xfId="14154" xr:uid="{00000000-0005-0000-0000-00008D400000}"/>
    <cellStyle name="40% - Accent5 5 3 2 6" xfId="14155" xr:uid="{00000000-0005-0000-0000-00008E400000}"/>
    <cellStyle name="40% - Accent5 5 3 2 6 2" xfId="14156" xr:uid="{00000000-0005-0000-0000-00008F400000}"/>
    <cellStyle name="40% - Accent5 5 3 2 6 2 2" xfId="14157" xr:uid="{00000000-0005-0000-0000-000090400000}"/>
    <cellStyle name="40% - Accent5 5 3 2 6 3" xfId="14158" xr:uid="{00000000-0005-0000-0000-000091400000}"/>
    <cellStyle name="40% - Accent5 5 3 2 6 4" xfId="14159" xr:uid="{00000000-0005-0000-0000-000092400000}"/>
    <cellStyle name="40% - Accent5 5 3 2 7" xfId="14160" xr:uid="{00000000-0005-0000-0000-000093400000}"/>
    <cellStyle name="40% - Accent5 5 3 2 7 2" xfId="14161" xr:uid="{00000000-0005-0000-0000-000094400000}"/>
    <cellStyle name="40% - Accent5 5 3 2 8" xfId="14162" xr:uid="{00000000-0005-0000-0000-000095400000}"/>
    <cellStyle name="40% - Accent5 5 3 2 9" xfId="14163" xr:uid="{00000000-0005-0000-0000-000096400000}"/>
    <cellStyle name="40% - Accent5 5 3 3" xfId="14164" xr:uid="{00000000-0005-0000-0000-000097400000}"/>
    <cellStyle name="40% - Accent5 5 3 3 2" xfId="14165" xr:uid="{00000000-0005-0000-0000-000098400000}"/>
    <cellStyle name="40% - Accent5 5 3 3 2 2" xfId="14166" xr:uid="{00000000-0005-0000-0000-000099400000}"/>
    <cellStyle name="40% - Accent5 5 3 3 2 2 2" xfId="14167" xr:uid="{00000000-0005-0000-0000-00009A400000}"/>
    <cellStyle name="40% - Accent5 5 3 3 2 3" xfId="14168" xr:uid="{00000000-0005-0000-0000-00009B400000}"/>
    <cellStyle name="40% - Accent5 5 3 3 2 4" xfId="14169" xr:uid="{00000000-0005-0000-0000-00009C400000}"/>
    <cellStyle name="40% - Accent5 5 3 3 2 5" xfId="38574" xr:uid="{00000000-0005-0000-0000-00009D400000}"/>
    <cellStyle name="40% - Accent5 5 3 3 3" xfId="14170" xr:uid="{00000000-0005-0000-0000-00009E400000}"/>
    <cellStyle name="40% - Accent5 5 3 3 3 2" xfId="14171" xr:uid="{00000000-0005-0000-0000-00009F400000}"/>
    <cellStyle name="40% - Accent5 5 3 3 4" xfId="14172" xr:uid="{00000000-0005-0000-0000-0000A0400000}"/>
    <cellStyle name="40% - Accent5 5 3 3 5" xfId="14173" xr:uid="{00000000-0005-0000-0000-0000A1400000}"/>
    <cellStyle name="40% - Accent5 5 3 3 6" xfId="38573" xr:uid="{00000000-0005-0000-0000-0000A2400000}"/>
    <cellStyle name="40% - Accent5 5 3 4" xfId="14174" xr:uid="{00000000-0005-0000-0000-0000A3400000}"/>
    <cellStyle name="40% - Accent5 5 3 4 2" xfId="14175" xr:uid="{00000000-0005-0000-0000-0000A4400000}"/>
    <cellStyle name="40% - Accent5 5 3 4 2 2" xfId="14176" xr:uid="{00000000-0005-0000-0000-0000A5400000}"/>
    <cellStyle name="40% - Accent5 5 3 4 2 2 2" xfId="14177" xr:uid="{00000000-0005-0000-0000-0000A6400000}"/>
    <cellStyle name="40% - Accent5 5 3 4 2 3" xfId="14178" xr:uid="{00000000-0005-0000-0000-0000A7400000}"/>
    <cellStyle name="40% - Accent5 5 3 4 2 4" xfId="14179" xr:uid="{00000000-0005-0000-0000-0000A8400000}"/>
    <cellStyle name="40% - Accent5 5 3 4 2 5" xfId="38576" xr:uid="{00000000-0005-0000-0000-0000A9400000}"/>
    <cellStyle name="40% - Accent5 5 3 4 3" xfId="14180" xr:uid="{00000000-0005-0000-0000-0000AA400000}"/>
    <cellStyle name="40% - Accent5 5 3 4 3 2" xfId="14181" xr:uid="{00000000-0005-0000-0000-0000AB400000}"/>
    <cellStyle name="40% - Accent5 5 3 4 4" xfId="14182" xr:uid="{00000000-0005-0000-0000-0000AC400000}"/>
    <cellStyle name="40% - Accent5 5 3 4 5" xfId="14183" xr:uid="{00000000-0005-0000-0000-0000AD400000}"/>
    <cellStyle name="40% - Accent5 5 3 4 6" xfId="38575" xr:uid="{00000000-0005-0000-0000-0000AE400000}"/>
    <cellStyle name="40% - Accent5 5 3 5" xfId="14184" xr:uid="{00000000-0005-0000-0000-0000AF400000}"/>
    <cellStyle name="40% - Accent5 5 3 5 2" xfId="14185" xr:uid="{00000000-0005-0000-0000-0000B0400000}"/>
    <cellStyle name="40% - Accent5 5 3 5 2 2" xfId="14186" xr:uid="{00000000-0005-0000-0000-0000B1400000}"/>
    <cellStyle name="40% - Accent5 5 3 5 3" xfId="14187" xr:uid="{00000000-0005-0000-0000-0000B2400000}"/>
    <cellStyle name="40% - Accent5 5 3 5 4" xfId="14188" xr:uid="{00000000-0005-0000-0000-0000B3400000}"/>
    <cellStyle name="40% - Accent5 5 3 5 5" xfId="38577" xr:uid="{00000000-0005-0000-0000-0000B4400000}"/>
    <cellStyle name="40% - Accent5 5 3 6" xfId="14189" xr:uid="{00000000-0005-0000-0000-0000B5400000}"/>
    <cellStyle name="40% - Accent5 5 3 6 2" xfId="14190" xr:uid="{00000000-0005-0000-0000-0000B6400000}"/>
    <cellStyle name="40% - Accent5 5 3 6 2 2" xfId="14191" xr:uid="{00000000-0005-0000-0000-0000B7400000}"/>
    <cellStyle name="40% - Accent5 5 3 6 3" xfId="14192" xr:uid="{00000000-0005-0000-0000-0000B8400000}"/>
    <cellStyle name="40% - Accent5 5 3 6 4" xfId="14193" xr:uid="{00000000-0005-0000-0000-0000B9400000}"/>
    <cellStyle name="40% - Accent5 5 3 7" xfId="14194" xr:uid="{00000000-0005-0000-0000-0000BA400000}"/>
    <cellStyle name="40% - Accent5 5 3 7 2" xfId="14195" xr:uid="{00000000-0005-0000-0000-0000BB400000}"/>
    <cellStyle name="40% - Accent5 5 3 7 2 2" xfId="14196" xr:uid="{00000000-0005-0000-0000-0000BC400000}"/>
    <cellStyle name="40% - Accent5 5 3 7 3" xfId="14197" xr:uid="{00000000-0005-0000-0000-0000BD400000}"/>
    <cellStyle name="40% - Accent5 5 3 7 4" xfId="14198" xr:uid="{00000000-0005-0000-0000-0000BE400000}"/>
    <cellStyle name="40% - Accent5 5 3 8" xfId="14199" xr:uid="{00000000-0005-0000-0000-0000BF400000}"/>
    <cellStyle name="40% - Accent5 5 3 8 2" xfId="14200" xr:uid="{00000000-0005-0000-0000-0000C0400000}"/>
    <cellStyle name="40% - Accent5 5 3 9" xfId="14201" xr:uid="{00000000-0005-0000-0000-0000C1400000}"/>
    <cellStyle name="40% - Accent5 5 4" xfId="14202" xr:uid="{00000000-0005-0000-0000-0000C2400000}"/>
    <cellStyle name="40% - Accent5 5 4 10" xfId="34818" xr:uid="{00000000-0005-0000-0000-0000C3400000}"/>
    <cellStyle name="40% - Accent5 5 4 2" xfId="14203" xr:uid="{00000000-0005-0000-0000-0000C4400000}"/>
    <cellStyle name="40% - Accent5 5 4 2 2" xfId="14204" xr:uid="{00000000-0005-0000-0000-0000C5400000}"/>
    <cellStyle name="40% - Accent5 5 4 2 2 2" xfId="14205" xr:uid="{00000000-0005-0000-0000-0000C6400000}"/>
    <cellStyle name="40% - Accent5 5 4 2 2 2 2" xfId="14206" xr:uid="{00000000-0005-0000-0000-0000C7400000}"/>
    <cellStyle name="40% - Accent5 5 4 2 2 3" xfId="14207" xr:uid="{00000000-0005-0000-0000-0000C8400000}"/>
    <cellStyle name="40% - Accent5 5 4 2 2 4" xfId="14208" xr:uid="{00000000-0005-0000-0000-0000C9400000}"/>
    <cellStyle name="40% - Accent5 5 4 2 2 5" xfId="38579" xr:uid="{00000000-0005-0000-0000-0000CA400000}"/>
    <cellStyle name="40% - Accent5 5 4 2 3" xfId="14209" xr:uid="{00000000-0005-0000-0000-0000CB400000}"/>
    <cellStyle name="40% - Accent5 5 4 2 3 2" xfId="14210" xr:uid="{00000000-0005-0000-0000-0000CC400000}"/>
    <cellStyle name="40% - Accent5 5 4 2 4" xfId="14211" xr:uid="{00000000-0005-0000-0000-0000CD400000}"/>
    <cellStyle name="40% - Accent5 5 4 2 5" xfId="14212" xr:uid="{00000000-0005-0000-0000-0000CE400000}"/>
    <cellStyle name="40% - Accent5 5 4 2 6" xfId="38578" xr:uid="{00000000-0005-0000-0000-0000CF400000}"/>
    <cellStyle name="40% - Accent5 5 4 3" xfId="14213" xr:uid="{00000000-0005-0000-0000-0000D0400000}"/>
    <cellStyle name="40% - Accent5 5 4 3 2" xfId="14214" xr:uid="{00000000-0005-0000-0000-0000D1400000}"/>
    <cellStyle name="40% - Accent5 5 4 3 2 2" xfId="14215" xr:uid="{00000000-0005-0000-0000-0000D2400000}"/>
    <cellStyle name="40% - Accent5 5 4 3 2 2 2" xfId="14216" xr:uid="{00000000-0005-0000-0000-0000D3400000}"/>
    <cellStyle name="40% - Accent5 5 4 3 2 3" xfId="14217" xr:uid="{00000000-0005-0000-0000-0000D4400000}"/>
    <cellStyle name="40% - Accent5 5 4 3 2 4" xfId="14218" xr:uid="{00000000-0005-0000-0000-0000D5400000}"/>
    <cellStyle name="40% - Accent5 5 4 3 2 5" xfId="38581" xr:uid="{00000000-0005-0000-0000-0000D6400000}"/>
    <cellStyle name="40% - Accent5 5 4 3 3" xfId="14219" xr:uid="{00000000-0005-0000-0000-0000D7400000}"/>
    <cellStyle name="40% - Accent5 5 4 3 3 2" xfId="14220" xr:uid="{00000000-0005-0000-0000-0000D8400000}"/>
    <cellStyle name="40% - Accent5 5 4 3 4" xfId="14221" xr:uid="{00000000-0005-0000-0000-0000D9400000}"/>
    <cellStyle name="40% - Accent5 5 4 3 5" xfId="14222" xr:uid="{00000000-0005-0000-0000-0000DA400000}"/>
    <cellStyle name="40% - Accent5 5 4 3 6" xfId="38580" xr:uid="{00000000-0005-0000-0000-0000DB400000}"/>
    <cellStyle name="40% - Accent5 5 4 4" xfId="14223" xr:uid="{00000000-0005-0000-0000-0000DC400000}"/>
    <cellStyle name="40% - Accent5 5 4 4 2" xfId="14224" xr:uid="{00000000-0005-0000-0000-0000DD400000}"/>
    <cellStyle name="40% - Accent5 5 4 4 2 2" xfId="14225" xr:uid="{00000000-0005-0000-0000-0000DE400000}"/>
    <cellStyle name="40% - Accent5 5 4 4 3" xfId="14226" xr:uid="{00000000-0005-0000-0000-0000DF400000}"/>
    <cellStyle name="40% - Accent5 5 4 4 4" xfId="14227" xr:uid="{00000000-0005-0000-0000-0000E0400000}"/>
    <cellStyle name="40% - Accent5 5 4 4 5" xfId="38582" xr:uid="{00000000-0005-0000-0000-0000E1400000}"/>
    <cellStyle name="40% - Accent5 5 4 5" xfId="14228" xr:uid="{00000000-0005-0000-0000-0000E2400000}"/>
    <cellStyle name="40% - Accent5 5 4 5 2" xfId="14229" xr:uid="{00000000-0005-0000-0000-0000E3400000}"/>
    <cellStyle name="40% - Accent5 5 4 5 2 2" xfId="14230" xr:uid="{00000000-0005-0000-0000-0000E4400000}"/>
    <cellStyle name="40% - Accent5 5 4 5 3" xfId="14231" xr:uid="{00000000-0005-0000-0000-0000E5400000}"/>
    <cellStyle name="40% - Accent5 5 4 5 4" xfId="14232" xr:uid="{00000000-0005-0000-0000-0000E6400000}"/>
    <cellStyle name="40% - Accent5 5 4 6" xfId="14233" xr:uid="{00000000-0005-0000-0000-0000E7400000}"/>
    <cellStyle name="40% - Accent5 5 4 6 2" xfId="14234" xr:uid="{00000000-0005-0000-0000-0000E8400000}"/>
    <cellStyle name="40% - Accent5 5 4 6 2 2" xfId="14235" xr:uid="{00000000-0005-0000-0000-0000E9400000}"/>
    <cellStyle name="40% - Accent5 5 4 6 3" xfId="14236" xr:uid="{00000000-0005-0000-0000-0000EA400000}"/>
    <cellStyle name="40% - Accent5 5 4 6 4" xfId="14237" xr:uid="{00000000-0005-0000-0000-0000EB400000}"/>
    <cellStyle name="40% - Accent5 5 4 7" xfId="14238" xr:uid="{00000000-0005-0000-0000-0000EC400000}"/>
    <cellStyle name="40% - Accent5 5 4 7 2" xfId="14239" xr:uid="{00000000-0005-0000-0000-0000ED400000}"/>
    <cellStyle name="40% - Accent5 5 4 8" xfId="14240" xr:uid="{00000000-0005-0000-0000-0000EE400000}"/>
    <cellStyle name="40% - Accent5 5 4 9" xfId="14241" xr:uid="{00000000-0005-0000-0000-0000EF400000}"/>
    <cellStyle name="40% - Accent5 5 5" xfId="14242" xr:uid="{00000000-0005-0000-0000-0000F0400000}"/>
    <cellStyle name="40% - Accent5 5 5 2" xfId="14243" xr:uid="{00000000-0005-0000-0000-0000F1400000}"/>
    <cellStyle name="40% - Accent5 5 5 2 2" xfId="14244" xr:uid="{00000000-0005-0000-0000-0000F2400000}"/>
    <cellStyle name="40% - Accent5 5 5 2 2 2" xfId="14245" xr:uid="{00000000-0005-0000-0000-0000F3400000}"/>
    <cellStyle name="40% - Accent5 5 5 2 2 2 2" xfId="14246" xr:uid="{00000000-0005-0000-0000-0000F4400000}"/>
    <cellStyle name="40% - Accent5 5 5 2 2 3" xfId="14247" xr:uid="{00000000-0005-0000-0000-0000F5400000}"/>
    <cellStyle name="40% - Accent5 5 5 2 2 4" xfId="14248" xr:uid="{00000000-0005-0000-0000-0000F6400000}"/>
    <cellStyle name="40% - Accent5 5 5 2 2 5" xfId="38585" xr:uid="{00000000-0005-0000-0000-0000F7400000}"/>
    <cellStyle name="40% - Accent5 5 5 2 3" xfId="14249" xr:uid="{00000000-0005-0000-0000-0000F8400000}"/>
    <cellStyle name="40% - Accent5 5 5 2 3 2" xfId="14250" xr:uid="{00000000-0005-0000-0000-0000F9400000}"/>
    <cellStyle name="40% - Accent5 5 5 2 4" xfId="14251" xr:uid="{00000000-0005-0000-0000-0000FA400000}"/>
    <cellStyle name="40% - Accent5 5 5 2 5" xfId="14252" xr:uid="{00000000-0005-0000-0000-0000FB400000}"/>
    <cellStyle name="40% - Accent5 5 5 2 6" xfId="38584" xr:uid="{00000000-0005-0000-0000-0000FC400000}"/>
    <cellStyle name="40% - Accent5 5 5 3" xfId="14253" xr:uid="{00000000-0005-0000-0000-0000FD400000}"/>
    <cellStyle name="40% - Accent5 5 5 3 2" xfId="14254" xr:uid="{00000000-0005-0000-0000-0000FE400000}"/>
    <cellStyle name="40% - Accent5 5 5 3 2 2" xfId="14255" xr:uid="{00000000-0005-0000-0000-0000FF400000}"/>
    <cellStyle name="40% - Accent5 5 5 3 3" xfId="14256" xr:uid="{00000000-0005-0000-0000-000000410000}"/>
    <cellStyle name="40% - Accent5 5 5 3 4" xfId="14257" xr:uid="{00000000-0005-0000-0000-000001410000}"/>
    <cellStyle name="40% - Accent5 5 5 3 5" xfId="38586" xr:uid="{00000000-0005-0000-0000-000002410000}"/>
    <cellStyle name="40% - Accent5 5 5 4" xfId="14258" xr:uid="{00000000-0005-0000-0000-000003410000}"/>
    <cellStyle name="40% - Accent5 5 5 4 2" xfId="14259" xr:uid="{00000000-0005-0000-0000-000004410000}"/>
    <cellStyle name="40% - Accent5 5 5 4 2 2" xfId="14260" xr:uid="{00000000-0005-0000-0000-000005410000}"/>
    <cellStyle name="40% - Accent5 5 5 4 3" xfId="14261" xr:uid="{00000000-0005-0000-0000-000006410000}"/>
    <cellStyle name="40% - Accent5 5 5 4 4" xfId="14262" xr:uid="{00000000-0005-0000-0000-000007410000}"/>
    <cellStyle name="40% - Accent5 5 5 4 5" xfId="38587" xr:uid="{00000000-0005-0000-0000-000008410000}"/>
    <cellStyle name="40% - Accent5 5 5 5" xfId="14263" xr:uid="{00000000-0005-0000-0000-000009410000}"/>
    <cellStyle name="40% - Accent5 5 5 5 2" xfId="14264" xr:uid="{00000000-0005-0000-0000-00000A410000}"/>
    <cellStyle name="40% - Accent5 5 5 6" xfId="14265" xr:uid="{00000000-0005-0000-0000-00000B410000}"/>
    <cellStyle name="40% - Accent5 5 5 7" xfId="14266" xr:uid="{00000000-0005-0000-0000-00000C410000}"/>
    <cellStyle name="40% - Accent5 5 5 8" xfId="38583" xr:uid="{00000000-0005-0000-0000-00000D410000}"/>
    <cellStyle name="40% - Accent5 5 6" xfId="14267" xr:uid="{00000000-0005-0000-0000-00000E410000}"/>
    <cellStyle name="40% - Accent5 5 6 2" xfId="14268" xr:uid="{00000000-0005-0000-0000-00000F410000}"/>
    <cellStyle name="40% - Accent5 5 6 2 2" xfId="14269" xr:uid="{00000000-0005-0000-0000-000010410000}"/>
    <cellStyle name="40% - Accent5 5 6 2 2 2" xfId="14270" xr:uid="{00000000-0005-0000-0000-000011410000}"/>
    <cellStyle name="40% - Accent5 5 6 2 3" xfId="14271" xr:uid="{00000000-0005-0000-0000-000012410000}"/>
    <cellStyle name="40% - Accent5 5 6 2 4" xfId="14272" xr:uid="{00000000-0005-0000-0000-000013410000}"/>
    <cellStyle name="40% - Accent5 5 6 2 5" xfId="38589" xr:uid="{00000000-0005-0000-0000-000014410000}"/>
    <cellStyle name="40% - Accent5 5 6 3" xfId="14273" xr:uid="{00000000-0005-0000-0000-000015410000}"/>
    <cellStyle name="40% - Accent5 5 6 3 2" xfId="14274" xr:uid="{00000000-0005-0000-0000-000016410000}"/>
    <cellStyle name="40% - Accent5 5 6 4" xfId="14275" xr:uid="{00000000-0005-0000-0000-000017410000}"/>
    <cellStyle name="40% - Accent5 5 6 5" xfId="14276" xr:uid="{00000000-0005-0000-0000-000018410000}"/>
    <cellStyle name="40% - Accent5 5 6 6" xfId="38588" xr:uid="{00000000-0005-0000-0000-000019410000}"/>
    <cellStyle name="40% - Accent5 5 7" xfId="14277" xr:uid="{00000000-0005-0000-0000-00001A410000}"/>
    <cellStyle name="40% - Accent5 5 7 2" xfId="14278" xr:uid="{00000000-0005-0000-0000-00001B410000}"/>
    <cellStyle name="40% - Accent5 5 7 2 2" xfId="14279" xr:uid="{00000000-0005-0000-0000-00001C410000}"/>
    <cellStyle name="40% - Accent5 5 7 3" xfId="14280" xr:uid="{00000000-0005-0000-0000-00001D410000}"/>
    <cellStyle name="40% - Accent5 5 7 4" xfId="14281" xr:uid="{00000000-0005-0000-0000-00001E410000}"/>
    <cellStyle name="40% - Accent5 5 8" xfId="14282" xr:uid="{00000000-0005-0000-0000-00001F410000}"/>
    <cellStyle name="40% - Accent5 5 8 2" xfId="14283" xr:uid="{00000000-0005-0000-0000-000020410000}"/>
    <cellStyle name="40% - Accent5 5 8 2 2" xfId="14284" xr:uid="{00000000-0005-0000-0000-000021410000}"/>
    <cellStyle name="40% - Accent5 5 8 3" xfId="14285" xr:uid="{00000000-0005-0000-0000-000022410000}"/>
    <cellStyle name="40% - Accent5 5 8 4" xfId="14286" xr:uid="{00000000-0005-0000-0000-000023410000}"/>
    <cellStyle name="40% - Accent5 5 9" xfId="34811" xr:uid="{00000000-0005-0000-0000-000024410000}"/>
    <cellStyle name="40% - Accent5 6" xfId="14287" xr:uid="{00000000-0005-0000-0000-000025410000}"/>
    <cellStyle name="40% - Accent5 7" xfId="14288" xr:uid="{00000000-0005-0000-0000-000026410000}"/>
    <cellStyle name="40% - Accent5 8" xfId="14289" xr:uid="{00000000-0005-0000-0000-000027410000}"/>
    <cellStyle name="40% - Accent5 9" xfId="14290" xr:uid="{00000000-0005-0000-0000-000028410000}"/>
    <cellStyle name="40% - Accent5 9 2" xfId="14291" xr:uid="{00000000-0005-0000-0000-000029410000}"/>
    <cellStyle name="40% - Accent5 9 2 2" xfId="14292" xr:uid="{00000000-0005-0000-0000-00002A410000}"/>
    <cellStyle name="40% - Accent5 9 3" xfId="14293" xr:uid="{00000000-0005-0000-0000-00002B410000}"/>
    <cellStyle name="40% - Accent5 9 4" xfId="14294" xr:uid="{00000000-0005-0000-0000-00002C410000}"/>
    <cellStyle name="40% - Accent5 9 5" xfId="38590" xr:uid="{00000000-0005-0000-0000-00002D410000}"/>
    <cellStyle name="40% - Accent6 10" xfId="41867" xr:uid="{2420EC9E-40A1-472C-89C1-826C6A51B187}"/>
    <cellStyle name="40% - Accent6 2" xfId="14295" xr:uid="{00000000-0005-0000-0000-00002E410000}"/>
    <cellStyle name="40% - Accent6 2 10" xfId="14296" xr:uid="{00000000-0005-0000-0000-00002F410000}"/>
    <cellStyle name="40% - Accent6 2 10 2" xfId="14297" xr:uid="{00000000-0005-0000-0000-000030410000}"/>
    <cellStyle name="40% - Accent6 2 10 2 2" xfId="14298" xr:uid="{00000000-0005-0000-0000-000031410000}"/>
    <cellStyle name="40% - Accent6 2 10 3" xfId="14299" xr:uid="{00000000-0005-0000-0000-000032410000}"/>
    <cellStyle name="40% - Accent6 2 10 4" xfId="14300" xr:uid="{00000000-0005-0000-0000-000033410000}"/>
    <cellStyle name="40% - Accent6 2 10 5" xfId="38591" xr:uid="{00000000-0005-0000-0000-000034410000}"/>
    <cellStyle name="40% - Accent6 2 11" xfId="14301" xr:uid="{00000000-0005-0000-0000-000035410000}"/>
    <cellStyle name="40% - Accent6 2 11 2" xfId="14302" xr:uid="{00000000-0005-0000-0000-000036410000}"/>
    <cellStyle name="40% - Accent6 2 12" xfId="14303" xr:uid="{00000000-0005-0000-0000-000037410000}"/>
    <cellStyle name="40% - Accent6 2 13" xfId="14304" xr:uid="{00000000-0005-0000-0000-000038410000}"/>
    <cellStyle name="40% - Accent6 2 14" xfId="41868" xr:uid="{17A49CEF-0D9E-48B4-9F6D-40DA3966A3AE}"/>
    <cellStyle name="40% - Accent6 2 2" xfId="14305" xr:uid="{00000000-0005-0000-0000-000039410000}"/>
    <cellStyle name="40% - Accent6 2 2 2" xfId="14306" xr:uid="{00000000-0005-0000-0000-00003A410000}"/>
    <cellStyle name="40% - Accent6 2 2 3" xfId="14307" xr:uid="{00000000-0005-0000-0000-00003B410000}"/>
    <cellStyle name="40% - Accent6 2 2 3 2" xfId="38593" xr:uid="{00000000-0005-0000-0000-00003C410000}"/>
    <cellStyle name="40% - Accent6 2 2 3 3" xfId="38592" xr:uid="{00000000-0005-0000-0000-00003D410000}"/>
    <cellStyle name="40% - Accent6 2 2 4" xfId="14308" xr:uid="{00000000-0005-0000-0000-00003E410000}"/>
    <cellStyle name="40% - Accent6 2 3" xfId="14309" xr:uid="{00000000-0005-0000-0000-00003F410000}"/>
    <cellStyle name="40% - Accent6 2 3 10" xfId="14310" xr:uid="{00000000-0005-0000-0000-000040410000}"/>
    <cellStyle name="40% - Accent6 2 3 11" xfId="14311" xr:uid="{00000000-0005-0000-0000-000041410000}"/>
    <cellStyle name="40% - Accent6 2 3 12" xfId="34819" xr:uid="{00000000-0005-0000-0000-000042410000}"/>
    <cellStyle name="40% - Accent6 2 3 2" xfId="14312" xr:uid="{00000000-0005-0000-0000-000043410000}"/>
    <cellStyle name="40% - Accent6 2 3 2 10" xfId="14313" xr:uid="{00000000-0005-0000-0000-000044410000}"/>
    <cellStyle name="40% - Accent6 2 3 2 11" xfId="34820" xr:uid="{00000000-0005-0000-0000-000045410000}"/>
    <cellStyle name="40% - Accent6 2 3 2 2" xfId="14314" xr:uid="{00000000-0005-0000-0000-000046410000}"/>
    <cellStyle name="40% - Accent6 2 3 2 2 10" xfId="34821" xr:uid="{00000000-0005-0000-0000-000047410000}"/>
    <cellStyle name="40% - Accent6 2 3 2 2 2" xfId="14315" xr:uid="{00000000-0005-0000-0000-000048410000}"/>
    <cellStyle name="40% - Accent6 2 3 2 2 2 2" xfId="14316" xr:uid="{00000000-0005-0000-0000-000049410000}"/>
    <cellStyle name="40% - Accent6 2 3 2 2 2 2 2" xfId="14317" xr:uid="{00000000-0005-0000-0000-00004A410000}"/>
    <cellStyle name="40% - Accent6 2 3 2 2 2 2 2 2" xfId="14318" xr:uid="{00000000-0005-0000-0000-00004B410000}"/>
    <cellStyle name="40% - Accent6 2 3 2 2 2 2 3" xfId="14319" xr:uid="{00000000-0005-0000-0000-00004C410000}"/>
    <cellStyle name="40% - Accent6 2 3 2 2 2 2 4" xfId="14320" xr:uid="{00000000-0005-0000-0000-00004D410000}"/>
    <cellStyle name="40% - Accent6 2 3 2 2 2 2 5" xfId="38595" xr:uid="{00000000-0005-0000-0000-00004E410000}"/>
    <cellStyle name="40% - Accent6 2 3 2 2 2 3" xfId="14321" xr:uid="{00000000-0005-0000-0000-00004F410000}"/>
    <cellStyle name="40% - Accent6 2 3 2 2 2 3 2" xfId="14322" xr:uid="{00000000-0005-0000-0000-000050410000}"/>
    <cellStyle name="40% - Accent6 2 3 2 2 2 4" xfId="14323" xr:uid="{00000000-0005-0000-0000-000051410000}"/>
    <cellStyle name="40% - Accent6 2 3 2 2 2 5" xfId="14324" xr:uid="{00000000-0005-0000-0000-000052410000}"/>
    <cellStyle name="40% - Accent6 2 3 2 2 2 6" xfId="38594" xr:uid="{00000000-0005-0000-0000-000053410000}"/>
    <cellStyle name="40% - Accent6 2 3 2 2 3" xfId="14325" xr:uid="{00000000-0005-0000-0000-000054410000}"/>
    <cellStyle name="40% - Accent6 2 3 2 2 3 2" xfId="14326" xr:uid="{00000000-0005-0000-0000-000055410000}"/>
    <cellStyle name="40% - Accent6 2 3 2 2 3 2 2" xfId="14327" xr:uid="{00000000-0005-0000-0000-000056410000}"/>
    <cellStyle name="40% - Accent6 2 3 2 2 3 2 2 2" xfId="14328" xr:uid="{00000000-0005-0000-0000-000057410000}"/>
    <cellStyle name="40% - Accent6 2 3 2 2 3 2 3" xfId="14329" xr:uid="{00000000-0005-0000-0000-000058410000}"/>
    <cellStyle name="40% - Accent6 2 3 2 2 3 2 4" xfId="14330" xr:uid="{00000000-0005-0000-0000-000059410000}"/>
    <cellStyle name="40% - Accent6 2 3 2 2 3 2 5" xfId="38597" xr:uid="{00000000-0005-0000-0000-00005A410000}"/>
    <cellStyle name="40% - Accent6 2 3 2 2 3 3" xfId="14331" xr:uid="{00000000-0005-0000-0000-00005B410000}"/>
    <cellStyle name="40% - Accent6 2 3 2 2 3 3 2" xfId="14332" xr:uid="{00000000-0005-0000-0000-00005C410000}"/>
    <cellStyle name="40% - Accent6 2 3 2 2 3 4" xfId="14333" xr:uid="{00000000-0005-0000-0000-00005D410000}"/>
    <cellStyle name="40% - Accent6 2 3 2 2 3 5" xfId="14334" xr:uid="{00000000-0005-0000-0000-00005E410000}"/>
    <cellStyle name="40% - Accent6 2 3 2 2 3 6" xfId="38596" xr:uid="{00000000-0005-0000-0000-00005F410000}"/>
    <cellStyle name="40% - Accent6 2 3 2 2 4" xfId="14335" xr:uid="{00000000-0005-0000-0000-000060410000}"/>
    <cellStyle name="40% - Accent6 2 3 2 2 4 2" xfId="14336" xr:uid="{00000000-0005-0000-0000-000061410000}"/>
    <cellStyle name="40% - Accent6 2 3 2 2 4 2 2" xfId="14337" xr:uid="{00000000-0005-0000-0000-000062410000}"/>
    <cellStyle name="40% - Accent6 2 3 2 2 4 3" xfId="14338" xr:uid="{00000000-0005-0000-0000-000063410000}"/>
    <cellStyle name="40% - Accent6 2 3 2 2 4 4" xfId="14339" xr:uid="{00000000-0005-0000-0000-000064410000}"/>
    <cellStyle name="40% - Accent6 2 3 2 2 4 5" xfId="38598" xr:uid="{00000000-0005-0000-0000-000065410000}"/>
    <cellStyle name="40% - Accent6 2 3 2 2 5" xfId="14340" xr:uid="{00000000-0005-0000-0000-000066410000}"/>
    <cellStyle name="40% - Accent6 2 3 2 2 5 2" xfId="14341" xr:uid="{00000000-0005-0000-0000-000067410000}"/>
    <cellStyle name="40% - Accent6 2 3 2 2 5 2 2" xfId="14342" xr:uid="{00000000-0005-0000-0000-000068410000}"/>
    <cellStyle name="40% - Accent6 2 3 2 2 5 3" xfId="14343" xr:uid="{00000000-0005-0000-0000-000069410000}"/>
    <cellStyle name="40% - Accent6 2 3 2 2 5 4" xfId="14344" xr:uid="{00000000-0005-0000-0000-00006A410000}"/>
    <cellStyle name="40% - Accent6 2 3 2 2 6" xfId="14345" xr:uid="{00000000-0005-0000-0000-00006B410000}"/>
    <cellStyle name="40% - Accent6 2 3 2 2 6 2" xfId="14346" xr:uid="{00000000-0005-0000-0000-00006C410000}"/>
    <cellStyle name="40% - Accent6 2 3 2 2 6 2 2" xfId="14347" xr:uid="{00000000-0005-0000-0000-00006D410000}"/>
    <cellStyle name="40% - Accent6 2 3 2 2 6 3" xfId="14348" xr:uid="{00000000-0005-0000-0000-00006E410000}"/>
    <cellStyle name="40% - Accent6 2 3 2 2 6 4" xfId="14349" xr:uid="{00000000-0005-0000-0000-00006F410000}"/>
    <cellStyle name="40% - Accent6 2 3 2 2 7" xfId="14350" xr:uid="{00000000-0005-0000-0000-000070410000}"/>
    <cellStyle name="40% - Accent6 2 3 2 2 7 2" xfId="14351" xr:uid="{00000000-0005-0000-0000-000071410000}"/>
    <cellStyle name="40% - Accent6 2 3 2 2 8" xfId="14352" xr:uid="{00000000-0005-0000-0000-000072410000}"/>
    <cellStyle name="40% - Accent6 2 3 2 2 9" xfId="14353" xr:uid="{00000000-0005-0000-0000-000073410000}"/>
    <cellStyle name="40% - Accent6 2 3 2 3" xfId="14354" xr:uid="{00000000-0005-0000-0000-000074410000}"/>
    <cellStyle name="40% - Accent6 2 3 2 3 2" xfId="14355" xr:uid="{00000000-0005-0000-0000-000075410000}"/>
    <cellStyle name="40% - Accent6 2 3 2 3 2 2" xfId="14356" xr:uid="{00000000-0005-0000-0000-000076410000}"/>
    <cellStyle name="40% - Accent6 2 3 2 3 2 2 2" xfId="14357" xr:uid="{00000000-0005-0000-0000-000077410000}"/>
    <cellStyle name="40% - Accent6 2 3 2 3 2 3" xfId="14358" xr:uid="{00000000-0005-0000-0000-000078410000}"/>
    <cellStyle name="40% - Accent6 2 3 2 3 2 4" xfId="14359" xr:uid="{00000000-0005-0000-0000-000079410000}"/>
    <cellStyle name="40% - Accent6 2 3 2 3 2 5" xfId="38600" xr:uid="{00000000-0005-0000-0000-00007A410000}"/>
    <cellStyle name="40% - Accent6 2 3 2 3 3" xfId="14360" xr:uid="{00000000-0005-0000-0000-00007B410000}"/>
    <cellStyle name="40% - Accent6 2 3 2 3 3 2" xfId="14361" xr:uid="{00000000-0005-0000-0000-00007C410000}"/>
    <cellStyle name="40% - Accent6 2 3 2 3 4" xfId="14362" xr:uid="{00000000-0005-0000-0000-00007D410000}"/>
    <cellStyle name="40% - Accent6 2 3 2 3 5" xfId="14363" xr:uid="{00000000-0005-0000-0000-00007E410000}"/>
    <cellStyle name="40% - Accent6 2 3 2 3 6" xfId="38599" xr:uid="{00000000-0005-0000-0000-00007F410000}"/>
    <cellStyle name="40% - Accent6 2 3 2 4" xfId="14364" xr:uid="{00000000-0005-0000-0000-000080410000}"/>
    <cellStyle name="40% - Accent6 2 3 2 4 2" xfId="14365" xr:uid="{00000000-0005-0000-0000-000081410000}"/>
    <cellStyle name="40% - Accent6 2 3 2 4 2 2" xfId="14366" xr:uid="{00000000-0005-0000-0000-000082410000}"/>
    <cellStyle name="40% - Accent6 2 3 2 4 2 2 2" xfId="14367" xr:uid="{00000000-0005-0000-0000-000083410000}"/>
    <cellStyle name="40% - Accent6 2 3 2 4 2 3" xfId="14368" xr:uid="{00000000-0005-0000-0000-000084410000}"/>
    <cellStyle name="40% - Accent6 2 3 2 4 2 4" xfId="14369" xr:uid="{00000000-0005-0000-0000-000085410000}"/>
    <cellStyle name="40% - Accent6 2 3 2 4 2 5" xfId="38602" xr:uid="{00000000-0005-0000-0000-000086410000}"/>
    <cellStyle name="40% - Accent6 2 3 2 4 3" xfId="14370" xr:uid="{00000000-0005-0000-0000-000087410000}"/>
    <cellStyle name="40% - Accent6 2 3 2 4 3 2" xfId="14371" xr:uid="{00000000-0005-0000-0000-000088410000}"/>
    <cellStyle name="40% - Accent6 2 3 2 4 4" xfId="14372" xr:uid="{00000000-0005-0000-0000-000089410000}"/>
    <cellStyle name="40% - Accent6 2 3 2 4 5" xfId="14373" xr:uid="{00000000-0005-0000-0000-00008A410000}"/>
    <cellStyle name="40% - Accent6 2 3 2 4 6" xfId="38601" xr:uid="{00000000-0005-0000-0000-00008B410000}"/>
    <cellStyle name="40% - Accent6 2 3 2 5" xfId="14374" xr:uid="{00000000-0005-0000-0000-00008C410000}"/>
    <cellStyle name="40% - Accent6 2 3 2 5 2" xfId="14375" xr:uid="{00000000-0005-0000-0000-00008D410000}"/>
    <cellStyle name="40% - Accent6 2 3 2 5 2 2" xfId="14376" xr:uid="{00000000-0005-0000-0000-00008E410000}"/>
    <cellStyle name="40% - Accent6 2 3 2 5 3" xfId="14377" xr:uid="{00000000-0005-0000-0000-00008F410000}"/>
    <cellStyle name="40% - Accent6 2 3 2 5 4" xfId="14378" xr:uid="{00000000-0005-0000-0000-000090410000}"/>
    <cellStyle name="40% - Accent6 2 3 2 5 5" xfId="38603" xr:uid="{00000000-0005-0000-0000-000091410000}"/>
    <cellStyle name="40% - Accent6 2 3 2 6" xfId="14379" xr:uid="{00000000-0005-0000-0000-000092410000}"/>
    <cellStyle name="40% - Accent6 2 3 2 6 2" xfId="14380" xr:uid="{00000000-0005-0000-0000-000093410000}"/>
    <cellStyle name="40% - Accent6 2 3 2 6 2 2" xfId="14381" xr:uid="{00000000-0005-0000-0000-000094410000}"/>
    <cellStyle name="40% - Accent6 2 3 2 6 3" xfId="14382" xr:uid="{00000000-0005-0000-0000-000095410000}"/>
    <cellStyle name="40% - Accent6 2 3 2 6 4" xfId="14383" xr:uid="{00000000-0005-0000-0000-000096410000}"/>
    <cellStyle name="40% - Accent6 2 3 2 7" xfId="14384" xr:uid="{00000000-0005-0000-0000-000097410000}"/>
    <cellStyle name="40% - Accent6 2 3 2 7 2" xfId="14385" xr:uid="{00000000-0005-0000-0000-000098410000}"/>
    <cellStyle name="40% - Accent6 2 3 2 7 2 2" xfId="14386" xr:uid="{00000000-0005-0000-0000-000099410000}"/>
    <cellStyle name="40% - Accent6 2 3 2 7 3" xfId="14387" xr:uid="{00000000-0005-0000-0000-00009A410000}"/>
    <cellStyle name="40% - Accent6 2 3 2 7 4" xfId="14388" xr:uid="{00000000-0005-0000-0000-00009B410000}"/>
    <cellStyle name="40% - Accent6 2 3 2 8" xfId="14389" xr:uid="{00000000-0005-0000-0000-00009C410000}"/>
    <cellStyle name="40% - Accent6 2 3 2 8 2" xfId="14390" xr:uid="{00000000-0005-0000-0000-00009D410000}"/>
    <cellStyle name="40% - Accent6 2 3 2 9" xfId="14391" xr:uid="{00000000-0005-0000-0000-00009E410000}"/>
    <cellStyle name="40% - Accent6 2 3 3" xfId="14392" xr:uid="{00000000-0005-0000-0000-00009F410000}"/>
    <cellStyle name="40% - Accent6 2 3 3 10" xfId="34822" xr:uid="{00000000-0005-0000-0000-0000A0410000}"/>
    <cellStyle name="40% - Accent6 2 3 3 2" xfId="14393" xr:uid="{00000000-0005-0000-0000-0000A1410000}"/>
    <cellStyle name="40% - Accent6 2 3 3 2 2" xfId="14394" xr:uid="{00000000-0005-0000-0000-0000A2410000}"/>
    <cellStyle name="40% - Accent6 2 3 3 2 2 2" xfId="14395" xr:uid="{00000000-0005-0000-0000-0000A3410000}"/>
    <cellStyle name="40% - Accent6 2 3 3 2 2 2 2" xfId="14396" xr:uid="{00000000-0005-0000-0000-0000A4410000}"/>
    <cellStyle name="40% - Accent6 2 3 3 2 2 3" xfId="14397" xr:uid="{00000000-0005-0000-0000-0000A5410000}"/>
    <cellStyle name="40% - Accent6 2 3 3 2 2 4" xfId="14398" xr:uid="{00000000-0005-0000-0000-0000A6410000}"/>
    <cellStyle name="40% - Accent6 2 3 3 2 2 5" xfId="38605" xr:uid="{00000000-0005-0000-0000-0000A7410000}"/>
    <cellStyle name="40% - Accent6 2 3 3 2 3" xfId="14399" xr:uid="{00000000-0005-0000-0000-0000A8410000}"/>
    <cellStyle name="40% - Accent6 2 3 3 2 3 2" xfId="14400" xr:uid="{00000000-0005-0000-0000-0000A9410000}"/>
    <cellStyle name="40% - Accent6 2 3 3 2 4" xfId="14401" xr:uid="{00000000-0005-0000-0000-0000AA410000}"/>
    <cellStyle name="40% - Accent6 2 3 3 2 5" xfId="14402" xr:uid="{00000000-0005-0000-0000-0000AB410000}"/>
    <cellStyle name="40% - Accent6 2 3 3 2 6" xfId="38604" xr:uid="{00000000-0005-0000-0000-0000AC410000}"/>
    <cellStyle name="40% - Accent6 2 3 3 3" xfId="14403" xr:uid="{00000000-0005-0000-0000-0000AD410000}"/>
    <cellStyle name="40% - Accent6 2 3 3 3 2" xfId="14404" xr:uid="{00000000-0005-0000-0000-0000AE410000}"/>
    <cellStyle name="40% - Accent6 2 3 3 3 2 2" xfId="14405" xr:uid="{00000000-0005-0000-0000-0000AF410000}"/>
    <cellStyle name="40% - Accent6 2 3 3 3 2 2 2" xfId="14406" xr:uid="{00000000-0005-0000-0000-0000B0410000}"/>
    <cellStyle name="40% - Accent6 2 3 3 3 2 3" xfId="14407" xr:uid="{00000000-0005-0000-0000-0000B1410000}"/>
    <cellStyle name="40% - Accent6 2 3 3 3 2 4" xfId="14408" xr:uid="{00000000-0005-0000-0000-0000B2410000}"/>
    <cellStyle name="40% - Accent6 2 3 3 3 2 5" xfId="38607" xr:uid="{00000000-0005-0000-0000-0000B3410000}"/>
    <cellStyle name="40% - Accent6 2 3 3 3 3" xfId="14409" xr:uid="{00000000-0005-0000-0000-0000B4410000}"/>
    <cellStyle name="40% - Accent6 2 3 3 3 3 2" xfId="14410" xr:uid="{00000000-0005-0000-0000-0000B5410000}"/>
    <cellStyle name="40% - Accent6 2 3 3 3 4" xfId="14411" xr:uid="{00000000-0005-0000-0000-0000B6410000}"/>
    <cellStyle name="40% - Accent6 2 3 3 3 5" xfId="14412" xr:uid="{00000000-0005-0000-0000-0000B7410000}"/>
    <cellStyle name="40% - Accent6 2 3 3 3 6" xfId="38606" xr:uid="{00000000-0005-0000-0000-0000B8410000}"/>
    <cellStyle name="40% - Accent6 2 3 3 4" xfId="14413" xr:uid="{00000000-0005-0000-0000-0000B9410000}"/>
    <cellStyle name="40% - Accent6 2 3 3 4 2" xfId="14414" xr:uid="{00000000-0005-0000-0000-0000BA410000}"/>
    <cellStyle name="40% - Accent6 2 3 3 4 2 2" xfId="14415" xr:uid="{00000000-0005-0000-0000-0000BB410000}"/>
    <cellStyle name="40% - Accent6 2 3 3 4 3" xfId="14416" xr:uid="{00000000-0005-0000-0000-0000BC410000}"/>
    <cellStyle name="40% - Accent6 2 3 3 4 4" xfId="14417" xr:uid="{00000000-0005-0000-0000-0000BD410000}"/>
    <cellStyle name="40% - Accent6 2 3 3 4 5" xfId="38608" xr:uid="{00000000-0005-0000-0000-0000BE410000}"/>
    <cellStyle name="40% - Accent6 2 3 3 5" xfId="14418" xr:uid="{00000000-0005-0000-0000-0000BF410000}"/>
    <cellStyle name="40% - Accent6 2 3 3 5 2" xfId="14419" xr:uid="{00000000-0005-0000-0000-0000C0410000}"/>
    <cellStyle name="40% - Accent6 2 3 3 5 2 2" xfId="14420" xr:uid="{00000000-0005-0000-0000-0000C1410000}"/>
    <cellStyle name="40% - Accent6 2 3 3 5 3" xfId="14421" xr:uid="{00000000-0005-0000-0000-0000C2410000}"/>
    <cellStyle name="40% - Accent6 2 3 3 5 4" xfId="14422" xr:uid="{00000000-0005-0000-0000-0000C3410000}"/>
    <cellStyle name="40% - Accent6 2 3 3 6" xfId="14423" xr:uid="{00000000-0005-0000-0000-0000C4410000}"/>
    <cellStyle name="40% - Accent6 2 3 3 6 2" xfId="14424" xr:uid="{00000000-0005-0000-0000-0000C5410000}"/>
    <cellStyle name="40% - Accent6 2 3 3 6 2 2" xfId="14425" xr:uid="{00000000-0005-0000-0000-0000C6410000}"/>
    <cellStyle name="40% - Accent6 2 3 3 6 3" xfId="14426" xr:uid="{00000000-0005-0000-0000-0000C7410000}"/>
    <cellStyle name="40% - Accent6 2 3 3 6 4" xfId="14427" xr:uid="{00000000-0005-0000-0000-0000C8410000}"/>
    <cellStyle name="40% - Accent6 2 3 3 7" xfId="14428" xr:uid="{00000000-0005-0000-0000-0000C9410000}"/>
    <cellStyle name="40% - Accent6 2 3 3 7 2" xfId="14429" xr:uid="{00000000-0005-0000-0000-0000CA410000}"/>
    <cellStyle name="40% - Accent6 2 3 3 8" xfId="14430" xr:uid="{00000000-0005-0000-0000-0000CB410000}"/>
    <cellStyle name="40% - Accent6 2 3 3 9" xfId="14431" xr:uid="{00000000-0005-0000-0000-0000CC410000}"/>
    <cellStyle name="40% - Accent6 2 3 4" xfId="14432" xr:uid="{00000000-0005-0000-0000-0000CD410000}"/>
    <cellStyle name="40% - Accent6 2 3 4 2" xfId="14433" xr:uid="{00000000-0005-0000-0000-0000CE410000}"/>
    <cellStyle name="40% - Accent6 2 3 4 2 2" xfId="14434" xr:uid="{00000000-0005-0000-0000-0000CF410000}"/>
    <cellStyle name="40% - Accent6 2 3 4 2 2 2" xfId="14435" xr:uid="{00000000-0005-0000-0000-0000D0410000}"/>
    <cellStyle name="40% - Accent6 2 3 4 2 3" xfId="14436" xr:uid="{00000000-0005-0000-0000-0000D1410000}"/>
    <cellStyle name="40% - Accent6 2 3 4 2 4" xfId="14437" xr:uid="{00000000-0005-0000-0000-0000D2410000}"/>
    <cellStyle name="40% - Accent6 2 3 4 2 5" xfId="38610" xr:uid="{00000000-0005-0000-0000-0000D3410000}"/>
    <cellStyle name="40% - Accent6 2 3 4 3" xfId="14438" xr:uid="{00000000-0005-0000-0000-0000D4410000}"/>
    <cellStyle name="40% - Accent6 2 3 4 4" xfId="14439" xr:uid="{00000000-0005-0000-0000-0000D5410000}"/>
    <cellStyle name="40% - Accent6 2 3 4 4 2" xfId="14440" xr:uid="{00000000-0005-0000-0000-0000D6410000}"/>
    <cellStyle name="40% - Accent6 2 3 4 5" xfId="14441" xr:uid="{00000000-0005-0000-0000-0000D7410000}"/>
    <cellStyle name="40% - Accent6 2 3 4 6" xfId="14442" xr:uid="{00000000-0005-0000-0000-0000D8410000}"/>
    <cellStyle name="40% - Accent6 2 3 4 7" xfId="38609" xr:uid="{00000000-0005-0000-0000-0000D9410000}"/>
    <cellStyle name="40% - Accent6 2 3 5" xfId="14443" xr:uid="{00000000-0005-0000-0000-0000DA410000}"/>
    <cellStyle name="40% - Accent6 2 3 5 2" xfId="14444" xr:uid="{00000000-0005-0000-0000-0000DB410000}"/>
    <cellStyle name="40% - Accent6 2 3 5 2 2" xfId="14445" xr:uid="{00000000-0005-0000-0000-0000DC410000}"/>
    <cellStyle name="40% - Accent6 2 3 5 2 2 2" xfId="14446" xr:uid="{00000000-0005-0000-0000-0000DD410000}"/>
    <cellStyle name="40% - Accent6 2 3 5 2 3" xfId="14447" xr:uid="{00000000-0005-0000-0000-0000DE410000}"/>
    <cellStyle name="40% - Accent6 2 3 5 2 4" xfId="14448" xr:uid="{00000000-0005-0000-0000-0000DF410000}"/>
    <cellStyle name="40% - Accent6 2 3 5 2 5" xfId="38612" xr:uid="{00000000-0005-0000-0000-0000E0410000}"/>
    <cellStyle name="40% - Accent6 2 3 5 3" xfId="14449" xr:uid="{00000000-0005-0000-0000-0000E1410000}"/>
    <cellStyle name="40% - Accent6 2 3 5 3 2" xfId="14450" xr:uid="{00000000-0005-0000-0000-0000E2410000}"/>
    <cellStyle name="40% - Accent6 2 3 5 4" xfId="14451" xr:uid="{00000000-0005-0000-0000-0000E3410000}"/>
    <cellStyle name="40% - Accent6 2 3 5 5" xfId="14452" xr:uid="{00000000-0005-0000-0000-0000E4410000}"/>
    <cellStyle name="40% - Accent6 2 3 5 6" xfId="38611" xr:uid="{00000000-0005-0000-0000-0000E5410000}"/>
    <cellStyle name="40% - Accent6 2 3 6" xfId="14453" xr:uid="{00000000-0005-0000-0000-0000E6410000}"/>
    <cellStyle name="40% - Accent6 2 3 6 2" xfId="14454" xr:uid="{00000000-0005-0000-0000-0000E7410000}"/>
    <cellStyle name="40% - Accent6 2 3 6 2 2" xfId="14455" xr:uid="{00000000-0005-0000-0000-0000E8410000}"/>
    <cellStyle name="40% - Accent6 2 3 6 3" xfId="14456" xr:uid="{00000000-0005-0000-0000-0000E9410000}"/>
    <cellStyle name="40% - Accent6 2 3 6 4" xfId="14457" xr:uid="{00000000-0005-0000-0000-0000EA410000}"/>
    <cellStyle name="40% - Accent6 2 3 6 5" xfId="38613" xr:uid="{00000000-0005-0000-0000-0000EB410000}"/>
    <cellStyle name="40% - Accent6 2 3 7" xfId="14458" xr:uid="{00000000-0005-0000-0000-0000EC410000}"/>
    <cellStyle name="40% - Accent6 2 3 7 2" xfId="14459" xr:uid="{00000000-0005-0000-0000-0000ED410000}"/>
    <cellStyle name="40% - Accent6 2 3 7 2 2" xfId="14460" xr:uid="{00000000-0005-0000-0000-0000EE410000}"/>
    <cellStyle name="40% - Accent6 2 3 7 3" xfId="14461" xr:uid="{00000000-0005-0000-0000-0000EF410000}"/>
    <cellStyle name="40% - Accent6 2 3 7 4" xfId="14462" xr:uid="{00000000-0005-0000-0000-0000F0410000}"/>
    <cellStyle name="40% - Accent6 2 3 8" xfId="14463" xr:uid="{00000000-0005-0000-0000-0000F1410000}"/>
    <cellStyle name="40% - Accent6 2 3 8 2" xfId="14464" xr:uid="{00000000-0005-0000-0000-0000F2410000}"/>
    <cellStyle name="40% - Accent6 2 3 8 2 2" xfId="14465" xr:uid="{00000000-0005-0000-0000-0000F3410000}"/>
    <cellStyle name="40% - Accent6 2 3 8 3" xfId="14466" xr:uid="{00000000-0005-0000-0000-0000F4410000}"/>
    <cellStyle name="40% - Accent6 2 3 8 4" xfId="14467" xr:uid="{00000000-0005-0000-0000-0000F5410000}"/>
    <cellStyle name="40% - Accent6 2 3 9" xfId="14468" xr:uid="{00000000-0005-0000-0000-0000F6410000}"/>
    <cellStyle name="40% - Accent6 2 3 9 2" xfId="14469" xr:uid="{00000000-0005-0000-0000-0000F7410000}"/>
    <cellStyle name="40% - Accent6 2 4" xfId="14470" xr:uid="{00000000-0005-0000-0000-0000F8410000}"/>
    <cellStyle name="40% - Accent6 2 4 10" xfId="14471" xr:uid="{00000000-0005-0000-0000-0000F9410000}"/>
    <cellStyle name="40% - Accent6 2 4 11" xfId="34823" xr:uid="{00000000-0005-0000-0000-0000FA410000}"/>
    <cellStyle name="40% - Accent6 2 4 2" xfId="14472" xr:uid="{00000000-0005-0000-0000-0000FB410000}"/>
    <cellStyle name="40% - Accent6 2 4 2 10" xfId="34824" xr:uid="{00000000-0005-0000-0000-0000FC410000}"/>
    <cellStyle name="40% - Accent6 2 4 2 2" xfId="14473" xr:uid="{00000000-0005-0000-0000-0000FD410000}"/>
    <cellStyle name="40% - Accent6 2 4 2 2 2" xfId="14474" xr:uid="{00000000-0005-0000-0000-0000FE410000}"/>
    <cellStyle name="40% - Accent6 2 4 2 2 2 2" xfId="14475" xr:uid="{00000000-0005-0000-0000-0000FF410000}"/>
    <cellStyle name="40% - Accent6 2 4 2 2 2 2 2" xfId="14476" xr:uid="{00000000-0005-0000-0000-000000420000}"/>
    <cellStyle name="40% - Accent6 2 4 2 2 2 3" xfId="14477" xr:uid="{00000000-0005-0000-0000-000001420000}"/>
    <cellStyle name="40% - Accent6 2 4 2 2 2 4" xfId="14478" xr:uid="{00000000-0005-0000-0000-000002420000}"/>
    <cellStyle name="40% - Accent6 2 4 2 2 2 5" xfId="38615" xr:uid="{00000000-0005-0000-0000-000003420000}"/>
    <cellStyle name="40% - Accent6 2 4 2 2 3" xfId="14479" xr:uid="{00000000-0005-0000-0000-000004420000}"/>
    <cellStyle name="40% - Accent6 2 4 2 2 3 2" xfId="14480" xr:uid="{00000000-0005-0000-0000-000005420000}"/>
    <cellStyle name="40% - Accent6 2 4 2 2 4" xfId="14481" xr:uid="{00000000-0005-0000-0000-000006420000}"/>
    <cellStyle name="40% - Accent6 2 4 2 2 5" xfId="14482" xr:uid="{00000000-0005-0000-0000-000007420000}"/>
    <cellStyle name="40% - Accent6 2 4 2 2 6" xfId="38614" xr:uid="{00000000-0005-0000-0000-000008420000}"/>
    <cellStyle name="40% - Accent6 2 4 2 3" xfId="14483" xr:uid="{00000000-0005-0000-0000-000009420000}"/>
    <cellStyle name="40% - Accent6 2 4 2 3 2" xfId="14484" xr:uid="{00000000-0005-0000-0000-00000A420000}"/>
    <cellStyle name="40% - Accent6 2 4 2 3 2 2" xfId="14485" xr:uid="{00000000-0005-0000-0000-00000B420000}"/>
    <cellStyle name="40% - Accent6 2 4 2 3 2 2 2" xfId="14486" xr:uid="{00000000-0005-0000-0000-00000C420000}"/>
    <cellStyle name="40% - Accent6 2 4 2 3 2 3" xfId="14487" xr:uid="{00000000-0005-0000-0000-00000D420000}"/>
    <cellStyle name="40% - Accent6 2 4 2 3 2 4" xfId="14488" xr:uid="{00000000-0005-0000-0000-00000E420000}"/>
    <cellStyle name="40% - Accent6 2 4 2 3 2 5" xfId="38617" xr:uid="{00000000-0005-0000-0000-00000F420000}"/>
    <cellStyle name="40% - Accent6 2 4 2 3 3" xfId="14489" xr:uid="{00000000-0005-0000-0000-000010420000}"/>
    <cellStyle name="40% - Accent6 2 4 2 3 3 2" xfId="14490" xr:uid="{00000000-0005-0000-0000-000011420000}"/>
    <cellStyle name="40% - Accent6 2 4 2 3 4" xfId="14491" xr:uid="{00000000-0005-0000-0000-000012420000}"/>
    <cellStyle name="40% - Accent6 2 4 2 3 5" xfId="14492" xr:uid="{00000000-0005-0000-0000-000013420000}"/>
    <cellStyle name="40% - Accent6 2 4 2 3 6" xfId="38616" xr:uid="{00000000-0005-0000-0000-000014420000}"/>
    <cellStyle name="40% - Accent6 2 4 2 4" xfId="14493" xr:uid="{00000000-0005-0000-0000-000015420000}"/>
    <cellStyle name="40% - Accent6 2 4 2 4 2" xfId="14494" xr:uid="{00000000-0005-0000-0000-000016420000}"/>
    <cellStyle name="40% - Accent6 2 4 2 4 2 2" xfId="14495" xr:uid="{00000000-0005-0000-0000-000017420000}"/>
    <cellStyle name="40% - Accent6 2 4 2 4 3" xfId="14496" xr:uid="{00000000-0005-0000-0000-000018420000}"/>
    <cellStyle name="40% - Accent6 2 4 2 4 4" xfId="14497" xr:uid="{00000000-0005-0000-0000-000019420000}"/>
    <cellStyle name="40% - Accent6 2 4 2 4 5" xfId="38618" xr:uid="{00000000-0005-0000-0000-00001A420000}"/>
    <cellStyle name="40% - Accent6 2 4 2 5" xfId="14498" xr:uid="{00000000-0005-0000-0000-00001B420000}"/>
    <cellStyle name="40% - Accent6 2 4 2 5 2" xfId="14499" xr:uid="{00000000-0005-0000-0000-00001C420000}"/>
    <cellStyle name="40% - Accent6 2 4 2 5 2 2" xfId="14500" xr:uid="{00000000-0005-0000-0000-00001D420000}"/>
    <cellStyle name="40% - Accent6 2 4 2 5 3" xfId="14501" xr:uid="{00000000-0005-0000-0000-00001E420000}"/>
    <cellStyle name="40% - Accent6 2 4 2 5 4" xfId="14502" xr:uid="{00000000-0005-0000-0000-00001F420000}"/>
    <cellStyle name="40% - Accent6 2 4 2 6" xfId="14503" xr:uid="{00000000-0005-0000-0000-000020420000}"/>
    <cellStyle name="40% - Accent6 2 4 2 6 2" xfId="14504" xr:uid="{00000000-0005-0000-0000-000021420000}"/>
    <cellStyle name="40% - Accent6 2 4 2 6 2 2" xfId="14505" xr:uid="{00000000-0005-0000-0000-000022420000}"/>
    <cellStyle name="40% - Accent6 2 4 2 6 3" xfId="14506" xr:uid="{00000000-0005-0000-0000-000023420000}"/>
    <cellStyle name="40% - Accent6 2 4 2 6 4" xfId="14507" xr:uid="{00000000-0005-0000-0000-000024420000}"/>
    <cellStyle name="40% - Accent6 2 4 2 7" xfId="14508" xr:uid="{00000000-0005-0000-0000-000025420000}"/>
    <cellStyle name="40% - Accent6 2 4 2 7 2" xfId="14509" xr:uid="{00000000-0005-0000-0000-000026420000}"/>
    <cellStyle name="40% - Accent6 2 4 2 8" xfId="14510" xr:uid="{00000000-0005-0000-0000-000027420000}"/>
    <cellStyle name="40% - Accent6 2 4 2 9" xfId="14511" xr:uid="{00000000-0005-0000-0000-000028420000}"/>
    <cellStyle name="40% - Accent6 2 4 3" xfId="14512" xr:uid="{00000000-0005-0000-0000-000029420000}"/>
    <cellStyle name="40% - Accent6 2 4 3 2" xfId="14513" xr:uid="{00000000-0005-0000-0000-00002A420000}"/>
    <cellStyle name="40% - Accent6 2 4 3 2 2" xfId="14514" xr:uid="{00000000-0005-0000-0000-00002B420000}"/>
    <cellStyle name="40% - Accent6 2 4 3 2 2 2" xfId="14515" xr:uid="{00000000-0005-0000-0000-00002C420000}"/>
    <cellStyle name="40% - Accent6 2 4 3 2 3" xfId="14516" xr:uid="{00000000-0005-0000-0000-00002D420000}"/>
    <cellStyle name="40% - Accent6 2 4 3 2 4" xfId="14517" xr:uid="{00000000-0005-0000-0000-00002E420000}"/>
    <cellStyle name="40% - Accent6 2 4 3 2 5" xfId="38620" xr:uid="{00000000-0005-0000-0000-00002F420000}"/>
    <cellStyle name="40% - Accent6 2 4 3 3" xfId="14518" xr:uid="{00000000-0005-0000-0000-000030420000}"/>
    <cellStyle name="40% - Accent6 2 4 3 3 2" xfId="14519" xr:uid="{00000000-0005-0000-0000-000031420000}"/>
    <cellStyle name="40% - Accent6 2 4 3 4" xfId="14520" xr:uid="{00000000-0005-0000-0000-000032420000}"/>
    <cellStyle name="40% - Accent6 2 4 3 5" xfId="14521" xr:uid="{00000000-0005-0000-0000-000033420000}"/>
    <cellStyle name="40% - Accent6 2 4 3 6" xfId="38619" xr:uid="{00000000-0005-0000-0000-000034420000}"/>
    <cellStyle name="40% - Accent6 2 4 4" xfId="14522" xr:uid="{00000000-0005-0000-0000-000035420000}"/>
    <cellStyle name="40% - Accent6 2 4 4 2" xfId="14523" xr:uid="{00000000-0005-0000-0000-000036420000}"/>
    <cellStyle name="40% - Accent6 2 4 4 2 2" xfId="14524" xr:uid="{00000000-0005-0000-0000-000037420000}"/>
    <cellStyle name="40% - Accent6 2 4 4 2 2 2" xfId="14525" xr:uid="{00000000-0005-0000-0000-000038420000}"/>
    <cellStyle name="40% - Accent6 2 4 4 2 3" xfId="14526" xr:uid="{00000000-0005-0000-0000-000039420000}"/>
    <cellStyle name="40% - Accent6 2 4 4 2 4" xfId="14527" xr:uid="{00000000-0005-0000-0000-00003A420000}"/>
    <cellStyle name="40% - Accent6 2 4 4 2 5" xfId="38622" xr:uid="{00000000-0005-0000-0000-00003B420000}"/>
    <cellStyle name="40% - Accent6 2 4 4 3" xfId="14528" xr:uid="{00000000-0005-0000-0000-00003C420000}"/>
    <cellStyle name="40% - Accent6 2 4 4 3 2" xfId="14529" xr:uid="{00000000-0005-0000-0000-00003D420000}"/>
    <cellStyle name="40% - Accent6 2 4 4 4" xfId="14530" xr:uid="{00000000-0005-0000-0000-00003E420000}"/>
    <cellStyle name="40% - Accent6 2 4 4 5" xfId="14531" xr:uid="{00000000-0005-0000-0000-00003F420000}"/>
    <cellStyle name="40% - Accent6 2 4 4 6" xfId="38621" xr:uid="{00000000-0005-0000-0000-000040420000}"/>
    <cellStyle name="40% - Accent6 2 4 5" xfId="14532" xr:uid="{00000000-0005-0000-0000-000041420000}"/>
    <cellStyle name="40% - Accent6 2 4 5 2" xfId="14533" xr:uid="{00000000-0005-0000-0000-000042420000}"/>
    <cellStyle name="40% - Accent6 2 4 5 2 2" xfId="14534" xr:uid="{00000000-0005-0000-0000-000043420000}"/>
    <cellStyle name="40% - Accent6 2 4 5 3" xfId="14535" xr:uid="{00000000-0005-0000-0000-000044420000}"/>
    <cellStyle name="40% - Accent6 2 4 5 4" xfId="14536" xr:uid="{00000000-0005-0000-0000-000045420000}"/>
    <cellStyle name="40% - Accent6 2 4 5 5" xfId="38623" xr:uid="{00000000-0005-0000-0000-000046420000}"/>
    <cellStyle name="40% - Accent6 2 4 6" xfId="14537" xr:uid="{00000000-0005-0000-0000-000047420000}"/>
    <cellStyle name="40% - Accent6 2 4 6 2" xfId="14538" xr:uid="{00000000-0005-0000-0000-000048420000}"/>
    <cellStyle name="40% - Accent6 2 4 6 2 2" xfId="14539" xr:uid="{00000000-0005-0000-0000-000049420000}"/>
    <cellStyle name="40% - Accent6 2 4 6 3" xfId="14540" xr:uid="{00000000-0005-0000-0000-00004A420000}"/>
    <cellStyle name="40% - Accent6 2 4 6 4" xfId="14541" xr:uid="{00000000-0005-0000-0000-00004B420000}"/>
    <cellStyle name="40% - Accent6 2 4 7" xfId="14542" xr:uid="{00000000-0005-0000-0000-00004C420000}"/>
    <cellStyle name="40% - Accent6 2 4 7 2" xfId="14543" xr:uid="{00000000-0005-0000-0000-00004D420000}"/>
    <cellStyle name="40% - Accent6 2 4 7 2 2" xfId="14544" xr:uid="{00000000-0005-0000-0000-00004E420000}"/>
    <cellStyle name="40% - Accent6 2 4 7 3" xfId="14545" xr:uid="{00000000-0005-0000-0000-00004F420000}"/>
    <cellStyle name="40% - Accent6 2 4 7 4" xfId="14546" xr:uid="{00000000-0005-0000-0000-000050420000}"/>
    <cellStyle name="40% - Accent6 2 4 8" xfId="14547" xr:uid="{00000000-0005-0000-0000-000051420000}"/>
    <cellStyle name="40% - Accent6 2 4 8 2" xfId="14548" xr:uid="{00000000-0005-0000-0000-000052420000}"/>
    <cellStyle name="40% - Accent6 2 4 9" xfId="14549" xr:uid="{00000000-0005-0000-0000-000053420000}"/>
    <cellStyle name="40% - Accent6 2 5" xfId="14550" xr:uid="{00000000-0005-0000-0000-000054420000}"/>
    <cellStyle name="40% - Accent6 2 5 10" xfId="34825" xr:uid="{00000000-0005-0000-0000-000055420000}"/>
    <cellStyle name="40% - Accent6 2 5 2" xfId="14551" xr:uid="{00000000-0005-0000-0000-000056420000}"/>
    <cellStyle name="40% - Accent6 2 5 2 2" xfId="14552" xr:uid="{00000000-0005-0000-0000-000057420000}"/>
    <cellStyle name="40% - Accent6 2 5 2 2 2" xfId="14553" xr:uid="{00000000-0005-0000-0000-000058420000}"/>
    <cellStyle name="40% - Accent6 2 5 2 2 2 2" xfId="14554" xr:uid="{00000000-0005-0000-0000-000059420000}"/>
    <cellStyle name="40% - Accent6 2 5 2 2 3" xfId="14555" xr:uid="{00000000-0005-0000-0000-00005A420000}"/>
    <cellStyle name="40% - Accent6 2 5 2 2 4" xfId="14556" xr:uid="{00000000-0005-0000-0000-00005B420000}"/>
    <cellStyle name="40% - Accent6 2 5 2 2 5" xfId="38625" xr:uid="{00000000-0005-0000-0000-00005C420000}"/>
    <cellStyle name="40% - Accent6 2 5 2 3" xfId="14557" xr:uid="{00000000-0005-0000-0000-00005D420000}"/>
    <cellStyle name="40% - Accent6 2 5 2 3 2" xfId="14558" xr:uid="{00000000-0005-0000-0000-00005E420000}"/>
    <cellStyle name="40% - Accent6 2 5 2 4" xfId="14559" xr:uid="{00000000-0005-0000-0000-00005F420000}"/>
    <cellStyle name="40% - Accent6 2 5 2 5" xfId="14560" xr:uid="{00000000-0005-0000-0000-000060420000}"/>
    <cellStyle name="40% - Accent6 2 5 2 6" xfId="38624" xr:uid="{00000000-0005-0000-0000-000061420000}"/>
    <cellStyle name="40% - Accent6 2 5 3" xfId="14561" xr:uid="{00000000-0005-0000-0000-000062420000}"/>
    <cellStyle name="40% - Accent6 2 5 3 2" xfId="14562" xr:uid="{00000000-0005-0000-0000-000063420000}"/>
    <cellStyle name="40% - Accent6 2 5 3 2 2" xfId="14563" xr:uid="{00000000-0005-0000-0000-000064420000}"/>
    <cellStyle name="40% - Accent6 2 5 3 2 2 2" xfId="14564" xr:uid="{00000000-0005-0000-0000-000065420000}"/>
    <cellStyle name="40% - Accent6 2 5 3 2 3" xfId="14565" xr:uid="{00000000-0005-0000-0000-000066420000}"/>
    <cellStyle name="40% - Accent6 2 5 3 2 4" xfId="14566" xr:uid="{00000000-0005-0000-0000-000067420000}"/>
    <cellStyle name="40% - Accent6 2 5 3 2 5" xfId="38627" xr:uid="{00000000-0005-0000-0000-000068420000}"/>
    <cellStyle name="40% - Accent6 2 5 3 3" xfId="14567" xr:uid="{00000000-0005-0000-0000-000069420000}"/>
    <cellStyle name="40% - Accent6 2 5 3 3 2" xfId="14568" xr:uid="{00000000-0005-0000-0000-00006A420000}"/>
    <cellStyle name="40% - Accent6 2 5 3 4" xfId="14569" xr:uid="{00000000-0005-0000-0000-00006B420000}"/>
    <cellStyle name="40% - Accent6 2 5 3 5" xfId="14570" xr:uid="{00000000-0005-0000-0000-00006C420000}"/>
    <cellStyle name="40% - Accent6 2 5 3 6" xfId="38626" xr:uid="{00000000-0005-0000-0000-00006D420000}"/>
    <cellStyle name="40% - Accent6 2 5 4" xfId="14571" xr:uid="{00000000-0005-0000-0000-00006E420000}"/>
    <cellStyle name="40% - Accent6 2 5 4 2" xfId="14572" xr:uid="{00000000-0005-0000-0000-00006F420000}"/>
    <cellStyle name="40% - Accent6 2 5 4 2 2" xfId="14573" xr:uid="{00000000-0005-0000-0000-000070420000}"/>
    <cellStyle name="40% - Accent6 2 5 4 3" xfId="14574" xr:uid="{00000000-0005-0000-0000-000071420000}"/>
    <cellStyle name="40% - Accent6 2 5 4 4" xfId="14575" xr:uid="{00000000-0005-0000-0000-000072420000}"/>
    <cellStyle name="40% - Accent6 2 5 4 5" xfId="38628" xr:uid="{00000000-0005-0000-0000-000073420000}"/>
    <cellStyle name="40% - Accent6 2 5 5" xfId="14576" xr:uid="{00000000-0005-0000-0000-000074420000}"/>
    <cellStyle name="40% - Accent6 2 5 5 2" xfId="14577" xr:uid="{00000000-0005-0000-0000-000075420000}"/>
    <cellStyle name="40% - Accent6 2 5 5 2 2" xfId="14578" xr:uid="{00000000-0005-0000-0000-000076420000}"/>
    <cellStyle name="40% - Accent6 2 5 5 3" xfId="14579" xr:uid="{00000000-0005-0000-0000-000077420000}"/>
    <cellStyle name="40% - Accent6 2 5 5 4" xfId="14580" xr:uid="{00000000-0005-0000-0000-000078420000}"/>
    <cellStyle name="40% - Accent6 2 5 6" xfId="14581" xr:uid="{00000000-0005-0000-0000-000079420000}"/>
    <cellStyle name="40% - Accent6 2 5 6 2" xfId="14582" xr:uid="{00000000-0005-0000-0000-00007A420000}"/>
    <cellStyle name="40% - Accent6 2 5 6 2 2" xfId="14583" xr:uid="{00000000-0005-0000-0000-00007B420000}"/>
    <cellStyle name="40% - Accent6 2 5 6 3" xfId="14584" xr:uid="{00000000-0005-0000-0000-00007C420000}"/>
    <cellStyle name="40% - Accent6 2 5 6 4" xfId="14585" xr:uid="{00000000-0005-0000-0000-00007D420000}"/>
    <cellStyle name="40% - Accent6 2 5 7" xfId="14586" xr:uid="{00000000-0005-0000-0000-00007E420000}"/>
    <cellStyle name="40% - Accent6 2 5 7 2" xfId="14587" xr:uid="{00000000-0005-0000-0000-00007F420000}"/>
    <cellStyle name="40% - Accent6 2 5 8" xfId="14588" xr:uid="{00000000-0005-0000-0000-000080420000}"/>
    <cellStyle name="40% - Accent6 2 5 9" xfId="14589" xr:uid="{00000000-0005-0000-0000-000081420000}"/>
    <cellStyle name="40% - Accent6 2 6" xfId="14590" xr:uid="{00000000-0005-0000-0000-000082420000}"/>
    <cellStyle name="40% - Accent6 2 7" xfId="14591" xr:uid="{00000000-0005-0000-0000-000083420000}"/>
    <cellStyle name="40% - Accent6 2 8" xfId="14592" xr:uid="{00000000-0005-0000-0000-000084420000}"/>
    <cellStyle name="40% - Accent6 2 8 2" xfId="14593" xr:uid="{00000000-0005-0000-0000-000085420000}"/>
    <cellStyle name="40% - Accent6 2 8 3" xfId="34826" xr:uid="{00000000-0005-0000-0000-000086420000}"/>
    <cellStyle name="40% - Accent6 2 9" xfId="14594" xr:uid="{00000000-0005-0000-0000-000087420000}"/>
    <cellStyle name="40% - Accent6 2 9 2" xfId="14595" xr:uid="{00000000-0005-0000-0000-000088420000}"/>
    <cellStyle name="40% - Accent6 2 9 2 2" xfId="14596" xr:uid="{00000000-0005-0000-0000-000089420000}"/>
    <cellStyle name="40% - Accent6 2 9 2 2 2" xfId="14597" xr:uid="{00000000-0005-0000-0000-00008A420000}"/>
    <cellStyle name="40% - Accent6 2 9 2 3" xfId="14598" xr:uid="{00000000-0005-0000-0000-00008B420000}"/>
    <cellStyle name="40% - Accent6 2 9 2 4" xfId="14599" xr:uid="{00000000-0005-0000-0000-00008C420000}"/>
    <cellStyle name="40% - Accent6 2 9 2 5" xfId="38630" xr:uid="{00000000-0005-0000-0000-00008D420000}"/>
    <cellStyle name="40% - Accent6 2 9 3" xfId="14600" xr:uid="{00000000-0005-0000-0000-00008E420000}"/>
    <cellStyle name="40% - Accent6 2 9 4" xfId="14601" xr:uid="{00000000-0005-0000-0000-00008F420000}"/>
    <cellStyle name="40% - Accent6 2 9 4 2" xfId="14602" xr:uid="{00000000-0005-0000-0000-000090420000}"/>
    <cellStyle name="40% - Accent6 2 9 5" xfId="14603" xr:uid="{00000000-0005-0000-0000-000091420000}"/>
    <cellStyle name="40% - Accent6 2 9 6" xfId="14604" xr:uid="{00000000-0005-0000-0000-000092420000}"/>
    <cellStyle name="40% - Accent6 2 9 7" xfId="38629" xr:uid="{00000000-0005-0000-0000-000093420000}"/>
    <cellStyle name="40% - Accent6 3" xfId="14605" xr:uid="{00000000-0005-0000-0000-000094420000}"/>
    <cellStyle name="40% - Accent6 3 2" xfId="14606" xr:uid="{00000000-0005-0000-0000-000095420000}"/>
    <cellStyle name="40% - Accent6 3 2 10" xfId="14607" xr:uid="{00000000-0005-0000-0000-000096420000}"/>
    <cellStyle name="40% - Accent6 3 2 10 2" xfId="14608" xr:uid="{00000000-0005-0000-0000-000097420000}"/>
    <cellStyle name="40% - Accent6 3 2 11" xfId="14609" xr:uid="{00000000-0005-0000-0000-000098420000}"/>
    <cellStyle name="40% - Accent6 3 2 12" xfId="14610" xr:uid="{00000000-0005-0000-0000-000099420000}"/>
    <cellStyle name="40% - Accent6 3 2 13" xfId="34827" xr:uid="{00000000-0005-0000-0000-00009A420000}"/>
    <cellStyle name="40% - Accent6 3 2 2" xfId="14611" xr:uid="{00000000-0005-0000-0000-00009B420000}"/>
    <cellStyle name="40% - Accent6 3 2 2 10" xfId="14612" xr:uid="{00000000-0005-0000-0000-00009C420000}"/>
    <cellStyle name="40% - Accent6 3 2 2 11" xfId="14613" xr:uid="{00000000-0005-0000-0000-00009D420000}"/>
    <cellStyle name="40% - Accent6 3 2 2 12" xfId="34828" xr:uid="{00000000-0005-0000-0000-00009E420000}"/>
    <cellStyle name="40% - Accent6 3 2 2 2" xfId="14614" xr:uid="{00000000-0005-0000-0000-00009F420000}"/>
    <cellStyle name="40% - Accent6 3 2 2 2 10" xfId="14615" xr:uid="{00000000-0005-0000-0000-0000A0420000}"/>
    <cellStyle name="40% - Accent6 3 2 2 2 11" xfId="34829" xr:uid="{00000000-0005-0000-0000-0000A1420000}"/>
    <cellStyle name="40% - Accent6 3 2 2 2 2" xfId="14616" xr:uid="{00000000-0005-0000-0000-0000A2420000}"/>
    <cellStyle name="40% - Accent6 3 2 2 2 2 10" xfId="34830" xr:uid="{00000000-0005-0000-0000-0000A3420000}"/>
    <cellStyle name="40% - Accent6 3 2 2 2 2 2" xfId="14617" xr:uid="{00000000-0005-0000-0000-0000A4420000}"/>
    <cellStyle name="40% - Accent6 3 2 2 2 2 2 2" xfId="14618" xr:uid="{00000000-0005-0000-0000-0000A5420000}"/>
    <cellStyle name="40% - Accent6 3 2 2 2 2 2 2 2" xfId="14619" xr:uid="{00000000-0005-0000-0000-0000A6420000}"/>
    <cellStyle name="40% - Accent6 3 2 2 2 2 2 2 2 2" xfId="14620" xr:uid="{00000000-0005-0000-0000-0000A7420000}"/>
    <cellStyle name="40% - Accent6 3 2 2 2 2 2 2 3" xfId="14621" xr:uid="{00000000-0005-0000-0000-0000A8420000}"/>
    <cellStyle name="40% - Accent6 3 2 2 2 2 2 2 4" xfId="14622" xr:uid="{00000000-0005-0000-0000-0000A9420000}"/>
    <cellStyle name="40% - Accent6 3 2 2 2 2 2 2 5" xfId="38632" xr:uid="{00000000-0005-0000-0000-0000AA420000}"/>
    <cellStyle name="40% - Accent6 3 2 2 2 2 2 3" xfId="14623" xr:uid="{00000000-0005-0000-0000-0000AB420000}"/>
    <cellStyle name="40% - Accent6 3 2 2 2 2 2 3 2" xfId="14624" xr:uid="{00000000-0005-0000-0000-0000AC420000}"/>
    <cellStyle name="40% - Accent6 3 2 2 2 2 2 4" xfId="14625" xr:uid="{00000000-0005-0000-0000-0000AD420000}"/>
    <cellStyle name="40% - Accent6 3 2 2 2 2 2 5" xfId="14626" xr:uid="{00000000-0005-0000-0000-0000AE420000}"/>
    <cellStyle name="40% - Accent6 3 2 2 2 2 2 6" xfId="38631" xr:uid="{00000000-0005-0000-0000-0000AF420000}"/>
    <cellStyle name="40% - Accent6 3 2 2 2 2 3" xfId="14627" xr:uid="{00000000-0005-0000-0000-0000B0420000}"/>
    <cellStyle name="40% - Accent6 3 2 2 2 2 3 2" xfId="14628" xr:uid="{00000000-0005-0000-0000-0000B1420000}"/>
    <cellStyle name="40% - Accent6 3 2 2 2 2 3 2 2" xfId="14629" xr:uid="{00000000-0005-0000-0000-0000B2420000}"/>
    <cellStyle name="40% - Accent6 3 2 2 2 2 3 2 2 2" xfId="14630" xr:uid="{00000000-0005-0000-0000-0000B3420000}"/>
    <cellStyle name="40% - Accent6 3 2 2 2 2 3 2 3" xfId="14631" xr:uid="{00000000-0005-0000-0000-0000B4420000}"/>
    <cellStyle name="40% - Accent6 3 2 2 2 2 3 2 4" xfId="14632" xr:uid="{00000000-0005-0000-0000-0000B5420000}"/>
    <cellStyle name="40% - Accent6 3 2 2 2 2 3 2 5" xfId="38634" xr:uid="{00000000-0005-0000-0000-0000B6420000}"/>
    <cellStyle name="40% - Accent6 3 2 2 2 2 3 3" xfId="14633" xr:uid="{00000000-0005-0000-0000-0000B7420000}"/>
    <cellStyle name="40% - Accent6 3 2 2 2 2 3 3 2" xfId="14634" xr:uid="{00000000-0005-0000-0000-0000B8420000}"/>
    <cellStyle name="40% - Accent6 3 2 2 2 2 3 4" xfId="14635" xr:uid="{00000000-0005-0000-0000-0000B9420000}"/>
    <cellStyle name="40% - Accent6 3 2 2 2 2 3 5" xfId="14636" xr:uid="{00000000-0005-0000-0000-0000BA420000}"/>
    <cellStyle name="40% - Accent6 3 2 2 2 2 3 6" xfId="38633" xr:uid="{00000000-0005-0000-0000-0000BB420000}"/>
    <cellStyle name="40% - Accent6 3 2 2 2 2 4" xfId="14637" xr:uid="{00000000-0005-0000-0000-0000BC420000}"/>
    <cellStyle name="40% - Accent6 3 2 2 2 2 4 2" xfId="14638" xr:uid="{00000000-0005-0000-0000-0000BD420000}"/>
    <cellStyle name="40% - Accent6 3 2 2 2 2 4 2 2" xfId="14639" xr:uid="{00000000-0005-0000-0000-0000BE420000}"/>
    <cellStyle name="40% - Accent6 3 2 2 2 2 4 3" xfId="14640" xr:uid="{00000000-0005-0000-0000-0000BF420000}"/>
    <cellStyle name="40% - Accent6 3 2 2 2 2 4 4" xfId="14641" xr:uid="{00000000-0005-0000-0000-0000C0420000}"/>
    <cellStyle name="40% - Accent6 3 2 2 2 2 4 5" xfId="38635" xr:uid="{00000000-0005-0000-0000-0000C1420000}"/>
    <cellStyle name="40% - Accent6 3 2 2 2 2 5" xfId="14642" xr:uid="{00000000-0005-0000-0000-0000C2420000}"/>
    <cellStyle name="40% - Accent6 3 2 2 2 2 5 2" xfId="14643" xr:uid="{00000000-0005-0000-0000-0000C3420000}"/>
    <cellStyle name="40% - Accent6 3 2 2 2 2 5 2 2" xfId="14644" xr:uid="{00000000-0005-0000-0000-0000C4420000}"/>
    <cellStyle name="40% - Accent6 3 2 2 2 2 5 3" xfId="14645" xr:uid="{00000000-0005-0000-0000-0000C5420000}"/>
    <cellStyle name="40% - Accent6 3 2 2 2 2 5 4" xfId="14646" xr:uid="{00000000-0005-0000-0000-0000C6420000}"/>
    <cellStyle name="40% - Accent6 3 2 2 2 2 6" xfId="14647" xr:uid="{00000000-0005-0000-0000-0000C7420000}"/>
    <cellStyle name="40% - Accent6 3 2 2 2 2 6 2" xfId="14648" xr:uid="{00000000-0005-0000-0000-0000C8420000}"/>
    <cellStyle name="40% - Accent6 3 2 2 2 2 6 2 2" xfId="14649" xr:uid="{00000000-0005-0000-0000-0000C9420000}"/>
    <cellStyle name="40% - Accent6 3 2 2 2 2 6 3" xfId="14650" xr:uid="{00000000-0005-0000-0000-0000CA420000}"/>
    <cellStyle name="40% - Accent6 3 2 2 2 2 6 4" xfId="14651" xr:uid="{00000000-0005-0000-0000-0000CB420000}"/>
    <cellStyle name="40% - Accent6 3 2 2 2 2 7" xfId="14652" xr:uid="{00000000-0005-0000-0000-0000CC420000}"/>
    <cellStyle name="40% - Accent6 3 2 2 2 2 7 2" xfId="14653" xr:uid="{00000000-0005-0000-0000-0000CD420000}"/>
    <cellStyle name="40% - Accent6 3 2 2 2 2 8" xfId="14654" xr:uid="{00000000-0005-0000-0000-0000CE420000}"/>
    <cellStyle name="40% - Accent6 3 2 2 2 2 9" xfId="14655" xr:uid="{00000000-0005-0000-0000-0000CF420000}"/>
    <cellStyle name="40% - Accent6 3 2 2 2 3" xfId="14656" xr:uid="{00000000-0005-0000-0000-0000D0420000}"/>
    <cellStyle name="40% - Accent6 3 2 2 2 3 2" xfId="14657" xr:uid="{00000000-0005-0000-0000-0000D1420000}"/>
    <cellStyle name="40% - Accent6 3 2 2 2 3 2 2" xfId="14658" xr:uid="{00000000-0005-0000-0000-0000D2420000}"/>
    <cellStyle name="40% - Accent6 3 2 2 2 3 2 2 2" xfId="14659" xr:uid="{00000000-0005-0000-0000-0000D3420000}"/>
    <cellStyle name="40% - Accent6 3 2 2 2 3 2 3" xfId="14660" xr:uid="{00000000-0005-0000-0000-0000D4420000}"/>
    <cellStyle name="40% - Accent6 3 2 2 2 3 2 4" xfId="14661" xr:uid="{00000000-0005-0000-0000-0000D5420000}"/>
    <cellStyle name="40% - Accent6 3 2 2 2 3 2 5" xfId="38637" xr:uid="{00000000-0005-0000-0000-0000D6420000}"/>
    <cellStyle name="40% - Accent6 3 2 2 2 3 3" xfId="14662" xr:uid="{00000000-0005-0000-0000-0000D7420000}"/>
    <cellStyle name="40% - Accent6 3 2 2 2 3 3 2" xfId="14663" xr:uid="{00000000-0005-0000-0000-0000D8420000}"/>
    <cellStyle name="40% - Accent6 3 2 2 2 3 4" xfId="14664" xr:uid="{00000000-0005-0000-0000-0000D9420000}"/>
    <cellStyle name="40% - Accent6 3 2 2 2 3 5" xfId="14665" xr:uid="{00000000-0005-0000-0000-0000DA420000}"/>
    <cellStyle name="40% - Accent6 3 2 2 2 3 6" xfId="38636" xr:uid="{00000000-0005-0000-0000-0000DB420000}"/>
    <cellStyle name="40% - Accent6 3 2 2 2 4" xfId="14666" xr:uid="{00000000-0005-0000-0000-0000DC420000}"/>
    <cellStyle name="40% - Accent6 3 2 2 2 4 2" xfId="14667" xr:uid="{00000000-0005-0000-0000-0000DD420000}"/>
    <cellStyle name="40% - Accent6 3 2 2 2 4 2 2" xfId="14668" xr:uid="{00000000-0005-0000-0000-0000DE420000}"/>
    <cellStyle name="40% - Accent6 3 2 2 2 4 2 2 2" xfId="14669" xr:uid="{00000000-0005-0000-0000-0000DF420000}"/>
    <cellStyle name="40% - Accent6 3 2 2 2 4 2 3" xfId="14670" xr:uid="{00000000-0005-0000-0000-0000E0420000}"/>
    <cellStyle name="40% - Accent6 3 2 2 2 4 2 4" xfId="14671" xr:uid="{00000000-0005-0000-0000-0000E1420000}"/>
    <cellStyle name="40% - Accent6 3 2 2 2 4 2 5" xfId="38639" xr:uid="{00000000-0005-0000-0000-0000E2420000}"/>
    <cellStyle name="40% - Accent6 3 2 2 2 4 3" xfId="14672" xr:uid="{00000000-0005-0000-0000-0000E3420000}"/>
    <cellStyle name="40% - Accent6 3 2 2 2 4 3 2" xfId="14673" xr:uid="{00000000-0005-0000-0000-0000E4420000}"/>
    <cellStyle name="40% - Accent6 3 2 2 2 4 4" xfId="14674" xr:uid="{00000000-0005-0000-0000-0000E5420000}"/>
    <cellStyle name="40% - Accent6 3 2 2 2 4 5" xfId="14675" xr:uid="{00000000-0005-0000-0000-0000E6420000}"/>
    <cellStyle name="40% - Accent6 3 2 2 2 4 6" xfId="38638" xr:uid="{00000000-0005-0000-0000-0000E7420000}"/>
    <cellStyle name="40% - Accent6 3 2 2 2 5" xfId="14676" xr:uid="{00000000-0005-0000-0000-0000E8420000}"/>
    <cellStyle name="40% - Accent6 3 2 2 2 5 2" xfId="14677" xr:uid="{00000000-0005-0000-0000-0000E9420000}"/>
    <cellStyle name="40% - Accent6 3 2 2 2 5 2 2" xfId="14678" xr:uid="{00000000-0005-0000-0000-0000EA420000}"/>
    <cellStyle name="40% - Accent6 3 2 2 2 5 3" xfId="14679" xr:uid="{00000000-0005-0000-0000-0000EB420000}"/>
    <cellStyle name="40% - Accent6 3 2 2 2 5 4" xfId="14680" xr:uid="{00000000-0005-0000-0000-0000EC420000}"/>
    <cellStyle name="40% - Accent6 3 2 2 2 5 5" xfId="38640" xr:uid="{00000000-0005-0000-0000-0000ED420000}"/>
    <cellStyle name="40% - Accent6 3 2 2 2 6" xfId="14681" xr:uid="{00000000-0005-0000-0000-0000EE420000}"/>
    <cellStyle name="40% - Accent6 3 2 2 2 6 2" xfId="14682" xr:uid="{00000000-0005-0000-0000-0000EF420000}"/>
    <cellStyle name="40% - Accent6 3 2 2 2 6 2 2" xfId="14683" xr:uid="{00000000-0005-0000-0000-0000F0420000}"/>
    <cellStyle name="40% - Accent6 3 2 2 2 6 3" xfId="14684" xr:uid="{00000000-0005-0000-0000-0000F1420000}"/>
    <cellStyle name="40% - Accent6 3 2 2 2 6 4" xfId="14685" xr:uid="{00000000-0005-0000-0000-0000F2420000}"/>
    <cellStyle name="40% - Accent6 3 2 2 2 7" xfId="14686" xr:uid="{00000000-0005-0000-0000-0000F3420000}"/>
    <cellStyle name="40% - Accent6 3 2 2 2 7 2" xfId="14687" xr:uid="{00000000-0005-0000-0000-0000F4420000}"/>
    <cellStyle name="40% - Accent6 3 2 2 2 7 2 2" xfId="14688" xr:uid="{00000000-0005-0000-0000-0000F5420000}"/>
    <cellStyle name="40% - Accent6 3 2 2 2 7 3" xfId="14689" xr:uid="{00000000-0005-0000-0000-0000F6420000}"/>
    <cellStyle name="40% - Accent6 3 2 2 2 7 4" xfId="14690" xr:uid="{00000000-0005-0000-0000-0000F7420000}"/>
    <cellStyle name="40% - Accent6 3 2 2 2 8" xfId="14691" xr:uid="{00000000-0005-0000-0000-0000F8420000}"/>
    <cellStyle name="40% - Accent6 3 2 2 2 8 2" xfId="14692" xr:uid="{00000000-0005-0000-0000-0000F9420000}"/>
    <cellStyle name="40% - Accent6 3 2 2 2 9" xfId="14693" xr:uid="{00000000-0005-0000-0000-0000FA420000}"/>
    <cellStyle name="40% - Accent6 3 2 2 3" xfId="14694" xr:uid="{00000000-0005-0000-0000-0000FB420000}"/>
    <cellStyle name="40% - Accent6 3 2 2 3 10" xfId="34831" xr:uid="{00000000-0005-0000-0000-0000FC420000}"/>
    <cellStyle name="40% - Accent6 3 2 2 3 2" xfId="14695" xr:uid="{00000000-0005-0000-0000-0000FD420000}"/>
    <cellStyle name="40% - Accent6 3 2 2 3 2 2" xfId="14696" xr:uid="{00000000-0005-0000-0000-0000FE420000}"/>
    <cellStyle name="40% - Accent6 3 2 2 3 2 2 2" xfId="14697" xr:uid="{00000000-0005-0000-0000-0000FF420000}"/>
    <cellStyle name="40% - Accent6 3 2 2 3 2 2 2 2" xfId="14698" xr:uid="{00000000-0005-0000-0000-000000430000}"/>
    <cellStyle name="40% - Accent6 3 2 2 3 2 2 3" xfId="14699" xr:uid="{00000000-0005-0000-0000-000001430000}"/>
    <cellStyle name="40% - Accent6 3 2 2 3 2 2 4" xfId="14700" xr:uid="{00000000-0005-0000-0000-000002430000}"/>
    <cellStyle name="40% - Accent6 3 2 2 3 2 2 5" xfId="38642" xr:uid="{00000000-0005-0000-0000-000003430000}"/>
    <cellStyle name="40% - Accent6 3 2 2 3 2 3" xfId="14701" xr:uid="{00000000-0005-0000-0000-000004430000}"/>
    <cellStyle name="40% - Accent6 3 2 2 3 2 3 2" xfId="14702" xr:uid="{00000000-0005-0000-0000-000005430000}"/>
    <cellStyle name="40% - Accent6 3 2 2 3 2 4" xfId="14703" xr:uid="{00000000-0005-0000-0000-000006430000}"/>
    <cellStyle name="40% - Accent6 3 2 2 3 2 5" xfId="14704" xr:uid="{00000000-0005-0000-0000-000007430000}"/>
    <cellStyle name="40% - Accent6 3 2 2 3 2 6" xfId="38641" xr:uid="{00000000-0005-0000-0000-000008430000}"/>
    <cellStyle name="40% - Accent6 3 2 2 3 3" xfId="14705" xr:uid="{00000000-0005-0000-0000-000009430000}"/>
    <cellStyle name="40% - Accent6 3 2 2 3 3 2" xfId="14706" xr:uid="{00000000-0005-0000-0000-00000A430000}"/>
    <cellStyle name="40% - Accent6 3 2 2 3 3 2 2" xfId="14707" xr:uid="{00000000-0005-0000-0000-00000B430000}"/>
    <cellStyle name="40% - Accent6 3 2 2 3 3 2 2 2" xfId="14708" xr:uid="{00000000-0005-0000-0000-00000C430000}"/>
    <cellStyle name="40% - Accent6 3 2 2 3 3 2 3" xfId="14709" xr:uid="{00000000-0005-0000-0000-00000D430000}"/>
    <cellStyle name="40% - Accent6 3 2 2 3 3 2 4" xfId="14710" xr:uid="{00000000-0005-0000-0000-00000E430000}"/>
    <cellStyle name="40% - Accent6 3 2 2 3 3 2 5" xfId="38644" xr:uid="{00000000-0005-0000-0000-00000F430000}"/>
    <cellStyle name="40% - Accent6 3 2 2 3 3 3" xfId="14711" xr:uid="{00000000-0005-0000-0000-000010430000}"/>
    <cellStyle name="40% - Accent6 3 2 2 3 3 3 2" xfId="14712" xr:uid="{00000000-0005-0000-0000-000011430000}"/>
    <cellStyle name="40% - Accent6 3 2 2 3 3 4" xfId="14713" xr:uid="{00000000-0005-0000-0000-000012430000}"/>
    <cellStyle name="40% - Accent6 3 2 2 3 3 5" xfId="14714" xr:uid="{00000000-0005-0000-0000-000013430000}"/>
    <cellStyle name="40% - Accent6 3 2 2 3 3 6" xfId="38643" xr:uid="{00000000-0005-0000-0000-000014430000}"/>
    <cellStyle name="40% - Accent6 3 2 2 3 4" xfId="14715" xr:uid="{00000000-0005-0000-0000-000015430000}"/>
    <cellStyle name="40% - Accent6 3 2 2 3 4 2" xfId="14716" xr:uid="{00000000-0005-0000-0000-000016430000}"/>
    <cellStyle name="40% - Accent6 3 2 2 3 4 2 2" xfId="14717" xr:uid="{00000000-0005-0000-0000-000017430000}"/>
    <cellStyle name="40% - Accent6 3 2 2 3 4 3" xfId="14718" xr:uid="{00000000-0005-0000-0000-000018430000}"/>
    <cellStyle name="40% - Accent6 3 2 2 3 4 4" xfId="14719" xr:uid="{00000000-0005-0000-0000-000019430000}"/>
    <cellStyle name="40% - Accent6 3 2 2 3 4 5" xfId="38645" xr:uid="{00000000-0005-0000-0000-00001A430000}"/>
    <cellStyle name="40% - Accent6 3 2 2 3 5" xfId="14720" xr:uid="{00000000-0005-0000-0000-00001B430000}"/>
    <cellStyle name="40% - Accent6 3 2 2 3 5 2" xfId="14721" xr:uid="{00000000-0005-0000-0000-00001C430000}"/>
    <cellStyle name="40% - Accent6 3 2 2 3 5 2 2" xfId="14722" xr:uid="{00000000-0005-0000-0000-00001D430000}"/>
    <cellStyle name="40% - Accent6 3 2 2 3 5 3" xfId="14723" xr:uid="{00000000-0005-0000-0000-00001E430000}"/>
    <cellStyle name="40% - Accent6 3 2 2 3 5 4" xfId="14724" xr:uid="{00000000-0005-0000-0000-00001F430000}"/>
    <cellStyle name="40% - Accent6 3 2 2 3 6" xfId="14725" xr:uid="{00000000-0005-0000-0000-000020430000}"/>
    <cellStyle name="40% - Accent6 3 2 2 3 6 2" xfId="14726" xr:uid="{00000000-0005-0000-0000-000021430000}"/>
    <cellStyle name="40% - Accent6 3 2 2 3 6 2 2" xfId="14727" xr:uid="{00000000-0005-0000-0000-000022430000}"/>
    <cellStyle name="40% - Accent6 3 2 2 3 6 3" xfId="14728" xr:uid="{00000000-0005-0000-0000-000023430000}"/>
    <cellStyle name="40% - Accent6 3 2 2 3 6 4" xfId="14729" xr:uid="{00000000-0005-0000-0000-000024430000}"/>
    <cellStyle name="40% - Accent6 3 2 2 3 7" xfId="14730" xr:uid="{00000000-0005-0000-0000-000025430000}"/>
    <cellStyle name="40% - Accent6 3 2 2 3 7 2" xfId="14731" xr:uid="{00000000-0005-0000-0000-000026430000}"/>
    <cellStyle name="40% - Accent6 3 2 2 3 8" xfId="14732" xr:uid="{00000000-0005-0000-0000-000027430000}"/>
    <cellStyle name="40% - Accent6 3 2 2 3 9" xfId="14733" xr:uid="{00000000-0005-0000-0000-000028430000}"/>
    <cellStyle name="40% - Accent6 3 2 2 4" xfId="14734" xr:uid="{00000000-0005-0000-0000-000029430000}"/>
    <cellStyle name="40% - Accent6 3 2 2 4 2" xfId="14735" xr:uid="{00000000-0005-0000-0000-00002A430000}"/>
    <cellStyle name="40% - Accent6 3 2 2 4 2 2" xfId="14736" xr:uid="{00000000-0005-0000-0000-00002B430000}"/>
    <cellStyle name="40% - Accent6 3 2 2 4 2 2 2" xfId="14737" xr:uid="{00000000-0005-0000-0000-00002C430000}"/>
    <cellStyle name="40% - Accent6 3 2 2 4 2 3" xfId="14738" xr:uid="{00000000-0005-0000-0000-00002D430000}"/>
    <cellStyle name="40% - Accent6 3 2 2 4 2 4" xfId="14739" xr:uid="{00000000-0005-0000-0000-00002E430000}"/>
    <cellStyle name="40% - Accent6 3 2 2 4 2 5" xfId="38647" xr:uid="{00000000-0005-0000-0000-00002F430000}"/>
    <cellStyle name="40% - Accent6 3 2 2 4 3" xfId="14740" xr:uid="{00000000-0005-0000-0000-000030430000}"/>
    <cellStyle name="40% - Accent6 3 2 2 4 3 2" xfId="14741" xr:uid="{00000000-0005-0000-0000-000031430000}"/>
    <cellStyle name="40% - Accent6 3 2 2 4 4" xfId="14742" xr:uid="{00000000-0005-0000-0000-000032430000}"/>
    <cellStyle name="40% - Accent6 3 2 2 4 5" xfId="14743" xr:uid="{00000000-0005-0000-0000-000033430000}"/>
    <cellStyle name="40% - Accent6 3 2 2 4 6" xfId="38646" xr:uid="{00000000-0005-0000-0000-000034430000}"/>
    <cellStyle name="40% - Accent6 3 2 2 5" xfId="14744" xr:uid="{00000000-0005-0000-0000-000035430000}"/>
    <cellStyle name="40% - Accent6 3 2 2 5 2" xfId="14745" xr:uid="{00000000-0005-0000-0000-000036430000}"/>
    <cellStyle name="40% - Accent6 3 2 2 5 2 2" xfId="14746" xr:uid="{00000000-0005-0000-0000-000037430000}"/>
    <cellStyle name="40% - Accent6 3 2 2 5 2 2 2" xfId="14747" xr:uid="{00000000-0005-0000-0000-000038430000}"/>
    <cellStyle name="40% - Accent6 3 2 2 5 2 3" xfId="14748" xr:uid="{00000000-0005-0000-0000-000039430000}"/>
    <cellStyle name="40% - Accent6 3 2 2 5 2 4" xfId="14749" xr:uid="{00000000-0005-0000-0000-00003A430000}"/>
    <cellStyle name="40% - Accent6 3 2 2 5 2 5" xfId="38649" xr:uid="{00000000-0005-0000-0000-00003B430000}"/>
    <cellStyle name="40% - Accent6 3 2 2 5 3" xfId="14750" xr:uid="{00000000-0005-0000-0000-00003C430000}"/>
    <cellStyle name="40% - Accent6 3 2 2 5 3 2" xfId="14751" xr:uid="{00000000-0005-0000-0000-00003D430000}"/>
    <cellStyle name="40% - Accent6 3 2 2 5 4" xfId="14752" xr:uid="{00000000-0005-0000-0000-00003E430000}"/>
    <cellStyle name="40% - Accent6 3 2 2 5 5" xfId="14753" xr:uid="{00000000-0005-0000-0000-00003F430000}"/>
    <cellStyle name="40% - Accent6 3 2 2 5 6" xfId="38648" xr:uid="{00000000-0005-0000-0000-000040430000}"/>
    <cellStyle name="40% - Accent6 3 2 2 6" xfId="14754" xr:uid="{00000000-0005-0000-0000-000041430000}"/>
    <cellStyle name="40% - Accent6 3 2 2 6 2" xfId="14755" xr:uid="{00000000-0005-0000-0000-000042430000}"/>
    <cellStyle name="40% - Accent6 3 2 2 6 2 2" xfId="14756" xr:uid="{00000000-0005-0000-0000-000043430000}"/>
    <cellStyle name="40% - Accent6 3 2 2 6 3" xfId="14757" xr:uid="{00000000-0005-0000-0000-000044430000}"/>
    <cellStyle name="40% - Accent6 3 2 2 6 4" xfId="14758" xr:uid="{00000000-0005-0000-0000-000045430000}"/>
    <cellStyle name="40% - Accent6 3 2 2 6 5" xfId="38650" xr:uid="{00000000-0005-0000-0000-000046430000}"/>
    <cellStyle name="40% - Accent6 3 2 2 7" xfId="14759" xr:uid="{00000000-0005-0000-0000-000047430000}"/>
    <cellStyle name="40% - Accent6 3 2 2 7 2" xfId="14760" xr:uid="{00000000-0005-0000-0000-000048430000}"/>
    <cellStyle name="40% - Accent6 3 2 2 7 2 2" xfId="14761" xr:uid="{00000000-0005-0000-0000-000049430000}"/>
    <cellStyle name="40% - Accent6 3 2 2 7 3" xfId="14762" xr:uid="{00000000-0005-0000-0000-00004A430000}"/>
    <cellStyle name="40% - Accent6 3 2 2 7 4" xfId="14763" xr:uid="{00000000-0005-0000-0000-00004B430000}"/>
    <cellStyle name="40% - Accent6 3 2 2 8" xfId="14764" xr:uid="{00000000-0005-0000-0000-00004C430000}"/>
    <cellStyle name="40% - Accent6 3 2 2 8 2" xfId="14765" xr:uid="{00000000-0005-0000-0000-00004D430000}"/>
    <cellStyle name="40% - Accent6 3 2 2 8 2 2" xfId="14766" xr:uid="{00000000-0005-0000-0000-00004E430000}"/>
    <cellStyle name="40% - Accent6 3 2 2 8 3" xfId="14767" xr:uid="{00000000-0005-0000-0000-00004F430000}"/>
    <cellStyle name="40% - Accent6 3 2 2 8 4" xfId="14768" xr:uid="{00000000-0005-0000-0000-000050430000}"/>
    <cellStyle name="40% - Accent6 3 2 2 9" xfId="14769" xr:uid="{00000000-0005-0000-0000-000051430000}"/>
    <cellStyle name="40% - Accent6 3 2 2 9 2" xfId="14770" xr:uid="{00000000-0005-0000-0000-000052430000}"/>
    <cellStyle name="40% - Accent6 3 2 3" xfId="14771" xr:uid="{00000000-0005-0000-0000-000053430000}"/>
    <cellStyle name="40% - Accent6 3 2 3 10" xfId="14772" xr:uid="{00000000-0005-0000-0000-000054430000}"/>
    <cellStyle name="40% - Accent6 3 2 3 11" xfId="34832" xr:uid="{00000000-0005-0000-0000-000055430000}"/>
    <cellStyle name="40% - Accent6 3 2 3 2" xfId="14773" xr:uid="{00000000-0005-0000-0000-000056430000}"/>
    <cellStyle name="40% - Accent6 3 2 3 2 10" xfId="34833" xr:uid="{00000000-0005-0000-0000-000057430000}"/>
    <cellStyle name="40% - Accent6 3 2 3 2 2" xfId="14774" xr:uid="{00000000-0005-0000-0000-000058430000}"/>
    <cellStyle name="40% - Accent6 3 2 3 2 2 2" xfId="14775" xr:uid="{00000000-0005-0000-0000-000059430000}"/>
    <cellStyle name="40% - Accent6 3 2 3 2 2 2 2" xfId="14776" xr:uid="{00000000-0005-0000-0000-00005A430000}"/>
    <cellStyle name="40% - Accent6 3 2 3 2 2 2 2 2" xfId="14777" xr:uid="{00000000-0005-0000-0000-00005B430000}"/>
    <cellStyle name="40% - Accent6 3 2 3 2 2 2 3" xfId="14778" xr:uid="{00000000-0005-0000-0000-00005C430000}"/>
    <cellStyle name="40% - Accent6 3 2 3 2 2 2 4" xfId="14779" xr:uid="{00000000-0005-0000-0000-00005D430000}"/>
    <cellStyle name="40% - Accent6 3 2 3 2 2 2 5" xfId="38652" xr:uid="{00000000-0005-0000-0000-00005E430000}"/>
    <cellStyle name="40% - Accent6 3 2 3 2 2 3" xfId="14780" xr:uid="{00000000-0005-0000-0000-00005F430000}"/>
    <cellStyle name="40% - Accent6 3 2 3 2 2 3 2" xfId="14781" xr:uid="{00000000-0005-0000-0000-000060430000}"/>
    <cellStyle name="40% - Accent6 3 2 3 2 2 4" xfId="14782" xr:uid="{00000000-0005-0000-0000-000061430000}"/>
    <cellStyle name="40% - Accent6 3 2 3 2 2 5" xfId="14783" xr:uid="{00000000-0005-0000-0000-000062430000}"/>
    <cellStyle name="40% - Accent6 3 2 3 2 2 6" xfId="38651" xr:uid="{00000000-0005-0000-0000-000063430000}"/>
    <cellStyle name="40% - Accent6 3 2 3 2 3" xfId="14784" xr:uid="{00000000-0005-0000-0000-000064430000}"/>
    <cellStyle name="40% - Accent6 3 2 3 2 3 2" xfId="14785" xr:uid="{00000000-0005-0000-0000-000065430000}"/>
    <cellStyle name="40% - Accent6 3 2 3 2 3 2 2" xfId="14786" xr:uid="{00000000-0005-0000-0000-000066430000}"/>
    <cellStyle name="40% - Accent6 3 2 3 2 3 2 2 2" xfId="14787" xr:uid="{00000000-0005-0000-0000-000067430000}"/>
    <cellStyle name="40% - Accent6 3 2 3 2 3 2 3" xfId="14788" xr:uid="{00000000-0005-0000-0000-000068430000}"/>
    <cellStyle name="40% - Accent6 3 2 3 2 3 2 4" xfId="14789" xr:uid="{00000000-0005-0000-0000-000069430000}"/>
    <cellStyle name="40% - Accent6 3 2 3 2 3 2 5" xfId="38654" xr:uid="{00000000-0005-0000-0000-00006A430000}"/>
    <cellStyle name="40% - Accent6 3 2 3 2 3 3" xfId="14790" xr:uid="{00000000-0005-0000-0000-00006B430000}"/>
    <cellStyle name="40% - Accent6 3 2 3 2 3 3 2" xfId="14791" xr:uid="{00000000-0005-0000-0000-00006C430000}"/>
    <cellStyle name="40% - Accent6 3 2 3 2 3 4" xfId="14792" xr:uid="{00000000-0005-0000-0000-00006D430000}"/>
    <cellStyle name="40% - Accent6 3 2 3 2 3 5" xfId="14793" xr:uid="{00000000-0005-0000-0000-00006E430000}"/>
    <cellStyle name="40% - Accent6 3 2 3 2 3 6" xfId="38653" xr:uid="{00000000-0005-0000-0000-00006F430000}"/>
    <cellStyle name="40% - Accent6 3 2 3 2 4" xfId="14794" xr:uid="{00000000-0005-0000-0000-000070430000}"/>
    <cellStyle name="40% - Accent6 3 2 3 2 4 2" xfId="14795" xr:uid="{00000000-0005-0000-0000-000071430000}"/>
    <cellStyle name="40% - Accent6 3 2 3 2 4 2 2" xfId="14796" xr:uid="{00000000-0005-0000-0000-000072430000}"/>
    <cellStyle name="40% - Accent6 3 2 3 2 4 3" xfId="14797" xr:uid="{00000000-0005-0000-0000-000073430000}"/>
    <cellStyle name="40% - Accent6 3 2 3 2 4 4" xfId="14798" xr:uid="{00000000-0005-0000-0000-000074430000}"/>
    <cellStyle name="40% - Accent6 3 2 3 2 4 5" xfId="38655" xr:uid="{00000000-0005-0000-0000-000075430000}"/>
    <cellStyle name="40% - Accent6 3 2 3 2 5" xfId="14799" xr:uid="{00000000-0005-0000-0000-000076430000}"/>
    <cellStyle name="40% - Accent6 3 2 3 2 5 2" xfId="14800" xr:uid="{00000000-0005-0000-0000-000077430000}"/>
    <cellStyle name="40% - Accent6 3 2 3 2 5 2 2" xfId="14801" xr:uid="{00000000-0005-0000-0000-000078430000}"/>
    <cellStyle name="40% - Accent6 3 2 3 2 5 3" xfId="14802" xr:uid="{00000000-0005-0000-0000-000079430000}"/>
    <cellStyle name="40% - Accent6 3 2 3 2 5 4" xfId="14803" xr:uid="{00000000-0005-0000-0000-00007A430000}"/>
    <cellStyle name="40% - Accent6 3 2 3 2 6" xfId="14804" xr:uid="{00000000-0005-0000-0000-00007B430000}"/>
    <cellStyle name="40% - Accent6 3 2 3 2 6 2" xfId="14805" xr:uid="{00000000-0005-0000-0000-00007C430000}"/>
    <cellStyle name="40% - Accent6 3 2 3 2 6 2 2" xfId="14806" xr:uid="{00000000-0005-0000-0000-00007D430000}"/>
    <cellStyle name="40% - Accent6 3 2 3 2 6 3" xfId="14807" xr:uid="{00000000-0005-0000-0000-00007E430000}"/>
    <cellStyle name="40% - Accent6 3 2 3 2 6 4" xfId="14808" xr:uid="{00000000-0005-0000-0000-00007F430000}"/>
    <cellStyle name="40% - Accent6 3 2 3 2 7" xfId="14809" xr:uid="{00000000-0005-0000-0000-000080430000}"/>
    <cellStyle name="40% - Accent6 3 2 3 2 7 2" xfId="14810" xr:uid="{00000000-0005-0000-0000-000081430000}"/>
    <cellStyle name="40% - Accent6 3 2 3 2 8" xfId="14811" xr:uid="{00000000-0005-0000-0000-000082430000}"/>
    <cellStyle name="40% - Accent6 3 2 3 2 9" xfId="14812" xr:uid="{00000000-0005-0000-0000-000083430000}"/>
    <cellStyle name="40% - Accent6 3 2 3 3" xfId="14813" xr:uid="{00000000-0005-0000-0000-000084430000}"/>
    <cellStyle name="40% - Accent6 3 2 3 3 2" xfId="14814" xr:uid="{00000000-0005-0000-0000-000085430000}"/>
    <cellStyle name="40% - Accent6 3 2 3 3 2 2" xfId="14815" xr:uid="{00000000-0005-0000-0000-000086430000}"/>
    <cellStyle name="40% - Accent6 3 2 3 3 2 2 2" xfId="14816" xr:uid="{00000000-0005-0000-0000-000087430000}"/>
    <cellStyle name="40% - Accent6 3 2 3 3 2 3" xfId="14817" xr:uid="{00000000-0005-0000-0000-000088430000}"/>
    <cellStyle name="40% - Accent6 3 2 3 3 2 4" xfId="14818" xr:uid="{00000000-0005-0000-0000-000089430000}"/>
    <cellStyle name="40% - Accent6 3 2 3 3 2 5" xfId="38657" xr:uid="{00000000-0005-0000-0000-00008A430000}"/>
    <cellStyle name="40% - Accent6 3 2 3 3 3" xfId="14819" xr:uid="{00000000-0005-0000-0000-00008B430000}"/>
    <cellStyle name="40% - Accent6 3 2 3 3 3 2" xfId="14820" xr:uid="{00000000-0005-0000-0000-00008C430000}"/>
    <cellStyle name="40% - Accent6 3 2 3 3 4" xfId="14821" xr:uid="{00000000-0005-0000-0000-00008D430000}"/>
    <cellStyle name="40% - Accent6 3 2 3 3 5" xfId="14822" xr:uid="{00000000-0005-0000-0000-00008E430000}"/>
    <cellStyle name="40% - Accent6 3 2 3 3 6" xfId="38656" xr:uid="{00000000-0005-0000-0000-00008F430000}"/>
    <cellStyle name="40% - Accent6 3 2 3 4" xfId="14823" xr:uid="{00000000-0005-0000-0000-000090430000}"/>
    <cellStyle name="40% - Accent6 3 2 3 4 2" xfId="14824" xr:uid="{00000000-0005-0000-0000-000091430000}"/>
    <cellStyle name="40% - Accent6 3 2 3 4 2 2" xfId="14825" xr:uid="{00000000-0005-0000-0000-000092430000}"/>
    <cellStyle name="40% - Accent6 3 2 3 4 2 2 2" xfId="14826" xr:uid="{00000000-0005-0000-0000-000093430000}"/>
    <cellStyle name="40% - Accent6 3 2 3 4 2 3" xfId="14827" xr:uid="{00000000-0005-0000-0000-000094430000}"/>
    <cellStyle name="40% - Accent6 3 2 3 4 2 4" xfId="14828" xr:uid="{00000000-0005-0000-0000-000095430000}"/>
    <cellStyle name="40% - Accent6 3 2 3 4 2 5" xfId="38659" xr:uid="{00000000-0005-0000-0000-000096430000}"/>
    <cellStyle name="40% - Accent6 3 2 3 4 3" xfId="14829" xr:uid="{00000000-0005-0000-0000-000097430000}"/>
    <cellStyle name="40% - Accent6 3 2 3 4 3 2" xfId="14830" xr:uid="{00000000-0005-0000-0000-000098430000}"/>
    <cellStyle name="40% - Accent6 3 2 3 4 4" xfId="14831" xr:uid="{00000000-0005-0000-0000-000099430000}"/>
    <cellStyle name="40% - Accent6 3 2 3 4 5" xfId="14832" xr:uid="{00000000-0005-0000-0000-00009A430000}"/>
    <cellStyle name="40% - Accent6 3 2 3 4 6" xfId="38658" xr:uid="{00000000-0005-0000-0000-00009B430000}"/>
    <cellStyle name="40% - Accent6 3 2 3 5" xfId="14833" xr:uid="{00000000-0005-0000-0000-00009C430000}"/>
    <cellStyle name="40% - Accent6 3 2 3 5 2" xfId="14834" xr:uid="{00000000-0005-0000-0000-00009D430000}"/>
    <cellStyle name="40% - Accent6 3 2 3 5 2 2" xfId="14835" xr:uid="{00000000-0005-0000-0000-00009E430000}"/>
    <cellStyle name="40% - Accent6 3 2 3 5 3" xfId="14836" xr:uid="{00000000-0005-0000-0000-00009F430000}"/>
    <cellStyle name="40% - Accent6 3 2 3 5 4" xfId="14837" xr:uid="{00000000-0005-0000-0000-0000A0430000}"/>
    <cellStyle name="40% - Accent6 3 2 3 5 5" xfId="38660" xr:uid="{00000000-0005-0000-0000-0000A1430000}"/>
    <cellStyle name="40% - Accent6 3 2 3 6" xfId="14838" xr:uid="{00000000-0005-0000-0000-0000A2430000}"/>
    <cellStyle name="40% - Accent6 3 2 3 6 2" xfId="14839" xr:uid="{00000000-0005-0000-0000-0000A3430000}"/>
    <cellStyle name="40% - Accent6 3 2 3 6 2 2" xfId="14840" xr:uid="{00000000-0005-0000-0000-0000A4430000}"/>
    <cellStyle name="40% - Accent6 3 2 3 6 3" xfId="14841" xr:uid="{00000000-0005-0000-0000-0000A5430000}"/>
    <cellStyle name="40% - Accent6 3 2 3 6 4" xfId="14842" xr:uid="{00000000-0005-0000-0000-0000A6430000}"/>
    <cellStyle name="40% - Accent6 3 2 3 7" xfId="14843" xr:uid="{00000000-0005-0000-0000-0000A7430000}"/>
    <cellStyle name="40% - Accent6 3 2 3 7 2" xfId="14844" xr:uid="{00000000-0005-0000-0000-0000A8430000}"/>
    <cellStyle name="40% - Accent6 3 2 3 7 2 2" xfId="14845" xr:uid="{00000000-0005-0000-0000-0000A9430000}"/>
    <cellStyle name="40% - Accent6 3 2 3 7 3" xfId="14846" xr:uid="{00000000-0005-0000-0000-0000AA430000}"/>
    <cellStyle name="40% - Accent6 3 2 3 7 4" xfId="14847" xr:uid="{00000000-0005-0000-0000-0000AB430000}"/>
    <cellStyle name="40% - Accent6 3 2 3 8" xfId="14848" xr:uid="{00000000-0005-0000-0000-0000AC430000}"/>
    <cellStyle name="40% - Accent6 3 2 3 8 2" xfId="14849" xr:uid="{00000000-0005-0000-0000-0000AD430000}"/>
    <cellStyle name="40% - Accent6 3 2 3 9" xfId="14850" xr:uid="{00000000-0005-0000-0000-0000AE430000}"/>
    <cellStyle name="40% - Accent6 3 2 4" xfId="14851" xr:uid="{00000000-0005-0000-0000-0000AF430000}"/>
    <cellStyle name="40% - Accent6 3 2 4 10" xfId="34834" xr:uid="{00000000-0005-0000-0000-0000B0430000}"/>
    <cellStyle name="40% - Accent6 3 2 4 2" xfId="14852" xr:uid="{00000000-0005-0000-0000-0000B1430000}"/>
    <cellStyle name="40% - Accent6 3 2 4 2 2" xfId="14853" xr:uid="{00000000-0005-0000-0000-0000B2430000}"/>
    <cellStyle name="40% - Accent6 3 2 4 2 2 2" xfId="14854" xr:uid="{00000000-0005-0000-0000-0000B3430000}"/>
    <cellStyle name="40% - Accent6 3 2 4 2 2 2 2" xfId="14855" xr:uid="{00000000-0005-0000-0000-0000B4430000}"/>
    <cellStyle name="40% - Accent6 3 2 4 2 2 3" xfId="14856" xr:uid="{00000000-0005-0000-0000-0000B5430000}"/>
    <cellStyle name="40% - Accent6 3 2 4 2 2 4" xfId="14857" xr:uid="{00000000-0005-0000-0000-0000B6430000}"/>
    <cellStyle name="40% - Accent6 3 2 4 2 2 5" xfId="38662" xr:uid="{00000000-0005-0000-0000-0000B7430000}"/>
    <cellStyle name="40% - Accent6 3 2 4 2 3" xfId="14858" xr:uid="{00000000-0005-0000-0000-0000B8430000}"/>
    <cellStyle name="40% - Accent6 3 2 4 2 3 2" xfId="14859" xr:uid="{00000000-0005-0000-0000-0000B9430000}"/>
    <cellStyle name="40% - Accent6 3 2 4 2 4" xfId="14860" xr:uid="{00000000-0005-0000-0000-0000BA430000}"/>
    <cellStyle name="40% - Accent6 3 2 4 2 5" xfId="14861" xr:uid="{00000000-0005-0000-0000-0000BB430000}"/>
    <cellStyle name="40% - Accent6 3 2 4 2 6" xfId="38661" xr:uid="{00000000-0005-0000-0000-0000BC430000}"/>
    <cellStyle name="40% - Accent6 3 2 4 3" xfId="14862" xr:uid="{00000000-0005-0000-0000-0000BD430000}"/>
    <cellStyle name="40% - Accent6 3 2 4 3 2" xfId="14863" xr:uid="{00000000-0005-0000-0000-0000BE430000}"/>
    <cellStyle name="40% - Accent6 3 2 4 3 2 2" xfId="14864" xr:uid="{00000000-0005-0000-0000-0000BF430000}"/>
    <cellStyle name="40% - Accent6 3 2 4 3 2 2 2" xfId="14865" xr:uid="{00000000-0005-0000-0000-0000C0430000}"/>
    <cellStyle name="40% - Accent6 3 2 4 3 2 3" xfId="14866" xr:uid="{00000000-0005-0000-0000-0000C1430000}"/>
    <cellStyle name="40% - Accent6 3 2 4 3 2 4" xfId="14867" xr:uid="{00000000-0005-0000-0000-0000C2430000}"/>
    <cellStyle name="40% - Accent6 3 2 4 3 2 5" xfId="38664" xr:uid="{00000000-0005-0000-0000-0000C3430000}"/>
    <cellStyle name="40% - Accent6 3 2 4 3 3" xfId="14868" xr:uid="{00000000-0005-0000-0000-0000C4430000}"/>
    <cellStyle name="40% - Accent6 3 2 4 3 3 2" xfId="14869" xr:uid="{00000000-0005-0000-0000-0000C5430000}"/>
    <cellStyle name="40% - Accent6 3 2 4 3 4" xfId="14870" xr:uid="{00000000-0005-0000-0000-0000C6430000}"/>
    <cellStyle name="40% - Accent6 3 2 4 3 5" xfId="14871" xr:uid="{00000000-0005-0000-0000-0000C7430000}"/>
    <cellStyle name="40% - Accent6 3 2 4 3 6" xfId="38663" xr:uid="{00000000-0005-0000-0000-0000C8430000}"/>
    <cellStyle name="40% - Accent6 3 2 4 4" xfId="14872" xr:uid="{00000000-0005-0000-0000-0000C9430000}"/>
    <cellStyle name="40% - Accent6 3 2 4 4 2" xfId="14873" xr:uid="{00000000-0005-0000-0000-0000CA430000}"/>
    <cellStyle name="40% - Accent6 3 2 4 4 2 2" xfId="14874" xr:uid="{00000000-0005-0000-0000-0000CB430000}"/>
    <cellStyle name="40% - Accent6 3 2 4 4 3" xfId="14875" xr:uid="{00000000-0005-0000-0000-0000CC430000}"/>
    <cellStyle name="40% - Accent6 3 2 4 4 4" xfId="14876" xr:uid="{00000000-0005-0000-0000-0000CD430000}"/>
    <cellStyle name="40% - Accent6 3 2 4 4 5" xfId="38665" xr:uid="{00000000-0005-0000-0000-0000CE430000}"/>
    <cellStyle name="40% - Accent6 3 2 4 5" xfId="14877" xr:uid="{00000000-0005-0000-0000-0000CF430000}"/>
    <cellStyle name="40% - Accent6 3 2 4 5 2" xfId="14878" xr:uid="{00000000-0005-0000-0000-0000D0430000}"/>
    <cellStyle name="40% - Accent6 3 2 4 5 2 2" xfId="14879" xr:uid="{00000000-0005-0000-0000-0000D1430000}"/>
    <cellStyle name="40% - Accent6 3 2 4 5 3" xfId="14880" xr:uid="{00000000-0005-0000-0000-0000D2430000}"/>
    <cellStyle name="40% - Accent6 3 2 4 5 4" xfId="14881" xr:uid="{00000000-0005-0000-0000-0000D3430000}"/>
    <cellStyle name="40% - Accent6 3 2 4 6" xfId="14882" xr:uid="{00000000-0005-0000-0000-0000D4430000}"/>
    <cellStyle name="40% - Accent6 3 2 4 6 2" xfId="14883" xr:uid="{00000000-0005-0000-0000-0000D5430000}"/>
    <cellStyle name="40% - Accent6 3 2 4 6 2 2" xfId="14884" xr:uid="{00000000-0005-0000-0000-0000D6430000}"/>
    <cellStyle name="40% - Accent6 3 2 4 6 3" xfId="14885" xr:uid="{00000000-0005-0000-0000-0000D7430000}"/>
    <cellStyle name="40% - Accent6 3 2 4 6 4" xfId="14886" xr:uid="{00000000-0005-0000-0000-0000D8430000}"/>
    <cellStyle name="40% - Accent6 3 2 4 7" xfId="14887" xr:uid="{00000000-0005-0000-0000-0000D9430000}"/>
    <cellStyle name="40% - Accent6 3 2 4 7 2" xfId="14888" xr:uid="{00000000-0005-0000-0000-0000DA430000}"/>
    <cellStyle name="40% - Accent6 3 2 4 8" xfId="14889" xr:uid="{00000000-0005-0000-0000-0000DB430000}"/>
    <cellStyle name="40% - Accent6 3 2 4 9" xfId="14890" xr:uid="{00000000-0005-0000-0000-0000DC430000}"/>
    <cellStyle name="40% - Accent6 3 2 5" xfId="14891" xr:uid="{00000000-0005-0000-0000-0000DD430000}"/>
    <cellStyle name="40% - Accent6 3 2 5 2" xfId="14892" xr:uid="{00000000-0005-0000-0000-0000DE430000}"/>
    <cellStyle name="40% - Accent6 3 2 5 2 2" xfId="14893" xr:uid="{00000000-0005-0000-0000-0000DF430000}"/>
    <cellStyle name="40% - Accent6 3 2 5 2 2 2" xfId="14894" xr:uid="{00000000-0005-0000-0000-0000E0430000}"/>
    <cellStyle name="40% - Accent6 3 2 5 2 3" xfId="14895" xr:uid="{00000000-0005-0000-0000-0000E1430000}"/>
    <cellStyle name="40% - Accent6 3 2 5 2 4" xfId="14896" xr:uid="{00000000-0005-0000-0000-0000E2430000}"/>
    <cellStyle name="40% - Accent6 3 2 5 2 5" xfId="38667" xr:uid="{00000000-0005-0000-0000-0000E3430000}"/>
    <cellStyle name="40% - Accent6 3 2 5 3" xfId="14897" xr:uid="{00000000-0005-0000-0000-0000E4430000}"/>
    <cellStyle name="40% - Accent6 3 2 5 3 2" xfId="14898" xr:uid="{00000000-0005-0000-0000-0000E5430000}"/>
    <cellStyle name="40% - Accent6 3 2 5 4" xfId="14899" xr:uid="{00000000-0005-0000-0000-0000E6430000}"/>
    <cellStyle name="40% - Accent6 3 2 5 5" xfId="14900" xr:uid="{00000000-0005-0000-0000-0000E7430000}"/>
    <cellStyle name="40% - Accent6 3 2 5 6" xfId="38666" xr:uid="{00000000-0005-0000-0000-0000E8430000}"/>
    <cellStyle name="40% - Accent6 3 2 6" xfId="14901" xr:uid="{00000000-0005-0000-0000-0000E9430000}"/>
    <cellStyle name="40% - Accent6 3 2 6 2" xfId="14902" xr:uid="{00000000-0005-0000-0000-0000EA430000}"/>
    <cellStyle name="40% - Accent6 3 2 6 2 2" xfId="14903" xr:uid="{00000000-0005-0000-0000-0000EB430000}"/>
    <cellStyle name="40% - Accent6 3 2 6 2 2 2" xfId="14904" xr:uid="{00000000-0005-0000-0000-0000EC430000}"/>
    <cellStyle name="40% - Accent6 3 2 6 2 3" xfId="14905" xr:uid="{00000000-0005-0000-0000-0000ED430000}"/>
    <cellStyle name="40% - Accent6 3 2 6 2 4" xfId="14906" xr:uid="{00000000-0005-0000-0000-0000EE430000}"/>
    <cellStyle name="40% - Accent6 3 2 6 2 5" xfId="38669" xr:uid="{00000000-0005-0000-0000-0000EF430000}"/>
    <cellStyle name="40% - Accent6 3 2 6 3" xfId="14907" xr:uid="{00000000-0005-0000-0000-0000F0430000}"/>
    <cellStyle name="40% - Accent6 3 2 6 3 2" xfId="14908" xr:uid="{00000000-0005-0000-0000-0000F1430000}"/>
    <cellStyle name="40% - Accent6 3 2 6 4" xfId="14909" xr:uid="{00000000-0005-0000-0000-0000F2430000}"/>
    <cellStyle name="40% - Accent6 3 2 6 5" xfId="14910" xr:uid="{00000000-0005-0000-0000-0000F3430000}"/>
    <cellStyle name="40% - Accent6 3 2 6 6" xfId="38668" xr:uid="{00000000-0005-0000-0000-0000F4430000}"/>
    <cellStyle name="40% - Accent6 3 2 7" xfId="14911" xr:uid="{00000000-0005-0000-0000-0000F5430000}"/>
    <cellStyle name="40% - Accent6 3 2 7 2" xfId="14912" xr:uid="{00000000-0005-0000-0000-0000F6430000}"/>
    <cellStyle name="40% - Accent6 3 2 7 2 2" xfId="14913" xr:uid="{00000000-0005-0000-0000-0000F7430000}"/>
    <cellStyle name="40% - Accent6 3 2 7 3" xfId="14914" xr:uid="{00000000-0005-0000-0000-0000F8430000}"/>
    <cellStyle name="40% - Accent6 3 2 7 4" xfId="14915" xr:uid="{00000000-0005-0000-0000-0000F9430000}"/>
    <cellStyle name="40% - Accent6 3 2 7 5" xfId="38670" xr:uid="{00000000-0005-0000-0000-0000FA430000}"/>
    <cellStyle name="40% - Accent6 3 2 8" xfId="14916" xr:uid="{00000000-0005-0000-0000-0000FB430000}"/>
    <cellStyle name="40% - Accent6 3 2 8 2" xfId="14917" xr:uid="{00000000-0005-0000-0000-0000FC430000}"/>
    <cellStyle name="40% - Accent6 3 2 8 2 2" xfId="14918" xr:uid="{00000000-0005-0000-0000-0000FD430000}"/>
    <cellStyle name="40% - Accent6 3 2 8 3" xfId="14919" xr:uid="{00000000-0005-0000-0000-0000FE430000}"/>
    <cellStyle name="40% - Accent6 3 2 8 4" xfId="14920" xr:uid="{00000000-0005-0000-0000-0000FF430000}"/>
    <cellStyle name="40% - Accent6 3 2 9" xfId="14921" xr:uid="{00000000-0005-0000-0000-000000440000}"/>
    <cellStyle name="40% - Accent6 3 2 9 2" xfId="14922" xr:uid="{00000000-0005-0000-0000-000001440000}"/>
    <cellStyle name="40% - Accent6 3 2 9 2 2" xfId="14923" xr:uid="{00000000-0005-0000-0000-000002440000}"/>
    <cellStyle name="40% - Accent6 3 2 9 3" xfId="14924" xr:uid="{00000000-0005-0000-0000-000003440000}"/>
    <cellStyle name="40% - Accent6 3 2 9 4" xfId="14925" xr:uid="{00000000-0005-0000-0000-000004440000}"/>
    <cellStyle name="40% - Accent6 3 3" xfId="14926" xr:uid="{00000000-0005-0000-0000-000005440000}"/>
    <cellStyle name="40% - Accent6 3 4" xfId="14927" xr:uid="{00000000-0005-0000-0000-000006440000}"/>
    <cellStyle name="40% - Accent6 3 5" xfId="14928" xr:uid="{00000000-0005-0000-0000-000007440000}"/>
    <cellStyle name="40% - Accent6 4" xfId="14929" xr:uid="{00000000-0005-0000-0000-000008440000}"/>
    <cellStyle name="40% - Accent6 4 10" xfId="14930" xr:uid="{00000000-0005-0000-0000-000009440000}"/>
    <cellStyle name="40% - Accent6 4 10 2" xfId="14931" xr:uid="{00000000-0005-0000-0000-00000A440000}"/>
    <cellStyle name="40% - Accent6 4 11" xfId="14932" xr:uid="{00000000-0005-0000-0000-00000B440000}"/>
    <cellStyle name="40% - Accent6 4 12" xfId="14933" xr:uid="{00000000-0005-0000-0000-00000C440000}"/>
    <cellStyle name="40% - Accent6 4 13" xfId="34835" xr:uid="{00000000-0005-0000-0000-00000D440000}"/>
    <cellStyle name="40% - Accent6 4 2" xfId="14934" xr:uid="{00000000-0005-0000-0000-00000E440000}"/>
    <cellStyle name="40% - Accent6 4 2 10" xfId="14935" xr:uid="{00000000-0005-0000-0000-00000F440000}"/>
    <cellStyle name="40% - Accent6 4 2 11" xfId="14936" xr:uid="{00000000-0005-0000-0000-000010440000}"/>
    <cellStyle name="40% - Accent6 4 2 12" xfId="34836" xr:uid="{00000000-0005-0000-0000-000011440000}"/>
    <cellStyle name="40% - Accent6 4 2 2" xfId="14937" xr:uid="{00000000-0005-0000-0000-000012440000}"/>
    <cellStyle name="40% - Accent6 4 2 2 10" xfId="14938" xr:uid="{00000000-0005-0000-0000-000013440000}"/>
    <cellStyle name="40% - Accent6 4 2 2 11" xfId="34837" xr:uid="{00000000-0005-0000-0000-000014440000}"/>
    <cellStyle name="40% - Accent6 4 2 2 2" xfId="14939" xr:uid="{00000000-0005-0000-0000-000015440000}"/>
    <cellStyle name="40% - Accent6 4 2 2 2 10" xfId="34838" xr:uid="{00000000-0005-0000-0000-000016440000}"/>
    <cellStyle name="40% - Accent6 4 2 2 2 2" xfId="14940" xr:uid="{00000000-0005-0000-0000-000017440000}"/>
    <cellStyle name="40% - Accent6 4 2 2 2 2 2" xfId="14941" xr:uid="{00000000-0005-0000-0000-000018440000}"/>
    <cellStyle name="40% - Accent6 4 2 2 2 2 2 2" xfId="14942" xr:uid="{00000000-0005-0000-0000-000019440000}"/>
    <cellStyle name="40% - Accent6 4 2 2 2 2 2 2 2" xfId="14943" xr:uid="{00000000-0005-0000-0000-00001A440000}"/>
    <cellStyle name="40% - Accent6 4 2 2 2 2 2 3" xfId="14944" xr:uid="{00000000-0005-0000-0000-00001B440000}"/>
    <cellStyle name="40% - Accent6 4 2 2 2 2 2 4" xfId="14945" xr:uid="{00000000-0005-0000-0000-00001C440000}"/>
    <cellStyle name="40% - Accent6 4 2 2 2 2 2 5" xfId="38672" xr:uid="{00000000-0005-0000-0000-00001D440000}"/>
    <cellStyle name="40% - Accent6 4 2 2 2 2 3" xfId="14946" xr:uid="{00000000-0005-0000-0000-00001E440000}"/>
    <cellStyle name="40% - Accent6 4 2 2 2 2 3 2" xfId="14947" xr:uid="{00000000-0005-0000-0000-00001F440000}"/>
    <cellStyle name="40% - Accent6 4 2 2 2 2 4" xfId="14948" xr:uid="{00000000-0005-0000-0000-000020440000}"/>
    <cellStyle name="40% - Accent6 4 2 2 2 2 5" xfId="14949" xr:uid="{00000000-0005-0000-0000-000021440000}"/>
    <cellStyle name="40% - Accent6 4 2 2 2 2 6" xfId="38671" xr:uid="{00000000-0005-0000-0000-000022440000}"/>
    <cellStyle name="40% - Accent6 4 2 2 2 3" xfId="14950" xr:uid="{00000000-0005-0000-0000-000023440000}"/>
    <cellStyle name="40% - Accent6 4 2 2 2 3 2" xfId="14951" xr:uid="{00000000-0005-0000-0000-000024440000}"/>
    <cellStyle name="40% - Accent6 4 2 2 2 3 2 2" xfId="14952" xr:uid="{00000000-0005-0000-0000-000025440000}"/>
    <cellStyle name="40% - Accent6 4 2 2 2 3 2 2 2" xfId="14953" xr:uid="{00000000-0005-0000-0000-000026440000}"/>
    <cellStyle name="40% - Accent6 4 2 2 2 3 2 3" xfId="14954" xr:uid="{00000000-0005-0000-0000-000027440000}"/>
    <cellStyle name="40% - Accent6 4 2 2 2 3 2 4" xfId="14955" xr:uid="{00000000-0005-0000-0000-000028440000}"/>
    <cellStyle name="40% - Accent6 4 2 2 2 3 2 5" xfId="38674" xr:uid="{00000000-0005-0000-0000-000029440000}"/>
    <cellStyle name="40% - Accent6 4 2 2 2 3 3" xfId="14956" xr:uid="{00000000-0005-0000-0000-00002A440000}"/>
    <cellStyle name="40% - Accent6 4 2 2 2 3 3 2" xfId="14957" xr:uid="{00000000-0005-0000-0000-00002B440000}"/>
    <cellStyle name="40% - Accent6 4 2 2 2 3 4" xfId="14958" xr:uid="{00000000-0005-0000-0000-00002C440000}"/>
    <cellStyle name="40% - Accent6 4 2 2 2 3 5" xfId="14959" xr:uid="{00000000-0005-0000-0000-00002D440000}"/>
    <cellStyle name="40% - Accent6 4 2 2 2 3 6" xfId="38673" xr:uid="{00000000-0005-0000-0000-00002E440000}"/>
    <cellStyle name="40% - Accent6 4 2 2 2 4" xfId="14960" xr:uid="{00000000-0005-0000-0000-00002F440000}"/>
    <cellStyle name="40% - Accent6 4 2 2 2 4 2" xfId="14961" xr:uid="{00000000-0005-0000-0000-000030440000}"/>
    <cellStyle name="40% - Accent6 4 2 2 2 4 2 2" xfId="14962" xr:uid="{00000000-0005-0000-0000-000031440000}"/>
    <cellStyle name="40% - Accent6 4 2 2 2 4 3" xfId="14963" xr:uid="{00000000-0005-0000-0000-000032440000}"/>
    <cellStyle name="40% - Accent6 4 2 2 2 4 4" xfId="14964" xr:uid="{00000000-0005-0000-0000-000033440000}"/>
    <cellStyle name="40% - Accent6 4 2 2 2 4 5" xfId="38675" xr:uid="{00000000-0005-0000-0000-000034440000}"/>
    <cellStyle name="40% - Accent6 4 2 2 2 5" xfId="14965" xr:uid="{00000000-0005-0000-0000-000035440000}"/>
    <cellStyle name="40% - Accent6 4 2 2 2 5 2" xfId="14966" xr:uid="{00000000-0005-0000-0000-000036440000}"/>
    <cellStyle name="40% - Accent6 4 2 2 2 5 2 2" xfId="14967" xr:uid="{00000000-0005-0000-0000-000037440000}"/>
    <cellStyle name="40% - Accent6 4 2 2 2 5 3" xfId="14968" xr:uid="{00000000-0005-0000-0000-000038440000}"/>
    <cellStyle name="40% - Accent6 4 2 2 2 5 4" xfId="14969" xr:uid="{00000000-0005-0000-0000-000039440000}"/>
    <cellStyle name="40% - Accent6 4 2 2 2 6" xfId="14970" xr:uid="{00000000-0005-0000-0000-00003A440000}"/>
    <cellStyle name="40% - Accent6 4 2 2 2 6 2" xfId="14971" xr:uid="{00000000-0005-0000-0000-00003B440000}"/>
    <cellStyle name="40% - Accent6 4 2 2 2 6 2 2" xfId="14972" xr:uid="{00000000-0005-0000-0000-00003C440000}"/>
    <cellStyle name="40% - Accent6 4 2 2 2 6 3" xfId="14973" xr:uid="{00000000-0005-0000-0000-00003D440000}"/>
    <cellStyle name="40% - Accent6 4 2 2 2 6 4" xfId="14974" xr:uid="{00000000-0005-0000-0000-00003E440000}"/>
    <cellStyle name="40% - Accent6 4 2 2 2 7" xfId="14975" xr:uid="{00000000-0005-0000-0000-00003F440000}"/>
    <cellStyle name="40% - Accent6 4 2 2 2 7 2" xfId="14976" xr:uid="{00000000-0005-0000-0000-000040440000}"/>
    <cellStyle name="40% - Accent6 4 2 2 2 8" xfId="14977" xr:uid="{00000000-0005-0000-0000-000041440000}"/>
    <cellStyle name="40% - Accent6 4 2 2 2 9" xfId="14978" xr:uid="{00000000-0005-0000-0000-000042440000}"/>
    <cellStyle name="40% - Accent6 4 2 2 3" xfId="14979" xr:uid="{00000000-0005-0000-0000-000043440000}"/>
    <cellStyle name="40% - Accent6 4 2 2 3 2" xfId="14980" xr:uid="{00000000-0005-0000-0000-000044440000}"/>
    <cellStyle name="40% - Accent6 4 2 2 3 2 2" xfId="14981" xr:uid="{00000000-0005-0000-0000-000045440000}"/>
    <cellStyle name="40% - Accent6 4 2 2 3 2 2 2" xfId="14982" xr:uid="{00000000-0005-0000-0000-000046440000}"/>
    <cellStyle name="40% - Accent6 4 2 2 3 2 3" xfId="14983" xr:uid="{00000000-0005-0000-0000-000047440000}"/>
    <cellStyle name="40% - Accent6 4 2 2 3 2 4" xfId="14984" xr:uid="{00000000-0005-0000-0000-000048440000}"/>
    <cellStyle name="40% - Accent6 4 2 2 3 2 5" xfId="38677" xr:uid="{00000000-0005-0000-0000-000049440000}"/>
    <cellStyle name="40% - Accent6 4 2 2 3 3" xfId="14985" xr:uid="{00000000-0005-0000-0000-00004A440000}"/>
    <cellStyle name="40% - Accent6 4 2 2 3 3 2" xfId="14986" xr:uid="{00000000-0005-0000-0000-00004B440000}"/>
    <cellStyle name="40% - Accent6 4 2 2 3 4" xfId="14987" xr:uid="{00000000-0005-0000-0000-00004C440000}"/>
    <cellStyle name="40% - Accent6 4 2 2 3 5" xfId="14988" xr:uid="{00000000-0005-0000-0000-00004D440000}"/>
    <cellStyle name="40% - Accent6 4 2 2 3 6" xfId="38676" xr:uid="{00000000-0005-0000-0000-00004E440000}"/>
    <cellStyle name="40% - Accent6 4 2 2 4" xfId="14989" xr:uid="{00000000-0005-0000-0000-00004F440000}"/>
    <cellStyle name="40% - Accent6 4 2 2 4 2" xfId="14990" xr:uid="{00000000-0005-0000-0000-000050440000}"/>
    <cellStyle name="40% - Accent6 4 2 2 4 2 2" xfId="14991" xr:uid="{00000000-0005-0000-0000-000051440000}"/>
    <cellStyle name="40% - Accent6 4 2 2 4 2 2 2" xfId="14992" xr:uid="{00000000-0005-0000-0000-000052440000}"/>
    <cellStyle name="40% - Accent6 4 2 2 4 2 3" xfId="14993" xr:uid="{00000000-0005-0000-0000-000053440000}"/>
    <cellStyle name="40% - Accent6 4 2 2 4 2 4" xfId="14994" xr:uid="{00000000-0005-0000-0000-000054440000}"/>
    <cellStyle name="40% - Accent6 4 2 2 4 2 5" xfId="38679" xr:uid="{00000000-0005-0000-0000-000055440000}"/>
    <cellStyle name="40% - Accent6 4 2 2 4 3" xfId="14995" xr:uid="{00000000-0005-0000-0000-000056440000}"/>
    <cellStyle name="40% - Accent6 4 2 2 4 3 2" xfId="14996" xr:uid="{00000000-0005-0000-0000-000057440000}"/>
    <cellStyle name="40% - Accent6 4 2 2 4 4" xfId="14997" xr:uid="{00000000-0005-0000-0000-000058440000}"/>
    <cellStyle name="40% - Accent6 4 2 2 4 5" xfId="14998" xr:uid="{00000000-0005-0000-0000-000059440000}"/>
    <cellStyle name="40% - Accent6 4 2 2 4 6" xfId="38678" xr:uid="{00000000-0005-0000-0000-00005A440000}"/>
    <cellStyle name="40% - Accent6 4 2 2 5" xfId="14999" xr:uid="{00000000-0005-0000-0000-00005B440000}"/>
    <cellStyle name="40% - Accent6 4 2 2 5 2" xfId="15000" xr:uid="{00000000-0005-0000-0000-00005C440000}"/>
    <cellStyle name="40% - Accent6 4 2 2 5 2 2" xfId="15001" xr:uid="{00000000-0005-0000-0000-00005D440000}"/>
    <cellStyle name="40% - Accent6 4 2 2 5 3" xfId="15002" xr:uid="{00000000-0005-0000-0000-00005E440000}"/>
    <cellStyle name="40% - Accent6 4 2 2 5 4" xfId="15003" xr:uid="{00000000-0005-0000-0000-00005F440000}"/>
    <cellStyle name="40% - Accent6 4 2 2 5 5" xfId="38680" xr:uid="{00000000-0005-0000-0000-000060440000}"/>
    <cellStyle name="40% - Accent6 4 2 2 6" xfId="15004" xr:uid="{00000000-0005-0000-0000-000061440000}"/>
    <cellStyle name="40% - Accent6 4 2 2 6 2" xfId="15005" xr:uid="{00000000-0005-0000-0000-000062440000}"/>
    <cellStyle name="40% - Accent6 4 2 2 6 2 2" xfId="15006" xr:uid="{00000000-0005-0000-0000-000063440000}"/>
    <cellStyle name="40% - Accent6 4 2 2 6 3" xfId="15007" xr:uid="{00000000-0005-0000-0000-000064440000}"/>
    <cellStyle name="40% - Accent6 4 2 2 6 4" xfId="15008" xr:uid="{00000000-0005-0000-0000-000065440000}"/>
    <cellStyle name="40% - Accent6 4 2 2 7" xfId="15009" xr:uid="{00000000-0005-0000-0000-000066440000}"/>
    <cellStyle name="40% - Accent6 4 2 2 7 2" xfId="15010" xr:uid="{00000000-0005-0000-0000-000067440000}"/>
    <cellStyle name="40% - Accent6 4 2 2 7 2 2" xfId="15011" xr:uid="{00000000-0005-0000-0000-000068440000}"/>
    <cellStyle name="40% - Accent6 4 2 2 7 3" xfId="15012" xr:uid="{00000000-0005-0000-0000-000069440000}"/>
    <cellStyle name="40% - Accent6 4 2 2 7 4" xfId="15013" xr:uid="{00000000-0005-0000-0000-00006A440000}"/>
    <cellStyle name="40% - Accent6 4 2 2 8" xfId="15014" xr:uid="{00000000-0005-0000-0000-00006B440000}"/>
    <cellStyle name="40% - Accent6 4 2 2 8 2" xfId="15015" xr:uid="{00000000-0005-0000-0000-00006C440000}"/>
    <cellStyle name="40% - Accent6 4 2 2 9" xfId="15016" xr:uid="{00000000-0005-0000-0000-00006D440000}"/>
    <cellStyle name="40% - Accent6 4 2 3" xfId="15017" xr:uid="{00000000-0005-0000-0000-00006E440000}"/>
    <cellStyle name="40% - Accent6 4 2 3 10" xfId="34839" xr:uid="{00000000-0005-0000-0000-00006F440000}"/>
    <cellStyle name="40% - Accent6 4 2 3 2" xfId="15018" xr:uid="{00000000-0005-0000-0000-000070440000}"/>
    <cellStyle name="40% - Accent6 4 2 3 2 2" xfId="15019" xr:uid="{00000000-0005-0000-0000-000071440000}"/>
    <cellStyle name="40% - Accent6 4 2 3 2 2 2" xfId="15020" xr:uid="{00000000-0005-0000-0000-000072440000}"/>
    <cellStyle name="40% - Accent6 4 2 3 2 2 2 2" xfId="15021" xr:uid="{00000000-0005-0000-0000-000073440000}"/>
    <cellStyle name="40% - Accent6 4 2 3 2 2 3" xfId="15022" xr:uid="{00000000-0005-0000-0000-000074440000}"/>
    <cellStyle name="40% - Accent6 4 2 3 2 2 4" xfId="15023" xr:uid="{00000000-0005-0000-0000-000075440000}"/>
    <cellStyle name="40% - Accent6 4 2 3 2 2 5" xfId="38682" xr:uid="{00000000-0005-0000-0000-000076440000}"/>
    <cellStyle name="40% - Accent6 4 2 3 2 3" xfId="15024" xr:uid="{00000000-0005-0000-0000-000077440000}"/>
    <cellStyle name="40% - Accent6 4 2 3 2 3 2" xfId="15025" xr:uid="{00000000-0005-0000-0000-000078440000}"/>
    <cellStyle name="40% - Accent6 4 2 3 2 4" xfId="15026" xr:uid="{00000000-0005-0000-0000-000079440000}"/>
    <cellStyle name="40% - Accent6 4 2 3 2 5" xfId="15027" xr:uid="{00000000-0005-0000-0000-00007A440000}"/>
    <cellStyle name="40% - Accent6 4 2 3 2 6" xfId="38681" xr:uid="{00000000-0005-0000-0000-00007B440000}"/>
    <cellStyle name="40% - Accent6 4 2 3 3" xfId="15028" xr:uid="{00000000-0005-0000-0000-00007C440000}"/>
    <cellStyle name="40% - Accent6 4 2 3 3 2" xfId="15029" xr:uid="{00000000-0005-0000-0000-00007D440000}"/>
    <cellStyle name="40% - Accent6 4 2 3 3 2 2" xfId="15030" xr:uid="{00000000-0005-0000-0000-00007E440000}"/>
    <cellStyle name="40% - Accent6 4 2 3 3 2 2 2" xfId="15031" xr:uid="{00000000-0005-0000-0000-00007F440000}"/>
    <cellStyle name="40% - Accent6 4 2 3 3 2 3" xfId="15032" xr:uid="{00000000-0005-0000-0000-000080440000}"/>
    <cellStyle name="40% - Accent6 4 2 3 3 2 4" xfId="15033" xr:uid="{00000000-0005-0000-0000-000081440000}"/>
    <cellStyle name="40% - Accent6 4 2 3 3 2 5" xfId="38684" xr:uid="{00000000-0005-0000-0000-000082440000}"/>
    <cellStyle name="40% - Accent6 4 2 3 3 3" xfId="15034" xr:uid="{00000000-0005-0000-0000-000083440000}"/>
    <cellStyle name="40% - Accent6 4 2 3 3 3 2" xfId="15035" xr:uid="{00000000-0005-0000-0000-000084440000}"/>
    <cellStyle name="40% - Accent6 4 2 3 3 4" xfId="15036" xr:uid="{00000000-0005-0000-0000-000085440000}"/>
    <cellStyle name="40% - Accent6 4 2 3 3 5" xfId="15037" xr:uid="{00000000-0005-0000-0000-000086440000}"/>
    <cellStyle name="40% - Accent6 4 2 3 3 6" xfId="38683" xr:uid="{00000000-0005-0000-0000-000087440000}"/>
    <cellStyle name="40% - Accent6 4 2 3 4" xfId="15038" xr:uid="{00000000-0005-0000-0000-000088440000}"/>
    <cellStyle name="40% - Accent6 4 2 3 4 2" xfId="15039" xr:uid="{00000000-0005-0000-0000-000089440000}"/>
    <cellStyle name="40% - Accent6 4 2 3 4 2 2" xfId="15040" xr:uid="{00000000-0005-0000-0000-00008A440000}"/>
    <cellStyle name="40% - Accent6 4 2 3 4 3" xfId="15041" xr:uid="{00000000-0005-0000-0000-00008B440000}"/>
    <cellStyle name="40% - Accent6 4 2 3 4 4" xfId="15042" xr:uid="{00000000-0005-0000-0000-00008C440000}"/>
    <cellStyle name="40% - Accent6 4 2 3 4 5" xfId="38685" xr:uid="{00000000-0005-0000-0000-00008D440000}"/>
    <cellStyle name="40% - Accent6 4 2 3 5" xfId="15043" xr:uid="{00000000-0005-0000-0000-00008E440000}"/>
    <cellStyle name="40% - Accent6 4 2 3 5 2" xfId="15044" xr:uid="{00000000-0005-0000-0000-00008F440000}"/>
    <cellStyle name="40% - Accent6 4 2 3 5 2 2" xfId="15045" xr:uid="{00000000-0005-0000-0000-000090440000}"/>
    <cellStyle name="40% - Accent6 4 2 3 5 3" xfId="15046" xr:uid="{00000000-0005-0000-0000-000091440000}"/>
    <cellStyle name="40% - Accent6 4 2 3 5 4" xfId="15047" xr:uid="{00000000-0005-0000-0000-000092440000}"/>
    <cellStyle name="40% - Accent6 4 2 3 6" xfId="15048" xr:uid="{00000000-0005-0000-0000-000093440000}"/>
    <cellStyle name="40% - Accent6 4 2 3 6 2" xfId="15049" xr:uid="{00000000-0005-0000-0000-000094440000}"/>
    <cellStyle name="40% - Accent6 4 2 3 6 2 2" xfId="15050" xr:uid="{00000000-0005-0000-0000-000095440000}"/>
    <cellStyle name="40% - Accent6 4 2 3 6 3" xfId="15051" xr:uid="{00000000-0005-0000-0000-000096440000}"/>
    <cellStyle name="40% - Accent6 4 2 3 6 4" xfId="15052" xr:uid="{00000000-0005-0000-0000-000097440000}"/>
    <cellStyle name="40% - Accent6 4 2 3 7" xfId="15053" xr:uid="{00000000-0005-0000-0000-000098440000}"/>
    <cellStyle name="40% - Accent6 4 2 3 7 2" xfId="15054" xr:uid="{00000000-0005-0000-0000-000099440000}"/>
    <cellStyle name="40% - Accent6 4 2 3 8" xfId="15055" xr:uid="{00000000-0005-0000-0000-00009A440000}"/>
    <cellStyle name="40% - Accent6 4 2 3 9" xfId="15056" xr:uid="{00000000-0005-0000-0000-00009B440000}"/>
    <cellStyle name="40% - Accent6 4 2 4" xfId="15057" xr:uid="{00000000-0005-0000-0000-00009C440000}"/>
    <cellStyle name="40% - Accent6 4 2 4 2" xfId="15058" xr:uid="{00000000-0005-0000-0000-00009D440000}"/>
    <cellStyle name="40% - Accent6 4 2 4 2 2" xfId="15059" xr:uid="{00000000-0005-0000-0000-00009E440000}"/>
    <cellStyle name="40% - Accent6 4 2 4 2 2 2" xfId="15060" xr:uid="{00000000-0005-0000-0000-00009F440000}"/>
    <cellStyle name="40% - Accent6 4 2 4 2 3" xfId="15061" xr:uid="{00000000-0005-0000-0000-0000A0440000}"/>
    <cellStyle name="40% - Accent6 4 2 4 2 4" xfId="15062" xr:uid="{00000000-0005-0000-0000-0000A1440000}"/>
    <cellStyle name="40% - Accent6 4 2 4 2 5" xfId="38687" xr:uid="{00000000-0005-0000-0000-0000A2440000}"/>
    <cellStyle name="40% - Accent6 4 2 4 3" xfId="15063" xr:uid="{00000000-0005-0000-0000-0000A3440000}"/>
    <cellStyle name="40% - Accent6 4 2 4 3 2" xfId="15064" xr:uid="{00000000-0005-0000-0000-0000A4440000}"/>
    <cellStyle name="40% - Accent6 4 2 4 4" xfId="15065" xr:uid="{00000000-0005-0000-0000-0000A5440000}"/>
    <cellStyle name="40% - Accent6 4 2 4 5" xfId="15066" xr:uid="{00000000-0005-0000-0000-0000A6440000}"/>
    <cellStyle name="40% - Accent6 4 2 4 6" xfId="38686" xr:uid="{00000000-0005-0000-0000-0000A7440000}"/>
    <cellStyle name="40% - Accent6 4 2 5" xfId="15067" xr:uid="{00000000-0005-0000-0000-0000A8440000}"/>
    <cellStyle name="40% - Accent6 4 2 5 2" xfId="15068" xr:uid="{00000000-0005-0000-0000-0000A9440000}"/>
    <cellStyle name="40% - Accent6 4 2 5 2 2" xfId="15069" xr:uid="{00000000-0005-0000-0000-0000AA440000}"/>
    <cellStyle name="40% - Accent6 4 2 5 2 2 2" xfId="15070" xr:uid="{00000000-0005-0000-0000-0000AB440000}"/>
    <cellStyle name="40% - Accent6 4 2 5 2 3" xfId="15071" xr:uid="{00000000-0005-0000-0000-0000AC440000}"/>
    <cellStyle name="40% - Accent6 4 2 5 2 4" xfId="15072" xr:uid="{00000000-0005-0000-0000-0000AD440000}"/>
    <cellStyle name="40% - Accent6 4 2 5 2 5" xfId="38689" xr:uid="{00000000-0005-0000-0000-0000AE440000}"/>
    <cellStyle name="40% - Accent6 4 2 5 3" xfId="15073" xr:uid="{00000000-0005-0000-0000-0000AF440000}"/>
    <cellStyle name="40% - Accent6 4 2 5 3 2" xfId="15074" xr:uid="{00000000-0005-0000-0000-0000B0440000}"/>
    <cellStyle name="40% - Accent6 4 2 5 4" xfId="15075" xr:uid="{00000000-0005-0000-0000-0000B1440000}"/>
    <cellStyle name="40% - Accent6 4 2 5 5" xfId="15076" xr:uid="{00000000-0005-0000-0000-0000B2440000}"/>
    <cellStyle name="40% - Accent6 4 2 5 6" xfId="38688" xr:uid="{00000000-0005-0000-0000-0000B3440000}"/>
    <cellStyle name="40% - Accent6 4 2 6" xfId="15077" xr:uid="{00000000-0005-0000-0000-0000B4440000}"/>
    <cellStyle name="40% - Accent6 4 2 6 2" xfId="15078" xr:uid="{00000000-0005-0000-0000-0000B5440000}"/>
    <cellStyle name="40% - Accent6 4 2 6 2 2" xfId="15079" xr:uid="{00000000-0005-0000-0000-0000B6440000}"/>
    <cellStyle name="40% - Accent6 4 2 6 3" xfId="15080" xr:uid="{00000000-0005-0000-0000-0000B7440000}"/>
    <cellStyle name="40% - Accent6 4 2 6 4" xfId="15081" xr:uid="{00000000-0005-0000-0000-0000B8440000}"/>
    <cellStyle name="40% - Accent6 4 2 6 5" xfId="38690" xr:uid="{00000000-0005-0000-0000-0000B9440000}"/>
    <cellStyle name="40% - Accent6 4 2 7" xfId="15082" xr:uid="{00000000-0005-0000-0000-0000BA440000}"/>
    <cellStyle name="40% - Accent6 4 2 7 2" xfId="15083" xr:uid="{00000000-0005-0000-0000-0000BB440000}"/>
    <cellStyle name="40% - Accent6 4 2 7 2 2" xfId="15084" xr:uid="{00000000-0005-0000-0000-0000BC440000}"/>
    <cellStyle name="40% - Accent6 4 2 7 3" xfId="15085" xr:uid="{00000000-0005-0000-0000-0000BD440000}"/>
    <cellStyle name="40% - Accent6 4 2 7 4" xfId="15086" xr:uid="{00000000-0005-0000-0000-0000BE440000}"/>
    <cellStyle name="40% - Accent6 4 2 8" xfId="15087" xr:uid="{00000000-0005-0000-0000-0000BF440000}"/>
    <cellStyle name="40% - Accent6 4 2 8 2" xfId="15088" xr:uid="{00000000-0005-0000-0000-0000C0440000}"/>
    <cellStyle name="40% - Accent6 4 2 8 2 2" xfId="15089" xr:uid="{00000000-0005-0000-0000-0000C1440000}"/>
    <cellStyle name="40% - Accent6 4 2 8 3" xfId="15090" xr:uid="{00000000-0005-0000-0000-0000C2440000}"/>
    <cellStyle name="40% - Accent6 4 2 8 4" xfId="15091" xr:uid="{00000000-0005-0000-0000-0000C3440000}"/>
    <cellStyle name="40% - Accent6 4 2 9" xfId="15092" xr:uid="{00000000-0005-0000-0000-0000C4440000}"/>
    <cellStyle name="40% - Accent6 4 2 9 2" xfId="15093" xr:uid="{00000000-0005-0000-0000-0000C5440000}"/>
    <cellStyle name="40% - Accent6 4 3" xfId="15094" xr:uid="{00000000-0005-0000-0000-0000C6440000}"/>
    <cellStyle name="40% - Accent6 4 3 10" xfId="15095" xr:uid="{00000000-0005-0000-0000-0000C7440000}"/>
    <cellStyle name="40% - Accent6 4 3 11" xfId="34840" xr:uid="{00000000-0005-0000-0000-0000C8440000}"/>
    <cellStyle name="40% - Accent6 4 3 2" xfId="15096" xr:uid="{00000000-0005-0000-0000-0000C9440000}"/>
    <cellStyle name="40% - Accent6 4 3 2 10" xfId="34841" xr:uid="{00000000-0005-0000-0000-0000CA440000}"/>
    <cellStyle name="40% - Accent6 4 3 2 2" xfId="15097" xr:uid="{00000000-0005-0000-0000-0000CB440000}"/>
    <cellStyle name="40% - Accent6 4 3 2 2 2" xfId="15098" xr:uid="{00000000-0005-0000-0000-0000CC440000}"/>
    <cellStyle name="40% - Accent6 4 3 2 2 2 2" xfId="15099" xr:uid="{00000000-0005-0000-0000-0000CD440000}"/>
    <cellStyle name="40% - Accent6 4 3 2 2 2 2 2" xfId="15100" xr:uid="{00000000-0005-0000-0000-0000CE440000}"/>
    <cellStyle name="40% - Accent6 4 3 2 2 2 3" xfId="15101" xr:uid="{00000000-0005-0000-0000-0000CF440000}"/>
    <cellStyle name="40% - Accent6 4 3 2 2 2 4" xfId="15102" xr:uid="{00000000-0005-0000-0000-0000D0440000}"/>
    <cellStyle name="40% - Accent6 4 3 2 2 2 5" xfId="38692" xr:uid="{00000000-0005-0000-0000-0000D1440000}"/>
    <cellStyle name="40% - Accent6 4 3 2 2 3" xfId="15103" xr:uid="{00000000-0005-0000-0000-0000D2440000}"/>
    <cellStyle name="40% - Accent6 4 3 2 2 3 2" xfId="15104" xr:uid="{00000000-0005-0000-0000-0000D3440000}"/>
    <cellStyle name="40% - Accent6 4 3 2 2 4" xfId="15105" xr:uid="{00000000-0005-0000-0000-0000D4440000}"/>
    <cellStyle name="40% - Accent6 4 3 2 2 5" xfId="15106" xr:uid="{00000000-0005-0000-0000-0000D5440000}"/>
    <cellStyle name="40% - Accent6 4 3 2 2 6" xfId="38691" xr:uid="{00000000-0005-0000-0000-0000D6440000}"/>
    <cellStyle name="40% - Accent6 4 3 2 3" xfId="15107" xr:uid="{00000000-0005-0000-0000-0000D7440000}"/>
    <cellStyle name="40% - Accent6 4 3 2 3 2" xfId="15108" xr:uid="{00000000-0005-0000-0000-0000D8440000}"/>
    <cellStyle name="40% - Accent6 4 3 2 3 2 2" xfId="15109" xr:uid="{00000000-0005-0000-0000-0000D9440000}"/>
    <cellStyle name="40% - Accent6 4 3 2 3 2 2 2" xfId="15110" xr:uid="{00000000-0005-0000-0000-0000DA440000}"/>
    <cellStyle name="40% - Accent6 4 3 2 3 2 3" xfId="15111" xr:uid="{00000000-0005-0000-0000-0000DB440000}"/>
    <cellStyle name="40% - Accent6 4 3 2 3 2 4" xfId="15112" xr:uid="{00000000-0005-0000-0000-0000DC440000}"/>
    <cellStyle name="40% - Accent6 4 3 2 3 2 5" xfId="38694" xr:uid="{00000000-0005-0000-0000-0000DD440000}"/>
    <cellStyle name="40% - Accent6 4 3 2 3 3" xfId="15113" xr:uid="{00000000-0005-0000-0000-0000DE440000}"/>
    <cellStyle name="40% - Accent6 4 3 2 3 3 2" xfId="15114" xr:uid="{00000000-0005-0000-0000-0000DF440000}"/>
    <cellStyle name="40% - Accent6 4 3 2 3 4" xfId="15115" xr:uid="{00000000-0005-0000-0000-0000E0440000}"/>
    <cellStyle name="40% - Accent6 4 3 2 3 5" xfId="15116" xr:uid="{00000000-0005-0000-0000-0000E1440000}"/>
    <cellStyle name="40% - Accent6 4 3 2 3 6" xfId="38693" xr:uid="{00000000-0005-0000-0000-0000E2440000}"/>
    <cellStyle name="40% - Accent6 4 3 2 4" xfId="15117" xr:uid="{00000000-0005-0000-0000-0000E3440000}"/>
    <cellStyle name="40% - Accent6 4 3 2 4 2" xfId="15118" xr:uid="{00000000-0005-0000-0000-0000E4440000}"/>
    <cellStyle name="40% - Accent6 4 3 2 4 2 2" xfId="15119" xr:uid="{00000000-0005-0000-0000-0000E5440000}"/>
    <cellStyle name="40% - Accent6 4 3 2 4 3" xfId="15120" xr:uid="{00000000-0005-0000-0000-0000E6440000}"/>
    <cellStyle name="40% - Accent6 4 3 2 4 4" xfId="15121" xr:uid="{00000000-0005-0000-0000-0000E7440000}"/>
    <cellStyle name="40% - Accent6 4 3 2 4 5" xfId="38695" xr:uid="{00000000-0005-0000-0000-0000E8440000}"/>
    <cellStyle name="40% - Accent6 4 3 2 5" xfId="15122" xr:uid="{00000000-0005-0000-0000-0000E9440000}"/>
    <cellStyle name="40% - Accent6 4 3 2 5 2" xfId="15123" xr:uid="{00000000-0005-0000-0000-0000EA440000}"/>
    <cellStyle name="40% - Accent6 4 3 2 5 2 2" xfId="15124" xr:uid="{00000000-0005-0000-0000-0000EB440000}"/>
    <cellStyle name="40% - Accent6 4 3 2 5 3" xfId="15125" xr:uid="{00000000-0005-0000-0000-0000EC440000}"/>
    <cellStyle name="40% - Accent6 4 3 2 5 4" xfId="15126" xr:uid="{00000000-0005-0000-0000-0000ED440000}"/>
    <cellStyle name="40% - Accent6 4 3 2 6" xfId="15127" xr:uid="{00000000-0005-0000-0000-0000EE440000}"/>
    <cellStyle name="40% - Accent6 4 3 2 6 2" xfId="15128" xr:uid="{00000000-0005-0000-0000-0000EF440000}"/>
    <cellStyle name="40% - Accent6 4 3 2 6 2 2" xfId="15129" xr:uid="{00000000-0005-0000-0000-0000F0440000}"/>
    <cellStyle name="40% - Accent6 4 3 2 6 3" xfId="15130" xr:uid="{00000000-0005-0000-0000-0000F1440000}"/>
    <cellStyle name="40% - Accent6 4 3 2 6 4" xfId="15131" xr:uid="{00000000-0005-0000-0000-0000F2440000}"/>
    <cellStyle name="40% - Accent6 4 3 2 7" xfId="15132" xr:uid="{00000000-0005-0000-0000-0000F3440000}"/>
    <cellStyle name="40% - Accent6 4 3 2 7 2" xfId="15133" xr:uid="{00000000-0005-0000-0000-0000F4440000}"/>
    <cellStyle name="40% - Accent6 4 3 2 8" xfId="15134" xr:uid="{00000000-0005-0000-0000-0000F5440000}"/>
    <cellStyle name="40% - Accent6 4 3 2 9" xfId="15135" xr:uid="{00000000-0005-0000-0000-0000F6440000}"/>
    <cellStyle name="40% - Accent6 4 3 3" xfId="15136" xr:uid="{00000000-0005-0000-0000-0000F7440000}"/>
    <cellStyle name="40% - Accent6 4 3 3 2" xfId="15137" xr:uid="{00000000-0005-0000-0000-0000F8440000}"/>
    <cellStyle name="40% - Accent6 4 3 3 2 2" xfId="15138" xr:uid="{00000000-0005-0000-0000-0000F9440000}"/>
    <cellStyle name="40% - Accent6 4 3 3 2 2 2" xfId="15139" xr:uid="{00000000-0005-0000-0000-0000FA440000}"/>
    <cellStyle name="40% - Accent6 4 3 3 2 3" xfId="15140" xr:uid="{00000000-0005-0000-0000-0000FB440000}"/>
    <cellStyle name="40% - Accent6 4 3 3 2 4" xfId="15141" xr:uid="{00000000-0005-0000-0000-0000FC440000}"/>
    <cellStyle name="40% - Accent6 4 3 3 2 5" xfId="38697" xr:uid="{00000000-0005-0000-0000-0000FD440000}"/>
    <cellStyle name="40% - Accent6 4 3 3 3" xfId="15142" xr:uid="{00000000-0005-0000-0000-0000FE440000}"/>
    <cellStyle name="40% - Accent6 4 3 3 3 2" xfId="15143" xr:uid="{00000000-0005-0000-0000-0000FF440000}"/>
    <cellStyle name="40% - Accent6 4 3 3 4" xfId="15144" xr:uid="{00000000-0005-0000-0000-000000450000}"/>
    <cellStyle name="40% - Accent6 4 3 3 5" xfId="15145" xr:uid="{00000000-0005-0000-0000-000001450000}"/>
    <cellStyle name="40% - Accent6 4 3 3 6" xfId="38696" xr:uid="{00000000-0005-0000-0000-000002450000}"/>
    <cellStyle name="40% - Accent6 4 3 4" xfId="15146" xr:uid="{00000000-0005-0000-0000-000003450000}"/>
    <cellStyle name="40% - Accent6 4 3 4 2" xfId="15147" xr:uid="{00000000-0005-0000-0000-000004450000}"/>
    <cellStyle name="40% - Accent6 4 3 4 2 2" xfId="15148" xr:uid="{00000000-0005-0000-0000-000005450000}"/>
    <cellStyle name="40% - Accent6 4 3 4 2 2 2" xfId="15149" xr:uid="{00000000-0005-0000-0000-000006450000}"/>
    <cellStyle name="40% - Accent6 4 3 4 2 3" xfId="15150" xr:uid="{00000000-0005-0000-0000-000007450000}"/>
    <cellStyle name="40% - Accent6 4 3 4 2 4" xfId="15151" xr:uid="{00000000-0005-0000-0000-000008450000}"/>
    <cellStyle name="40% - Accent6 4 3 4 2 5" xfId="38699" xr:uid="{00000000-0005-0000-0000-000009450000}"/>
    <cellStyle name="40% - Accent6 4 3 4 3" xfId="15152" xr:uid="{00000000-0005-0000-0000-00000A450000}"/>
    <cellStyle name="40% - Accent6 4 3 4 3 2" xfId="15153" xr:uid="{00000000-0005-0000-0000-00000B450000}"/>
    <cellStyle name="40% - Accent6 4 3 4 4" xfId="15154" xr:uid="{00000000-0005-0000-0000-00000C450000}"/>
    <cellStyle name="40% - Accent6 4 3 4 5" xfId="15155" xr:uid="{00000000-0005-0000-0000-00000D450000}"/>
    <cellStyle name="40% - Accent6 4 3 4 6" xfId="38698" xr:uid="{00000000-0005-0000-0000-00000E450000}"/>
    <cellStyle name="40% - Accent6 4 3 5" xfId="15156" xr:uid="{00000000-0005-0000-0000-00000F450000}"/>
    <cellStyle name="40% - Accent6 4 3 5 2" xfId="15157" xr:uid="{00000000-0005-0000-0000-000010450000}"/>
    <cellStyle name="40% - Accent6 4 3 5 2 2" xfId="15158" xr:uid="{00000000-0005-0000-0000-000011450000}"/>
    <cellStyle name="40% - Accent6 4 3 5 3" xfId="15159" xr:uid="{00000000-0005-0000-0000-000012450000}"/>
    <cellStyle name="40% - Accent6 4 3 5 4" xfId="15160" xr:uid="{00000000-0005-0000-0000-000013450000}"/>
    <cellStyle name="40% - Accent6 4 3 5 5" xfId="38700" xr:uid="{00000000-0005-0000-0000-000014450000}"/>
    <cellStyle name="40% - Accent6 4 3 6" xfId="15161" xr:uid="{00000000-0005-0000-0000-000015450000}"/>
    <cellStyle name="40% - Accent6 4 3 6 2" xfId="15162" xr:uid="{00000000-0005-0000-0000-000016450000}"/>
    <cellStyle name="40% - Accent6 4 3 6 2 2" xfId="15163" xr:uid="{00000000-0005-0000-0000-000017450000}"/>
    <cellStyle name="40% - Accent6 4 3 6 3" xfId="15164" xr:uid="{00000000-0005-0000-0000-000018450000}"/>
    <cellStyle name="40% - Accent6 4 3 6 4" xfId="15165" xr:uid="{00000000-0005-0000-0000-000019450000}"/>
    <cellStyle name="40% - Accent6 4 3 7" xfId="15166" xr:uid="{00000000-0005-0000-0000-00001A450000}"/>
    <cellStyle name="40% - Accent6 4 3 7 2" xfId="15167" xr:uid="{00000000-0005-0000-0000-00001B450000}"/>
    <cellStyle name="40% - Accent6 4 3 7 2 2" xfId="15168" xr:uid="{00000000-0005-0000-0000-00001C450000}"/>
    <cellStyle name="40% - Accent6 4 3 7 3" xfId="15169" xr:uid="{00000000-0005-0000-0000-00001D450000}"/>
    <cellStyle name="40% - Accent6 4 3 7 4" xfId="15170" xr:uid="{00000000-0005-0000-0000-00001E450000}"/>
    <cellStyle name="40% - Accent6 4 3 8" xfId="15171" xr:uid="{00000000-0005-0000-0000-00001F450000}"/>
    <cellStyle name="40% - Accent6 4 3 8 2" xfId="15172" xr:uid="{00000000-0005-0000-0000-000020450000}"/>
    <cellStyle name="40% - Accent6 4 3 9" xfId="15173" xr:uid="{00000000-0005-0000-0000-000021450000}"/>
    <cellStyle name="40% - Accent6 4 4" xfId="15174" xr:uid="{00000000-0005-0000-0000-000022450000}"/>
    <cellStyle name="40% - Accent6 4 4 10" xfId="34842" xr:uid="{00000000-0005-0000-0000-000023450000}"/>
    <cellStyle name="40% - Accent6 4 4 2" xfId="15175" xr:uid="{00000000-0005-0000-0000-000024450000}"/>
    <cellStyle name="40% - Accent6 4 4 2 2" xfId="15176" xr:uid="{00000000-0005-0000-0000-000025450000}"/>
    <cellStyle name="40% - Accent6 4 4 2 2 2" xfId="15177" xr:uid="{00000000-0005-0000-0000-000026450000}"/>
    <cellStyle name="40% - Accent6 4 4 2 2 2 2" xfId="15178" xr:uid="{00000000-0005-0000-0000-000027450000}"/>
    <cellStyle name="40% - Accent6 4 4 2 2 3" xfId="15179" xr:uid="{00000000-0005-0000-0000-000028450000}"/>
    <cellStyle name="40% - Accent6 4 4 2 2 4" xfId="15180" xr:uid="{00000000-0005-0000-0000-000029450000}"/>
    <cellStyle name="40% - Accent6 4 4 2 2 5" xfId="38702" xr:uid="{00000000-0005-0000-0000-00002A450000}"/>
    <cellStyle name="40% - Accent6 4 4 2 3" xfId="15181" xr:uid="{00000000-0005-0000-0000-00002B450000}"/>
    <cellStyle name="40% - Accent6 4 4 2 3 2" xfId="15182" xr:uid="{00000000-0005-0000-0000-00002C450000}"/>
    <cellStyle name="40% - Accent6 4 4 2 4" xfId="15183" xr:uid="{00000000-0005-0000-0000-00002D450000}"/>
    <cellStyle name="40% - Accent6 4 4 2 5" xfId="15184" xr:uid="{00000000-0005-0000-0000-00002E450000}"/>
    <cellStyle name="40% - Accent6 4 4 2 6" xfId="38701" xr:uid="{00000000-0005-0000-0000-00002F450000}"/>
    <cellStyle name="40% - Accent6 4 4 3" xfId="15185" xr:uid="{00000000-0005-0000-0000-000030450000}"/>
    <cellStyle name="40% - Accent6 4 4 3 2" xfId="15186" xr:uid="{00000000-0005-0000-0000-000031450000}"/>
    <cellStyle name="40% - Accent6 4 4 3 2 2" xfId="15187" xr:uid="{00000000-0005-0000-0000-000032450000}"/>
    <cellStyle name="40% - Accent6 4 4 3 2 2 2" xfId="15188" xr:uid="{00000000-0005-0000-0000-000033450000}"/>
    <cellStyle name="40% - Accent6 4 4 3 2 3" xfId="15189" xr:uid="{00000000-0005-0000-0000-000034450000}"/>
    <cellStyle name="40% - Accent6 4 4 3 2 4" xfId="15190" xr:uid="{00000000-0005-0000-0000-000035450000}"/>
    <cellStyle name="40% - Accent6 4 4 3 2 5" xfId="38704" xr:uid="{00000000-0005-0000-0000-000036450000}"/>
    <cellStyle name="40% - Accent6 4 4 3 3" xfId="15191" xr:uid="{00000000-0005-0000-0000-000037450000}"/>
    <cellStyle name="40% - Accent6 4 4 3 3 2" xfId="15192" xr:uid="{00000000-0005-0000-0000-000038450000}"/>
    <cellStyle name="40% - Accent6 4 4 3 4" xfId="15193" xr:uid="{00000000-0005-0000-0000-000039450000}"/>
    <cellStyle name="40% - Accent6 4 4 3 5" xfId="15194" xr:uid="{00000000-0005-0000-0000-00003A450000}"/>
    <cellStyle name="40% - Accent6 4 4 3 6" xfId="38703" xr:uid="{00000000-0005-0000-0000-00003B450000}"/>
    <cellStyle name="40% - Accent6 4 4 4" xfId="15195" xr:uid="{00000000-0005-0000-0000-00003C450000}"/>
    <cellStyle name="40% - Accent6 4 4 4 2" xfId="15196" xr:uid="{00000000-0005-0000-0000-00003D450000}"/>
    <cellStyle name="40% - Accent6 4 4 4 2 2" xfId="15197" xr:uid="{00000000-0005-0000-0000-00003E450000}"/>
    <cellStyle name="40% - Accent6 4 4 4 3" xfId="15198" xr:uid="{00000000-0005-0000-0000-00003F450000}"/>
    <cellStyle name="40% - Accent6 4 4 4 4" xfId="15199" xr:uid="{00000000-0005-0000-0000-000040450000}"/>
    <cellStyle name="40% - Accent6 4 4 4 5" xfId="38705" xr:uid="{00000000-0005-0000-0000-000041450000}"/>
    <cellStyle name="40% - Accent6 4 4 5" xfId="15200" xr:uid="{00000000-0005-0000-0000-000042450000}"/>
    <cellStyle name="40% - Accent6 4 4 5 2" xfId="15201" xr:uid="{00000000-0005-0000-0000-000043450000}"/>
    <cellStyle name="40% - Accent6 4 4 5 2 2" xfId="15202" xr:uid="{00000000-0005-0000-0000-000044450000}"/>
    <cellStyle name="40% - Accent6 4 4 5 3" xfId="15203" xr:uid="{00000000-0005-0000-0000-000045450000}"/>
    <cellStyle name="40% - Accent6 4 4 5 4" xfId="15204" xr:uid="{00000000-0005-0000-0000-000046450000}"/>
    <cellStyle name="40% - Accent6 4 4 6" xfId="15205" xr:uid="{00000000-0005-0000-0000-000047450000}"/>
    <cellStyle name="40% - Accent6 4 4 6 2" xfId="15206" xr:uid="{00000000-0005-0000-0000-000048450000}"/>
    <cellStyle name="40% - Accent6 4 4 6 2 2" xfId="15207" xr:uid="{00000000-0005-0000-0000-000049450000}"/>
    <cellStyle name="40% - Accent6 4 4 6 3" xfId="15208" xr:uid="{00000000-0005-0000-0000-00004A450000}"/>
    <cellStyle name="40% - Accent6 4 4 6 4" xfId="15209" xr:uid="{00000000-0005-0000-0000-00004B450000}"/>
    <cellStyle name="40% - Accent6 4 4 7" xfId="15210" xr:uid="{00000000-0005-0000-0000-00004C450000}"/>
    <cellStyle name="40% - Accent6 4 4 7 2" xfId="15211" xr:uid="{00000000-0005-0000-0000-00004D450000}"/>
    <cellStyle name="40% - Accent6 4 4 8" xfId="15212" xr:uid="{00000000-0005-0000-0000-00004E450000}"/>
    <cellStyle name="40% - Accent6 4 4 9" xfId="15213" xr:uid="{00000000-0005-0000-0000-00004F450000}"/>
    <cellStyle name="40% - Accent6 4 5" xfId="15214" xr:uid="{00000000-0005-0000-0000-000050450000}"/>
    <cellStyle name="40% - Accent6 4 5 2" xfId="15215" xr:uid="{00000000-0005-0000-0000-000051450000}"/>
    <cellStyle name="40% - Accent6 4 5 2 2" xfId="15216" xr:uid="{00000000-0005-0000-0000-000052450000}"/>
    <cellStyle name="40% - Accent6 4 5 2 2 2" xfId="15217" xr:uid="{00000000-0005-0000-0000-000053450000}"/>
    <cellStyle name="40% - Accent6 4 5 2 3" xfId="15218" xr:uid="{00000000-0005-0000-0000-000054450000}"/>
    <cellStyle name="40% - Accent6 4 5 2 4" xfId="15219" xr:uid="{00000000-0005-0000-0000-000055450000}"/>
    <cellStyle name="40% - Accent6 4 5 2 5" xfId="38707" xr:uid="{00000000-0005-0000-0000-000056450000}"/>
    <cellStyle name="40% - Accent6 4 5 3" xfId="15220" xr:uid="{00000000-0005-0000-0000-000057450000}"/>
    <cellStyle name="40% - Accent6 4 5 4" xfId="15221" xr:uid="{00000000-0005-0000-0000-000058450000}"/>
    <cellStyle name="40% - Accent6 4 5 4 2" xfId="15222" xr:uid="{00000000-0005-0000-0000-000059450000}"/>
    <cellStyle name="40% - Accent6 4 5 5" xfId="15223" xr:uid="{00000000-0005-0000-0000-00005A450000}"/>
    <cellStyle name="40% - Accent6 4 5 6" xfId="15224" xr:uid="{00000000-0005-0000-0000-00005B450000}"/>
    <cellStyle name="40% - Accent6 4 5 7" xfId="38706" xr:uid="{00000000-0005-0000-0000-00005C450000}"/>
    <cellStyle name="40% - Accent6 4 6" xfId="15225" xr:uid="{00000000-0005-0000-0000-00005D450000}"/>
    <cellStyle name="40% - Accent6 4 6 2" xfId="15226" xr:uid="{00000000-0005-0000-0000-00005E450000}"/>
    <cellStyle name="40% - Accent6 4 6 2 2" xfId="15227" xr:uid="{00000000-0005-0000-0000-00005F450000}"/>
    <cellStyle name="40% - Accent6 4 6 2 2 2" xfId="15228" xr:uid="{00000000-0005-0000-0000-000060450000}"/>
    <cellStyle name="40% - Accent6 4 6 2 3" xfId="15229" xr:uid="{00000000-0005-0000-0000-000061450000}"/>
    <cellStyle name="40% - Accent6 4 6 2 4" xfId="15230" xr:uid="{00000000-0005-0000-0000-000062450000}"/>
    <cellStyle name="40% - Accent6 4 6 2 5" xfId="38709" xr:uid="{00000000-0005-0000-0000-000063450000}"/>
    <cellStyle name="40% - Accent6 4 6 3" xfId="15231" xr:uid="{00000000-0005-0000-0000-000064450000}"/>
    <cellStyle name="40% - Accent6 4 6 3 2" xfId="15232" xr:uid="{00000000-0005-0000-0000-000065450000}"/>
    <cellStyle name="40% - Accent6 4 6 3 2 2" xfId="15233" xr:uid="{00000000-0005-0000-0000-000066450000}"/>
    <cellStyle name="40% - Accent6 4 6 3 3" xfId="15234" xr:uid="{00000000-0005-0000-0000-000067450000}"/>
    <cellStyle name="40% - Accent6 4 6 3 4" xfId="15235" xr:uid="{00000000-0005-0000-0000-000068450000}"/>
    <cellStyle name="40% - Accent6 4 6 3 5" xfId="38710" xr:uid="{00000000-0005-0000-0000-000069450000}"/>
    <cellStyle name="40% - Accent6 4 6 4" xfId="15236" xr:uid="{00000000-0005-0000-0000-00006A450000}"/>
    <cellStyle name="40% - Accent6 4 6 4 2" xfId="15237" xr:uid="{00000000-0005-0000-0000-00006B450000}"/>
    <cellStyle name="40% - Accent6 4 6 5" xfId="15238" xr:uid="{00000000-0005-0000-0000-00006C450000}"/>
    <cellStyle name="40% - Accent6 4 6 6" xfId="15239" xr:uid="{00000000-0005-0000-0000-00006D450000}"/>
    <cellStyle name="40% - Accent6 4 6 7" xfId="38708" xr:uid="{00000000-0005-0000-0000-00006E450000}"/>
    <cellStyle name="40% - Accent6 4 7" xfId="15240" xr:uid="{00000000-0005-0000-0000-00006F450000}"/>
    <cellStyle name="40% - Accent6 4 7 2" xfId="15241" xr:uid="{00000000-0005-0000-0000-000070450000}"/>
    <cellStyle name="40% - Accent6 4 7 2 2" xfId="15242" xr:uid="{00000000-0005-0000-0000-000071450000}"/>
    <cellStyle name="40% - Accent6 4 7 3" xfId="15243" xr:uid="{00000000-0005-0000-0000-000072450000}"/>
    <cellStyle name="40% - Accent6 4 7 4" xfId="15244" xr:uid="{00000000-0005-0000-0000-000073450000}"/>
    <cellStyle name="40% - Accent6 4 7 5" xfId="38711" xr:uid="{00000000-0005-0000-0000-000074450000}"/>
    <cellStyle name="40% - Accent6 4 8" xfId="15245" xr:uid="{00000000-0005-0000-0000-000075450000}"/>
    <cellStyle name="40% - Accent6 4 8 2" xfId="15246" xr:uid="{00000000-0005-0000-0000-000076450000}"/>
    <cellStyle name="40% - Accent6 4 8 2 2" xfId="15247" xr:uid="{00000000-0005-0000-0000-000077450000}"/>
    <cellStyle name="40% - Accent6 4 8 3" xfId="15248" xr:uid="{00000000-0005-0000-0000-000078450000}"/>
    <cellStyle name="40% - Accent6 4 8 4" xfId="15249" xr:uid="{00000000-0005-0000-0000-000079450000}"/>
    <cellStyle name="40% - Accent6 4 9" xfId="15250" xr:uid="{00000000-0005-0000-0000-00007A450000}"/>
    <cellStyle name="40% - Accent6 4 9 2" xfId="15251" xr:uid="{00000000-0005-0000-0000-00007B450000}"/>
    <cellStyle name="40% - Accent6 4 9 2 2" xfId="15252" xr:uid="{00000000-0005-0000-0000-00007C450000}"/>
    <cellStyle name="40% - Accent6 4 9 3" xfId="15253" xr:uid="{00000000-0005-0000-0000-00007D450000}"/>
    <cellStyle name="40% - Accent6 4 9 4" xfId="15254" xr:uid="{00000000-0005-0000-0000-00007E450000}"/>
    <cellStyle name="40% - Accent6 5" xfId="15255" xr:uid="{00000000-0005-0000-0000-00007F450000}"/>
    <cellStyle name="40% - Accent6 5 10" xfId="15256" xr:uid="{00000000-0005-0000-0000-000080450000}"/>
    <cellStyle name="40% - Accent6 5 10 2" xfId="15257" xr:uid="{00000000-0005-0000-0000-000081450000}"/>
    <cellStyle name="40% - Accent6 5 11" xfId="15258" xr:uid="{00000000-0005-0000-0000-000082450000}"/>
    <cellStyle name="40% - Accent6 5 12" xfId="15259" xr:uid="{00000000-0005-0000-0000-000083450000}"/>
    <cellStyle name="40% - Accent6 5 13" xfId="34843" xr:uid="{00000000-0005-0000-0000-000084450000}"/>
    <cellStyle name="40% - Accent6 5 2" xfId="15260" xr:uid="{00000000-0005-0000-0000-000085450000}"/>
    <cellStyle name="40% - Accent6 5 2 10" xfId="15261" xr:uid="{00000000-0005-0000-0000-000086450000}"/>
    <cellStyle name="40% - Accent6 5 2 11" xfId="15262" xr:uid="{00000000-0005-0000-0000-000087450000}"/>
    <cellStyle name="40% - Accent6 5 2 12" xfId="34844" xr:uid="{00000000-0005-0000-0000-000088450000}"/>
    <cellStyle name="40% - Accent6 5 2 2" xfId="15263" xr:uid="{00000000-0005-0000-0000-000089450000}"/>
    <cellStyle name="40% - Accent6 5 2 2 10" xfId="15264" xr:uid="{00000000-0005-0000-0000-00008A450000}"/>
    <cellStyle name="40% - Accent6 5 2 2 11" xfId="34845" xr:uid="{00000000-0005-0000-0000-00008B450000}"/>
    <cellStyle name="40% - Accent6 5 2 2 2" xfId="15265" xr:uid="{00000000-0005-0000-0000-00008C450000}"/>
    <cellStyle name="40% - Accent6 5 2 2 2 10" xfId="34846" xr:uid="{00000000-0005-0000-0000-00008D450000}"/>
    <cellStyle name="40% - Accent6 5 2 2 2 2" xfId="15266" xr:uid="{00000000-0005-0000-0000-00008E450000}"/>
    <cellStyle name="40% - Accent6 5 2 2 2 2 2" xfId="15267" xr:uid="{00000000-0005-0000-0000-00008F450000}"/>
    <cellStyle name="40% - Accent6 5 2 2 2 2 2 2" xfId="15268" xr:uid="{00000000-0005-0000-0000-000090450000}"/>
    <cellStyle name="40% - Accent6 5 2 2 2 2 2 2 2" xfId="15269" xr:uid="{00000000-0005-0000-0000-000091450000}"/>
    <cellStyle name="40% - Accent6 5 2 2 2 2 2 3" xfId="15270" xr:uid="{00000000-0005-0000-0000-000092450000}"/>
    <cellStyle name="40% - Accent6 5 2 2 2 2 2 4" xfId="15271" xr:uid="{00000000-0005-0000-0000-000093450000}"/>
    <cellStyle name="40% - Accent6 5 2 2 2 2 2 5" xfId="38713" xr:uid="{00000000-0005-0000-0000-000094450000}"/>
    <cellStyle name="40% - Accent6 5 2 2 2 2 3" xfId="15272" xr:uid="{00000000-0005-0000-0000-000095450000}"/>
    <cellStyle name="40% - Accent6 5 2 2 2 2 3 2" xfId="15273" xr:uid="{00000000-0005-0000-0000-000096450000}"/>
    <cellStyle name="40% - Accent6 5 2 2 2 2 4" xfId="15274" xr:uid="{00000000-0005-0000-0000-000097450000}"/>
    <cellStyle name="40% - Accent6 5 2 2 2 2 5" xfId="15275" xr:uid="{00000000-0005-0000-0000-000098450000}"/>
    <cellStyle name="40% - Accent6 5 2 2 2 2 6" xfId="38712" xr:uid="{00000000-0005-0000-0000-000099450000}"/>
    <cellStyle name="40% - Accent6 5 2 2 2 3" xfId="15276" xr:uid="{00000000-0005-0000-0000-00009A450000}"/>
    <cellStyle name="40% - Accent6 5 2 2 2 3 2" xfId="15277" xr:uid="{00000000-0005-0000-0000-00009B450000}"/>
    <cellStyle name="40% - Accent6 5 2 2 2 3 2 2" xfId="15278" xr:uid="{00000000-0005-0000-0000-00009C450000}"/>
    <cellStyle name="40% - Accent6 5 2 2 2 3 2 2 2" xfId="15279" xr:uid="{00000000-0005-0000-0000-00009D450000}"/>
    <cellStyle name="40% - Accent6 5 2 2 2 3 2 3" xfId="15280" xr:uid="{00000000-0005-0000-0000-00009E450000}"/>
    <cellStyle name="40% - Accent6 5 2 2 2 3 2 4" xfId="15281" xr:uid="{00000000-0005-0000-0000-00009F450000}"/>
    <cellStyle name="40% - Accent6 5 2 2 2 3 2 5" xfId="38715" xr:uid="{00000000-0005-0000-0000-0000A0450000}"/>
    <cellStyle name="40% - Accent6 5 2 2 2 3 3" xfId="15282" xr:uid="{00000000-0005-0000-0000-0000A1450000}"/>
    <cellStyle name="40% - Accent6 5 2 2 2 3 3 2" xfId="15283" xr:uid="{00000000-0005-0000-0000-0000A2450000}"/>
    <cellStyle name="40% - Accent6 5 2 2 2 3 4" xfId="15284" xr:uid="{00000000-0005-0000-0000-0000A3450000}"/>
    <cellStyle name="40% - Accent6 5 2 2 2 3 5" xfId="15285" xr:uid="{00000000-0005-0000-0000-0000A4450000}"/>
    <cellStyle name="40% - Accent6 5 2 2 2 3 6" xfId="38714" xr:uid="{00000000-0005-0000-0000-0000A5450000}"/>
    <cellStyle name="40% - Accent6 5 2 2 2 4" xfId="15286" xr:uid="{00000000-0005-0000-0000-0000A6450000}"/>
    <cellStyle name="40% - Accent6 5 2 2 2 4 2" xfId="15287" xr:uid="{00000000-0005-0000-0000-0000A7450000}"/>
    <cellStyle name="40% - Accent6 5 2 2 2 4 2 2" xfId="15288" xr:uid="{00000000-0005-0000-0000-0000A8450000}"/>
    <cellStyle name="40% - Accent6 5 2 2 2 4 3" xfId="15289" xr:uid="{00000000-0005-0000-0000-0000A9450000}"/>
    <cellStyle name="40% - Accent6 5 2 2 2 4 4" xfId="15290" xr:uid="{00000000-0005-0000-0000-0000AA450000}"/>
    <cellStyle name="40% - Accent6 5 2 2 2 4 5" xfId="38716" xr:uid="{00000000-0005-0000-0000-0000AB450000}"/>
    <cellStyle name="40% - Accent6 5 2 2 2 5" xfId="15291" xr:uid="{00000000-0005-0000-0000-0000AC450000}"/>
    <cellStyle name="40% - Accent6 5 2 2 2 5 2" xfId="15292" xr:uid="{00000000-0005-0000-0000-0000AD450000}"/>
    <cellStyle name="40% - Accent6 5 2 2 2 5 2 2" xfId="15293" xr:uid="{00000000-0005-0000-0000-0000AE450000}"/>
    <cellStyle name="40% - Accent6 5 2 2 2 5 3" xfId="15294" xr:uid="{00000000-0005-0000-0000-0000AF450000}"/>
    <cellStyle name="40% - Accent6 5 2 2 2 5 4" xfId="15295" xr:uid="{00000000-0005-0000-0000-0000B0450000}"/>
    <cellStyle name="40% - Accent6 5 2 2 2 6" xfId="15296" xr:uid="{00000000-0005-0000-0000-0000B1450000}"/>
    <cellStyle name="40% - Accent6 5 2 2 2 6 2" xfId="15297" xr:uid="{00000000-0005-0000-0000-0000B2450000}"/>
    <cellStyle name="40% - Accent6 5 2 2 2 6 2 2" xfId="15298" xr:uid="{00000000-0005-0000-0000-0000B3450000}"/>
    <cellStyle name="40% - Accent6 5 2 2 2 6 3" xfId="15299" xr:uid="{00000000-0005-0000-0000-0000B4450000}"/>
    <cellStyle name="40% - Accent6 5 2 2 2 6 4" xfId="15300" xr:uid="{00000000-0005-0000-0000-0000B5450000}"/>
    <cellStyle name="40% - Accent6 5 2 2 2 7" xfId="15301" xr:uid="{00000000-0005-0000-0000-0000B6450000}"/>
    <cellStyle name="40% - Accent6 5 2 2 2 7 2" xfId="15302" xr:uid="{00000000-0005-0000-0000-0000B7450000}"/>
    <cellStyle name="40% - Accent6 5 2 2 2 8" xfId="15303" xr:uid="{00000000-0005-0000-0000-0000B8450000}"/>
    <cellStyle name="40% - Accent6 5 2 2 2 9" xfId="15304" xr:uid="{00000000-0005-0000-0000-0000B9450000}"/>
    <cellStyle name="40% - Accent6 5 2 2 3" xfId="15305" xr:uid="{00000000-0005-0000-0000-0000BA450000}"/>
    <cellStyle name="40% - Accent6 5 2 2 3 2" xfId="15306" xr:uid="{00000000-0005-0000-0000-0000BB450000}"/>
    <cellStyle name="40% - Accent6 5 2 2 3 2 2" xfId="15307" xr:uid="{00000000-0005-0000-0000-0000BC450000}"/>
    <cellStyle name="40% - Accent6 5 2 2 3 2 2 2" xfId="15308" xr:uid="{00000000-0005-0000-0000-0000BD450000}"/>
    <cellStyle name="40% - Accent6 5 2 2 3 2 3" xfId="15309" xr:uid="{00000000-0005-0000-0000-0000BE450000}"/>
    <cellStyle name="40% - Accent6 5 2 2 3 2 4" xfId="15310" xr:uid="{00000000-0005-0000-0000-0000BF450000}"/>
    <cellStyle name="40% - Accent6 5 2 2 3 2 5" xfId="38718" xr:uid="{00000000-0005-0000-0000-0000C0450000}"/>
    <cellStyle name="40% - Accent6 5 2 2 3 3" xfId="15311" xr:uid="{00000000-0005-0000-0000-0000C1450000}"/>
    <cellStyle name="40% - Accent6 5 2 2 3 3 2" xfId="15312" xr:uid="{00000000-0005-0000-0000-0000C2450000}"/>
    <cellStyle name="40% - Accent6 5 2 2 3 4" xfId="15313" xr:uid="{00000000-0005-0000-0000-0000C3450000}"/>
    <cellStyle name="40% - Accent6 5 2 2 3 5" xfId="15314" xr:uid="{00000000-0005-0000-0000-0000C4450000}"/>
    <cellStyle name="40% - Accent6 5 2 2 3 6" xfId="38717" xr:uid="{00000000-0005-0000-0000-0000C5450000}"/>
    <cellStyle name="40% - Accent6 5 2 2 4" xfId="15315" xr:uid="{00000000-0005-0000-0000-0000C6450000}"/>
    <cellStyle name="40% - Accent6 5 2 2 4 2" xfId="15316" xr:uid="{00000000-0005-0000-0000-0000C7450000}"/>
    <cellStyle name="40% - Accent6 5 2 2 4 2 2" xfId="15317" xr:uid="{00000000-0005-0000-0000-0000C8450000}"/>
    <cellStyle name="40% - Accent6 5 2 2 4 2 2 2" xfId="15318" xr:uid="{00000000-0005-0000-0000-0000C9450000}"/>
    <cellStyle name="40% - Accent6 5 2 2 4 2 3" xfId="15319" xr:uid="{00000000-0005-0000-0000-0000CA450000}"/>
    <cellStyle name="40% - Accent6 5 2 2 4 2 4" xfId="15320" xr:uid="{00000000-0005-0000-0000-0000CB450000}"/>
    <cellStyle name="40% - Accent6 5 2 2 4 2 5" xfId="38720" xr:uid="{00000000-0005-0000-0000-0000CC450000}"/>
    <cellStyle name="40% - Accent6 5 2 2 4 3" xfId="15321" xr:uid="{00000000-0005-0000-0000-0000CD450000}"/>
    <cellStyle name="40% - Accent6 5 2 2 4 3 2" xfId="15322" xr:uid="{00000000-0005-0000-0000-0000CE450000}"/>
    <cellStyle name="40% - Accent6 5 2 2 4 4" xfId="15323" xr:uid="{00000000-0005-0000-0000-0000CF450000}"/>
    <cellStyle name="40% - Accent6 5 2 2 4 5" xfId="15324" xr:uid="{00000000-0005-0000-0000-0000D0450000}"/>
    <cellStyle name="40% - Accent6 5 2 2 4 6" xfId="38719" xr:uid="{00000000-0005-0000-0000-0000D1450000}"/>
    <cellStyle name="40% - Accent6 5 2 2 5" xfId="15325" xr:uid="{00000000-0005-0000-0000-0000D2450000}"/>
    <cellStyle name="40% - Accent6 5 2 2 5 2" xfId="15326" xr:uid="{00000000-0005-0000-0000-0000D3450000}"/>
    <cellStyle name="40% - Accent6 5 2 2 5 2 2" xfId="15327" xr:uid="{00000000-0005-0000-0000-0000D4450000}"/>
    <cellStyle name="40% - Accent6 5 2 2 5 3" xfId="15328" xr:uid="{00000000-0005-0000-0000-0000D5450000}"/>
    <cellStyle name="40% - Accent6 5 2 2 5 4" xfId="15329" xr:uid="{00000000-0005-0000-0000-0000D6450000}"/>
    <cellStyle name="40% - Accent6 5 2 2 5 5" xfId="38721" xr:uid="{00000000-0005-0000-0000-0000D7450000}"/>
    <cellStyle name="40% - Accent6 5 2 2 6" xfId="15330" xr:uid="{00000000-0005-0000-0000-0000D8450000}"/>
    <cellStyle name="40% - Accent6 5 2 2 6 2" xfId="15331" xr:uid="{00000000-0005-0000-0000-0000D9450000}"/>
    <cellStyle name="40% - Accent6 5 2 2 6 2 2" xfId="15332" xr:uid="{00000000-0005-0000-0000-0000DA450000}"/>
    <cellStyle name="40% - Accent6 5 2 2 6 3" xfId="15333" xr:uid="{00000000-0005-0000-0000-0000DB450000}"/>
    <cellStyle name="40% - Accent6 5 2 2 6 4" xfId="15334" xr:uid="{00000000-0005-0000-0000-0000DC450000}"/>
    <cellStyle name="40% - Accent6 5 2 2 7" xfId="15335" xr:uid="{00000000-0005-0000-0000-0000DD450000}"/>
    <cellStyle name="40% - Accent6 5 2 2 7 2" xfId="15336" xr:uid="{00000000-0005-0000-0000-0000DE450000}"/>
    <cellStyle name="40% - Accent6 5 2 2 7 2 2" xfId="15337" xr:uid="{00000000-0005-0000-0000-0000DF450000}"/>
    <cellStyle name="40% - Accent6 5 2 2 7 3" xfId="15338" xr:uid="{00000000-0005-0000-0000-0000E0450000}"/>
    <cellStyle name="40% - Accent6 5 2 2 7 4" xfId="15339" xr:uid="{00000000-0005-0000-0000-0000E1450000}"/>
    <cellStyle name="40% - Accent6 5 2 2 8" xfId="15340" xr:uid="{00000000-0005-0000-0000-0000E2450000}"/>
    <cellStyle name="40% - Accent6 5 2 2 8 2" xfId="15341" xr:uid="{00000000-0005-0000-0000-0000E3450000}"/>
    <cellStyle name="40% - Accent6 5 2 2 9" xfId="15342" xr:uid="{00000000-0005-0000-0000-0000E4450000}"/>
    <cellStyle name="40% - Accent6 5 2 3" xfId="15343" xr:uid="{00000000-0005-0000-0000-0000E5450000}"/>
    <cellStyle name="40% - Accent6 5 2 3 10" xfId="34847" xr:uid="{00000000-0005-0000-0000-0000E6450000}"/>
    <cellStyle name="40% - Accent6 5 2 3 2" xfId="15344" xr:uid="{00000000-0005-0000-0000-0000E7450000}"/>
    <cellStyle name="40% - Accent6 5 2 3 2 2" xfId="15345" xr:uid="{00000000-0005-0000-0000-0000E8450000}"/>
    <cellStyle name="40% - Accent6 5 2 3 2 2 2" xfId="15346" xr:uid="{00000000-0005-0000-0000-0000E9450000}"/>
    <cellStyle name="40% - Accent6 5 2 3 2 2 2 2" xfId="15347" xr:uid="{00000000-0005-0000-0000-0000EA450000}"/>
    <cellStyle name="40% - Accent6 5 2 3 2 2 3" xfId="15348" xr:uid="{00000000-0005-0000-0000-0000EB450000}"/>
    <cellStyle name="40% - Accent6 5 2 3 2 2 4" xfId="15349" xr:uid="{00000000-0005-0000-0000-0000EC450000}"/>
    <cellStyle name="40% - Accent6 5 2 3 2 2 5" xfId="38723" xr:uid="{00000000-0005-0000-0000-0000ED450000}"/>
    <cellStyle name="40% - Accent6 5 2 3 2 3" xfId="15350" xr:uid="{00000000-0005-0000-0000-0000EE450000}"/>
    <cellStyle name="40% - Accent6 5 2 3 2 3 2" xfId="15351" xr:uid="{00000000-0005-0000-0000-0000EF450000}"/>
    <cellStyle name="40% - Accent6 5 2 3 2 4" xfId="15352" xr:uid="{00000000-0005-0000-0000-0000F0450000}"/>
    <cellStyle name="40% - Accent6 5 2 3 2 5" xfId="15353" xr:uid="{00000000-0005-0000-0000-0000F1450000}"/>
    <cellStyle name="40% - Accent6 5 2 3 2 6" xfId="38722" xr:uid="{00000000-0005-0000-0000-0000F2450000}"/>
    <cellStyle name="40% - Accent6 5 2 3 3" xfId="15354" xr:uid="{00000000-0005-0000-0000-0000F3450000}"/>
    <cellStyle name="40% - Accent6 5 2 3 3 2" xfId="15355" xr:uid="{00000000-0005-0000-0000-0000F4450000}"/>
    <cellStyle name="40% - Accent6 5 2 3 3 2 2" xfId="15356" xr:uid="{00000000-0005-0000-0000-0000F5450000}"/>
    <cellStyle name="40% - Accent6 5 2 3 3 2 2 2" xfId="15357" xr:uid="{00000000-0005-0000-0000-0000F6450000}"/>
    <cellStyle name="40% - Accent6 5 2 3 3 2 3" xfId="15358" xr:uid="{00000000-0005-0000-0000-0000F7450000}"/>
    <cellStyle name="40% - Accent6 5 2 3 3 2 4" xfId="15359" xr:uid="{00000000-0005-0000-0000-0000F8450000}"/>
    <cellStyle name="40% - Accent6 5 2 3 3 2 5" xfId="38725" xr:uid="{00000000-0005-0000-0000-0000F9450000}"/>
    <cellStyle name="40% - Accent6 5 2 3 3 3" xfId="15360" xr:uid="{00000000-0005-0000-0000-0000FA450000}"/>
    <cellStyle name="40% - Accent6 5 2 3 3 3 2" xfId="15361" xr:uid="{00000000-0005-0000-0000-0000FB450000}"/>
    <cellStyle name="40% - Accent6 5 2 3 3 4" xfId="15362" xr:uid="{00000000-0005-0000-0000-0000FC450000}"/>
    <cellStyle name="40% - Accent6 5 2 3 3 5" xfId="15363" xr:uid="{00000000-0005-0000-0000-0000FD450000}"/>
    <cellStyle name="40% - Accent6 5 2 3 3 6" xfId="38724" xr:uid="{00000000-0005-0000-0000-0000FE450000}"/>
    <cellStyle name="40% - Accent6 5 2 3 4" xfId="15364" xr:uid="{00000000-0005-0000-0000-0000FF450000}"/>
    <cellStyle name="40% - Accent6 5 2 3 4 2" xfId="15365" xr:uid="{00000000-0005-0000-0000-000000460000}"/>
    <cellStyle name="40% - Accent6 5 2 3 4 2 2" xfId="15366" xr:uid="{00000000-0005-0000-0000-000001460000}"/>
    <cellStyle name="40% - Accent6 5 2 3 4 3" xfId="15367" xr:uid="{00000000-0005-0000-0000-000002460000}"/>
    <cellStyle name="40% - Accent6 5 2 3 4 4" xfId="15368" xr:uid="{00000000-0005-0000-0000-000003460000}"/>
    <cellStyle name="40% - Accent6 5 2 3 4 5" xfId="38726" xr:uid="{00000000-0005-0000-0000-000004460000}"/>
    <cellStyle name="40% - Accent6 5 2 3 5" xfId="15369" xr:uid="{00000000-0005-0000-0000-000005460000}"/>
    <cellStyle name="40% - Accent6 5 2 3 5 2" xfId="15370" xr:uid="{00000000-0005-0000-0000-000006460000}"/>
    <cellStyle name="40% - Accent6 5 2 3 5 2 2" xfId="15371" xr:uid="{00000000-0005-0000-0000-000007460000}"/>
    <cellStyle name="40% - Accent6 5 2 3 5 3" xfId="15372" xr:uid="{00000000-0005-0000-0000-000008460000}"/>
    <cellStyle name="40% - Accent6 5 2 3 5 4" xfId="15373" xr:uid="{00000000-0005-0000-0000-000009460000}"/>
    <cellStyle name="40% - Accent6 5 2 3 6" xfId="15374" xr:uid="{00000000-0005-0000-0000-00000A460000}"/>
    <cellStyle name="40% - Accent6 5 2 3 6 2" xfId="15375" xr:uid="{00000000-0005-0000-0000-00000B460000}"/>
    <cellStyle name="40% - Accent6 5 2 3 6 2 2" xfId="15376" xr:uid="{00000000-0005-0000-0000-00000C460000}"/>
    <cellStyle name="40% - Accent6 5 2 3 6 3" xfId="15377" xr:uid="{00000000-0005-0000-0000-00000D460000}"/>
    <cellStyle name="40% - Accent6 5 2 3 6 4" xfId="15378" xr:uid="{00000000-0005-0000-0000-00000E460000}"/>
    <cellStyle name="40% - Accent6 5 2 3 7" xfId="15379" xr:uid="{00000000-0005-0000-0000-00000F460000}"/>
    <cellStyle name="40% - Accent6 5 2 3 7 2" xfId="15380" xr:uid="{00000000-0005-0000-0000-000010460000}"/>
    <cellStyle name="40% - Accent6 5 2 3 8" xfId="15381" xr:uid="{00000000-0005-0000-0000-000011460000}"/>
    <cellStyle name="40% - Accent6 5 2 3 9" xfId="15382" xr:uid="{00000000-0005-0000-0000-000012460000}"/>
    <cellStyle name="40% - Accent6 5 2 4" xfId="15383" xr:uid="{00000000-0005-0000-0000-000013460000}"/>
    <cellStyle name="40% - Accent6 5 2 4 2" xfId="15384" xr:uid="{00000000-0005-0000-0000-000014460000}"/>
    <cellStyle name="40% - Accent6 5 2 4 2 2" xfId="15385" xr:uid="{00000000-0005-0000-0000-000015460000}"/>
    <cellStyle name="40% - Accent6 5 2 4 2 2 2" xfId="15386" xr:uid="{00000000-0005-0000-0000-000016460000}"/>
    <cellStyle name="40% - Accent6 5 2 4 2 3" xfId="15387" xr:uid="{00000000-0005-0000-0000-000017460000}"/>
    <cellStyle name="40% - Accent6 5 2 4 2 4" xfId="15388" xr:uid="{00000000-0005-0000-0000-000018460000}"/>
    <cellStyle name="40% - Accent6 5 2 4 2 5" xfId="38728" xr:uid="{00000000-0005-0000-0000-000019460000}"/>
    <cellStyle name="40% - Accent6 5 2 4 3" xfId="15389" xr:uid="{00000000-0005-0000-0000-00001A460000}"/>
    <cellStyle name="40% - Accent6 5 2 4 3 2" xfId="15390" xr:uid="{00000000-0005-0000-0000-00001B460000}"/>
    <cellStyle name="40% - Accent6 5 2 4 4" xfId="15391" xr:uid="{00000000-0005-0000-0000-00001C460000}"/>
    <cellStyle name="40% - Accent6 5 2 4 5" xfId="15392" xr:uid="{00000000-0005-0000-0000-00001D460000}"/>
    <cellStyle name="40% - Accent6 5 2 4 6" xfId="38727" xr:uid="{00000000-0005-0000-0000-00001E460000}"/>
    <cellStyle name="40% - Accent6 5 2 5" xfId="15393" xr:uid="{00000000-0005-0000-0000-00001F460000}"/>
    <cellStyle name="40% - Accent6 5 2 5 2" xfId="15394" xr:uid="{00000000-0005-0000-0000-000020460000}"/>
    <cellStyle name="40% - Accent6 5 2 5 2 2" xfId="15395" xr:uid="{00000000-0005-0000-0000-000021460000}"/>
    <cellStyle name="40% - Accent6 5 2 5 2 2 2" xfId="15396" xr:uid="{00000000-0005-0000-0000-000022460000}"/>
    <cellStyle name="40% - Accent6 5 2 5 2 3" xfId="15397" xr:uid="{00000000-0005-0000-0000-000023460000}"/>
    <cellStyle name="40% - Accent6 5 2 5 2 4" xfId="15398" xr:uid="{00000000-0005-0000-0000-000024460000}"/>
    <cellStyle name="40% - Accent6 5 2 5 2 5" xfId="38730" xr:uid="{00000000-0005-0000-0000-000025460000}"/>
    <cellStyle name="40% - Accent6 5 2 5 3" xfId="15399" xr:uid="{00000000-0005-0000-0000-000026460000}"/>
    <cellStyle name="40% - Accent6 5 2 5 3 2" xfId="15400" xr:uid="{00000000-0005-0000-0000-000027460000}"/>
    <cellStyle name="40% - Accent6 5 2 5 4" xfId="15401" xr:uid="{00000000-0005-0000-0000-000028460000}"/>
    <cellStyle name="40% - Accent6 5 2 5 5" xfId="15402" xr:uid="{00000000-0005-0000-0000-000029460000}"/>
    <cellStyle name="40% - Accent6 5 2 5 6" xfId="38729" xr:uid="{00000000-0005-0000-0000-00002A460000}"/>
    <cellStyle name="40% - Accent6 5 2 6" xfId="15403" xr:uid="{00000000-0005-0000-0000-00002B460000}"/>
    <cellStyle name="40% - Accent6 5 2 6 2" xfId="15404" xr:uid="{00000000-0005-0000-0000-00002C460000}"/>
    <cellStyle name="40% - Accent6 5 2 6 2 2" xfId="15405" xr:uid="{00000000-0005-0000-0000-00002D460000}"/>
    <cellStyle name="40% - Accent6 5 2 6 3" xfId="15406" xr:uid="{00000000-0005-0000-0000-00002E460000}"/>
    <cellStyle name="40% - Accent6 5 2 6 4" xfId="15407" xr:uid="{00000000-0005-0000-0000-00002F460000}"/>
    <cellStyle name="40% - Accent6 5 2 6 5" xfId="38731" xr:uid="{00000000-0005-0000-0000-000030460000}"/>
    <cellStyle name="40% - Accent6 5 2 7" xfId="15408" xr:uid="{00000000-0005-0000-0000-000031460000}"/>
    <cellStyle name="40% - Accent6 5 2 7 2" xfId="15409" xr:uid="{00000000-0005-0000-0000-000032460000}"/>
    <cellStyle name="40% - Accent6 5 2 7 2 2" xfId="15410" xr:uid="{00000000-0005-0000-0000-000033460000}"/>
    <cellStyle name="40% - Accent6 5 2 7 3" xfId="15411" xr:uid="{00000000-0005-0000-0000-000034460000}"/>
    <cellStyle name="40% - Accent6 5 2 7 4" xfId="15412" xr:uid="{00000000-0005-0000-0000-000035460000}"/>
    <cellStyle name="40% - Accent6 5 2 8" xfId="15413" xr:uid="{00000000-0005-0000-0000-000036460000}"/>
    <cellStyle name="40% - Accent6 5 2 8 2" xfId="15414" xr:uid="{00000000-0005-0000-0000-000037460000}"/>
    <cellStyle name="40% - Accent6 5 2 8 2 2" xfId="15415" xr:uid="{00000000-0005-0000-0000-000038460000}"/>
    <cellStyle name="40% - Accent6 5 2 8 3" xfId="15416" xr:uid="{00000000-0005-0000-0000-000039460000}"/>
    <cellStyle name="40% - Accent6 5 2 8 4" xfId="15417" xr:uid="{00000000-0005-0000-0000-00003A460000}"/>
    <cellStyle name="40% - Accent6 5 2 9" xfId="15418" xr:uid="{00000000-0005-0000-0000-00003B460000}"/>
    <cellStyle name="40% - Accent6 5 2 9 2" xfId="15419" xr:uid="{00000000-0005-0000-0000-00003C460000}"/>
    <cellStyle name="40% - Accent6 5 3" xfId="15420" xr:uid="{00000000-0005-0000-0000-00003D460000}"/>
    <cellStyle name="40% - Accent6 5 3 10" xfId="15421" xr:uid="{00000000-0005-0000-0000-00003E460000}"/>
    <cellStyle name="40% - Accent6 5 3 11" xfId="34848" xr:uid="{00000000-0005-0000-0000-00003F460000}"/>
    <cellStyle name="40% - Accent6 5 3 2" xfId="15422" xr:uid="{00000000-0005-0000-0000-000040460000}"/>
    <cellStyle name="40% - Accent6 5 3 2 10" xfId="34849" xr:uid="{00000000-0005-0000-0000-000041460000}"/>
    <cellStyle name="40% - Accent6 5 3 2 2" xfId="15423" xr:uid="{00000000-0005-0000-0000-000042460000}"/>
    <cellStyle name="40% - Accent6 5 3 2 2 2" xfId="15424" xr:uid="{00000000-0005-0000-0000-000043460000}"/>
    <cellStyle name="40% - Accent6 5 3 2 2 2 2" xfId="15425" xr:uid="{00000000-0005-0000-0000-000044460000}"/>
    <cellStyle name="40% - Accent6 5 3 2 2 2 2 2" xfId="15426" xr:uid="{00000000-0005-0000-0000-000045460000}"/>
    <cellStyle name="40% - Accent6 5 3 2 2 2 3" xfId="15427" xr:uid="{00000000-0005-0000-0000-000046460000}"/>
    <cellStyle name="40% - Accent6 5 3 2 2 2 4" xfId="15428" xr:uid="{00000000-0005-0000-0000-000047460000}"/>
    <cellStyle name="40% - Accent6 5 3 2 2 2 5" xfId="38733" xr:uid="{00000000-0005-0000-0000-000048460000}"/>
    <cellStyle name="40% - Accent6 5 3 2 2 3" xfId="15429" xr:uid="{00000000-0005-0000-0000-000049460000}"/>
    <cellStyle name="40% - Accent6 5 3 2 2 3 2" xfId="15430" xr:uid="{00000000-0005-0000-0000-00004A460000}"/>
    <cellStyle name="40% - Accent6 5 3 2 2 4" xfId="15431" xr:uid="{00000000-0005-0000-0000-00004B460000}"/>
    <cellStyle name="40% - Accent6 5 3 2 2 5" xfId="15432" xr:uid="{00000000-0005-0000-0000-00004C460000}"/>
    <cellStyle name="40% - Accent6 5 3 2 2 6" xfId="38732" xr:uid="{00000000-0005-0000-0000-00004D460000}"/>
    <cellStyle name="40% - Accent6 5 3 2 3" xfId="15433" xr:uid="{00000000-0005-0000-0000-00004E460000}"/>
    <cellStyle name="40% - Accent6 5 3 2 3 2" xfId="15434" xr:uid="{00000000-0005-0000-0000-00004F460000}"/>
    <cellStyle name="40% - Accent6 5 3 2 3 2 2" xfId="15435" xr:uid="{00000000-0005-0000-0000-000050460000}"/>
    <cellStyle name="40% - Accent6 5 3 2 3 2 2 2" xfId="15436" xr:uid="{00000000-0005-0000-0000-000051460000}"/>
    <cellStyle name="40% - Accent6 5 3 2 3 2 3" xfId="15437" xr:uid="{00000000-0005-0000-0000-000052460000}"/>
    <cellStyle name="40% - Accent6 5 3 2 3 2 4" xfId="15438" xr:uid="{00000000-0005-0000-0000-000053460000}"/>
    <cellStyle name="40% - Accent6 5 3 2 3 2 5" xfId="38735" xr:uid="{00000000-0005-0000-0000-000054460000}"/>
    <cellStyle name="40% - Accent6 5 3 2 3 3" xfId="15439" xr:uid="{00000000-0005-0000-0000-000055460000}"/>
    <cellStyle name="40% - Accent6 5 3 2 3 3 2" xfId="15440" xr:uid="{00000000-0005-0000-0000-000056460000}"/>
    <cellStyle name="40% - Accent6 5 3 2 3 4" xfId="15441" xr:uid="{00000000-0005-0000-0000-000057460000}"/>
    <cellStyle name="40% - Accent6 5 3 2 3 5" xfId="15442" xr:uid="{00000000-0005-0000-0000-000058460000}"/>
    <cellStyle name="40% - Accent6 5 3 2 3 6" xfId="38734" xr:uid="{00000000-0005-0000-0000-000059460000}"/>
    <cellStyle name="40% - Accent6 5 3 2 4" xfId="15443" xr:uid="{00000000-0005-0000-0000-00005A460000}"/>
    <cellStyle name="40% - Accent6 5 3 2 4 2" xfId="15444" xr:uid="{00000000-0005-0000-0000-00005B460000}"/>
    <cellStyle name="40% - Accent6 5 3 2 4 2 2" xfId="15445" xr:uid="{00000000-0005-0000-0000-00005C460000}"/>
    <cellStyle name="40% - Accent6 5 3 2 4 3" xfId="15446" xr:uid="{00000000-0005-0000-0000-00005D460000}"/>
    <cellStyle name="40% - Accent6 5 3 2 4 4" xfId="15447" xr:uid="{00000000-0005-0000-0000-00005E460000}"/>
    <cellStyle name="40% - Accent6 5 3 2 4 5" xfId="38736" xr:uid="{00000000-0005-0000-0000-00005F460000}"/>
    <cellStyle name="40% - Accent6 5 3 2 5" xfId="15448" xr:uid="{00000000-0005-0000-0000-000060460000}"/>
    <cellStyle name="40% - Accent6 5 3 2 5 2" xfId="15449" xr:uid="{00000000-0005-0000-0000-000061460000}"/>
    <cellStyle name="40% - Accent6 5 3 2 5 2 2" xfId="15450" xr:uid="{00000000-0005-0000-0000-000062460000}"/>
    <cellStyle name="40% - Accent6 5 3 2 5 3" xfId="15451" xr:uid="{00000000-0005-0000-0000-000063460000}"/>
    <cellStyle name="40% - Accent6 5 3 2 5 4" xfId="15452" xr:uid="{00000000-0005-0000-0000-000064460000}"/>
    <cellStyle name="40% - Accent6 5 3 2 6" xfId="15453" xr:uid="{00000000-0005-0000-0000-000065460000}"/>
    <cellStyle name="40% - Accent6 5 3 2 6 2" xfId="15454" xr:uid="{00000000-0005-0000-0000-000066460000}"/>
    <cellStyle name="40% - Accent6 5 3 2 6 2 2" xfId="15455" xr:uid="{00000000-0005-0000-0000-000067460000}"/>
    <cellStyle name="40% - Accent6 5 3 2 6 3" xfId="15456" xr:uid="{00000000-0005-0000-0000-000068460000}"/>
    <cellStyle name="40% - Accent6 5 3 2 6 4" xfId="15457" xr:uid="{00000000-0005-0000-0000-000069460000}"/>
    <cellStyle name="40% - Accent6 5 3 2 7" xfId="15458" xr:uid="{00000000-0005-0000-0000-00006A460000}"/>
    <cellStyle name="40% - Accent6 5 3 2 7 2" xfId="15459" xr:uid="{00000000-0005-0000-0000-00006B460000}"/>
    <cellStyle name="40% - Accent6 5 3 2 8" xfId="15460" xr:uid="{00000000-0005-0000-0000-00006C460000}"/>
    <cellStyle name="40% - Accent6 5 3 2 9" xfId="15461" xr:uid="{00000000-0005-0000-0000-00006D460000}"/>
    <cellStyle name="40% - Accent6 5 3 3" xfId="15462" xr:uid="{00000000-0005-0000-0000-00006E460000}"/>
    <cellStyle name="40% - Accent6 5 3 3 2" xfId="15463" xr:uid="{00000000-0005-0000-0000-00006F460000}"/>
    <cellStyle name="40% - Accent6 5 3 3 2 2" xfId="15464" xr:uid="{00000000-0005-0000-0000-000070460000}"/>
    <cellStyle name="40% - Accent6 5 3 3 2 2 2" xfId="15465" xr:uid="{00000000-0005-0000-0000-000071460000}"/>
    <cellStyle name="40% - Accent6 5 3 3 2 3" xfId="15466" xr:uid="{00000000-0005-0000-0000-000072460000}"/>
    <cellStyle name="40% - Accent6 5 3 3 2 4" xfId="15467" xr:uid="{00000000-0005-0000-0000-000073460000}"/>
    <cellStyle name="40% - Accent6 5 3 3 2 5" xfId="38738" xr:uid="{00000000-0005-0000-0000-000074460000}"/>
    <cellStyle name="40% - Accent6 5 3 3 3" xfId="15468" xr:uid="{00000000-0005-0000-0000-000075460000}"/>
    <cellStyle name="40% - Accent6 5 3 3 3 2" xfId="15469" xr:uid="{00000000-0005-0000-0000-000076460000}"/>
    <cellStyle name="40% - Accent6 5 3 3 4" xfId="15470" xr:uid="{00000000-0005-0000-0000-000077460000}"/>
    <cellStyle name="40% - Accent6 5 3 3 5" xfId="15471" xr:uid="{00000000-0005-0000-0000-000078460000}"/>
    <cellStyle name="40% - Accent6 5 3 3 6" xfId="38737" xr:uid="{00000000-0005-0000-0000-000079460000}"/>
    <cellStyle name="40% - Accent6 5 3 4" xfId="15472" xr:uid="{00000000-0005-0000-0000-00007A460000}"/>
    <cellStyle name="40% - Accent6 5 3 4 2" xfId="15473" xr:uid="{00000000-0005-0000-0000-00007B460000}"/>
    <cellStyle name="40% - Accent6 5 3 4 2 2" xfId="15474" xr:uid="{00000000-0005-0000-0000-00007C460000}"/>
    <cellStyle name="40% - Accent6 5 3 4 2 2 2" xfId="15475" xr:uid="{00000000-0005-0000-0000-00007D460000}"/>
    <cellStyle name="40% - Accent6 5 3 4 2 3" xfId="15476" xr:uid="{00000000-0005-0000-0000-00007E460000}"/>
    <cellStyle name="40% - Accent6 5 3 4 2 4" xfId="15477" xr:uid="{00000000-0005-0000-0000-00007F460000}"/>
    <cellStyle name="40% - Accent6 5 3 4 2 5" xfId="38740" xr:uid="{00000000-0005-0000-0000-000080460000}"/>
    <cellStyle name="40% - Accent6 5 3 4 3" xfId="15478" xr:uid="{00000000-0005-0000-0000-000081460000}"/>
    <cellStyle name="40% - Accent6 5 3 4 3 2" xfId="15479" xr:uid="{00000000-0005-0000-0000-000082460000}"/>
    <cellStyle name="40% - Accent6 5 3 4 4" xfId="15480" xr:uid="{00000000-0005-0000-0000-000083460000}"/>
    <cellStyle name="40% - Accent6 5 3 4 5" xfId="15481" xr:uid="{00000000-0005-0000-0000-000084460000}"/>
    <cellStyle name="40% - Accent6 5 3 4 6" xfId="38739" xr:uid="{00000000-0005-0000-0000-000085460000}"/>
    <cellStyle name="40% - Accent6 5 3 5" xfId="15482" xr:uid="{00000000-0005-0000-0000-000086460000}"/>
    <cellStyle name="40% - Accent6 5 3 5 2" xfId="15483" xr:uid="{00000000-0005-0000-0000-000087460000}"/>
    <cellStyle name="40% - Accent6 5 3 5 2 2" xfId="15484" xr:uid="{00000000-0005-0000-0000-000088460000}"/>
    <cellStyle name="40% - Accent6 5 3 5 3" xfId="15485" xr:uid="{00000000-0005-0000-0000-000089460000}"/>
    <cellStyle name="40% - Accent6 5 3 5 4" xfId="15486" xr:uid="{00000000-0005-0000-0000-00008A460000}"/>
    <cellStyle name="40% - Accent6 5 3 5 5" xfId="38741" xr:uid="{00000000-0005-0000-0000-00008B460000}"/>
    <cellStyle name="40% - Accent6 5 3 6" xfId="15487" xr:uid="{00000000-0005-0000-0000-00008C460000}"/>
    <cellStyle name="40% - Accent6 5 3 6 2" xfId="15488" xr:uid="{00000000-0005-0000-0000-00008D460000}"/>
    <cellStyle name="40% - Accent6 5 3 6 2 2" xfId="15489" xr:uid="{00000000-0005-0000-0000-00008E460000}"/>
    <cellStyle name="40% - Accent6 5 3 6 3" xfId="15490" xr:uid="{00000000-0005-0000-0000-00008F460000}"/>
    <cellStyle name="40% - Accent6 5 3 6 4" xfId="15491" xr:uid="{00000000-0005-0000-0000-000090460000}"/>
    <cellStyle name="40% - Accent6 5 3 7" xfId="15492" xr:uid="{00000000-0005-0000-0000-000091460000}"/>
    <cellStyle name="40% - Accent6 5 3 7 2" xfId="15493" xr:uid="{00000000-0005-0000-0000-000092460000}"/>
    <cellStyle name="40% - Accent6 5 3 7 2 2" xfId="15494" xr:uid="{00000000-0005-0000-0000-000093460000}"/>
    <cellStyle name="40% - Accent6 5 3 7 3" xfId="15495" xr:uid="{00000000-0005-0000-0000-000094460000}"/>
    <cellStyle name="40% - Accent6 5 3 7 4" xfId="15496" xr:uid="{00000000-0005-0000-0000-000095460000}"/>
    <cellStyle name="40% - Accent6 5 3 8" xfId="15497" xr:uid="{00000000-0005-0000-0000-000096460000}"/>
    <cellStyle name="40% - Accent6 5 3 8 2" xfId="15498" xr:uid="{00000000-0005-0000-0000-000097460000}"/>
    <cellStyle name="40% - Accent6 5 3 9" xfId="15499" xr:uid="{00000000-0005-0000-0000-000098460000}"/>
    <cellStyle name="40% - Accent6 5 4" xfId="15500" xr:uid="{00000000-0005-0000-0000-000099460000}"/>
    <cellStyle name="40% - Accent6 5 4 10" xfId="34850" xr:uid="{00000000-0005-0000-0000-00009A460000}"/>
    <cellStyle name="40% - Accent6 5 4 2" xfId="15501" xr:uid="{00000000-0005-0000-0000-00009B460000}"/>
    <cellStyle name="40% - Accent6 5 4 2 2" xfId="15502" xr:uid="{00000000-0005-0000-0000-00009C460000}"/>
    <cellStyle name="40% - Accent6 5 4 2 2 2" xfId="15503" xr:uid="{00000000-0005-0000-0000-00009D460000}"/>
    <cellStyle name="40% - Accent6 5 4 2 2 2 2" xfId="15504" xr:uid="{00000000-0005-0000-0000-00009E460000}"/>
    <cellStyle name="40% - Accent6 5 4 2 2 3" xfId="15505" xr:uid="{00000000-0005-0000-0000-00009F460000}"/>
    <cellStyle name="40% - Accent6 5 4 2 2 4" xfId="15506" xr:uid="{00000000-0005-0000-0000-0000A0460000}"/>
    <cellStyle name="40% - Accent6 5 4 2 2 5" xfId="38743" xr:uid="{00000000-0005-0000-0000-0000A1460000}"/>
    <cellStyle name="40% - Accent6 5 4 2 3" xfId="15507" xr:uid="{00000000-0005-0000-0000-0000A2460000}"/>
    <cellStyle name="40% - Accent6 5 4 2 3 2" xfId="15508" xr:uid="{00000000-0005-0000-0000-0000A3460000}"/>
    <cellStyle name="40% - Accent6 5 4 2 4" xfId="15509" xr:uid="{00000000-0005-0000-0000-0000A4460000}"/>
    <cellStyle name="40% - Accent6 5 4 2 5" xfId="15510" xr:uid="{00000000-0005-0000-0000-0000A5460000}"/>
    <cellStyle name="40% - Accent6 5 4 2 6" xfId="38742" xr:uid="{00000000-0005-0000-0000-0000A6460000}"/>
    <cellStyle name="40% - Accent6 5 4 3" xfId="15511" xr:uid="{00000000-0005-0000-0000-0000A7460000}"/>
    <cellStyle name="40% - Accent6 5 4 3 2" xfId="15512" xr:uid="{00000000-0005-0000-0000-0000A8460000}"/>
    <cellStyle name="40% - Accent6 5 4 3 2 2" xfId="15513" xr:uid="{00000000-0005-0000-0000-0000A9460000}"/>
    <cellStyle name="40% - Accent6 5 4 3 2 2 2" xfId="15514" xr:uid="{00000000-0005-0000-0000-0000AA460000}"/>
    <cellStyle name="40% - Accent6 5 4 3 2 3" xfId="15515" xr:uid="{00000000-0005-0000-0000-0000AB460000}"/>
    <cellStyle name="40% - Accent6 5 4 3 2 4" xfId="15516" xr:uid="{00000000-0005-0000-0000-0000AC460000}"/>
    <cellStyle name="40% - Accent6 5 4 3 2 5" xfId="38745" xr:uid="{00000000-0005-0000-0000-0000AD460000}"/>
    <cellStyle name="40% - Accent6 5 4 3 3" xfId="15517" xr:uid="{00000000-0005-0000-0000-0000AE460000}"/>
    <cellStyle name="40% - Accent6 5 4 3 3 2" xfId="15518" xr:uid="{00000000-0005-0000-0000-0000AF460000}"/>
    <cellStyle name="40% - Accent6 5 4 3 4" xfId="15519" xr:uid="{00000000-0005-0000-0000-0000B0460000}"/>
    <cellStyle name="40% - Accent6 5 4 3 5" xfId="15520" xr:uid="{00000000-0005-0000-0000-0000B1460000}"/>
    <cellStyle name="40% - Accent6 5 4 3 6" xfId="38744" xr:uid="{00000000-0005-0000-0000-0000B2460000}"/>
    <cellStyle name="40% - Accent6 5 4 4" xfId="15521" xr:uid="{00000000-0005-0000-0000-0000B3460000}"/>
    <cellStyle name="40% - Accent6 5 4 4 2" xfId="15522" xr:uid="{00000000-0005-0000-0000-0000B4460000}"/>
    <cellStyle name="40% - Accent6 5 4 4 2 2" xfId="15523" xr:uid="{00000000-0005-0000-0000-0000B5460000}"/>
    <cellStyle name="40% - Accent6 5 4 4 3" xfId="15524" xr:uid="{00000000-0005-0000-0000-0000B6460000}"/>
    <cellStyle name="40% - Accent6 5 4 4 4" xfId="15525" xr:uid="{00000000-0005-0000-0000-0000B7460000}"/>
    <cellStyle name="40% - Accent6 5 4 4 5" xfId="38746" xr:uid="{00000000-0005-0000-0000-0000B8460000}"/>
    <cellStyle name="40% - Accent6 5 4 5" xfId="15526" xr:uid="{00000000-0005-0000-0000-0000B9460000}"/>
    <cellStyle name="40% - Accent6 5 4 5 2" xfId="15527" xr:uid="{00000000-0005-0000-0000-0000BA460000}"/>
    <cellStyle name="40% - Accent6 5 4 5 2 2" xfId="15528" xr:uid="{00000000-0005-0000-0000-0000BB460000}"/>
    <cellStyle name="40% - Accent6 5 4 5 3" xfId="15529" xr:uid="{00000000-0005-0000-0000-0000BC460000}"/>
    <cellStyle name="40% - Accent6 5 4 5 4" xfId="15530" xr:uid="{00000000-0005-0000-0000-0000BD460000}"/>
    <cellStyle name="40% - Accent6 5 4 6" xfId="15531" xr:uid="{00000000-0005-0000-0000-0000BE460000}"/>
    <cellStyle name="40% - Accent6 5 4 6 2" xfId="15532" xr:uid="{00000000-0005-0000-0000-0000BF460000}"/>
    <cellStyle name="40% - Accent6 5 4 6 2 2" xfId="15533" xr:uid="{00000000-0005-0000-0000-0000C0460000}"/>
    <cellStyle name="40% - Accent6 5 4 6 3" xfId="15534" xr:uid="{00000000-0005-0000-0000-0000C1460000}"/>
    <cellStyle name="40% - Accent6 5 4 6 4" xfId="15535" xr:uid="{00000000-0005-0000-0000-0000C2460000}"/>
    <cellStyle name="40% - Accent6 5 4 7" xfId="15536" xr:uid="{00000000-0005-0000-0000-0000C3460000}"/>
    <cellStyle name="40% - Accent6 5 4 7 2" xfId="15537" xr:uid="{00000000-0005-0000-0000-0000C4460000}"/>
    <cellStyle name="40% - Accent6 5 4 8" xfId="15538" xr:uid="{00000000-0005-0000-0000-0000C5460000}"/>
    <cellStyle name="40% - Accent6 5 4 9" xfId="15539" xr:uid="{00000000-0005-0000-0000-0000C6460000}"/>
    <cellStyle name="40% - Accent6 5 5" xfId="15540" xr:uid="{00000000-0005-0000-0000-0000C7460000}"/>
    <cellStyle name="40% - Accent6 5 5 2" xfId="15541" xr:uid="{00000000-0005-0000-0000-0000C8460000}"/>
    <cellStyle name="40% - Accent6 5 5 2 2" xfId="15542" xr:uid="{00000000-0005-0000-0000-0000C9460000}"/>
    <cellStyle name="40% - Accent6 5 5 2 2 2" xfId="15543" xr:uid="{00000000-0005-0000-0000-0000CA460000}"/>
    <cellStyle name="40% - Accent6 5 5 2 3" xfId="15544" xr:uid="{00000000-0005-0000-0000-0000CB460000}"/>
    <cellStyle name="40% - Accent6 5 5 2 4" xfId="15545" xr:uid="{00000000-0005-0000-0000-0000CC460000}"/>
    <cellStyle name="40% - Accent6 5 5 2 5" xfId="38748" xr:uid="{00000000-0005-0000-0000-0000CD460000}"/>
    <cellStyle name="40% - Accent6 5 5 3" xfId="15546" xr:uid="{00000000-0005-0000-0000-0000CE460000}"/>
    <cellStyle name="40% - Accent6 5 5 3 2" xfId="15547" xr:uid="{00000000-0005-0000-0000-0000CF460000}"/>
    <cellStyle name="40% - Accent6 5 5 3 2 2" xfId="15548" xr:uid="{00000000-0005-0000-0000-0000D0460000}"/>
    <cellStyle name="40% - Accent6 5 5 3 3" xfId="15549" xr:uid="{00000000-0005-0000-0000-0000D1460000}"/>
    <cellStyle name="40% - Accent6 5 5 3 4" xfId="15550" xr:uid="{00000000-0005-0000-0000-0000D2460000}"/>
    <cellStyle name="40% - Accent6 5 5 3 5" xfId="38749" xr:uid="{00000000-0005-0000-0000-0000D3460000}"/>
    <cellStyle name="40% - Accent6 5 5 4" xfId="15551" xr:uid="{00000000-0005-0000-0000-0000D4460000}"/>
    <cellStyle name="40% - Accent6 5 5 4 2" xfId="15552" xr:uid="{00000000-0005-0000-0000-0000D5460000}"/>
    <cellStyle name="40% - Accent6 5 5 5" xfId="15553" xr:uid="{00000000-0005-0000-0000-0000D6460000}"/>
    <cellStyle name="40% - Accent6 5 5 6" xfId="15554" xr:uid="{00000000-0005-0000-0000-0000D7460000}"/>
    <cellStyle name="40% - Accent6 5 5 7" xfId="38747" xr:uid="{00000000-0005-0000-0000-0000D8460000}"/>
    <cellStyle name="40% - Accent6 5 6" xfId="15555" xr:uid="{00000000-0005-0000-0000-0000D9460000}"/>
    <cellStyle name="40% - Accent6 5 6 2" xfId="15556" xr:uid="{00000000-0005-0000-0000-0000DA460000}"/>
    <cellStyle name="40% - Accent6 5 6 2 2" xfId="15557" xr:uid="{00000000-0005-0000-0000-0000DB460000}"/>
    <cellStyle name="40% - Accent6 5 6 2 2 2" xfId="15558" xr:uid="{00000000-0005-0000-0000-0000DC460000}"/>
    <cellStyle name="40% - Accent6 5 6 2 3" xfId="15559" xr:uid="{00000000-0005-0000-0000-0000DD460000}"/>
    <cellStyle name="40% - Accent6 5 6 2 4" xfId="15560" xr:uid="{00000000-0005-0000-0000-0000DE460000}"/>
    <cellStyle name="40% - Accent6 5 6 2 5" xfId="38751" xr:uid="{00000000-0005-0000-0000-0000DF460000}"/>
    <cellStyle name="40% - Accent6 5 6 3" xfId="15561" xr:uid="{00000000-0005-0000-0000-0000E0460000}"/>
    <cellStyle name="40% - Accent6 5 6 3 2" xfId="15562" xr:uid="{00000000-0005-0000-0000-0000E1460000}"/>
    <cellStyle name="40% - Accent6 5 6 4" xfId="15563" xr:uid="{00000000-0005-0000-0000-0000E2460000}"/>
    <cellStyle name="40% - Accent6 5 6 5" xfId="15564" xr:uid="{00000000-0005-0000-0000-0000E3460000}"/>
    <cellStyle name="40% - Accent6 5 6 6" xfId="38750" xr:uid="{00000000-0005-0000-0000-0000E4460000}"/>
    <cellStyle name="40% - Accent6 5 7" xfId="15565" xr:uid="{00000000-0005-0000-0000-0000E5460000}"/>
    <cellStyle name="40% - Accent6 5 7 2" xfId="15566" xr:uid="{00000000-0005-0000-0000-0000E6460000}"/>
    <cellStyle name="40% - Accent6 5 7 2 2" xfId="15567" xr:uid="{00000000-0005-0000-0000-0000E7460000}"/>
    <cellStyle name="40% - Accent6 5 7 3" xfId="15568" xr:uid="{00000000-0005-0000-0000-0000E8460000}"/>
    <cellStyle name="40% - Accent6 5 7 4" xfId="15569" xr:uid="{00000000-0005-0000-0000-0000E9460000}"/>
    <cellStyle name="40% - Accent6 5 7 5" xfId="38752" xr:uid="{00000000-0005-0000-0000-0000EA460000}"/>
    <cellStyle name="40% - Accent6 5 8" xfId="15570" xr:uid="{00000000-0005-0000-0000-0000EB460000}"/>
    <cellStyle name="40% - Accent6 5 8 2" xfId="15571" xr:uid="{00000000-0005-0000-0000-0000EC460000}"/>
    <cellStyle name="40% - Accent6 5 8 2 2" xfId="15572" xr:uid="{00000000-0005-0000-0000-0000ED460000}"/>
    <cellStyle name="40% - Accent6 5 8 3" xfId="15573" xr:uid="{00000000-0005-0000-0000-0000EE460000}"/>
    <cellStyle name="40% - Accent6 5 8 4" xfId="15574" xr:uid="{00000000-0005-0000-0000-0000EF460000}"/>
    <cellStyle name="40% - Accent6 5 9" xfId="15575" xr:uid="{00000000-0005-0000-0000-0000F0460000}"/>
    <cellStyle name="40% - Accent6 5 9 2" xfId="15576" xr:uid="{00000000-0005-0000-0000-0000F1460000}"/>
    <cellStyle name="40% - Accent6 5 9 2 2" xfId="15577" xr:uid="{00000000-0005-0000-0000-0000F2460000}"/>
    <cellStyle name="40% - Accent6 5 9 3" xfId="15578" xr:uid="{00000000-0005-0000-0000-0000F3460000}"/>
    <cellStyle name="40% - Accent6 5 9 4" xfId="15579" xr:uid="{00000000-0005-0000-0000-0000F4460000}"/>
    <cellStyle name="40% - Accent6 6" xfId="15580" xr:uid="{00000000-0005-0000-0000-0000F5460000}"/>
    <cellStyle name="40% - Accent6 7" xfId="15581" xr:uid="{00000000-0005-0000-0000-0000F6460000}"/>
    <cellStyle name="40% - Accent6 8" xfId="15582" xr:uid="{00000000-0005-0000-0000-0000F7460000}"/>
    <cellStyle name="40% - Accent6 9" xfId="15583" xr:uid="{00000000-0005-0000-0000-0000F8460000}"/>
    <cellStyle name="40% - Accent6 9 2" xfId="15584" xr:uid="{00000000-0005-0000-0000-0000F9460000}"/>
    <cellStyle name="40% - Accent6 9 2 2" xfId="15585" xr:uid="{00000000-0005-0000-0000-0000FA460000}"/>
    <cellStyle name="40% - Accent6 9 3" xfId="15586" xr:uid="{00000000-0005-0000-0000-0000FB460000}"/>
    <cellStyle name="40% - Accent6 9 4" xfId="15587" xr:uid="{00000000-0005-0000-0000-0000FC460000}"/>
    <cellStyle name="40% - Accent6 9 5" xfId="38753" xr:uid="{00000000-0005-0000-0000-0000FD460000}"/>
    <cellStyle name="60% - Accent1 2" xfId="15588" xr:uid="{00000000-0005-0000-0000-0000FE460000}"/>
    <cellStyle name="60% - Accent1 2 2" xfId="15589" xr:uid="{00000000-0005-0000-0000-0000FF460000}"/>
    <cellStyle name="60% - Accent1 2 2 2" xfId="15590" xr:uid="{00000000-0005-0000-0000-000000470000}"/>
    <cellStyle name="60% - Accent1 2 2 3" xfId="15591" xr:uid="{00000000-0005-0000-0000-000001470000}"/>
    <cellStyle name="60% - Accent1 2 2 3 2" xfId="38755" xr:uid="{00000000-0005-0000-0000-000002470000}"/>
    <cellStyle name="60% - Accent1 2 2 3 3" xfId="38754" xr:uid="{00000000-0005-0000-0000-000003470000}"/>
    <cellStyle name="60% - Accent1 2 2 4" xfId="15592" xr:uid="{00000000-0005-0000-0000-000004470000}"/>
    <cellStyle name="60% - Accent1 2 2 5" xfId="42261" xr:uid="{8CA9EEA0-779D-43CE-925D-E6D81EE58990}"/>
    <cellStyle name="60% - Accent1 2 3" xfId="15593" xr:uid="{00000000-0005-0000-0000-000005470000}"/>
    <cellStyle name="60% - Accent1 2 3 2" xfId="15594" xr:uid="{00000000-0005-0000-0000-000006470000}"/>
    <cellStyle name="60% - Accent1 2 4" xfId="15595" xr:uid="{00000000-0005-0000-0000-000007470000}"/>
    <cellStyle name="60% - Accent1 2 5" xfId="15596" xr:uid="{00000000-0005-0000-0000-000008470000}"/>
    <cellStyle name="60% - Accent1 2 6" xfId="15597" xr:uid="{00000000-0005-0000-0000-000009470000}"/>
    <cellStyle name="60% - Accent1 2 6 2" xfId="15598" xr:uid="{00000000-0005-0000-0000-00000A470000}"/>
    <cellStyle name="60% - Accent1 2 6 3" xfId="34851" xr:uid="{00000000-0005-0000-0000-00000B470000}"/>
    <cellStyle name="60% - Accent1 2 7" xfId="15599" xr:uid="{00000000-0005-0000-0000-00000C470000}"/>
    <cellStyle name="60% - Accent1 2 8" xfId="41914" xr:uid="{6DCC2E12-8117-4FF4-A2E5-6E620DD71608}"/>
    <cellStyle name="60% - Accent1 3" xfId="15600" xr:uid="{00000000-0005-0000-0000-00000D470000}"/>
    <cellStyle name="60% - Accent1 3 2" xfId="15601" xr:uid="{00000000-0005-0000-0000-00000E470000}"/>
    <cellStyle name="60% - Accent1 3 3" xfId="15602" xr:uid="{00000000-0005-0000-0000-00000F470000}"/>
    <cellStyle name="60% - Accent1 3 4" xfId="15603" xr:uid="{00000000-0005-0000-0000-000010470000}"/>
    <cellStyle name="60% - Accent1 4" xfId="15604" xr:uid="{00000000-0005-0000-0000-000011470000}"/>
    <cellStyle name="60% - Accent1 4 2" xfId="15605" xr:uid="{00000000-0005-0000-0000-000012470000}"/>
    <cellStyle name="60% - Accent1 4 3" xfId="15606" xr:uid="{00000000-0005-0000-0000-000013470000}"/>
    <cellStyle name="60% - Accent1 5" xfId="15607" xr:uid="{00000000-0005-0000-0000-000014470000}"/>
    <cellStyle name="60% - Accent1 6" xfId="15608" xr:uid="{00000000-0005-0000-0000-000015470000}"/>
    <cellStyle name="60% - Accent1 7" xfId="15609" xr:uid="{00000000-0005-0000-0000-000016470000}"/>
    <cellStyle name="60% - Accent1 8" xfId="15610" xr:uid="{00000000-0005-0000-0000-000017470000}"/>
    <cellStyle name="60% - Accent1 9" xfId="41869" xr:uid="{DA081CFB-1C49-4403-9030-F83D0BAA38CC}"/>
    <cellStyle name="60% - Accent2 2" xfId="15611" xr:uid="{00000000-0005-0000-0000-000018470000}"/>
    <cellStyle name="60% - Accent2 2 2" xfId="15612" xr:uid="{00000000-0005-0000-0000-000019470000}"/>
    <cellStyle name="60% - Accent2 2 2 2" xfId="15613" xr:uid="{00000000-0005-0000-0000-00001A470000}"/>
    <cellStyle name="60% - Accent2 2 2 3" xfId="15614" xr:uid="{00000000-0005-0000-0000-00001B470000}"/>
    <cellStyle name="60% - Accent2 2 2 3 2" xfId="38757" xr:uid="{00000000-0005-0000-0000-00001C470000}"/>
    <cellStyle name="60% - Accent2 2 2 3 3" xfId="38756" xr:uid="{00000000-0005-0000-0000-00001D470000}"/>
    <cellStyle name="60% - Accent2 2 2 4" xfId="15615" xr:uid="{00000000-0005-0000-0000-00001E470000}"/>
    <cellStyle name="60% - Accent2 2 3" xfId="15616" xr:uid="{00000000-0005-0000-0000-00001F470000}"/>
    <cellStyle name="60% - Accent2 2 3 2" xfId="15617" xr:uid="{00000000-0005-0000-0000-000020470000}"/>
    <cellStyle name="60% - Accent2 2 4" xfId="15618" xr:uid="{00000000-0005-0000-0000-000021470000}"/>
    <cellStyle name="60% - Accent2 2 5" xfId="15619" xr:uid="{00000000-0005-0000-0000-000022470000}"/>
    <cellStyle name="60% - Accent2 2 6" xfId="15620" xr:uid="{00000000-0005-0000-0000-000023470000}"/>
    <cellStyle name="60% - Accent2 2 6 2" xfId="15621" xr:uid="{00000000-0005-0000-0000-000024470000}"/>
    <cellStyle name="60% - Accent2 2 6 3" xfId="34852" xr:uid="{00000000-0005-0000-0000-000025470000}"/>
    <cellStyle name="60% - Accent2 2 7" xfId="15622" xr:uid="{00000000-0005-0000-0000-000026470000}"/>
    <cellStyle name="60% - Accent2 2 8" xfId="41915" xr:uid="{A7941C51-33F2-4F1C-AA03-8E318349B962}"/>
    <cellStyle name="60% - Accent2 3" xfId="15623" xr:uid="{00000000-0005-0000-0000-000027470000}"/>
    <cellStyle name="60% - Accent2 3 2" xfId="15624" xr:uid="{00000000-0005-0000-0000-000028470000}"/>
    <cellStyle name="60% - Accent2 3 3" xfId="15625" xr:uid="{00000000-0005-0000-0000-000029470000}"/>
    <cellStyle name="60% - Accent2 3 4" xfId="15626" xr:uid="{00000000-0005-0000-0000-00002A470000}"/>
    <cellStyle name="60% - Accent2 4" xfId="15627" xr:uid="{00000000-0005-0000-0000-00002B470000}"/>
    <cellStyle name="60% - Accent2 4 2" xfId="15628" xr:uid="{00000000-0005-0000-0000-00002C470000}"/>
    <cellStyle name="60% - Accent2 4 3" xfId="15629" xr:uid="{00000000-0005-0000-0000-00002D470000}"/>
    <cellStyle name="60% - Accent2 5" xfId="15630" xr:uid="{00000000-0005-0000-0000-00002E470000}"/>
    <cellStyle name="60% - Accent2 6" xfId="15631" xr:uid="{00000000-0005-0000-0000-00002F470000}"/>
    <cellStyle name="60% - Accent2 7" xfId="15632" xr:uid="{00000000-0005-0000-0000-000030470000}"/>
    <cellStyle name="60% - Accent2 8" xfId="15633" xr:uid="{00000000-0005-0000-0000-000031470000}"/>
    <cellStyle name="60% - Accent2 9" xfId="41870" xr:uid="{4B0B492D-9DCF-412B-9D9A-6C731A6A65CD}"/>
    <cellStyle name="60% - Accent3 2" xfId="15634" xr:uid="{00000000-0005-0000-0000-000032470000}"/>
    <cellStyle name="60% - Accent3 2 2" xfId="15635" xr:uid="{00000000-0005-0000-0000-000033470000}"/>
    <cellStyle name="60% - Accent3 2 2 2" xfId="15636" xr:uid="{00000000-0005-0000-0000-000034470000}"/>
    <cellStyle name="60% - Accent3 2 2 3" xfId="15637" xr:uid="{00000000-0005-0000-0000-000035470000}"/>
    <cellStyle name="60% - Accent3 2 2 3 2" xfId="38759" xr:uid="{00000000-0005-0000-0000-000036470000}"/>
    <cellStyle name="60% - Accent3 2 2 3 3" xfId="38758" xr:uid="{00000000-0005-0000-0000-000037470000}"/>
    <cellStyle name="60% - Accent3 2 2 4" xfId="15638" xr:uid="{00000000-0005-0000-0000-000038470000}"/>
    <cellStyle name="60% - Accent3 2 3" xfId="15639" xr:uid="{00000000-0005-0000-0000-000039470000}"/>
    <cellStyle name="60% - Accent3 2 3 2" xfId="15640" xr:uid="{00000000-0005-0000-0000-00003A470000}"/>
    <cellStyle name="60% - Accent3 2 4" xfId="15641" xr:uid="{00000000-0005-0000-0000-00003B470000}"/>
    <cellStyle name="60% - Accent3 2 5" xfId="15642" xr:uid="{00000000-0005-0000-0000-00003C470000}"/>
    <cellStyle name="60% - Accent3 2 6" xfId="15643" xr:uid="{00000000-0005-0000-0000-00003D470000}"/>
    <cellStyle name="60% - Accent3 2 6 2" xfId="15644" xr:uid="{00000000-0005-0000-0000-00003E470000}"/>
    <cellStyle name="60% - Accent3 2 6 3" xfId="34853" xr:uid="{00000000-0005-0000-0000-00003F470000}"/>
    <cellStyle name="60% - Accent3 2 7" xfId="15645" xr:uid="{00000000-0005-0000-0000-000040470000}"/>
    <cellStyle name="60% - Accent3 2 8" xfId="41916" xr:uid="{144D1F5E-D0EC-418F-AE9C-5F2CC0D5A923}"/>
    <cellStyle name="60% - Accent3 3" xfId="15646" xr:uid="{00000000-0005-0000-0000-000041470000}"/>
    <cellStyle name="60% - Accent3 3 2" xfId="15647" xr:uid="{00000000-0005-0000-0000-000042470000}"/>
    <cellStyle name="60% - Accent3 3 3" xfId="15648" xr:uid="{00000000-0005-0000-0000-000043470000}"/>
    <cellStyle name="60% - Accent3 3 4" xfId="15649" xr:uid="{00000000-0005-0000-0000-000044470000}"/>
    <cellStyle name="60% - Accent3 4" xfId="15650" xr:uid="{00000000-0005-0000-0000-000045470000}"/>
    <cellStyle name="60% - Accent3 4 2" xfId="15651" xr:uid="{00000000-0005-0000-0000-000046470000}"/>
    <cellStyle name="60% - Accent3 4 3" xfId="15652" xr:uid="{00000000-0005-0000-0000-000047470000}"/>
    <cellStyle name="60% - Accent3 5" xfId="15653" xr:uid="{00000000-0005-0000-0000-000048470000}"/>
    <cellStyle name="60% - Accent3 6" xfId="15654" xr:uid="{00000000-0005-0000-0000-000049470000}"/>
    <cellStyle name="60% - Accent3 7" xfId="15655" xr:uid="{00000000-0005-0000-0000-00004A470000}"/>
    <cellStyle name="60% - Accent3 8" xfId="15656" xr:uid="{00000000-0005-0000-0000-00004B470000}"/>
    <cellStyle name="60% - Accent3 9" xfId="41871" xr:uid="{A7A3278F-1FAF-40FE-B6BC-5D33905E47C9}"/>
    <cellStyle name="60% - Accent4 2" xfId="15657" xr:uid="{00000000-0005-0000-0000-00004C470000}"/>
    <cellStyle name="60% - Accent4 2 10" xfId="41917" xr:uid="{13487584-10CA-4000-AC9C-6E0D79B03780}"/>
    <cellStyle name="60% - Accent4 2 2" xfId="15658" xr:uid="{00000000-0005-0000-0000-00004D470000}"/>
    <cellStyle name="60% - Accent4 2 2 2" xfId="15659" xr:uid="{00000000-0005-0000-0000-00004E470000}"/>
    <cellStyle name="60% - Accent4 2 2 3" xfId="15660" xr:uid="{00000000-0005-0000-0000-00004F470000}"/>
    <cellStyle name="60% - Accent4 2 2 3 2" xfId="38761" xr:uid="{00000000-0005-0000-0000-000050470000}"/>
    <cellStyle name="60% - Accent4 2 2 3 3" xfId="38760" xr:uid="{00000000-0005-0000-0000-000051470000}"/>
    <cellStyle name="60% - Accent4 2 2 4" xfId="15661" xr:uid="{00000000-0005-0000-0000-000052470000}"/>
    <cellStyle name="60% - Accent4 2 3" xfId="15662" xr:uid="{00000000-0005-0000-0000-000053470000}"/>
    <cellStyle name="60% - Accent4 2 3 2" xfId="15663" xr:uid="{00000000-0005-0000-0000-000054470000}"/>
    <cellStyle name="60% - Accent4 2 4" xfId="15664" xr:uid="{00000000-0005-0000-0000-000055470000}"/>
    <cellStyle name="60% - Accent4 2 5" xfId="15665" xr:uid="{00000000-0005-0000-0000-000056470000}"/>
    <cellStyle name="60% - Accent4 2 6" xfId="15666" xr:uid="{00000000-0005-0000-0000-000057470000}"/>
    <cellStyle name="60% - Accent4 2 6 2" xfId="34854" xr:uid="{00000000-0005-0000-0000-000058470000}"/>
    <cellStyle name="60% - Accent4 2 7" xfId="15667" xr:uid="{00000000-0005-0000-0000-000059470000}"/>
    <cellStyle name="60% - Accent4 2 8" xfId="15668" xr:uid="{00000000-0005-0000-0000-00005A470000}"/>
    <cellStyle name="60% - Accent4 2 8 2" xfId="38763" xr:uid="{00000000-0005-0000-0000-00005B470000}"/>
    <cellStyle name="60% - Accent4 2 8 3" xfId="38762" xr:uid="{00000000-0005-0000-0000-00005C470000}"/>
    <cellStyle name="60% - Accent4 2 9" xfId="15669" xr:uid="{00000000-0005-0000-0000-00005D470000}"/>
    <cellStyle name="60% - Accent4 3" xfId="15670" xr:uid="{00000000-0005-0000-0000-00005E470000}"/>
    <cellStyle name="60% - Accent4 3 2" xfId="15671" xr:uid="{00000000-0005-0000-0000-00005F470000}"/>
    <cellStyle name="60% - Accent4 3 3" xfId="15672" xr:uid="{00000000-0005-0000-0000-000060470000}"/>
    <cellStyle name="60% - Accent4 3 4" xfId="34855" xr:uid="{00000000-0005-0000-0000-000061470000}"/>
    <cellStyle name="60% - Accent4 4" xfId="15673" xr:uid="{00000000-0005-0000-0000-000062470000}"/>
    <cellStyle name="60% - Accent4 4 2" xfId="15674" xr:uid="{00000000-0005-0000-0000-000063470000}"/>
    <cellStyle name="60% - Accent4 4 3" xfId="15675" xr:uid="{00000000-0005-0000-0000-000064470000}"/>
    <cellStyle name="60% - Accent4 4 4" xfId="15676" xr:uid="{00000000-0005-0000-0000-000065470000}"/>
    <cellStyle name="60% - Accent4 5" xfId="15677" xr:uid="{00000000-0005-0000-0000-000066470000}"/>
    <cellStyle name="60% - Accent4 5 2" xfId="15678" xr:uid="{00000000-0005-0000-0000-000067470000}"/>
    <cellStyle name="60% - Accent4 6" xfId="15679" xr:uid="{00000000-0005-0000-0000-000068470000}"/>
    <cellStyle name="60% - Accent4 7" xfId="15680" xr:uid="{00000000-0005-0000-0000-000069470000}"/>
    <cellStyle name="60% - Accent4 8" xfId="15681" xr:uid="{00000000-0005-0000-0000-00006A470000}"/>
    <cellStyle name="60% - Accent4 9" xfId="41872" xr:uid="{3EA0C9CC-0C5A-4865-AFD9-AE6435D06688}"/>
    <cellStyle name="60% - Accent5 2" xfId="15682" xr:uid="{00000000-0005-0000-0000-00006B470000}"/>
    <cellStyle name="60% - Accent5 2 2" xfId="15683" xr:uid="{00000000-0005-0000-0000-00006C470000}"/>
    <cellStyle name="60% - Accent5 2 2 2" xfId="15684" xr:uid="{00000000-0005-0000-0000-00006D470000}"/>
    <cellStyle name="60% - Accent5 2 2 3" xfId="15685" xr:uid="{00000000-0005-0000-0000-00006E470000}"/>
    <cellStyle name="60% - Accent5 2 2 3 2" xfId="38765" xr:uid="{00000000-0005-0000-0000-00006F470000}"/>
    <cellStyle name="60% - Accent5 2 2 3 3" xfId="38764" xr:uid="{00000000-0005-0000-0000-000070470000}"/>
    <cellStyle name="60% - Accent5 2 2 4" xfId="15686" xr:uid="{00000000-0005-0000-0000-000071470000}"/>
    <cellStyle name="60% - Accent5 2 3" xfId="15687" xr:uid="{00000000-0005-0000-0000-000072470000}"/>
    <cellStyle name="60% - Accent5 2 3 2" xfId="15688" xr:uid="{00000000-0005-0000-0000-000073470000}"/>
    <cellStyle name="60% - Accent5 2 4" xfId="15689" xr:uid="{00000000-0005-0000-0000-000074470000}"/>
    <cellStyle name="60% - Accent5 2 5" xfId="15690" xr:uid="{00000000-0005-0000-0000-000075470000}"/>
    <cellStyle name="60% - Accent5 2 6" xfId="15691" xr:uid="{00000000-0005-0000-0000-000076470000}"/>
    <cellStyle name="60% - Accent5 2 6 2" xfId="15692" xr:uid="{00000000-0005-0000-0000-000077470000}"/>
    <cellStyle name="60% - Accent5 2 6 3" xfId="34856" xr:uid="{00000000-0005-0000-0000-000078470000}"/>
    <cellStyle name="60% - Accent5 2 7" xfId="15693" xr:uid="{00000000-0005-0000-0000-000079470000}"/>
    <cellStyle name="60% - Accent5 2 8" xfId="41918" xr:uid="{666B1235-D8C8-42AB-8E0E-31D1B8B7653B}"/>
    <cellStyle name="60% - Accent5 3" xfId="15694" xr:uid="{00000000-0005-0000-0000-00007A470000}"/>
    <cellStyle name="60% - Accent5 3 2" xfId="15695" xr:uid="{00000000-0005-0000-0000-00007B470000}"/>
    <cellStyle name="60% - Accent5 3 3" xfId="15696" xr:uid="{00000000-0005-0000-0000-00007C470000}"/>
    <cellStyle name="60% - Accent5 3 4" xfId="15697" xr:uid="{00000000-0005-0000-0000-00007D470000}"/>
    <cellStyle name="60% - Accent5 4" xfId="15698" xr:uid="{00000000-0005-0000-0000-00007E470000}"/>
    <cellStyle name="60% - Accent5 4 2" xfId="15699" xr:uid="{00000000-0005-0000-0000-00007F470000}"/>
    <cellStyle name="60% - Accent5 4 3" xfId="15700" xr:uid="{00000000-0005-0000-0000-000080470000}"/>
    <cellStyle name="60% - Accent5 5" xfId="15701" xr:uid="{00000000-0005-0000-0000-000081470000}"/>
    <cellStyle name="60% - Accent5 6" xfId="15702" xr:uid="{00000000-0005-0000-0000-000082470000}"/>
    <cellStyle name="60% - Accent5 7" xfId="15703" xr:uid="{00000000-0005-0000-0000-000083470000}"/>
    <cellStyle name="60% - Accent5 8" xfId="15704" xr:uid="{00000000-0005-0000-0000-000084470000}"/>
    <cellStyle name="60% - Accent5 9" xfId="41873" xr:uid="{FDAF0646-C150-490E-A300-DE952A8835A3}"/>
    <cellStyle name="60% - Accent6 2" xfId="15705" xr:uid="{00000000-0005-0000-0000-000085470000}"/>
    <cellStyle name="60% - Accent6 2 2" xfId="15706" xr:uid="{00000000-0005-0000-0000-000086470000}"/>
    <cellStyle name="60% - Accent6 2 2 2" xfId="15707" xr:uid="{00000000-0005-0000-0000-000087470000}"/>
    <cellStyle name="60% - Accent6 2 2 3" xfId="15708" xr:uid="{00000000-0005-0000-0000-000088470000}"/>
    <cellStyle name="60% - Accent6 2 2 3 2" xfId="38767" xr:uid="{00000000-0005-0000-0000-000089470000}"/>
    <cellStyle name="60% - Accent6 2 2 3 3" xfId="38766" xr:uid="{00000000-0005-0000-0000-00008A470000}"/>
    <cellStyle name="60% - Accent6 2 2 4" xfId="15709" xr:uid="{00000000-0005-0000-0000-00008B470000}"/>
    <cellStyle name="60% - Accent6 2 3" xfId="15710" xr:uid="{00000000-0005-0000-0000-00008C470000}"/>
    <cellStyle name="60% - Accent6 2 3 2" xfId="15711" xr:uid="{00000000-0005-0000-0000-00008D470000}"/>
    <cellStyle name="60% - Accent6 2 4" xfId="15712" xr:uid="{00000000-0005-0000-0000-00008E470000}"/>
    <cellStyle name="60% - Accent6 2 5" xfId="15713" xr:uid="{00000000-0005-0000-0000-00008F470000}"/>
    <cellStyle name="60% - Accent6 2 6" xfId="15714" xr:uid="{00000000-0005-0000-0000-000090470000}"/>
    <cellStyle name="60% - Accent6 2 6 2" xfId="15715" xr:uid="{00000000-0005-0000-0000-000091470000}"/>
    <cellStyle name="60% - Accent6 2 6 3" xfId="34857" xr:uid="{00000000-0005-0000-0000-000092470000}"/>
    <cellStyle name="60% - Accent6 2 7" xfId="15716" xr:uid="{00000000-0005-0000-0000-000093470000}"/>
    <cellStyle name="60% - Accent6 2 8" xfId="41919" xr:uid="{D73BA886-C97C-468E-ACE1-DEFA829122A0}"/>
    <cellStyle name="60% - Accent6 3" xfId="15717" xr:uid="{00000000-0005-0000-0000-000094470000}"/>
    <cellStyle name="60% - Accent6 3 2" xfId="15718" xr:uid="{00000000-0005-0000-0000-000095470000}"/>
    <cellStyle name="60% - Accent6 3 3" xfId="15719" xr:uid="{00000000-0005-0000-0000-000096470000}"/>
    <cellStyle name="60% - Accent6 3 4" xfId="15720" xr:uid="{00000000-0005-0000-0000-000097470000}"/>
    <cellStyle name="60% - Accent6 4" xfId="15721" xr:uid="{00000000-0005-0000-0000-000098470000}"/>
    <cellStyle name="60% - Accent6 4 2" xfId="15722" xr:uid="{00000000-0005-0000-0000-000099470000}"/>
    <cellStyle name="60% - Accent6 4 3" xfId="15723" xr:uid="{00000000-0005-0000-0000-00009A470000}"/>
    <cellStyle name="60% - Accent6 5" xfId="15724" xr:uid="{00000000-0005-0000-0000-00009B470000}"/>
    <cellStyle name="60% - Accent6 6" xfId="15725" xr:uid="{00000000-0005-0000-0000-00009C470000}"/>
    <cellStyle name="60% - Accent6 7" xfId="15726" xr:uid="{00000000-0005-0000-0000-00009D470000}"/>
    <cellStyle name="60% - Accent6 8" xfId="15727" xr:uid="{00000000-0005-0000-0000-00009E470000}"/>
    <cellStyle name="60% - Accent6 9" xfId="41874" xr:uid="{B1E11FC0-C6A6-416C-9669-4B2FDE31035B}"/>
    <cellStyle name="Accent1 - 20%" xfId="34858" xr:uid="{00000000-0005-0000-0000-00009F470000}"/>
    <cellStyle name="Accent1 - 40%" xfId="34859" xr:uid="{00000000-0005-0000-0000-0000A0470000}"/>
    <cellStyle name="Accent1 - 60%" xfId="34860" xr:uid="{00000000-0005-0000-0000-0000A1470000}"/>
    <cellStyle name="Accent1 10" xfId="41875" xr:uid="{3CE06415-4EFB-47C5-B217-7FA9FC3F65F0}"/>
    <cellStyle name="Accent1 11" xfId="41979" xr:uid="{2B6F87F7-A877-4480-904A-39BC62CA1D07}"/>
    <cellStyle name="Accent1 12" xfId="42264" xr:uid="{AFB6452C-58B5-4560-A335-42994F7519AB}"/>
    <cellStyle name="Accent1 2" xfId="15728" xr:uid="{00000000-0005-0000-0000-0000A2470000}"/>
    <cellStyle name="Accent1 2 2" xfId="15729" xr:uid="{00000000-0005-0000-0000-0000A3470000}"/>
    <cellStyle name="Accent1 2 2 2" xfId="15730" xr:uid="{00000000-0005-0000-0000-0000A4470000}"/>
    <cellStyle name="Accent1 2 2 3" xfId="15731" xr:uid="{00000000-0005-0000-0000-0000A5470000}"/>
    <cellStyle name="Accent1 2 2 3 2" xfId="38769" xr:uid="{00000000-0005-0000-0000-0000A6470000}"/>
    <cellStyle name="Accent1 2 2 3 3" xfId="38768" xr:uid="{00000000-0005-0000-0000-0000A7470000}"/>
    <cellStyle name="Accent1 2 2 4" xfId="15732" xr:uid="{00000000-0005-0000-0000-0000A8470000}"/>
    <cellStyle name="Accent1 2 3" xfId="15733" xr:uid="{00000000-0005-0000-0000-0000A9470000}"/>
    <cellStyle name="Accent1 2 3 2" xfId="15734" xr:uid="{00000000-0005-0000-0000-0000AA470000}"/>
    <cellStyle name="Accent1 2 4" xfId="15735" xr:uid="{00000000-0005-0000-0000-0000AB470000}"/>
    <cellStyle name="Accent1 2 5" xfId="15736" xr:uid="{00000000-0005-0000-0000-0000AC470000}"/>
    <cellStyle name="Accent1 2 6" xfId="15737" xr:uid="{00000000-0005-0000-0000-0000AD470000}"/>
    <cellStyle name="Accent1 2 6 2" xfId="15738" xr:uid="{00000000-0005-0000-0000-0000AE470000}"/>
    <cellStyle name="Accent1 2 6 3" xfId="34861" xr:uid="{00000000-0005-0000-0000-0000AF470000}"/>
    <cellStyle name="Accent1 2 7" xfId="15739" xr:uid="{00000000-0005-0000-0000-0000B0470000}"/>
    <cellStyle name="Accent1 2 8" xfId="41920" xr:uid="{F174940C-55E0-46F5-9490-FA3FB4D948D6}"/>
    <cellStyle name="Accent1 3" xfId="15740" xr:uid="{00000000-0005-0000-0000-0000B1470000}"/>
    <cellStyle name="Accent1 3 2" xfId="15741" xr:uid="{00000000-0005-0000-0000-0000B2470000}"/>
    <cellStyle name="Accent1 3 3" xfId="15742" xr:uid="{00000000-0005-0000-0000-0000B3470000}"/>
    <cellStyle name="Accent1 3 4" xfId="15743" xr:uid="{00000000-0005-0000-0000-0000B4470000}"/>
    <cellStyle name="Accent1 3 5" xfId="15744" xr:uid="{00000000-0005-0000-0000-0000B5470000}"/>
    <cellStyle name="Accent1 3 6" xfId="42217" xr:uid="{2BBF983F-CD40-4286-935F-0E8CF34795AE}"/>
    <cellStyle name="Accent1 4" xfId="15745" xr:uid="{00000000-0005-0000-0000-0000B6470000}"/>
    <cellStyle name="Accent1 4 2" xfId="15746" xr:uid="{00000000-0005-0000-0000-0000B7470000}"/>
    <cellStyle name="Accent1 4 3" xfId="15747" xr:uid="{00000000-0005-0000-0000-0000B8470000}"/>
    <cellStyle name="Accent1 4 4" xfId="42218" xr:uid="{F783B7A5-F6A1-40A4-9A5C-5138F3189D6C}"/>
    <cellStyle name="Accent1 5" xfId="15748" xr:uid="{00000000-0005-0000-0000-0000B9470000}"/>
    <cellStyle name="Accent1 5 2" xfId="42219" xr:uid="{6908DE72-E924-4701-B8EA-BA845BEB6F7D}"/>
    <cellStyle name="Accent1 6" xfId="15749" xr:uid="{00000000-0005-0000-0000-0000BA470000}"/>
    <cellStyle name="Accent1 7" xfId="15750" xr:uid="{00000000-0005-0000-0000-0000BB470000}"/>
    <cellStyle name="Accent1 8" xfId="15751" xr:uid="{00000000-0005-0000-0000-0000BC470000}"/>
    <cellStyle name="Accent1 9" xfId="15752" xr:uid="{00000000-0005-0000-0000-0000BD470000}"/>
    <cellStyle name="Accent2 - 20%" xfId="34862" xr:uid="{00000000-0005-0000-0000-0000BE470000}"/>
    <cellStyle name="Accent2 - 40%" xfId="34863" xr:uid="{00000000-0005-0000-0000-0000BF470000}"/>
    <cellStyle name="Accent2 - 60%" xfId="34864" xr:uid="{00000000-0005-0000-0000-0000C0470000}"/>
    <cellStyle name="Accent2 10" xfId="41876" xr:uid="{89DC323C-4187-42D9-9544-28F62B258DF3}"/>
    <cellStyle name="Accent2 11" xfId="41978" xr:uid="{C86CD7DB-1519-4C99-9CD0-36BFFD1D69A1}"/>
    <cellStyle name="Accent2 12" xfId="42265" xr:uid="{50264928-AE7E-4AAA-8737-28A1BE9D45AE}"/>
    <cellStyle name="Accent2 2" xfId="15753" xr:uid="{00000000-0005-0000-0000-0000C1470000}"/>
    <cellStyle name="Accent2 2 2" xfId="15754" xr:uid="{00000000-0005-0000-0000-0000C2470000}"/>
    <cellStyle name="Accent2 2 2 2" xfId="15755" xr:uid="{00000000-0005-0000-0000-0000C3470000}"/>
    <cellStyle name="Accent2 2 2 3" xfId="15756" xr:uid="{00000000-0005-0000-0000-0000C4470000}"/>
    <cellStyle name="Accent2 2 2 3 2" xfId="38771" xr:uid="{00000000-0005-0000-0000-0000C5470000}"/>
    <cellStyle name="Accent2 2 2 3 3" xfId="38770" xr:uid="{00000000-0005-0000-0000-0000C6470000}"/>
    <cellStyle name="Accent2 2 2 4" xfId="15757" xr:uid="{00000000-0005-0000-0000-0000C7470000}"/>
    <cellStyle name="Accent2 2 3" xfId="15758" xr:uid="{00000000-0005-0000-0000-0000C8470000}"/>
    <cellStyle name="Accent2 2 3 2" xfId="15759" xr:uid="{00000000-0005-0000-0000-0000C9470000}"/>
    <cellStyle name="Accent2 2 4" xfId="15760" xr:uid="{00000000-0005-0000-0000-0000CA470000}"/>
    <cellStyle name="Accent2 2 5" xfId="15761" xr:uid="{00000000-0005-0000-0000-0000CB470000}"/>
    <cellStyle name="Accent2 2 6" xfId="15762" xr:uid="{00000000-0005-0000-0000-0000CC470000}"/>
    <cellStyle name="Accent2 2 6 2" xfId="15763" xr:uid="{00000000-0005-0000-0000-0000CD470000}"/>
    <cellStyle name="Accent2 2 6 3" xfId="34865" xr:uid="{00000000-0005-0000-0000-0000CE470000}"/>
    <cellStyle name="Accent2 2 7" xfId="15764" xr:uid="{00000000-0005-0000-0000-0000CF470000}"/>
    <cellStyle name="Accent2 3" xfId="15765" xr:uid="{00000000-0005-0000-0000-0000D0470000}"/>
    <cellStyle name="Accent2 3 2" xfId="15766" xr:uid="{00000000-0005-0000-0000-0000D1470000}"/>
    <cellStyle name="Accent2 3 3" xfId="15767" xr:uid="{00000000-0005-0000-0000-0000D2470000}"/>
    <cellStyle name="Accent2 3 4" xfId="15768" xr:uid="{00000000-0005-0000-0000-0000D3470000}"/>
    <cellStyle name="Accent2 4" xfId="15769" xr:uid="{00000000-0005-0000-0000-0000D4470000}"/>
    <cellStyle name="Accent2 4 2" xfId="15770" xr:uid="{00000000-0005-0000-0000-0000D5470000}"/>
    <cellStyle name="Accent2 4 3" xfId="15771" xr:uid="{00000000-0005-0000-0000-0000D6470000}"/>
    <cellStyle name="Accent2 4 4" xfId="42220" xr:uid="{B19BFC22-0EF0-4980-88B0-AB61887C9F58}"/>
    <cellStyle name="Accent2 5" xfId="15772" xr:uid="{00000000-0005-0000-0000-0000D7470000}"/>
    <cellStyle name="Accent2 6" xfId="15773" xr:uid="{00000000-0005-0000-0000-0000D8470000}"/>
    <cellStyle name="Accent2 7" xfId="15774" xr:uid="{00000000-0005-0000-0000-0000D9470000}"/>
    <cellStyle name="Accent2 8" xfId="15775" xr:uid="{00000000-0005-0000-0000-0000DA470000}"/>
    <cellStyle name="Accent2 9" xfId="15776" xr:uid="{00000000-0005-0000-0000-0000DB470000}"/>
    <cellStyle name="Accent3 - 20%" xfId="34866" xr:uid="{00000000-0005-0000-0000-0000DC470000}"/>
    <cellStyle name="Accent3 - 40%" xfId="34867" xr:uid="{00000000-0005-0000-0000-0000DD470000}"/>
    <cellStyle name="Accent3 - 60%" xfId="34868" xr:uid="{00000000-0005-0000-0000-0000DE470000}"/>
    <cellStyle name="Accent3 10" xfId="41904" xr:uid="{28235ADF-EA21-4192-A920-DA689DC9C755}"/>
    <cellStyle name="Accent3 11" xfId="42266" xr:uid="{351B34C8-3B26-41FB-83C0-05499041A5B5}"/>
    <cellStyle name="Accent3 2" xfId="15777" xr:uid="{00000000-0005-0000-0000-0000DF470000}"/>
    <cellStyle name="Accent3 2 2" xfId="15778" xr:uid="{00000000-0005-0000-0000-0000E0470000}"/>
    <cellStyle name="Accent3 2 2 2" xfId="15779" xr:uid="{00000000-0005-0000-0000-0000E1470000}"/>
    <cellStyle name="Accent3 2 2 3" xfId="15780" xr:uid="{00000000-0005-0000-0000-0000E2470000}"/>
    <cellStyle name="Accent3 2 2 3 2" xfId="38773" xr:uid="{00000000-0005-0000-0000-0000E3470000}"/>
    <cellStyle name="Accent3 2 2 3 3" xfId="38772" xr:uid="{00000000-0005-0000-0000-0000E4470000}"/>
    <cellStyle name="Accent3 2 2 4" xfId="15781" xr:uid="{00000000-0005-0000-0000-0000E5470000}"/>
    <cellStyle name="Accent3 2 3" xfId="15782" xr:uid="{00000000-0005-0000-0000-0000E6470000}"/>
    <cellStyle name="Accent3 2 3 2" xfId="15783" xr:uid="{00000000-0005-0000-0000-0000E7470000}"/>
    <cellStyle name="Accent3 2 4" xfId="15784" xr:uid="{00000000-0005-0000-0000-0000E8470000}"/>
    <cellStyle name="Accent3 2 5" xfId="15785" xr:uid="{00000000-0005-0000-0000-0000E9470000}"/>
    <cellStyle name="Accent3 2 6" xfId="15786" xr:uid="{00000000-0005-0000-0000-0000EA470000}"/>
    <cellStyle name="Accent3 2 6 2" xfId="15787" xr:uid="{00000000-0005-0000-0000-0000EB470000}"/>
    <cellStyle name="Accent3 2 6 3" xfId="34869" xr:uid="{00000000-0005-0000-0000-0000EC470000}"/>
    <cellStyle name="Accent3 2 7" xfId="15788" xr:uid="{00000000-0005-0000-0000-0000ED470000}"/>
    <cellStyle name="Accent3 3" xfId="15789" xr:uid="{00000000-0005-0000-0000-0000EE470000}"/>
    <cellStyle name="Accent3 3 2" xfId="15790" xr:uid="{00000000-0005-0000-0000-0000EF470000}"/>
    <cellStyle name="Accent3 3 3" xfId="15791" xr:uid="{00000000-0005-0000-0000-0000F0470000}"/>
    <cellStyle name="Accent3 3 4" xfId="15792" xr:uid="{00000000-0005-0000-0000-0000F1470000}"/>
    <cellStyle name="Accent3 4" xfId="15793" xr:uid="{00000000-0005-0000-0000-0000F2470000}"/>
    <cellStyle name="Accent3 4 2" xfId="15794" xr:uid="{00000000-0005-0000-0000-0000F3470000}"/>
    <cellStyle name="Accent3 4 3" xfId="15795" xr:uid="{00000000-0005-0000-0000-0000F4470000}"/>
    <cellStyle name="Accent3 4 4" xfId="42221" xr:uid="{546F9172-594D-452D-84B2-2C8244F89611}"/>
    <cellStyle name="Accent3 5" xfId="15796" xr:uid="{00000000-0005-0000-0000-0000F5470000}"/>
    <cellStyle name="Accent3 6" xfId="15797" xr:uid="{00000000-0005-0000-0000-0000F6470000}"/>
    <cellStyle name="Accent3 7" xfId="15798" xr:uid="{00000000-0005-0000-0000-0000F7470000}"/>
    <cellStyle name="Accent3 8" xfId="15799" xr:uid="{00000000-0005-0000-0000-0000F8470000}"/>
    <cellStyle name="Accent3 9" xfId="41877" xr:uid="{009C8B62-C927-4C55-98DD-75983BAB5FF1}"/>
    <cellStyle name="Accent4 - 20%" xfId="34870" xr:uid="{00000000-0005-0000-0000-0000F9470000}"/>
    <cellStyle name="Accent4 - 40%" xfId="34871" xr:uid="{00000000-0005-0000-0000-0000FA470000}"/>
    <cellStyle name="Accent4 - 60%" xfId="34872" xr:uid="{00000000-0005-0000-0000-0000FB470000}"/>
    <cellStyle name="Accent4 10" xfId="42241" xr:uid="{FAE9934C-1528-468F-8484-2BBAF14EF4AF}"/>
    <cellStyle name="Accent4 11" xfId="42267" xr:uid="{A01BC45F-6C1B-45F8-92E0-9192CC7F9324}"/>
    <cellStyle name="Accent4 2" xfId="15800" xr:uid="{00000000-0005-0000-0000-0000FC470000}"/>
    <cellStyle name="Accent4 2 2" xfId="15801" xr:uid="{00000000-0005-0000-0000-0000FD470000}"/>
    <cellStyle name="Accent4 2 2 2" xfId="15802" xr:uid="{00000000-0005-0000-0000-0000FE470000}"/>
    <cellStyle name="Accent4 2 2 3" xfId="15803" xr:uid="{00000000-0005-0000-0000-0000FF470000}"/>
    <cellStyle name="Accent4 2 2 3 2" xfId="38775" xr:uid="{00000000-0005-0000-0000-000000480000}"/>
    <cellStyle name="Accent4 2 2 3 3" xfId="38774" xr:uid="{00000000-0005-0000-0000-000001480000}"/>
    <cellStyle name="Accent4 2 2 4" xfId="15804" xr:uid="{00000000-0005-0000-0000-000002480000}"/>
    <cellStyle name="Accent4 2 3" xfId="15805" xr:uid="{00000000-0005-0000-0000-000003480000}"/>
    <cellStyle name="Accent4 2 3 2" xfId="15806" xr:uid="{00000000-0005-0000-0000-000004480000}"/>
    <cellStyle name="Accent4 2 4" xfId="15807" xr:uid="{00000000-0005-0000-0000-000005480000}"/>
    <cellStyle name="Accent4 2 5" xfId="15808" xr:uid="{00000000-0005-0000-0000-000006480000}"/>
    <cellStyle name="Accent4 2 6" xfId="15809" xr:uid="{00000000-0005-0000-0000-000007480000}"/>
    <cellStyle name="Accent4 2 6 2" xfId="15810" xr:uid="{00000000-0005-0000-0000-000008480000}"/>
    <cellStyle name="Accent4 2 6 3" xfId="34873" xr:uid="{00000000-0005-0000-0000-000009480000}"/>
    <cellStyle name="Accent4 2 7" xfId="15811" xr:uid="{00000000-0005-0000-0000-00000A480000}"/>
    <cellStyle name="Accent4 3" xfId="15812" xr:uid="{00000000-0005-0000-0000-00000B480000}"/>
    <cellStyle name="Accent4 3 2" xfId="15813" xr:uid="{00000000-0005-0000-0000-00000C480000}"/>
    <cellStyle name="Accent4 3 3" xfId="15814" xr:uid="{00000000-0005-0000-0000-00000D480000}"/>
    <cellStyle name="Accent4 3 4" xfId="15815" xr:uid="{00000000-0005-0000-0000-00000E480000}"/>
    <cellStyle name="Accent4 4" xfId="15816" xr:uid="{00000000-0005-0000-0000-00000F480000}"/>
    <cellStyle name="Accent4 4 2" xfId="15817" xr:uid="{00000000-0005-0000-0000-000010480000}"/>
    <cellStyle name="Accent4 4 3" xfId="15818" xr:uid="{00000000-0005-0000-0000-000011480000}"/>
    <cellStyle name="Accent4 4 4" xfId="42222" xr:uid="{2BD871EA-E917-438A-9419-8BA1947EE3FA}"/>
    <cellStyle name="Accent4 5" xfId="15819" xr:uid="{00000000-0005-0000-0000-000012480000}"/>
    <cellStyle name="Accent4 5 2" xfId="42223" xr:uid="{2C592585-BF28-46AA-8E2F-D2BC5FC59C79}"/>
    <cellStyle name="Accent4 6" xfId="15820" xr:uid="{00000000-0005-0000-0000-000013480000}"/>
    <cellStyle name="Accent4 7" xfId="15821" xr:uid="{00000000-0005-0000-0000-000014480000}"/>
    <cellStyle name="Accent4 8" xfId="15822" xr:uid="{00000000-0005-0000-0000-000015480000}"/>
    <cellStyle name="Accent4 9" xfId="41878" xr:uid="{1F8C425F-D38D-4278-B660-40C148B09C27}"/>
    <cellStyle name="Accent5 - 20%" xfId="34874" xr:uid="{00000000-0005-0000-0000-000016480000}"/>
    <cellStyle name="Accent5 - 40%" xfId="34875" xr:uid="{00000000-0005-0000-0000-000017480000}"/>
    <cellStyle name="Accent5 - 60%" xfId="34876" xr:uid="{00000000-0005-0000-0000-000018480000}"/>
    <cellStyle name="Accent5 2" xfId="15823" xr:uid="{00000000-0005-0000-0000-000019480000}"/>
    <cellStyle name="Accent5 2 2" xfId="15824" xr:uid="{00000000-0005-0000-0000-00001A480000}"/>
    <cellStyle name="Accent5 2 2 2" xfId="15825" xr:uid="{00000000-0005-0000-0000-00001B480000}"/>
    <cellStyle name="Accent5 2 3" xfId="15826" xr:uid="{00000000-0005-0000-0000-00001C480000}"/>
    <cellStyle name="Accent5 2 3 2" xfId="15827" xr:uid="{00000000-0005-0000-0000-00001D480000}"/>
    <cellStyle name="Accent5 2 4" xfId="15828" xr:uid="{00000000-0005-0000-0000-00001E480000}"/>
    <cellStyle name="Accent5 2 4 2" xfId="15829" xr:uid="{00000000-0005-0000-0000-00001F480000}"/>
    <cellStyle name="Accent5 2 4 3" xfId="34877" xr:uid="{00000000-0005-0000-0000-000020480000}"/>
    <cellStyle name="Accent5 2 5" xfId="15830" xr:uid="{00000000-0005-0000-0000-000021480000}"/>
    <cellStyle name="Accent5 3" xfId="15831" xr:uid="{00000000-0005-0000-0000-000022480000}"/>
    <cellStyle name="Accent5 3 2" xfId="15832" xr:uid="{00000000-0005-0000-0000-000023480000}"/>
    <cellStyle name="Accent5 3 3" xfId="15833" xr:uid="{00000000-0005-0000-0000-000024480000}"/>
    <cellStyle name="Accent5 3 4" xfId="15834" xr:uid="{00000000-0005-0000-0000-000025480000}"/>
    <cellStyle name="Accent5 4" xfId="15835" xr:uid="{00000000-0005-0000-0000-000026480000}"/>
    <cellStyle name="Accent5 4 2" xfId="15836" xr:uid="{00000000-0005-0000-0000-000027480000}"/>
    <cellStyle name="Accent5 4 3" xfId="15837" xr:uid="{00000000-0005-0000-0000-000028480000}"/>
    <cellStyle name="Accent5 4 4" xfId="42224" xr:uid="{B8DF33FF-3AF2-40DB-AC26-8529F7EEB3AA}"/>
    <cellStyle name="Accent5 5" xfId="15838" xr:uid="{00000000-0005-0000-0000-000029480000}"/>
    <cellStyle name="Accent5 5 2" xfId="42225" xr:uid="{D83825AF-316E-45E8-ACF1-A0DD870A121E}"/>
    <cellStyle name="Accent5 6" xfId="15839" xr:uid="{00000000-0005-0000-0000-00002A480000}"/>
    <cellStyle name="Accent5 7" xfId="41879" xr:uid="{731E39AD-40FE-4A57-A145-EB8EAAF11449}"/>
    <cellStyle name="Accent5 8" xfId="42240" xr:uid="{C4F8AE21-626B-4222-B5BF-564B64740519}"/>
    <cellStyle name="Accent5 9" xfId="42268" xr:uid="{0C5B9937-91DB-462D-8819-20DF4247EAA7}"/>
    <cellStyle name="Accent6 - 20%" xfId="34878" xr:uid="{00000000-0005-0000-0000-00002B480000}"/>
    <cellStyle name="Accent6 - 40%" xfId="34879" xr:uid="{00000000-0005-0000-0000-00002C480000}"/>
    <cellStyle name="Accent6 - 60%" xfId="34880" xr:uid="{00000000-0005-0000-0000-00002D480000}"/>
    <cellStyle name="Accent6 10" xfId="42355" xr:uid="{7D27AB0A-406E-4A79-B853-5DF10F269A9B}"/>
    <cellStyle name="Accent6 11" xfId="42383" xr:uid="{1C8A2BE3-D9D5-4B24-9F1F-C40C31CD5F3A}"/>
    <cellStyle name="Accent6 2" xfId="15840" xr:uid="{00000000-0005-0000-0000-00002E480000}"/>
    <cellStyle name="Accent6 2 2" xfId="15841" xr:uid="{00000000-0005-0000-0000-00002F480000}"/>
    <cellStyle name="Accent6 2 2 2" xfId="15842" xr:uid="{00000000-0005-0000-0000-000030480000}"/>
    <cellStyle name="Accent6 2 2 3" xfId="15843" xr:uid="{00000000-0005-0000-0000-000031480000}"/>
    <cellStyle name="Accent6 2 2 3 2" xfId="38777" xr:uid="{00000000-0005-0000-0000-000032480000}"/>
    <cellStyle name="Accent6 2 2 3 3" xfId="38776" xr:uid="{00000000-0005-0000-0000-000033480000}"/>
    <cellStyle name="Accent6 2 2 4" xfId="15844" xr:uid="{00000000-0005-0000-0000-000034480000}"/>
    <cellStyle name="Accent6 2 3" xfId="15845" xr:uid="{00000000-0005-0000-0000-000035480000}"/>
    <cellStyle name="Accent6 2 3 2" xfId="15846" xr:uid="{00000000-0005-0000-0000-000036480000}"/>
    <cellStyle name="Accent6 2 4" xfId="15847" xr:uid="{00000000-0005-0000-0000-000037480000}"/>
    <cellStyle name="Accent6 2 5" xfId="15848" xr:uid="{00000000-0005-0000-0000-000038480000}"/>
    <cellStyle name="Accent6 2 6" xfId="15849" xr:uid="{00000000-0005-0000-0000-000039480000}"/>
    <cellStyle name="Accent6 2 6 2" xfId="15850" xr:uid="{00000000-0005-0000-0000-00003A480000}"/>
    <cellStyle name="Accent6 2 6 3" xfId="34881" xr:uid="{00000000-0005-0000-0000-00003B480000}"/>
    <cellStyle name="Accent6 2 7" xfId="15851" xr:uid="{00000000-0005-0000-0000-00003C480000}"/>
    <cellStyle name="Accent6 3" xfId="15852" xr:uid="{00000000-0005-0000-0000-00003D480000}"/>
    <cellStyle name="Accent6 3 2" xfId="15853" xr:uid="{00000000-0005-0000-0000-00003E480000}"/>
    <cellStyle name="Accent6 3 3" xfId="15854" xr:uid="{00000000-0005-0000-0000-00003F480000}"/>
    <cellStyle name="Accent6 3 4" xfId="15855" xr:uid="{00000000-0005-0000-0000-000040480000}"/>
    <cellStyle name="Accent6 4" xfId="15856" xr:uid="{00000000-0005-0000-0000-000041480000}"/>
    <cellStyle name="Accent6 4 2" xfId="15857" xr:uid="{00000000-0005-0000-0000-000042480000}"/>
    <cellStyle name="Accent6 4 3" xfId="15858" xr:uid="{00000000-0005-0000-0000-000043480000}"/>
    <cellStyle name="Accent6 4 4" xfId="42226" xr:uid="{7C76F8C9-E8A7-4218-BB83-B9FDDB99A62A}"/>
    <cellStyle name="Accent6 5" xfId="15859" xr:uid="{00000000-0005-0000-0000-000044480000}"/>
    <cellStyle name="Accent6 6" xfId="15860" xr:uid="{00000000-0005-0000-0000-000045480000}"/>
    <cellStyle name="Accent6 7" xfId="15861" xr:uid="{00000000-0005-0000-0000-000046480000}"/>
    <cellStyle name="Accent6 8" xfId="15862" xr:uid="{00000000-0005-0000-0000-000047480000}"/>
    <cellStyle name="Accent6 9" xfId="41880" xr:uid="{DD844395-7F01-40E3-8A66-1DD69B0E5051}"/>
    <cellStyle name="Accounting" xfId="15863" xr:uid="{00000000-0005-0000-0000-000048480000}"/>
    <cellStyle name="Agara" xfId="34882" xr:uid="{00000000-0005-0000-0000-000049480000}"/>
    <cellStyle name="Availability" xfId="15864" xr:uid="{00000000-0005-0000-0000-00004A480000}"/>
    <cellStyle name="Availability 2" xfId="15865" xr:uid="{00000000-0005-0000-0000-00004B480000}"/>
    <cellStyle name="Availability 3" xfId="15866" xr:uid="{00000000-0005-0000-0000-00004C480000}"/>
    <cellStyle name="Availability 3 2" xfId="38779" xr:uid="{00000000-0005-0000-0000-00004D480000}"/>
    <cellStyle name="Availability 3 3" xfId="38778" xr:uid="{00000000-0005-0000-0000-00004E480000}"/>
    <cellStyle name="Availability 4" xfId="15867" xr:uid="{00000000-0005-0000-0000-00004F480000}"/>
    <cellStyle name="B79812_.wvu.PrintTitlest" xfId="34883" xr:uid="{00000000-0005-0000-0000-000050480000}"/>
    <cellStyle name="Bad 2" xfId="15868" xr:uid="{00000000-0005-0000-0000-000051480000}"/>
    <cellStyle name="Bad 2 2" xfId="15869" xr:uid="{00000000-0005-0000-0000-000052480000}"/>
    <cellStyle name="Bad 2 2 2" xfId="15870" xr:uid="{00000000-0005-0000-0000-000053480000}"/>
    <cellStyle name="Bad 2 2 3" xfId="15871" xr:uid="{00000000-0005-0000-0000-000054480000}"/>
    <cellStyle name="Bad 2 2 3 2" xfId="38781" xr:uid="{00000000-0005-0000-0000-000055480000}"/>
    <cellStyle name="Bad 2 2 3 3" xfId="38780" xr:uid="{00000000-0005-0000-0000-000056480000}"/>
    <cellStyle name="Bad 2 2 4" xfId="15872" xr:uid="{00000000-0005-0000-0000-000057480000}"/>
    <cellStyle name="Bad 2 3" xfId="15873" xr:uid="{00000000-0005-0000-0000-000058480000}"/>
    <cellStyle name="Bad 2 3 2" xfId="15874" xr:uid="{00000000-0005-0000-0000-000059480000}"/>
    <cellStyle name="Bad 2 4" xfId="15875" xr:uid="{00000000-0005-0000-0000-00005A480000}"/>
    <cellStyle name="Bad 2 5" xfId="15876" xr:uid="{00000000-0005-0000-0000-00005B480000}"/>
    <cellStyle name="Bad 2 6" xfId="15877" xr:uid="{00000000-0005-0000-0000-00005C480000}"/>
    <cellStyle name="Bad 2 6 2" xfId="34884" xr:uid="{00000000-0005-0000-0000-00005D480000}"/>
    <cellStyle name="Bad 2 7" xfId="15878" xr:uid="{00000000-0005-0000-0000-00005E480000}"/>
    <cellStyle name="Bad 2 8" xfId="15879" xr:uid="{00000000-0005-0000-0000-00005F480000}"/>
    <cellStyle name="Bad 2 9" xfId="15880" xr:uid="{00000000-0005-0000-0000-000060480000}"/>
    <cellStyle name="Bad 3" xfId="15881" xr:uid="{00000000-0005-0000-0000-000061480000}"/>
    <cellStyle name="Bad 3 2" xfId="15882" xr:uid="{00000000-0005-0000-0000-000062480000}"/>
    <cellStyle name="Bad 3 2 2" xfId="15883" xr:uid="{00000000-0005-0000-0000-000063480000}"/>
    <cellStyle name="Bad 3 3" xfId="15884" xr:uid="{00000000-0005-0000-0000-000064480000}"/>
    <cellStyle name="Bad 3 4" xfId="34885" xr:uid="{00000000-0005-0000-0000-000065480000}"/>
    <cellStyle name="Bad 4" xfId="15885" xr:uid="{00000000-0005-0000-0000-000066480000}"/>
    <cellStyle name="Bad 4 2" xfId="15886" xr:uid="{00000000-0005-0000-0000-000067480000}"/>
    <cellStyle name="Bad 4 3" xfId="15887" xr:uid="{00000000-0005-0000-0000-000068480000}"/>
    <cellStyle name="Bad 4 4" xfId="15888" xr:uid="{00000000-0005-0000-0000-000069480000}"/>
    <cellStyle name="Bad 5" xfId="15889" xr:uid="{00000000-0005-0000-0000-00006A480000}"/>
    <cellStyle name="Bad 5 2" xfId="15890" xr:uid="{00000000-0005-0000-0000-00006B480000}"/>
    <cellStyle name="Bad 6" xfId="15891" xr:uid="{00000000-0005-0000-0000-00006C480000}"/>
    <cellStyle name="Bad 7" xfId="15892" xr:uid="{00000000-0005-0000-0000-00006D480000}"/>
    <cellStyle name="Bad 8" xfId="15893" xr:uid="{00000000-0005-0000-0000-00006E480000}"/>
    <cellStyle name="Bad 9" xfId="15894" xr:uid="{00000000-0005-0000-0000-00006F480000}"/>
    <cellStyle name="Black" xfId="34886" xr:uid="{00000000-0005-0000-0000-000070480000}"/>
    <cellStyle name="Blockout" xfId="15895" xr:uid="{00000000-0005-0000-0000-000071480000}"/>
    <cellStyle name="Blockout 2" xfId="34887" xr:uid="{00000000-0005-0000-0000-000072480000}"/>
    <cellStyle name="Blockout 2 2" xfId="42262" xr:uid="{BB96C56C-F821-4249-A94E-0440812AF961}"/>
    <cellStyle name="Blockout 2 3" xfId="41817" xr:uid="{8D07FDF1-B03D-434F-906A-8853C9DE3F86}"/>
    <cellStyle name="Blockout 3" xfId="42002" xr:uid="{A46DB675-FB35-42A4-A6D4-EDBBBA57CB4E}"/>
    <cellStyle name="Blockout 4" xfId="42263" xr:uid="{1953B1C7-DBB1-4152-AA79-59D039496261}"/>
    <cellStyle name="Blockout 5" xfId="41881" xr:uid="{A29BDB44-32FE-496B-8AA0-218644E562B2}"/>
    <cellStyle name="Blue" xfId="34888" xr:uid="{00000000-0005-0000-0000-000073480000}"/>
    <cellStyle name="Body" xfId="15896" xr:uid="{00000000-0005-0000-0000-000074480000}"/>
    <cellStyle name="Calc_percent" xfId="15897" xr:uid="{00000000-0005-0000-0000-000075480000}"/>
    <cellStyle name="Calculated Cell" xfId="15898" xr:uid="{00000000-0005-0000-0000-000076480000}"/>
    <cellStyle name="Calculated Cell 2" xfId="15899" xr:uid="{00000000-0005-0000-0000-000077480000}"/>
    <cellStyle name="Calculated Cell 2 10" xfId="15900" xr:uid="{00000000-0005-0000-0000-000078480000}"/>
    <cellStyle name="Calculated Cell 2 10 2" xfId="38782" xr:uid="{00000000-0005-0000-0000-000079480000}"/>
    <cellStyle name="Calculated Cell 2 2" xfId="15901" xr:uid="{00000000-0005-0000-0000-00007A480000}"/>
    <cellStyle name="Calculated Cell 2 2 2" xfId="15902" xr:uid="{00000000-0005-0000-0000-00007B480000}"/>
    <cellStyle name="Calculated Cell 2 2 2 2" xfId="15903" xr:uid="{00000000-0005-0000-0000-00007C480000}"/>
    <cellStyle name="Calculated Cell 2 2 2 2 2" xfId="15904" xr:uid="{00000000-0005-0000-0000-00007D480000}"/>
    <cellStyle name="Calculated Cell 2 2 2 3" xfId="15905" xr:uid="{00000000-0005-0000-0000-00007E480000}"/>
    <cellStyle name="Calculated Cell 2 2 3" xfId="15906" xr:uid="{00000000-0005-0000-0000-00007F480000}"/>
    <cellStyle name="Calculated Cell 2 2 3 2" xfId="15907" xr:uid="{00000000-0005-0000-0000-000080480000}"/>
    <cellStyle name="Calculated Cell 2 2 4" xfId="15908" xr:uid="{00000000-0005-0000-0000-000081480000}"/>
    <cellStyle name="Calculated Cell 2 2 4 2" xfId="15909" xr:uid="{00000000-0005-0000-0000-000082480000}"/>
    <cellStyle name="Calculated Cell 2 2 5" xfId="15910" xr:uid="{00000000-0005-0000-0000-000083480000}"/>
    <cellStyle name="Calculated Cell 2 2 5 2" xfId="15911" xr:uid="{00000000-0005-0000-0000-000084480000}"/>
    <cellStyle name="Calculated Cell 2 2 5 3" xfId="15912" xr:uid="{00000000-0005-0000-0000-000085480000}"/>
    <cellStyle name="Calculated Cell 2 2 6" xfId="15913" xr:uid="{00000000-0005-0000-0000-000086480000}"/>
    <cellStyle name="Calculated Cell 2 2 6 2" xfId="38783" xr:uid="{00000000-0005-0000-0000-000087480000}"/>
    <cellStyle name="Calculated Cell 2 2 7" xfId="38784" xr:uid="{00000000-0005-0000-0000-000088480000}"/>
    <cellStyle name="Calculated Cell 2 3" xfId="15914" xr:uid="{00000000-0005-0000-0000-000089480000}"/>
    <cellStyle name="Calculated Cell 2 3 2" xfId="15915" xr:uid="{00000000-0005-0000-0000-00008A480000}"/>
    <cellStyle name="Calculated Cell 2 3 2 2" xfId="15916" xr:uid="{00000000-0005-0000-0000-00008B480000}"/>
    <cellStyle name="Calculated Cell 2 3 2 2 2" xfId="15917" xr:uid="{00000000-0005-0000-0000-00008C480000}"/>
    <cellStyle name="Calculated Cell 2 3 2 2 2 2" xfId="15918" xr:uid="{00000000-0005-0000-0000-00008D480000}"/>
    <cellStyle name="Calculated Cell 2 3 2 2 2 3" xfId="15919" xr:uid="{00000000-0005-0000-0000-00008E480000}"/>
    <cellStyle name="Calculated Cell 2 3 2 2 3" xfId="15920" xr:uid="{00000000-0005-0000-0000-00008F480000}"/>
    <cellStyle name="Calculated Cell 2 3 2 2 4" xfId="15921" xr:uid="{00000000-0005-0000-0000-000090480000}"/>
    <cellStyle name="Calculated Cell 2 3 2 3" xfId="15922" xr:uid="{00000000-0005-0000-0000-000091480000}"/>
    <cellStyle name="Calculated Cell 2 3 2 4" xfId="15923" xr:uid="{00000000-0005-0000-0000-000092480000}"/>
    <cellStyle name="Calculated Cell 2 3 3" xfId="15924" xr:uid="{00000000-0005-0000-0000-000093480000}"/>
    <cellStyle name="Calculated Cell 2 3 3 2" xfId="15925" xr:uid="{00000000-0005-0000-0000-000094480000}"/>
    <cellStyle name="Calculated Cell 2 3 3 2 2" xfId="15926" xr:uid="{00000000-0005-0000-0000-000095480000}"/>
    <cellStyle name="Calculated Cell 2 3 3 2 2 2" xfId="15927" xr:uid="{00000000-0005-0000-0000-000096480000}"/>
    <cellStyle name="Calculated Cell 2 3 3 2 2 3" xfId="15928" xr:uid="{00000000-0005-0000-0000-000097480000}"/>
    <cellStyle name="Calculated Cell 2 3 3 2 3" xfId="15929" xr:uid="{00000000-0005-0000-0000-000098480000}"/>
    <cellStyle name="Calculated Cell 2 3 3 2 4" xfId="15930" xr:uid="{00000000-0005-0000-0000-000099480000}"/>
    <cellStyle name="Calculated Cell 2 3 3 3" xfId="15931" xr:uid="{00000000-0005-0000-0000-00009A480000}"/>
    <cellStyle name="Calculated Cell 2 3 4" xfId="15932" xr:uid="{00000000-0005-0000-0000-00009B480000}"/>
    <cellStyle name="Calculated Cell 2 3 4 2" xfId="15933" xr:uid="{00000000-0005-0000-0000-00009C480000}"/>
    <cellStyle name="Calculated Cell 2 3 4 2 2" xfId="15934" xr:uid="{00000000-0005-0000-0000-00009D480000}"/>
    <cellStyle name="Calculated Cell 2 3 4 2 3" xfId="15935" xr:uid="{00000000-0005-0000-0000-00009E480000}"/>
    <cellStyle name="Calculated Cell 2 3 4 3" xfId="15936" xr:uid="{00000000-0005-0000-0000-00009F480000}"/>
    <cellStyle name="Calculated Cell 2 3 4 4" xfId="15937" xr:uid="{00000000-0005-0000-0000-0000A0480000}"/>
    <cellStyle name="Calculated Cell 2 3 5" xfId="15938" xr:uid="{00000000-0005-0000-0000-0000A1480000}"/>
    <cellStyle name="Calculated Cell 2 3 5 2" xfId="15939" xr:uid="{00000000-0005-0000-0000-0000A2480000}"/>
    <cellStyle name="Calculated Cell 2 3 5 3" xfId="15940" xr:uid="{00000000-0005-0000-0000-0000A3480000}"/>
    <cellStyle name="Calculated Cell 2 3 6" xfId="15941" xr:uid="{00000000-0005-0000-0000-0000A4480000}"/>
    <cellStyle name="Calculated Cell 2 3 6 2" xfId="38785" xr:uid="{00000000-0005-0000-0000-0000A5480000}"/>
    <cellStyle name="Calculated Cell 2 4" xfId="15942" xr:uid="{00000000-0005-0000-0000-0000A6480000}"/>
    <cellStyle name="Calculated Cell 2 4 2" xfId="15943" xr:uid="{00000000-0005-0000-0000-0000A7480000}"/>
    <cellStyle name="Calculated Cell 2 4 2 2" xfId="15944" xr:uid="{00000000-0005-0000-0000-0000A8480000}"/>
    <cellStyle name="Calculated Cell 2 4 2 2 2" xfId="15945" xr:uid="{00000000-0005-0000-0000-0000A9480000}"/>
    <cellStyle name="Calculated Cell 2 4 2 3" xfId="15946" xr:uid="{00000000-0005-0000-0000-0000AA480000}"/>
    <cellStyle name="Calculated Cell 2 4 2 4" xfId="15947" xr:uid="{00000000-0005-0000-0000-0000AB480000}"/>
    <cellStyle name="Calculated Cell 2 4 3" xfId="15948" xr:uid="{00000000-0005-0000-0000-0000AC480000}"/>
    <cellStyle name="Calculated Cell 2 4 3 2" xfId="15949" xr:uid="{00000000-0005-0000-0000-0000AD480000}"/>
    <cellStyle name="Calculated Cell 2 4 4" xfId="15950" xr:uid="{00000000-0005-0000-0000-0000AE480000}"/>
    <cellStyle name="Calculated Cell 2 4 4 2" xfId="15951" xr:uid="{00000000-0005-0000-0000-0000AF480000}"/>
    <cellStyle name="Calculated Cell 2 4 4 2 2" xfId="15952" xr:uid="{00000000-0005-0000-0000-0000B0480000}"/>
    <cellStyle name="Calculated Cell 2 4 4 2 3" xfId="15953" xr:uid="{00000000-0005-0000-0000-0000B1480000}"/>
    <cellStyle name="Calculated Cell 2 4 4 3" xfId="15954" xr:uid="{00000000-0005-0000-0000-0000B2480000}"/>
    <cellStyle name="Calculated Cell 2 4 4 4" xfId="15955" xr:uid="{00000000-0005-0000-0000-0000B3480000}"/>
    <cellStyle name="Calculated Cell 2 4 5" xfId="15956" xr:uid="{00000000-0005-0000-0000-0000B4480000}"/>
    <cellStyle name="Calculated Cell 2 5" xfId="15957" xr:uid="{00000000-0005-0000-0000-0000B5480000}"/>
    <cellStyle name="Calculated Cell 2 5 2" xfId="15958" xr:uid="{00000000-0005-0000-0000-0000B6480000}"/>
    <cellStyle name="Calculated Cell 2 5 2 2" xfId="15959" xr:uid="{00000000-0005-0000-0000-0000B7480000}"/>
    <cellStyle name="Calculated Cell 2 5 2 2 2" xfId="15960" xr:uid="{00000000-0005-0000-0000-0000B8480000}"/>
    <cellStyle name="Calculated Cell 2 5 2 2 3" xfId="15961" xr:uid="{00000000-0005-0000-0000-0000B9480000}"/>
    <cellStyle name="Calculated Cell 2 5 2 3" xfId="15962" xr:uid="{00000000-0005-0000-0000-0000BA480000}"/>
    <cellStyle name="Calculated Cell 2 5 2 4" xfId="15963" xr:uid="{00000000-0005-0000-0000-0000BB480000}"/>
    <cellStyle name="Calculated Cell 2 5 3" xfId="15964" xr:uid="{00000000-0005-0000-0000-0000BC480000}"/>
    <cellStyle name="Calculated Cell 2 6" xfId="15965" xr:uid="{00000000-0005-0000-0000-0000BD480000}"/>
    <cellStyle name="Calculated Cell 2 6 2" xfId="15966" xr:uid="{00000000-0005-0000-0000-0000BE480000}"/>
    <cellStyle name="Calculated Cell 2 7" xfId="15967" xr:uid="{00000000-0005-0000-0000-0000BF480000}"/>
    <cellStyle name="Calculated Cell 2 7 2" xfId="15968" xr:uid="{00000000-0005-0000-0000-0000C0480000}"/>
    <cellStyle name="Calculated Cell 2 8" xfId="15969" xr:uid="{00000000-0005-0000-0000-0000C1480000}"/>
    <cellStyle name="Calculated Cell 2 8 2" xfId="15970" xr:uid="{00000000-0005-0000-0000-0000C2480000}"/>
    <cellStyle name="Calculated Cell 2 8 2 2" xfId="15971" xr:uid="{00000000-0005-0000-0000-0000C3480000}"/>
    <cellStyle name="Calculated Cell 2 8 2 3" xfId="15972" xr:uid="{00000000-0005-0000-0000-0000C4480000}"/>
    <cellStyle name="Calculated Cell 2 8 3" xfId="15973" xr:uid="{00000000-0005-0000-0000-0000C5480000}"/>
    <cellStyle name="Calculated Cell 2 8 4" xfId="15974" xr:uid="{00000000-0005-0000-0000-0000C6480000}"/>
    <cellStyle name="Calculated Cell 2 9" xfId="15975" xr:uid="{00000000-0005-0000-0000-0000C7480000}"/>
    <cellStyle name="Calculated Cell 2 9 2" xfId="15976" xr:uid="{00000000-0005-0000-0000-0000C8480000}"/>
    <cellStyle name="Calculated Cell 2 9 3" xfId="15977" xr:uid="{00000000-0005-0000-0000-0000C9480000}"/>
    <cellStyle name="Calculated Cell 3" xfId="15978" xr:uid="{00000000-0005-0000-0000-0000CA480000}"/>
    <cellStyle name="Calculated Cell 3 2" xfId="15979" xr:uid="{00000000-0005-0000-0000-0000CB480000}"/>
    <cellStyle name="Calculated Cell 3 2 2" xfId="15980" xr:uid="{00000000-0005-0000-0000-0000CC480000}"/>
    <cellStyle name="Calculated Cell 3 2 2 2" xfId="15981" xr:uid="{00000000-0005-0000-0000-0000CD480000}"/>
    <cellStyle name="Calculated Cell 3 2 2 2 2" xfId="15982" xr:uid="{00000000-0005-0000-0000-0000CE480000}"/>
    <cellStyle name="Calculated Cell 3 2 2 3" xfId="15983" xr:uid="{00000000-0005-0000-0000-0000CF480000}"/>
    <cellStyle name="Calculated Cell 3 2 2 4" xfId="15984" xr:uid="{00000000-0005-0000-0000-0000D0480000}"/>
    <cellStyle name="Calculated Cell 3 2 3" xfId="15985" xr:uid="{00000000-0005-0000-0000-0000D1480000}"/>
    <cellStyle name="Calculated Cell 3 2 3 2" xfId="15986" xr:uid="{00000000-0005-0000-0000-0000D2480000}"/>
    <cellStyle name="Calculated Cell 3 2 4" xfId="15987" xr:uid="{00000000-0005-0000-0000-0000D3480000}"/>
    <cellStyle name="Calculated Cell 3 2 4 2" xfId="15988" xr:uid="{00000000-0005-0000-0000-0000D4480000}"/>
    <cellStyle name="Calculated Cell 3 2 4 3" xfId="15989" xr:uid="{00000000-0005-0000-0000-0000D5480000}"/>
    <cellStyle name="Calculated Cell 3 2 5" xfId="15990" xr:uid="{00000000-0005-0000-0000-0000D6480000}"/>
    <cellStyle name="Calculated Cell 3 2 6" xfId="38786" xr:uid="{00000000-0005-0000-0000-0000D7480000}"/>
    <cellStyle name="Calculated Cell 3 3" xfId="15991" xr:uid="{00000000-0005-0000-0000-0000D8480000}"/>
    <cellStyle name="Calculated Cell 3 3 2" xfId="15992" xr:uid="{00000000-0005-0000-0000-0000D9480000}"/>
    <cellStyle name="Calculated Cell 3 4" xfId="15993" xr:uid="{00000000-0005-0000-0000-0000DA480000}"/>
    <cellStyle name="Calculated Cell 3 4 2" xfId="15994" xr:uid="{00000000-0005-0000-0000-0000DB480000}"/>
    <cellStyle name="Calculated Cell 3 5" xfId="15995" xr:uid="{00000000-0005-0000-0000-0000DC480000}"/>
    <cellStyle name="Calculated Cell 4" xfId="15996" xr:uid="{00000000-0005-0000-0000-0000DD480000}"/>
    <cellStyle name="Calculated Cell 4 2" xfId="15997" xr:uid="{00000000-0005-0000-0000-0000DE480000}"/>
    <cellStyle name="Calculated Cell 4 2 2" xfId="15998" xr:uid="{00000000-0005-0000-0000-0000DF480000}"/>
    <cellStyle name="Calculated Cell 4 2 2 2" xfId="15999" xr:uid="{00000000-0005-0000-0000-0000E0480000}"/>
    <cellStyle name="Calculated Cell 4 2 2 3" xfId="16000" xr:uid="{00000000-0005-0000-0000-0000E1480000}"/>
    <cellStyle name="Calculated Cell 4 2 3" xfId="16001" xr:uid="{00000000-0005-0000-0000-0000E2480000}"/>
    <cellStyle name="Calculated Cell 4 2 3 2" xfId="38787" xr:uid="{00000000-0005-0000-0000-0000E3480000}"/>
    <cellStyle name="Calculated Cell 4 2 4" xfId="38788" xr:uid="{00000000-0005-0000-0000-0000E4480000}"/>
    <cellStyle name="Calculated Cell 4 3" xfId="16002" xr:uid="{00000000-0005-0000-0000-0000E5480000}"/>
    <cellStyle name="Calculated Cell 4 3 2" xfId="16003" xr:uid="{00000000-0005-0000-0000-0000E6480000}"/>
    <cellStyle name="Calculated Cell 4 4" xfId="16004" xr:uid="{00000000-0005-0000-0000-0000E7480000}"/>
    <cellStyle name="Calculated Cell 4 4 2" xfId="16005" xr:uid="{00000000-0005-0000-0000-0000E8480000}"/>
    <cellStyle name="Calculated Cell 4 5" xfId="16006" xr:uid="{00000000-0005-0000-0000-0000E9480000}"/>
    <cellStyle name="Calculated Cell 4 5 2" xfId="16007" xr:uid="{00000000-0005-0000-0000-0000EA480000}"/>
    <cellStyle name="Calculated Cell 4 5 3" xfId="16008" xr:uid="{00000000-0005-0000-0000-0000EB480000}"/>
    <cellStyle name="Calculated Cell 4 6" xfId="16009" xr:uid="{00000000-0005-0000-0000-0000EC480000}"/>
    <cellStyle name="Calculated Cell 4 6 2" xfId="38789" xr:uid="{00000000-0005-0000-0000-0000ED480000}"/>
    <cellStyle name="Calculated Cell 4 7" xfId="38790" xr:uid="{00000000-0005-0000-0000-0000EE480000}"/>
    <cellStyle name="Calculated Cell 5" xfId="16010" xr:uid="{00000000-0005-0000-0000-0000EF480000}"/>
    <cellStyle name="Calculated Cell 5 2" xfId="16011" xr:uid="{00000000-0005-0000-0000-0000F0480000}"/>
    <cellStyle name="Calculated Cell 5 2 2" xfId="16012" xr:uid="{00000000-0005-0000-0000-0000F1480000}"/>
    <cellStyle name="Calculated Cell 5 2 2 2" xfId="16013" xr:uid="{00000000-0005-0000-0000-0000F2480000}"/>
    <cellStyle name="Calculated Cell 5 2 2 3" xfId="16014" xr:uid="{00000000-0005-0000-0000-0000F3480000}"/>
    <cellStyle name="Calculated Cell 5 2 3" xfId="16015" xr:uid="{00000000-0005-0000-0000-0000F4480000}"/>
    <cellStyle name="Calculated Cell 5 2 3 2" xfId="38791" xr:uid="{00000000-0005-0000-0000-0000F5480000}"/>
    <cellStyle name="Calculated Cell 5 2 4" xfId="38792" xr:uid="{00000000-0005-0000-0000-0000F6480000}"/>
    <cellStyle name="Calculated Cell 5 3" xfId="16016" xr:uid="{00000000-0005-0000-0000-0000F7480000}"/>
    <cellStyle name="Calculated Cell 5 3 2" xfId="16017" xr:uid="{00000000-0005-0000-0000-0000F8480000}"/>
    <cellStyle name="Calculated Cell 5 4" xfId="16018" xr:uid="{00000000-0005-0000-0000-0000F9480000}"/>
    <cellStyle name="Calculated Cell 5 4 2" xfId="16019" xr:uid="{00000000-0005-0000-0000-0000FA480000}"/>
    <cellStyle name="Calculated Cell 5 5" xfId="16020" xr:uid="{00000000-0005-0000-0000-0000FB480000}"/>
    <cellStyle name="Calculated Cell 5 5 2" xfId="16021" xr:uid="{00000000-0005-0000-0000-0000FC480000}"/>
    <cellStyle name="Calculated Cell 5 5 3" xfId="16022" xr:uid="{00000000-0005-0000-0000-0000FD480000}"/>
    <cellStyle name="Calculated Cell 5 6" xfId="16023" xr:uid="{00000000-0005-0000-0000-0000FE480000}"/>
    <cellStyle name="Calculated Cell 5 6 2" xfId="38793" xr:uid="{00000000-0005-0000-0000-0000FF480000}"/>
    <cellStyle name="Calculated Cell 5 7" xfId="38794" xr:uid="{00000000-0005-0000-0000-000000490000}"/>
    <cellStyle name="Calculated Cell 6" xfId="16024" xr:uid="{00000000-0005-0000-0000-000001490000}"/>
    <cellStyle name="Calculated Cell 6 2" xfId="16025" xr:uid="{00000000-0005-0000-0000-000002490000}"/>
    <cellStyle name="Calculated Cell 6 2 2" xfId="16026" xr:uid="{00000000-0005-0000-0000-000003490000}"/>
    <cellStyle name="Calculated Cell 6 3" xfId="16027" xr:uid="{00000000-0005-0000-0000-000004490000}"/>
    <cellStyle name="Calculated Cell 6 3 2" xfId="16028" xr:uid="{00000000-0005-0000-0000-000005490000}"/>
    <cellStyle name="Calculated Cell 6 4" xfId="16029" xr:uid="{00000000-0005-0000-0000-000006490000}"/>
    <cellStyle name="Calculated Cell 7" xfId="16030" xr:uid="{00000000-0005-0000-0000-000007490000}"/>
    <cellStyle name="Calculated Cell 7 2" xfId="16031" xr:uid="{00000000-0005-0000-0000-000008490000}"/>
    <cellStyle name="Calculated Cell 8" xfId="16032" xr:uid="{00000000-0005-0000-0000-000009490000}"/>
    <cellStyle name="Calculated Cell 8 2" xfId="16033" xr:uid="{00000000-0005-0000-0000-00000A490000}"/>
    <cellStyle name="Calculated Cell 9" xfId="16034" xr:uid="{00000000-0005-0000-0000-00000B490000}"/>
    <cellStyle name="Calculation 10" xfId="16035" xr:uid="{00000000-0005-0000-0000-00000C490000}"/>
    <cellStyle name="Calculation 2" xfId="16036" xr:uid="{00000000-0005-0000-0000-00000D490000}"/>
    <cellStyle name="Calculation 2 10" xfId="34889" xr:uid="{00000000-0005-0000-0000-00000E490000}"/>
    <cellStyle name="Calculation 2 10 2" xfId="41050" xr:uid="{00000000-0005-0000-0000-00000F490000}"/>
    <cellStyle name="Calculation 2 11" xfId="41052" xr:uid="{00000000-0005-0000-0000-000010490000}"/>
    <cellStyle name="Calculation 2 2" xfId="16037" xr:uid="{00000000-0005-0000-0000-000011490000}"/>
    <cellStyle name="Calculation 2 2 10" xfId="16038" xr:uid="{00000000-0005-0000-0000-000012490000}"/>
    <cellStyle name="Calculation 2 2 10 2" xfId="16039" xr:uid="{00000000-0005-0000-0000-000013490000}"/>
    <cellStyle name="Calculation 2 2 10 2 2" xfId="16040" xr:uid="{00000000-0005-0000-0000-000014490000}"/>
    <cellStyle name="Calculation 2 2 10 2 3" xfId="41099" xr:uid="{00000000-0005-0000-0000-000015490000}"/>
    <cellStyle name="Calculation 2 2 10 3" xfId="16041" xr:uid="{00000000-0005-0000-0000-000016490000}"/>
    <cellStyle name="Calculation 2 2 10 4" xfId="38795" xr:uid="{00000000-0005-0000-0000-000017490000}"/>
    <cellStyle name="Calculation 2 2 10 5" xfId="41098" xr:uid="{00000000-0005-0000-0000-000018490000}"/>
    <cellStyle name="Calculation 2 2 11" xfId="16042" xr:uid="{00000000-0005-0000-0000-000019490000}"/>
    <cellStyle name="Calculation 2 2 11 2" xfId="16043" xr:uid="{00000000-0005-0000-0000-00001A490000}"/>
    <cellStyle name="Calculation 2 2 11 3" xfId="41100" xr:uid="{00000000-0005-0000-0000-00001B490000}"/>
    <cellStyle name="Calculation 2 2 12" xfId="16044" xr:uid="{00000000-0005-0000-0000-00001C490000}"/>
    <cellStyle name="Calculation 2 2 12 2" xfId="41101" xr:uid="{00000000-0005-0000-0000-00001D490000}"/>
    <cellStyle name="Calculation 2 2 13" xfId="41049" xr:uid="{00000000-0005-0000-0000-00001E490000}"/>
    <cellStyle name="Calculation 2 2 2" xfId="16045" xr:uid="{00000000-0005-0000-0000-00001F490000}"/>
    <cellStyle name="Calculation 2 2 2 2" xfId="16046" xr:uid="{00000000-0005-0000-0000-000020490000}"/>
    <cellStyle name="Calculation 2 2 2 2 2" xfId="16047" xr:uid="{00000000-0005-0000-0000-000021490000}"/>
    <cellStyle name="Calculation 2 2 2 2 2 2" xfId="16048" xr:uid="{00000000-0005-0000-0000-000022490000}"/>
    <cellStyle name="Calculation 2 2 2 2 2 2 2" xfId="16049" xr:uid="{00000000-0005-0000-0000-000023490000}"/>
    <cellStyle name="Calculation 2 2 2 2 2 2 3" xfId="34893" xr:uid="{00000000-0005-0000-0000-000024490000}"/>
    <cellStyle name="Calculation 2 2 2 2 2 2 4" xfId="41045" xr:uid="{00000000-0005-0000-0000-000025490000}"/>
    <cellStyle name="Calculation 2 2 2 2 2 3" xfId="16050" xr:uid="{00000000-0005-0000-0000-000026490000}"/>
    <cellStyle name="Calculation 2 2 2 2 2 3 2" xfId="16051" xr:uid="{00000000-0005-0000-0000-000027490000}"/>
    <cellStyle name="Calculation 2 2 2 2 2 4" xfId="16052" xr:uid="{00000000-0005-0000-0000-000028490000}"/>
    <cellStyle name="Calculation 2 2 2 2 2 5" xfId="34892" xr:uid="{00000000-0005-0000-0000-000029490000}"/>
    <cellStyle name="Calculation 2 2 2 2 2 6" xfId="41046" xr:uid="{00000000-0005-0000-0000-00002A490000}"/>
    <cellStyle name="Calculation 2 2 2 2 3" xfId="16053" xr:uid="{00000000-0005-0000-0000-00002B490000}"/>
    <cellStyle name="Calculation 2 2 2 2 3 2" xfId="16054" xr:uid="{00000000-0005-0000-0000-00002C490000}"/>
    <cellStyle name="Calculation 2 2 2 2 3 2 2" xfId="16055" xr:uid="{00000000-0005-0000-0000-00002D490000}"/>
    <cellStyle name="Calculation 2 2 2 2 3 2 3" xfId="34895" xr:uid="{00000000-0005-0000-0000-00002E490000}"/>
    <cellStyle name="Calculation 2 2 2 2 3 2 4" xfId="36205" xr:uid="{00000000-0005-0000-0000-00002F490000}"/>
    <cellStyle name="Calculation 2 2 2 2 3 3" xfId="16056" xr:uid="{00000000-0005-0000-0000-000030490000}"/>
    <cellStyle name="Calculation 2 2 2 2 3 4" xfId="34894" xr:uid="{00000000-0005-0000-0000-000031490000}"/>
    <cellStyle name="Calculation 2 2 2 2 3 5" xfId="36206" xr:uid="{00000000-0005-0000-0000-000032490000}"/>
    <cellStyle name="Calculation 2 2 2 2 4" xfId="16057" xr:uid="{00000000-0005-0000-0000-000033490000}"/>
    <cellStyle name="Calculation 2 2 2 2 4 2" xfId="34896" xr:uid="{00000000-0005-0000-0000-000034490000}"/>
    <cellStyle name="Calculation 2 2 2 2 4 3" xfId="36204" xr:uid="{00000000-0005-0000-0000-000035490000}"/>
    <cellStyle name="Calculation 2 2 2 2 5" xfId="34891" xr:uid="{00000000-0005-0000-0000-000036490000}"/>
    <cellStyle name="Calculation 2 2 2 2 6" xfId="41047" xr:uid="{00000000-0005-0000-0000-000037490000}"/>
    <cellStyle name="Calculation 2 2 2 3" xfId="16058" xr:uid="{00000000-0005-0000-0000-000038490000}"/>
    <cellStyle name="Calculation 2 2 2 3 2" xfId="16059" xr:uid="{00000000-0005-0000-0000-000039490000}"/>
    <cellStyle name="Calculation 2 2 2 3 2 2" xfId="16060" xr:uid="{00000000-0005-0000-0000-00003A490000}"/>
    <cellStyle name="Calculation 2 2 2 3 2 3" xfId="34898" xr:uid="{00000000-0005-0000-0000-00003B490000}"/>
    <cellStyle name="Calculation 2 2 2 3 2 4" xfId="41042" xr:uid="{00000000-0005-0000-0000-00003C490000}"/>
    <cellStyle name="Calculation 2 2 2 3 3" xfId="16061" xr:uid="{00000000-0005-0000-0000-00003D490000}"/>
    <cellStyle name="Calculation 2 2 2 3 3 2" xfId="41102" xr:uid="{00000000-0005-0000-0000-00003E490000}"/>
    <cellStyle name="Calculation 2 2 2 3 4" xfId="34897" xr:uid="{00000000-0005-0000-0000-00003F490000}"/>
    <cellStyle name="Calculation 2 2 2 3 5" xfId="41044" xr:uid="{00000000-0005-0000-0000-000040490000}"/>
    <cellStyle name="Calculation 2 2 2 4" xfId="16062" xr:uid="{00000000-0005-0000-0000-000041490000}"/>
    <cellStyle name="Calculation 2 2 2 4 2" xfId="16063" xr:uid="{00000000-0005-0000-0000-000042490000}"/>
    <cellStyle name="Calculation 2 2 2 4 2 2" xfId="16064" xr:uid="{00000000-0005-0000-0000-000043490000}"/>
    <cellStyle name="Calculation 2 2 2 4 2 3" xfId="34900" xr:uid="{00000000-0005-0000-0000-000044490000}"/>
    <cellStyle name="Calculation 2 2 2 4 2 4" xfId="41039" xr:uid="{00000000-0005-0000-0000-000045490000}"/>
    <cellStyle name="Calculation 2 2 2 4 3" xfId="16065" xr:uid="{00000000-0005-0000-0000-000046490000}"/>
    <cellStyle name="Calculation 2 2 2 4 3 2" xfId="16066" xr:uid="{00000000-0005-0000-0000-000047490000}"/>
    <cellStyle name="Calculation 2 2 2 4 4" xfId="16067" xr:uid="{00000000-0005-0000-0000-000048490000}"/>
    <cellStyle name="Calculation 2 2 2 4 5" xfId="34899" xr:uid="{00000000-0005-0000-0000-000049490000}"/>
    <cellStyle name="Calculation 2 2 2 4 6" xfId="41040" xr:uid="{00000000-0005-0000-0000-00004A490000}"/>
    <cellStyle name="Calculation 2 2 2 5" xfId="16068" xr:uid="{00000000-0005-0000-0000-00004B490000}"/>
    <cellStyle name="Calculation 2 2 2 5 2" xfId="16069" xr:uid="{00000000-0005-0000-0000-00004C490000}"/>
    <cellStyle name="Calculation 2 2 2 5 2 2" xfId="16070" xr:uid="{00000000-0005-0000-0000-00004D490000}"/>
    <cellStyle name="Calculation 2 2 2 5 2 3" xfId="41103" xr:uid="{00000000-0005-0000-0000-00004E490000}"/>
    <cellStyle name="Calculation 2 2 2 5 3" xfId="16071" xr:uid="{00000000-0005-0000-0000-00004F490000}"/>
    <cellStyle name="Calculation 2 2 2 5 4" xfId="34901" xr:uid="{00000000-0005-0000-0000-000050490000}"/>
    <cellStyle name="Calculation 2 2 2 5 5" xfId="41038" xr:uid="{00000000-0005-0000-0000-000051490000}"/>
    <cellStyle name="Calculation 2 2 2 6" xfId="16072" xr:uid="{00000000-0005-0000-0000-000052490000}"/>
    <cellStyle name="Calculation 2 2 2 7" xfId="34890" xr:uid="{00000000-0005-0000-0000-000053490000}"/>
    <cellStyle name="Calculation 2 2 2 8" xfId="41048" xr:uid="{00000000-0005-0000-0000-000054490000}"/>
    <cellStyle name="Calculation 2 2 3" xfId="16073" xr:uid="{00000000-0005-0000-0000-000055490000}"/>
    <cellStyle name="Calculation 2 2 3 2" xfId="16074" xr:uid="{00000000-0005-0000-0000-000056490000}"/>
    <cellStyle name="Calculation 2 2 3 2 2" xfId="16075" xr:uid="{00000000-0005-0000-0000-000057490000}"/>
    <cellStyle name="Calculation 2 2 3 2 2 2" xfId="16076" xr:uid="{00000000-0005-0000-0000-000058490000}"/>
    <cellStyle name="Calculation 2 2 3 2 2 2 2" xfId="16077" xr:uid="{00000000-0005-0000-0000-000059490000}"/>
    <cellStyle name="Calculation 2 2 3 2 2 2 3" xfId="34905" xr:uid="{00000000-0005-0000-0000-00005A490000}"/>
    <cellStyle name="Calculation 2 2 3 2 2 2 4" xfId="41034" xr:uid="{00000000-0005-0000-0000-00005B490000}"/>
    <cellStyle name="Calculation 2 2 3 2 2 3" xfId="16078" xr:uid="{00000000-0005-0000-0000-00005C490000}"/>
    <cellStyle name="Calculation 2 2 3 2 2 3 2" xfId="16079" xr:uid="{00000000-0005-0000-0000-00005D490000}"/>
    <cellStyle name="Calculation 2 2 3 2 2 4" xfId="16080" xr:uid="{00000000-0005-0000-0000-00005E490000}"/>
    <cellStyle name="Calculation 2 2 3 2 2 5" xfId="34904" xr:uid="{00000000-0005-0000-0000-00005F490000}"/>
    <cellStyle name="Calculation 2 2 3 2 2 6" xfId="41035" xr:uid="{00000000-0005-0000-0000-000060490000}"/>
    <cellStyle name="Calculation 2 2 3 2 3" xfId="16081" xr:uid="{00000000-0005-0000-0000-000061490000}"/>
    <cellStyle name="Calculation 2 2 3 2 3 2" xfId="16082" xr:uid="{00000000-0005-0000-0000-000062490000}"/>
    <cellStyle name="Calculation 2 2 3 2 3 2 2" xfId="16083" xr:uid="{00000000-0005-0000-0000-000063490000}"/>
    <cellStyle name="Calculation 2 2 3 2 3 2 3" xfId="34907" xr:uid="{00000000-0005-0000-0000-000064490000}"/>
    <cellStyle name="Calculation 2 2 3 2 3 2 4" xfId="41032" xr:uid="{00000000-0005-0000-0000-000065490000}"/>
    <cellStyle name="Calculation 2 2 3 2 3 3" xfId="16084" xr:uid="{00000000-0005-0000-0000-000066490000}"/>
    <cellStyle name="Calculation 2 2 3 2 3 4" xfId="34906" xr:uid="{00000000-0005-0000-0000-000067490000}"/>
    <cellStyle name="Calculation 2 2 3 2 3 5" xfId="41033" xr:uid="{00000000-0005-0000-0000-000068490000}"/>
    <cellStyle name="Calculation 2 2 3 2 4" xfId="16085" xr:uid="{00000000-0005-0000-0000-000069490000}"/>
    <cellStyle name="Calculation 2 2 3 2 4 2" xfId="34908" xr:uid="{00000000-0005-0000-0000-00006A490000}"/>
    <cellStyle name="Calculation 2 2 3 2 4 3" xfId="41031" xr:uid="{00000000-0005-0000-0000-00006B490000}"/>
    <cellStyle name="Calculation 2 2 3 2 5" xfId="34903" xr:uid="{00000000-0005-0000-0000-00006C490000}"/>
    <cellStyle name="Calculation 2 2 3 2 6" xfId="41036" xr:uid="{00000000-0005-0000-0000-00006D490000}"/>
    <cellStyle name="Calculation 2 2 3 3" xfId="16086" xr:uid="{00000000-0005-0000-0000-00006E490000}"/>
    <cellStyle name="Calculation 2 2 3 3 2" xfId="16087" xr:uid="{00000000-0005-0000-0000-00006F490000}"/>
    <cellStyle name="Calculation 2 2 3 3 2 2" xfId="16088" xr:uid="{00000000-0005-0000-0000-000070490000}"/>
    <cellStyle name="Calculation 2 2 3 3 2 3" xfId="34910" xr:uid="{00000000-0005-0000-0000-000071490000}"/>
    <cellStyle name="Calculation 2 2 3 3 2 4" xfId="41029" xr:uid="{00000000-0005-0000-0000-000072490000}"/>
    <cellStyle name="Calculation 2 2 3 3 3" xfId="16089" xr:uid="{00000000-0005-0000-0000-000073490000}"/>
    <cellStyle name="Calculation 2 2 3 3 3 2" xfId="41104" xr:uid="{00000000-0005-0000-0000-000074490000}"/>
    <cellStyle name="Calculation 2 2 3 3 4" xfId="34909" xr:uid="{00000000-0005-0000-0000-000075490000}"/>
    <cellStyle name="Calculation 2 2 3 3 5" xfId="41030" xr:uid="{00000000-0005-0000-0000-000076490000}"/>
    <cellStyle name="Calculation 2 2 3 4" xfId="16090" xr:uid="{00000000-0005-0000-0000-000077490000}"/>
    <cellStyle name="Calculation 2 2 3 4 2" xfId="16091" xr:uid="{00000000-0005-0000-0000-000078490000}"/>
    <cellStyle name="Calculation 2 2 3 4 2 2" xfId="16092" xr:uid="{00000000-0005-0000-0000-000079490000}"/>
    <cellStyle name="Calculation 2 2 3 4 2 3" xfId="34912" xr:uid="{00000000-0005-0000-0000-00007A490000}"/>
    <cellStyle name="Calculation 2 2 3 4 2 4" xfId="41027" xr:uid="{00000000-0005-0000-0000-00007B490000}"/>
    <cellStyle name="Calculation 2 2 3 4 3" xfId="16093" xr:uid="{00000000-0005-0000-0000-00007C490000}"/>
    <cellStyle name="Calculation 2 2 3 4 3 2" xfId="16094" xr:uid="{00000000-0005-0000-0000-00007D490000}"/>
    <cellStyle name="Calculation 2 2 3 4 4" xfId="16095" xr:uid="{00000000-0005-0000-0000-00007E490000}"/>
    <cellStyle name="Calculation 2 2 3 4 5" xfId="34911" xr:uid="{00000000-0005-0000-0000-00007F490000}"/>
    <cellStyle name="Calculation 2 2 3 4 6" xfId="41028" xr:uid="{00000000-0005-0000-0000-000080490000}"/>
    <cellStyle name="Calculation 2 2 3 5" xfId="16096" xr:uid="{00000000-0005-0000-0000-000081490000}"/>
    <cellStyle name="Calculation 2 2 3 5 2" xfId="16097" xr:uid="{00000000-0005-0000-0000-000082490000}"/>
    <cellStyle name="Calculation 2 2 3 5 2 2" xfId="16098" xr:uid="{00000000-0005-0000-0000-000083490000}"/>
    <cellStyle name="Calculation 2 2 3 5 2 3" xfId="41105" xr:uid="{00000000-0005-0000-0000-000084490000}"/>
    <cellStyle name="Calculation 2 2 3 5 3" xfId="16099" xr:uid="{00000000-0005-0000-0000-000085490000}"/>
    <cellStyle name="Calculation 2 2 3 5 4" xfId="34913" xr:uid="{00000000-0005-0000-0000-000086490000}"/>
    <cellStyle name="Calculation 2 2 3 5 5" xfId="41026" xr:uid="{00000000-0005-0000-0000-000087490000}"/>
    <cellStyle name="Calculation 2 2 3 6" xfId="16100" xr:uid="{00000000-0005-0000-0000-000088490000}"/>
    <cellStyle name="Calculation 2 2 3 7" xfId="34902" xr:uid="{00000000-0005-0000-0000-000089490000}"/>
    <cellStyle name="Calculation 2 2 3 8" xfId="41037" xr:uid="{00000000-0005-0000-0000-00008A490000}"/>
    <cellStyle name="Calculation 2 2 4" xfId="16101" xr:uid="{00000000-0005-0000-0000-00008B490000}"/>
    <cellStyle name="Calculation 2 2 4 2" xfId="16102" xr:uid="{00000000-0005-0000-0000-00008C490000}"/>
    <cellStyle name="Calculation 2 2 4 2 2" xfId="16103" xr:uid="{00000000-0005-0000-0000-00008D490000}"/>
    <cellStyle name="Calculation 2 2 4 2 2 2" xfId="16104" xr:uid="{00000000-0005-0000-0000-00008E490000}"/>
    <cellStyle name="Calculation 2 2 4 2 2 3" xfId="34916" xr:uid="{00000000-0005-0000-0000-00008F490000}"/>
    <cellStyle name="Calculation 2 2 4 2 2 4" xfId="41023" xr:uid="{00000000-0005-0000-0000-000090490000}"/>
    <cellStyle name="Calculation 2 2 4 2 3" xfId="16105" xr:uid="{00000000-0005-0000-0000-000091490000}"/>
    <cellStyle name="Calculation 2 2 4 2 3 2" xfId="41106" xr:uid="{00000000-0005-0000-0000-000092490000}"/>
    <cellStyle name="Calculation 2 2 4 2 4" xfId="34915" xr:uid="{00000000-0005-0000-0000-000093490000}"/>
    <cellStyle name="Calculation 2 2 4 2 5" xfId="41024" xr:uid="{00000000-0005-0000-0000-000094490000}"/>
    <cellStyle name="Calculation 2 2 4 3" xfId="16106" xr:uid="{00000000-0005-0000-0000-000095490000}"/>
    <cellStyle name="Calculation 2 2 4 3 2" xfId="16107" xr:uid="{00000000-0005-0000-0000-000096490000}"/>
    <cellStyle name="Calculation 2 2 4 3 2 2" xfId="16108" xr:uid="{00000000-0005-0000-0000-000097490000}"/>
    <cellStyle name="Calculation 2 2 4 3 2 3" xfId="34918" xr:uid="{00000000-0005-0000-0000-000098490000}"/>
    <cellStyle name="Calculation 2 2 4 3 2 4" xfId="41021" xr:uid="{00000000-0005-0000-0000-000099490000}"/>
    <cellStyle name="Calculation 2 2 4 3 3" xfId="16109" xr:uid="{00000000-0005-0000-0000-00009A490000}"/>
    <cellStyle name="Calculation 2 2 4 3 3 2" xfId="41107" xr:uid="{00000000-0005-0000-0000-00009B490000}"/>
    <cellStyle name="Calculation 2 2 4 3 4" xfId="34917" xr:uid="{00000000-0005-0000-0000-00009C490000}"/>
    <cellStyle name="Calculation 2 2 4 3 5" xfId="41022" xr:uid="{00000000-0005-0000-0000-00009D490000}"/>
    <cellStyle name="Calculation 2 2 4 4" xfId="16110" xr:uid="{00000000-0005-0000-0000-00009E490000}"/>
    <cellStyle name="Calculation 2 2 4 4 2" xfId="16111" xr:uid="{00000000-0005-0000-0000-00009F490000}"/>
    <cellStyle name="Calculation 2 2 4 4 2 2" xfId="16112" xr:uid="{00000000-0005-0000-0000-0000A0490000}"/>
    <cellStyle name="Calculation 2 2 4 4 2 3" xfId="41108" xr:uid="{00000000-0005-0000-0000-0000A1490000}"/>
    <cellStyle name="Calculation 2 2 4 4 3" xfId="16113" xr:uid="{00000000-0005-0000-0000-0000A2490000}"/>
    <cellStyle name="Calculation 2 2 4 4 3 2" xfId="16114" xr:uid="{00000000-0005-0000-0000-0000A3490000}"/>
    <cellStyle name="Calculation 2 2 4 4 4" xfId="16115" xr:uid="{00000000-0005-0000-0000-0000A4490000}"/>
    <cellStyle name="Calculation 2 2 4 4 5" xfId="34919" xr:uid="{00000000-0005-0000-0000-0000A5490000}"/>
    <cellStyle name="Calculation 2 2 4 4 6" xfId="41020" xr:uid="{00000000-0005-0000-0000-0000A6490000}"/>
    <cellStyle name="Calculation 2 2 4 5" xfId="16116" xr:uid="{00000000-0005-0000-0000-0000A7490000}"/>
    <cellStyle name="Calculation 2 2 4 5 2" xfId="16117" xr:uid="{00000000-0005-0000-0000-0000A8490000}"/>
    <cellStyle name="Calculation 2 2 4 5 2 2" xfId="16118" xr:uid="{00000000-0005-0000-0000-0000A9490000}"/>
    <cellStyle name="Calculation 2 2 4 5 2 3" xfId="41110" xr:uid="{00000000-0005-0000-0000-0000AA490000}"/>
    <cellStyle name="Calculation 2 2 4 5 3" xfId="16119" xr:uid="{00000000-0005-0000-0000-0000AB490000}"/>
    <cellStyle name="Calculation 2 2 4 5 4" xfId="41109" xr:uid="{00000000-0005-0000-0000-0000AC490000}"/>
    <cellStyle name="Calculation 2 2 4 6" xfId="16120" xr:uid="{00000000-0005-0000-0000-0000AD490000}"/>
    <cellStyle name="Calculation 2 2 4 7" xfId="34914" xr:uid="{00000000-0005-0000-0000-0000AE490000}"/>
    <cellStyle name="Calculation 2 2 4 8" xfId="41025" xr:uid="{00000000-0005-0000-0000-0000AF490000}"/>
    <cellStyle name="Calculation 2 2 5" xfId="16121" xr:uid="{00000000-0005-0000-0000-0000B0490000}"/>
    <cellStyle name="Calculation 2 2 5 2" xfId="16122" xr:uid="{00000000-0005-0000-0000-0000B1490000}"/>
    <cellStyle name="Calculation 2 2 5 2 2" xfId="16123" xr:uid="{00000000-0005-0000-0000-0000B2490000}"/>
    <cellStyle name="Calculation 2 2 5 2 2 2" xfId="16124" xr:uid="{00000000-0005-0000-0000-0000B3490000}"/>
    <cellStyle name="Calculation 2 2 5 2 2 3" xfId="41111" xr:uid="{00000000-0005-0000-0000-0000B4490000}"/>
    <cellStyle name="Calculation 2 2 5 2 3" xfId="16125" xr:uid="{00000000-0005-0000-0000-0000B5490000}"/>
    <cellStyle name="Calculation 2 2 5 2 3 2" xfId="41112" xr:uid="{00000000-0005-0000-0000-0000B6490000}"/>
    <cellStyle name="Calculation 2 2 5 2 4" xfId="34921" xr:uid="{00000000-0005-0000-0000-0000B7490000}"/>
    <cellStyle name="Calculation 2 2 5 2 5" xfId="41019" xr:uid="{00000000-0005-0000-0000-0000B8490000}"/>
    <cellStyle name="Calculation 2 2 5 3" xfId="16126" xr:uid="{00000000-0005-0000-0000-0000B9490000}"/>
    <cellStyle name="Calculation 2 2 5 3 2" xfId="16127" xr:uid="{00000000-0005-0000-0000-0000BA490000}"/>
    <cellStyle name="Calculation 2 2 5 3 2 2" xfId="16128" xr:uid="{00000000-0005-0000-0000-0000BB490000}"/>
    <cellStyle name="Calculation 2 2 5 3 2 3" xfId="41114" xr:uid="{00000000-0005-0000-0000-0000BC490000}"/>
    <cellStyle name="Calculation 2 2 5 3 3" xfId="16129" xr:uid="{00000000-0005-0000-0000-0000BD490000}"/>
    <cellStyle name="Calculation 2 2 5 3 3 2" xfId="41115" xr:uid="{00000000-0005-0000-0000-0000BE490000}"/>
    <cellStyle name="Calculation 2 2 5 3 4" xfId="41113" xr:uid="{00000000-0005-0000-0000-0000BF490000}"/>
    <cellStyle name="Calculation 2 2 5 4" xfId="16130" xr:uid="{00000000-0005-0000-0000-0000C0490000}"/>
    <cellStyle name="Calculation 2 2 5 4 2" xfId="16131" xr:uid="{00000000-0005-0000-0000-0000C1490000}"/>
    <cellStyle name="Calculation 2 2 5 4 3" xfId="41116" xr:uid="{00000000-0005-0000-0000-0000C2490000}"/>
    <cellStyle name="Calculation 2 2 5 5" xfId="16132" xr:uid="{00000000-0005-0000-0000-0000C3490000}"/>
    <cellStyle name="Calculation 2 2 5 5 2" xfId="41117" xr:uid="{00000000-0005-0000-0000-0000C4490000}"/>
    <cellStyle name="Calculation 2 2 5 6" xfId="34920" xr:uid="{00000000-0005-0000-0000-0000C5490000}"/>
    <cellStyle name="Calculation 2 2 5 7" xfId="36203" xr:uid="{00000000-0005-0000-0000-0000C6490000}"/>
    <cellStyle name="Calculation 2 2 6" xfId="16133" xr:uid="{00000000-0005-0000-0000-0000C7490000}"/>
    <cellStyle name="Calculation 2 2 6 2" xfId="16134" xr:uid="{00000000-0005-0000-0000-0000C8490000}"/>
    <cellStyle name="Calculation 2 2 6 2 2" xfId="16135" xr:uid="{00000000-0005-0000-0000-0000C9490000}"/>
    <cellStyle name="Calculation 2 2 6 2 3" xfId="34923" xr:uid="{00000000-0005-0000-0000-0000CA490000}"/>
    <cellStyle name="Calculation 2 2 6 2 4" xfId="41015" xr:uid="{00000000-0005-0000-0000-0000CB490000}"/>
    <cellStyle name="Calculation 2 2 6 3" xfId="16136" xr:uid="{00000000-0005-0000-0000-0000CC490000}"/>
    <cellStyle name="Calculation 2 2 6 3 2" xfId="41118" xr:uid="{00000000-0005-0000-0000-0000CD490000}"/>
    <cellStyle name="Calculation 2 2 6 4" xfId="34922" xr:uid="{00000000-0005-0000-0000-0000CE490000}"/>
    <cellStyle name="Calculation 2 2 6 5" xfId="41017" xr:uid="{00000000-0005-0000-0000-0000CF490000}"/>
    <cellStyle name="Calculation 2 2 7" xfId="16137" xr:uid="{00000000-0005-0000-0000-0000D0490000}"/>
    <cellStyle name="Calculation 2 2 7 2" xfId="16138" xr:uid="{00000000-0005-0000-0000-0000D1490000}"/>
    <cellStyle name="Calculation 2 2 7 2 2" xfId="16139" xr:uid="{00000000-0005-0000-0000-0000D2490000}"/>
    <cellStyle name="Calculation 2 2 7 2 3" xfId="41119" xr:uid="{00000000-0005-0000-0000-0000D3490000}"/>
    <cellStyle name="Calculation 2 2 7 3" xfId="16140" xr:uid="{00000000-0005-0000-0000-0000D4490000}"/>
    <cellStyle name="Calculation 2 2 7 3 2" xfId="41120" xr:uid="{00000000-0005-0000-0000-0000D5490000}"/>
    <cellStyle name="Calculation 2 2 7 4" xfId="34924" xr:uid="{00000000-0005-0000-0000-0000D6490000}"/>
    <cellStyle name="Calculation 2 2 7 5" xfId="41014" xr:uid="{00000000-0005-0000-0000-0000D7490000}"/>
    <cellStyle name="Calculation 2 2 8" xfId="16141" xr:uid="{00000000-0005-0000-0000-0000D8490000}"/>
    <cellStyle name="Calculation 2 2 8 2" xfId="16142" xr:uid="{00000000-0005-0000-0000-0000D9490000}"/>
    <cellStyle name="Calculation 2 2 8 2 2" xfId="16143" xr:uid="{00000000-0005-0000-0000-0000DA490000}"/>
    <cellStyle name="Calculation 2 2 8 2 3" xfId="41121" xr:uid="{00000000-0005-0000-0000-0000DB490000}"/>
    <cellStyle name="Calculation 2 2 8 3" xfId="16144" xr:uid="{00000000-0005-0000-0000-0000DC490000}"/>
    <cellStyle name="Calculation 2 2 8 3 2" xfId="41122" xr:uid="{00000000-0005-0000-0000-0000DD490000}"/>
    <cellStyle name="Calculation 2 2 8 4" xfId="34925" xr:uid="{00000000-0005-0000-0000-0000DE490000}"/>
    <cellStyle name="Calculation 2 2 8 5" xfId="41013" xr:uid="{00000000-0005-0000-0000-0000DF490000}"/>
    <cellStyle name="Calculation 2 2 9" xfId="16145" xr:uid="{00000000-0005-0000-0000-0000E0490000}"/>
    <cellStyle name="Calculation 2 2 9 2" xfId="16146" xr:uid="{00000000-0005-0000-0000-0000E1490000}"/>
    <cellStyle name="Calculation 2 2 9 2 2" xfId="16147" xr:uid="{00000000-0005-0000-0000-0000E2490000}"/>
    <cellStyle name="Calculation 2 2 9 2 3" xfId="41124" xr:uid="{00000000-0005-0000-0000-0000E3490000}"/>
    <cellStyle name="Calculation 2 2 9 3" xfId="16148" xr:uid="{00000000-0005-0000-0000-0000E4490000}"/>
    <cellStyle name="Calculation 2 2 9 3 2" xfId="16149" xr:uid="{00000000-0005-0000-0000-0000E5490000}"/>
    <cellStyle name="Calculation 2 2 9 4" xfId="16150" xr:uid="{00000000-0005-0000-0000-0000E6490000}"/>
    <cellStyle name="Calculation 2 2 9 5" xfId="38796" xr:uid="{00000000-0005-0000-0000-0000E7490000}"/>
    <cellStyle name="Calculation 2 2 9 6" xfId="41123" xr:uid="{00000000-0005-0000-0000-0000E8490000}"/>
    <cellStyle name="Calculation 2 3" xfId="16151" xr:uid="{00000000-0005-0000-0000-0000E9490000}"/>
    <cellStyle name="Calculation 2 3 10" xfId="16152" xr:uid="{00000000-0005-0000-0000-0000EA490000}"/>
    <cellStyle name="Calculation 2 3 10 2" xfId="16153" xr:uid="{00000000-0005-0000-0000-0000EB490000}"/>
    <cellStyle name="Calculation 2 3 10 2 2" xfId="16154" xr:uid="{00000000-0005-0000-0000-0000EC490000}"/>
    <cellStyle name="Calculation 2 3 10 2 3" xfId="41126" xr:uid="{00000000-0005-0000-0000-0000ED490000}"/>
    <cellStyle name="Calculation 2 3 10 3" xfId="16155" xr:uid="{00000000-0005-0000-0000-0000EE490000}"/>
    <cellStyle name="Calculation 2 3 10 3 2" xfId="16156" xr:uid="{00000000-0005-0000-0000-0000EF490000}"/>
    <cellStyle name="Calculation 2 3 10 4" xfId="16157" xr:uid="{00000000-0005-0000-0000-0000F0490000}"/>
    <cellStyle name="Calculation 2 3 10 5" xfId="38797" xr:uid="{00000000-0005-0000-0000-0000F1490000}"/>
    <cellStyle name="Calculation 2 3 10 6" xfId="41125" xr:uid="{00000000-0005-0000-0000-0000F2490000}"/>
    <cellStyle name="Calculation 2 3 11" xfId="16158" xr:uid="{00000000-0005-0000-0000-0000F3490000}"/>
    <cellStyle name="Calculation 2 3 11 2" xfId="16159" xr:uid="{00000000-0005-0000-0000-0000F4490000}"/>
    <cellStyle name="Calculation 2 3 11 2 2" xfId="16160" xr:uid="{00000000-0005-0000-0000-0000F5490000}"/>
    <cellStyle name="Calculation 2 3 11 2 3" xfId="41128" xr:uid="{00000000-0005-0000-0000-0000F6490000}"/>
    <cellStyle name="Calculation 2 3 11 3" xfId="16161" xr:uid="{00000000-0005-0000-0000-0000F7490000}"/>
    <cellStyle name="Calculation 2 3 11 4" xfId="38798" xr:uid="{00000000-0005-0000-0000-0000F8490000}"/>
    <cellStyle name="Calculation 2 3 11 5" xfId="41127" xr:uid="{00000000-0005-0000-0000-0000F9490000}"/>
    <cellStyle name="Calculation 2 3 12" xfId="16162" xr:uid="{00000000-0005-0000-0000-0000FA490000}"/>
    <cellStyle name="Calculation 2 3 12 2" xfId="16163" xr:uid="{00000000-0005-0000-0000-0000FB490000}"/>
    <cellStyle name="Calculation 2 3 12 3" xfId="41129" xr:uid="{00000000-0005-0000-0000-0000FC490000}"/>
    <cellStyle name="Calculation 2 3 2" xfId="16164" xr:uid="{00000000-0005-0000-0000-0000FD490000}"/>
    <cellStyle name="Calculation 2 3 2 2" xfId="16165" xr:uid="{00000000-0005-0000-0000-0000FE490000}"/>
    <cellStyle name="Calculation 2 3 2 2 2" xfId="16166" xr:uid="{00000000-0005-0000-0000-0000FF490000}"/>
    <cellStyle name="Calculation 2 3 2 2 2 2" xfId="16167" xr:uid="{00000000-0005-0000-0000-0000004A0000}"/>
    <cellStyle name="Calculation 2 3 2 2 2 2 2" xfId="16168" xr:uid="{00000000-0005-0000-0000-0000014A0000}"/>
    <cellStyle name="Calculation 2 3 2 2 2 2 3" xfId="34929" xr:uid="{00000000-0005-0000-0000-0000024A0000}"/>
    <cellStyle name="Calculation 2 3 2 2 2 2 4" xfId="36201" xr:uid="{00000000-0005-0000-0000-0000034A0000}"/>
    <cellStyle name="Calculation 2 3 2 2 2 3" xfId="16169" xr:uid="{00000000-0005-0000-0000-0000044A0000}"/>
    <cellStyle name="Calculation 2 3 2 2 2 3 2" xfId="16170" xr:uid="{00000000-0005-0000-0000-0000054A0000}"/>
    <cellStyle name="Calculation 2 3 2 2 2 4" xfId="16171" xr:uid="{00000000-0005-0000-0000-0000064A0000}"/>
    <cellStyle name="Calculation 2 3 2 2 2 5" xfId="34928" xr:uid="{00000000-0005-0000-0000-0000074A0000}"/>
    <cellStyle name="Calculation 2 3 2 2 2 6" xfId="36202" xr:uid="{00000000-0005-0000-0000-0000084A0000}"/>
    <cellStyle name="Calculation 2 3 2 2 3" xfId="16172" xr:uid="{00000000-0005-0000-0000-0000094A0000}"/>
    <cellStyle name="Calculation 2 3 2 2 3 2" xfId="16173" xr:uid="{00000000-0005-0000-0000-00000A4A0000}"/>
    <cellStyle name="Calculation 2 3 2 2 3 2 2" xfId="16174" xr:uid="{00000000-0005-0000-0000-00000B4A0000}"/>
    <cellStyle name="Calculation 2 3 2 2 3 2 3" xfId="34931" xr:uid="{00000000-0005-0000-0000-00000C4A0000}"/>
    <cellStyle name="Calculation 2 3 2 2 3 2 4" xfId="41008" xr:uid="{00000000-0005-0000-0000-00000D4A0000}"/>
    <cellStyle name="Calculation 2 3 2 2 3 3" xfId="16175" xr:uid="{00000000-0005-0000-0000-00000E4A0000}"/>
    <cellStyle name="Calculation 2 3 2 2 3 4" xfId="34930" xr:uid="{00000000-0005-0000-0000-00000F4A0000}"/>
    <cellStyle name="Calculation 2 3 2 2 3 5" xfId="41010" xr:uid="{00000000-0005-0000-0000-0000104A0000}"/>
    <cellStyle name="Calculation 2 3 2 2 4" xfId="16176" xr:uid="{00000000-0005-0000-0000-0000114A0000}"/>
    <cellStyle name="Calculation 2 3 2 2 4 2" xfId="34932" xr:uid="{00000000-0005-0000-0000-0000124A0000}"/>
    <cellStyle name="Calculation 2 3 2 2 4 3" xfId="41006" xr:uid="{00000000-0005-0000-0000-0000134A0000}"/>
    <cellStyle name="Calculation 2 3 2 2 5" xfId="34927" xr:uid="{00000000-0005-0000-0000-0000144A0000}"/>
    <cellStyle name="Calculation 2 3 2 2 6" xfId="41011" xr:uid="{00000000-0005-0000-0000-0000154A0000}"/>
    <cellStyle name="Calculation 2 3 2 3" xfId="16177" xr:uid="{00000000-0005-0000-0000-0000164A0000}"/>
    <cellStyle name="Calculation 2 3 2 3 2" xfId="16178" xr:uid="{00000000-0005-0000-0000-0000174A0000}"/>
    <cellStyle name="Calculation 2 3 2 3 2 2" xfId="16179" xr:uid="{00000000-0005-0000-0000-0000184A0000}"/>
    <cellStyle name="Calculation 2 3 2 3 2 3" xfId="34934" xr:uid="{00000000-0005-0000-0000-0000194A0000}"/>
    <cellStyle name="Calculation 2 3 2 3 2 4" xfId="41004" xr:uid="{00000000-0005-0000-0000-00001A4A0000}"/>
    <cellStyle name="Calculation 2 3 2 3 3" xfId="16180" xr:uid="{00000000-0005-0000-0000-00001B4A0000}"/>
    <cellStyle name="Calculation 2 3 2 3 3 2" xfId="41130" xr:uid="{00000000-0005-0000-0000-00001C4A0000}"/>
    <cellStyle name="Calculation 2 3 2 3 4" xfId="34933" xr:uid="{00000000-0005-0000-0000-00001D4A0000}"/>
    <cellStyle name="Calculation 2 3 2 3 5" xfId="41005" xr:uid="{00000000-0005-0000-0000-00001E4A0000}"/>
    <cellStyle name="Calculation 2 3 2 4" xfId="16181" xr:uid="{00000000-0005-0000-0000-00001F4A0000}"/>
    <cellStyle name="Calculation 2 3 2 4 2" xfId="16182" xr:uid="{00000000-0005-0000-0000-0000204A0000}"/>
    <cellStyle name="Calculation 2 3 2 4 2 2" xfId="16183" xr:uid="{00000000-0005-0000-0000-0000214A0000}"/>
    <cellStyle name="Calculation 2 3 2 4 2 3" xfId="34936" xr:uid="{00000000-0005-0000-0000-0000224A0000}"/>
    <cellStyle name="Calculation 2 3 2 4 2 4" xfId="41002" xr:uid="{00000000-0005-0000-0000-0000234A0000}"/>
    <cellStyle name="Calculation 2 3 2 4 3" xfId="16184" xr:uid="{00000000-0005-0000-0000-0000244A0000}"/>
    <cellStyle name="Calculation 2 3 2 4 3 2" xfId="16185" xr:uid="{00000000-0005-0000-0000-0000254A0000}"/>
    <cellStyle name="Calculation 2 3 2 4 4" xfId="16186" xr:uid="{00000000-0005-0000-0000-0000264A0000}"/>
    <cellStyle name="Calculation 2 3 2 4 5" xfId="34935" xr:uid="{00000000-0005-0000-0000-0000274A0000}"/>
    <cellStyle name="Calculation 2 3 2 4 6" xfId="41003" xr:uid="{00000000-0005-0000-0000-0000284A0000}"/>
    <cellStyle name="Calculation 2 3 2 5" xfId="16187" xr:uid="{00000000-0005-0000-0000-0000294A0000}"/>
    <cellStyle name="Calculation 2 3 2 5 2" xfId="16188" xr:uid="{00000000-0005-0000-0000-00002A4A0000}"/>
    <cellStyle name="Calculation 2 3 2 5 2 2" xfId="16189" xr:uid="{00000000-0005-0000-0000-00002B4A0000}"/>
    <cellStyle name="Calculation 2 3 2 5 2 3" xfId="41131" xr:uid="{00000000-0005-0000-0000-00002C4A0000}"/>
    <cellStyle name="Calculation 2 3 2 5 3" xfId="16190" xr:uid="{00000000-0005-0000-0000-00002D4A0000}"/>
    <cellStyle name="Calculation 2 3 2 5 4" xfId="34937" xr:uid="{00000000-0005-0000-0000-00002E4A0000}"/>
    <cellStyle name="Calculation 2 3 2 5 5" xfId="41001" xr:uid="{00000000-0005-0000-0000-00002F4A0000}"/>
    <cellStyle name="Calculation 2 3 2 6" xfId="16191" xr:uid="{00000000-0005-0000-0000-0000304A0000}"/>
    <cellStyle name="Calculation 2 3 2 7" xfId="34926" xr:uid="{00000000-0005-0000-0000-0000314A0000}"/>
    <cellStyle name="Calculation 2 3 2 8" xfId="41012" xr:uid="{00000000-0005-0000-0000-0000324A0000}"/>
    <cellStyle name="Calculation 2 3 3" xfId="16192" xr:uid="{00000000-0005-0000-0000-0000334A0000}"/>
    <cellStyle name="Calculation 2 3 3 2" xfId="16193" xr:uid="{00000000-0005-0000-0000-0000344A0000}"/>
    <cellStyle name="Calculation 2 3 3 2 2" xfId="16194" xr:uid="{00000000-0005-0000-0000-0000354A0000}"/>
    <cellStyle name="Calculation 2 3 3 2 2 2" xfId="16195" xr:uid="{00000000-0005-0000-0000-0000364A0000}"/>
    <cellStyle name="Calculation 2 3 3 2 2 2 2" xfId="16196" xr:uid="{00000000-0005-0000-0000-0000374A0000}"/>
    <cellStyle name="Calculation 2 3 3 2 2 2 3" xfId="34941" xr:uid="{00000000-0005-0000-0000-0000384A0000}"/>
    <cellStyle name="Calculation 2 3 3 2 2 2 4" xfId="41000" xr:uid="{00000000-0005-0000-0000-0000394A0000}"/>
    <cellStyle name="Calculation 2 3 3 2 2 3" xfId="16197" xr:uid="{00000000-0005-0000-0000-00003A4A0000}"/>
    <cellStyle name="Calculation 2 3 3 2 2 3 2" xfId="16198" xr:uid="{00000000-0005-0000-0000-00003B4A0000}"/>
    <cellStyle name="Calculation 2 3 3 2 2 4" xfId="16199" xr:uid="{00000000-0005-0000-0000-00003C4A0000}"/>
    <cellStyle name="Calculation 2 3 3 2 2 5" xfId="34940" xr:uid="{00000000-0005-0000-0000-00003D4A0000}"/>
    <cellStyle name="Calculation 2 3 3 2 2 6" xfId="36198" xr:uid="{00000000-0005-0000-0000-00003E4A0000}"/>
    <cellStyle name="Calculation 2 3 3 2 3" xfId="16200" xr:uid="{00000000-0005-0000-0000-00003F4A0000}"/>
    <cellStyle name="Calculation 2 3 3 2 3 2" xfId="16201" xr:uid="{00000000-0005-0000-0000-0000404A0000}"/>
    <cellStyle name="Calculation 2 3 3 2 3 2 2" xfId="16202" xr:uid="{00000000-0005-0000-0000-0000414A0000}"/>
    <cellStyle name="Calculation 2 3 3 2 3 2 3" xfId="34943" xr:uid="{00000000-0005-0000-0000-0000424A0000}"/>
    <cellStyle name="Calculation 2 3 3 2 3 2 4" xfId="40996" xr:uid="{00000000-0005-0000-0000-0000434A0000}"/>
    <cellStyle name="Calculation 2 3 3 2 3 3" xfId="16203" xr:uid="{00000000-0005-0000-0000-0000444A0000}"/>
    <cellStyle name="Calculation 2 3 3 2 3 4" xfId="34942" xr:uid="{00000000-0005-0000-0000-0000454A0000}"/>
    <cellStyle name="Calculation 2 3 3 2 3 5" xfId="40998" xr:uid="{00000000-0005-0000-0000-0000464A0000}"/>
    <cellStyle name="Calculation 2 3 3 2 4" xfId="16204" xr:uid="{00000000-0005-0000-0000-0000474A0000}"/>
    <cellStyle name="Calculation 2 3 3 2 4 2" xfId="34944" xr:uid="{00000000-0005-0000-0000-0000484A0000}"/>
    <cellStyle name="Calculation 2 3 3 2 4 3" xfId="40995" xr:uid="{00000000-0005-0000-0000-0000494A0000}"/>
    <cellStyle name="Calculation 2 3 3 2 5" xfId="34939" xr:uid="{00000000-0005-0000-0000-00004A4A0000}"/>
    <cellStyle name="Calculation 2 3 3 2 6" xfId="36199" xr:uid="{00000000-0005-0000-0000-00004B4A0000}"/>
    <cellStyle name="Calculation 2 3 3 3" xfId="16205" xr:uid="{00000000-0005-0000-0000-00004C4A0000}"/>
    <cellStyle name="Calculation 2 3 3 3 2" xfId="16206" xr:uid="{00000000-0005-0000-0000-00004D4A0000}"/>
    <cellStyle name="Calculation 2 3 3 3 2 2" xfId="16207" xr:uid="{00000000-0005-0000-0000-00004E4A0000}"/>
    <cellStyle name="Calculation 2 3 3 3 2 3" xfId="34946" xr:uid="{00000000-0005-0000-0000-00004F4A0000}"/>
    <cellStyle name="Calculation 2 3 3 3 2 4" xfId="40993" xr:uid="{00000000-0005-0000-0000-0000504A0000}"/>
    <cellStyle name="Calculation 2 3 3 3 3" xfId="16208" xr:uid="{00000000-0005-0000-0000-0000514A0000}"/>
    <cellStyle name="Calculation 2 3 3 3 3 2" xfId="41132" xr:uid="{00000000-0005-0000-0000-0000524A0000}"/>
    <cellStyle name="Calculation 2 3 3 3 4" xfId="34945" xr:uid="{00000000-0005-0000-0000-0000534A0000}"/>
    <cellStyle name="Calculation 2 3 3 3 5" xfId="40994" xr:uid="{00000000-0005-0000-0000-0000544A0000}"/>
    <cellStyle name="Calculation 2 3 3 4" xfId="16209" xr:uid="{00000000-0005-0000-0000-0000554A0000}"/>
    <cellStyle name="Calculation 2 3 3 4 2" xfId="16210" xr:uid="{00000000-0005-0000-0000-0000564A0000}"/>
    <cellStyle name="Calculation 2 3 3 4 2 2" xfId="16211" xr:uid="{00000000-0005-0000-0000-0000574A0000}"/>
    <cellStyle name="Calculation 2 3 3 4 2 3" xfId="34948" xr:uid="{00000000-0005-0000-0000-0000584A0000}"/>
    <cellStyle name="Calculation 2 3 3 4 2 4" xfId="40991" xr:uid="{00000000-0005-0000-0000-0000594A0000}"/>
    <cellStyle name="Calculation 2 3 3 4 3" xfId="16212" xr:uid="{00000000-0005-0000-0000-00005A4A0000}"/>
    <cellStyle name="Calculation 2 3 3 4 3 2" xfId="16213" xr:uid="{00000000-0005-0000-0000-00005B4A0000}"/>
    <cellStyle name="Calculation 2 3 3 4 4" xfId="16214" xr:uid="{00000000-0005-0000-0000-00005C4A0000}"/>
    <cellStyle name="Calculation 2 3 3 4 5" xfId="34947" xr:uid="{00000000-0005-0000-0000-00005D4A0000}"/>
    <cellStyle name="Calculation 2 3 3 4 6" xfId="40992" xr:uid="{00000000-0005-0000-0000-00005E4A0000}"/>
    <cellStyle name="Calculation 2 3 3 5" xfId="16215" xr:uid="{00000000-0005-0000-0000-00005F4A0000}"/>
    <cellStyle name="Calculation 2 3 3 5 2" xfId="16216" xr:uid="{00000000-0005-0000-0000-0000604A0000}"/>
    <cellStyle name="Calculation 2 3 3 5 2 2" xfId="16217" xr:uid="{00000000-0005-0000-0000-0000614A0000}"/>
    <cellStyle name="Calculation 2 3 3 5 2 3" xfId="41133" xr:uid="{00000000-0005-0000-0000-0000624A0000}"/>
    <cellStyle name="Calculation 2 3 3 5 3" xfId="16218" xr:uid="{00000000-0005-0000-0000-0000634A0000}"/>
    <cellStyle name="Calculation 2 3 3 5 4" xfId="34949" xr:uid="{00000000-0005-0000-0000-0000644A0000}"/>
    <cellStyle name="Calculation 2 3 3 5 5" xfId="40990" xr:uid="{00000000-0005-0000-0000-0000654A0000}"/>
    <cellStyle name="Calculation 2 3 3 6" xfId="16219" xr:uid="{00000000-0005-0000-0000-0000664A0000}"/>
    <cellStyle name="Calculation 2 3 3 7" xfId="34938" xr:uid="{00000000-0005-0000-0000-0000674A0000}"/>
    <cellStyle name="Calculation 2 3 3 8" xfId="36200" xr:uid="{00000000-0005-0000-0000-0000684A0000}"/>
    <cellStyle name="Calculation 2 3 4" xfId="16220" xr:uid="{00000000-0005-0000-0000-0000694A0000}"/>
    <cellStyle name="Calculation 2 3 4 2" xfId="16221" xr:uid="{00000000-0005-0000-0000-00006A4A0000}"/>
    <cellStyle name="Calculation 2 3 4 2 2" xfId="16222" xr:uid="{00000000-0005-0000-0000-00006B4A0000}"/>
    <cellStyle name="Calculation 2 3 4 2 2 2" xfId="16223" xr:uid="{00000000-0005-0000-0000-00006C4A0000}"/>
    <cellStyle name="Calculation 2 3 4 2 2 3" xfId="34952" xr:uid="{00000000-0005-0000-0000-00006D4A0000}"/>
    <cellStyle name="Calculation 2 3 4 2 2 4" xfId="40987" xr:uid="{00000000-0005-0000-0000-00006E4A0000}"/>
    <cellStyle name="Calculation 2 3 4 2 3" xfId="16224" xr:uid="{00000000-0005-0000-0000-00006F4A0000}"/>
    <cellStyle name="Calculation 2 3 4 2 3 2" xfId="41134" xr:uid="{00000000-0005-0000-0000-0000704A0000}"/>
    <cellStyle name="Calculation 2 3 4 2 4" xfId="34951" xr:uid="{00000000-0005-0000-0000-0000714A0000}"/>
    <cellStyle name="Calculation 2 3 4 2 5" xfId="40988" xr:uid="{00000000-0005-0000-0000-0000724A0000}"/>
    <cellStyle name="Calculation 2 3 4 3" xfId="16225" xr:uid="{00000000-0005-0000-0000-0000734A0000}"/>
    <cellStyle name="Calculation 2 3 4 3 2" xfId="16226" xr:uid="{00000000-0005-0000-0000-0000744A0000}"/>
    <cellStyle name="Calculation 2 3 4 3 2 2" xfId="16227" xr:uid="{00000000-0005-0000-0000-0000754A0000}"/>
    <cellStyle name="Calculation 2 3 4 3 2 3" xfId="34954" xr:uid="{00000000-0005-0000-0000-0000764A0000}"/>
    <cellStyle name="Calculation 2 3 4 3 2 4" xfId="40985" xr:uid="{00000000-0005-0000-0000-0000774A0000}"/>
    <cellStyle name="Calculation 2 3 4 3 3" xfId="16228" xr:uid="{00000000-0005-0000-0000-0000784A0000}"/>
    <cellStyle name="Calculation 2 3 4 3 3 2" xfId="41135" xr:uid="{00000000-0005-0000-0000-0000794A0000}"/>
    <cellStyle name="Calculation 2 3 4 3 4" xfId="34953" xr:uid="{00000000-0005-0000-0000-00007A4A0000}"/>
    <cellStyle name="Calculation 2 3 4 3 5" xfId="40986" xr:uid="{00000000-0005-0000-0000-00007B4A0000}"/>
    <cellStyle name="Calculation 2 3 4 4" xfId="16229" xr:uid="{00000000-0005-0000-0000-00007C4A0000}"/>
    <cellStyle name="Calculation 2 3 4 4 2" xfId="16230" xr:uid="{00000000-0005-0000-0000-00007D4A0000}"/>
    <cellStyle name="Calculation 2 3 4 4 2 2" xfId="16231" xr:uid="{00000000-0005-0000-0000-00007E4A0000}"/>
    <cellStyle name="Calculation 2 3 4 4 2 3" xfId="41136" xr:uid="{00000000-0005-0000-0000-00007F4A0000}"/>
    <cellStyle name="Calculation 2 3 4 4 3" xfId="16232" xr:uid="{00000000-0005-0000-0000-0000804A0000}"/>
    <cellStyle name="Calculation 2 3 4 4 3 2" xfId="16233" xr:uid="{00000000-0005-0000-0000-0000814A0000}"/>
    <cellStyle name="Calculation 2 3 4 4 4" xfId="16234" xr:uid="{00000000-0005-0000-0000-0000824A0000}"/>
    <cellStyle name="Calculation 2 3 4 4 5" xfId="34955" xr:uid="{00000000-0005-0000-0000-0000834A0000}"/>
    <cellStyle name="Calculation 2 3 4 4 6" xfId="40984" xr:uid="{00000000-0005-0000-0000-0000844A0000}"/>
    <cellStyle name="Calculation 2 3 4 5" xfId="16235" xr:uid="{00000000-0005-0000-0000-0000854A0000}"/>
    <cellStyle name="Calculation 2 3 4 5 2" xfId="16236" xr:uid="{00000000-0005-0000-0000-0000864A0000}"/>
    <cellStyle name="Calculation 2 3 4 5 2 2" xfId="16237" xr:uid="{00000000-0005-0000-0000-0000874A0000}"/>
    <cellStyle name="Calculation 2 3 4 5 2 3" xfId="41138" xr:uid="{00000000-0005-0000-0000-0000884A0000}"/>
    <cellStyle name="Calculation 2 3 4 5 3" xfId="16238" xr:uid="{00000000-0005-0000-0000-0000894A0000}"/>
    <cellStyle name="Calculation 2 3 4 5 4" xfId="41137" xr:uid="{00000000-0005-0000-0000-00008A4A0000}"/>
    <cellStyle name="Calculation 2 3 4 6" xfId="16239" xr:uid="{00000000-0005-0000-0000-00008B4A0000}"/>
    <cellStyle name="Calculation 2 3 4 7" xfId="34950" xr:uid="{00000000-0005-0000-0000-00008C4A0000}"/>
    <cellStyle name="Calculation 2 3 4 8" xfId="40989" xr:uid="{00000000-0005-0000-0000-00008D4A0000}"/>
    <cellStyle name="Calculation 2 3 5" xfId="16240" xr:uid="{00000000-0005-0000-0000-00008E4A0000}"/>
    <cellStyle name="Calculation 2 3 5 2" xfId="16241" xr:uid="{00000000-0005-0000-0000-00008F4A0000}"/>
    <cellStyle name="Calculation 2 3 5 2 2" xfId="16242" xr:uid="{00000000-0005-0000-0000-0000904A0000}"/>
    <cellStyle name="Calculation 2 3 5 2 2 2" xfId="16243" xr:uid="{00000000-0005-0000-0000-0000914A0000}"/>
    <cellStyle name="Calculation 2 3 5 2 2 3" xfId="41139" xr:uid="{00000000-0005-0000-0000-0000924A0000}"/>
    <cellStyle name="Calculation 2 3 5 2 3" xfId="16244" xr:uid="{00000000-0005-0000-0000-0000934A0000}"/>
    <cellStyle name="Calculation 2 3 5 2 3 2" xfId="41140" xr:uid="{00000000-0005-0000-0000-0000944A0000}"/>
    <cellStyle name="Calculation 2 3 5 2 4" xfId="34957" xr:uid="{00000000-0005-0000-0000-0000954A0000}"/>
    <cellStyle name="Calculation 2 3 5 2 5" xfId="40982" xr:uid="{00000000-0005-0000-0000-0000964A0000}"/>
    <cellStyle name="Calculation 2 3 5 3" xfId="16245" xr:uid="{00000000-0005-0000-0000-0000974A0000}"/>
    <cellStyle name="Calculation 2 3 5 3 2" xfId="16246" xr:uid="{00000000-0005-0000-0000-0000984A0000}"/>
    <cellStyle name="Calculation 2 3 5 3 2 2" xfId="16247" xr:uid="{00000000-0005-0000-0000-0000994A0000}"/>
    <cellStyle name="Calculation 2 3 5 3 2 3" xfId="41142" xr:uid="{00000000-0005-0000-0000-00009A4A0000}"/>
    <cellStyle name="Calculation 2 3 5 3 3" xfId="16248" xr:uid="{00000000-0005-0000-0000-00009B4A0000}"/>
    <cellStyle name="Calculation 2 3 5 3 3 2" xfId="41143" xr:uid="{00000000-0005-0000-0000-00009C4A0000}"/>
    <cellStyle name="Calculation 2 3 5 3 4" xfId="41141" xr:uid="{00000000-0005-0000-0000-00009D4A0000}"/>
    <cellStyle name="Calculation 2 3 5 4" xfId="16249" xr:uid="{00000000-0005-0000-0000-00009E4A0000}"/>
    <cellStyle name="Calculation 2 3 5 4 2" xfId="16250" xr:uid="{00000000-0005-0000-0000-00009F4A0000}"/>
    <cellStyle name="Calculation 2 3 5 4 3" xfId="41144" xr:uid="{00000000-0005-0000-0000-0000A04A0000}"/>
    <cellStyle name="Calculation 2 3 5 5" xfId="16251" xr:uid="{00000000-0005-0000-0000-0000A14A0000}"/>
    <cellStyle name="Calculation 2 3 5 5 2" xfId="41145" xr:uid="{00000000-0005-0000-0000-0000A24A0000}"/>
    <cellStyle name="Calculation 2 3 5 6" xfId="34956" xr:uid="{00000000-0005-0000-0000-0000A34A0000}"/>
    <cellStyle name="Calculation 2 3 5 7" xfId="40983" xr:uid="{00000000-0005-0000-0000-0000A44A0000}"/>
    <cellStyle name="Calculation 2 3 6" xfId="16252" xr:uid="{00000000-0005-0000-0000-0000A54A0000}"/>
    <cellStyle name="Calculation 2 3 6 2" xfId="16253" xr:uid="{00000000-0005-0000-0000-0000A64A0000}"/>
    <cellStyle name="Calculation 2 3 6 2 2" xfId="16254" xr:uid="{00000000-0005-0000-0000-0000A74A0000}"/>
    <cellStyle name="Calculation 2 3 6 2 3" xfId="34959" xr:uid="{00000000-0005-0000-0000-0000A84A0000}"/>
    <cellStyle name="Calculation 2 3 6 2 4" xfId="40980" xr:uid="{00000000-0005-0000-0000-0000A94A0000}"/>
    <cellStyle name="Calculation 2 3 6 3" xfId="16255" xr:uid="{00000000-0005-0000-0000-0000AA4A0000}"/>
    <cellStyle name="Calculation 2 3 6 3 2" xfId="41146" xr:uid="{00000000-0005-0000-0000-0000AB4A0000}"/>
    <cellStyle name="Calculation 2 3 6 4" xfId="34958" xr:uid="{00000000-0005-0000-0000-0000AC4A0000}"/>
    <cellStyle name="Calculation 2 3 6 5" xfId="40981" xr:uid="{00000000-0005-0000-0000-0000AD4A0000}"/>
    <cellStyle name="Calculation 2 3 7" xfId="16256" xr:uid="{00000000-0005-0000-0000-0000AE4A0000}"/>
    <cellStyle name="Calculation 2 3 7 2" xfId="16257" xr:uid="{00000000-0005-0000-0000-0000AF4A0000}"/>
    <cellStyle name="Calculation 2 3 7 2 2" xfId="16258" xr:uid="{00000000-0005-0000-0000-0000B04A0000}"/>
    <cellStyle name="Calculation 2 3 7 2 3" xfId="41147" xr:uid="{00000000-0005-0000-0000-0000B14A0000}"/>
    <cellStyle name="Calculation 2 3 7 3" xfId="16259" xr:uid="{00000000-0005-0000-0000-0000B24A0000}"/>
    <cellStyle name="Calculation 2 3 7 3 2" xfId="41148" xr:uid="{00000000-0005-0000-0000-0000B34A0000}"/>
    <cellStyle name="Calculation 2 3 7 4" xfId="34960" xr:uid="{00000000-0005-0000-0000-0000B44A0000}"/>
    <cellStyle name="Calculation 2 3 7 5" xfId="40979" xr:uid="{00000000-0005-0000-0000-0000B54A0000}"/>
    <cellStyle name="Calculation 2 3 8" xfId="16260" xr:uid="{00000000-0005-0000-0000-0000B64A0000}"/>
    <cellStyle name="Calculation 2 3 8 2" xfId="34961" xr:uid="{00000000-0005-0000-0000-0000B74A0000}"/>
    <cellStyle name="Calculation 2 3 9" xfId="16261" xr:uid="{00000000-0005-0000-0000-0000B84A0000}"/>
    <cellStyle name="Calculation 2 3 9 2" xfId="16262" xr:uid="{00000000-0005-0000-0000-0000B94A0000}"/>
    <cellStyle name="Calculation 2 3 9 2 2" xfId="16263" xr:uid="{00000000-0005-0000-0000-0000BA4A0000}"/>
    <cellStyle name="Calculation 2 3 9 2 3" xfId="41150" xr:uid="{00000000-0005-0000-0000-0000BB4A0000}"/>
    <cellStyle name="Calculation 2 3 9 3" xfId="16264" xr:uid="{00000000-0005-0000-0000-0000BC4A0000}"/>
    <cellStyle name="Calculation 2 3 9 3 2" xfId="41151" xr:uid="{00000000-0005-0000-0000-0000BD4A0000}"/>
    <cellStyle name="Calculation 2 3 9 4" xfId="41149" xr:uid="{00000000-0005-0000-0000-0000BE4A0000}"/>
    <cellStyle name="Calculation 2 4" xfId="16265" xr:uid="{00000000-0005-0000-0000-0000BF4A0000}"/>
    <cellStyle name="Calculation 2 4 10" xfId="40978" xr:uid="{00000000-0005-0000-0000-0000C04A0000}"/>
    <cellStyle name="Calculation 2 4 2" xfId="16266" xr:uid="{00000000-0005-0000-0000-0000C14A0000}"/>
    <cellStyle name="Calculation 2 4 2 2" xfId="16267" xr:uid="{00000000-0005-0000-0000-0000C24A0000}"/>
    <cellStyle name="Calculation 2 4 2 2 2" xfId="16268" xr:uid="{00000000-0005-0000-0000-0000C34A0000}"/>
    <cellStyle name="Calculation 2 4 2 2 2 2" xfId="16269" xr:uid="{00000000-0005-0000-0000-0000C44A0000}"/>
    <cellStyle name="Calculation 2 4 2 2 2 2 2" xfId="34965" xr:uid="{00000000-0005-0000-0000-0000C54A0000}"/>
    <cellStyle name="Calculation 2 4 2 2 2 2 3" xfId="40974" xr:uid="{00000000-0005-0000-0000-0000C64A0000}"/>
    <cellStyle name="Calculation 2 4 2 2 2 3" xfId="34964" xr:uid="{00000000-0005-0000-0000-0000C74A0000}"/>
    <cellStyle name="Calculation 2 4 2 2 2 4" xfId="40976" xr:uid="{00000000-0005-0000-0000-0000C84A0000}"/>
    <cellStyle name="Calculation 2 4 2 2 3" xfId="16270" xr:uid="{00000000-0005-0000-0000-0000C94A0000}"/>
    <cellStyle name="Calculation 2 4 2 2 3 2" xfId="34967" xr:uid="{00000000-0005-0000-0000-0000CA4A0000}"/>
    <cellStyle name="Calculation 2 4 2 2 3 2 2" xfId="40971" xr:uid="{00000000-0005-0000-0000-0000CB4A0000}"/>
    <cellStyle name="Calculation 2 4 2 2 3 3" xfId="34966" xr:uid="{00000000-0005-0000-0000-0000CC4A0000}"/>
    <cellStyle name="Calculation 2 4 2 2 3 4" xfId="40972" xr:uid="{00000000-0005-0000-0000-0000CD4A0000}"/>
    <cellStyle name="Calculation 2 4 2 2 4" xfId="34968" xr:uid="{00000000-0005-0000-0000-0000CE4A0000}"/>
    <cellStyle name="Calculation 2 4 2 2 4 2" xfId="40970" xr:uid="{00000000-0005-0000-0000-0000CF4A0000}"/>
    <cellStyle name="Calculation 2 4 2 2 5" xfId="34963" xr:uid="{00000000-0005-0000-0000-0000D04A0000}"/>
    <cellStyle name="Calculation 2 4 2 2 6" xfId="36197" xr:uid="{00000000-0005-0000-0000-0000D14A0000}"/>
    <cellStyle name="Calculation 2 4 2 3" xfId="16271" xr:uid="{00000000-0005-0000-0000-0000D24A0000}"/>
    <cellStyle name="Calculation 2 4 2 3 2" xfId="16272" xr:uid="{00000000-0005-0000-0000-0000D34A0000}"/>
    <cellStyle name="Calculation 2 4 2 3 2 2" xfId="16273" xr:uid="{00000000-0005-0000-0000-0000D44A0000}"/>
    <cellStyle name="Calculation 2 4 2 3 2 3" xfId="34970" xr:uid="{00000000-0005-0000-0000-0000D54A0000}"/>
    <cellStyle name="Calculation 2 4 2 3 2 4" xfId="40968" xr:uid="{00000000-0005-0000-0000-0000D64A0000}"/>
    <cellStyle name="Calculation 2 4 2 3 3" xfId="16274" xr:uid="{00000000-0005-0000-0000-0000D74A0000}"/>
    <cellStyle name="Calculation 2 4 2 3 3 2" xfId="41152" xr:uid="{00000000-0005-0000-0000-0000D84A0000}"/>
    <cellStyle name="Calculation 2 4 2 3 4" xfId="34969" xr:uid="{00000000-0005-0000-0000-0000D94A0000}"/>
    <cellStyle name="Calculation 2 4 2 3 5" xfId="40969" xr:uid="{00000000-0005-0000-0000-0000DA4A0000}"/>
    <cellStyle name="Calculation 2 4 2 4" xfId="16275" xr:uid="{00000000-0005-0000-0000-0000DB4A0000}"/>
    <cellStyle name="Calculation 2 4 2 4 2" xfId="16276" xr:uid="{00000000-0005-0000-0000-0000DC4A0000}"/>
    <cellStyle name="Calculation 2 4 2 4 2 2" xfId="34972" xr:uid="{00000000-0005-0000-0000-0000DD4A0000}"/>
    <cellStyle name="Calculation 2 4 2 4 2 3" xfId="36196" xr:uid="{00000000-0005-0000-0000-0000DE4A0000}"/>
    <cellStyle name="Calculation 2 4 2 4 3" xfId="34971" xr:uid="{00000000-0005-0000-0000-0000DF4A0000}"/>
    <cellStyle name="Calculation 2 4 2 4 4" xfId="40967" xr:uid="{00000000-0005-0000-0000-0000E04A0000}"/>
    <cellStyle name="Calculation 2 4 2 5" xfId="16277" xr:uid="{00000000-0005-0000-0000-0000E14A0000}"/>
    <cellStyle name="Calculation 2 4 2 5 2" xfId="34973" xr:uid="{00000000-0005-0000-0000-0000E24A0000}"/>
    <cellStyle name="Calculation 2 4 2 5 3" xfId="36195" xr:uid="{00000000-0005-0000-0000-0000E34A0000}"/>
    <cellStyle name="Calculation 2 4 2 6" xfId="34962" xr:uid="{00000000-0005-0000-0000-0000E44A0000}"/>
    <cellStyle name="Calculation 2 4 2 7" xfId="40977" xr:uid="{00000000-0005-0000-0000-0000E54A0000}"/>
    <cellStyle name="Calculation 2 4 3" xfId="16278" xr:uid="{00000000-0005-0000-0000-0000E64A0000}"/>
    <cellStyle name="Calculation 2 4 3 2" xfId="16279" xr:uid="{00000000-0005-0000-0000-0000E74A0000}"/>
    <cellStyle name="Calculation 2 4 3 2 2" xfId="16280" xr:uid="{00000000-0005-0000-0000-0000E84A0000}"/>
    <cellStyle name="Calculation 2 4 3 2 2 2" xfId="34977" xr:uid="{00000000-0005-0000-0000-0000E94A0000}"/>
    <cellStyle name="Calculation 2 4 3 2 2 2 2" xfId="40961" xr:uid="{00000000-0005-0000-0000-0000EA4A0000}"/>
    <cellStyle name="Calculation 2 4 3 2 2 3" xfId="34976" xr:uid="{00000000-0005-0000-0000-0000EB4A0000}"/>
    <cellStyle name="Calculation 2 4 3 2 2 4" xfId="40962" xr:uid="{00000000-0005-0000-0000-0000EC4A0000}"/>
    <cellStyle name="Calculation 2 4 3 2 3" xfId="34978" xr:uid="{00000000-0005-0000-0000-0000ED4A0000}"/>
    <cellStyle name="Calculation 2 4 3 2 3 2" xfId="34979" xr:uid="{00000000-0005-0000-0000-0000EE4A0000}"/>
    <cellStyle name="Calculation 2 4 3 2 3 2 2" xfId="40959" xr:uid="{00000000-0005-0000-0000-0000EF4A0000}"/>
    <cellStyle name="Calculation 2 4 3 2 3 3" xfId="40960" xr:uid="{00000000-0005-0000-0000-0000F04A0000}"/>
    <cellStyle name="Calculation 2 4 3 2 4" xfId="34980" xr:uid="{00000000-0005-0000-0000-0000F14A0000}"/>
    <cellStyle name="Calculation 2 4 3 2 4 2" xfId="40958" xr:uid="{00000000-0005-0000-0000-0000F24A0000}"/>
    <cellStyle name="Calculation 2 4 3 2 5" xfId="34975" xr:uid="{00000000-0005-0000-0000-0000F34A0000}"/>
    <cellStyle name="Calculation 2 4 3 2 6" xfId="40964" xr:uid="{00000000-0005-0000-0000-0000F44A0000}"/>
    <cellStyle name="Calculation 2 4 3 3" xfId="16281" xr:uid="{00000000-0005-0000-0000-0000F54A0000}"/>
    <cellStyle name="Calculation 2 4 3 3 2" xfId="34982" xr:uid="{00000000-0005-0000-0000-0000F64A0000}"/>
    <cellStyle name="Calculation 2 4 3 3 2 2" xfId="36194" xr:uid="{00000000-0005-0000-0000-0000F74A0000}"/>
    <cellStyle name="Calculation 2 4 3 3 3" xfId="34981" xr:uid="{00000000-0005-0000-0000-0000F84A0000}"/>
    <cellStyle name="Calculation 2 4 3 3 4" xfId="40957" xr:uid="{00000000-0005-0000-0000-0000F94A0000}"/>
    <cellStyle name="Calculation 2 4 3 4" xfId="34983" xr:uid="{00000000-0005-0000-0000-0000FA4A0000}"/>
    <cellStyle name="Calculation 2 4 3 4 2" xfId="34984" xr:uid="{00000000-0005-0000-0000-0000FB4A0000}"/>
    <cellStyle name="Calculation 2 4 3 4 2 2" xfId="36192" xr:uid="{00000000-0005-0000-0000-0000FC4A0000}"/>
    <cellStyle name="Calculation 2 4 3 4 3" xfId="36193" xr:uid="{00000000-0005-0000-0000-0000FD4A0000}"/>
    <cellStyle name="Calculation 2 4 3 5" xfId="34985" xr:uid="{00000000-0005-0000-0000-0000FE4A0000}"/>
    <cellStyle name="Calculation 2 4 3 5 2" xfId="40956" xr:uid="{00000000-0005-0000-0000-0000FF4A0000}"/>
    <cellStyle name="Calculation 2 4 3 6" xfId="34974" xr:uid="{00000000-0005-0000-0000-0000004B0000}"/>
    <cellStyle name="Calculation 2 4 3 7" xfId="40966" xr:uid="{00000000-0005-0000-0000-0000014B0000}"/>
    <cellStyle name="Calculation 2 4 4" xfId="16282" xr:uid="{00000000-0005-0000-0000-0000024B0000}"/>
    <cellStyle name="Calculation 2 4 4 2" xfId="16283" xr:uid="{00000000-0005-0000-0000-0000034B0000}"/>
    <cellStyle name="Calculation 2 4 4 2 2" xfId="16284" xr:uid="{00000000-0005-0000-0000-0000044B0000}"/>
    <cellStyle name="Calculation 2 4 4 2 2 2" xfId="34988" xr:uid="{00000000-0005-0000-0000-0000054B0000}"/>
    <cellStyle name="Calculation 2 4 4 2 2 3" xfId="40952" xr:uid="{00000000-0005-0000-0000-0000064B0000}"/>
    <cellStyle name="Calculation 2 4 4 2 3" xfId="34987" xr:uid="{00000000-0005-0000-0000-0000074B0000}"/>
    <cellStyle name="Calculation 2 4 4 2 4" xfId="40953" xr:uid="{00000000-0005-0000-0000-0000084B0000}"/>
    <cellStyle name="Calculation 2 4 4 3" xfId="16285" xr:uid="{00000000-0005-0000-0000-0000094B0000}"/>
    <cellStyle name="Calculation 2 4 4 3 2" xfId="34990" xr:uid="{00000000-0005-0000-0000-00000A4B0000}"/>
    <cellStyle name="Calculation 2 4 4 3 2 2" xfId="40950" xr:uid="{00000000-0005-0000-0000-00000B4B0000}"/>
    <cellStyle name="Calculation 2 4 4 3 3" xfId="34989" xr:uid="{00000000-0005-0000-0000-00000C4B0000}"/>
    <cellStyle name="Calculation 2 4 4 3 4" xfId="40951" xr:uid="{00000000-0005-0000-0000-00000D4B0000}"/>
    <cellStyle name="Calculation 2 4 4 4" xfId="34991" xr:uid="{00000000-0005-0000-0000-00000E4B0000}"/>
    <cellStyle name="Calculation 2 4 4 4 2" xfId="40949" xr:uid="{00000000-0005-0000-0000-00000F4B0000}"/>
    <cellStyle name="Calculation 2 4 4 5" xfId="34986" xr:uid="{00000000-0005-0000-0000-0000104B0000}"/>
    <cellStyle name="Calculation 2 4 4 6" xfId="40954" xr:uid="{00000000-0005-0000-0000-0000114B0000}"/>
    <cellStyle name="Calculation 2 4 5" xfId="16286" xr:uid="{00000000-0005-0000-0000-0000124B0000}"/>
    <cellStyle name="Calculation 2 4 5 2" xfId="16287" xr:uid="{00000000-0005-0000-0000-0000134B0000}"/>
    <cellStyle name="Calculation 2 4 5 2 2" xfId="16288" xr:uid="{00000000-0005-0000-0000-0000144B0000}"/>
    <cellStyle name="Calculation 2 4 5 2 3" xfId="34993" xr:uid="{00000000-0005-0000-0000-0000154B0000}"/>
    <cellStyle name="Calculation 2 4 5 2 4" xfId="40947" xr:uid="{00000000-0005-0000-0000-0000164B0000}"/>
    <cellStyle name="Calculation 2 4 5 3" xfId="16289" xr:uid="{00000000-0005-0000-0000-0000174B0000}"/>
    <cellStyle name="Calculation 2 4 5 3 2" xfId="41153" xr:uid="{00000000-0005-0000-0000-0000184B0000}"/>
    <cellStyle name="Calculation 2 4 5 4" xfId="34992" xr:uid="{00000000-0005-0000-0000-0000194B0000}"/>
    <cellStyle name="Calculation 2 4 5 5" xfId="40948" xr:uid="{00000000-0005-0000-0000-00001A4B0000}"/>
    <cellStyle name="Calculation 2 4 6" xfId="16290" xr:uid="{00000000-0005-0000-0000-00001B4B0000}"/>
    <cellStyle name="Calculation 2 4 6 2" xfId="16291" xr:uid="{00000000-0005-0000-0000-00001C4B0000}"/>
    <cellStyle name="Calculation 2 4 6 2 2" xfId="34995" xr:uid="{00000000-0005-0000-0000-00001D4B0000}"/>
    <cellStyle name="Calculation 2 4 6 2 3" xfId="40945" xr:uid="{00000000-0005-0000-0000-00001E4B0000}"/>
    <cellStyle name="Calculation 2 4 6 3" xfId="34994" xr:uid="{00000000-0005-0000-0000-00001F4B0000}"/>
    <cellStyle name="Calculation 2 4 6 4" xfId="40946" xr:uid="{00000000-0005-0000-0000-0000204B0000}"/>
    <cellStyle name="Calculation 2 4 7" xfId="16292" xr:uid="{00000000-0005-0000-0000-0000214B0000}"/>
    <cellStyle name="Calculation 2 4 7 2" xfId="34996" xr:uid="{00000000-0005-0000-0000-0000224B0000}"/>
    <cellStyle name="Calculation 2 4 7 3" xfId="40944" xr:uid="{00000000-0005-0000-0000-0000234B0000}"/>
    <cellStyle name="Calculation 2 4 8" xfId="34997" xr:uid="{00000000-0005-0000-0000-0000244B0000}"/>
    <cellStyle name="Calculation 2 4 8 2" xfId="40943" xr:uid="{00000000-0005-0000-0000-0000254B0000}"/>
    <cellStyle name="Calculation 2 4 9" xfId="38799" xr:uid="{00000000-0005-0000-0000-0000264B0000}"/>
    <cellStyle name="Calculation 2 4 9 2" xfId="41154" xr:uid="{00000000-0005-0000-0000-0000274B0000}"/>
    <cellStyle name="Calculation 2 5" xfId="16293" xr:uid="{00000000-0005-0000-0000-0000284B0000}"/>
    <cellStyle name="Calculation 2 5 2" xfId="16294" xr:uid="{00000000-0005-0000-0000-0000294B0000}"/>
    <cellStyle name="Calculation 2 5 2 2" xfId="16295" xr:uid="{00000000-0005-0000-0000-00002A4B0000}"/>
    <cellStyle name="Calculation 2 5 2 2 2" xfId="35000" xr:uid="{00000000-0005-0000-0000-00002B4B0000}"/>
    <cellStyle name="Calculation 2 5 2 2 2 2" xfId="35001" xr:uid="{00000000-0005-0000-0000-00002C4B0000}"/>
    <cellStyle name="Calculation 2 5 2 2 2 2 2" xfId="40938" xr:uid="{00000000-0005-0000-0000-00002D4B0000}"/>
    <cellStyle name="Calculation 2 5 2 2 2 3" xfId="40939" xr:uid="{00000000-0005-0000-0000-00002E4B0000}"/>
    <cellStyle name="Calculation 2 5 2 2 3" xfId="35002" xr:uid="{00000000-0005-0000-0000-00002F4B0000}"/>
    <cellStyle name="Calculation 2 5 2 2 3 2" xfId="35003" xr:uid="{00000000-0005-0000-0000-0000304B0000}"/>
    <cellStyle name="Calculation 2 5 2 2 3 2 2" xfId="40936" xr:uid="{00000000-0005-0000-0000-0000314B0000}"/>
    <cellStyle name="Calculation 2 5 2 2 3 3" xfId="40937" xr:uid="{00000000-0005-0000-0000-0000324B0000}"/>
    <cellStyle name="Calculation 2 5 2 2 4" xfId="35004" xr:uid="{00000000-0005-0000-0000-0000334B0000}"/>
    <cellStyle name="Calculation 2 5 2 2 4 2" xfId="40935" xr:uid="{00000000-0005-0000-0000-0000344B0000}"/>
    <cellStyle name="Calculation 2 5 2 2 5" xfId="34999" xr:uid="{00000000-0005-0000-0000-0000354B0000}"/>
    <cellStyle name="Calculation 2 5 2 2 6" xfId="40940" xr:uid="{00000000-0005-0000-0000-0000364B0000}"/>
    <cellStyle name="Calculation 2 5 2 3" xfId="35005" xr:uid="{00000000-0005-0000-0000-0000374B0000}"/>
    <cellStyle name="Calculation 2 5 2 3 2" xfId="35006" xr:uid="{00000000-0005-0000-0000-0000384B0000}"/>
    <cellStyle name="Calculation 2 5 2 3 2 2" xfId="40933" xr:uid="{00000000-0005-0000-0000-0000394B0000}"/>
    <cellStyle name="Calculation 2 5 2 3 3" xfId="40934" xr:uid="{00000000-0005-0000-0000-00003A4B0000}"/>
    <cellStyle name="Calculation 2 5 2 4" xfId="35007" xr:uid="{00000000-0005-0000-0000-00003B4B0000}"/>
    <cellStyle name="Calculation 2 5 2 4 2" xfId="35008" xr:uid="{00000000-0005-0000-0000-00003C4B0000}"/>
    <cellStyle name="Calculation 2 5 2 4 2 2" xfId="40931" xr:uid="{00000000-0005-0000-0000-00003D4B0000}"/>
    <cellStyle name="Calculation 2 5 2 4 3" xfId="40932" xr:uid="{00000000-0005-0000-0000-00003E4B0000}"/>
    <cellStyle name="Calculation 2 5 2 5" xfId="35009" xr:uid="{00000000-0005-0000-0000-00003F4B0000}"/>
    <cellStyle name="Calculation 2 5 2 5 2" xfId="40930" xr:uid="{00000000-0005-0000-0000-0000404B0000}"/>
    <cellStyle name="Calculation 2 5 2 6" xfId="34998" xr:uid="{00000000-0005-0000-0000-0000414B0000}"/>
    <cellStyle name="Calculation 2 5 2 7" xfId="40941" xr:uid="{00000000-0005-0000-0000-0000424B0000}"/>
    <cellStyle name="Calculation 2 5 3" xfId="16296" xr:uid="{00000000-0005-0000-0000-0000434B0000}"/>
    <cellStyle name="Calculation 2 5 3 2" xfId="35011" xr:uid="{00000000-0005-0000-0000-0000444B0000}"/>
    <cellStyle name="Calculation 2 5 3 2 2" xfId="35012" xr:uid="{00000000-0005-0000-0000-0000454B0000}"/>
    <cellStyle name="Calculation 2 5 3 2 2 2" xfId="35013" xr:uid="{00000000-0005-0000-0000-0000464B0000}"/>
    <cellStyle name="Calculation 2 5 3 2 2 2 2" xfId="40927" xr:uid="{00000000-0005-0000-0000-0000474B0000}"/>
    <cellStyle name="Calculation 2 5 3 2 2 3" xfId="36191" xr:uid="{00000000-0005-0000-0000-0000484B0000}"/>
    <cellStyle name="Calculation 2 5 3 2 3" xfId="35014" xr:uid="{00000000-0005-0000-0000-0000494B0000}"/>
    <cellStyle name="Calculation 2 5 3 2 3 2" xfId="35015" xr:uid="{00000000-0005-0000-0000-00004A4B0000}"/>
    <cellStyle name="Calculation 2 5 3 2 3 2 2" xfId="40923" xr:uid="{00000000-0005-0000-0000-00004B4B0000}"/>
    <cellStyle name="Calculation 2 5 3 2 3 3" xfId="40925" xr:uid="{00000000-0005-0000-0000-00004C4B0000}"/>
    <cellStyle name="Calculation 2 5 3 2 4" xfId="35016" xr:uid="{00000000-0005-0000-0000-00004D4B0000}"/>
    <cellStyle name="Calculation 2 5 3 2 4 2" xfId="40922" xr:uid="{00000000-0005-0000-0000-00004E4B0000}"/>
    <cellStyle name="Calculation 2 5 3 2 5" xfId="40928" xr:uid="{00000000-0005-0000-0000-00004F4B0000}"/>
    <cellStyle name="Calculation 2 5 3 3" xfId="35017" xr:uid="{00000000-0005-0000-0000-0000504B0000}"/>
    <cellStyle name="Calculation 2 5 3 3 2" xfId="35018" xr:uid="{00000000-0005-0000-0000-0000514B0000}"/>
    <cellStyle name="Calculation 2 5 3 3 2 2" xfId="40920" xr:uid="{00000000-0005-0000-0000-0000524B0000}"/>
    <cellStyle name="Calculation 2 5 3 3 3" xfId="40921" xr:uid="{00000000-0005-0000-0000-0000534B0000}"/>
    <cellStyle name="Calculation 2 5 3 4" xfId="35019" xr:uid="{00000000-0005-0000-0000-0000544B0000}"/>
    <cellStyle name="Calculation 2 5 3 4 2" xfId="35020" xr:uid="{00000000-0005-0000-0000-0000554B0000}"/>
    <cellStyle name="Calculation 2 5 3 4 2 2" xfId="40918" xr:uid="{00000000-0005-0000-0000-0000564B0000}"/>
    <cellStyle name="Calculation 2 5 3 4 3" xfId="40919" xr:uid="{00000000-0005-0000-0000-0000574B0000}"/>
    <cellStyle name="Calculation 2 5 3 5" xfId="35021" xr:uid="{00000000-0005-0000-0000-0000584B0000}"/>
    <cellStyle name="Calculation 2 5 3 5 2" xfId="36190" xr:uid="{00000000-0005-0000-0000-0000594B0000}"/>
    <cellStyle name="Calculation 2 5 3 6" xfId="35010" xr:uid="{00000000-0005-0000-0000-00005A4B0000}"/>
    <cellStyle name="Calculation 2 5 3 7" xfId="40929" xr:uid="{00000000-0005-0000-0000-00005B4B0000}"/>
    <cellStyle name="Calculation 2 5 4" xfId="35022" xr:uid="{00000000-0005-0000-0000-00005C4B0000}"/>
    <cellStyle name="Calculation 2 5 4 2" xfId="35023" xr:uid="{00000000-0005-0000-0000-00005D4B0000}"/>
    <cellStyle name="Calculation 2 5 4 2 2" xfId="35024" xr:uid="{00000000-0005-0000-0000-00005E4B0000}"/>
    <cellStyle name="Calculation 2 5 4 2 2 2" xfId="40915" xr:uid="{00000000-0005-0000-0000-00005F4B0000}"/>
    <cellStyle name="Calculation 2 5 4 2 3" xfId="40917" xr:uid="{00000000-0005-0000-0000-0000604B0000}"/>
    <cellStyle name="Calculation 2 5 4 3" xfId="35025" xr:uid="{00000000-0005-0000-0000-0000614B0000}"/>
    <cellStyle name="Calculation 2 5 4 3 2" xfId="35026" xr:uid="{00000000-0005-0000-0000-0000624B0000}"/>
    <cellStyle name="Calculation 2 5 4 3 2 2" xfId="40912" xr:uid="{00000000-0005-0000-0000-0000634B0000}"/>
    <cellStyle name="Calculation 2 5 4 3 3" xfId="40913" xr:uid="{00000000-0005-0000-0000-0000644B0000}"/>
    <cellStyle name="Calculation 2 5 4 4" xfId="35027" xr:uid="{00000000-0005-0000-0000-0000654B0000}"/>
    <cellStyle name="Calculation 2 5 4 4 2" xfId="40911" xr:uid="{00000000-0005-0000-0000-0000664B0000}"/>
    <cellStyle name="Calculation 2 5 4 5" xfId="36189" xr:uid="{00000000-0005-0000-0000-0000674B0000}"/>
    <cellStyle name="Calculation 2 5 5" xfId="35028" xr:uid="{00000000-0005-0000-0000-0000684B0000}"/>
    <cellStyle name="Calculation 2 5 5 2" xfId="35029" xr:uid="{00000000-0005-0000-0000-0000694B0000}"/>
    <cellStyle name="Calculation 2 5 5 2 2" xfId="40909" xr:uid="{00000000-0005-0000-0000-00006A4B0000}"/>
    <cellStyle name="Calculation 2 5 5 3" xfId="40910" xr:uid="{00000000-0005-0000-0000-00006B4B0000}"/>
    <cellStyle name="Calculation 2 5 6" xfId="35030" xr:uid="{00000000-0005-0000-0000-00006C4B0000}"/>
    <cellStyle name="Calculation 2 5 6 2" xfId="35031" xr:uid="{00000000-0005-0000-0000-00006D4B0000}"/>
    <cellStyle name="Calculation 2 5 6 2 2" xfId="36188" xr:uid="{00000000-0005-0000-0000-00006E4B0000}"/>
    <cellStyle name="Calculation 2 5 6 3" xfId="40908" xr:uid="{00000000-0005-0000-0000-00006F4B0000}"/>
    <cellStyle name="Calculation 2 5 7" xfId="35032" xr:uid="{00000000-0005-0000-0000-0000704B0000}"/>
    <cellStyle name="Calculation 2 5 7 2" xfId="36187" xr:uid="{00000000-0005-0000-0000-0000714B0000}"/>
    <cellStyle name="Calculation 2 5 8" xfId="35033" xr:uid="{00000000-0005-0000-0000-0000724B0000}"/>
    <cellStyle name="Calculation 2 5 8 2" xfId="40907" xr:uid="{00000000-0005-0000-0000-0000734B0000}"/>
    <cellStyle name="Calculation 2 5 9" xfId="40942" xr:uid="{00000000-0005-0000-0000-0000744B0000}"/>
    <cellStyle name="Calculation 2 6" xfId="16297" xr:uid="{00000000-0005-0000-0000-0000754B0000}"/>
    <cellStyle name="Calculation 2 6 2" xfId="16298" xr:uid="{00000000-0005-0000-0000-0000764B0000}"/>
    <cellStyle name="Calculation 2 6 2 2" xfId="16299" xr:uid="{00000000-0005-0000-0000-0000774B0000}"/>
    <cellStyle name="Calculation 2 6 2 2 2" xfId="35036" xr:uid="{00000000-0005-0000-0000-0000784B0000}"/>
    <cellStyle name="Calculation 2 6 2 2 3" xfId="36186" xr:uid="{00000000-0005-0000-0000-0000794B0000}"/>
    <cellStyle name="Calculation 2 6 2 3" xfId="35035" xr:uid="{00000000-0005-0000-0000-00007A4B0000}"/>
    <cellStyle name="Calculation 2 6 2 4" xfId="40905" xr:uid="{00000000-0005-0000-0000-00007B4B0000}"/>
    <cellStyle name="Calculation 2 6 3" xfId="16300" xr:uid="{00000000-0005-0000-0000-00007C4B0000}"/>
    <cellStyle name="Calculation 2 6 3 2" xfId="35038" xr:uid="{00000000-0005-0000-0000-00007D4B0000}"/>
    <cellStyle name="Calculation 2 6 3 2 2" xfId="40901" xr:uid="{00000000-0005-0000-0000-00007E4B0000}"/>
    <cellStyle name="Calculation 2 6 3 3" xfId="35037" xr:uid="{00000000-0005-0000-0000-00007F4B0000}"/>
    <cellStyle name="Calculation 2 6 3 4" xfId="40903" xr:uid="{00000000-0005-0000-0000-0000804B0000}"/>
    <cellStyle name="Calculation 2 6 4" xfId="35039" xr:uid="{00000000-0005-0000-0000-0000814B0000}"/>
    <cellStyle name="Calculation 2 6 4 2" xfId="40899" xr:uid="{00000000-0005-0000-0000-0000824B0000}"/>
    <cellStyle name="Calculation 2 6 5" xfId="35034" xr:uid="{00000000-0005-0000-0000-0000834B0000}"/>
    <cellStyle name="Calculation 2 6 6" xfId="40906" xr:uid="{00000000-0005-0000-0000-0000844B0000}"/>
    <cellStyle name="Calculation 2 7" xfId="16301" xr:uid="{00000000-0005-0000-0000-0000854B0000}"/>
    <cellStyle name="Calculation 2 7 2" xfId="16302" xr:uid="{00000000-0005-0000-0000-0000864B0000}"/>
    <cellStyle name="Calculation 2 7 2 2" xfId="16303" xr:uid="{00000000-0005-0000-0000-0000874B0000}"/>
    <cellStyle name="Calculation 2 7 2 3" xfId="35041" xr:uid="{00000000-0005-0000-0000-0000884B0000}"/>
    <cellStyle name="Calculation 2 7 2 4" xfId="40897" xr:uid="{00000000-0005-0000-0000-0000894B0000}"/>
    <cellStyle name="Calculation 2 7 3" xfId="16304" xr:uid="{00000000-0005-0000-0000-00008A4B0000}"/>
    <cellStyle name="Calculation 2 7 3 2" xfId="41155" xr:uid="{00000000-0005-0000-0000-00008B4B0000}"/>
    <cellStyle name="Calculation 2 7 4" xfId="35040" xr:uid="{00000000-0005-0000-0000-00008C4B0000}"/>
    <cellStyle name="Calculation 2 7 5" xfId="40898" xr:uid="{00000000-0005-0000-0000-00008D4B0000}"/>
    <cellStyle name="Calculation 2 8" xfId="16305" xr:uid="{00000000-0005-0000-0000-00008E4B0000}"/>
    <cellStyle name="Calculation 2 8 2" xfId="35043" xr:uid="{00000000-0005-0000-0000-00008F4B0000}"/>
    <cellStyle name="Calculation 2 8 2 2" xfId="40895" xr:uid="{00000000-0005-0000-0000-0000904B0000}"/>
    <cellStyle name="Calculation 2 8 3" xfId="35042" xr:uid="{00000000-0005-0000-0000-0000914B0000}"/>
    <cellStyle name="Calculation 2 8 4" xfId="40896" xr:uid="{00000000-0005-0000-0000-0000924B0000}"/>
    <cellStyle name="Calculation 2 9" xfId="35044" xr:uid="{00000000-0005-0000-0000-0000934B0000}"/>
    <cellStyle name="Calculation 2 9 2" xfId="40894" xr:uid="{00000000-0005-0000-0000-0000944B0000}"/>
    <cellStyle name="Calculation 3" xfId="16306" xr:uid="{00000000-0005-0000-0000-0000954B0000}"/>
    <cellStyle name="Calculation 3 10" xfId="16307" xr:uid="{00000000-0005-0000-0000-0000964B0000}"/>
    <cellStyle name="Calculation 3 11" xfId="35045" xr:uid="{00000000-0005-0000-0000-0000974B0000}"/>
    <cellStyle name="Calculation 3 12" xfId="40893" xr:uid="{00000000-0005-0000-0000-0000984B0000}"/>
    <cellStyle name="Calculation 3 2" xfId="16308" xr:uid="{00000000-0005-0000-0000-0000994B0000}"/>
    <cellStyle name="Calculation 3 2 2" xfId="16309" xr:uid="{00000000-0005-0000-0000-00009A4B0000}"/>
    <cellStyle name="Calculation 3 2 2 2" xfId="16310" xr:uid="{00000000-0005-0000-0000-00009B4B0000}"/>
    <cellStyle name="Calculation 3 2 2 2 2" xfId="16311" xr:uid="{00000000-0005-0000-0000-00009C4B0000}"/>
    <cellStyle name="Calculation 3 2 2 2 2 2" xfId="16312" xr:uid="{00000000-0005-0000-0000-00009D4B0000}"/>
    <cellStyle name="Calculation 3 2 2 2 2 3" xfId="41157" xr:uid="{00000000-0005-0000-0000-00009E4B0000}"/>
    <cellStyle name="Calculation 3 2 2 2 3" xfId="16313" xr:uid="{00000000-0005-0000-0000-00009F4B0000}"/>
    <cellStyle name="Calculation 3 2 2 2 3 2" xfId="16314" xr:uid="{00000000-0005-0000-0000-0000A04B0000}"/>
    <cellStyle name="Calculation 3 2 2 2 4" xfId="16315" xr:uid="{00000000-0005-0000-0000-0000A14B0000}"/>
    <cellStyle name="Calculation 3 2 2 2 5" xfId="41156" xr:uid="{00000000-0005-0000-0000-0000A24B0000}"/>
    <cellStyle name="Calculation 3 2 2 3" xfId="16316" xr:uid="{00000000-0005-0000-0000-0000A34B0000}"/>
    <cellStyle name="Calculation 3 2 2 3 2" xfId="16317" xr:uid="{00000000-0005-0000-0000-0000A44B0000}"/>
    <cellStyle name="Calculation 3 2 2 3 2 2" xfId="16318" xr:uid="{00000000-0005-0000-0000-0000A54B0000}"/>
    <cellStyle name="Calculation 3 2 2 3 2 3" xfId="41159" xr:uid="{00000000-0005-0000-0000-0000A64B0000}"/>
    <cellStyle name="Calculation 3 2 2 3 3" xfId="16319" xr:uid="{00000000-0005-0000-0000-0000A74B0000}"/>
    <cellStyle name="Calculation 3 2 2 3 4" xfId="41158" xr:uid="{00000000-0005-0000-0000-0000A84B0000}"/>
    <cellStyle name="Calculation 3 2 2 4" xfId="16320" xr:uid="{00000000-0005-0000-0000-0000A94B0000}"/>
    <cellStyle name="Calculation 3 2 2 5" xfId="40891" xr:uid="{00000000-0005-0000-0000-0000AA4B0000}"/>
    <cellStyle name="Calculation 3 2 3" xfId="16321" xr:uid="{00000000-0005-0000-0000-0000AB4B0000}"/>
    <cellStyle name="Calculation 3 2 3 2" xfId="16322" xr:uid="{00000000-0005-0000-0000-0000AC4B0000}"/>
    <cellStyle name="Calculation 3 2 3 2 2" xfId="16323" xr:uid="{00000000-0005-0000-0000-0000AD4B0000}"/>
    <cellStyle name="Calculation 3 2 3 2 3" xfId="41161" xr:uid="{00000000-0005-0000-0000-0000AE4B0000}"/>
    <cellStyle name="Calculation 3 2 3 3" xfId="16324" xr:uid="{00000000-0005-0000-0000-0000AF4B0000}"/>
    <cellStyle name="Calculation 3 2 3 3 2" xfId="41162" xr:uid="{00000000-0005-0000-0000-0000B04B0000}"/>
    <cellStyle name="Calculation 3 2 3 4" xfId="41160" xr:uid="{00000000-0005-0000-0000-0000B14B0000}"/>
    <cellStyle name="Calculation 3 2 4" xfId="16325" xr:uid="{00000000-0005-0000-0000-0000B24B0000}"/>
    <cellStyle name="Calculation 3 2 4 2" xfId="16326" xr:uid="{00000000-0005-0000-0000-0000B34B0000}"/>
    <cellStyle name="Calculation 3 2 4 2 2" xfId="16327" xr:uid="{00000000-0005-0000-0000-0000B44B0000}"/>
    <cellStyle name="Calculation 3 2 4 2 3" xfId="41164" xr:uid="{00000000-0005-0000-0000-0000B54B0000}"/>
    <cellStyle name="Calculation 3 2 4 3" xfId="16328" xr:uid="{00000000-0005-0000-0000-0000B64B0000}"/>
    <cellStyle name="Calculation 3 2 4 3 2" xfId="16329" xr:uid="{00000000-0005-0000-0000-0000B74B0000}"/>
    <cellStyle name="Calculation 3 2 4 4" xfId="16330" xr:uid="{00000000-0005-0000-0000-0000B84B0000}"/>
    <cellStyle name="Calculation 3 2 4 5" xfId="38800" xr:uid="{00000000-0005-0000-0000-0000B94B0000}"/>
    <cellStyle name="Calculation 3 2 4 6" xfId="41163" xr:uid="{00000000-0005-0000-0000-0000BA4B0000}"/>
    <cellStyle name="Calculation 3 2 5" xfId="16331" xr:uid="{00000000-0005-0000-0000-0000BB4B0000}"/>
    <cellStyle name="Calculation 3 2 5 2" xfId="16332" xr:uid="{00000000-0005-0000-0000-0000BC4B0000}"/>
    <cellStyle name="Calculation 3 2 5 2 2" xfId="16333" xr:uid="{00000000-0005-0000-0000-0000BD4B0000}"/>
    <cellStyle name="Calculation 3 2 5 2 3" xfId="41166" xr:uid="{00000000-0005-0000-0000-0000BE4B0000}"/>
    <cellStyle name="Calculation 3 2 5 3" xfId="16334" xr:uid="{00000000-0005-0000-0000-0000BF4B0000}"/>
    <cellStyle name="Calculation 3 2 5 4" xfId="38801" xr:uid="{00000000-0005-0000-0000-0000C04B0000}"/>
    <cellStyle name="Calculation 3 2 5 5" xfId="41165" xr:uid="{00000000-0005-0000-0000-0000C14B0000}"/>
    <cellStyle name="Calculation 3 2 6" xfId="16335" xr:uid="{00000000-0005-0000-0000-0000C24B0000}"/>
    <cellStyle name="Calculation 3 2 7" xfId="40892" xr:uid="{00000000-0005-0000-0000-0000C34B0000}"/>
    <cellStyle name="Calculation 3 3" xfId="16336" xr:uid="{00000000-0005-0000-0000-0000C44B0000}"/>
    <cellStyle name="Calculation 3 3 2" xfId="16337" xr:uid="{00000000-0005-0000-0000-0000C54B0000}"/>
    <cellStyle name="Calculation 3 3 2 2" xfId="16338" xr:uid="{00000000-0005-0000-0000-0000C64B0000}"/>
    <cellStyle name="Calculation 3 3 2 2 2" xfId="16339" xr:uid="{00000000-0005-0000-0000-0000C74B0000}"/>
    <cellStyle name="Calculation 3 3 2 2 2 2" xfId="16340" xr:uid="{00000000-0005-0000-0000-0000C84B0000}"/>
    <cellStyle name="Calculation 3 3 2 2 2 3" xfId="41168" xr:uid="{00000000-0005-0000-0000-0000C94B0000}"/>
    <cellStyle name="Calculation 3 3 2 2 3" xfId="16341" xr:uid="{00000000-0005-0000-0000-0000CA4B0000}"/>
    <cellStyle name="Calculation 3 3 2 2 3 2" xfId="16342" xr:uid="{00000000-0005-0000-0000-0000CB4B0000}"/>
    <cellStyle name="Calculation 3 3 2 2 4" xfId="16343" xr:uid="{00000000-0005-0000-0000-0000CC4B0000}"/>
    <cellStyle name="Calculation 3 3 2 2 5" xfId="41167" xr:uid="{00000000-0005-0000-0000-0000CD4B0000}"/>
    <cellStyle name="Calculation 3 3 2 3" xfId="16344" xr:uid="{00000000-0005-0000-0000-0000CE4B0000}"/>
    <cellStyle name="Calculation 3 3 2 3 2" xfId="16345" xr:uid="{00000000-0005-0000-0000-0000CF4B0000}"/>
    <cellStyle name="Calculation 3 3 2 3 2 2" xfId="16346" xr:uid="{00000000-0005-0000-0000-0000D04B0000}"/>
    <cellStyle name="Calculation 3 3 2 3 2 3" xfId="41170" xr:uid="{00000000-0005-0000-0000-0000D14B0000}"/>
    <cellStyle name="Calculation 3 3 2 3 3" xfId="16347" xr:uid="{00000000-0005-0000-0000-0000D24B0000}"/>
    <cellStyle name="Calculation 3 3 2 3 4" xfId="41169" xr:uid="{00000000-0005-0000-0000-0000D34B0000}"/>
    <cellStyle name="Calculation 3 3 2 4" xfId="16348" xr:uid="{00000000-0005-0000-0000-0000D44B0000}"/>
    <cellStyle name="Calculation 3 3 2 5" xfId="40889" xr:uid="{00000000-0005-0000-0000-0000D54B0000}"/>
    <cellStyle name="Calculation 3 3 3" xfId="16349" xr:uid="{00000000-0005-0000-0000-0000D64B0000}"/>
    <cellStyle name="Calculation 3 3 3 2" xfId="16350" xr:uid="{00000000-0005-0000-0000-0000D74B0000}"/>
    <cellStyle name="Calculation 3 3 3 2 2" xfId="16351" xr:uid="{00000000-0005-0000-0000-0000D84B0000}"/>
    <cellStyle name="Calculation 3 3 3 2 3" xfId="41172" xr:uid="{00000000-0005-0000-0000-0000D94B0000}"/>
    <cellStyle name="Calculation 3 3 3 3" xfId="16352" xr:uid="{00000000-0005-0000-0000-0000DA4B0000}"/>
    <cellStyle name="Calculation 3 3 3 3 2" xfId="41173" xr:uid="{00000000-0005-0000-0000-0000DB4B0000}"/>
    <cellStyle name="Calculation 3 3 3 4" xfId="41171" xr:uid="{00000000-0005-0000-0000-0000DC4B0000}"/>
    <cellStyle name="Calculation 3 3 4" xfId="16353" xr:uid="{00000000-0005-0000-0000-0000DD4B0000}"/>
    <cellStyle name="Calculation 3 3 4 2" xfId="16354" xr:uid="{00000000-0005-0000-0000-0000DE4B0000}"/>
    <cellStyle name="Calculation 3 3 4 2 2" xfId="16355" xr:uid="{00000000-0005-0000-0000-0000DF4B0000}"/>
    <cellStyle name="Calculation 3 3 4 2 3" xfId="41175" xr:uid="{00000000-0005-0000-0000-0000E04B0000}"/>
    <cellStyle name="Calculation 3 3 4 3" xfId="16356" xr:uid="{00000000-0005-0000-0000-0000E14B0000}"/>
    <cellStyle name="Calculation 3 3 4 3 2" xfId="16357" xr:uid="{00000000-0005-0000-0000-0000E24B0000}"/>
    <cellStyle name="Calculation 3 3 4 4" xfId="16358" xr:uid="{00000000-0005-0000-0000-0000E34B0000}"/>
    <cellStyle name="Calculation 3 3 4 5" xfId="38802" xr:uid="{00000000-0005-0000-0000-0000E44B0000}"/>
    <cellStyle name="Calculation 3 3 4 6" xfId="41174" xr:uid="{00000000-0005-0000-0000-0000E54B0000}"/>
    <cellStyle name="Calculation 3 3 5" xfId="16359" xr:uid="{00000000-0005-0000-0000-0000E64B0000}"/>
    <cellStyle name="Calculation 3 3 5 2" xfId="16360" xr:uid="{00000000-0005-0000-0000-0000E74B0000}"/>
    <cellStyle name="Calculation 3 3 5 2 2" xfId="16361" xr:uid="{00000000-0005-0000-0000-0000E84B0000}"/>
    <cellStyle name="Calculation 3 3 5 2 3" xfId="41177" xr:uid="{00000000-0005-0000-0000-0000E94B0000}"/>
    <cellStyle name="Calculation 3 3 5 3" xfId="16362" xr:uid="{00000000-0005-0000-0000-0000EA4B0000}"/>
    <cellStyle name="Calculation 3 3 5 4" xfId="38803" xr:uid="{00000000-0005-0000-0000-0000EB4B0000}"/>
    <cellStyle name="Calculation 3 3 5 5" xfId="41176" xr:uid="{00000000-0005-0000-0000-0000EC4B0000}"/>
    <cellStyle name="Calculation 3 3 6" xfId="16363" xr:uid="{00000000-0005-0000-0000-0000ED4B0000}"/>
    <cellStyle name="Calculation 3 3 7" xfId="40890" xr:uid="{00000000-0005-0000-0000-0000EE4B0000}"/>
    <cellStyle name="Calculation 3 4" xfId="16364" xr:uid="{00000000-0005-0000-0000-0000EF4B0000}"/>
    <cellStyle name="Calculation 3 4 2" xfId="16365" xr:uid="{00000000-0005-0000-0000-0000F04B0000}"/>
    <cellStyle name="Calculation 3 4 2 2" xfId="16366" xr:uid="{00000000-0005-0000-0000-0000F14B0000}"/>
    <cellStyle name="Calculation 3 4 2 2 2" xfId="16367" xr:uid="{00000000-0005-0000-0000-0000F24B0000}"/>
    <cellStyle name="Calculation 3 4 2 2 3" xfId="41179" xr:uid="{00000000-0005-0000-0000-0000F34B0000}"/>
    <cellStyle name="Calculation 3 4 2 3" xfId="16368" xr:uid="{00000000-0005-0000-0000-0000F44B0000}"/>
    <cellStyle name="Calculation 3 4 2 3 2" xfId="41180" xr:uid="{00000000-0005-0000-0000-0000F54B0000}"/>
    <cellStyle name="Calculation 3 4 2 4" xfId="41178" xr:uid="{00000000-0005-0000-0000-0000F64B0000}"/>
    <cellStyle name="Calculation 3 4 3" xfId="16369" xr:uid="{00000000-0005-0000-0000-0000F74B0000}"/>
    <cellStyle name="Calculation 3 4 3 2" xfId="16370" xr:uid="{00000000-0005-0000-0000-0000F84B0000}"/>
    <cellStyle name="Calculation 3 4 3 2 2" xfId="16371" xr:uid="{00000000-0005-0000-0000-0000F94B0000}"/>
    <cellStyle name="Calculation 3 4 3 2 3" xfId="41182" xr:uid="{00000000-0005-0000-0000-0000FA4B0000}"/>
    <cellStyle name="Calculation 3 4 3 3" xfId="16372" xr:uid="{00000000-0005-0000-0000-0000FB4B0000}"/>
    <cellStyle name="Calculation 3 4 3 3 2" xfId="41183" xr:uid="{00000000-0005-0000-0000-0000FC4B0000}"/>
    <cellStyle name="Calculation 3 4 3 4" xfId="41181" xr:uid="{00000000-0005-0000-0000-0000FD4B0000}"/>
    <cellStyle name="Calculation 3 4 4" xfId="16373" xr:uid="{00000000-0005-0000-0000-0000FE4B0000}"/>
    <cellStyle name="Calculation 3 4 4 2" xfId="16374" xr:uid="{00000000-0005-0000-0000-0000FF4B0000}"/>
    <cellStyle name="Calculation 3 4 4 2 2" xfId="16375" xr:uid="{00000000-0005-0000-0000-0000004C0000}"/>
    <cellStyle name="Calculation 3 4 4 2 3" xfId="41185" xr:uid="{00000000-0005-0000-0000-0000014C0000}"/>
    <cellStyle name="Calculation 3 4 4 3" xfId="16376" xr:uid="{00000000-0005-0000-0000-0000024C0000}"/>
    <cellStyle name="Calculation 3 4 4 3 2" xfId="16377" xr:uid="{00000000-0005-0000-0000-0000034C0000}"/>
    <cellStyle name="Calculation 3 4 4 4" xfId="16378" xr:uid="{00000000-0005-0000-0000-0000044C0000}"/>
    <cellStyle name="Calculation 3 4 4 5" xfId="41184" xr:uid="{00000000-0005-0000-0000-0000054C0000}"/>
    <cellStyle name="Calculation 3 4 5" xfId="16379" xr:uid="{00000000-0005-0000-0000-0000064C0000}"/>
    <cellStyle name="Calculation 3 4 5 2" xfId="16380" xr:uid="{00000000-0005-0000-0000-0000074C0000}"/>
    <cellStyle name="Calculation 3 4 5 2 2" xfId="16381" xr:uid="{00000000-0005-0000-0000-0000084C0000}"/>
    <cellStyle name="Calculation 3 4 5 2 3" xfId="41187" xr:uid="{00000000-0005-0000-0000-0000094C0000}"/>
    <cellStyle name="Calculation 3 4 5 3" xfId="16382" xr:uid="{00000000-0005-0000-0000-00000A4C0000}"/>
    <cellStyle name="Calculation 3 4 5 4" xfId="41186" xr:uid="{00000000-0005-0000-0000-00000B4C0000}"/>
    <cellStyle name="Calculation 3 4 6" xfId="16383" xr:uid="{00000000-0005-0000-0000-00000C4C0000}"/>
    <cellStyle name="Calculation 3 4 7" xfId="40888" xr:uid="{00000000-0005-0000-0000-00000D4C0000}"/>
    <cellStyle name="Calculation 3 5" xfId="16384" xr:uid="{00000000-0005-0000-0000-00000E4C0000}"/>
    <cellStyle name="Calculation 3 5 2" xfId="16385" xr:uid="{00000000-0005-0000-0000-00000F4C0000}"/>
    <cellStyle name="Calculation 3 5 2 2" xfId="16386" xr:uid="{00000000-0005-0000-0000-0000104C0000}"/>
    <cellStyle name="Calculation 3 5 2 2 2" xfId="16387" xr:uid="{00000000-0005-0000-0000-0000114C0000}"/>
    <cellStyle name="Calculation 3 5 2 2 3" xfId="41190" xr:uid="{00000000-0005-0000-0000-0000124C0000}"/>
    <cellStyle name="Calculation 3 5 2 3" xfId="16388" xr:uid="{00000000-0005-0000-0000-0000134C0000}"/>
    <cellStyle name="Calculation 3 5 2 3 2" xfId="41191" xr:uid="{00000000-0005-0000-0000-0000144C0000}"/>
    <cellStyle name="Calculation 3 5 2 4" xfId="41189" xr:uid="{00000000-0005-0000-0000-0000154C0000}"/>
    <cellStyle name="Calculation 3 5 3" xfId="16389" xr:uid="{00000000-0005-0000-0000-0000164C0000}"/>
    <cellStyle name="Calculation 3 5 3 2" xfId="16390" xr:uid="{00000000-0005-0000-0000-0000174C0000}"/>
    <cellStyle name="Calculation 3 5 3 2 2" xfId="16391" xr:uid="{00000000-0005-0000-0000-0000184C0000}"/>
    <cellStyle name="Calculation 3 5 3 2 3" xfId="41193" xr:uid="{00000000-0005-0000-0000-0000194C0000}"/>
    <cellStyle name="Calculation 3 5 3 3" xfId="16392" xr:uid="{00000000-0005-0000-0000-00001A4C0000}"/>
    <cellStyle name="Calculation 3 5 3 3 2" xfId="41194" xr:uid="{00000000-0005-0000-0000-00001B4C0000}"/>
    <cellStyle name="Calculation 3 5 3 4" xfId="41192" xr:uid="{00000000-0005-0000-0000-00001C4C0000}"/>
    <cellStyle name="Calculation 3 5 4" xfId="16393" xr:uid="{00000000-0005-0000-0000-00001D4C0000}"/>
    <cellStyle name="Calculation 3 5 4 2" xfId="16394" xr:uid="{00000000-0005-0000-0000-00001E4C0000}"/>
    <cellStyle name="Calculation 3 5 4 3" xfId="41195" xr:uid="{00000000-0005-0000-0000-00001F4C0000}"/>
    <cellStyle name="Calculation 3 5 5" xfId="16395" xr:uid="{00000000-0005-0000-0000-0000204C0000}"/>
    <cellStyle name="Calculation 3 5 5 2" xfId="41196" xr:uid="{00000000-0005-0000-0000-0000214C0000}"/>
    <cellStyle name="Calculation 3 5 6" xfId="41188" xr:uid="{00000000-0005-0000-0000-0000224C0000}"/>
    <cellStyle name="Calculation 3 6" xfId="16396" xr:uid="{00000000-0005-0000-0000-0000234C0000}"/>
    <cellStyle name="Calculation 3 6 2" xfId="16397" xr:uid="{00000000-0005-0000-0000-0000244C0000}"/>
    <cellStyle name="Calculation 3 6 2 2" xfId="16398" xr:uid="{00000000-0005-0000-0000-0000254C0000}"/>
    <cellStyle name="Calculation 3 6 2 3" xfId="41198" xr:uid="{00000000-0005-0000-0000-0000264C0000}"/>
    <cellStyle name="Calculation 3 6 3" xfId="16399" xr:uid="{00000000-0005-0000-0000-0000274C0000}"/>
    <cellStyle name="Calculation 3 6 3 2" xfId="41199" xr:uid="{00000000-0005-0000-0000-0000284C0000}"/>
    <cellStyle name="Calculation 3 6 4" xfId="41197" xr:uid="{00000000-0005-0000-0000-0000294C0000}"/>
    <cellStyle name="Calculation 3 7" xfId="16400" xr:uid="{00000000-0005-0000-0000-00002A4C0000}"/>
    <cellStyle name="Calculation 3 7 2" xfId="16401" xr:uid="{00000000-0005-0000-0000-00002B4C0000}"/>
    <cellStyle name="Calculation 3 7 2 2" xfId="16402" xr:uid="{00000000-0005-0000-0000-00002C4C0000}"/>
    <cellStyle name="Calculation 3 7 2 3" xfId="41201" xr:uid="{00000000-0005-0000-0000-00002D4C0000}"/>
    <cellStyle name="Calculation 3 7 3" xfId="16403" xr:uid="{00000000-0005-0000-0000-00002E4C0000}"/>
    <cellStyle name="Calculation 3 7 3 2" xfId="41202" xr:uid="{00000000-0005-0000-0000-00002F4C0000}"/>
    <cellStyle name="Calculation 3 7 4" xfId="41200" xr:uid="{00000000-0005-0000-0000-0000304C0000}"/>
    <cellStyle name="Calculation 3 8" xfId="16404" xr:uid="{00000000-0005-0000-0000-0000314C0000}"/>
    <cellStyle name="Calculation 3 8 2" xfId="16405" xr:uid="{00000000-0005-0000-0000-0000324C0000}"/>
    <cellStyle name="Calculation 3 8 2 2" xfId="16406" xr:uid="{00000000-0005-0000-0000-0000334C0000}"/>
    <cellStyle name="Calculation 3 8 2 3" xfId="41204" xr:uid="{00000000-0005-0000-0000-0000344C0000}"/>
    <cellStyle name="Calculation 3 8 3" xfId="16407" xr:uid="{00000000-0005-0000-0000-0000354C0000}"/>
    <cellStyle name="Calculation 3 8 3 2" xfId="16408" xr:uid="{00000000-0005-0000-0000-0000364C0000}"/>
    <cellStyle name="Calculation 3 8 4" xfId="16409" xr:uid="{00000000-0005-0000-0000-0000374C0000}"/>
    <cellStyle name="Calculation 3 8 5" xfId="38804" xr:uid="{00000000-0005-0000-0000-0000384C0000}"/>
    <cellStyle name="Calculation 3 8 6" xfId="41203" xr:uid="{00000000-0005-0000-0000-0000394C0000}"/>
    <cellStyle name="Calculation 3 9" xfId="16410" xr:uid="{00000000-0005-0000-0000-00003A4C0000}"/>
    <cellStyle name="Calculation 3 9 2" xfId="16411" xr:uid="{00000000-0005-0000-0000-00003B4C0000}"/>
    <cellStyle name="Calculation 3 9 2 2" xfId="16412" xr:uid="{00000000-0005-0000-0000-00003C4C0000}"/>
    <cellStyle name="Calculation 3 9 2 3" xfId="41206" xr:uid="{00000000-0005-0000-0000-00003D4C0000}"/>
    <cellStyle name="Calculation 3 9 3" xfId="16413" xr:uid="{00000000-0005-0000-0000-00003E4C0000}"/>
    <cellStyle name="Calculation 3 9 4" xfId="38805" xr:uid="{00000000-0005-0000-0000-00003F4C0000}"/>
    <cellStyle name="Calculation 3 9 5" xfId="41205" xr:uid="{00000000-0005-0000-0000-0000404C0000}"/>
    <cellStyle name="Calculation 4" xfId="16414" xr:uid="{00000000-0005-0000-0000-0000414C0000}"/>
    <cellStyle name="Calculation 4 10" xfId="16415" xr:uid="{00000000-0005-0000-0000-0000424C0000}"/>
    <cellStyle name="Calculation 4 10 2" xfId="16416" xr:uid="{00000000-0005-0000-0000-0000434C0000}"/>
    <cellStyle name="Calculation 4 10 2 2" xfId="16417" xr:uid="{00000000-0005-0000-0000-0000444C0000}"/>
    <cellStyle name="Calculation 4 10 2 3" xfId="41208" xr:uid="{00000000-0005-0000-0000-0000454C0000}"/>
    <cellStyle name="Calculation 4 10 3" xfId="16418" xr:uid="{00000000-0005-0000-0000-0000464C0000}"/>
    <cellStyle name="Calculation 4 10 4" xfId="38806" xr:uid="{00000000-0005-0000-0000-0000474C0000}"/>
    <cellStyle name="Calculation 4 10 5" xfId="41207" xr:uid="{00000000-0005-0000-0000-0000484C0000}"/>
    <cellStyle name="Calculation 4 11" xfId="16419" xr:uid="{00000000-0005-0000-0000-0000494C0000}"/>
    <cellStyle name="Calculation 4 11 2" xfId="16420" xr:uid="{00000000-0005-0000-0000-00004A4C0000}"/>
    <cellStyle name="Calculation 4 11 3" xfId="41209" xr:uid="{00000000-0005-0000-0000-00004B4C0000}"/>
    <cellStyle name="Calculation 4 2" xfId="16421" xr:uid="{00000000-0005-0000-0000-00004C4C0000}"/>
    <cellStyle name="Calculation 4 2 2" xfId="16422" xr:uid="{00000000-0005-0000-0000-00004D4C0000}"/>
    <cellStyle name="Calculation 4 2 2 2" xfId="16423" xr:uid="{00000000-0005-0000-0000-00004E4C0000}"/>
    <cellStyle name="Calculation 4 2 2 2 2" xfId="16424" xr:uid="{00000000-0005-0000-0000-00004F4C0000}"/>
    <cellStyle name="Calculation 4 2 2 2 2 2" xfId="16425" xr:uid="{00000000-0005-0000-0000-0000504C0000}"/>
    <cellStyle name="Calculation 4 2 2 2 2 3" xfId="41211" xr:uid="{00000000-0005-0000-0000-0000514C0000}"/>
    <cellStyle name="Calculation 4 2 2 2 3" xfId="16426" xr:uid="{00000000-0005-0000-0000-0000524C0000}"/>
    <cellStyle name="Calculation 4 2 2 2 3 2" xfId="16427" xr:uid="{00000000-0005-0000-0000-0000534C0000}"/>
    <cellStyle name="Calculation 4 2 2 2 4" xfId="16428" xr:uid="{00000000-0005-0000-0000-0000544C0000}"/>
    <cellStyle name="Calculation 4 2 2 2 5" xfId="41210" xr:uid="{00000000-0005-0000-0000-0000554C0000}"/>
    <cellStyle name="Calculation 4 2 2 3" xfId="16429" xr:uid="{00000000-0005-0000-0000-0000564C0000}"/>
    <cellStyle name="Calculation 4 2 2 3 2" xfId="16430" xr:uid="{00000000-0005-0000-0000-0000574C0000}"/>
    <cellStyle name="Calculation 4 2 2 3 2 2" xfId="16431" xr:uid="{00000000-0005-0000-0000-0000584C0000}"/>
    <cellStyle name="Calculation 4 2 2 3 2 3" xfId="41213" xr:uid="{00000000-0005-0000-0000-0000594C0000}"/>
    <cellStyle name="Calculation 4 2 2 3 3" xfId="16432" xr:uid="{00000000-0005-0000-0000-00005A4C0000}"/>
    <cellStyle name="Calculation 4 2 2 3 4" xfId="41212" xr:uid="{00000000-0005-0000-0000-00005B4C0000}"/>
    <cellStyle name="Calculation 4 2 2 4" xfId="16433" xr:uid="{00000000-0005-0000-0000-00005C4C0000}"/>
    <cellStyle name="Calculation 4 2 2 5" xfId="40886" xr:uid="{00000000-0005-0000-0000-00005D4C0000}"/>
    <cellStyle name="Calculation 4 2 3" xfId="16434" xr:uid="{00000000-0005-0000-0000-00005E4C0000}"/>
    <cellStyle name="Calculation 4 2 3 2" xfId="16435" xr:uid="{00000000-0005-0000-0000-00005F4C0000}"/>
    <cellStyle name="Calculation 4 2 3 2 2" xfId="16436" xr:uid="{00000000-0005-0000-0000-0000604C0000}"/>
    <cellStyle name="Calculation 4 2 3 2 3" xfId="41215" xr:uid="{00000000-0005-0000-0000-0000614C0000}"/>
    <cellStyle name="Calculation 4 2 3 3" xfId="16437" xr:uid="{00000000-0005-0000-0000-0000624C0000}"/>
    <cellStyle name="Calculation 4 2 3 3 2" xfId="41216" xr:uid="{00000000-0005-0000-0000-0000634C0000}"/>
    <cellStyle name="Calculation 4 2 3 4" xfId="41214" xr:uid="{00000000-0005-0000-0000-0000644C0000}"/>
    <cellStyle name="Calculation 4 2 4" xfId="16438" xr:uid="{00000000-0005-0000-0000-0000654C0000}"/>
    <cellStyle name="Calculation 4 2 4 2" xfId="16439" xr:uid="{00000000-0005-0000-0000-0000664C0000}"/>
    <cellStyle name="Calculation 4 2 4 2 2" xfId="16440" xr:uid="{00000000-0005-0000-0000-0000674C0000}"/>
    <cellStyle name="Calculation 4 2 4 2 3" xfId="41218" xr:uid="{00000000-0005-0000-0000-0000684C0000}"/>
    <cellStyle name="Calculation 4 2 4 3" xfId="16441" xr:uid="{00000000-0005-0000-0000-0000694C0000}"/>
    <cellStyle name="Calculation 4 2 4 3 2" xfId="16442" xr:uid="{00000000-0005-0000-0000-00006A4C0000}"/>
    <cellStyle name="Calculation 4 2 4 4" xfId="16443" xr:uid="{00000000-0005-0000-0000-00006B4C0000}"/>
    <cellStyle name="Calculation 4 2 4 5" xfId="38807" xr:uid="{00000000-0005-0000-0000-00006C4C0000}"/>
    <cellStyle name="Calculation 4 2 4 6" xfId="41217" xr:uid="{00000000-0005-0000-0000-00006D4C0000}"/>
    <cellStyle name="Calculation 4 2 5" xfId="16444" xr:uid="{00000000-0005-0000-0000-00006E4C0000}"/>
    <cellStyle name="Calculation 4 2 5 2" xfId="16445" xr:uid="{00000000-0005-0000-0000-00006F4C0000}"/>
    <cellStyle name="Calculation 4 2 5 2 2" xfId="16446" xr:uid="{00000000-0005-0000-0000-0000704C0000}"/>
    <cellStyle name="Calculation 4 2 5 2 3" xfId="41220" xr:uid="{00000000-0005-0000-0000-0000714C0000}"/>
    <cellStyle name="Calculation 4 2 5 3" xfId="16447" xr:uid="{00000000-0005-0000-0000-0000724C0000}"/>
    <cellStyle name="Calculation 4 2 5 4" xfId="38808" xr:uid="{00000000-0005-0000-0000-0000734C0000}"/>
    <cellStyle name="Calculation 4 2 5 5" xfId="41219" xr:uid="{00000000-0005-0000-0000-0000744C0000}"/>
    <cellStyle name="Calculation 4 2 6" xfId="16448" xr:uid="{00000000-0005-0000-0000-0000754C0000}"/>
    <cellStyle name="Calculation 4 2 7" xfId="40887" xr:uid="{00000000-0005-0000-0000-0000764C0000}"/>
    <cellStyle name="Calculation 4 3" xfId="16449" xr:uid="{00000000-0005-0000-0000-0000774C0000}"/>
    <cellStyle name="Calculation 4 3 2" xfId="16450" xr:uid="{00000000-0005-0000-0000-0000784C0000}"/>
    <cellStyle name="Calculation 4 3 2 2" xfId="16451" xr:uid="{00000000-0005-0000-0000-0000794C0000}"/>
    <cellStyle name="Calculation 4 3 2 2 2" xfId="16452" xr:uid="{00000000-0005-0000-0000-00007A4C0000}"/>
    <cellStyle name="Calculation 4 3 2 2 2 2" xfId="16453" xr:uid="{00000000-0005-0000-0000-00007B4C0000}"/>
    <cellStyle name="Calculation 4 3 2 2 2 3" xfId="41222" xr:uid="{00000000-0005-0000-0000-00007C4C0000}"/>
    <cellStyle name="Calculation 4 3 2 2 3" xfId="16454" xr:uid="{00000000-0005-0000-0000-00007D4C0000}"/>
    <cellStyle name="Calculation 4 3 2 2 3 2" xfId="16455" xr:uid="{00000000-0005-0000-0000-00007E4C0000}"/>
    <cellStyle name="Calculation 4 3 2 2 4" xfId="16456" xr:uid="{00000000-0005-0000-0000-00007F4C0000}"/>
    <cellStyle name="Calculation 4 3 2 2 5" xfId="41221" xr:uid="{00000000-0005-0000-0000-0000804C0000}"/>
    <cellStyle name="Calculation 4 3 2 3" xfId="16457" xr:uid="{00000000-0005-0000-0000-0000814C0000}"/>
    <cellStyle name="Calculation 4 3 2 3 2" xfId="16458" xr:uid="{00000000-0005-0000-0000-0000824C0000}"/>
    <cellStyle name="Calculation 4 3 2 3 2 2" xfId="16459" xr:uid="{00000000-0005-0000-0000-0000834C0000}"/>
    <cellStyle name="Calculation 4 3 2 3 2 3" xfId="41224" xr:uid="{00000000-0005-0000-0000-0000844C0000}"/>
    <cellStyle name="Calculation 4 3 2 3 3" xfId="16460" xr:uid="{00000000-0005-0000-0000-0000854C0000}"/>
    <cellStyle name="Calculation 4 3 2 3 4" xfId="41223" xr:uid="{00000000-0005-0000-0000-0000864C0000}"/>
    <cellStyle name="Calculation 4 3 2 4" xfId="16461" xr:uid="{00000000-0005-0000-0000-0000874C0000}"/>
    <cellStyle name="Calculation 4 3 2 5" xfId="40884" xr:uid="{00000000-0005-0000-0000-0000884C0000}"/>
    <cellStyle name="Calculation 4 3 3" xfId="16462" xr:uid="{00000000-0005-0000-0000-0000894C0000}"/>
    <cellStyle name="Calculation 4 3 3 2" xfId="16463" xr:uid="{00000000-0005-0000-0000-00008A4C0000}"/>
    <cellStyle name="Calculation 4 3 3 2 2" xfId="16464" xr:uid="{00000000-0005-0000-0000-00008B4C0000}"/>
    <cellStyle name="Calculation 4 3 3 2 3" xfId="41226" xr:uid="{00000000-0005-0000-0000-00008C4C0000}"/>
    <cellStyle name="Calculation 4 3 3 3" xfId="16465" xr:uid="{00000000-0005-0000-0000-00008D4C0000}"/>
    <cellStyle name="Calculation 4 3 3 3 2" xfId="41227" xr:uid="{00000000-0005-0000-0000-00008E4C0000}"/>
    <cellStyle name="Calculation 4 3 3 4" xfId="41225" xr:uid="{00000000-0005-0000-0000-00008F4C0000}"/>
    <cellStyle name="Calculation 4 3 4" xfId="16466" xr:uid="{00000000-0005-0000-0000-0000904C0000}"/>
    <cellStyle name="Calculation 4 3 4 2" xfId="16467" xr:uid="{00000000-0005-0000-0000-0000914C0000}"/>
    <cellStyle name="Calculation 4 3 4 2 2" xfId="16468" xr:uid="{00000000-0005-0000-0000-0000924C0000}"/>
    <cellStyle name="Calculation 4 3 4 2 3" xfId="41229" xr:uid="{00000000-0005-0000-0000-0000934C0000}"/>
    <cellStyle name="Calculation 4 3 4 3" xfId="16469" xr:uid="{00000000-0005-0000-0000-0000944C0000}"/>
    <cellStyle name="Calculation 4 3 4 3 2" xfId="16470" xr:uid="{00000000-0005-0000-0000-0000954C0000}"/>
    <cellStyle name="Calculation 4 3 4 4" xfId="16471" xr:uid="{00000000-0005-0000-0000-0000964C0000}"/>
    <cellStyle name="Calculation 4 3 4 5" xfId="38809" xr:uid="{00000000-0005-0000-0000-0000974C0000}"/>
    <cellStyle name="Calculation 4 3 4 6" xfId="41228" xr:uid="{00000000-0005-0000-0000-0000984C0000}"/>
    <cellStyle name="Calculation 4 3 5" xfId="16472" xr:uid="{00000000-0005-0000-0000-0000994C0000}"/>
    <cellStyle name="Calculation 4 3 5 2" xfId="16473" xr:uid="{00000000-0005-0000-0000-00009A4C0000}"/>
    <cellStyle name="Calculation 4 3 5 2 2" xfId="16474" xr:uid="{00000000-0005-0000-0000-00009B4C0000}"/>
    <cellStyle name="Calculation 4 3 5 2 3" xfId="41231" xr:uid="{00000000-0005-0000-0000-00009C4C0000}"/>
    <cellStyle name="Calculation 4 3 5 3" xfId="16475" xr:uid="{00000000-0005-0000-0000-00009D4C0000}"/>
    <cellStyle name="Calculation 4 3 5 4" xfId="38810" xr:uid="{00000000-0005-0000-0000-00009E4C0000}"/>
    <cellStyle name="Calculation 4 3 5 5" xfId="41230" xr:uid="{00000000-0005-0000-0000-00009F4C0000}"/>
    <cellStyle name="Calculation 4 3 6" xfId="16476" xr:uid="{00000000-0005-0000-0000-0000A04C0000}"/>
    <cellStyle name="Calculation 4 3 7" xfId="40885" xr:uid="{00000000-0005-0000-0000-0000A14C0000}"/>
    <cellStyle name="Calculation 4 4" xfId="16477" xr:uid="{00000000-0005-0000-0000-0000A24C0000}"/>
    <cellStyle name="Calculation 4 4 2" xfId="16478" xr:uid="{00000000-0005-0000-0000-0000A34C0000}"/>
    <cellStyle name="Calculation 4 4 2 2" xfId="16479" xr:uid="{00000000-0005-0000-0000-0000A44C0000}"/>
    <cellStyle name="Calculation 4 4 2 2 2" xfId="16480" xr:uid="{00000000-0005-0000-0000-0000A54C0000}"/>
    <cellStyle name="Calculation 4 4 2 2 3" xfId="41233" xr:uid="{00000000-0005-0000-0000-0000A64C0000}"/>
    <cellStyle name="Calculation 4 4 2 3" xfId="16481" xr:uid="{00000000-0005-0000-0000-0000A74C0000}"/>
    <cellStyle name="Calculation 4 4 2 3 2" xfId="41234" xr:uid="{00000000-0005-0000-0000-0000A84C0000}"/>
    <cellStyle name="Calculation 4 4 2 4" xfId="41232" xr:uid="{00000000-0005-0000-0000-0000A94C0000}"/>
    <cellStyle name="Calculation 4 4 3" xfId="16482" xr:uid="{00000000-0005-0000-0000-0000AA4C0000}"/>
    <cellStyle name="Calculation 4 4 3 2" xfId="16483" xr:uid="{00000000-0005-0000-0000-0000AB4C0000}"/>
    <cellStyle name="Calculation 4 4 3 2 2" xfId="16484" xr:uid="{00000000-0005-0000-0000-0000AC4C0000}"/>
    <cellStyle name="Calculation 4 4 3 2 3" xfId="41236" xr:uid="{00000000-0005-0000-0000-0000AD4C0000}"/>
    <cellStyle name="Calculation 4 4 3 3" xfId="16485" xr:uid="{00000000-0005-0000-0000-0000AE4C0000}"/>
    <cellStyle name="Calculation 4 4 3 3 2" xfId="41237" xr:uid="{00000000-0005-0000-0000-0000AF4C0000}"/>
    <cellStyle name="Calculation 4 4 3 4" xfId="41235" xr:uid="{00000000-0005-0000-0000-0000B04C0000}"/>
    <cellStyle name="Calculation 4 4 4" xfId="16486" xr:uid="{00000000-0005-0000-0000-0000B14C0000}"/>
    <cellStyle name="Calculation 4 4 4 2" xfId="16487" xr:uid="{00000000-0005-0000-0000-0000B24C0000}"/>
    <cellStyle name="Calculation 4 4 4 2 2" xfId="16488" xr:uid="{00000000-0005-0000-0000-0000B34C0000}"/>
    <cellStyle name="Calculation 4 4 4 2 3" xfId="41239" xr:uid="{00000000-0005-0000-0000-0000B44C0000}"/>
    <cellStyle name="Calculation 4 4 4 3" xfId="16489" xr:uid="{00000000-0005-0000-0000-0000B54C0000}"/>
    <cellStyle name="Calculation 4 4 4 3 2" xfId="16490" xr:uid="{00000000-0005-0000-0000-0000B64C0000}"/>
    <cellStyle name="Calculation 4 4 4 4" xfId="16491" xr:uid="{00000000-0005-0000-0000-0000B74C0000}"/>
    <cellStyle name="Calculation 4 4 4 5" xfId="41238" xr:uid="{00000000-0005-0000-0000-0000B84C0000}"/>
    <cellStyle name="Calculation 4 4 5" xfId="16492" xr:uid="{00000000-0005-0000-0000-0000B94C0000}"/>
    <cellStyle name="Calculation 4 4 5 2" xfId="16493" xr:uid="{00000000-0005-0000-0000-0000BA4C0000}"/>
    <cellStyle name="Calculation 4 4 5 2 2" xfId="16494" xr:uid="{00000000-0005-0000-0000-0000BB4C0000}"/>
    <cellStyle name="Calculation 4 4 5 2 3" xfId="41241" xr:uid="{00000000-0005-0000-0000-0000BC4C0000}"/>
    <cellStyle name="Calculation 4 4 5 3" xfId="16495" xr:uid="{00000000-0005-0000-0000-0000BD4C0000}"/>
    <cellStyle name="Calculation 4 4 5 4" xfId="41240" xr:uid="{00000000-0005-0000-0000-0000BE4C0000}"/>
    <cellStyle name="Calculation 4 4 6" xfId="16496" xr:uid="{00000000-0005-0000-0000-0000BF4C0000}"/>
    <cellStyle name="Calculation 4 4 7" xfId="40883" xr:uid="{00000000-0005-0000-0000-0000C04C0000}"/>
    <cellStyle name="Calculation 4 5" xfId="16497" xr:uid="{00000000-0005-0000-0000-0000C14C0000}"/>
    <cellStyle name="Calculation 4 5 2" xfId="16498" xr:uid="{00000000-0005-0000-0000-0000C24C0000}"/>
    <cellStyle name="Calculation 4 5 2 2" xfId="16499" xr:uid="{00000000-0005-0000-0000-0000C34C0000}"/>
    <cellStyle name="Calculation 4 5 2 2 2" xfId="16500" xr:uid="{00000000-0005-0000-0000-0000C44C0000}"/>
    <cellStyle name="Calculation 4 5 2 2 3" xfId="41244" xr:uid="{00000000-0005-0000-0000-0000C54C0000}"/>
    <cellStyle name="Calculation 4 5 2 3" xfId="16501" xr:uid="{00000000-0005-0000-0000-0000C64C0000}"/>
    <cellStyle name="Calculation 4 5 2 3 2" xfId="41245" xr:uid="{00000000-0005-0000-0000-0000C74C0000}"/>
    <cellStyle name="Calculation 4 5 2 4" xfId="41243" xr:uid="{00000000-0005-0000-0000-0000C84C0000}"/>
    <cellStyle name="Calculation 4 5 3" xfId="16502" xr:uid="{00000000-0005-0000-0000-0000C94C0000}"/>
    <cellStyle name="Calculation 4 5 3 2" xfId="16503" xr:uid="{00000000-0005-0000-0000-0000CA4C0000}"/>
    <cellStyle name="Calculation 4 5 3 2 2" xfId="16504" xr:uid="{00000000-0005-0000-0000-0000CB4C0000}"/>
    <cellStyle name="Calculation 4 5 3 2 3" xfId="41247" xr:uid="{00000000-0005-0000-0000-0000CC4C0000}"/>
    <cellStyle name="Calculation 4 5 3 3" xfId="16505" xr:uid="{00000000-0005-0000-0000-0000CD4C0000}"/>
    <cellStyle name="Calculation 4 5 3 3 2" xfId="41248" xr:uid="{00000000-0005-0000-0000-0000CE4C0000}"/>
    <cellStyle name="Calculation 4 5 3 4" xfId="41246" xr:uid="{00000000-0005-0000-0000-0000CF4C0000}"/>
    <cellStyle name="Calculation 4 5 4" xfId="16506" xr:uid="{00000000-0005-0000-0000-0000D04C0000}"/>
    <cellStyle name="Calculation 4 5 4 2" xfId="16507" xr:uid="{00000000-0005-0000-0000-0000D14C0000}"/>
    <cellStyle name="Calculation 4 5 4 3" xfId="41249" xr:uid="{00000000-0005-0000-0000-0000D24C0000}"/>
    <cellStyle name="Calculation 4 5 5" xfId="16508" xr:uid="{00000000-0005-0000-0000-0000D34C0000}"/>
    <cellStyle name="Calculation 4 5 5 2" xfId="41250" xr:uid="{00000000-0005-0000-0000-0000D44C0000}"/>
    <cellStyle name="Calculation 4 5 6" xfId="41242" xr:uid="{00000000-0005-0000-0000-0000D54C0000}"/>
    <cellStyle name="Calculation 4 6" xfId="16509" xr:uid="{00000000-0005-0000-0000-0000D64C0000}"/>
    <cellStyle name="Calculation 4 6 2" xfId="16510" xr:uid="{00000000-0005-0000-0000-0000D74C0000}"/>
    <cellStyle name="Calculation 4 6 2 2" xfId="16511" xr:uid="{00000000-0005-0000-0000-0000D84C0000}"/>
    <cellStyle name="Calculation 4 6 2 3" xfId="41252" xr:uid="{00000000-0005-0000-0000-0000D94C0000}"/>
    <cellStyle name="Calculation 4 6 3" xfId="16512" xr:uid="{00000000-0005-0000-0000-0000DA4C0000}"/>
    <cellStyle name="Calculation 4 6 3 2" xfId="41253" xr:uid="{00000000-0005-0000-0000-0000DB4C0000}"/>
    <cellStyle name="Calculation 4 6 4" xfId="41251" xr:uid="{00000000-0005-0000-0000-0000DC4C0000}"/>
    <cellStyle name="Calculation 4 7" xfId="16513" xr:uid="{00000000-0005-0000-0000-0000DD4C0000}"/>
    <cellStyle name="Calculation 4 8" xfId="16514" xr:uid="{00000000-0005-0000-0000-0000DE4C0000}"/>
    <cellStyle name="Calculation 4 8 2" xfId="16515" xr:uid="{00000000-0005-0000-0000-0000DF4C0000}"/>
    <cellStyle name="Calculation 4 8 2 2" xfId="16516" xr:uid="{00000000-0005-0000-0000-0000E04C0000}"/>
    <cellStyle name="Calculation 4 8 2 3" xfId="41255" xr:uid="{00000000-0005-0000-0000-0000E14C0000}"/>
    <cellStyle name="Calculation 4 8 3" xfId="16517" xr:uid="{00000000-0005-0000-0000-0000E24C0000}"/>
    <cellStyle name="Calculation 4 8 3 2" xfId="41256" xr:uid="{00000000-0005-0000-0000-0000E34C0000}"/>
    <cellStyle name="Calculation 4 8 4" xfId="41254" xr:uid="{00000000-0005-0000-0000-0000E44C0000}"/>
    <cellStyle name="Calculation 4 9" xfId="16518" xr:uid="{00000000-0005-0000-0000-0000E54C0000}"/>
    <cellStyle name="Calculation 4 9 2" xfId="16519" xr:uid="{00000000-0005-0000-0000-0000E64C0000}"/>
    <cellStyle name="Calculation 4 9 2 2" xfId="16520" xr:uid="{00000000-0005-0000-0000-0000E74C0000}"/>
    <cellStyle name="Calculation 4 9 2 3" xfId="41258" xr:uid="{00000000-0005-0000-0000-0000E84C0000}"/>
    <cellStyle name="Calculation 4 9 3" xfId="16521" xr:uid="{00000000-0005-0000-0000-0000E94C0000}"/>
    <cellStyle name="Calculation 4 9 3 2" xfId="16522" xr:uid="{00000000-0005-0000-0000-0000EA4C0000}"/>
    <cellStyle name="Calculation 4 9 4" xfId="16523" xr:uid="{00000000-0005-0000-0000-0000EB4C0000}"/>
    <cellStyle name="Calculation 4 9 5" xfId="38811" xr:uid="{00000000-0005-0000-0000-0000EC4C0000}"/>
    <cellStyle name="Calculation 4 9 6" xfId="41257" xr:uid="{00000000-0005-0000-0000-0000ED4C0000}"/>
    <cellStyle name="Calculation 5" xfId="16524" xr:uid="{00000000-0005-0000-0000-0000EE4C0000}"/>
    <cellStyle name="Calculation 5 10" xfId="16525" xr:uid="{00000000-0005-0000-0000-0000EF4C0000}"/>
    <cellStyle name="Calculation 5 10 2" xfId="16526" xr:uid="{00000000-0005-0000-0000-0000F04C0000}"/>
    <cellStyle name="Calculation 5 10 2 2" xfId="16527" xr:uid="{00000000-0005-0000-0000-0000F14C0000}"/>
    <cellStyle name="Calculation 5 10 2 3" xfId="41260" xr:uid="{00000000-0005-0000-0000-0000F24C0000}"/>
    <cellStyle name="Calculation 5 10 3" xfId="16528" xr:uid="{00000000-0005-0000-0000-0000F34C0000}"/>
    <cellStyle name="Calculation 5 10 4" xfId="41259" xr:uid="{00000000-0005-0000-0000-0000F44C0000}"/>
    <cellStyle name="Calculation 5 11" xfId="16529" xr:uid="{00000000-0005-0000-0000-0000F54C0000}"/>
    <cellStyle name="Calculation 5 11 2" xfId="16530" xr:uid="{00000000-0005-0000-0000-0000F64C0000}"/>
    <cellStyle name="Calculation 5 11 3" xfId="41261" xr:uid="{00000000-0005-0000-0000-0000F74C0000}"/>
    <cellStyle name="Calculation 5 12" xfId="16531" xr:uid="{00000000-0005-0000-0000-0000F84C0000}"/>
    <cellStyle name="Calculation 5 12 2" xfId="41262" xr:uid="{00000000-0005-0000-0000-0000F94C0000}"/>
    <cellStyle name="Calculation 5 13" xfId="40882" xr:uid="{00000000-0005-0000-0000-0000FA4C0000}"/>
    <cellStyle name="Calculation 5 2" xfId="16532" xr:uid="{00000000-0005-0000-0000-0000FB4C0000}"/>
    <cellStyle name="Calculation 5 2 2" xfId="16533" xr:uid="{00000000-0005-0000-0000-0000FC4C0000}"/>
    <cellStyle name="Calculation 5 2 2 2" xfId="16534" xr:uid="{00000000-0005-0000-0000-0000FD4C0000}"/>
    <cellStyle name="Calculation 5 2 2 2 2" xfId="16535" xr:uid="{00000000-0005-0000-0000-0000FE4C0000}"/>
    <cellStyle name="Calculation 5 2 2 2 2 2" xfId="16536" xr:uid="{00000000-0005-0000-0000-0000FF4C0000}"/>
    <cellStyle name="Calculation 5 2 2 2 2 3" xfId="41264" xr:uid="{00000000-0005-0000-0000-0000004D0000}"/>
    <cellStyle name="Calculation 5 2 2 2 3" xfId="16537" xr:uid="{00000000-0005-0000-0000-0000014D0000}"/>
    <cellStyle name="Calculation 5 2 2 2 3 2" xfId="16538" xr:uid="{00000000-0005-0000-0000-0000024D0000}"/>
    <cellStyle name="Calculation 5 2 2 2 4" xfId="16539" xr:uid="{00000000-0005-0000-0000-0000034D0000}"/>
    <cellStyle name="Calculation 5 2 2 2 5" xfId="41263" xr:uid="{00000000-0005-0000-0000-0000044D0000}"/>
    <cellStyle name="Calculation 5 2 2 3" xfId="16540" xr:uid="{00000000-0005-0000-0000-0000054D0000}"/>
    <cellStyle name="Calculation 5 2 2 3 2" xfId="16541" xr:uid="{00000000-0005-0000-0000-0000064D0000}"/>
    <cellStyle name="Calculation 5 2 2 3 2 2" xfId="16542" xr:uid="{00000000-0005-0000-0000-0000074D0000}"/>
    <cellStyle name="Calculation 5 2 2 3 2 3" xfId="41266" xr:uid="{00000000-0005-0000-0000-0000084D0000}"/>
    <cellStyle name="Calculation 5 2 2 3 3" xfId="16543" xr:uid="{00000000-0005-0000-0000-0000094D0000}"/>
    <cellStyle name="Calculation 5 2 2 3 4" xfId="41265" xr:uid="{00000000-0005-0000-0000-00000A4D0000}"/>
    <cellStyle name="Calculation 5 2 2 4" xfId="16544" xr:uid="{00000000-0005-0000-0000-00000B4D0000}"/>
    <cellStyle name="Calculation 5 2 2 5" xfId="40880" xr:uid="{00000000-0005-0000-0000-00000C4D0000}"/>
    <cellStyle name="Calculation 5 2 3" xfId="16545" xr:uid="{00000000-0005-0000-0000-00000D4D0000}"/>
    <cellStyle name="Calculation 5 2 3 2" xfId="16546" xr:uid="{00000000-0005-0000-0000-00000E4D0000}"/>
    <cellStyle name="Calculation 5 2 3 2 2" xfId="16547" xr:uid="{00000000-0005-0000-0000-00000F4D0000}"/>
    <cellStyle name="Calculation 5 2 3 2 3" xfId="41268" xr:uid="{00000000-0005-0000-0000-0000104D0000}"/>
    <cellStyle name="Calculation 5 2 3 3" xfId="16548" xr:uid="{00000000-0005-0000-0000-0000114D0000}"/>
    <cellStyle name="Calculation 5 2 3 3 2" xfId="41269" xr:uid="{00000000-0005-0000-0000-0000124D0000}"/>
    <cellStyle name="Calculation 5 2 3 4" xfId="41267" xr:uid="{00000000-0005-0000-0000-0000134D0000}"/>
    <cellStyle name="Calculation 5 2 4" xfId="16549" xr:uid="{00000000-0005-0000-0000-0000144D0000}"/>
    <cellStyle name="Calculation 5 2 4 2" xfId="16550" xr:uid="{00000000-0005-0000-0000-0000154D0000}"/>
    <cellStyle name="Calculation 5 2 4 2 2" xfId="16551" xr:uid="{00000000-0005-0000-0000-0000164D0000}"/>
    <cellStyle name="Calculation 5 2 4 2 3" xfId="41271" xr:uid="{00000000-0005-0000-0000-0000174D0000}"/>
    <cellStyle name="Calculation 5 2 4 3" xfId="16552" xr:uid="{00000000-0005-0000-0000-0000184D0000}"/>
    <cellStyle name="Calculation 5 2 4 3 2" xfId="16553" xr:uid="{00000000-0005-0000-0000-0000194D0000}"/>
    <cellStyle name="Calculation 5 2 4 4" xfId="16554" xr:uid="{00000000-0005-0000-0000-00001A4D0000}"/>
    <cellStyle name="Calculation 5 2 4 5" xfId="41270" xr:uid="{00000000-0005-0000-0000-00001B4D0000}"/>
    <cellStyle name="Calculation 5 2 5" xfId="16555" xr:uid="{00000000-0005-0000-0000-00001C4D0000}"/>
    <cellStyle name="Calculation 5 2 5 2" xfId="16556" xr:uid="{00000000-0005-0000-0000-00001D4D0000}"/>
    <cellStyle name="Calculation 5 2 5 2 2" xfId="16557" xr:uid="{00000000-0005-0000-0000-00001E4D0000}"/>
    <cellStyle name="Calculation 5 2 5 2 3" xfId="41273" xr:uid="{00000000-0005-0000-0000-00001F4D0000}"/>
    <cellStyle name="Calculation 5 2 5 3" xfId="16558" xr:uid="{00000000-0005-0000-0000-0000204D0000}"/>
    <cellStyle name="Calculation 5 2 5 4" xfId="41272" xr:uid="{00000000-0005-0000-0000-0000214D0000}"/>
    <cellStyle name="Calculation 5 2 6" xfId="16559" xr:uid="{00000000-0005-0000-0000-0000224D0000}"/>
    <cellStyle name="Calculation 5 2 7" xfId="40881" xr:uid="{00000000-0005-0000-0000-0000234D0000}"/>
    <cellStyle name="Calculation 5 3" xfId="16560" xr:uid="{00000000-0005-0000-0000-0000244D0000}"/>
    <cellStyle name="Calculation 5 3 2" xfId="16561" xr:uid="{00000000-0005-0000-0000-0000254D0000}"/>
    <cellStyle name="Calculation 5 3 2 2" xfId="16562" xr:uid="{00000000-0005-0000-0000-0000264D0000}"/>
    <cellStyle name="Calculation 5 3 2 2 2" xfId="16563" xr:uid="{00000000-0005-0000-0000-0000274D0000}"/>
    <cellStyle name="Calculation 5 3 2 2 2 2" xfId="16564" xr:uid="{00000000-0005-0000-0000-0000284D0000}"/>
    <cellStyle name="Calculation 5 3 2 2 2 3" xfId="41275" xr:uid="{00000000-0005-0000-0000-0000294D0000}"/>
    <cellStyle name="Calculation 5 3 2 2 3" xfId="16565" xr:uid="{00000000-0005-0000-0000-00002A4D0000}"/>
    <cellStyle name="Calculation 5 3 2 2 3 2" xfId="16566" xr:uid="{00000000-0005-0000-0000-00002B4D0000}"/>
    <cellStyle name="Calculation 5 3 2 2 4" xfId="16567" xr:uid="{00000000-0005-0000-0000-00002C4D0000}"/>
    <cellStyle name="Calculation 5 3 2 2 5" xfId="41274" xr:uid="{00000000-0005-0000-0000-00002D4D0000}"/>
    <cellStyle name="Calculation 5 3 2 3" xfId="16568" xr:uid="{00000000-0005-0000-0000-00002E4D0000}"/>
    <cellStyle name="Calculation 5 3 2 3 2" xfId="16569" xr:uid="{00000000-0005-0000-0000-00002F4D0000}"/>
    <cellStyle name="Calculation 5 3 2 3 2 2" xfId="16570" xr:uid="{00000000-0005-0000-0000-0000304D0000}"/>
    <cellStyle name="Calculation 5 3 2 3 2 3" xfId="41277" xr:uid="{00000000-0005-0000-0000-0000314D0000}"/>
    <cellStyle name="Calculation 5 3 2 3 3" xfId="16571" xr:uid="{00000000-0005-0000-0000-0000324D0000}"/>
    <cellStyle name="Calculation 5 3 2 3 4" xfId="41276" xr:uid="{00000000-0005-0000-0000-0000334D0000}"/>
    <cellStyle name="Calculation 5 3 2 4" xfId="16572" xr:uid="{00000000-0005-0000-0000-0000344D0000}"/>
    <cellStyle name="Calculation 5 3 2 5" xfId="40879" xr:uid="{00000000-0005-0000-0000-0000354D0000}"/>
    <cellStyle name="Calculation 5 3 3" xfId="16573" xr:uid="{00000000-0005-0000-0000-0000364D0000}"/>
    <cellStyle name="Calculation 5 3 3 2" xfId="16574" xr:uid="{00000000-0005-0000-0000-0000374D0000}"/>
    <cellStyle name="Calculation 5 3 3 2 2" xfId="16575" xr:uid="{00000000-0005-0000-0000-0000384D0000}"/>
    <cellStyle name="Calculation 5 3 3 2 3" xfId="41279" xr:uid="{00000000-0005-0000-0000-0000394D0000}"/>
    <cellStyle name="Calculation 5 3 3 3" xfId="16576" xr:uid="{00000000-0005-0000-0000-00003A4D0000}"/>
    <cellStyle name="Calculation 5 3 3 3 2" xfId="41280" xr:uid="{00000000-0005-0000-0000-00003B4D0000}"/>
    <cellStyle name="Calculation 5 3 3 4" xfId="41278" xr:uid="{00000000-0005-0000-0000-00003C4D0000}"/>
    <cellStyle name="Calculation 5 3 4" xfId="16577" xr:uid="{00000000-0005-0000-0000-00003D4D0000}"/>
    <cellStyle name="Calculation 5 3 4 2" xfId="16578" xr:uid="{00000000-0005-0000-0000-00003E4D0000}"/>
    <cellStyle name="Calculation 5 3 4 2 2" xfId="16579" xr:uid="{00000000-0005-0000-0000-00003F4D0000}"/>
    <cellStyle name="Calculation 5 3 4 2 3" xfId="41282" xr:uid="{00000000-0005-0000-0000-0000404D0000}"/>
    <cellStyle name="Calculation 5 3 4 3" xfId="16580" xr:uid="{00000000-0005-0000-0000-0000414D0000}"/>
    <cellStyle name="Calculation 5 3 4 3 2" xfId="16581" xr:uid="{00000000-0005-0000-0000-0000424D0000}"/>
    <cellStyle name="Calculation 5 3 4 4" xfId="16582" xr:uid="{00000000-0005-0000-0000-0000434D0000}"/>
    <cellStyle name="Calculation 5 3 4 5" xfId="41281" xr:uid="{00000000-0005-0000-0000-0000444D0000}"/>
    <cellStyle name="Calculation 5 3 5" xfId="16583" xr:uid="{00000000-0005-0000-0000-0000454D0000}"/>
    <cellStyle name="Calculation 5 3 5 2" xfId="16584" xr:uid="{00000000-0005-0000-0000-0000464D0000}"/>
    <cellStyle name="Calculation 5 3 5 2 2" xfId="16585" xr:uid="{00000000-0005-0000-0000-0000474D0000}"/>
    <cellStyle name="Calculation 5 3 5 2 3" xfId="41284" xr:uid="{00000000-0005-0000-0000-0000484D0000}"/>
    <cellStyle name="Calculation 5 3 5 3" xfId="16586" xr:uid="{00000000-0005-0000-0000-0000494D0000}"/>
    <cellStyle name="Calculation 5 3 5 4" xfId="41283" xr:uid="{00000000-0005-0000-0000-00004A4D0000}"/>
    <cellStyle name="Calculation 5 3 6" xfId="16587" xr:uid="{00000000-0005-0000-0000-00004B4D0000}"/>
    <cellStyle name="Calculation 5 3 7" xfId="36185" xr:uid="{00000000-0005-0000-0000-00004C4D0000}"/>
    <cellStyle name="Calculation 5 4" xfId="16588" xr:uid="{00000000-0005-0000-0000-00004D4D0000}"/>
    <cellStyle name="Calculation 5 4 2" xfId="16589" xr:uid="{00000000-0005-0000-0000-00004E4D0000}"/>
    <cellStyle name="Calculation 5 4 2 2" xfId="16590" xr:uid="{00000000-0005-0000-0000-00004F4D0000}"/>
    <cellStyle name="Calculation 5 4 2 2 2" xfId="16591" xr:uid="{00000000-0005-0000-0000-0000504D0000}"/>
    <cellStyle name="Calculation 5 4 2 2 3" xfId="41286" xr:uid="{00000000-0005-0000-0000-0000514D0000}"/>
    <cellStyle name="Calculation 5 4 2 3" xfId="16592" xr:uid="{00000000-0005-0000-0000-0000524D0000}"/>
    <cellStyle name="Calculation 5 4 2 3 2" xfId="41287" xr:uid="{00000000-0005-0000-0000-0000534D0000}"/>
    <cellStyle name="Calculation 5 4 2 4" xfId="41285" xr:uid="{00000000-0005-0000-0000-0000544D0000}"/>
    <cellStyle name="Calculation 5 4 3" xfId="16593" xr:uid="{00000000-0005-0000-0000-0000554D0000}"/>
    <cellStyle name="Calculation 5 4 3 2" xfId="16594" xr:uid="{00000000-0005-0000-0000-0000564D0000}"/>
    <cellStyle name="Calculation 5 4 3 2 2" xfId="16595" xr:uid="{00000000-0005-0000-0000-0000574D0000}"/>
    <cellStyle name="Calculation 5 4 3 2 3" xfId="41289" xr:uid="{00000000-0005-0000-0000-0000584D0000}"/>
    <cellStyle name="Calculation 5 4 3 3" xfId="16596" xr:uid="{00000000-0005-0000-0000-0000594D0000}"/>
    <cellStyle name="Calculation 5 4 3 3 2" xfId="41290" xr:uid="{00000000-0005-0000-0000-00005A4D0000}"/>
    <cellStyle name="Calculation 5 4 3 4" xfId="41288" xr:uid="{00000000-0005-0000-0000-00005B4D0000}"/>
    <cellStyle name="Calculation 5 4 4" xfId="16597" xr:uid="{00000000-0005-0000-0000-00005C4D0000}"/>
    <cellStyle name="Calculation 5 4 4 2" xfId="16598" xr:uid="{00000000-0005-0000-0000-00005D4D0000}"/>
    <cellStyle name="Calculation 5 4 4 2 2" xfId="16599" xr:uid="{00000000-0005-0000-0000-00005E4D0000}"/>
    <cellStyle name="Calculation 5 4 4 2 3" xfId="41292" xr:uid="{00000000-0005-0000-0000-00005F4D0000}"/>
    <cellStyle name="Calculation 5 4 4 3" xfId="16600" xr:uid="{00000000-0005-0000-0000-0000604D0000}"/>
    <cellStyle name="Calculation 5 4 4 3 2" xfId="16601" xr:uid="{00000000-0005-0000-0000-0000614D0000}"/>
    <cellStyle name="Calculation 5 4 4 4" xfId="16602" xr:uid="{00000000-0005-0000-0000-0000624D0000}"/>
    <cellStyle name="Calculation 5 4 4 5" xfId="41291" xr:uid="{00000000-0005-0000-0000-0000634D0000}"/>
    <cellStyle name="Calculation 5 4 5" xfId="16603" xr:uid="{00000000-0005-0000-0000-0000644D0000}"/>
    <cellStyle name="Calculation 5 4 5 2" xfId="16604" xr:uid="{00000000-0005-0000-0000-0000654D0000}"/>
    <cellStyle name="Calculation 5 4 5 2 2" xfId="16605" xr:uid="{00000000-0005-0000-0000-0000664D0000}"/>
    <cellStyle name="Calculation 5 4 5 2 3" xfId="41294" xr:uid="{00000000-0005-0000-0000-0000674D0000}"/>
    <cellStyle name="Calculation 5 4 5 3" xfId="16606" xr:uid="{00000000-0005-0000-0000-0000684D0000}"/>
    <cellStyle name="Calculation 5 4 5 4" xfId="41293" xr:uid="{00000000-0005-0000-0000-0000694D0000}"/>
    <cellStyle name="Calculation 5 4 6" xfId="16607" xr:uid="{00000000-0005-0000-0000-00006A4D0000}"/>
    <cellStyle name="Calculation 5 4 7" xfId="40877" xr:uid="{00000000-0005-0000-0000-00006B4D0000}"/>
    <cellStyle name="Calculation 5 5" xfId="16608" xr:uid="{00000000-0005-0000-0000-00006C4D0000}"/>
    <cellStyle name="Calculation 5 5 2" xfId="16609" xr:uid="{00000000-0005-0000-0000-00006D4D0000}"/>
    <cellStyle name="Calculation 5 5 2 2" xfId="16610" xr:uid="{00000000-0005-0000-0000-00006E4D0000}"/>
    <cellStyle name="Calculation 5 5 2 2 2" xfId="16611" xr:uid="{00000000-0005-0000-0000-00006F4D0000}"/>
    <cellStyle name="Calculation 5 5 2 2 3" xfId="41297" xr:uid="{00000000-0005-0000-0000-0000704D0000}"/>
    <cellStyle name="Calculation 5 5 2 3" xfId="16612" xr:uid="{00000000-0005-0000-0000-0000714D0000}"/>
    <cellStyle name="Calculation 5 5 2 3 2" xfId="41298" xr:uid="{00000000-0005-0000-0000-0000724D0000}"/>
    <cellStyle name="Calculation 5 5 2 4" xfId="41296" xr:uid="{00000000-0005-0000-0000-0000734D0000}"/>
    <cellStyle name="Calculation 5 5 3" xfId="16613" xr:uid="{00000000-0005-0000-0000-0000744D0000}"/>
    <cellStyle name="Calculation 5 5 3 2" xfId="16614" xr:uid="{00000000-0005-0000-0000-0000754D0000}"/>
    <cellStyle name="Calculation 5 5 3 2 2" xfId="16615" xr:uid="{00000000-0005-0000-0000-0000764D0000}"/>
    <cellStyle name="Calculation 5 5 3 2 3" xfId="41300" xr:uid="{00000000-0005-0000-0000-0000774D0000}"/>
    <cellStyle name="Calculation 5 5 3 3" xfId="16616" xr:uid="{00000000-0005-0000-0000-0000784D0000}"/>
    <cellStyle name="Calculation 5 5 3 3 2" xfId="41301" xr:uid="{00000000-0005-0000-0000-0000794D0000}"/>
    <cellStyle name="Calculation 5 5 3 4" xfId="41299" xr:uid="{00000000-0005-0000-0000-00007A4D0000}"/>
    <cellStyle name="Calculation 5 5 4" xfId="16617" xr:uid="{00000000-0005-0000-0000-00007B4D0000}"/>
    <cellStyle name="Calculation 5 5 4 2" xfId="16618" xr:uid="{00000000-0005-0000-0000-00007C4D0000}"/>
    <cellStyle name="Calculation 5 5 4 3" xfId="41302" xr:uid="{00000000-0005-0000-0000-00007D4D0000}"/>
    <cellStyle name="Calculation 5 5 5" xfId="16619" xr:uid="{00000000-0005-0000-0000-00007E4D0000}"/>
    <cellStyle name="Calculation 5 5 5 2" xfId="41303" xr:uid="{00000000-0005-0000-0000-00007F4D0000}"/>
    <cellStyle name="Calculation 5 5 6" xfId="41295" xr:uid="{00000000-0005-0000-0000-0000804D0000}"/>
    <cellStyle name="Calculation 5 6" xfId="16620" xr:uid="{00000000-0005-0000-0000-0000814D0000}"/>
    <cellStyle name="Calculation 5 6 2" xfId="16621" xr:uid="{00000000-0005-0000-0000-0000824D0000}"/>
    <cellStyle name="Calculation 5 6 2 2" xfId="16622" xr:uid="{00000000-0005-0000-0000-0000834D0000}"/>
    <cellStyle name="Calculation 5 6 2 3" xfId="41305" xr:uid="{00000000-0005-0000-0000-0000844D0000}"/>
    <cellStyle name="Calculation 5 6 3" xfId="16623" xr:uid="{00000000-0005-0000-0000-0000854D0000}"/>
    <cellStyle name="Calculation 5 6 3 2" xfId="41306" xr:uid="{00000000-0005-0000-0000-0000864D0000}"/>
    <cellStyle name="Calculation 5 6 4" xfId="41304" xr:uid="{00000000-0005-0000-0000-0000874D0000}"/>
    <cellStyle name="Calculation 5 7" xfId="16624" xr:uid="{00000000-0005-0000-0000-0000884D0000}"/>
    <cellStyle name="Calculation 5 7 2" xfId="16625" xr:uid="{00000000-0005-0000-0000-0000894D0000}"/>
    <cellStyle name="Calculation 5 7 2 2" xfId="16626" xr:uid="{00000000-0005-0000-0000-00008A4D0000}"/>
    <cellStyle name="Calculation 5 7 2 3" xfId="41308" xr:uid="{00000000-0005-0000-0000-00008B4D0000}"/>
    <cellStyle name="Calculation 5 7 3" xfId="16627" xr:uid="{00000000-0005-0000-0000-00008C4D0000}"/>
    <cellStyle name="Calculation 5 7 3 2" xfId="41309" xr:uid="{00000000-0005-0000-0000-00008D4D0000}"/>
    <cellStyle name="Calculation 5 7 4" xfId="41307" xr:uid="{00000000-0005-0000-0000-00008E4D0000}"/>
    <cellStyle name="Calculation 5 8" xfId="16628" xr:uid="{00000000-0005-0000-0000-00008F4D0000}"/>
    <cellStyle name="Calculation 5 8 2" xfId="16629" xr:uid="{00000000-0005-0000-0000-0000904D0000}"/>
    <cellStyle name="Calculation 5 8 2 2" xfId="16630" xr:uid="{00000000-0005-0000-0000-0000914D0000}"/>
    <cellStyle name="Calculation 5 8 2 3" xfId="41311" xr:uid="{00000000-0005-0000-0000-0000924D0000}"/>
    <cellStyle name="Calculation 5 8 3" xfId="16631" xr:uid="{00000000-0005-0000-0000-0000934D0000}"/>
    <cellStyle name="Calculation 5 8 3 2" xfId="41312" xr:uid="{00000000-0005-0000-0000-0000944D0000}"/>
    <cellStyle name="Calculation 5 8 4" xfId="41310" xr:uid="{00000000-0005-0000-0000-0000954D0000}"/>
    <cellStyle name="Calculation 5 9" xfId="16632" xr:uid="{00000000-0005-0000-0000-0000964D0000}"/>
    <cellStyle name="Calculation 5 9 2" xfId="16633" xr:uid="{00000000-0005-0000-0000-0000974D0000}"/>
    <cellStyle name="Calculation 5 9 2 2" xfId="16634" xr:uid="{00000000-0005-0000-0000-0000984D0000}"/>
    <cellStyle name="Calculation 5 9 2 3" xfId="41314" xr:uid="{00000000-0005-0000-0000-0000994D0000}"/>
    <cellStyle name="Calculation 5 9 3" xfId="16635" xr:uid="{00000000-0005-0000-0000-00009A4D0000}"/>
    <cellStyle name="Calculation 5 9 3 2" xfId="16636" xr:uid="{00000000-0005-0000-0000-00009B4D0000}"/>
    <cellStyle name="Calculation 5 9 4" xfId="16637" xr:uid="{00000000-0005-0000-0000-00009C4D0000}"/>
    <cellStyle name="Calculation 5 9 5" xfId="41313" xr:uid="{00000000-0005-0000-0000-00009D4D0000}"/>
    <cellStyle name="Calculation 6" xfId="16638" xr:uid="{00000000-0005-0000-0000-00009E4D0000}"/>
    <cellStyle name="Calculation 6 10" xfId="16639" xr:uid="{00000000-0005-0000-0000-00009F4D0000}"/>
    <cellStyle name="Calculation 6 10 2" xfId="16640" xr:uid="{00000000-0005-0000-0000-0000A04D0000}"/>
    <cellStyle name="Calculation 6 10 2 2" xfId="16641" xr:uid="{00000000-0005-0000-0000-0000A14D0000}"/>
    <cellStyle name="Calculation 6 10 2 3" xfId="41316" xr:uid="{00000000-0005-0000-0000-0000A24D0000}"/>
    <cellStyle name="Calculation 6 10 3" xfId="16642" xr:uid="{00000000-0005-0000-0000-0000A34D0000}"/>
    <cellStyle name="Calculation 6 10 4" xfId="41315" xr:uid="{00000000-0005-0000-0000-0000A44D0000}"/>
    <cellStyle name="Calculation 6 11" xfId="16643" xr:uid="{00000000-0005-0000-0000-0000A54D0000}"/>
    <cellStyle name="Calculation 6 11 2" xfId="16644" xr:uid="{00000000-0005-0000-0000-0000A64D0000}"/>
    <cellStyle name="Calculation 6 11 3" xfId="41317" xr:uid="{00000000-0005-0000-0000-0000A74D0000}"/>
    <cellStyle name="Calculation 6 12" xfId="16645" xr:uid="{00000000-0005-0000-0000-0000A84D0000}"/>
    <cellStyle name="Calculation 6 12 2" xfId="41318" xr:uid="{00000000-0005-0000-0000-0000A94D0000}"/>
    <cellStyle name="Calculation 6 13" xfId="40875" xr:uid="{00000000-0005-0000-0000-0000AA4D0000}"/>
    <cellStyle name="Calculation 6 2" xfId="16646" xr:uid="{00000000-0005-0000-0000-0000AB4D0000}"/>
    <cellStyle name="Calculation 6 2 2" xfId="16647" xr:uid="{00000000-0005-0000-0000-0000AC4D0000}"/>
    <cellStyle name="Calculation 6 2 2 2" xfId="16648" xr:uid="{00000000-0005-0000-0000-0000AD4D0000}"/>
    <cellStyle name="Calculation 6 2 2 2 2" xfId="16649" xr:uid="{00000000-0005-0000-0000-0000AE4D0000}"/>
    <cellStyle name="Calculation 6 2 2 2 2 2" xfId="16650" xr:uid="{00000000-0005-0000-0000-0000AF4D0000}"/>
    <cellStyle name="Calculation 6 2 2 2 2 3" xfId="41320" xr:uid="{00000000-0005-0000-0000-0000B04D0000}"/>
    <cellStyle name="Calculation 6 2 2 2 3" xfId="16651" xr:uid="{00000000-0005-0000-0000-0000B14D0000}"/>
    <cellStyle name="Calculation 6 2 2 2 3 2" xfId="16652" xr:uid="{00000000-0005-0000-0000-0000B24D0000}"/>
    <cellStyle name="Calculation 6 2 2 2 4" xfId="16653" xr:uid="{00000000-0005-0000-0000-0000B34D0000}"/>
    <cellStyle name="Calculation 6 2 2 2 5" xfId="41319" xr:uid="{00000000-0005-0000-0000-0000B44D0000}"/>
    <cellStyle name="Calculation 6 2 2 3" xfId="16654" xr:uid="{00000000-0005-0000-0000-0000B54D0000}"/>
    <cellStyle name="Calculation 6 2 2 3 2" xfId="16655" xr:uid="{00000000-0005-0000-0000-0000B64D0000}"/>
    <cellStyle name="Calculation 6 2 2 3 2 2" xfId="16656" xr:uid="{00000000-0005-0000-0000-0000B74D0000}"/>
    <cellStyle name="Calculation 6 2 2 3 2 3" xfId="41322" xr:uid="{00000000-0005-0000-0000-0000B84D0000}"/>
    <cellStyle name="Calculation 6 2 2 3 3" xfId="16657" xr:uid="{00000000-0005-0000-0000-0000B94D0000}"/>
    <cellStyle name="Calculation 6 2 2 3 4" xfId="41321" xr:uid="{00000000-0005-0000-0000-0000BA4D0000}"/>
    <cellStyle name="Calculation 6 2 2 4" xfId="16658" xr:uid="{00000000-0005-0000-0000-0000BB4D0000}"/>
    <cellStyle name="Calculation 6 2 2 5" xfId="40873" xr:uid="{00000000-0005-0000-0000-0000BC4D0000}"/>
    <cellStyle name="Calculation 6 2 3" xfId="16659" xr:uid="{00000000-0005-0000-0000-0000BD4D0000}"/>
    <cellStyle name="Calculation 6 2 3 2" xfId="16660" xr:uid="{00000000-0005-0000-0000-0000BE4D0000}"/>
    <cellStyle name="Calculation 6 2 3 2 2" xfId="16661" xr:uid="{00000000-0005-0000-0000-0000BF4D0000}"/>
    <cellStyle name="Calculation 6 2 3 2 3" xfId="41324" xr:uid="{00000000-0005-0000-0000-0000C04D0000}"/>
    <cellStyle name="Calculation 6 2 3 3" xfId="16662" xr:uid="{00000000-0005-0000-0000-0000C14D0000}"/>
    <cellStyle name="Calculation 6 2 3 3 2" xfId="41325" xr:uid="{00000000-0005-0000-0000-0000C24D0000}"/>
    <cellStyle name="Calculation 6 2 3 4" xfId="41323" xr:uid="{00000000-0005-0000-0000-0000C34D0000}"/>
    <cellStyle name="Calculation 6 2 4" xfId="16663" xr:uid="{00000000-0005-0000-0000-0000C44D0000}"/>
    <cellStyle name="Calculation 6 2 4 2" xfId="16664" xr:uid="{00000000-0005-0000-0000-0000C54D0000}"/>
    <cellStyle name="Calculation 6 2 4 2 2" xfId="16665" xr:uid="{00000000-0005-0000-0000-0000C64D0000}"/>
    <cellStyle name="Calculation 6 2 4 2 3" xfId="41327" xr:uid="{00000000-0005-0000-0000-0000C74D0000}"/>
    <cellStyle name="Calculation 6 2 4 3" xfId="16666" xr:uid="{00000000-0005-0000-0000-0000C84D0000}"/>
    <cellStyle name="Calculation 6 2 4 3 2" xfId="16667" xr:uid="{00000000-0005-0000-0000-0000C94D0000}"/>
    <cellStyle name="Calculation 6 2 4 4" xfId="16668" xr:uid="{00000000-0005-0000-0000-0000CA4D0000}"/>
    <cellStyle name="Calculation 6 2 4 5" xfId="41326" xr:uid="{00000000-0005-0000-0000-0000CB4D0000}"/>
    <cellStyle name="Calculation 6 2 5" xfId="16669" xr:uid="{00000000-0005-0000-0000-0000CC4D0000}"/>
    <cellStyle name="Calculation 6 2 5 2" xfId="16670" xr:uid="{00000000-0005-0000-0000-0000CD4D0000}"/>
    <cellStyle name="Calculation 6 2 5 2 2" xfId="16671" xr:uid="{00000000-0005-0000-0000-0000CE4D0000}"/>
    <cellStyle name="Calculation 6 2 5 2 3" xfId="41329" xr:uid="{00000000-0005-0000-0000-0000CF4D0000}"/>
    <cellStyle name="Calculation 6 2 5 3" xfId="16672" xr:uid="{00000000-0005-0000-0000-0000D04D0000}"/>
    <cellStyle name="Calculation 6 2 5 4" xfId="41328" xr:uid="{00000000-0005-0000-0000-0000D14D0000}"/>
    <cellStyle name="Calculation 6 2 6" xfId="16673" xr:uid="{00000000-0005-0000-0000-0000D24D0000}"/>
    <cellStyle name="Calculation 6 2 7" xfId="40874" xr:uid="{00000000-0005-0000-0000-0000D34D0000}"/>
    <cellStyle name="Calculation 6 3" xfId="16674" xr:uid="{00000000-0005-0000-0000-0000D44D0000}"/>
    <cellStyle name="Calculation 6 3 2" xfId="16675" xr:uid="{00000000-0005-0000-0000-0000D54D0000}"/>
    <cellStyle name="Calculation 6 3 2 2" xfId="16676" xr:uid="{00000000-0005-0000-0000-0000D64D0000}"/>
    <cellStyle name="Calculation 6 3 2 2 2" xfId="16677" xr:uid="{00000000-0005-0000-0000-0000D74D0000}"/>
    <cellStyle name="Calculation 6 3 2 2 2 2" xfId="16678" xr:uid="{00000000-0005-0000-0000-0000D84D0000}"/>
    <cellStyle name="Calculation 6 3 2 2 2 3" xfId="41331" xr:uid="{00000000-0005-0000-0000-0000D94D0000}"/>
    <cellStyle name="Calculation 6 3 2 2 3" xfId="16679" xr:uid="{00000000-0005-0000-0000-0000DA4D0000}"/>
    <cellStyle name="Calculation 6 3 2 2 3 2" xfId="16680" xr:uid="{00000000-0005-0000-0000-0000DB4D0000}"/>
    <cellStyle name="Calculation 6 3 2 2 4" xfId="16681" xr:uid="{00000000-0005-0000-0000-0000DC4D0000}"/>
    <cellStyle name="Calculation 6 3 2 2 5" xfId="41330" xr:uid="{00000000-0005-0000-0000-0000DD4D0000}"/>
    <cellStyle name="Calculation 6 3 2 3" xfId="16682" xr:uid="{00000000-0005-0000-0000-0000DE4D0000}"/>
    <cellStyle name="Calculation 6 3 2 3 2" xfId="16683" xr:uid="{00000000-0005-0000-0000-0000DF4D0000}"/>
    <cellStyle name="Calculation 6 3 2 3 2 2" xfId="16684" xr:uid="{00000000-0005-0000-0000-0000E04D0000}"/>
    <cellStyle name="Calculation 6 3 2 3 2 3" xfId="41333" xr:uid="{00000000-0005-0000-0000-0000E14D0000}"/>
    <cellStyle name="Calculation 6 3 2 3 3" xfId="16685" xr:uid="{00000000-0005-0000-0000-0000E24D0000}"/>
    <cellStyle name="Calculation 6 3 2 3 4" xfId="41332" xr:uid="{00000000-0005-0000-0000-0000E34D0000}"/>
    <cellStyle name="Calculation 6 3 2 4" xfId="16686" xr:uid="{00000000-0005-0000-0000-0000E44D0000}"/>
    <cellStyle name="Calculation 6 3 2 5" xfId="40871" xr:uid="{00000000-0005-0000-0000-0000E54D0000}"/>
    <cellStyle name="Calculation 6 3 3" xfId="16687" xr:uid="{00000000-0005-0000-0000-0000E64D0000}"/>
    <cellStyle name="Calculation 6 3 3 2" xfId="16688" xr:uid="{00000000-0005-0000-0000-0000E74D0000}"/>
    <cellStyle name="Calculation 6 3 3 2 2" xfId="16689" xr:uid="{00000000-0005-0000-0000-0000E84D0000}"/>
    <cellStyle name="Calculation 6 3 3 2 3" xfId="41335" xr:uid="{00000000-0005-0000-0000-0000E94D0000}"/>
    <cellStyle name="Calculation 6 3 3 3" xfId="16690" xr:uid="{00000000-0005-0000-0000-0000EA4D0000}"/>
    <cellStyle name="Calculation 6 3 3 3 2" xfId="41336" xr:uid="{00000000-0005-0000-0000-0000EB4D0000}"/>
    <cellStyle name="Calculation 6 3 3 4" xfId="41334" xr:uid="{00000000-0005-0000-0000-0000EC4D0000}"/>
    <cellStyle name="Calculation 6 3 4" xfId="16691" xr:uid="{00000000-0005-0000-0000-0000ED4D0000}"/>
    <cellStyle name="Calculation 6 3 4 2" xfId="16692" xr:uid="{00000000-0005-0000-0000-0000EE4D0000}"/>
    <cellStyle name="Calculation 6 3 4 2 2" xfId="16693" xr:uid="{00000000-0005-0000-0000-0000EF4D0000}"/>
    <cellStyle name="Calculation 6 3 4 2 3" xfId="41338" xr:uid="{00000000-0005-0000-0000-0000F04D0000}"/>
    <cellStyle name="Calculation 6 3 4 3" xfId="16694" xr:uid="{00000000-0005-0000-0000-0000F14D0000}"/>
    <cellStyle name="Calculation 6 3 4 3 2" xfId="16695" xr:uid="{00000000-0005-0000-0000-0000F24D0000}"/>
    <cellStyle name="Calculation 6 3 4 4" xfId="16696" xr:uid="{00000000-0005-0000-0000-0000F34D0000}"/>
    <cellStyle name="Calculation 6 3 4 5" xfId="41337" xr:uid="{00000000-0005-0000-0000-0000F44D0000}"/>
    <cellStyle name="Calculation 6 3 5" xfId="16697" xr:uid="{00000000-0005-0000-0000-0000F54D0000}"/>
    <cellStyle name="Calculation 6 3 5 2" xfId="16698" xr:uid="{00000000-0005-0000-0000-0000F64D0000}"/>
    <cellStyle name="Calculation 6 3 5 2 2" xfId="16699" xr:uid="{00000000-0005-0000-0000-0000F74D0000}"/>
    <cellStyle name="Calculation 6 3 5 2 3" xfId="41340" xr:uid="{00000000-0005-0000-0000-0000F84D0000}"/>
    <cellStyle name="Calculation 6 3 5 3" xfId="16700" xr:uid="{00000000-0005-0000-0000-0000F94D0000}"/>
    <cellStyle name="Calculation 6 3 5 4" xfId="41339" xr:uid="{00000000-0005-0000-0000-0000FA4D0000}"/>
    <cellStyle name="Calculation 6 3 6" xfId="16701" xr:uid="{00000000-0005-0000-0000-0000FB4D0000}"/>
    <cellStyle name="Calculation 6 3 7" xfId="40872" xr:uid="{00000000-0005-0000-0000-0000FC4D0000}"/>
    <cellStyle name="Calculation 6 4" xfId="16702" xr:uid="{00000000-0005-0000-0000-0000FD4D0000}"/>
    <cellStyle name="Calculation 6 4 2" xfId="16703" xr:uid="{00000000-0005-0000-0000-0000FE4D0000}"/>
    <cellStyle name="Calculation 6 4 2 2" xfId="16704" xr:uid="{00000000-0005-0000-0000-0000FF4D0000}"/>
    <cellStyle name="Calculation 6 4 2 2 2" xfId="16705" xr:uid="{00000000-0005-0000-0000-0000004E0000}"/>
    <cellStyle name="Calculation 6 4 2 2 3" xfId="41342" xr:uid="{00000000-0005-0000-0000-0000014E0000}"/>
    <cellStyle name="Calculation 6 4 2 3" xfId="16706" xr:uid="{00000000-0005-0000-0000-0000024E0000}"/>
    <cellStyle name="Calculation 6 4 2 3 2" xfId="41343" xr:uid="{00000000-0005-0000-0000-0000034E0000}"/>
    <cellStyle name="Calculation 6 4 2 4" xfId="41341" xr:uid="{00000000-0005-0000-0000-0000044E0000}"/>
    <cellStyle name="Calculation 6 4 3" xfId="16707" xr:uid="{00000000-0005-0000-0000-0000054E0000}"/>
    <cellStyle name="Calculation 6 4 3 2" xfId="16708" xr:uid="{00000000-0005-0000-0000-0000064E0000}"/>
    <cellStyle name="Calculation 6 4 3 2 2" xfId="16709" xr:uid="{00000000-0005-0000-0000-0000074E0000}"/>
    <cellStyle name="Calculation 6 4 3 2 3" xfId="41345" xr:uid="{00000000-0005-0000-0000-0000084E0000}"/>
    <cellStyle name="Calculation 6 4 3 3" xfId="16710" xr:uid="{00000000-0005-0000-0000-0000094E0000}"/>
    <cellStyle name="Calculation 6 4 3 3 2" xfId="41346" xr:uid="{00000000-0005-0000-0000-00000A4E0000}"/>
    <cellStyle name="Calculation 6 4 3 4" xfId="41344" xr:uid="{00000000-0005-0000-0000-00000B4E0000}"/>
    <cellStyle name="Calculation 6 4 4" xfId="16711" xr:uid="{00000000-0005-0000-0000-00000C4E0000}"/>
    <cellStyle name="Calculation 6 4 4 2" xfId="16712" xr:uid="{00000000-0005-0000-0000-00000D4E0000}"/>
    <cellStyle name="Calculation 6 4 4 2 2" xfId="16713" xr:uid="{00000000-0005-0000-0000-00000E4E0000}"/>
    <cellStyle name="Calculation 6 4 4 2 3" xfId="41348" xr:uid="{00000000-0005-0000-0000-00000F4E0000}"/>
    <cellStyle name="Calculation 6 4 4 3" xfId="16714" xr:uid="{00000000-0005-0000-0000-0000104E0000}"/>
    <cellStyle name="Calculation 6 4 4 3 2" xfId="16715" xr:uid="{00000000-0005-0000-0000-0000114E0000}"/>
    <cellStyle name="Calculation 6 4 4 4" xfId="16716" xr:uid="{00000000-0005-0000-0000-0000124E0000}"/>
    <cellStyle name="Calculation 6 4 4 5" xfId="41347" xr:uid="{00000000-0005-0000-0000-0000134E0000}"/>
    <cellStyle name="Calculation 6 4 5" xfId="16717" xr:uid="{00000000-0005-0000-0000-0000144E0000}"/>
    <cellStyle name="Calculation 6 4 5 2" xfId="16718" xr:uid="{00000000-0005-0000-0000-0000154E0000}"/>
    <cellStyle name="Calculation 6 4 5 2 2" xfId="16719" xr:uid="{00000000-0005-0000-0000-0000164E0000}"/>
    <cellStyle name="Calculation 6 4 5 2 3" xfId="41350" xr:uid="{00000000-0005-0000-0000-0000174E0000}"/>
    <cellStyle name="Calculation 6 4 5 3" xfId="16720" xr:uid="{00000000-0005-0000-0000-0000184E0000}"/>
    <cellStyle name="Calculation 6 4 5 4" xfId="41349" xr:uid="{00000000-0005-0000-0000-0000194E0000}"/>
    <cellStyle name="Calculation 6 4 6" xfId="16721" xr:uid="{00000000-0005-0000-0000-00001A4E0000}"/>
    <cellStyle name="Calculation 6 4 7" xfId="40870" xr:uid="{00000000-0005-0000-0000-00001B4E0000}"/>
    <cellStyle name="Calculation 6 5" xfId="16722" xr:uid="{00000000-0005-0000-0000-00001C4E0000}"/>
    <cellStyle name="Calculation 6 5 2" xfId="16723" xr:uid="{00000000-0005-0000-0000-00001D4E0000}"/>
    <cellStyle name="Calculation 6 5 2 2" xfId="16724" xr:uid="{00000000-0005-0000-0000-00001E4E0000}"/>
    <cellStyle name="Calculation 6 5 2 2 2" xfId="16725" xr:uid="{00000000-0005-0000-0000-00001F4E0000}"/>
    <cellStyle name="Calculation 6 5 2 2 3" xfId="41353" xr:uid="{00000000-0005-0000-0000-0000204E0000}"/>
    <cellStyle name="Calculation 6 5 2 3" xfId="16726" xr:uid="{00000000-0005-0000-0000-0000214E0000}"/>
    <cellStyle name="Calculation 6 5 2 3 2" xfId="41354" xr:uid="{00000000-0005-0000-0000-0000224E0000}"/>
    <cellStyle name="Calculation 6 5 2 4" xfId="41352" xr:uid="{00000000-0005-0000-0000-0000234E0000}"/>
    <cellStyle name="Calculation 6 5 3" xfId="16727" xr:uid="{00000000-0005-0000-0000-0000244E0000}"/>
    <cellStyle name="Calculation 6 5 3 2" xfId="16728" xr:uid="{00000000-0005-0000-0000-0000254E0000}"/>
    <cellStyle name="Calculation 6 5 3 2 2" xfId="16729" xr:uid="{00000000-0005-0000-0000-0000264E0000}"/>
    <cellStyle name="Calculation 6 5 3 2 3" xfId="41356" xr:uid="{00000000-0005-0000-0000-0000274E0000}"/>
    <cellStyle name="Calculation 6 5 3 3" xfId="16730" xr:uid="{00000000-0005-0000-0000-0000284E0000}"/>
    <cellStyle name="Calculation 6 5 3 3 2" xfId="41357" xr:uid="{00000000-0005-0000-0000-0000294E0000}"/>
    <cellStyle name="Calculation 6 5 3 4" xfId="41355" xr:uid="{00000000-0005-0000-0000-00002A4E0000}"/>
    <cellStyle name="Calculation 6 5 4" xfId="16731" xr:uid="{00000000-0005-0000-0000-00002B4E0000}"/>
    <cellStyle name="Calculation 6 5 4 2" xfId="16732" xr:uid="{00000000-0005-0000-0000-00002C4E0000}"/>
    <cellStyle name="Calculation 6 5 4 3" xfId="41358" xr:uid="{00000000-0005-0000-0000-00002D4E0000}"/>
    <cellStyle name="Calculation 6 5 5" xfId="16733" xr:uid="{00000000-0005-0000-0000-00002E4E0000}"/>
    <cellStyle name="Calculation 6 5 5 2" xfId="41359" xr:uid="{00000000-0005-0000-0000-00002F4E0000}"/>
    <cellStyle name="Calculation 6 5 6" xfId="41351" xr:uid="{00000000-0005-0000-0000-0000304E0000}"/>
    <cellStyle name="Calculation 6 6" xfId="16734" xr:uid="{00000000-0005-0000-0000-0000314E0000}"/>
    <cellStyle name="Calculation 6 6 2" xfId="16735" xr:uid="{00000000-0005-0000-0000-0000324E0000}"/>
    <cellStyle name="Calculation 6 6 2 2" xfId="16736" xr:uid="{00000000-0005-0000-0000-0000334E0000}"/>
    <cellStyle name="Calculation 6 6 2 3" xfId="41361" xr:uid="{00000000-0005-0000-0000-0000344E0000}"/>
    <cellStyle name="Calculation 6 6 3" xfId="16737" xr:uid="{00000000-0005-0000-0000-0000354E0000}"/>
    <cellStyle name="Calculation 6 6 3 2" xfId="41362" xr:uid="{00000000-0005-0000-0000-0000364E0000}"/>
    <cellStyle name="Calculation 6 6 4" xfId="41360" xr:uid="{00000000-0005-0000-0000-0000374E0000}"/>
    <cellStyle name="Calculation 6 7" xfId="16738" xr:uid="{00000000-0005-0000-0000-0000384E0000}"/>
    <cellStyle name="Calculation 6 7 2" xfId="16739" xr:uid="{00000000-0005-0000-0000-0000394E0000}"/>
    <cellStyle name="Calculation 6 7 2 2" xfId="16740" xr:uid="{00000000-0005-0000-0000-00003A4E0000}"/>
    <cellStyle name="Calculation 6 7 2 3" xfId="41364" xr:uid="{00000000-0005-0000-0000-00003B4E0000}"/>
    <cellStyle name="Calculation 6 7 3" xfId="16741" xr:uid="{00000000-0005-0000-0000-00003C4E0000}"/>
    <cellStyle name="Calculation 6 7 3 2" xfId="41365" xr:uid="{00000000-0005-0000-0000-00003D4E0000}"/>
    <cellStyle name="Calculation 6 7 4" xfId="41363" xr:uid="{00000000-0005-0000-0000-00003E4E0000}"/>
    <cellStyle name="Calculation 6 8" xfId="16742" xr:uid="{00000000-0005-0000-0000-00003F4E0000}"/>
    <cellStyle name="Calculation 6 8 2" xfId="16743" xr:uid="{00000000-0005-0000-0000-0000404E0000}"/>
    <cellStyle name="Calculation 6 8 2 2" xfId="16744" xr:uid="{00000000-0005-0000-0000-0000414E0000}"/>
    <cellStyle name="Calculation 6 8 2 3" xfId="41367" xr:uid="{00000000-0005-0000-0000-0000424E0000}"/>
    <cellStyle name="Calculation 6 8 3" xfId="16745" xr:uid="{00000000-0005-0000-0000-0000434E0000}"/>
    <cellStyle name="Calculation 6 8 3 2" xfId="41368" xr:uid="{00000000-0005-0000-0000-0000444E0000}"/>
    <cellStyle name="Calculation 6 8 4" xfId="41366" xr:uid="{00000000-0005-0000-0000-0000454E0000}"/>
    <cellStyle name="Calculation 6 9" xfId="16746" xr:uid="{00000000-0005-0000-0000-0000464E0000}"/>
    <cellStyle name="Calculation 6 9 2" xfId="16747" xr:uid="{00000000-0005-0000-0000-0000474E0000}"/>
    <cellStyle name="Calculation 6 9 2 2" xfId="16748" xr:uid="{00000000-0005-0000-0000-0000484E0000}"/>
    <cellStyle name="Calculation 6 9 2 3" xfId="41370" xr:uid="{00000000-0005-0000-0000-0000494E0000}"/>
    <cellStyle name="Calculation 6 9 3" xfId="16749" xr:uid="{00000000-0005-0000-0000-00004A4E0000}"/>
    <cellStyle name="Calculation 6 9 3 2" xfId="16750" xr:uid="{00000000-0005-0000-0000-00004B4E0000}"/>
    <cellStyle name="Calculation 6 9 4" xfId="16751" xr:uid="{00000000-0005-0000-0000-00004C4E0000}"/>
    <cellStyle name="Calculation 6 9 5" xfId="41369" xr:uid="{00000000-0005-0000-0000-00004D4E0000}"/>
    <cellStyle name="Calculation 7" xfId="16752" xr:uid="{00000000-0005-0000-0000-00004E4E0000}"/>
    <cellStyle name="Calculation 7 2" xfId="16753" xr:uid="{00000000-0005-0000-0000-00004F4E0000}"/>
    <cellStyle name="Calculation 7 2 2" xfId="16754" xr:uid="{00000000-0005-0000-0000-0000504E0000}"/>
    <cellStyle name="Calculation 7 2 2 2" xfId="16755" xr:uid="{00000000-0005-0000-0000-0000514E0000}"/>
    <cellStyle name="Calculation 7 2 2 2 2" xfId="16756" xr:uid="{00000000-0005-0000-0000-0000524E0000}"/>
    <cellStyle name="Calculation 7 2 2 2 3" xfId="41373" xr:uid="{00000000-0005-0000-0000-0000534E0000}"/>
    <cellStyle name="Calculation 7 2 2 3" xfId="16757" xr:uid="{00000000-0005-0000-0000-0000544E0000}"/>
    <cellStyle name="Calculation 7 2 2 3 2" xfId="41374" xr:uid="{00000000-0005-0000-0000-0000554E0000}"/>
    <cellStyle name="Calculation 7 2 2 4" xfId="41372" xr:uid="{00000000-0005-0000-0000-0000564E0000}"/>
    <cellStyle name="Calculation 7 2 3" xfId="16758" xr:uid="{00000000-0005-0000-0000-0000574E0000}"/>
    <cellStyle name="Calculation 7 2 3 2" xfId="16759" xr:uid="{00000000-0005-0000-0000-0000584E0000}"/>
    <cellStyle name="Calculation 7 2 3 2 2" xfId="16760" xr:uid="{00000000-0005-0000-0000-0000594E0000}"/>
    <cellStyle name="Calculation 7 2 3 2 3" xfId="41376" xr:uid="{00000000-0005-0000-0000-00005A4E0000}"/>
    <cellStyle name="Calculation 7 2 3 3" xfId="16761" xr:uid="{00000000-0005-0000-0000-00005B4E0000}"/>
    <cellStyle name="Calculation 7 2 3 3 2" xfId="41377" xr:uid="{00000000-0005-0000-0000-00005C4E0000}"/>
    <cellStyle name="Calculation 7 2 3 4" xfId="41375" xr:uid="{00000000-0005-0000-0000-00005D4E0000}"/>
    <cellStyle name="Calculation 7 2 4" xfId="16762" xr:uid="{00000000-0005-0000-0000-00005E4E0000}"/>
    <cellStyle name="Calculation 7 2 4 2" xfId="16763" xr:uid="{00000000-0005-0000-0000-00005F4E0000}"/>
    <cellStyle name="Calculation 7 2 4 3" xfId="41378" xr:uid="{00000000-0005-0000-0000-0000604E0000}"/>
    <cellStyle name="Calculation 7 2 5" xfId="16764" xr:uid="{00000000-0005-0000-0000-0000614E0000}"/>
    <cellStyle name="Calculation 7 2 5 2" xfId="41379" xr:uid="{00000000-0005-0000-0000-0000624E0000}"/>
    <cellStyle name="Calculation 7 2 6" xfId="41371" xr:uid="{00000000-0005-0000-0000-0000634E0000}"/>
    <cellStyle name="Calculation 7 3" xfId="16765" xr:uid="{00000000-0005-0000-0000-0000644E0000}"/>
    <cellStyle name="Calculation 7 3 2" xfId="16766" xr:uid="{00000000-0005-0000-0000-0000654E0000}"/>
    <cellStyle name="Calculation 7 3 2 2" xfId="16767" xr:uid="{00000000-0005-0000-0000-0000664E0000}"/>
    <cellStyle name="Calculation 7 3 2 3" xfId="41381" xr:uid="{00000000-0005-0000-0000-0000674E0000}"/>
    <cellStyle name="Calculation 7 3 3" xfId="16768" xr:uid="{00000000-0005-0000-0000-0000684E0000}"/>
    <cellStyle name="Calculation 7 3 3 2" xfId="41382" xr:uid="{00000000-0005-0000-0000-0000694E0000}"/>
    <cellStyle name="Calculation 7 3 4" xfId="41380" xr:uid="{00000000-0005-0000-0000-00006A4E0000}"/>
    <cellStyle name="Calculation 7 4" xfId="16769" xr:uid="{00000000-0005-0000-0000-00006B4E0000}"/>
    <cellStyle name="Calculation 7 4 2" xfId="16770" xr:uid="{00000000-0005-0000-0000-00006C4E0000}"/>
    <cellStyle name="Calculation 7 4 2 2" xfId="16771" xr:uid="{00000000-0005-0000-0000-00006D4E0000}"/>
    <cellStyle name="Calculation 7 4 2 3" xfId="41384" xr:uid="{00000000-0005-0000-0000-00006E4E0000}"/>
    <cellStyle name="Calculation 7 4 3" xfId="16772" xr:uid="{00000000-0005-0000-0000-00006F4E0000}"/>
    <cellStyle name="Calculation 7 4 3 2" xfId="41385" xr:uid="{00000000-0005-0000-0000-0000704E0000}"/>
    <cellStyle name="Calculation 7 4 4" xfId="41383" xr:uid="{00000000-0005-0000-0000-0000714E0000}"/>
    <cellStyle name="Calculation 7 5" xfId="16773" xr:uid="{00000000-0005-0000-0000-0000724E0000}"/>
    <cellStyle name="Calculation 7 5 2" xfId="38813" xr:uid="{00000000-0005-0000-0000-0000734E0000}"/>
    <cellStyle name="Calculation 7 5 3" xfId="38812" xr:uid="{00000000-0005-0000-0000-0000744E0000}"/>
    <cellStyle name="Calculation 7 5 4" xfId="41386" xr:uid="{00000000-0005-0000-0000-0000754E0000}"/>
    <cellStyle name="Calculation 7 6" xfId="16774" xr:uid="{00000000-0005-0000-0000-0000764E0000}"/>
    <cellStyle name="Calculation 7 6 2" xfId="16775" xr:uid="{00000000-0005-0000-0000-0000774E0000}"/>
    <cellStyle name="Calculation 7 6 3" xfId="41387" xr:uid="{00000000-0005-0000-0000-0000784E0000}"/>
    <cellStyle name="Calculation 7 7" xfId="16776" xr:uid="{00000000-0005-0000-0000-0000794E0000}"/>
    <cellStyle name="Calculation 8" xfId="16777" xr:uid="{00000000-0005-0000-0000-00007A4E0000}"/>
    <cellStyle name="Calculation 9" xfId="16778" xr:uid="{00000000-0005-0000-0000-00007B4E0000}"/>
    <cellStyle name="Calculation 9 2" xfId="16779" xr:uid="{00000000-0005-0000-0000-00007C4E0000}"/>
    <cellStyle name="Calculation 9 2 2" xfId="16780" xr:uid="{00000000-0005-0000-0000-00007D4E0000}"/>
    <cellStyle name="Calculation 9 2 3" xfId="41389" xr:uid="{00000000-0005-0000-0000-00007E4E0000}"/>
    <cellStyle name="Calculation 9 3" xfId="16781" xr:uid="{00000000-0005-0000-0000-00007F4E0000}"/>
    <cellStyle name="Calculation 9 3 2" xfId="41390" xr:uid="{00000000-0005-0000-0000-0000804E0000}"/>
    <cellStyle name="Calculation 9 4" xfId="41388" xr:uid="{00000000-0005-0000-0000-0000814E0000}"/>
    <cellStyle name="Check Cell 2" xfId="16782" xr:uid="{00000000-0005-0000-0000-0000824E0000}"/>
    <cellStyle name="Check Cell 2 2" xfId="16783" xr:uid="{00000000-0005-0000-0000-0000834E0000}"/>
    <cellStyle name="Check Cell 2 2 2" xfId="16784" xr:uid="{00000000-0005-0000-0000-0000844E0000}"/>
    <cellStyle name="Check Cell 2 2 2 2" xfId="35047" xr:uid="{00000000-0005-0000-0000-0000854E0000}"/>
    <cellStyle name="Check Cell 2 2 2 3" xfId="35046" xr:uid="{00000000-0005-0000-0000-0000864E0000}"/>
    <cellStyle name="Check Cell 2 2 3" xfId="16785" xr:uid="{00000000-0005-0000-0000-0000874E0000}"/>
    <cellStyle name="Check Cell 2 2 3 2" xfId="38814" xr:uid="{00000000-0005-0000-0000-0000884E0000}"/>
    <cellStyle name="Check Cell 2 2 4" xfId="16786" xr:uid="{00000000-0005-0000-0000-0000894E0000}"/>
    <cellStyle name="Check Cell 2 3" xfId="16787" xr:uid="{00000000-0005-0000-0000-00008A4E0000}"/>
    <cellStyle name="Check Cell 2 3 2" xfId="16788" xr:uid="{00000000-0005-0000-0000-00008B4E0000}"/>
    <cellStyle name="Check Cell 2 4" xfId="16789" xr:uid="{00000000-0005-0000-0000-00008C4E0000}"/>
    <cellStyle name="Check Cell 2 4 2" xfId="16790" xr:uid="{00000000-0005-0000-0000-00008D4E0000}"/>
    <cellStyle name="Check Cell 2 4 3" xfId="35048" xr:uid="{00000000-0005-0000-0000-00008E4E0000}"/>
    <cellStyle name="Check Cell 2 5" xfId="16791" xr:uid="{00000000-0005-0000-0000-00008F4E0000}"/>
    <cellStyle name="Check Cell 3" xfId="16792" xr:uid="{00000000-0005-0000-0000-0000904E0000}"/>
    <cellStyle name="Check Cell 3 2" xfId="16793" xr:uid="{00000000-0005-0000-0000-0000914E0000}"/>
    <cellStyle name="Check Cell 3 3" xfId="16794" xr:uid="{00000000-0005-0000-0000-0000924E0000}"/>
    <cellStyle name="Check Cell 3 3 2" xfId="38816" xr:uid="{00000000-0005-0000-0000-0000934E0000}"/>
    <cellStyle name="Check Cell 3 3 3" xfId="38815" xr:uid="{00000000-0005-0000-0000-0000944E0000}"/>
    <cellStyle name="Check Cell 3 4" xfId="16795" xr:uid="{00000000-0005-0000-0000-0000954E0000}"/>
    <cellStyle name="Check Cell 4" xfId="16796" xr:uid="{00000000-0005-0000-0000-0000964E0000}"/>
    <cellStyle name="Check Cell 4 2" xfId="16797" xr:uid="{00000000-0005-0000-0000-0000974E0000}"/>
    <cellStyle name="Check Cell 5" xfId="16798" xr:uid="{00000000-0005-0000-0000-0000984E0000}"/>
    <cellStyle name="Check Cell 5 2" xfId="16799" xr:uid="{00000000-0005-0000-0000-0000994E0000}"/>
    <cellStyle name="Check Cell 6" xfId="16800" xr:uid="{00000000-0005-0000-0000-00009A4E0000}"/>
    <cellStyle name="Column heading" xfId="16801" xr:uid="{00000000-0005-0000-0000-00009B4E0000}"/>
    <cellStyle name="Column heading 2" xfId="16802" xr:uid="{00000000-0005-0000-0000-00009C4E0000}"/>
    <cellStyle name="Column heading 2 2" xfId="16803" xr:uid="{00000000-0005-0000-0000-00009D4E0000}"/>
    <cellStyle name="Column heading 2 2 2" xfId="16804" xr:uid="{00000000-0005-0000-0000-00009E4E0000}"/>
    <cellStyle name="Column heading 2 2 2 2" xfId="16805" xr:uid="{00000000-0005-0000-0000-00009F4E0000}"/>
    <cellStyle name="Column heading 2 2 2 2 2" xfId="16806" xr:uid="{00000000-0005-0000-0000-0000A04E0000}"/>
    <cellStyle name="Column heading 2 2 2 2 3" xfId="16807" xr:uid="{00000000-0005-0000-0000-0000A14E0000}"/>
    <cellStyle name="Column heading 2 2 2 2 4" xfId="16808" xr:uid="{00000000-0005-0000-0000-0000A24E0000}"/>
    <cellStyle name="Column heading 2 2 2 2 5" xfId="16809" xr:uid="{00000000-0005-0000-0000-0000A34E0000}"/>
    <cellStyle name="Column heading 2 2 2 2 6" xfId="16810" xr:uid="{00000000-0005-0000-0000-0000A44E0000}"/>
    <cellStyle name="Column heading 2 2 2 3" xfId="16811" xr:uid="{00000000-0005-0000-0000-0000A54E0000}"/>
    <cellStyle name="Column heading 2 2 2 3 2" xfId="16812" xr:uid="{00000000-0005-0000-0000-0000A64E0000}"/>
    <cellStyle name="Column heading 2 2 2 3 3" xfId="16813" xr:uid="{00000000-0005-0000-0000-0000A74E0000}"/>
    <cellStyle name="Column heading 2 2 2 3 4" xfId="16814" xr:uid="{00000000-0005-0000-0000-0000A84E0000}"/>
    <cellStyle name="Column heading 2 2 2 4" xfId="16815" xr:uid="{00000000-0005-0000-0000-0000A94E0000}"/>
    <cellStyle name="Column heading 2 2 2 4 2" xfId="16816" xr:uid="{00000000-0005-0000-0000-0000AA4E0000}"/>
    <cellStyle name="Column heading 2 2 2 4 3" xfId="16817" xr:uid="{00000000-0005-0000-0000-0000AB4E0000}"/>
    <cellStyle name="Column heading 2 2 2 5" xfId="16818" xr:uid="{00000000-0005-0000-0000-0000AC4E0000}"/>
    <cellStyle name="Column heading 2 2 2 5 2" xfId="16819" xr:uid="{00000000-0005-0000-0000-0000AD4E0000}"/>
    <cellStyle name="Column heading 2 2 2 5 3" xfId="16820" xr:uid="{00000000-0005-0000-0000-0000AE4E0000}"/>
    <cellStyle name="Column heading 2 2 2 6" xfId="16821" xr:uid="{00000000-0005-0000-0000-0000AF4E0000}"/>
    <cellStyle name="Column heading 2 2 2 7" xfId="16822" xr:uid="{00000000-0005-0000-0000-0000B04E0000}"/>
    <cellStyle name="Column heading 2 2 2 8" xfId="16823" xr:uid="{00000000-0005-0000-0000-0000B14E0000}"/>
    <cellStyle name="Column heading 2 2 3" xfId="16824" xr:uid="{00000000-0005-0000-0000-0000B24E0000}"/>
    <cellStyle name="Column heading 2 2 3 2" xfId="16825" xr:uid="{00000000-0005-0000-0000-0000B34E0000}"/>
    <cellStyle name="Column heading 2 2 3 3" xfId="16826" xr:uid="{00000000-0005-0000-0000-0000B44E0000}"/>
    <cellStyle name="Column heading 2 2 3 4" xfId="16827" xr:uid="{00000000-0005-0000-0000-0000B54E0000}"/>
    <cellStyle name="Column heading 2 2 3 5" xfId="16828" xr:uid="{00000000-0005-0000-0000-0000B64E0000}"/>
    <cellStyle name="Column heading 2 2 3 6" xfId="16829" xr:uid="{00000000-0005-0000-0000-0000B74E0000}"/>
    <cellStyle name="Column heading 2 2 4" xfId="16830" xr:uid="{00000000-0005-0000-0000-0000B84E0000}"/>
    <cellStyle name="Column heading 2 2 4 2" xfId="16831" xr:uid="{00000000-0005-0000-0000-0000B94E0000}"/>
    <cellStyle name="Column heading 2 2 4 3" xfId="16832" xr:uid="{00000000-0005-0000-0000-0000BA4E0000}"/>
    <cellStyle name="Column heading 2 2 4 4" xfId="16833" xr:uid="{00000000-0005-0000-0000-0000BB4E0000}"/>
    <cellStyle name="Column heading 2 2 5" xfId="16834" xr:uid="{00000000-0005-0000-0000-0000BC4E0000}"/>
    <cellStyle name="Column heading 2 2 5 2" xfId="16835" xr:uid="{00000000-0005-0000-0000-0000BD4E0000}"/>
    <cellStyle name="Column heading 2 2 5 3" xfId="16836" xr:uid="{00000000-0005-0000-0000-0000BE4E0000}"/>
    <cellStyle name="Column heading 2 2 6" xfId="16837" xr:uid="{00000000-0005-0000-0000-0000BF4E0000}"/>
    <cellStyle name="Column heading 2 2 6 2" xfId="16838" xr:uid="{00000000-0005-0000-0000-0000C04E0000}"/>
    <cellStyle name="Column heading 2 2 6 3" xfId="16839" xr:uid="{00000000-0005-0000-0000-0000C14E0000}"/>
    <cellStyle name="Column heading 2 2 7" xfId="16840" xr:uid="{00000000-0005-0000-0000-0000C24E0000}"/>
    <cellStyle name="Column heading 2 2 8" xfId="16841" xr:uid="{00000000-0005-0000-0000-0000C34E0000}"/>
    <cellStyle name="Column heading 2 2 9" xfId="16842" xr:uid="{00000000-0005-0000-0000-0000C44E0000}"/>
    <cellStyle name="Column heading 2 3" xfId="16843" xr:uid="{00000000-0005-0000-0000-0000C54E0000}"/>
    <cellStyle name="Column heading 2 3 2" xfId="16844" xr:uid="{00000000-0005-0000-0000-0000C64E0000}"/>
    <cellStyle name="Column heading 2 3 3" xfId="16845" xr:uid="{00000000-0005-0000-0000-0000C74E0000}"/>
    <cellStyle name="Column heading 2 3 4" xfId="16846" xr:uid="{00000000-0005-0000-0000-0000C84E0000}"/>
    <cellStyle name="Column heading 2 3 5" xfId="16847" xr:uid="{00000000-0005-0000-0000-0000C94E0000}"/>
    <cellStyle name="Column heading 2 3 6" xfId="16848" xr:uid="{00000000-0005-0000-0000-0000CA4E0000}"/>
    <cellStyle name="Column heading 2 4" xfId="16849" xr:uid="{00000000-0005-0000-0000-0000CB4E0000}"/>
    <cellStyle name="Column heading 2 5" xfId="16850" xr:uid="{00000000-0005-0000-0000-0000CC4E0000}"/>
    <cellStyle name="Column heading 2 6" xfId="16851" xr:uid="{00000000-0005-0000-0000-0000CD4E0000}"/>
    <cellStyle name="Column heading 2 7" xfId="16852" xr:uid="{00000000-0005-0000-0000-0000CE4E0000}"/>
    <cellStyle name="Column heading 3" xfId="16853" xr:uid="{00000000-0005-0000-0000-0000CF4E0000}"/>
    <cellStyle name="Column heading 3 2" xfId="16854" xr:uid="{00000000-0005-0000-0000-0000D04E0000}"/>
    <cellStyle name="Column heading 3 2 2" xfId="16855" xr:uid="{00000000-0005-0000-0000-0000D14E0000}"/>
    <cellStyle name="Column heading 3 2 2 2" xfId="16856" xr:uid="{00000000-0005-0000-0000-0000D24E0000}"/>
    <cellStyle name="Column heading 3 2 2 3" xfId="16857" xr:uid="{00000000-0005-0000-0000-0000D34E0000}"/>
    <cellStyle name="Column heading 3 2 2 4" xfId="16858" xr:uid="{00000000-0005-0000-0000-0000D44E0000}"/>
    <cellStyle name="Column heading 3 2 2 5" xfId="16859" xr:uid="{00000000-0005-0000-0000-0000D54E0000}"/>
    <cellStyle name="Column heading 3 2 2 6" xfId="16860" xr:uid="{00000000-0005-0000-0000-0000D64E0000}"/>
    <cellStyle name="Column heading 3 2 3" xfId="16861" xr:uid="{00000000-0005-0000-0000-0000D74E0000}"/>
    <cellStyle name="Column heading 3 2 3 2" xfId="16862" xr:uid="{00000000-0005-0000-0000-0000D84E0000}"/>
    <cellStyle name="Column heading 3 2 3 3" xfId="16863" xr:uid="{00000000-0005-0000-0000-0000D94E0000}"/>
    <cellStyle name="Column heading 3 2 3 4" xfId="16864" xr:uid="{00000000-0005-0000-0000-0000DA4E0000}"/>
    <cellStyle name="Column heading 3 2 4" xfId="16865" xr:uid="{00000000-0005-0000-0000-0000DB4E0000}"/>
    <cellStyle name="Column heading 3 2 4 2" xfId="16866" xr:uid="{00000000-0005-0000-0000-0000DC4E0000}"/>
    <cellStyle name="Column heading 3 2 4 3" xfId="16867" xr:uid="{00000000-0005-0000-0000-0000DD4E0000}"/>
    <cellStyle name="Column heading 3 2 5" xfId="16868" xr:uid="{00000000-0005-0000-0000-0000DE4E0000}"/>
    <cellStyle name="Column heading 3 2 5 2" xfId="16869" xr:uid="{00000000-0005-0000-0000-0000DF4E0000}"/>
    <cellStyle name="Column heading 3 2 5 3" xfId="16870" xr:uid="{00000000-0005-0000-0000-0000E04E0000}"/>
    <cellStyle name="Column heading 3 2 6" xfId="16871" xr:uid="{00000000-0005-0000-0000-0000E14E0000}"/>
    <cellStyle name="Column heading 3 2 7" xfId="16872" xr:uid="{00000000-0005-0000-0000-0000E24E0000}"/>
    <cellStyle name="Column heading 3 2 8" xfId="16873" xr:uid="{00000000-0005-0000-0000-0000E34E0000}"/>
    <cellStyle name="Column heading 3 3" xfId="16874" xr:uid="{00000000-0005-0000-0000-0000E44E0000}"/>
    <cellStyle name="Column heading 3 3 2" xfId="16875" xr:uid="{00000000-0005-0000-0000-0000E54E0000}"/>
    <cellStyle name="Column heading 3 3 2 2" xfId="16876" xr:uid="{00000000-0005-0000-0000-0000E64E0000}"/>
    <cellStyle name="Column heading 3 3 2 3" xfId="16877" xr:uid="{00000000-0005-0000-0000-0000E74E0000}"/>
    <cellStyle name="Column heading 3 3 2 4" xfId="16878" xr:uid="{00000000-0005-0000-0000-0000E84E0000}"/>
    <cellStyle name="Column heading 3 3 2 5" xfId="16879" xr:uid="{00000000-0005-0000-0000-0000E94E0000}"/>
    <cellStyle name="Column heading 3 3 2 6" xfId="16880" xr:uid="{00000000-0005-0000-0000-0000EA4E0000}"/>
    <cellStyle name="Column heading 3 3 3" xfId="16881" xr:uid="{00000000-0005-0000-0000-0000EB4E0000}"/>
    <cellStyle name="Column heading 3 3 3 2" xfId="16882" xr:uid="{00000000-0005-0000-0000-0000EC4E0000}"/>
    <cellStyle name="Column heading 3 3 3 3" xfId="16883" xr:uid="{00000000-0005-0000-0000-0000ED4E0000}"/>
    <cellStyle name="Column heading 3 3 3 4" xfId="16884" xr:uid="{00000000-0005-0000-0000-0000EE4E0000}"/>
    <cellStyle name="Column heading 3 3 4" xfId="16885" xr:uid="{00000000-0005-0000-0000-0000EF4E0000}"/>
    <cellStyle name="Column heading 3 3 4 2" xfId="16886" xr:uid="{00000000-0005-0000-0000-0000F04E0000}"/>
    <cellStyle name="Column heading 3 3 4 3" xfId="16887" xr:uid="{00000000-0005-0000-0000-0000F14E0000}"/>
    <cellStyle name="Column heading 3 3 5" xfId="16888" xr:uid="{00000000-0005-0000-0000-0000F24E0000}"/>
    <cellStyle name="Column heading 3 3 5 2" xfId="16889" xr:uid="{00000000-0005-0000-0000-0000F34E0000}"/>
    <cellStyle name="Column heading 3 3 5 3" xfId="16890" xr:uid="{00000000-0005-0000-0000-0000F44E0000}"/>
    <cellStyle name="Column heading 3 3 6" xfId="16891" xr:uid="{00000000-0005-0000-0000-0000F54E0000}"/>
    <cellStyle name="Column heading 3 3 7" xfId="16892" xr:uid="{00000000-0005-0000-0000-0000F64E0000}"/>
    <cellStyle name="Column heading 3 3 8" xfId="16893" xr:uid="{00000000-0005-0000-0000-0000F74E0000}"/>
    <cellStyle name="Column heading 3 4" xfId="16894" xr:uid="{00000000-0005-0000-0000-0000F84E0000}"/>
    <cellStyle name="Column heading 3 4 2" xfId="16895" xr:uid="{00000000-0005-0000-0000-0000F94E0000}"/>
    <cellStyle name="Column heading 3 4 3" xfId="16896" xr:uid="{00000000-0005-0000-0000-0000FA4E0000}"/>
    <cellStyle name="Column heading 3 4 4" xfId="16897" xr:uid="{00000000-0005-0000-0000-0000FB4E0000}"/>
    <cellStyle name="Column heading 3 4 5" xfId="16898" xr:uid="{00000000-0005-0000-0000-0000FC4E0000}"/>
    <cellStyle name="Column heading 3 4 6" xfId="16899" xr:uid="{00000000-0005-0000-0000-0000FD4E0000}"/>
    <cellStyle name="Column heading 3 5" xfId="16900" xr:uid="{00000000-0005-0000-0000-0000FE4E0000}"/>
    <cellStyle name="Column heading 3 5 2" xfId="16901" xr:uid="{00000000-0005-0000-0000-0000FF4E0000}"/>
    <cellStyle name="Column heading 3 5 3" xfId="16902" xr:uid="{00000000-0005-0000-0000-0000004F0000}"/>
    <cellStyle name="Column heading 3 5 4" xfId="16903" xr:uid="{00000000-0005-0000-0000-0000014F0000}"/>
    <cellStyle name="Column heading 3 6" xfId="16904" xr:uid="{00000000-0005-0000-0000-0000024F0000}"/>
    <cellStyle name="Column heading 3 7" xfId="16905" xr:uid="{00000000-0005-0000-0000-0000034F0000}"/>
    <cellStyle name="Column heading 3 8" xfId="16906" xr:uid="{00000000-0005-0000-0000-0000044F0000}"/>
    <cellStyle name="Column heading 4" xfId="16907" xr:uid="{00000000-0005-0000-0000-0000054F0000}"/>
    <cellStyle name="Column heading 4 2" xfId="16908" xr:uid="{00000000-0005-0000-0000-0000064F0000}"/>
    <cellStyle name="Column heading 4 2 2" xfId="16909" xr:uid="{00000000-0005-0000-0000-0000074F0000}"/>
    <cellStyle name="Column heading 4 2 2 2" xfId="16910" xr:uid="{00000000-0005-0000-0000-0000084F0000}"/>
    <cellStyle name="Column heading 4 2 2 3" xfId="16911" xr:uid="{00000000-0005-0000-0000-0000094F0000}"/>
    <cellStyle name="Column heading 4 2 2 4" xfId="16912" xr:uid="{00000000-0005-0000-0000-00000A4F0000}"/>
    <cellStyle name="Column heading 4 2 2 5" xfId="16913" xr:uid="{00000000-0005-0000-0000-00000B4F0000}"/>
    <cellStyle name="Column heading 4 2 2 6" xfId="16914" xr:uid="{00000000-0005-0000-0000-00000C4F0000}"/>
    <cellStyle name="Column heading 4 2 3" xfId="16915" xr:uid="{00000000-0005-0000-0000-00000D4F0000}"/>
    <cellStyle name="Column heading 4 2 3 2" xfId="16916" xr:uid="{00000000-0005-0000-0000-00000E4F0000}"/>
    <cellStyle name="Column heading 4 2 3 3" xfId="16917" xr:uid="{00000000-0005-0000-0000-00000F4F0000}"/>
    <cellStyle name="Column heading 4 2 3 4" xfId="16918" xr:uid="{00000000-0005-0000-0000-0000104F0000}"/>
    <cellStyle name="Column heading 4 2 4" xfId="16919" xr:uid="{00000000-0005-0000-0000-0000114F0000}"/>
    <cellStyle name="Column heading 4 2 4 2" xfId="16920" xr:uid="{00000000-0005-0000-0000-0000124F0000}"/>
    <cellStyle name="Column heading 4 2 4 3" xfId="16921" xr:uid="{00000000-0005-0000-0000-0000134F0000}"/>
    <cellStyle name="Column heading 4 2 5" xfId="16922" xr:uid="{00000000-0005-0000-0000-0000144F0000}"/>
    <cellStyle name="Column heading 4 2 5 2" xfId="16923" xr:uid="{00000000-0005-0000-0000-0000154F0000}"/>
    <cellStyle name="Column heading 4 2 5 3" xfId="16924" xr:uid="{00000000-0005-0000-0000-0000164F0000}"/>
    <cellStyle name="Column heading 4 2 6" xfId="16925" xr:uid="{00000000-0005-0000-0000-0000174F0000}"/>
    <cellStyle name="Column heading 4 2 7" xfId="16926" xr:uid="{00000000-0005-0000-0000-0000184F0000}"/>
    <cellStyle name="Column heading 4 2 8" xfId="16927" xr:uid="{00000000-0005-0000-0000-0000194F0000}"/>
    <cellStyle name="Column heading 4 2 9" xfId="38817" xr:uid="{00000000-0005-0000-0000-00001A4F0000}"/>
    <cellStyle name="Column heading 4 3" xfId="16928" xr:uid="{00000000-0005-0000-0000-00001B4F0000}"/>
    <cellStyle name="Column heading 4 3 2" xfId="16929" xr:uid="{00000000-0005-0000-0000-00001C4F0000}"/>
    <cellStyle name="Column heading 4 3 3" xfId="16930" xr:uid="{00000000-0005-0000-0000-00001D4F0000}"/>
    <cellStyle name="Column heading 4 3 4" xfId="16931" xr:uid="{00000000-0005-0000-0000-00001E4F0000}"/>
    <cellStyle name="Column heading 4 3 5" xfId="16932" xr:uid="{00000000-0005-0000-0000-00001F4F0000}"/>
    <cellStyle name="Column heading 4 3 6" xfId="16933" xr:uid="{00000000-0005-0000-0000-0000204F0000}"/>
    <cellStyle name="Column heading 4 4" xfId="16934" xr:uid="{00000000-0005-0000-0000-0000214F0000}"/>
    <cellStyle name="Column heading 4 4 2" xfId="16935" xr:uid="{00000000-0005-0000-0000-0000224F0000}"/>
    <cellStyle name="Column heading 4 4 3" xfId="16936" xr:uid="{00000000-0005-0000-0000-0000234F0000}"/>
    <cellStyle name="Column heading 4 4 4" xfId="16937" xr:uid="{00000000-0005-0000-0000-0000244F0000}"/>
    <cellStyle name="Column heading 4 5" xfId="16938" xr:uid="{00000000-0005-0000-0000-0000254F0000}"/>
    <cellStyle name="Column heading 4 5 2" xfId="16939" xr:uid="{00000000-0005-0000-0000-0000264F0000}"/>
    <cellStyle name="Column heading 4 5 3" xfId="16940" xr:uid="{00000000-0005-0000-0000-0000274F0000}"/>
    <cellStyle name="Column heading 4 6" xfId="16941" xr:uid="{00000000-0005-0000-0000-0000284F0000}"/>
    <cellStyle name="Column heading 4 6 2" xfId="16942" xr:uid="{00000000-0005-0000-0000-0000294F0000}"/>
    <cellStyle name="Column heading 4 6 3" xfId="16943" xr:uid="{00000000-0005-0000-0000-00002A4F0000}"/>
    <cellStyle name="Column heading 4 7" xfId="16944" xr:uid="{00000000-0005-0000-0000-00002B4F0000}"/>
    <cellStyle name="Column heading 4 8" xfId="16945" xr:uid="{00000000-0005-0000-0000-00002C4F0000}"/>
    <cellStyle name="Column heading 4 9" xfId="16946" xr:uid="{00000000-0005-0000-0000-00002D4F0000}"/>
    <cellStyle name="Column heading 5" xfId="16947" xr:uid="{00000000-0005-0000-0000-00002E4F0000}"/>
    <cellStyle name="Column heading 5 2" xfId="16948" xr:uid="{00000000-0005-0000-0000-00002F4F0000}"/>
    <cellStyle name="Column heading 5 3" xfId="16949" xr:uid="{00000000-0005-0000-0000-0000304F0000}"/>
    <cellStyle name="Column heading 5 4" xfId="16950" xr:uid="{00000000-0005-0000-0000-0000314F0000}"/>
    <cellStyle name="Column heading 5 5" xfId="16951" xr:uid="{00000000-0005-0000-0000-0000324F0000}"/>
    <cellStyle name="Column heading 5 6" xfId="16952" xr:uid="{00000000-0005-0000-0000-0000334F0000}"/>
    <cellStyle name="Column heading 6" xfId="16953" xr:uid="{00000000-0005-0000-0000-0000344F0000}"/>
    <cellStyle name="Column heading 7" xfId="16954" xr:uid="{00000000-0005-0000-0000-0000354F0000}"/>
    <cellStyle name="Column heading 8" xfId="16955" xr:uid="{00000000-0005-0000-0000-0000364F0000}"/>
    <cellStyle name="Column heading 9" xfId="16956" xr:uid="{00000000-0005-0000-0000-0000374F0000}"/>
    <cellStyle name="Comma" xfId="5" builtinId="3"/>
    <cellStyle name="Comma [0] 2" xfId="16957" xr:uid="{00000000-0005-0000-0000-0000394F0000}"/>
    <cellStyle name="Comma [0] 2 2" xfId="16958" xr:uid="{00000000-0005-0000-0000-00003A4F0000}"/>
    <cellStyle name="Comma [0]7Z_87C" xfId="35049" xr:uid="{00000000-0005-0000-0000-00003B4F0000}"/>
    <cellStyle name="Comma 0" xfId="35050" xr:uid="{00000000-0005-0000-0000-00003C4F0000}"/>
    <cellStyle name="Comma 1" xfId="35051" xr:uid="{00000000-0005-0000-0000-00003D4F0000}"/>
    <cellStyle name="Comma 1 2" xfId="41921" xr:uid="{32E253F0-3848-4837-85EF-C463696A7D3B}"/>
    <cellStyle name="Comma 10" xfId="16959" xr:uid="{00000000-0005-0000-0000-00003E4F0000}"/>
    <cellStyle name="Comma 10 2" xfId="16960" xr:uid="{00000000-0005-0000-0000-00003F4F0000}"/>
    <cellStyle name="Comma 10 2 2" xfId="16961" xr:uid="{00000000-0005-0000-0000-0000404F0000}"/>
    <cellStyle name="Comma 10 2 2 2" xfId="16962" xr:uid="{00000000-0005-0000-0000-0000414F0000}"/>
    <cellStyle name="Comma 10 2 3" xfId="16963" xr:uid="{00000000-0005-0000-0000-0000424F0000}"/>
    <cellStyle name="Comma 10 2 4" xfId="16964" xr:uid="{00000000-0005-0000-0000-0000434F0000}"/>
    <cellStyle name="Comma 10 2 5" xfId="38818" xr:uid="{00000000-0005-0000-0000-0000444F0000}"/>
    <cellStyle name="Comma 10 3" xfId="42129" xr:uid="{B410CFF3-B8DA-4EB4-9A53-2EE08BA20769}"/>
    <cellStyle name="Comma 100" xfId="16965" xr:uid="{00000000-0005-0000-0000-0000454F0000}"/>
    <cellStyle name="Comma 100 2" xfId="16966" xr:uid="{00000000-0005-0000-0000-0000464F0000}"/>
    <cellStyle name="Comma 101" xfId="16967" xr:uid="{00000000-0005-0000-0000-0000474F0000}"/>
    <cellStyle name="Comma 101 2" xfId="16968" xr:uid="{00000000-0005-0000-0000-0000484F0000}"/>
    <cellStyle name="Comma 102" xfId="16969" xr:uid="{00000000-0005-0000-0000-0000494F0000}"/>
    <cellStyle name="Comma 102 2" xfId="16970" xr:uid="{00000000-0005-0000-0000-00004A4F0000}"/>
    <cellStyle name="Comma 102 2 2" xfId="16971" xr:uid="{00000000-0005-0000-0000-00004B4F0000}"/>
    <cellStyle name="Comma 102 3" xfId="16972" xr:uid="{00000000-0005-0000-0000-00004C4F0000}"/>
    <cellStyle name="Comma 103" xfId="16973" xr:uid="{00000000-0005-0000-0000-00004D4F0000}"/>
    <cellStyle name="Comma 103 2" xfId="16974" xr:uid="{00000000-0005-0000-0000-00004E4F0000}"/>
    <cellStyle name="Comma 103 2 2" xfId="16975" xr:uid="{00000000-0005-0000-0000-00004F4F0000}"/>
    <cellStyle name="Comma 103 3" xfId="16976" xr:uid="{00000000-0005-0000-0000-0000504F0000}"/>
    <cellStyle name="Comma 104" xfId="16977" xr:uid="{00000000-0005-0000-0000-0000514F0000}"/>
    <cellStyle name="Comma 104 2" xfId="16978" xr:uid="{00000000-0005-0000-0000-0000524F0000}"/>
    <cellStyle name="Comma 104 2 2" xfId="16979" xr:uid="{00000000-0005-0000-0000-0000534F0000}"/>
    <cellStyle name="Comma 104 3" xfId="16980" xr:uid="{00000000-0005-0000-0000-0000544F0000}"/>
    <cellStyle name="Comma 105" xfId="16981" xr:uid="{00000000-0005-0000-0000-0000554F0000}"/>
    <cellStyle name="Comma 105 2" xfId="16982" xr:uid="{00000000-0005-0000-0000-0000564F0000}"/>
    <cellStyle name="Comma 106" xfId="16983" xr:uid="{00000000-0005-0000-0000-0000574F0000}"/>
    <cellStyle name="Comma 106 2" xfId="16984" xr:uid="{00000000-0005-0000-0000-0000584F0000}"/>
    <cellStyle name="Comma 107" xfId="16985" xr:uid="{00000000-0005-0000-0000-0000594F0000}"/>
    <cellStyle name="Comma 107 2" xfId="16986" xr:uid="{00000000-0005-0000-0000-00005A4F0000}"/>
    <cellStyle name="Comma 108" xfId="16987" xr:uid="{00000000-0005-0000-0000-00005B4F0000}"/>
    <cellStyle name="Comma 108 2" xfId="16988" xr:uid="{00000000-0005-0000-0000-00005C4F0000}"/>
    <cellStyle name="Comma 109" xfId="16989" xr:uid="{00000000-0005-0000-0000-00005D4F0000}"/>
    <cellStyle name="Comma 109 2" xfId="16990" xr:uid="{00000000-0005-0000-0000-00005E4F0000}"/>
    <cellStyle name="Comma 11" xfId="16991" xr:uid="{00000000-0005-0000-0000-00005F4F0000}"/>
    <cellStyle name="Comma 11 2" xfId="16992" xr:uid="{00000000-0005-0000-0000-0000604F0000}"/>
    <cellStyle name="Comma 11 2 2" xfId="16993" xr:uid="{00000000-0005-0000-0000-0000614F0000}"/>
    <cellStyle name="Comma 11 2 2 2" xfId="16994" xr:uid="{00000000-0005-0000-0000-0000624F0000}"/>
    <cellStyle name="Comma 11 2 3" xfId="16995" xr:uid="{00000000-0005-0000-0000-0000634F0000}"/>
    <cellStyle name="Comma 11 2 4" xfId="16996" xr:uid="{00000000-0005-0000-0000-0000644F0000}"/>
    <cellStyle name="Comma 11 2 5" xfId="38819" xr:uid="{00000000-0005-0000-0000-0000654F0000}"/>
    <cellStyle name="Comma 11 3" xfId="42227" xr:uid="{6F5F6873-7060-437B-9771-608B2A1C9309}"/>
    <cellStyle name="Comma 110" xfId="16997" xr:uid="{00000000-0005-0000-0000-0000664F0000}"/>
    <cellStyle name="Comma 110 2" xfId="16998" xr:uid="{00000000-0005-0000-0000-0000674F0000}"/>
    <cellStyle name="Comma 111" xfId="16999" xr:uid="{00000000-0005-0000-0000-0000684F0000}"/>
    <cellStyle name="Comma 111 2" xfId="17000" xr:uid="{00000000-0005-0000-0000-0000694F0000}"/>
    <cellStyle name="Comma 112" xfId="17001" xr:uid="{00000000-0005-0000-0000-00006A4F0000}"/>
    <cellStyle name="Comma 112 2" xfId="17002" xr:uid="{00000000-0005-0000-0000-00006B4F0000}"/>
    <cellStyle name="Comma 113" xfId="17003" xr:uid="{00000000-0005-0000-0000-00006C4F0000}"/>
    <cellStyle name="Comma 113 2" xfId="17004" xr:uid="{00000000-0005-0000-0000-00006D4F0000}"/>
    <cellStyle name="Comma 114" xfId="17005" xr:uid="{00000000-0005-0000-0000-00006E4F0000}"/>
    <cellStyle name="Comma 114 2" xfId="17006" xr:uid="{00000000-0005-0000-0000-00006F4F0000}"/>
    <cellStyle name="Comma 115" xfId="17007" xr:uid="{00000000-0005-0000-0000-0000704F0000}"/>
    <cellStyle name="Comma 115 2" xfId="17008" xr:uid="{00000000-0005-0000-0000-0000714F0000}"/>
    <cellStyle name="Comma 116" xfId="17009" xr:uid="{00000000-0005-0000-0000-0000724F0000}"/>
    <cellStyle name="Comma 116 2" xfId="17010" xr:uid="{00000000-0005-0000-0000-0000734F0000}"/>
    <cellStyle name="Comma 117" xfId="17011" xr:uid="{00000000-0005-0000-0000-0000744F0000}"/>
    <cellStyle name="Comma 117 2" xfId="17012" xr:uid="{00000000-0005-0000-0000-0000754F0000}"/>
    <cellStyle name="Comma 118" xfId="17013" xr:uid="{00000000-0005-0000-0000-0000764F0000}"/>
    <cellStyle name="Comma 118 2" xfId="17014" xr:uid="{00000000-0005-0000-0000-0000774F0000}"/>
    <cellStyle name="Comma 119" xfId="17015" xr:uid="{00000000-0005-0000-0000-0000784F0000}"/>
    <cellStyle name="Comma 119 2" xfId="17016" xr:uid="{00000000-0005-0000-0000-0000794F0000}"/>
    <cellStyle name="Comma 12" xfId="17017" xr:uid="{00000000-0005-0000-0000-00007A4F0000}"/>
    <cellStyle name="Comma 120" xfId="17018" xr:uid="{00000000-0005-0000-0000-00007B4F0000}"/>
    <cellStyle name="Comma 120 2" xfId="17019" xr:uid="{00000000-0005-0000-0000-00007C4F0000}"/>
    <cellStyle name="Comma 121" xfId="17020" xr:uid="{00000000-0005-0000-0000-00007D4F0000}"/>
    <cellStyle name="Comma 121 2" xfId="17021" xr:uid="{00000000-0005-0000-0000-00007E4F0000}"/>
    <cellStyle name="Comma 122" xfId="17022" xr:uid="{00000000-0005-0000-0000-00007F4F0000}"/>
    <cellStyle name="Comma 122 2" xfId="17023" xr:uid="{00000000-0005-0000-0000-0000804F0000}"/>
    <cellStyle name="Comma 123" xfId="17024" xr:uid="{00000000-0005-0000-0000-0000814F0000}"/>
    <cellStyle name="Comma 123 2" xfId="17025" xr:uid="{00000000-0005-0000-0000-0000824F0000}"/>
    <cellStyle name="Comma 124" xfId="17026" xr:uid="{00000000-0005-0000-0000-0000834F0000}"/>
    <cellStyle name="Comma 124 2" xfId="17027" xr:uid="{00000000-0005-0000-0000-0000844F0000}"/>
    <cellStyle name="Comma 125" xfId="17028" xr:uid="{00000000-0005-0000-0000-0000854F0000}"/>
    <cellStyle name="Comma 126" xfId="17029" xr:uid="{00000000-0005-0000-0000-0000864F0000}"/>
    <cellStyle name="Comma 127" xfId="17030" xr:uid="{00000000-0005-0000-0000-0000874F0000}"/>
    <cellStyle name="Comma 128" xfId="17031" xr:uid="{00000000-0005-0000-0000-0000884F0000}"/>
    <cellStyle name="Comma 129" xfId="17032" xr:uid="{00000000-0005-0000-0000-0000894F0000}"/>
    <cellStyle name="Comma 13" xfId="17033" xr:uid="{00000000-0005-0000-0000-00008A4F0000}"/>
    <cellStyle name="Comma 130" xfId="17034" xr:uid="{00000000-0005-0000-0000-00008B4F0000}"/>
    <cellStyle name="Comma 131" xfId="17035" xr:uid="{00000000-0005-0000-0000-00008C4F0000}"/>
    <cellStyle name="Comma 132" xfId="17036" xr:uid="{00000000-0005-0000-0000-00008D4F0000}"/>
    <cellStyle name="Comma 133" xfId="17037" xr:uid="{00000000-0005-0000-0000-00008E4F0000}"/>
    <cellStyle name="Comma 134" xfId="17038" xr:uid="{00000000-0005-0000-0000-00008F4F0000}"/>
    <cellStyle name="Comma 135" xfId="17039" xr:uid="{00000000-0005-0000-0000-0000904F0000}"/>
    <cellStyle name="Comma 136" xfId="17040" xr:uid="{00000000-0005-0000-0000-0000914F0000}"/>
    <cellStyle name="Comma 137" xfId="17041" xr:uid="{00000000-0005-0000-0000-0000924F0000}"/>
    <cellStyle name="Comma 138" xfId="17042" xr:uid="{00000000-0005-0000-0000-0000934F0000}"/>
    <cellStyle name="Comma 139" xfId="17043" xr:uid="{00000000-0005-0000-0000-0000944F0000}"/>
    <cellStyle name="Comma 139 2" xfId="17044" xr:uid="{00000000-0005-0000-0000-0000954F0000}"/>
    <cellStyle name="Comma 14" xfId="17045" xr:uid="{00000000-0005-0000-0000-0000964F0000}"/>
    <cellStyle name="Comma 14 2" xfId="17046" xr:uid="{00000000-0005-0000-0000-0000974F0000}"/>
    <cellStyle name="Comma 140" xfId="17047" xr:uid="{00000000-0005-0000-0000-0000984F0000}"/>
    <cellStyle name="Comma 140 2" xfId="17048" xr:uid="{00000000-0005-0000-0000-0000994F0000}"/>
    <cellStyle name="Comma 141" xfId="17049" xr:uid="{00000000-0005-0000-0000-00009A4F0000}"/>
    <cellStyle name="Comma 141 2" xfId="17050" xr:uid="{00000000-0005-0000-0000-00009B4F0000}"/>
    <cellStyle name="Comma 142" xfId="17051" xr:uid="{00000000-0005-0000-0000-00009C4F0000}"/>
    <cellStyle name="Comma 142 2" xfId="17052" xr:uid="{00000000-0005-0000-0000-00009D4F0000}"/>
    <cellStyle name="Comma 143" xfId="17053" xr:uid="{00000000-0005-0000-0000-00009E4F0000}"/>
    <cellStyle name="Comma 143 2" xfId="17054" xr:uid="{00000000-0005-0000-0000-00009F4F0000}"/>
    <cellStyle name="Comma 144" xfId="17055" xr:uid="{00000000-0005-0000-0000-0000A04F0000}"/>
    <cellStyle name="Comma 144 2" xfId="17056" xr:uid="{00000000-0005-0000-0000-0000A14F0000}"/>
    <cellStyle name="Comma 145" xfId="17057" xr:uid="{00000000-0005-0000-0000-0000A24F0000}"/>
    <cellStyle name="Comma 145 2" xfId="17058" xr:uid="{00000000-0005-0000-0000-0000A34F0000}"/>
    <cellStyle name="Comma 146" xfId="17059" xr:uid="{00000000-0005-0000-0000-0000A44F0000}"/>
    <cellStyle name="Comma 146 2" xfId="17060" xr:uid="{00000000-0005-0000-0000-0000A54F0000}"/>
    <cellStyle name="Comma 147" xfId="17061" xr:uid="{00000000-0005-0000-0000-0000A64F0000}"/>
    <cellStyle name="Comma 147 2" xfId="17062" xr:uid="{00000000-0005-0000-0000-0000A74F0000}"/>
    <cellStyle name="Comma 148" xfId="17063" xr:uid="{00000000-0005-0000-0000-0000A84F0000}"/>
    <cellStyle name="Comma 148 2" xfId="17064" xr:uid="{00000000-0005-0000-0000-0000A94F0000}"/>
    <cellStyle name="Comma 149" xfId="17065" xr:uid="{00000000-0005-0000-0000-0000AA4F0000}"/>
    <cellStyle name="Comma 15" xfId="17066" xr:uid="{00000000-0005-0000-0000-0000AB4F0000}"/>
    <cellStyle name="Comma 15 2" xfId="17067" xr:uid="{00000000-0005-0000-0000-0000AC4F0000}"/>
    <cellStyle name="Comma 150" xfId="17068" xr:uid="{00000000-0005-0000-0000-0000AD4F0000}"/>
    <cellStyle name="Comma 151" xfId="17069" xr:uid="{00000000-0005-0000-0000-0000AE4F0000}"/>
    <cellStyle name="Comma 152" xfId="17070" xr:uid="{00000000-0005-0000-0000-0000AF4F0000}"/>
    <cellStyle name="Comma 153" xfId="17071" xr:uid="{00000000-0005-0000-0000-0000B04F0000}"/>
    <cellStyle name="Comma 153 2" xfId="17072" xr:uid="{00000000-0005-0000-0000-0000B14F0000}"/>
    <cellStyle name="Comma 154" xfId="17073" xr:uid="{00000000-0005-0000-0000-0000B24F0000}"/>
    <cellStyle name="Comma 154 2" xfId="17074" xr:uid="{00000000-0005-0000-0000-0000B34F0000}"/>
    <cellStyle name="Comma 155" xfId="17075" xr:uid="{00000000-0005-0000-0000-0000B44F0000}"/>
    <cellStyle name="Comma 155 2" xfId="17076" xr:uid="{00000000-0005-0000-0000-0000B54F0000}"/>
    <cellStyle name="Comma 156" xfId="17077" xr:uid="{00000000-0005-0000-0000-0000B64F0000}"/>
    <cellStyle name="Comma 156 2" xfId="17078" xr:uid="{00000000-0005-0000-0000-0000B74F0000}"/>
    <cellStyle name="Comma 157" xfId="17079" xr:uid="{00000000-0005-0000-0000-0000B84F0000}"/>
    <cellStyle name="Comma 157 2" xfId="17080" xr:uid="{00000000-0005-0000-0000-0000B94F0000}"/>
    <cellStyle name="Comma 158" xfId="17081" xr:uid="{00000000-0005-0000-0000-0000BA4F0000}"/>
    <cellStyle name="Comma 158 2" xfId="17082" xr:uid="{00000000-0005-0000-0000-0000BB4F0000}"/>
    <cellStyle name="Comma 159" xfId="17083" xr:uid="{00000000-0005-0000-0000-0000BC4F0000}"/>
    <cellStyle name="Comma 159 2" xfId="17084" xr:uid="{00000000-0005-0000-0000-0000BD4F0000}"/>
    <cellStyle name="Comma 16" xfId="17085" xr:uid="{00000000-0005-0000-0000-0000BE4F0000}"/>
    <cellStyle name="Comma 16 2" xfId="17086" xr:uid="{00000000-0005-0000-0000-0000BF4F0000}"/>
    <cellStyle name="Comma 160" xfId="17087" xr:uid="{00000000-0005-0000-0000-0000C04F0000}"/>
    <cellStyle name="Comma 160 2" xfId="17088" xr:uid="{00000000-0005-0000-0000-0000C14F0000}"/>
    <cellStyle name="Comma 161" xfId="17089" xr:uid="{00000000-0005-0000-0000-0000C24F0000}"/>
    <cellStyle name="Comma 161 2" xfId="17090" xr:uid="{00000000-0005-0000-0000-0000C34F0000}"/>
    <cellStyle name="Comma 162" xfId="17091" xr:uid="{00000000-0005-0000-0000-0000C44F0000}"/>
    <cellStyle name="Comma 162 2" xfId="17092" xr:uid="{00000000-0005-0000-0000-0000C54F0000}"/>
    <cellStyle name="Comma 163" xfId="17093" xr:uid="{00000000-0005-0000-0000-0000C64F0000}"/>
    <cellStyle name="Comma 163 2" xfId="17094" xr:uid="{00000000-0005-0000-0000-0000C74F0000}"/>
    <cellStyle name="Comma 164" xfId="17095" xr:uid="{00000000-0005-0000-0000-0000C84F0000}"/>
    <cellStyle name="Comma 164 2" xfId="17096" xr:uid="{00000000-0005-0000-0000-0000C94F0000}"/>
    <cellStyle name="Comma 165" xfId="17097" xr:uid="{00000000-0005-0000-0000-0000CA4F0000}"/>
    <cellStyle name="Comma 165 2" xfId="17098" xr:uid="{00000000-0005-0000-0000-0000CB4F0000}"/>
    <cellStyle name="Comma 166" xfId="17099" xr:uid="{00000000-0005-0000-0000-0000CC4F0000}"/>
    <cellStyle name="Comma 166 2" xfId="17100" xr:uid="{00000000-0005-0000-0000-0000CD4F0000}"/>
    <cellStyle name="Comma 167" xfId="17101" xr:uid="{00000000-0005-0000-0000-0000CE4F0000}"/>
    <cellStyle name="Comma 167 2" xfId="17102" xr:uid="{00000000-0005-0000-0000-0000CF4F0000}"/>
    <cellStyle name="Comma 168" xfId="17103" xr:uid="{00000000-0005-0000-0000-0000D04F0000}"/>
    <cellStyle name="Comma 168 2" xfId="17104" xr:uid="{00000000-0005-0000-0000-0000D14F0000}"/>
    <cellStyle name="Comma 169" xfId="17105" xr:uid="{00000000-0005-0000-0000-0000D24F0000}"/>
    <cellStyle name="Comma 169 2" xfId="17106" xr:uid="{00000000-0005-0000-0000-0000D34F0000}"/>
    <cellStyle name="Comma 17" xfId="17107" xr:uid="{00000000-0005-0000-0000-0000D44F0000}"/>
    <cellStyle name="Comma 17 2" xfId="17108" xr:uid="{00000000-0005-0000-0000-0000D54F0000}"/>
    <cellStyle name="Comma 170" xfId="17109" xr:uid="{00000000-0005-0000-0000-0000D64F0000}"/>
    <cellStyle name="Comma 170 2" xfId="17110" xr:uid="{00000000-0005-0000-0000-0000D74F0000}"/>
    <cellStyle name="Comma 171" xfId="17111" xr:uid="{00000000-0005-0000-0000-0000D84F0000}"/>
    <cellStyle name="Comma 171 2" xfId="17112" xr:uid="{00000000-0005-0000-0000-0000D94F0000}"/>
    <cellStyle name="Comma 172" xfId="17113" xr:uid="{00000000-0005-0000-0000-0000DA4F0000}"/>
    <cellStyle name="Comma 172 2" xfId="17114" xr:uid="{00000000-0005-0000-0000-0000DB4F0000}"/>
    <cellStyle name="Comma 173" xfId="17115" xr:uid="{00000000-0005-0000-0000-0000DC4F0000}"/>
    <cellStyle name="Comma 173 2" xfId="17116" xr:uid="{00000000-0005-0000-0000-0000DD4F0000}"/>
    <cellStyle name="Comma 174" xfId="17117" xr:uid="{00000000-0005-0000-0000-0000DE4F0000}"/>
    <cellStyle name="Comma 174 2" xfId="17118" xr:uid="{00000000-0005-0000-0000-0000DF4F0000}"/>
    <cellStyle name="Comma 175" xfId="17119" xr:uid="{00000000-0005-0000-0000-0000E04F0000}"/>
    <cellStyle name="Comma 175 2" xfId="17120" xr:uid="{00000000-0005-0000-0000-0000E14F0000}"/>
    <cellStyle name="Comma 176" xfId="17121" xr:uid="{00000000-0005-0000-0000-0000E24F0000}"/>
    <cellStyle name="Comma 176 2" xfId="17122" xr:uid="{00000000-0005-0000-0000-0000E34F0000}"/>
    <cellStyle name="Comma 177" xfId="17123" xr:uid="{00000000-0005-0000-0000-0000E44F0000}"/>
    <cellStyle name="Comma 177 2" xfId="17124" xr:uid="{00000000-0005-0000-0000-0000E54F0000}"/>
    <cellStyle name="Comma 178" xfId="17125" xr:uid="{00000000-0005-0000-0000-0000E64F0000}"/>
    <cellStyle name="Comma 178 2" xfId="17126" xr:uid="{00000000-0005-0000-0000-0000E74F0000}"/>
    <cellStyle name="Comma 179" xfId="17127" xr:uid="{00000000-0005-0000-0000-0000E84F0000}"/>
    <cellStyle name="Comma 179 2" xfId="17128" xr:uid="{00000000-0005-0000-0000-0000E94F0000}"/>
    <cellStyle name="Comma 18" xfId="17129" xr:uid="{00000000-0005-0000-0000-0000EA4F0000}"/>
    <cellStyle name="Comma 18 2" xfId="17130" xr:uid="{00000000-0005-0000-0000-0000EB4F0000}"/>
    <cellStyle name="Comma 180" xfId="17131" xr:uid="{00000000-0005-0000-0000-0000EC4F0000}"/>
    <cellStyle name="Comma 180 2" xfId="17132" xr:uid="{00000000-0005-0000-0000-0000ED4F0000}"/>
    <cellStyle name="Comma 181" xfId="17133" xr:uid="{00000000-0005-0000-0000-0000EE4F0000}"/>
    <cellStyle name="Comma 181 2" xfId="17134" xr:uid="{00000000-0005-0000-0000-0000EF4F0000}"/>
    <cellStyle name="Comma 182" xfId="17135" xr:uid="{00000000-0005-0000-0000-0000F04F0000}"/>
    <cellStyle name="Comma 182 2" xfId="17136" xr:uid="{00000000-0005-0000-0000-0000F14F0000}"/>
    <cellStyle name="Comma 183" xfId="17137" xr:uid="{00000000-0005-0000-0000-0000F24F0000}"/>
    <cellStyle name="Comma 183 2" xfId="17138" xr:uid="{00000000-0005-0000-0000-0000F34F0000}"/>
    <cellStyle name="Comma 184" xfId="17139" xr:uid="{00000000-0005-0000-0000-0000F44F0000}"/>
    <cellStyle name="Comma 184 2" xfId="17140" xr:uid="{00000000-0005-0000-0000-0000F54F0000}"/>
    <cellStyle name="Comma 185" xfId="17141" xr:uid="{00000000-0005-0000-0000-0000F64F0000}"/>
    <cellStyle name="Comma 185 2" xfId="17142" xr:uid="{00000000-0005-0000-0000-0000F74F0000}"/>
    <cellStyle name="Comma 186" xfId="17143" xr:uid="{00000000-0005-0000-0000-0000F84F0000}"/>
    <cellStyle name="Comma 186 2" xfId="17144" xr:uid="{00000000-0005-0000-0000-0000F94F0000}"/>
    <cellStyle name="Comma 187" xfId="17145" xr:uid="{00000000-0005-0000-0000-0000FA4F0000}"/>
    <cellStyle name="Comma 187 2" xfId="17146" xr:uid="{00000000-0005-0000-0000-0000FB4F0000}"/>
    <cellStyle name="Comma 188" xfId="17147" xr:uid="{00000000-0005-0000-0000-0000FC4F0000}"/>
    <cellStyle name="Comma 188 2" xfId="17148" xr:uid="{00000000-0005-0000-0000-0000FD4F0000}"/>
    <cellStyle name="Comma 189" xfId="17149" xr:uid="{00000000-0005-0000-0000-0000FE4F0000}"/>
    <cellStyle name="Comma 189 2" xfId="17150" xr:uid="{00000000-0005-0000-0000-0000FF4F0000}"/>
    <cellStyle name="Comma 19" xfId="17151" xr:uid="{00000000-0005-0000-0000-000000500000}"/>
    <cellStyle name="Comma 19 2" xfId="17152" xr:uid="{00000000-0005-0000-0000-000001500000}"/>
    <cellStyle name="Comma 190" xfId="17153" xr:uid="{00000000-0005-0000-0000-000002500000}"/>
    <cellStyle name="Comma 190 2" xfId="17154" xr:uid="{00000000-0005-0000-0000-000003500000}"/>
    <cellStyle name="Comma 191" xfId="17155" xr:uid="{00000000-0005-0000-0000-000004500000}"/>
    <cellStyle name="Comma 191 2" xfId="17156" xr:uid="{00000000-0005-0000-0000-000005500000}"/>
    <cellStyle name="Comma 192" xfId="17157" xr:uid="{00000000-0005-0000-0000-000006500000}"/>
    <cellStyle name="Comma 192 2" xfId="17158" xr:uid="{00000000-0005-0000-0000-000007500000}"/>
    <cellStyle name="Comma 193" xfId="17159" xr:uid="{00000000-0005-0000-0000-000008500000}"/>
    <cellStyle name="Comma 193 2" xfId="17160" xr:uid="{00000000-0005-0000-0000-000009500000}"/>
    <cellStyle name="Comma 194" xfId="17161" xr:uid="{00000000-0005-0000-0000-00000A500000}"/>
    <cellStyle name="Comma 194 2" xfId="17162" xr:uid="{00000000-0005-0000-0000-00000B500000}"/>
    <cellStyle name="Comma 195" xfId="17163" xr:uid="{00000000-0005-0000-0000-00000C500000}"/>
    <cellStyle name="Comma 195 2" xfId="17164" xr:uid="{00000000-0005-0000-0000-00000D500000}"/>
    <cellStyle name="Comma 196" xfId="17165" xr:uid="{00000000-0005-0000-0000-00000E500000}"/>
    <cellStyle name="Comma 196 2" xfId="17166" xr:uid="{00000000-0005-0000-0000-00000F500000}"/>
    <cellStyle name="Comma 197" xfId="17167" xr:uid="{00000000-0005-0000-0000-000010500000}"/>
    <cellStyle name="Comma 197 2" xfId="17168" xr:uid="{00000000-0005-0000-0000-000011500000}"/>
    <cellStyle name="Comma 198" xfId="17169" xr:uid="{00000000-0005-0000-0000-000012500000}"/>
    <cellStyle name="Comma 198 2" xfId="17170" xr:uid="{00000000-0005-0000-0000-000013500000}"/>
    <cellStyle name="Comma 199" xfId="17171" xr:uid="{00000000-0005-0000-0000-000014500000}"/>
    <cellStyle name="Comma 199 2" xfId="17172" xr:uid="{00000000-0005-0000-0000-000015500000}"/>
    <cellStyle name="Comma 2" xfId="15" xr:uid="{00000000-0005-0000-0000-000016500000}"/>
    <cellStyle name="Comma 2 2" xfId="17173" xr:uid="{00000000-0005-0000-0000-000017500000}"/>
    <cellStyle name="Comma 2 2 2" xfId="17174" xr:uid="{00000000-0005-0000-0000-000018500000}"/>
    <cellStyle name="Comma 2 2 2 2" xfId="17175" xr:uid="{00000000-0005-0000-0000-000019500000}"/>
    <cellStyle name="Comma 2 2 2 3" xfId="17176" xr:uid="{00000000-0005-0000-0000-00001A500000}"/>
    <cellStyle name="Comma 2 2 3" xfId="17177" xr:uid="{00000000-0005-0000-0000-00001B500000}"/>
    <cellStyle name="Comma 2 2 3 2" xfId="41922" xr:uid="{AD75EB3D-D55C-4D76-9577-BEC0991FE481}"/>
    <cellStyle name="Comma 2 2 4" xfId="17178" xr:uid="{00000000-0005-0000-0000-00001C500000}"/>
    <cellStyle name="Comma 2 2 4 2" xfId="17179" xr:uid="{00000000-0005-0000-0000-00001D500000}"/>
    <cellStyle name="Comma 2 2 4 2 2" xfId="17180" xr:uid="{00000000-0005-0000-0000-00001E500000}"/>
    <cellStyle name="Comma 2 2 4 3" xfId="17181" xr:uid="{00000000-0005-0000-0000-00001F500000}"/>
    <cellStyle name="Comma 2 2 4 4" xfId="17182" xr:uid="{00000000-0005-0000-0000-000020500000}"/>
    <cellStyle name="Comma 2 2 4 5" xfId="38820" xr:uid="{00000000-0005-0000-0000-000021500000}"/>
    <cellStyle name="Comma 2 2 5" xfId="17183" xr:uid="{00000000-0005-0000-0000-000022500000}"/>
    <cellStyle name="Comma 2 2 6" xfId="35052" xr:uid="{00000000-0005-0000-0000-000023500000}"/>
    <cellStyle name="Comma 2 2 7" xfId="41815" xr:uid="{42FA1CD6-6636-4BA0-B002-138DC2B5350E}"/>
    <cellStyle name="Comma 2 3" xfId="17184" xr:uid="{00000000-0005-0000-0000-000024500000}"/>
    <cellStyle name="Comma 2 3 2" xfId="17185" xr:uid="{00000000-0005-0000-0000-000025500000}"/>
    <cellStyle name="Comma 2 3 2 2" xfId="41923" xr:uid="{3EA506B7-B076-4F4D-AD5F-B89E6D98A872}"/>
    <cellStyle name="Comma 2 3 3" xfId="17186" xr:uid="{00000000-0005-0000-0000-000026500000}"/>
    <cellStyle name="Comma 2 3 3 2" xfId="17187" xr:uid="{00000000-0005-0000-0000-000027500000}"/>
    <cellStyle name="Comma 2 3 3 2 2" xfId="17188" xr:uid="{00000000-0005-0000-0000-000028500000}"/>
    <cellStyle name="Comma 2 3 3 2 3" xfId="38822" xr:uid="{00000000-0005-0000-0000-000029500000}"/>
    <cellStyle name="Comma 2 3 3 3" xfId="17189" xr:uid="{00000000-0005-0000-0000-00002A500000}"/>
    <cellStyle name="Comma 2 3 3 4" xfId="17190" xr:uid="{00000000-0005-0000-0000-00002B500000}"/>
    <cellStyle name="Comma 2 3 3 5" xfId="38821" xr:uid="{00000000-0005-0000-0000-00002C500000}"/>
    <cellStyle name="Comma 2 3 4" xfId="17191" xr:uid="{00000000-0005-0000-0000-00002D500000}"/>
    <cellStyle name="Comma 2 3 5" xfId="41883" xr:uid="{3AF5B592-1E3B-4590-AD66-B42A7CC2A1E7}"/>
    <cellStyle name="Comma 2 4" xfId="17192" xr:uid="{00000000-0005-0000-0000-00002E500000}"/>
    <cellStyle name="Comma 2 4 2" xfId="17193" xr:uid="{00000000-0005-0000-0000-00002F500000}"/>
    <cellStyle name="Comma 2 4 3" xfId="41924" xr:uid="{D3F84A0B-5D22-4C9F-BE69-A5B6E541BEE0}"/>
    <cellStyle name="Comma 2 5" xfId="17194" xr:uid="{00000000-0005-0000-0000-000030500000}"/>
    <cellStyle name="Comma 2 5 2" xfId="42269" xr:uid="{4C38CC1D-D341-467F-948A-2D8F107F2F61}"/>
    <cellStyle name="Comma 2 6" xfId="34372" xr:uid="{00000000-0005-0000-0000-000031500000}"/>
    <cellStyle name="Comma 2 6 2" xfId="35053" xr:uid="{00000000-0005-0000-0000-000032500000}"/>
    <cellStyle name="Comma 2 6 3" xfId="42228" xr:uid="{A1D48A5D-3FF7-4071-A15E-B646315BF08B}"/>
    <cellStyle name="Comma 2 7" xfId="41882" xr:uid="{94B7DA87-A2B2-466C-A608-DEA273349F82}"/>
    <cellStyle name="Comma 20" xfId="17195" xr:uid="{00000000-0005-0000-0000-000033500000}"/>
    <cellStyle name="Comma 20 2" xfId="17196" xr:uid="{00000000-0005-0000-0000-000034500000}"/>
    <cellStyle name="Comma 200" xfId="17197" xr:uid="{00000000-0005-0000-0000-000035500000}"/>
    <cellStyle name="Comma 200 2" xfId="17198" xr:uid="{00000000-0005-0000-0000-000036500000}"/>
    <cellStyle name="Comma 201" xfId="17199" xr:uid="{00000000-0005-0000-0000-000037500000}"/>
    <cellStyle name="Comma 201 2" xfId="17200" xr:uid="{00000000-0005-0000-0000-000038500000}"/>
    <cellStyle name="Comma 202" xfId="17201" xr:uid="{00000000-0005-0000-0000-000039500000}"/>
    <cellStyle name="Comma 202 2" xfId="17202" xr:uid="{00000000-0005-0000-0000-00003A500000}"/>
    <cellStyle name="Comma 203" xfId="17203" xr:uid="{00000000-0005-0000-0000-00003B500000}"/>
    <cellStyle name="Comma 203 2" xfId="17204" xr:uid="{00000000-0005-0000-0000-00003C500000}"/>
    <cellStyle name="Comma 204" xfId="17205" xr:uid="{00000000-0005-0000-0000-00003D500000}"/>
    <cellStyle name="Comma 204 2" xfId="17206" xr:uid="{00000000-0005-0000-0000-00003E500000}"/>
    <cellStyle name="Comma 205" xfId="17207" xr:uid="{00000000-0005-0000-0000-00003F500000}"/>
    <cellStyle name="Comma 205 2" xfId="17208" xr:uid="{00000000-0005-0000-0000-000040500000}"/>
    <cellStyle name="Comma 206" xfId="17209" xr:uid="{00000000-0005-0000-0000-000041500000}"/>
    <cellStyle name="Comma 206 2" xfId="17210" xr:uid="{00000000-0005-0000-0000-000042500000}"/>
    <cellStyle name="Comma 207" xfId="17211" xr:uid="{00000000-0005-0000-0000-000043500000}"/>
    <cellStyle name="Comma 207 2" xfId="17212" xr:uid="{00000000-0005-0000-0000-000044500000}"/>
    <cellStyle name="Comma 208" xfId="17213" xr:uid="{00000000-0005-0000-0000-000045500000}"/>
    <cellStyle name="Comma 208 2" xfId="17214" xr:uid="{00000000-0005-0000-0000-000046500000}"/>
    <cellStyle name="Comma 209" xfId="17215" xr:uid="{00000000-0005-0000-0000-000047500000}"/>
    <cellStyle name="Comma 209 2" xfId="17216" xr:uid="{00000000-0005-0000-0000-000048500000}"/>
    <cellStyle name="Comma 21" xfId="17217" xr:uid="{00000000-0005-0000-0000-000049500000}"/>
    <cellStyle name="Comma 21 2" xfId="17218" xr:uid="{00000000-0005-0000-0000-00004A500000}"/>
    <cellStyle name="Comma 210" xfId="17219" xr:uid="{00000000-0005-0000-0000-00004B500000}"/>
    <cellStyle name="Comma 210 2" xfId="17220" xr:uid="{00000000-0005-0000-0000-00004C500000}"/>
    <cellStyle name="Comma 211" xfId="17221" xr:uid="{00000000-0005-0000-0000-00004D500000}"/>
    <cellStyle name="Comma 211 2" xfId="17222" xr:uid="{00000000-0005-0000-0000-00004E500000}"/>
    <cellStyle name="Comma 212" xfId="17223" xr:uid="{00000000-0005-0000-0000-00004F500000}"/>
    <cellStyle name="Comma 212 2" xfId="17224" xr:uid="{00000000-0005-0000-0000-000050500000}"/>
    <cellStyle name="Comma 213" xfId="17225" xr:uid="{00000000-0005-0000-0000-000051500000}"/>
    <cellStyle name="Comma 213 2" xfId="17226" xr:uid="{00000000-0005-0000-0000-000052500000}"/>
    <cellStyle name="Comma 214" xfId="17227" xr:uid="{00000000-0005-0000-0000-000053500000}"/>
    <cellStyle name="Comma 214 2" xfId="17228" xr:uid="{00000000-0005-0000-0000-000054500000}"/>
    <cellStyle name="Comma 215" xfId="17229" xr:uid="{00000000-0005-0000-0000-000055500000}"/>
    <cellStyle name="Comma 215 2" xfId="17230" xr:uid="{00000000-0005-0000-0000-000056500000}"/>
    <cellStyle name="Comma 216" xfId="17231" xr:uid="{00000000-0005-0000-0000-000057500000}"/>
    <cellStyle name="Comma 216 2" xfId="17232" xr:uid="{00000000-0005-0000-0000-000058500000}"/>
    <cellStyle name="Comma 217" xfId="17233" xr:uid="{00000000-0005-0000-0000-000059500000}"/>
    <cellStyle name="Comma 217 2" xfId="17234" xr:uid="{00000000-0005-0000-0000-00005A500000}"/>
    <cellStyle name="Comma 218" xfId="17235" xr:uid="{00000000-0005-0000-0000-00005B500000}"/>
    <cellStyle name="Comma 218 2" xfId="17236" xr:uid="{00000000-0005-0000-0000-00005C500000}"/>
    <cellStyle name="Comma 219" xfId="17237" xr:uid="{00000000-0005-0000-0000-00005D500000}"/>
    <cellStyle name="Comma 219 2" xfId="17238" xr:uid="{00000000-0005-0000-0000-00005E500000}"/>
    <cellStyle name="Comma 22" xfId="17239" xr:uid="{00000000-0005-0000-0000-00005F500000}"/>
    <cellStyle name="Comma 220" xfId="17240" xr:uid="{00000000-0005-0000-0000-000060500000}"/>
    <cellStyle name="Comma 220 2" xfId="17241" xr:uid="{00000000-0005-0000-0000-000061500000}"/>
    <cellStyle name="Comma 221" xfId="17242" xr:uid="{00000000-0005-0000-0000-000062500000}"/>
    <cellStyle name="Comma 221 2" xfId="17243" xr:uid="{00000000-0005-0000-0000-000063500000}"/>
    <cellStyle name="Comma 222" xfId="17244" xr:uid="{00000000-0005-0000-0000-000064500000}"/>
    <cellStyle name="Comma 222 2" xfId="17245" xr:uid="{00000000-0005-0000-0000-000065500000}"/>
    <cellStyle name="Comma 223" xfId="17246" xr:uid="{00000000-0005-0000-0000-000066500000}"/>
    <cellStyle name="Comma 223 2" xfId="17247" xr:uid="{00000000-0005-0000-0000-000067500000}"/>
    <cellStyle name="Comma 224" xfId="17248" xr:uid="{00000000-0005-0000-0000-000068500000}"/>
    <cellStyle name="Comma 224 2" xfId="17249" xr:uid="{00000000-0005-0000-0000-000069500000}"/>
    <cellStyle name="Comma 225" xfId="17250" xr:uid="{00000000-0005-0000-0000-00006A500000}"/>
    <cellStyle name="Comma 225 2" xfId="17251" xr:uid="{00000000-0005-0000-0000-00006B500000}"/>
    <cellStyle name="Comma 226" xfId="17252" xr:uid="{00000000-0005-0000-0000-00006C500000}"/>
    <cellStyle name="Comma 226 2" xfId="17253" xr:uid="{00000000-0005-0000-0000-00006D500000}"/>
    <cellStyle name="Comma 227" xfId="17254" xr:uid="{00000000-0005-0000-0000-00006E500000}"/>
    <cellStyle name="Comma 227 2" xfId="17255" xr:uid="{00000000-0005-0000-0000-00006F500000}"/>
    <cellStyle name="Comma 228" xfId="17256" xr:uid="{00000000-0005-0000-0000-000070500000}"/>
    <cellStyle name="Comma 228 2" xfId="17257" xr:uid="{00000000-0005-0000-0000-000071500000}"/>
    <cellStyle name="Comma 229" xfId="17258" xr:uid="{00000000-0005-0000-0000-000072500000}"/>
    <cellStyle name="Comma 229 2" xfId="17259" xr:uid="{00000000-0005-0000-0000-000073500000}"/>
    <cellStyle name="Comma 23" xfId="17260" xr:uid="{00000000-0005-0000-0000-000074500000}"/>
    <cellStyle name="Comma 23 2" xfId="17261" xr:uid="{00000000-0005-0000-0000-000075500000}"/>
    <cellStyle name="Comma 230" xfId="17262" xr:uid="{00000000-0005-0000-0000-000076500000}"/>
    <cellStyle name="Comma 230 2" xfId="17263" xr:uid="{00000000-0005-0000-0000-000077500000}"/>
    <cellStyle name="Comma 231" xfId="17264" xr:uid="{00000000-0005-0000-0000-000078500000}"/>
    <cellStyle name="Comma 231 2" xfId="17265" xr:uid="{00000000-0005-0000-0000-000079500000}"/>
    <cellStyle name="Comma 232" xfId="17266" xr:uid="{00000000-0005-0000-0000-00007A500000}"/>
    <cellStyle name="Comma 232 2" xfId="17267" xr:uid="{00000000-0005-0000-0000-00007B500000}"/>
    <cellStyle name="Comma 233" xfId="17268" xr:uid="{00000000-0005-0000-0000-00007C500000}"/>
    <cellStyle name="Comma 234" xfId="17269" xr:uid="{00000000-0005-0000-0000-00007D500000}"/>
    <cellStyle name="Comma 234 2" xfId="17270" xr:uid="{00000000-0005-0000-0000-00007E500000}"/>
    <cellStyle name="Comma 235" xfId="17271" xr:uid="{00000000-0005-0000-0000-00007F500000}"/>
    <cellStyle name="Comma 235 2" xfId="17272" xr:uid="{00000000-0005-0000-0000-000080500000}"/>
    <cellStyle name="Comma 236" xfId="17273" xr:uid="{00000000-0005-0000-0000-000081500000}"/>
    <cellStyle name="Comma 236 2" xfId="17274" xr:uid="{00000000-0005-0000-0000-000082500000}"/>
    <cellStyle name="Comma 237" xfId="17275" xr:uid="{00000000-0005-0000-0000-000083500000}"/>
    <cellStyle name="Comma 237 2" xfId="17276" xr:uid="{00000000-0005-0000-0000-000084500000}"/>
    <cellStyle name="Comma 238" xfId="17277" xr:uid="{00000000-0005-0000-0000-000085500000}"/>
    <cellStyle name="Comma 238 2" xfId="17278" xr:uid="{00000000-0005-0000-0000-000086500000}"/>
    <cellStyle name="Comma 239" xfId="17279" xr:uid="{00000000-0005-0000-0000-000087500000}"/>
    <cellStyle name="Comma 239 2" xfId="17280" xr:uid="{00000000-0005-0000-0000-000088500000}"/>
    <cellStyle name="Comma 239 2 2" xfId="17281" xr:uid="{00000000-0005-0000-0000-000089500000}"/>
    <cellStyle name="Comma 239 2 2 2" xfId="17282" xr:uid="{00000000-0005-0000-0000-00008A500000}"/>
    <cellStyle name="Comma 239 2 2 2 2" xfId="17283" xr:uid="{00000000-0005-0000-0000-00008B500000}"/>
    <cellStyle name="Comma 239 2 2 3" xfId="17284" xr:uid="{00000000-0005-0000-0000-00008C500000}"/>
    <cellStyle name="Comma 239 2 2 4" xfId="17285" xr:uid="{00000000-0005-0000-0000-00008D500000}"/>
    <cellStyle name="Comma 239 2 2 5" xfId="38824" xr:uid="{00000000-0005-0000-0000-00008E500000}"/>
    <cellStyle name="Comma 239 2 3" xfId="17286" xr:uid="{00000000-0005-0000-0000-00008F500000}"/>
    <cellStyle name="Comma 239 2 3 2" xfId="17287" xr:uid="{00000000-0005-0000-0000-000090500000}"/>
    <cellStyle name="Comma 239 2 4" xfId="17288" xr:uid="{00000000-0005-0000-0000-000091500000}"/>
    <cellStyle name="Comma 239 2 5" xfId="17289" xr:uid="{00000000-0005-0000-0000-000092500000}"/>
    <cellStyle name="Comma 239 2 6" xfId="38823" xr:uid="{00000000-0005-0000-0000-000093500000}"/>
    <cellStyle name="Comma 239 3" xfId="17290" xr:uid="{00000000-0005-0000-0000-000094500000}"/>
    <cellStyle name="Comma 239 3 2" xfId="17291" xr:uid="{00000000-0005-0000-0000-000095500000}"/>
    <cellStyle name="Comma 239 3 2 2" xfId="17292" xr:uid="{00000000-0005-0000-0000-000096500000}"/>
    <cellStyle name="Comma 239 3 3" xfId="17293" xr:uid="{00000000-0005-0000-0000-000097500000}"/>
    <cellStyle name="Comma 239 3 4" xfId="17294" xr:uid="{00000000-0005-0000-0000-000098500000}"/>
    <cellStyle name="Comma 239 3 5" xfId="38825" xr:uid="{00000000-0005-0000-0000-000099500000}"/>
    <cellStyle name="Comma 239 4" xfId="17295" xr:uid="{00000000-0005-0000-0000-00009A500000}"/>
    <cellStyle name="Comma 239 4 2" xfId="38826" xr:uid="{00000000-0005-0000-0000-00009B500000}"/>
    <cellStyle name="Comma 239 5" xfId="17296" xr:uid="{00000000-0005-0000-0000-00009C500000}"/>
    <cellStyle name="Comma 239 6" xfId="17297" xr:uid="{00000000-0005-0000-0000-00009D500000}"/>
    <cellStyle name="Comma 239 6 2" xfId="17298" xr:uid="{00000000-0005-0000-0000-00009E500000}"/>
    <cellStyle name="Comma 239 7" xfId="17299" xr:uid="{00000000-0005-0000-0000-00009F500000}"/>
    <cellStyle name="Comma 239 8" xfId="17300" xr:uid="{00000000-0005-0000-0000-0000A0500000}"/>
    <cellStyle name="Comma 24" xfId="17301" xr:uid="{00000000-0005-0000-0000-0000A1500000}"/>
    <cellStyle name="Comma 24 2" xfId="17302" xr:uid="{00000000-0005-0000-0000-0000A2500000}"/>
    <cellStyle name="Comma 240" xfId="17303" xr:uid="{00000000-0005-0000-0000-0000A3500000}"/>
    <cellStyle name="Comma 240 2" xfId="17304" xr:uid="{00000000-0005-0000-0000-0000A4500000}"/>
    <cellStyle name="Comma 240 2 2" xfId="17305" xr:uid="{00000000-0005-0000-0000-0000A5500000}"/>
    <cellStyle name="Comma 240 2 2 2" xfId="17306" xr:uid="{00000000-0005-0000-0000-0000A6500000}"/>
    <cellStyle name="Comma 240 2 2 2 2" xfId="17307" xr:uid="{00000000-0005-0000-0000-0000A7500000}"/>
    <cellStyle name="Comma 240 2 2 3" xfId="17308" xr:uid="{00000000-0005-0000-0000-0000A8500000}"/>
    <cellStyle name="Comma 240 2 2 4" xfId="17309" xr:uid="{00000000-0005-0000-0000-0000A9500000}"/>
    <cellStyle name="Comma 240 2 2 5" xfId="38828" xr:uid="{00000000-0005-0000-0000-0000AA500000}"/>
    <cellStyle name="Comma 240 2 3" xfId="17310" xr:uid="{00000000-0005-0000-0000-0000AB500000}"/>
    <cellStyle name="Comma 240 2 3 2" xfId="17311" xr:uid="{00000000-0005-0000-0000-0000AC500000}"/>
    <cellStyle name="Comma 240 2 4" xfId="17312" xr:uid="{00000000-0005-0000-0000-0000AD500000}"/>
    <cellStyle name="Comma 240 2 5" xfId="17313" xr:uid="{00000000-0005-0000-0000-0000AE500000}"/>
    <cellStyle name="Comma 240 2 6" xfId="38827" xr:uid="{00000000-0005-0000-0000-0000AF500000}"/>
    <cellStyle name="Comma 240 3" xfId="17314" xr:uid="{00000000-0005-0000-0000-0000B0500000}"/>
    <cellStyle name="Comma 240 3 2" xfId="17315" xr:uid="{00000000-0005-0000-0000-0000B1500000}"/>
    <cellStyle name="Comma 240 3 2 2" xfId="17316" xr:uid="{00000000-0005-0000-0000-0000B2500000}"/>
    <cellStyle name="Comma 240 3 3" xfId="17317" xr:uid="{00000000-0005-0000-0000-0000B3500000}"/>
    <cellStyle name="Comma 240 3 4" xfId="17318" xr:uid="{00000000-0005-0000-0000-0000B4500000}"/>
    <cellStyle name="Comma 240 3 5" xfId="38829" xr:uid="{00000000-0005-0000-0000-0000B5500000}"/>
    <cellStyle name="Comma 240 4" xfId="17319" xr:uid="{00000000-0005-0000-0000-0000B6500000}"/>
    <cellStyle name="Comma 240 5" xfId="17320" xr:uid="{00000000-0005-0000-0000-0000B7500000}"/>
    <cellStyle name="Comma 240 5 2" xfId="17321" xr:uid="{00000000-0005-0000-0000-0000B8500000}"/>
    <cellStyle name="Comma 240 6" xfId="17322" xr:uid="{00000000-0005-0000-0000-0000B9500000}"/>
    <cellStyle name="Comma 240 7" xfId="17323" xr:uid="{00000000-0005-0000-0000-0000BA500000}"/>
    <cellStyle name="Comma 241" xfId="17324" xr:uid="{00000000-0005-0000-0000-0000BB500000}"/>
    <cellStyle name="Comma 241 2" xfId="17325" xr:uid="{00000000-0005-0000-0000-0000BC500000}"/>
    <cellStyle name="Comma 241 2 2" xfId="17326" xr:uid="{00000000-0005-0000-0000-0000BD500000}"/>
    <cellStyle name="Comma 241 2 2 2" xfId="17327" xr:uid="{00000000-0005-0000-0000-0000BE500000}"/>
    <cellStyle name="Comma 241 2 2 2 2" xfId="17328" xr:uid="{00000000-0005-0000-0000-0000BF500000}"/>
    <cellStyle name="Comma 241 2 2 3" xfId="17329" xr:uid="{00000000-0005-0000-0000-0000C0500000}"/>
    <cellStyle name="Comma 241 2 2 4" xfId="17330" xr:uid="{00000000-0005-0000-0000-0000C1500000}"/>
    <cellStyle name="Comma 241 2 2 5" xfId="38831" xr:uid="{00000000-0005-0000-0000-0000C2500000}"/>
    <cellStyle name="Comma 241 2 3" xfId="17331" xr:uid="{00000000-0005-0000-0000-0000C3500000}"/>
    <cellStyle name="Comma 241 2 3 2" xfId="17332" xr:uid="{00000000-0005-0000-0000-0000C4500000}"/>
    <cellStyle name="Comma 241 2 4" xfId="17333" xr:uid="{00000000-0005-0000-0000-0000C5500000}"/>
    <cellStyle name="Comma 241 2 5" xfId="17334" xr:uid="{00000000-0005-0000-0000-0000C6500000}"/>
    <cellStyle name="Comma 241 2 6" xfId="38830" xr:uid="{00000000-0005-0000-0000-0000C7500000}"/>
    <cellStyle name="Comma 241 3" xfId="17335" xr:uid="{00000000-0005-0000-0000-0000C8500000}"/>
    <cellStyle name="Comma 241 3 2" xfId="17336" xr:uid="{00000000-0005-0000-0000-0000C9500000}"/>
    <cellStyle name="Comma 241 3 2 2" xfId="17337" xr:uid="{00000000-0005-0000-0000-0000CA500000}"/>
    <cellStyle name="Comma 241 3 3" xfId="17338" xr:uid="{00000000-0005-0000-0000-0000CB500000}"/>
    <cellStyle name="Comma 241 3 4" xfId="17339" xr:uid="{00000000-0005-0000-0000-0000CC500000}"/>
    <cellStyle name="Comma 241 3 5" xfId="38832" xr:uid="{00000000-0005-0000-0000-0000CD500000}"/>
    <cellStyle name="Comma 241 4" xfId="17340" xr:uid="{00000000-0005-0000-0000-0000CE500000}"/>
    <cellStyle name="Comma 241 5" xfId="17341" xr:uid="{00000000-0005-0000-0000-0000CF500000}"/>
    <cellStyle name="Comma 241 5 2" xfId="17342" xr:uid="{00000000-0005-0000-0000-0000D0500000}"/>
    <cellStyle name="Comma 241 6" xfId="17343" xr:uid="{00000000-0005-0000-0000-0000D1500000}"/>
    <cellStyle name="Comma 241 7" xfId="17344" xr:uid="{00000000-0005-0000-0000-0000D2500000}"/>
    <cellStyle name="Comma 242" xfId="17345" xr:uid="{00000000-0005-0000-0000-0000D3500000}"/>
    <cellStyle name="Comma 242 2" xfId="17346" xr:uid="{00000000-0005-0000-0000-0000D4500000}"/>
    <cellStyle name="Comma 242 2 2" xfId="17347" xr:uid="{00000000-0005-0000-0000-0000D5500000}"/>
    <cellStyle name="Comma 242 2 2 2" xfId="17348" xr:uid="{00000000-0005-0000-0000-0000D6500000}"/>
    <cellStyle name="Comma 242 2 2 2 2" xfId="17349" xr:uid="{00000000-0005-0000-0000-0000D7500000}"/>
    <cellStyle name="Comma 242 2 2 3" xfId="17350" xr:uid="{00000000-0005-0000-0000-0000D8500000}"/>
    <cellStyle name="Comma 242 2 2 4" xfId="17351" xr:uid="{00000000-0005-0000-0000-0000D9500000}"/>
    <cellStyle name="Comma 242 2 2 5" xfId="38834" xr:uid="{00000000-0005-0000-0000-0000DA500000}"/>
    <cellStyle name="Comma 242 2 3" xfId="17352" xr:uid="{00000000-0005-0000-0000-0000DB500000}"/>
    <cellStyle name="Comma 242 2 3 2" xfId="17353" xr:uid="{00000000-0005-0000-0000-0000DC500000}"/>
    <cellStyle name="Comma 242 2 4" xfId="17354" xr:uid="{00000000-0005-0000-0000-0000DD500000}"/>
    <cellStyle name="Comma 242 2 5" xfId="17355" xr:uid="{00000000-0005-0000-0000-0000DE500000}"/>
    <cellStyle name="Comma 242 2 6" xfId="38833" xr:uid="{00000000-0005-0000-0000-0000DF500000}"/>
    <cellStyle name="Comma 242 3" xfId="17356" xr:uid="{00000000-0005-0000-0000-0000E0500000}"/>
    <cellStyle name="Comma 242 3 2" xfId="17357" xr:uid="{00000000-0005-0000-0000-0000E1500000}"/>
    <cellStyle name="Comma 242 3 2 2" xfId="17358" xr:uid="{00000000-0005-0000-0000-0000E2500000}"/>
    <cellStyle name="Comma 242 3 3" xfId="17359" xr:uid="{00000000-0005-0000-0000-0000E3500000}"/>
    <cellStyle name="Comma 242 3 4" xfId="17360" xr:uid="{00000000-0005-0000-0000-0000E4500000}"/>
    <cellStyle name="Comma 242 3 5" xfId="38835" xr:uid="{00000000-0005-0000-0000-0000E5500000}"/>
    <cellStyle name="Comma 242 4" xfId="17361" xr:uid="{00000000-0005-0000-0000-0000E6500000}"/>
    <cellStyle name="Comma 242 5" xfId="17362" xr:uid="{00000000-0005-0000-0000-0000E7500000}"/>
    <cellStyle name="Comma 242 5 2" xfId="17363" xr:uid="{00000000-0005-0000-0000-0000E8500000}"/>
    <cellStyle name="Comma 242 6" xfId="17364" xr:uid="{00000000-0005-0000-0000-0000E9500000}"/>
    <cellStyle name="Comma 242 7" xfId="17365" xr:uid="{00000000-0005-0000-0000-0000EA500000}"/>
    <cellStyle name="Comma 243" xfId="17366" xr:uid="{00000000-0005-0000-0000-0000EB500000}"/>
    <cellStyle name="Comma 243 2" xfId="17367" xr:uid="{00000000-0005-0000-0000-0000EC500000}"/>
    <cellStyle name="Comma 243 2 2" xfId="17368" xr:uid="{00000000-0005-0000-0000-0000ED500000}"/>
    <cellStyle name="Comma 243 2 2 2" xfId="17369" xr:uid="{00000000-0005-0000-0000-0000EE500000}"/>
    <cellStyle name="Comma 243 2 2 2 2" xfId="17370" xr:uid="{00000000-0005-0000-0000-0000EF500000}"/>
    <cellStyle name="Comma 243 2 2 3" xfId="17371" xr:uid="{00000000-0005-0000-0000-0000F0500000}"/>
    <cellStyle name="Comma 243 2 2 4" xfId="17372" xr:uid="{00000000-0005-0000-0000-0000F1500000}"/>
    <cellStyle name="Comma 243 2 2 5" xfId="38837" xr:uid="{00000000-0005-0000-0000-0000F2500000}"/>
    <cellStyle name="Comma 243 2 3" xfId="17373" xr:uid="{00000000-0005-0000-0000-0000F3500000}"/>
    <cellStyle name="Comma 243 2 3 2" xfId="17374" xr:uid="{00000000-0005-0000-0000-0000F4500000}"/>
    <cellStyle name="Comma 243 2 4" xfId="17375" xr:uid="{00000000-0005-0000-0000-0000F5500000}"/>
    <cellStyle name="Comma 243 2 5" xfId="17376" xr:uid="{00000000-0005-0000-0000-0000F6500000}"/>
    <cellStyle name="Comma 243 2 6" xfId="38836" xr:uid="{00000000-0005-0000-0000-0000F7500000}"/>
    <cellStyle name="Comma 243 3" xfId="17377" xr:uid="{00000000-0005-0000-0000-0000F8500000}"/>
    <cellStyle name="Comma 243 3 2" xfId="17378" xr:uid="{00000000-0005-0000-0000-0000F9500000}"/>
    <cellStyle name="Comma 243 3 2 2" xfId="17379" xr:uid="{00000000-0005-0000-0000-0000FA500000}"/>
    <cellStyle name="Comma 243 3 3" xfId="17380" xr:uid="{00000000-0005-0000-0000-0000FB500000}"/>
    <cellStyle name="Comma 243 3 4" xfId="17381" xr:uid="{00000000-0005-0000-0000-0000FC500000}"/>
    <cellStyle name="Comma 243 3 5" xfId="38838" xr:uid="{00000000-0005-0000-0000-0000FD500000}"/>
    <cellStyle name="Comma 243 4" xfId="17382" xr:uid="{00000000-0005-0000-0000-0000FE500000}"/>
    <cellStyle name="Comma 243 5" xfId="17383" xr:uid="{00000000-0005-0000-0000-0000FF500000}"/>
    <cellStyle name="Comma 243 5 2" xfId="17384" xr:uid="{00000000-0005-0000-0000-000000510000}"/>
    <cellStyle name="Comma 243 6" xfId="17385" xr:uid="{00000000-0005-0000-0000-000001510000}"/>
    <cellStyle name="Comma 243 7" xfId="17386" xr:uid="{00000000-0005-0000-0000-000002510000}"/>
    <cellStyle name="Comma 243 8" xfId="35054" xr:uid="{00000000-0005-0000-0000-000003510000}"/>
    <cellStyle name="Comma 244" xfId="17387" xr:uid="{00000000-0005-0000-0000-000004510000}"/>
    <cellStyle name="Comma 244 2" xfId="17388" xr:uid="{00000000-0005-0000-0000-000005510000}"/>
    <cellStyle name="Comma 244 2 2" xfId="17389" xr:uid="{00000000-0005-0000-0000-000006510000}"/>
    <cellStyle name="Comma 244 2 2 2" xfId="17390" xr:uid="{00000000-0005-0000-0000-000007510000}"/>
    <cellStyle name="Comma 244 2 2 2 2" xfId="17391" xr:uid="{00000000-0005-0000-0000-000008510000}"/>
    <cellStyle name="Comma 244 2 2 3" xfId="17392" xr:uid="{00000000-0005-0000-0000-000009510000}"/>
    <cellStyle name="Comma 244 2 2 4" xfId="17393" xr:uid="{00000000-0005-0000-0000-00000A510000}"/>
    <cellStyle name="Comma 244 2 2 5" xfId="38840" xr:uid="{00000000-0005-0000-0000-00000B510000}"/>
    <cellStyle name="Comma 244 2 3" xfId="17394" xr:uid="{00000000-0005-0000-0000-00000C510000}"/>
    <cellStyle name="Comma 244 2 3 2" xfId="17395" xr:uid="{00000000-0005-0000-0000-00000D510000}"/>
    <cellStyle name="Comma 244 2 4" xfId="17396" xr:uid="{00000000-0005-0000-0000-00000E510000}"/>
    <cellStyle name="Comma 244 2 5" xfId="17397" xr:uid="{00000000-0005-0000-0000-00000F510000}"/>
    <cellStyle name="Comma 244 2 6" xfId="38839" xr:uid="{00000000-0005-0000-0000-000010510000}"/>
    <cellStyle name="Comma 244 3" xfId="17398" xr:uid="{00000000-0005-0000-0000-000011510000}"/>
    <cellStyle name="Comma 244 3 2" xfId="17399" xr:uid="{00000000-0005-0000-0000-000012510000}"/>
    <cellStyle name="Comma 244 3 2 2" xfId="17400" xr:uid="{00000000-0005-0000-0000-000013510000}"/>
    <cellStyle name="Comma 244 3 3" xfId="17401" xr:uid="{00000000-0005-0000-0000-000014510000}"/>
    <cellStyle name="Comma 244 3 4" xfId="17402" xr:uid="{00000000-0005-0000-0000-000015510000}"/>
    <cellStyle name="Comma 244 3 5" xfId="38841" xr:uid="{00000000-0005-0000-0000-000016510000}"/>
    <cellStyle name="Comma 244 4" xfId="17403" xr:uid="{00000000-0005-0000-0000-000017510000}"/>
    <cellStyle name="Comma 244 5" xfId="17404" xr:uid="{00000000-0005-0000-0000-000018510000}"/>
    <cellStyle name="Comma 244 5 2" xfId="17405" xr:uid="{00000000-0005-0000-0000-000019510000}"/>
    <cellStyle name="Comma 244 6" xfId="17406" xr:uid="{00000000-0005-0000-0000-00001A510000}"/>
    <cellStyle name="Comma 244 7" xfId="17407" xr:uid="{00000000-0005-0000-0000-00001B510000}"/>
    <cellStyle name="Comma 244 8" xfId="35055" xr:uid="{00000000-0005-0000-0000-00001C510000}"/>
    <cellStyle name="Comma 245" xfId="17408" xr:uid="{00000000-0005-0000-0000-00001D510000}"/>
    <cellStyle name="Comma 245 2" xfId="17409" xr:uid="{00000000-0005-0000-0000-00001E510000}"/>
    <cellStyle name="Comma 245 2 2" xfId="17410" xr:uid="{00000000-0005-0000-0000-00001F510000}"/>
    <cellStyle name="Comma 245 2 2 2" xfId="17411" xr:uid="{00000000-0005-0000-0000-000020510000}"/>
    <cellStyle name="Comma 245 2 2 2 2" xfId="17412" xr:uid="{00000000-0005-0000-0000-000021510000}"/>
    <cellStyle name="Comma 245 2 2 3" xfId="17413" xr:uid="{00000000-0005-0000-0000-000022510000}"/>
    <cellStyle name="Comma 245 2 2 4" xfId="17414" xr:uid="{00000000-0005-0000-0000-000023510000}"/>
    <cellStyle name="Comma 245 2 2 5" xfId="38843" xr:uid="{00000000-0005-0000-0000-000024510000}"/>
    <cellStyle name="Comma 245 2 3" xfId="17415" xr:uid="{00000000-0005-0000-0000-000025510000}"/>
    <cellStyle name="Comma 245 2 3 2" xfId="17416" xr:uid="{00000000-0005-0000-0000-000026510000}"/>
    <cellStyle name="Comma 245 2 4" xfId="17417" xr:uid="{00000000-0005-0000-0000-000027510000}"/>
    <cellStyle name="Comma 245 2 5" xfId="17418" xr:uid="{00000000-0005-0000-0000-000028510000}"/>
    <cellStyle name="Comma 245 2 6" xfId="38842" xr:uid="{00000000-0005-0000-0000-000029510000}"/>
    <cellStyle name="Comma 245 3" xfId="17419" xr:uid="{00000000-0005-0000-0000-00002A510000}"/>
    <cellStyle name="Comma 245 3 2" xfId="17420" xr:uid="{00000000-0005-0000-0000-00002B510000}"/>
    <cellStyle name="Comma 245 3 2 2" xfId="17421" xr:uid="{00000000-0005-0000-0000-00002C510000}"/>
    <cellStyle name="Comma 245 3 3" xfId="17422" xr:uid="{00000000-0005-0000-0000-00002D510000}"/>
    <cellStyle name="Comma 245 3 4" xfId="17423" xr:uid="{00000000-0005-0000-0000-00002E510000}"/>
    <cellStyle name="Comma 245 3 5" xfId="38844" xr:uid="{00000000-0005-0000-0000-00002F510000}"/>
    <cellStyle name="Comma 245 4" xfId="17424" xr:uid="{00000000-0005-0000-0000-000030510000}"/>
    <cellStyle name="Comma 245 5" xfId="17425" xr:uid="{00000000-0005-0000-0000-000031510000}"/>
    <cellStyle name="Comma 245 5 2" xfId="17426" xr:uid="{00000000-0005-0000-0000-000032510000}"/>
    <cellStyle name="Comma 245 6" xfId="17427" xr:uid="{00000000-0005-0000-0000-000033510000}"/>
    <cellStyle name="Comma 245 7" xfId="17428" xr:uid="{00000000-0005-0000-0000-000034510000}"/>
    <cellStyle name="Comma 245 8" xfId="35056" xr:uid="{00000000-0005-0000-0000-000035510000}"/>
    <cellStyle name="Comma 246" xfId="17429" xr:uid="{00000000-0005-0000-0000-000036510000}"/>
    <cellStyle name="Comma 246 2" xfId="17430" xr:uid="{00000000-0005-0000-0000-000037510000}"/>
    <cellStyle name="Comma 246 2 2" xfId="17431" xr:uid="{00000000-0005-0000-0000-000038510000}"/>
    <cellStyle name="Comma 246 2 2 2" xfId="17432" xr:uid="{00000000-0005-0000-0000-000039510000}"/>
    <cellStyle name="Comma 246 2 2 2 2" xfId="17433" xr:uid="{00000000-0005-0000-0000-00003A510000}"/>
    <cellStyle name="Comma 246 2 2 3" xfId="17434" xr:uid="{00000000-0005-0000-0000-00003B510000}"/>
    <cellStyle name="Comma 246 2 2 4" xfId="17435" xr:uid="{00000000-0005-0000-0000-00003C510000}"/>
    <cellStyle name="Comma 246 2 2 5" xfId="38846" xr:uid="{00000000-0005-0000-0000-00003D510000}"/>
    <cellStyle name="Comma 246 2 3" xfId="17436" xr:uid="{00000000-0005-0000-0000-00003E510000}"/>
    <cellStyle name="Comma 246 2 3 2" xfId="17437" xr:uid="{00000000-0005-0000-0000-00003F510000}"/>
    <cellStyle name="Comma 246 2 4" xfId="17438" xr:uid="{00000000-0005-0000-0000-000040510000}"/>
    <cellStyle name="Comma 246 2 5" xfId="17439" xr:uid="{00000000-0005-0000-0000-000041510000}"/>
    <cellStyle name="Comma 246 2 6" xfId="38845" xr:uid="{00000000-0005-0000-0000-000042510000}"/>
    <cellStyle name="Comma 246 3" xfId="17440" xr:uid="{00000000-0005-0000-0000-000043510000}"/>
    <cellStyle name="Comma 246 3 2" xfId="17441" xr:uid="{00000000-0005-0000-0000-000044510000}"/>
    <cellStyle name="Comma 246 3 2 2" xfId="17442" xr:uid="{00000000-0005-0000-0000-000045510000}"/>
    <cellStyle name="Comma 246 3 3" xfId="17443" xr:uid="{00000000-0005-0000-0000-000046510000}"/>
    <cellStyle name="Comma 246 3 4" xfId="17444" xr:uid="{00000000-0005-0000-0000-000047510000}"/>
    <cellStyle name="Comma 246 3 5" xfId="38847" xr:uid="{00000000-0005-0000-0000-000048510000}"/>
    <cellStyle name="Comma 246 4" xfId="17445" xr:uid="{00000000-0005-0000-0000-000049510000}"/>
    <cellStyle name="Comma 246 5" xfId="17446" xr:uid="{00000000-0005-0000-0000-00004A510000}"/>
    <cellStyle name="Comma 246 5 2" xfId="17447" xr:uid="{00000000-0005-0000-0000-00004B510000}"/>
    <cellStyle name="Comma 246 6" xfId="17448" xr:uid="{00000000-0005-0000-0000-00004C510000}"/>
    <cellStyle name="Comma 246 7" xfId="17449" xr:uid="{00000000-0005-0000-0000-00004D510000}"/>
    <cellStyle name="Comma 246 8" xfId="35057" xr:uid="{00000000-0005-0000-0000-00004E510000}"/>
    <cellStyle name="Comma 247" xfId="17450" xr:uid="{00000000-0005-0000-0000-00004F510000}"/>
    <cellStyle name="Comma 247 2" xfId="17451" xr:uid="{00000000-0005-0000-0000-000050510000}"/>
    <cellStyle name="Comma 247 2 2" xfId="17452" xr:uid="{00000000-0005-0000-0000-000051510000}"/>
    <cellStyle name="Comma 247 2 2 2" xfId="17453" xr:uid="{00000000-0005-0000-0000-000052510000}"/>
    <cellStyle name="Comma 247 2 2 2 2" xfId="17454" xr:uid="{00000000-0005-0000-0000-000053510000}"/>
    <cellStyle name="Comma 247 2 2 3" xfId="17455" xr:uid="{00000000-0005-0000-0000-000054510000}"/>
    <cellStyle name="Comma 247 2 2 4" xfId="17456" xr:uid="{00000000-0005-0000-0000-000055510000}"/>
    <cellStyle name="Comma 247 2 2 5" xfId="38849" xr:uid="{00000000-0005-0000-0000-000056510000}"/>
    <cellStyle name="Comma 247 2 3" xfId="17457" xr:uid="{00000000-0005-0000-0000-000057510000}"/>
    <cellStyle name="Comma 247 2 3 2" xfId="17458" xr:uid="{00000000-0005-0000-0000-000058510000}"/>
    <cellStyle name="Comma 247 2 4" xfId="17459" xr:uid="{00000000-0005-0000-0000-000059510000}"/>
    <cellStyle name="Comma 247 2 5" xfId="17460" xr:uid="{00000000-0005-0000-0000-00005A510000}"/>
    <cellStyle name="Comma 247 2 6" xfId="38848" xr:uid="{00000000-0005-0000-0000-00005B510000}"/>
    <cellStyle name="Comma 247 3" xfId="17461" xr:uid="{00000000-0005-0000-0000-00005C510000}"/>
    <cellStyle name="Comma 247 3 2" xfId="17462" xr:uid="{00000000-0005-0000-0000-00005D510000}"/>
    <cellStyle name="Comma 247 3 2 2" xfId="17463" xr:uid="{00000000-0005-0000-0000-00005E510000}"/>
    <cellStyle name="Comma 247 3 3" xfId="17464" xr:uid="{00000000-0005-0000-0000-00005F510000}"/>
    <cellStyle name="Comma 247 3 4" xfId="17465" xr:uid="{00000000-0005-0000-0000-000060510000}"/>
    <cellStyle name="Comma 247 3 5" xfId="38850" xr:uid="{00000000-0005-0000-0000-000061510000}"/>
    <cellStyle name="Comma 247 4" xfId="17466" xr:uid="{00000000-0005-0000-0000-000062510000}"/>
    <cellStyle name="Comma 247 5" xfId="17467" xr:uid="{00000000-0005-0000-0000-000063510000}"/>
    <cellStyle name="Comma 247 5 2" xfId="17468" xr:uid="{00000000-0005-0000-0000-000064510000}"/>
    <cellStyle name="Comma 247 6" xfId="17469" xr:uid="{00000000-0005-0000-0000-000065510000}"/>
    <cellStyle name="Comma 247 7" xfId="17470" xr:uid="{00000000-0005-0000-0000-000066510000}"/>
    <cellStyle name="Comma 247 8" xfId="35058" xr:uid="{00000000-0005-0000-0000-000067510000}"/>
    <cellStyle name="Comma 248" xfId="17471" xr:uid="{00000000-0005-0000-0000-000068510000}"/>
    <cellStyle name="Comma 248 2" xfId="17472" xr:uid="{00000000-0005-0000-0000-000069510000}"/>
    <cellStyle name="Comma 248 2 2" xfId="17473" xr:uid="{00000000-0005-0000-0000-00006A510000}"/>
    <cellStyle name="Comma 248 2 2 2" xfId="17474" xr:uid="{00000000-0005-0000-0000-00006B510000}"/>
    <cellStyle name="Comma 248 2 2 2 2" xfId="17475" xr:uid="{00000000-0005-0000-0000-00006C510000}"/>
    <cellStyle name="Comma 248 2 2 3" xfId="17476" xr:uid="{00000000-0005-0000-0000-00006D510000}"/>
    <cellStyle name="Comma 248 2 2 4" xfId="17477" xr:uid="{00000000-0005-0000-0000-00006E510000}"/>
    <cellStyle name="Comma 248 2 2 5" xfId="38852" xr:uid="{00000000-0005-0000-0000-00006F510000}"/>
    <cellStyle name="Comma 248 2 3" xfId="17478" xr:uid="{00000000-0005-0000-0000-000070510000}"/>
    <cellStyle name="Comma 248 2 3 2" xfId="17479" xr:uid="{00000000-0005-0000-0000-000071510000}"/>
    <cellStyle name="Comma 248 2 4" xfId="17480" xr:uid="{00000000-0005-0000-0000-000072510000}"/>
    <cellStyle name="Comma 248 2 5" xfId="17481" xr:uid="{00000000-0005-0000-0000-000073510000}"/>
    <cellStyle name="Comma 248 2 6" xfId="38851" xr:uid="{00000000-0005-0000-0000-000074510000}"/>
    <cellStyle name="Comma 248 3" xfId="17482" xr:uid="{00000000-0005-0000-0000-000075510000}"/>
    <cellStyle name="Comma 248 3 2" xfId="17483" xr:uid="{00000000-0005-0000-0000-000076510000}"/>
    <cellStyle name="Comma 248 3 2 2" xfId="17484" xr:uid="{00000000-0005-0000-0000-000077510000}"/>
    <cellStyle name="Comma 248 3 3" xfId="17485" xr:uid="{00000000-0005-0000-0000-000078510000}"/>
    <cellStyle name="Comma 248 3 4" xfId="17486" xr:uid="{00000000-0005-0000-0000-000079510000}"/>
    <cellStyle name="Comma 248 3 5" xfId="38853" xr:uid="{00000000-0005-0000-0000-00007A510000}"/>
    <cellStyle name="Comma 248 4" xfId="17487" xr:uid="{00000000-0005-0000-0000-00007B510000}"/>
    <cellStyle name="Comma 248 5" xfId="17488" xr:uid="{00000000-0005-0000-0000-00007C510000}"/>
    <cellStyle name="Comma 248 5 2" xfId="17489" xr:uid="{00000000-0005-0000-0000-00007D510000}"/>
    <cellStyle name="Comma 248 6" xfId="17490" xr:uid="{00000000-0005-0000-0000-00007E510000}"/>
    <cellStyle name="Comma 248 7" xfId="17491" xr:uid="{00000000-0005-0000-0000-00007F510000}"/>
    <cellStyle name="Comma 249" xfId="17492" xr:uid="{00000000-0005-0000-0000-000080510000}"/>
    <cellStyle name="Comma 25" xfId="17493" xr:uid="{00000000-0005-0000-0000-000081510000}"/>
    <cellStyle name="Comma 25 2" xfId="17494" xr:uid="{00000000-0005-0000-0000-000082510000}"/>
    <cellStyle name="Comma 250" xfId="17495" xr:uid="{00000000-0005-0000-0000-000083510000}"/>
    <cellStyle name="Comma 251" xfId="17496" xr:uid="{00000000-0005-0000-0000-000084510000}"/>
    <cellStyle name="Comma 252" xfId="17497" xr:uid="{00000000-0005-0000-0000-000085510000}"/>
    <cellStyle name="Comma 253" xfId="17498" xr:uid="{00000000-0005-0000-0000-000086510000}"/>
    <cellStyle name="Comma 254" xfId="17499" xr:uid="{00000000-0005-0000-0000-000087510000}"/>
    <cellStyle name="Comma 255" xfId="17500" xr:uid="{00000000-0005-0000-0000-000088510000}"/>
    <cellStyle name="Comma 256" xfId="17501" xr:uid="{00000000-0005-0000-0000-000089510000}"/>
    <cellStyle name="Comma 256 2" xfId="17502" xr:uid="{00000000-0005-0000-0000-00008A510000}"/>
    <cellStyle name="Comma 257" xfId="17503" xr:uid="{00000000-0005-0000-0000-00008B510000}"/>
    <cellStyle name="Comma 257 2" xfId="17504" xr:uid="{00000000-0005-0000-0000-00008C510000}"/>
    <cellStyle name="Comma 258" xfId="17505" xr:uid="{00000000-0005-0000-0000-00008D510000}"/>
    <cellStyle name="Comma 258 2" xfId="17506" xr:uid="{00000000-0005-0000-0000-00008E510000}"/>
    <cellStyle name="Comma 259" xfId="17507" xr:uid="{00000000-0005-0000-0000-00008F510000}"/>
    <cellStyle name="Comma 259 2" xfId="17508" xr:uid="{00000000-0005-0000-0000-000090510000}"/>
    <cellStyle name="Comma 26" xfId="17509" xr:uid="{00000000-0005-0000-0000-000091510000}"/>
    <cellStyle name="Comma 26 2" xfId="17510" xr:uid="{00000000-0005-0000-0000-000092510000}"/>
    <cellStyle name="Comma 260" xfId="17511" xr:uid="{00000000-0005-0000-0000-000093510000}"/>
    <cellStyle name="Comma 260 2" xfId="17512" xr:uid="{00000000-0005-0000-0000-000094510000}"/>
    <cellStyle name="Comma 261" xfId="17513" xr:uid="{00000000-0005-0000-0000-000095510000}"/>
    <cellStyle name="Comma 261 2" xfId="17514" xr:uid="{00000000-0005-0000-0000-000096510000}"/>
    <cellStyle name="Comma 262" xfId="17515" xr:uid="{00000000-0005-0000-0000-000097510000}"/>
    <cellStyle name="Comma 262 2" xfId="17516" xr:uid="{00000000-0005-0000-0000-000098510000}"/>
    <cellStyle name="Comma 262 2 2" xfId="17517" xr:uid="{00000000-0005-0000-0000-000099510000}"/>
    <cellStyle name="Comma 262 2 2 2" xfId="17518" xr:uid="{00000000-0005-0000-0000-00009A510000}"/>
    <cellStyle name="Comma 262 2 3" xfId="17519" xr:uid="{00000000-0005-0000-0000-00009B510000}"/>
    <cellStyle name="Comma 262 2 4" xfId="17520" xr:uid="{00000000-0005-0000-0000-00009C510000}"/>
    <cellStyle name="Comma 262 2 5" xfId="38854" xr:uid="{00000000-0005-0000-0000-00009D510000}"/>
    <cellStyle name="Comma 262 3" xfId="17521" xr:uid="{00000000-0005-0000-0000-00009E510000}"/>
    <cellStyle name="Comma 262 4" xfId="17522" xr:uid="{00000000-0005-0000-0000-00009F510000}"/>
    <cellStyle name="Comma 262 4 2" xfId="17523" xr:uid="{00000000-0005-0000-0000-0000A0510000}"/>
    <cellStyle name="Comma 262 5" xfId="17524" xr:uid="{00000000-0005-0000-0000-0000A1510000}"/>
    <cellStyle name="Comma 262 6" xfId="17525" xr:uid="{00000000-0005-0000-0000-0000A2510000}"/>
    <cellStyle name="Comma 262 7" xfId="35059" xr:uid="{00000000-0005-0000-0000-0000A3510000}"/>
    <cellStyle name="Comma 263" xfId="17526" xr:uid="{00000000-0005-0000-0000-0000A4510000}"/>
    <cellStyle name="Comma 263 2" xfId="17527" xr:uid="{00000000-0005-0000-0000-0000A5510000}"/>
    <cellStyle name="Comma 263 2 2" xfId="17528" xr:uid="{00000000-0005-0000-0000-0000A6510000}"/>
    <cellStyle name="Comma 263 2 2 2" xfId="17529" xr:uid="{00000000-0005-0000-0000-0000A7510000}"/>
    <cellStyle name="Comma 263 2 3" xfId="17530" xr:uid="{00000000-0005-0000-0000-0000A8510000}"/>
    <cellStyle name="Comma 263 2 4" xfId="17531" xr:uid="{00000000-0005-0000-0000-0000A9510000}"/>
    <cellStyle name="Comma 263 2 5" xfId="38855" xr:uid="{00000000-0005-0000-0000-0000AA510000}"/>
    <cellStyle name="Comma 263 3" xfId="17532" xr:uid="{00000000-0005-0000-0000-0000AB510000}"/>
    <cellStyle name="Comma 263 4" xfId="17533" xr:uid="{00000000-0005-0000-0000-0000AC510000}"/>
    <cellStyle name="Comma 263 4 2" xfId="17534" xr:uid="{00000000-0005-0000-0000-0000AD510000}"/>
    <cellStyle name="Comma 263 5" xfId="17535" xr:uid="{00000000-0005-0000-0000-0000AE510000}"/>
    <cellStyle name="Comma 263 6" xfId="17536" xr:uid="{00000000-0005-0000-0000-0000AF510000}"/>
    <cellStyle name="Comma 263 7" xfId="35060" xr:uid="{00000000-0005-0000-0000-0000B0510000}"/>
    <cellStyle name="Comma 264" xfId="17537" xr:uid="{00000000-0005-0000-0000-0000B1510000}"/>
    <cellStyle name="Comma 264 2" xfId="17538" xr:uid="{00000000-0005-0000-0000-0000B2510000}"/>
    <cellStyle name="Comma 264 2 2" xfId="17539" xr:uid="{00000000-0005-0000-0000-0000B3510000}"/>
    <cellStyle name="Comma 264 2 2 2" xfId="17540" xr:uid="{00000000-0005-0000-0000-0000B4510000}"/>
    <cellStyle name="Comma 264 2 3" xfId="17541" xr:uid="{00000000-0005-0000-0000-0000B5510000}"/>
    <cellStyle name="Comma 264 2 4" xfId="17542" xr:uid="{00000000-0005-0000-0000-0000B6510000}"/>
    <cellStyle name="Comma 264 2 5" xfId="38857" xr:uid="{00000000-0005-0000-0000-0000B7510000}"/>
    <cellStyle name="Comma 264 3" xfId="17543" xr:uid="{00000000-0005-0000-0000-0000B8510000}"/>
    <cellStyle name="Comma 264 4" xfId="17544" xr:uid="{00000000-0005-0000-0000-0000B9510000}"/>
    <cellStyle name="Comma 264 4 2" xfId="17545" xr:uid="{00000000-0005-0000-0000-0000BA510000}"/>
    <cellStyle name="Comma 264 5" xfId="17546" xr:uid="{00000000-0005-0000-0000-0000BB510000}"/>
    <cellStyle name="Comma 264 6" xfId="17547" xr:uid="{00000000-0005-0000-0000-0000BC510000}"/>
    <cellStyle name="Comma 264 7" xfId="38856" xr:uid="{00000000-0005-0000-0000-0000BD510000}"/>
    <cellStyle name="Comma 265" xfId="17548" xr:uid="{00000000-0005-0000-0000-0000BE510000}"/>
    <cellStyle name="Comma 265 2" xfId="17549" xr:uid="{00000000-0005-0000-0000-0000BF510000}"/>
    <cellStyle name="Comma 265 2 2" xfId="17550" xr:uid="{00000000-0005-0000-0000-0000C0510000}"/>
    <cellStyle name="Comma 265 2 2 2" xfId="17551" xr:uid="{00000000-0005-0000-0000-0000C1510000}"/>
    <cellStyle name="Comma 265 2 3" xfId="17552" xr:uid="{00000000-0005-0000-0000-0000C2510000}"/>
    <cellStyle name="Comma 265 2 4" xfId="17553" xr:uid="{00000000-0005-0000-0000-0000C3510000}"/>
    <cellStyle name="Comma 265 2 5" xfId="38859" xr:uid="{00000000-0005-0000-0000-0000C4510000}"/>
    <cellStyle name="Comma 265 3" xfId="17554" xr:uid="{00000000-0005-0000-0000-0000C5510000}"/>
    <cellStyle name="Comma 265 4" xfId="17555" xr:uid="{00000000-0005-0000-0000-0000C6510000}"/>
    <cellStyle name="Comma 265 4 2" xfId="17556" xr:uid="{00000000-0005-0000-0000-0000C7510000}"/>
    <cellStyle name="Comma 265 5" xfId="17557" xr:uid="{00000000-0005-0000-0000-0000C8510000}"/>
    <cellStyle name="Comma 265 6" xfId="17558" xr:uid="{00000000-0005-0000-0000-0000C9510000}"/>
    <cellStyle name="Comma 265 7" xfId="38858" xr:uid="{00000000-0005-0000-0000-0000CA510000}"/>
    <cellStyle name="Comma 266" xfId="17559" xr:uid="{00000000-0005-0000-0000-0000CB510000}"/>
    <cellStyle name="Comma 266 2" xfId="17560" xr:uid="{00000000-0005-0000-0000-0000CC510000}"/>
    <cellStyle name="Comma 266 2 2" xfId="17561" xr:uid="{00000000-0005-0000-0000-0000CD510000}"/>
    <cellStyle name="Comma 266 2 2 2" xfId="17562" xr:uid="{00000000-0005-0000-0000-0000CE510000}"/>
    <cellStyle name="Comma 266 2 3" xfId="17563" xr:uid="{00000000-0005-0000-0000-0000CF510000}"/>
    <cellStyle name="Comma 266 2 4" xfId="17564" xr:uid="{00000000-0005-0000-0000-0000D0510000}"/>
    <cellStyle name="Comma 266 2 5" xfId="38861" xr:uid="{00000000-0005-0000-0000-0000D1510000}"/>
    <cellStyle name="Comma 266 3" xfId="17565" xr:uid="{00000000-0005-0000-0000-0000D2510000}"/>
    <cellStyle name="Comma 266 4" xfId="17566" xr:uid="{00000000-0005-0000-0000-0000D3510000}"/>
    <cellStyle name="Comma 266 4 2" xfId="17567" xr:uid="{00000000-0005-0000-0000-0000D4510000}"/>
    <cellStyle name="Comma 266 5" xfId="17568" xr:uid="{00000000-0005-0000-0000-0000D5510000}"/>
    <cellStyle name="Comma 266 6" xfId="17569" xr:uid="{00000000-0005-0000-0000-0000D6510000}"/>
    <cellStyle name="Comma 266 7" xfId="38860" xr:uid="{00000000-0005-0000-0000-0000D7510000}"/>
    <cellStyle name="Comma 267" xfId="17570" xr:uid="{00000000-0005-0000-0000-0000D8510000}"/>
    <cellStyle name="Comma 267 2" xfId="17571" xr:uid="{00000000-0005-0000-0000-0000D9510000}"/>
    <cellStyle name="Comma 267 2 2" xfId="17572" xr:uid="{00000000-0005-0000-0000-0000DA510000}"/>
    <cellStyle name="Comma 267 2 2 2" xfId="17573" xr:uid="{00000000-0005-0000-0000-0000DB510000}"/>
    <cellStyle name="Comma 267 2 3" xfId="17574" xr:uid="{00000000-0005-0000-0000-0000DC510000}"/>
    <cellStyle name="Comma 267 2 4" xfId="17575" xr:uid="{00000000-0005-0000-0000-0000DD510000}"/>
    <cellStyle name="Comma 267 2 5" xfId="38863" xr:uid="{00000000-0005-0000-0000-0000DE510000}"/>
    <cellStyle name="Comma 267 3" xfId="17576" xr:uid="{00000000-0005-0000-0000-0000DF510000}"/>
    <cellStyle name="Comma 267 4" xfId="17577" xr:uid="{00000000-0005-0000-0000-0000E0510000}"/>
    <cellStyle name="Comma 267 4 2" xfId="17578" xr:uid="{00000000-0005-0000-0000-0000E1510000}"/>
    <cellStyle name="Comma 267 5" xfId="17579" xr:uid="{00000000-0005-0000-0000-0000E2510000}"/>
    <cellStyle name="Comma 267 6" xfId="17580" xr:uid="{00000000-0005-0000-0000-0000E3510000}"/>
    <cellStyle name="Comma 267 7" xfId="38862" xr:uid="{00000000-0005-0000-0000-0000E4510000}"/>
    <cellStyle name="Comma 268" xfId="17581" xr:uid="{00000000-0005-0000-0000-0000E5510000}"/>
    <cellStyle name="Comma 268 2" xfId="17582" xr:uid="{00000000-0005-0000-0000-0000E6510000}"/>
    <cellStyle name="Comma 268 2 2" xfId="17583" xr:uid="{00000000-0005-0000-0000-0000E7510000}"/>
    <cellStyle name="Comma 268 2 2 2" xfId="17584" xr:uid="{00000000-0005-0000-0000-0000E8510000}"/>
    <cellStyle name="Comma 268 2 3" xfId="17585" xr:uid="{00000000-0005-0000-0000-0000E9510000}"/>
    <cellStyle name="Comma 268 2 4" xfId="17586" xr:uid="{00000000-0005-0000-0000-0000EA510000}"/>
    <cellStyle name="Comma 268 2 5" xfId="38865" xr:uid="{00000000-0005-0000-0000-0000EB510000}"/>
    <cellStyle name="Comma 268 3" xfId="17587" xr:uid="{00000000-0005-0000-0000-0000EC510000}"/>
    <cellStyle name="Comma 268 3 2" xfId="17588" xr:uid="{00000000-0005-0000-0000-0000ED510000}"/>
    <cellStyle name="Comma 268 4" xfId="17589" xr:uid="{00000000-0005-0000-0000-0000EE510000}"/>
    <cellStyle name="Comma 268 5" xfId="17590" xr:uid="{00000000-0005-0000-0000-0000EF510000}"/>
    <cellStyle name="Comma 268 6" xfId="38864" xr:uid="{00000000-0005-0000-0000-0000F0510000}"/>
    <cellStyle name="Comma 269" xfId="17591" xr:uid="{00000000-0005-0000-0000-0000F1510000}"/>
    <cellStyle name="Comma 269 2" xfId="17592" xr:uid="{00000000-0005-0000-0000-0000F2510000}"/>
    <cellStyle name="Comma 269 2 2" xfId="17593" xr:uid="{00000000-0005-0000-0000-0000F3510000}"/>
    <cellStyle name="Comma 269 2 2 2" xfId="17594" xr:uid="{00000000-0005-0000-0000-0000F4510000}"/>
    <cellStyle name="Comma 269 2 3" xfId="17595" xr:uid="{00000000-0005-0000-0000-0000F5510000}"/>
    <cellStyle name="Comma 269 2 4" xfId="17596" xr:uid="{00000000-0005-0000-0000-0000F6510000}"/>
    <cellStyle name="Comma 269 2 5" xfId="38867" xr:uid="{00000000-0005-0000-0000-0000F7510000}"/>
    <cellStyle name="Comma 269 3" xfId="17597" xr:uid="{00000000-0005-0000-0000-0000F8510000}"/>
    <cellStyle name="Comma 269 3 2" xfId="17598" xr:uid="{00000000-0005-0000-0000-0000F9510000}"/>
    <cellStyle name="Comma 269 4" xfId="17599" xr:uid="{00000000-0005-0000-0000-0000FA510000}"/>
    <cellStyle name="Comma 269 5" xfId="17600" xr:uid="{00000000-0005-0000-0000-0000FB510000}"/>
    <cellStyle name="Comma 269 6" xfId="38866" xr:uid="{00000000-0005-0000-0000-0000FC510000}"/>
    <cellStyle name="Comma 27" xfId="17601" xr:uid="{00000000-0005-0000-0000-0000FD510000}"/>
    <cellStyle name="Comma 27 2" xfId="17602" xr:uid="{00000000-0005-0000-0000-0000FE510000}"/>
    <cellStyle name="Comma 270" xfId="17603" xr:uid="{00000000-0005-0000-0000-0000FF510000}"/>
    <cellStyle name="Comma 270 2" xfId="17604" xr:uid="{00000000-0005-0000-0000-000000520000}"/>
    <cellStyle name="Comma 270 2 2" xfId="17605" xr:uid="{00000000-0005-0000-0000-000001520000}"/>
    <cellStyle name="Comma 270 2 2 2" xfId="17606" xr:uid="{00000000-0005-0000-0000-000002520000}"/>
    <cellStyle name="Comma 270 2 3" xfId="17607" xr:uid="{00000000-0005-0000-0000-000003520000}"/>
    <cellStyle name="Comma 270 2 4" xfId="17608" xr:uid="{00000000-0005-0000-0000-000004520000}"/>
    <cellStyle name="Comma 270 2 5" xfId="38869" xr:uid="{00000000-0005-0000-0000-000005520000}"/>
    <cellStyle name="Comma 270 3" xfId="17609" xr:uid="{00000000-0005-0000-0000-000006520000}"/>
    <cellStyle name="Comma 270 3 2" xfId="17610" xr:uid="{00000000-0005-0000-0000-000007520000}"/>
    <cellStyle name="Comma 270 4" xfId="17611" xr:uid="{00000000-0005-0000-0000-000008520000}"/>
    <cellStyle name="Comma 270 5" xfId="17612" xr:uid="{00000000-0005-0000-0000-000009520000}"/>
    <cellStyle name="Comma 270 6" xfId="38868" xr:uid="{00000000-0005-0000-0000-00000A520000}"/>
    <cellStyle name="Comma 271" xfId="17613" xr:uid="{00000000-0005-0000-0000-00000B520000}"/>
    <cellStyle name="Comma 271 2" xfId="17614" xr:uid="{00000000-0005-0000-0000-00000C520000}"/>
    <cellStyle name="Comma 271 2 2" xfId="17615" xr:uid="{00000000-0005-0000-0000-00000D520000}"/>
    <cellStyle name="Comma 271 2 2 2" xfId="17616" xr:uid="{00000000-0005-0000-0000-00000E520000}"/>
    <cellStyle name="Comma 271 2 3" xfId="17617" xr:uid="{00000000-0005-0000-0000-00000F520000}"/>
    <cellStyle name="Comma 271 2 4" xfId="17618" xr:uid="{00000000-0005-0000-0000-000010520000}"/>
    <cellStyle name="Comma 271 2 5" xfId="38871" xr:uid="{00000000-0005-0000-0000-000011520000}"/>
    <cellStyle name="Comma 271 3" xfId="17619" xr:uid="{00000000-0005-0000-0000-000012520000}"/>
    <cellStyle name="Comma 271 3 2" xfId="17620" xr:uid="{00000000-0005-0000-0000-000013520000}"/>
    <cellStyle name="Comma 271 4" xfId="17621" xr:uid="{00000000-0005-0000-0000-000014520000}"/>
    <cellStyle name="Comma 271 5" xfId="17622" xr:uid="{00000000-0005-0000-0000-000015520000}"/>
    <cellStyle name="Comma 271 6" xfId="38870" xr:uid="{00000000-0005-0000-0000-000016520000}"/>
    <cellStyle name="Comma 272" xfId="17623" xr:uid="{00000000-0005-0000-0000-000017520000}"/>
    <cellStyle name="Comma 272 2" xfId="17624" xr:uid="{00000000-0005-0000-0000-000018520000}"/>
    <cellStyle name="Comma 272 2 2" xfId="17625" xr:uid="{00000000-0005-0000-0000-000019520000}"/>
    <cellStyle name="Comma 272 2 2 2" xfId="17626" xr:uid="{00000000-0005-0000-0000-00001A520000}"/>
    <cellStyle name="Comma 272 2 3" xfId="17627" xr:uid="{00000000-0005-0000-0000-00001B520000}"/>
    <cellStyle name="Comma 272 2 4" xfId="17628" xr:uid="{00000000-0005-0000-0000-00001C520000}"/>
    <cellStyle name="Comma 272 2 5" xfId="38873" xr:uid="{00000000-0005-0000-0000-00001D520000}"/>
    <cellStyle name="Comma 272 3" xfId="17629" xr:uid="{00000000-0005-0000-0000-00001E520000}"/>
    <cellStyle name="Comma 272 3 2" xfId="17630" xr:uid="{00000000-0005-0000-0000-00001F520000}"/>
    <cellStyle name="Comma 272 4" xfId="17631" xr:uid="{00000000-0005-0000-0000-000020520000}"/>
    <cellStyle name="Comma 272 5" xfId="17632" xr:uid="{00000000-0005-0000-0000-000021520000}"/>
    <cellStyle name="Comma 272 6" xfId="38872" xr:uid="{00000000-0005-0000-0000-000022520000}"/>
    <cellStyle name="Comma 273" xfId="17633" xr:uid="{00000000-0005-0000-0000-000023520000}"/>
    <cellStyle name="Comma 273 2" xfId="17634" xr:uid="{00000000-0005-0000-0000-000024520000}"/>
    <cellStyle name="Comma 273 2 2" xfId="17635" xr:uid="{00000000-0005-0000-0000-000025520000}"/>
    <cellStyle name="Comma 273 2 2 2" xfId="17636" xr:uid="{00000000-0005-0000-0000-000026520000}"/>
    <cellStyle name="Comma 273 2 3" xfId="17637" xr:uid="{00000000-0005-0000-0000-000027520000}"/>
    <cellStyle name="Comma 273 2 4" xfId="17638" xr:uid="{00000000-0005-0000-0000-000028520000}"/>
    <cellStyle name="Comma 273 2 5" xfId="38875" xr:uid="{00000000-0005-0000-0000-000029520000}"/>
    <cellStyle name="Comma 273 3" xfId="17639" xr:uid="{00000000-0005-0000-0000-00002A520000}"/>
    <cellStyle name="Comma 273 3 2" xfId="17640" xr:uid="{00000000-0005-0000-0000-00002B520000}"/>
    <cellStyle name="Comma 273 4" xfId="17641" xr:uid="{00000000-0005-0000-0000-00002C520000}"/>
    <cellStyle name="Comma 273 5" xfId="17642" xr:uid="{00000000-0005-0000-0000-00002D520000}"/>
    <cellStyle name="Comma 273 6" xfId="38874" xr:uid="{00000000-0005-0000-0000-00002E520000}"/>
    <cellStyle name="Comma 274" xfId="17643" xr:uid="{00000000-0005-0000-0000-00002F520000}"/>
    <cellStyle name="Comma 274 2" xfId="17644" xr:uid="{00000000-0005-0000-0000-000030520000}"/>
    <cellStyle name="Comma 274 2 2" xfId="17645" xr:uid="{00000000-0005-0000-0000-000031520000}"/>
    <cellStyle name="Comma 274 2 2 2" xfId="17646" xr:uid="{00000000-0005-0000-0000-000032520000}"/>
    <cellStyle name="Comma 274 2 3" xfId="17647" xr:uid="{00000000-0005-0000-0000-000033520000}"/>
    <cellStyle name="Comma 274 2 4" xfId="17648" xr:uid="{00000000-0005-0000-0000-000034520000}"/>
    <cellStyle name="Comma 274 2 5" xfId="38877" xr:uid="{00000000-0005-0000-0000-000035520000}"/>
    <cellStyle name="Comma 274 3" xfId="17649" xr:uid="{00000000-0005-0000-0000-000036520000}"/>
    <cellStyle name="Comma 274 3 2" xfId="17650" xr:uid="{00000000-0005-0000-0000-000037520000}"/>
    <cellStyle name="Comma 274 4" xfId="17651" xr:uid="{00000000-0005-0000-0000-000038520000}"/>
    <cellStyle name="Comma 274 5" xfId="17652" xr:uid="{00000000-0005-0000-0000-000039520000}"/>
    <cellStyle name="Comma 274 6" xfId="38876" xr:uid="{00000000-0005-0000-0000-00003A520000}"/>
    <cellStyle name="Comma 275" xfId="17653" xr:uid="{00000000-0005-0000-0000-00003B520000}"/>
    <cellStyle name="Comma 276" xfId="17654" xr:uid="{00000000-0005-0000-0000-00003C520000}"/>
    <cellStyle name="Comma 277" xfId="17655" xr:uid="{00000000-0005-0000-0000-00003D520000}"/>
    <cellStyle name="Comma 277 2" xfId="17656" xr:uid="{00000000-0005-0000-0000-00003E520000}"/>
    <cellStyle name="Comma 277 2 2" xfId="17657" xr:uid="{00000000-0005-0000-0000-00003F520000}"/>
    <cellStyle name="Comma 277 2 3" xfId="17658" xr:uid="{00000000-0005-0000-0000-000040520000}"/>
    <cellStyle name="Comma 277 3" xfId="17659" xr:uid="{00000000-0005-0000-0000-000041520000}"/>
    <cellStyle name="Comma 277 4" xfId="17660" xr:uid="{00000000-0005-0000-0000-000042520000}"/>
    <cellStyle name="Comma 278" xfId="17661" xr:uid="{00000000-0005-0000-0000-000043520000}"/>
    <cellStyle name="Comma 278 2" xfId="17662" xr:uid="{00000000-0005-0000-0000-000044520000}"/>
    <cellStyle name="Comma 278 2 2" xfId="17663" xr:uid="{00000000-0005-0000-0000-000045520000}"/>
    <cellStyle name="Comma 278 2 3" xfId="17664" xr:uid="{00000000-0005-0000-0000-000046520000}"/>
    <cellStyle name="Comma 278 3" xfId="17665" xr:uid="{00000000-0005-0000-0000-000047520000}"/>
    <cellStyle name="Comma 278 4" xfId="17666" xr:uid="{00000000-0005-0000-0000-000048520000}"/>
    <cellStyle name="Comma 279" xfId="17667" xr:uid="{00000000-0005-0000-0000-000049520000}"/>
    <cellStyle name="Comma 279 2" xfId="17668" xr:uid="{00000000-0005-0000-0000-00004A520000}"/>
    <cellStyle name="Comma 279 2 2" xfId="17669" xr:uid="{00000000-0005-0000-0000-00004B520000}"/>
    <cellStyle name="Comma 279 2 3" xfId="17670" xr:uid="{00000000-0005-0000-0000-00004C520000}"/>
    <cellStyle name="Comma 279 3" xfId="17671" xr:uid="{00000000-0005-0000-0000-00004D520000}"/>
    <cellStyle name="Comma 279 4" xfId="17672" xr:uid="{00000000-0005-0000-0000-00004E520000}"/>
    <cellStyle name="Comma 28" xfId="17673" xr:uid="{00000000-0005-0000-0000-00004F520000}"/>
    <cellStyle name="Comma 28 2" xfId="17674" xr:uid="{00000000-0005-0000-0000-000050520000}"/>
    <cellStyle name="Comma 280" xfId="17675" xr:uid="{00000000-0005-0000-0000-000051520000}"/>
    <cellStyle name="Comma 281" xfId="17676" xr:uid="{00000000-0005-0000-0000-000052520000}"/>
    <cellStyle name="Comma 282" xfId="17677" xr:uid="{00000000-0005-0000-0000-000053520000}"/>
    <cellStyle name="Comma 283" xfId="17678" xr:uid="{00000000-0005-0000-0000-000054520000}"/>
    <cellStyle name="Comma 284" xfId="17679" xr:uid="{00000000-0005-0000-0000-000055520000}"/>
    <cellStyle name="Comma 285" xfId="17680" xr:uid="{00000000-0005-0000-0000-000056520000}"/>
    <cellStyle name="Comma 286" xfId="17681" xr:uid="{00000000-0005-0000-0000-000057520000}"/>
    <cellStyle name="Comma 287" xfId="17682" xr:uid="{00000000-0005-0000-0000-000058520000}"/>
    <cellStyle name="Comma 288" xfId="17683" xr:uid="{00000000-0005-0000-0000-000059520000}"/>
    <cellStyle name="Comma 288 2" xfId="17684" xr:uid="{00000000-0005-0000-0000-00005A520000}"/>
    <cellStyle name="Comma 288 2 2" xfId="17685" xr:uid="{00000000-0005-0000-0000-00005B520000}"/>
    <cellStyle name="Comma 288 3" xfId="17686" xr:uid="{00000000-0005-0000-0000-00005C520000}"/>
    <cellStyle name="Comma 288 4" xfId="17687" xr:uid="{00000000-0005-0000-0000-00005D520000}"/>
    <cellStyle name="Comma 289" xfId="17688" xr:uid="{00000000-0005-0000-0000-00005E520000}"/>
    <cellStyle name="Comma 289 2" xfId="17689" xr:uid="{00000000-0005-0000-0000-00005F520000}"/>
    <cellStyle name="Comma 289 2 2" xfId="17690" xr:uid="{00000000-0005-0000-0000-000060520000}"/>
    <cellStyle name="Comma 289 3" xfId="17691" xr:uid="{00000000-0005-0000-0000-000061520000}"/>
    <cellStyle name="Comma 289 4" xfId="17692" xr:uid="{00000000-0005-0000-0000-000062520000}"/>
    <cellStyle name="Comma 29" xfId="17693" xr:uid="{00000000-0005-0000-0000-000063520000}"/>
    <cellStyle name="Comma 29 2" xfId="17694" xr:uid="{00000000-0005-0000-0000-000064520000}"/>
    <cellStyle name="Comma 290" xfId="17695" xr:uid="{00000000-0005-0000-0000-000065520000}"/>
    <cellStyle name="Comma 291" xfId="17696" xr:uid="{00000000-0005-0000-0000-000066520000}"/>
    <cellStyle name="Comma 292" xfId="17697" xr:uid="{00000000-0005-0000-0000-000067520000}"/>
    <cellStyle name="Comma 293" xfId="17698" xr:uid="{00000000-0005-0000-0000-000068520000}"/>
    <cellStyle name="Comma 294" xfId="17699" xr:uid="{00000000-0005-0000-0000-000069520000}"/>
    <cellStyle name="Comma 295" xfId="17700" xr:uid="{00000000-0005-0000-0000-00006A520000}"/>
    <cellStyle name="Comma 296" xfId="17701" xr:uid="{00000000-0005-0000-0000-00006B520000}"/>
    <cellStyle name="Comma 297" xfId="17702" xr:uid="{00000000-0005-0000-0000-00006C520000}"/>
    <cellStyle name="Comma 298" xfId="17703" xr:uid="{00000000-0005-0000-0000-00006D520000}"/>
    <cellStyle name="Comma 299" xfId="17704" xr:uid="{00000000-0005-0000-0000-00006E520000}"/>
    <cellStyle name="Comma 3" xfId="19" xr:uid="{00000000-0005-0000-0000-00006F520000}"/>
    <cellStyle name="Comma 3 2" xfId="17705" xr:uid="{00000000-0005-0000-0000-000070520000}"/>
    <cellStyle name="Comma 3 2 2" xfId="17706" xr:uid="{00000000-0005-0000-0000-000071520000}"/>
    <cellStyle name="Comma 3 2 2 2" xfId="41926" xr:uid="{883DBA12-E10A-4E2E-BFC0-9F6A5492F439}"/>
    <cellStyle name="Comma 3 2 3" xfId="17707" xr:uid="{00000000-0005-0000-0000-000072520000}"/>
    <cellStyle name="Comma 3 2 4" xfId="17708" xr:uid="{00000000-0005-0000-0000-000073520000}"/>
    <cellStyle name="Comma 3 2 4 2" xfId="17709" xr:uid="{00000000-0005-0000-0000-000074520000}"/>
    <cellStyle name="Comma 3 2 4 2 2" xfId="17710" xr:uid="{00000000-0005-0000-0000-000075520000}"/>
    <cellStyle name="Comma 3 2 4 3" xfId="17711" xr:uid="{00000000-0005-0000-0000-000076520000}"/>
    <cellStyle name="Comma 3 2 4 4" xfId="17712" xr:uid="{00000000-0005-0000-0000-000077520000}"/>
    <cellStyle name="Comma 3 2 4 5" xfId="38878" xr:uid="{00000000-0005-0000-0000-000078520000}"/>
    <cellStyle name="Comma 3 2 5" xfId="35062" xr:uid="{00000000-0005-0000-0000-000079520000}"/>
    <cellStyle name="Comma 3 3" xfId="17713" xr:uid="{00000000-0005-0000-0000-00007A520000}"/>
    <cellStyle name="Comma 3 3 2" xfId="17714" xr:uid="{00000000-0005-0000-0000-00007B520000}"/>
    <cellStyle name="Comma 3 3 2 2" xfId="41927" xr:uid="{F6D1D4AF-CB18-4EAD-B757-6912582F0147}"/>
    <cellStyle name="Comma 3 3 3" xfId="17715" xr:uid="{00000000-0005-0000-0000-00007C520000}"/>
    <cellStyle name="Comma 3 3 3 2" xfId="17716" xr:uid="{00000000-0005-0000-0000-00007D520000}"/>
    <cellStyle name="Comma 3 3 3 2 2" xfId="17717" xr:uid="{00000000-0005-0000-0000-00007E520000}"/>
    <cellStyle name="Comma 3 3 3 2 3" xfId="38880" xr:uid="{00000000-0005-0000-0000-00007F520000}"/>
    <cellStyle name="Comma 3 3 3 3" xfId="17718" xr:uid="{00000000-0005-0000-0000-000080520000}"/>
    <cellStyle name="Comma 3 3 3 4" xfId="17719" xr:uid="{00000000-0005-0000-0000-000081520000}"/>
    <cellStyle name="Comma 3 3 3 5" xfId="38879" xr:uid="{00000000-0005-0000-0000-000082520000}"/>
    <cellStyle name="Comma 3 3 4" xfId="17720" xr:uid="{00000000-0005-0000-0000-000083520000}"/>
    <cellStyle name="Comma 3 4" xfId="17721" xr:uid="{00000000-0005-0000-0000-000084520000}"/>
    <cellStyle name="Comma 3 4 2" xfId="17722" xr:uid="{00000000-0005-0000-0000-000085520000}"/>
    <cellStyle name="Comma 3 4 3" xfId="17723" xr:uid="{00000000-0005-0000-0000-000086520000}"/>
    <cellStyle name="Comma 3 4 4" xfId="41903" xr:uid="{97EDEE0B-3EF2-4A4C-A328-5E89288E0BAC}"/>
    <cellStyle name="Comma 3 5" xfId="17724" xr:uid="{00000000-0005-0000-0000-000087520000}"/>
    <cellStyle name="Comma 3 5 2" xfId="41925" xr:uid="{9C60E92D-87A0-4E96-8086-BE0A147542DB}"/>
    <cellStyle name="Comma 3 6" xfId="17725" xr:uid="{00000000-0005-0000-0000-000088520000}"/>
    <cellStyle name="Comma 3 6 2" xfId="42210" xr:uid="{42C1E8AE-9FA5-47B6-A4C4-B7F2F88BC935}"/>
    <cellStyle name="Comma 3 7" xfId="34376" xr:uid="{00000000-0005-0000-0000-000089520000}"/>
    <cellStyle name="Comma 3 8" xfId="35061" xr:uid="{00000000-0005-0000-0000-00008A520000}"/>
    <cellStyle name="Comma 3 9" xfId="41813" xr:uid="{998E4B39-495F-4AFE-920B-CEBC9439663F}"/>
    <cellStyle name="Comma 30" xfId="17726" xr:uid="{00000000-0005-0000-0000-00008B520000}"/>
    <cellStyle name="Comma 300" xfId="17727" xr:uid="{00000000-0005-0000-0000-00008C520000}"/>
    <cellStyle name="Comma 301" xfId="17728" xr:uid="{00000000-0005-0000-0000-00008D520000}"/>
    <cellStyle name="Comma 302" xfId="34355" xr:uid="{00000000-0005-0000-0000-00008E520000}"/>
    <cellStyle name="Comma 303" xfId="34388" xr:uid="{00000000-0005-0000-0000-00008F520000}"/>
    <cellStyle name="Comma 304" xfId="41096" xr:uid="{00000000-0005-0000-0000-000090520000}"/>
    <cellStyle name="Comma 305" xfId="35066" xr:uid="{00000000-0005-0000-0000-000091520000}"/>
    <cellStyle name="Comma 306" xfId="42253" xr:uid="{335C0FDC-4580-4C89-8F42-6FD539A7369B}"/>
    <cellStyle name="Comma 307" xfId="42384" xr:uid="{A1981832-719A-47F0-A793-57EACDB0FB0F}"/>
    <cellStyle name="Comma 308" xfId="42385" xr:uid="{F5B12EEE-3CDD-48FC-8BB0-F69D0CF1A674}"/>
    <cellStyle name="Comma 309" xfId="42390" xr:uid="{ECC51729-2C5C-402D-8F54-E5C6E6EEB204}"/>
    <cellStyle name="Comma 31" xfId="17729" xr:uid="{00000000-0005-0000-0000-000092520000}"/>
    <cellStyle name="Comma 32" xfId="17730" xr:uid="{00000000-0005-0000-0000-000093520000}"/>
    <cellStyle name="Comma 33" xfId="17731" xr:uid="{00000000-0005-0000-0000-000094520000}"/>
    <cellStyle name="Comma 34" xfId="17732" xr:uid="{00000000-0005-0000-0000-000095520000}"/>
    <cellStyle name="Comma 34 2" xfId="17733" xr:uid="{00000000-0005-0000-0000-000096520000}"/>
    <cellStyle name="Comma 35" xfId="17734" xr:uid="{00000000-0005-0000-0000-000097520000}"/>
    <cellStyle name="Comma 35 2" xfId="17735" xr:uid="{00000000-0005-0000-0000-000098520000}"/>
    <cellStyle name="Comma 36" xfId="17736" xr:uid="{00000000-0005-0000-0000-000099520000}"/>
    <cellStyle name="Comma 36 2" xfId="17737" xr:uid="{00000000-0005-0000-0000-00009A520000}"/>
    <cellStyle name="Comma 37" xfId="17738" xr:uid="{00000000-0005-0000-0000-00009B520000}"/>
    <cellStyle name="Comma 37 2" xfId="17739" xr:uid="{00000000-0005-0000-0000-00009C520000}"/>
    <cellStyle name="Comma 37 2 2" xfId="17740" xr:uid="{00000000-0005-0000-0000-00009D520000}"/>
    <cellStyle name="Comma 37 3" xfId="17741" xr:uid="{00000000-0005-0000-0000-00009E520000}"/>
    <cellStyle name="Comma 38" xfId="17742" xr:uid="{00000000-0005-0000-0000-00009F520000}"/>
    <cellStyle name="Comma 38 2" xfId="17743" xr:uid="{00000000-0005-0000-0000-0000A0520000}"/>
    <cellStyle name="Comma 38 2 2" xfId="17744" xr:uid="{00000000-0005-0000-0000-0000A1520000}"/>
    <cellStyle name="Comma 38 3" xfId="17745" xr:uid="{00000000-0005-0000-0000-0000A2520000}"/>
    <cellStyle name="Comma 39" xfId="17746" xr:uid="{00000000-0005-0000-0000-0000A3520000}"/>
    <cellStyle name="Comma 39 2" xfId="17747" xr:uid="{00000000-0005-0000-0000-0000A4520000}"/>
    <cellStyle name="Comma 39 2 2" xfId="17748" xr:uid="{00000000-0005-0000-0000-0000A5520000}"/>
    <cellStyle name="Comma 39 3" xfId="17749" xr:uid="{00000000-0005-0000-0000-0000A6520000}"/>
    <cellStyle name="Comma 4" xfId="17750" xr:uid="{00000000-0005-0000-0000-0000A7520000}"/>
    <cellStyle name="Comma 4 10" xfId="17751" xr:uid="{00000000-0005-0000-0000-0000A8520000}"/>
    <cellStyle name="Comma 4 11" xfId="17752" xr:uid="{00000000-0005-0000-0000-0000A9520000}"/>
    <cellStyle name="Comma 4 12" xfId="34380" xr:uid="{00000000-0005-0000-0000-0000AA520000}"/>
    <cellStyle name="Comma 4 13" xfId="35063" xr:uid="{00000000-0005-0000-0000-0000AB520000}"/>
    <cellStyle name="Comma 4 2" xfId="17753" xr:uid="{00000000-0005-0000-0000-0000AC520000}"/>
    <cellStyle name="Comma 4 2 2" xfId="17754" xr:uid="{00000000-0005-0000-0000-0000AD520000}"/>
    <cellStyle name="Comma 4 2 3" xfId="17755" xr:uid="{00000000-0005-0000-0000-0000AE520000}"/>
    <cellStyle name="Comma 4 2 4" xfId="17756" xr:uid="{00000000-0005-0000-0000-0000AF520000}"/>
    <cellStyle name="Comma 4 2 4 2" xfId="17757" xr:uid="{00000000-0005-0000-0000-0000B0520000}"/>
    <cellStyle name="Comma 4 2 4 2 2" xfId="17758" xr:uid="{00000000-0005-0000-0000-0000B1520000}"/>
    <cellStyle name="Comma 4 2 4 3" xfId="17759" xr:uid="{00000000-0005-0000-0000-0000B2520000}"/>
    <cellStyle name="Comma 4 2 4 4" xfId="17760" xr:uid="{00000000-0005-0000-0000-0000B3520000}"/>
    <cellStyle name="Comma 4 2 4 5" xfId="38881" xr:uid="{00000000-0005-0000-0000-0000B4520000}"/>
    <cellStyle name="Comma 4 2 5" xfId="35064" xr:uid="{00000000-0005-0000-0000-0000B5520000}"/>
    <cellStyle name="Comma 4 2 6" xfId="42209" xr:uid="{DE26C0C6-B0B2-4D12-A6B0-44E70F4666AB}"/>
    <cellStyle name="Comma 4 3" xfId="17761" xr:uid="{00000000-0005-0000-0000-0000B6520000}"/>
    <cellStyle name="Comma 4 4" xfId="17762" xr:uid="{00000000-0005-0000-0000-0000B7520000}"/>
    <cellStyle name="Comma 4 4 2" xfId="17763" xr:uid="{00000000-0005-0000-0000-0000B8520000}"/>
    <cellStyle name="Comma 4 5" xfId="17764" xr:uid="{00000000-0005-0000-0000-0000B9520000}"/>
    <cellStyle name="Comma 4 5 2" xfId="17765" xr:uid="{00000000-0005-0000-0000-0000BA520000}"/>
    <cellStyle name="Comma 4 5 2 2" xfId="17766" xr:uid="{00000000-0005-0000-0000-0000BB520000}"/>
    <cellStyle name="Comma 4 5 2 2 2" xfId="17767" xr:uid="{00000000-0005-0000-0000-0000BC520000}"/>
    <cellStyle name="Comma 4 5 2 3" xfId="17768" xr:uid="{00000000-0005-0000-0000-0000BD520000}"/>
    <cellStyle name="Comma 4 5 2 4" xfId="17769" xr:uid="{00000000-0005-0000-0000-0000BE520000}"/>
    <cellStyle name="Comma 4 5 2 5" xfId="38883" xr:uid="{00000000-0005-0000-0000-0000BF520000}"/>
    <cellStyle name="Comma 4 5 3" xfId="17770" xr:uid="{00000000-0005-0000-0000-0000C0520000}"/>
    <cellStyle name="Comma 4 5 4" xfId="17771" xr:uid="{00000000-0005-0000-0000-0000C1520000}"/>
    <cellStyle name="Comma 4 5 4 2" xfId="17772" xr:uid="{00000000-0005-0000-0000-0000C2520000}"/>
    <cellStyle name="Comma 4 5 5" xfId="17773" xr:uid="{00000000-0005-0000-0000-0000C3520000}"/>
    <cellStyle name="Comma 4 5 6" xfId="17774" xr:uid="{00000000-0005-0000-0000-0000C4520000}"/>
    <cellStyle name="Comma 4 5 7" xfId="38882" xr:uid="{00000000-0005-0000-0000-0000C5520000}"/>
    <cellStyle name="Comma 4 6" xfId="17775" xr:uid="{00000000-0005-0000-0000-0000C6520000}"/>
    <cellStyle name="Comma 4 6 2" xfId="17776" xr:uid="{00000000-0005-0000-0000-0000C7520000}"/>
    <cellStyle name="Comma 4 6 3" xfId="17777" xr:uid="{00000000-0005-0000-0000-0000C8520000}"/>
    <cellStyle name="Comma 4 6 3 2" xfId="17778" xr:uid="{00000000-0005-0000-0000-0000C9520000}"/>
    <cellStyle name="Comma 4 6 4" xfId="17779" xr:uid="{00000000-0005-0000-0000-0000CA520000}"/>
    <cellStyle name="Comma 4 6 5" xfId="17780" xr:uid="{00000000-0005-0000-0000-0000CB520000}"/>
    <cellStyle name="Comma 4 6 6" xfId="38884" xr:uid="{00000000-0005-0000-0000-0000CC520000}"/>
    <cellStyle name="Comma 4 7" xfId="17781" xr:uid="{00000000-0005-0000-0000-0000CD520000}"/>
    <cellStyle name="Comma 4 7 2" xfId="38886" xr:uid="{00000000-0005-0000-0000-0000CE520000}"/>
    <cellStyle name="Comma 4 7 3" xfId="38885" xr:uid="{00000000-0005-0000-0000-0000CF520000}"/>
    <cellStyle name="Comma 4 8" xfId="17782" xr:uid="{00000000-0005-0000-0000-0000D0520000}"/>
    <cellStyle name="Comma 4 9" xfId="17783" xr:uid="{00000000-0005-0000-0000-0000D1520000}"/>
    <cellStyle name="Comma 4 9 2" xfId="17784" xr:uid="{00000000-0005-0000-0000-0000D2520000}"/>
    <cellStyle name="Comma 40" xfId="17785" xr:uid="{00000000-0005-0000-0000-0000D3520000}"/>
    <cellStyle name="Comma 40 2" xfId="17786" xr:uid="{00000000-0005-0000-0000-0000D4520000}"/>
    <cellStyle name="Comma 40 2 2" xfId="17787" xr:uid="{00000000-0005-0000-0000-0000D5520000}"/>
    <cellStyle name="Comma 40 3" xfId="17788" xr:uid="{00000000-0005-0000-0000-0000D6520000}"/>
    <cellStyle name="Comma 41" xfId="17789" xr:uid="{00000000-0005-0000-0000-0000D7520000}"/>
    <cellStyle name="Comma 41 2" xfId="17790" xr:uid="{00000000-0005-0000-0000-0000D8520000}"/>
    <cellStyle name="Comma 41 2 2" xfId="17791" xr:uid="{00000000-0005-0000-0000-0000D9520000}"/>
    <cellStyle name="Comma 41 3" xfId="17792" xr:uid="{00000000-0005-0000-0000-0000DA520000}"/>
    <cellStyle name="Comma 42" xfId="17793" xr:uid="{00000000-0005-0000-0000-0000DB520000}"/>
    <cellStyle name="Comma 43" xfId="17794" xr:uid="{00000000-0005-0000-0000-0000DC520000}"/>
    <cellStyle name="Comma 43 2" xfId="17795" xr:uid="{00000000-0005-0000-0000-0000DD520000}"/>
    <cellStyle name="Comma 43 2 2" xfId="17796" xr:uid="{00000000-0005-0000-0000-0000DE520000}"/>
    <cellStyle name="Comma 43 3" xfId="17797" xr:uid="{00000000-0005-0000-0000-0000DF520000}"/>
    <cellStyle name="Comma 44" xfId="17798" xr:uid="{00000000-0005-0000-0000-0000E0520000}"/>
    <cellStyle name="Comma 44 2" xfId="17799" xr:uid="{00000000-0005-0000-0000-0000E1520000}"/>
    <cellStyle name="Comma 44 2 2" xfId="17800" xr:uid="{00000000-0005-0000-0000-0000E2520000}"/>
    <cellStyle name="Comma 44 3" xfId="17801" xr:uid="{00000000-0005-0000-0000-0000E3520000}"/>
    <cellStyle name="Comma 45" xfId="17802" xr:uid="{00000000-0005-0000-0000-0000E4520000}"/>
    <cellStyle name="Comma 45 2" xfId="17803" xr:uid="{00000000-0005-0000-0000-0000E5520000}"/>
    <cellStyle name="Comma 46" xfId="17804" xr:uid="{00000000-0005-0000-0000-0000E6520000}"/>
    <cellStyle name="Comma 46 2" xfId="17805" xr:uid="{00000000-0005-0000-0000-0000E7520000}"/>
    <cellStyle name="Comma 46 2 2" xfId="17806" xr:uid="{00000000-0005-0000-0000-0000E8520000}"/>
    <cellStyle name="Comma 46 3" xfId="17807" xr:uid="{00000000-0005-0000-0000-0000E9520000}"/>
    <cellStyle name="Comma 47" xfId="17808" xr:uid="{00000000-0005-0000-0000-0000EA520000}"/>
    <cellStyle name="Comma 47 2" xfId="17809" xr:uid="{00000000-0005-0000-0000-0000EB520000}"/>
    <cellStyle name="Comma 47 2 2" xfId="17810" xr:uid="{00000000-0005-0000-0000-0000EC520000}"/>
    <cellStyle name="Comma 47 3" xfId="17811" xr:uid="{00000000-0005-0000-0000-0000ED520000}"/>
    <cellStyle name="Comma 48" xfId="17812" xr:uid="{00000000-0005-0000-0000-0000EE520000}"/>
    <cellStyle name="Comma 48 2" xfId="17813" xr:uid="{00000000-0005-0000-0000-0000EF520000}"/>
    <cellStyle name="Comma 48 2 2" xfId="17814" xr:uid="{00000000-0005-0000-0000-0000F0520000}"/>
    <cellStyle name="Comma 48 3" xfId="17815" xr:uid="{00000000-0005-0000-0000-0000F1520000}"/>
    <cellStyle name="Comma 49" xfId="17816" xr:uid="{00000000-0005-0000-0000-0000F2520000}"/>
    <cellStyle name="Comma 49 2" xfId="17817" xr:uid="{00000000-0005-0000-0000-0000F3520000}"/>
    <cellStyle name="Comma 49 2 2" xfId="17818" xr:uid="{00000000-0005-0000-0000-0000F4520000}"/>
    <cellStyle name="Comma 49 3" xfId="17819" xr:uid="{00000000-0005-0000-0000-0000F5520000}"/>
    <cellStyle name="Comma 5" xfId="17820" xr:uid="{00000000-0005-0000-0000-0000F6520000}"/>
    <cellStyle name="Comma 5 2" xfId="17821" xr:uid="{00000000-0005-0000-0000-0000F7520000}"/>
    <cellStyle name="Comma 5 2 2" xfId="17822" xr:uid="{00000000-0005-0000-0000-0000F8520000}"/>
    <cellStyle name="Comma 5 2 2 2" xfId="17823" xr:uid="{00000000-0005-0000-0000-0000F9520000}"/>
    <cellStyle name="Comma 5 2 3" xfId="17824" xr:uid="{00000000-0005-0000-0000-0000FA520000}"/>
    <cellStyle name="Comma 5 2 4" xfId="17825" xr:uid="{00000000-0005-0000-0000-0000FB520000}"/>
    <cellStyle name="Comma 5 2 5" xfId="17826" xr:uid="{00000000-0005-0000-0000-0000FC520000}"/>
    <cellStyle name="Comma 5 2 6" xfId="42270" xr:uid="{D86F43B0-BCE6-48F8-AB1C-58937C4BDDB8}"/>
    <cellStyle name="Comma 5 3" xfId="17827" xr:uid="{00000000-0005-0000-0000-0000FD520000}"/>
    <cellStyle name="Comma 5 3 2" xfId="17828" xr:uid="{00000000-0005-0000-0000-0000FE520000}"/>
    <cellStyle name="Comma 5 4" xfId="17829" xr:uid="{00000000-0005-0000-0000-0000FF520000}"/>
    <cellStyle name="Comma 5 5" xfId="17830" xr:uid="{00000000-0005-0000-0000-000000530000}"/>
    <cellStyle name="Comma 5 5 2" xfId="17831" xr:uid="{00000000-0005-0000-0000-000001530000}"/>
    <cellStyle name="Comma 5 6" xfId="17832" xr:uid="{00000000-0005-0000-0000-000002530000}"/>
    <cellStyle name="Comma 50" xfId="17833" xr:uid="{00000000-0005-0000-0000-000003530000}"/>
    <cellStyle name="Comma 50 2" xfId="17834" xr:uid="{00000000-0005-0000-0000-000004530000}"/>
    <cellStyle name="Comma 50 2 2" xfId="17835" xr:uid="{00000000-0005-0000-0000-000005530000}"/>
    <cellStyle name="Comma 50 3" xfId="17836" xr:uid="{00000000-0005-0000-0000-000006530000}"/>
    <cellStyle name="Comma 51" xfId="17837" xr:uid="{00000000-0005-0000-0000-000007530000}"/>
    <cellStyle name="Comma 51 2" xfId="17838" xr:uid="{00000000-0005-0000-0000-000008530000}"/>
    <cellStyle name="Comma 51 2 2" xfId="17839" xr:uid="{00000000-0005-0000-0000-000009530000}"/>
    <cellStyle name="Comma 51 3" xfId="17840" xr:uid="{00000000-0005-0000-0000-00000A530000}"/>
    <cellStyle name="Comma 52" xfId="17841" xr:uid="{00000000-0005-0000-0000-00000B530000}"/>
    <cellStyle name="Comma 52 2" xfId="17842" xr:uid="{00000000-0005-0000-0000-00000C530000}"/>
    <cellStyle name="Comma 52 2 2" xfId="17843" xr:uid="{00000000-0005-0000-0000-00000D530000}"/>
    <cellStyle name="Comma 52 3" xfId="17844" xr:uid="{00000000-0005-0000-0000-00000E530000}"/>
    <cellStyle name="Comma 53" xfId="17845" xr:uid="{00000000-0005-0000-0000-00000F530000}"/>
    <cellStyle name="Comma 53 2" xfId="17846" xr:uid="{00000000-0005-0000-0000-000010530000}"/>
    <cellStyle name="Comma 53 2 2" xfId="17847" xr:uid="{00000000-0005-0000-0000-000011530000}"/>
    <cellStyle name="Comma 53 3" xfId="17848" xr:uid="{00000000-0005-0000-0000-000012530000}"/>
    <cellStyle name="Comma 54" xfId="17849" xr:uid="{00000000-0005-0000-0000-000013530000}"/>
    <cellStyle name="Comma 54 2" xfId="17850" xr:uid="{00000000-0005-0000-0000-000014530000}"/>
    <cellStyle name="Comma 54 2 2" xfId="17851" xr:uid="{00000000-0005-0000-0000-000015530000}"/>
    <cellStyle name="Comma 54 3" xfId="17852" xr:uid="{00000000-0005-0000-0000-000016530000}"/>
    <cellStyle name="Comma 55" xfId="17853" xr:uid="{00000000-0005-0000-0000-000017530000}"/>
    <cellStyle name="Comma 55 2" xfId="17854" xr:uid="{00000000-0005-0000-0000-000018530000}"/>
    <cellStyle name="Comma 55 2 2" xfId="17855" xr:uid="{00000000-0005-0000-0000-000019530000}"/>
    <cellStyle name="Comma 55 3" xfId="17856" xr:uid="{00000000-0005-0000-0000-00001A530000}"/>
    <cellStyle name="Comma 56" xfId="17857" xr:uid="{00000000-0005-0000-0000-00001B530000}"/>
    <cellStyle name="Comma 56 2" xfId="17858" xr:uid="{00000000-0005-0000-0000-00001C530000}"/>
    <cellStyle name="Comma 57" xfId="17859" xr:uid="{00000000-0005-0000-0000-00001D530000}"/>
    <cellStyle name="Comma 57 2" xfId="17860" xr:uid="{00000000-0005-0000-0000-00001E530000}"/>
    <cellStyle name="Comma 58" xfId="17861" xr:uid="{00000000-0005-0000-0000-00001F530000}"/>
    <cellStyle name="Comma 58 2" xfId="17862" xr:uid="{00000000-0005-0000-0000-000020530000}"/>
    <cellStyle name="Comma 59" xfId="17863" xr:uid="{00000000-0005-0000-0000-000021530000}"/>
    <cellStyle name="Comma 59 2" xfId="17864" xr:uid="{00000000-0005-0000-0000-000022530000}"/>
    <cellStyle name="Comma 6" xfId="17865" xr:uid="{00000000-0005-0000-0000-000023530000}"/>
    <cellStyle name="Comma 6 2" xfId="17866" xr:uid="{00000000-0005-0000-0000-000024530000}"/>
    <cellStyle name="Comma 6 2 2" xfId="17867" xr:uid="{00000000-0005-0000-0000-000025530000}"/>
    <cellStyle name="Comma 6 3" xfId="17868" xr:uid="{00000000-0005-0000-0000-000026530000}"/>
    <cellStyle name="Comma 6 3 2" xfId="17869" xr:uid="{00000000-0005-0000-0000-000027530000}"/>
    <cellStyle name="Comma 6 4" xfId="17870" xr:uid="{00000000-0005-0000-0000-000028530000}"/>
    <cellStyle name="Comma 6 4 2" xfId="17871" xr:uid="{00000000-0005-0000-0000-000029530000}"/>
    <cellStyle name="Comma 6 4 3" xfId="17872" xr:uid="{00000000-0005-0000-0000-00002A530000}"/>
    <cellStyle name="Comma 6 5" xfId="35065" xr:uid="{00000000-0005-0000-0000-00002B530000}"/>
    <cellStyle name="Comma 60" xfId="17873" xr:uid="{00000000-0005-0000-0000-00002C530000}"/>
    <cellStyle name="Comma 60 2" xfId="17874" xr:uid="{00000000-0005-0000-0000-00002D530000}"/>
    <cellStyle name="Comma 61" xfId="17875" xr:uid="{00000000-0005-0000-0000-00002E530000}"/>
    <cellStyle name="Comma 61 2" xfId="17876" xr:uid="{00000000-0005-0000-0000-00002F530000}"/>
    <cellStyle name="Comma 62" xfId="17877" xr:uid="{00000000-0005-0000-0000-000030530000}"/>
    <cellStyle name="Comma 62 2" xfId="17878" xr:uid="{00000000-0005-0000-0000-000031530000}"/>
    <cellStyle name="Comma 63" xfId="17879" xr:uid="{00000000-0005-0000-0000-000032530000}"/>
    <cellStyle name="Comma 63 2" xfId="17880" xr:uid="{00000000-0005-0000-0000-000033530000}"/>
    <cellStyle name="Comma 64" xfId="17881" xr:uid="{00000000-0005-0000-0000-000034530000}"/>
    <cellStyle name="Comma 64 2" xfId="17882" xr:uid="{00000000-0005-0000-0000-000035530000}"/>
    <cellStyle name="Comma 65" xfId="17883" xr:uid="{00000000-0005-0000-0000-000036530000}"/>
    <cellStyle name="Comma 65 2" xfId="17884" xr:uid="{00000000-0005-0000-0000-000037530000}"/>
    <cellStyle name="Comma 66" xfId="17885" xr:uid="{00000000-0005-0000-0000-000038530000}"/>
    <cellStyle name="Comma 66 2" xfId="17886" xr:uid="{00000000-0005-0000-0000-000039530000}"/>
    <cellStyle name="Comma 67" xfId="17887" xr:uid="{00000000-0005-0000-0000-00003A530000}"/>
    <cellStyle name="Comma 67 2" xfId="17888" xr:uid="{00000000-0005-0000-0000-00003B530000}"/>
    <cellStyle name="Comma 68" xfId="17889" xr:uid="{00000000-0005-0000-0000-00003C530000}"/>
    <cellStyle name="Comma 68 2" xfId="17890" xr:uid="{00000000-0005-0000-0000-00003D530000}"/>
    <cellStyle name="Comma 69" xfId="17891" xr:uid="{00000000-0005-0000-0000-00003E530000}"/>
    <cellStyle name="Comma 69 2" xfId="17892" xr:uid="{00000000-0005-0000-0000-00003F530000}"/>
    <cellStyle name="Comma 7" xfId="17893" xr:uid="{00000000-0005-0000-0000-000040530000}"/>
    <cellStyle name="Comma 7 2" xfId="17894" xr:uid="{00000000-0005-0000-0000-000041530000}"/>
    <cellStyle name="Comma 7 2 2" xfId="17895" xr:uid="{00000000-0005-0000-0000-000042530000}"/>
    <cellStyle name="Comma 7 2 3" xfId="17896" xr:uid="{00000000-0005-0000-0000-000043530000}"/>
    <cellStyle name="Comma 7 2 3 2" xfId="17897" xr:uid="{00000000-0005-0000-0000-000044530000}"/>
    <cellStyle name="Comma 7 2 3 2 2" xfId="17898" xr:uid="{00000000-0005-0000-0000-000045530000}"/>
    <cellStyle name="Comma 7 2 3 2 2 2" xfId="17899" xr:uid="{00000000-0005-0000-0000-000046530000}"/>
    <cellStyle name="Comma 7 2 3 2 3" xfId="17900" xr:uid="{00000000-0005-0000-0000-000047530000}"/>
    <cellStyle name="Comma 7 2 3 2 4" xfId="17901" xr:uid="{00000000-0005-0000-0000-000048530000}"/>
    <cellStyle name="Comma 7 2 3 2 5" xfId="38888" xr:uid="{00000000-0005-0000-0000-000049530000}"/>
    <cellStyle name="Comma 7 2 3 3" xfId="17902" xr:uid="{00000000-0005-0000-0000-00004A530000}"/>
    <cellStyle name="Comma 7 2 3 3 2" xfId="17903" xr:uid="{00000000-0005-0000-0000-00004B530000}"/>
    <cellStyle name="Comma 7 2 3 4" xfId="17904" xr:uid="{00000000-0005-0000-0000-00004C530000}"/>
    <cellStyle name="Comma 7 2 3 5" xfId="17905" xr:uid="{00000000-0005-0000-0000-00004D530000}"/>
    <cellStyle name="Comma 7 2 3 6" xfId="38887" xr:uid="{00000000-0005-0000-0000-00004E530000}"/>
    <cellStyle name="Comma 7 2 4" xfId="17906" xr:uid="{00000000-0005-0000-0000-00004F530000}"/>
    <cellStyle name="Comma 7 2 4 2" xfId="17907" xr:uid="{00000000-0005-0000-0000-000050530000}"/>
    <cellStyle name="Comma 7 2 4 2 2" xfId="17908" xr:uid="{00000000-0005-0000-0000-000051530000}"/>
    <cellStyle name="Comma 7 2 4 3" xfId="17909" xr:uid="{00000000-0005-0000-0000-000052530000}"/>
    <cellStyle name="Comma 7 2 4 4" xfId="17910" xr:uid="{00000000-0005-0000-0000-000053530000}"/>
    <cellStyle name="Comma 7 2 4 5" xfId="38889" xr:uid="{00000000-0005-0000-0000-000054530000}"/>
    <cellStyle name="Comma 7 2 5" xfId="17911" xr:uid="{00000000-0005-0000-0000-000055530000}"/>
    <cellStyle name="Comma 7 2 5 2" xfId="17912" xr:uid="{00000000-0005-0000-0000-000056530000}"/>
    <cellStyle name="Comma 7 2 6" xfId="17913" xr:uid="{00000000-0005-0000-0000-000057530000}"/>
    <cellStyle name="Comma 7 2 7" xfId="17914" xr:uid="{00000000-0005-0000-0000-000058530000}"/>
    <cellStyle name="Comma 7 3" xfId="17915" xr:uid="{00000000-0005-0000-0000-000059530000}"/>
    <cellStyle name="Comma 7 3 2" xfId="17916" xr:uid="{00000000-0005-0000-0000-00005A530000}"/>
    <cellStyle name="Comma 7 4" xfId="17917" xr:uid="{00000000-0005-0000-0000-00005B530000}"/>
    <cellStyle name="Comma 7 4 2" xfId="17918" xr:uid="{00000000-0005-0000-0000-00005C530000}"/>
    <cellStyle name="Comma 7 4 3" xfId="17919" xr:uid="{00000000-0005-0000-0000-00005D530000}"/>
    <cellStyle name="Comma 7 4 3 2" xfId="17920" xr:uid="{00000000-0005-0000-0000-00005E530000}"/>
    <cellStyle name="Comma 7 4 3 2 2" xfId="17921" xr:uid="{00000000-0005-0000-0000-00005F530000}"/>
    <cellStyle name="Comma 7 4 3 3" xfId="17922" xr:uid="{00000000-0005-0000-0000-000060530000}"/>
    <cellStyle name="Comma 7 4 3 4" xfId="17923" xr:uid="{00000000-0005-0000-0000-000061530000}"/>
    <cellStyle name="Comma 7 4 3 5" xfId="38890" xr:uid="{00000000-0005-0000-0000-000062530000}"/>
    <cellStyle name="Comma 7 5" xfId="41928" xr:uid="{C8EE2F11-4211-4CA8-A2BC-690D5794F1F8}"/>
    <cellStyle name="Comma 70" xfId="17924" xr:uid="{00000000-0005-0000-0000-000063530000}"/>
    <cellStyle name="Comma 70 2" xfId="17925" xr:uid="{00000000-0005-0000-0000-000064530000}"/>
    <cellStyle name="Comma 71" xfId="17926" xr:uid="{00000000-0005-0000-0000-000065530000}"/>
    <cellStyle name="Comma 71 2" xfId="17927" xr:uid="{00000000-0005-0000-0000-000066530000}"/>
    <cellStyle name="Comma 72" xfId="17928" xr:uid="{00000000-0005-0000-0000-000067530000}"/>
    <cellStyle name="Comma 72 2" xfId="17929" xr:uid="{00000000-0005-0000-0000-000068530000}"/>
    <cellStyle name="Comma 73" xfId="17930" xr:uid="{00000000-0005-0000-0000-000069530000}"/>
    <cellStyle name="Comma 73 2" xfId="17931" xr:uid="{00000000-0005-0000-0000-00006A530000}"/>
    <cellStyle name="Comma 74" xfId="17932" xr:uid="{00000000-0005-0000-0000-00006B530000}"/>
    <cellStyle name="Comma 74 2" xfId="17933" xr:uid="{00000000-0005-0000-0000-00006C530000}"/>
    <cellStyle name="Comma 75" xfId="17934" xr:uid="{00000000-0005-0000-0000-00006D530000}"/>
    <cellStyle name="Comma 75 2" xfId="17935" xr:uid="{00000000-0005-0000-0000-00006E530000}"/>
    <cellStyle name="Comma 76" xfId="17936" xr:uid="{00000000-0005-0000-0000-00006F530000}"/>
    <cellStyle name="Comma 76 2" xfId="17937" xr:uid="{00000000-0005-0000-0000-000070530000}"/>
    <cellStyle name="Comma 77" xfId="17938" xr:uid="{00000000-0005-0000-0000-000071530000}"/>
    <cellStyle name="Comma 77 2" xfId="17939" xr:uid="{00000000-0005-0000-0000-000072530000}"/>
    <cellStyle name="Comma 78" xfId="17940" xr:uid="{00000000-0005-0000-0000-000073530000}"/>
    <cellStyle name="Comma 78 2" xfId="17941" xr:uid="{00000000-0005-0000-0000-000074530000}"/>
    <cellStyle name="Comma 79" xfId="17942" xr:uid="{00000000-0005-0000-0000-000075530000}"/>
    <cellStyle name="Comma 79 2" xfId="17943" xr:uid="{00000000-0005-0000-0000-000076530000}"/>
    <cellStyle name="Comma 8" xfId="17944" xr:uid="{00000000-0005-0000-0000-000077530000}"/>
    <cellStyle name="Comma 8 2" xfId="17945" xr:uid="{00000000-0005-0000-0000-000078530000}"/>
    <cellStyle name="Comma 8 3" xfId="17946" xr:uid="{00000000-0005-0000-0000-000079530000}"/>
    <cellStyle name="Comma 8 3 2" xfId="17947" xr:uid="{00000000-0005-0000-0000-00007A530000}"/>
    <cellStyle name="Comma 8 4" xfId="17948" xr:uid="{00000000-0005-0000-0000-00007B530000}"/>
    <cellStyle name="Comma 8 4 2" xfId="17949" xr:uid="{00000000-0005-0000-0000-00007C530000}"/>
    <cellStyle name="Comma 8 4 3" xfId="17950" xr:uid="{00000000-0005-0000-0000-00007D530000}"/>
    <cellStyle name="Comma 8 4 3 2" xfId="17951" xr:uid="{00000000-0005-0000-0000-00007E530000}"/>
    <cellStyle name="Comma 8 4 3 2 2" xfId="17952" xr:uid="{00000000-0005-0000-0000-00007F530000}"/>
    <cellStyle name="Comma 8 4 3 3" xfId="17953" xr:uid="{00000000-0005-0000-0000-000080530000}"/>
    <cellStyle name="Comma 8 4 3 4" xfId="17954" xr:uid="{00000000-0005-0000-0000-000081530000}"/>
    <cellStyle name="Comma 8 4 3 5" xfId="38892" xr:uid="{00000000-0005-0000-0000-000082530000}"/>
    <cellStyle name="Comma 8 5" xfId="41929" xr:uid="{1958986E-CC18-43D1-B128-658A13FC7478}"/>
    <cellStyle name="Comma 80" xfId="17955" xr:uid="{00000000-0005-0000-0000-000083530000}"/>
    <cellStyle name="Comma 80 2" xfId="17956" xr:uid="{00000000-0005-0000-0000-000084530000}"/>
    <cellStyle name="Comma 81" xfId="17957" xr:uid="{00000000-0005-0000-0000-000085530000}"/>
    <cellStyle name="Comma 81 2" xfId="17958" xr:uid="{00000000-0005-0000-0000-000086530000}"/>
    <cellStyle name="Comma 82" xfId="17959" xr:uid="{00000000-0005-0000-0000-000087530000}"/>
    <cellStyle name="Comma 82 2" xfId="17960" xr:uid="{00000000-0005-0000-0000-000088530000}"/>
    <cellStyle name="Comma 83" xfId="17961" xr:uid="{00000000-0005-0000-0000-000089530000}"/>
    <cellStyle name="Comma 83 2" xfId="17962" xr:uid="{00000000-0005-0000-0000-00008A530000}"/>
    <cellStyle name="Comma 84" xfId="17963" xr:uid="{00000000-0005-0000-0000-00008B530000}"/>
    <cellStyle name="Comma 84 2" xfId="17964" xr:uid="{00000000-0005-0000-0000-00008C530000}"/>
    <cellStyle name="Comma 85" xfId="17965" xr:uid="{00000000-0005-0000-0000-00008D530000}"/>
    <cellStyle name="Comma 85 2" xfId="17966" xr:uid="{00000000-0005-0000-0000-00008E530000}"/>
    <cellStyle name="Comma 86" xfId="17967" xr:uid="{00000000-0005-0000-0000-00008F530000}"/>
    <cellStyle name="Comma 86 2" xfId="17968" xr:uid="{00000000-0005-0000-0000-000090530000}"/>
    <cellStyle name="Comma 87" xfId="17969" xr:uid="{00000000-0005-0000-0000-000091530000}"/>
    <cellStyle name="Comma 87 2" xfId="17970" xr:uid="{00000000-0005-0000-0000-000092530000}"/>
    <cellStyle name="Comma 88" xfId="17971" xr:uid="{00000000-0005-0000-0000-000093530000}"/>
    <cellStyle name="Comma 88 2" xfId="17972" xr:uid="{00000000-0005-0000-0000-000094530000}"/>
    <cellStyle name="Comma 89" xfId="17973" xr:uid="{00000000-0005-0000-0000-000095530000}"/>
    <cellStyle name="Comma 89 2" xfId="17974" xr:uid="{00000000-0005-0000-0000-000096530000}"/>
    <cellStyle name="Comma 9" xfId="17975" xr:uid="{00000000-0005-0000-0000-000097530000}"/>
    <cellStyle name="Comma 9 10" xfId="42029" xr:uid="{0D4DAE43-9BEF-4783-B53A-F1DA7C92574B}"/>
    <cellStyle name="Comma 9 2" xfId="17976" xr:uid="{00000000-0005-0000-0000-000098530000}"/>
    <cellStyle name="Comma 9 2 2" xfId="17977" xr:uid="{00000000-0005-0000-0000-000099530000}"/>
    <cellStyle name="Comma 9 2 3" xfId="42170" xr:uid="{9B5DCC84-E5DC-435F-BB29-31C7092F5074}"/>
    <cellStyle name="Comma 9 3" xfId="17978" xr:uid="{00000000-0005-0000-0000-00009A530000}"/>
    <cellStyle name="Comma 9 3 2" xfId="17979" xr:uid="{00000000-0005-0000-0000-00009B530000}"/>
    <cellStyle name="Comma 9 3 3" xfId="42101" xr:uid="{EC1F08B7-72CE-4BE0-B60E-25120AA79626}"/>
    <cellStyle name="Comma 9 4" xfId="17980" xr:uid="{00000000-0005-0000-0000-00009C530000}"/>
    <cellStyle name="Comma 9 4 2" xfId="17981" xr:uid="{00000000-0005-0000-0000-00009D530000}"/>
    <cellStyle name="Comma 9 4 3" xfId="17982" xr:uid="{00000000-0005-0000-0000-00009E530000}"/>
    <cellStyle name="Comma 9 4 3 2" xfId="17983" xr:uid="{00000000-0005-0000-0000-00009F530000}"/>
    <cellStyle name="Comma 9 4 3 2 2" xfId="17984" xr:uid="{00000000-0005-0000-0000-0000A0530000}"/>
    <cellStyle name="Comma 9 4 3 3" xfId="17985" xr:uid="{00000000-0005-0000-0000-0000A1530000}"/>
    <cellStyle name="Comma 9 4 3 4" xfId="17986" xr:uid="{00000000-0005-0000-0000-0000A2530000}"/>
    <cellStyle name="Comma 9 4 3 5" xfId="38893" xr:uid="{00000000-0005-0000-0000-0000A3530000}"/>
    <cellStyle name="Comma 9 5" xfId="17987" xr:uid="{00000000-0005-0000-0000-0000A4530000}"/>
    <cellStyle name="Comma 9 5 2" xfId="17988" xr:uid="{00000000-0005-0000-0000-0000A5530000}"/>
    <cellStyle name="Comma 9 5 2 2" xfId="17989" xr:uid="{00000000-0005-0000-0000-0000A6530000}"/>
    <cellStyle name="Comma 9 5 2 2 2" xfId="17990" xr:uid="{00000000-0005-0000-0000-0000A7530000}"/>
    <cellStyle name="Comma 9 5 2 3" xfId="17991" xr:uid="{00000000-0005-0000-0000-0000A8530000}"/>
    <cellStyle name="Comma 9 5 2 4" xfId="17992" xr:uid="{00000000-0005-0000-0000-0000A9530000}"/>
    <cellStyle name="Comma 9 5 2 5" xfId="38895" xr:uid="{00000000-0005-0000-0000-0000AA530000}"/>
    <cellStyle name="Comma 9 5 3" xfId="17993" xr:uid="{00000000-0005-0000-0000-0000AB530000}"/>
    <cellStyle name="Comma 9 5 3 2" xfId="17994" xr:uid="{00000000-0005-0000-0000-0000AC530000}"/>
    <cellStyle name="Comma 9 5 4" xfId="17995" xr:uid="{00000000-0005-0000-0000-0000AD530000}"/>
    <cellStyle name="Comma 9 5 5" xfId="17996" xr:uid="{00000000-0005-0000-0000-0000AE530000}"/>
    <cellStyle name="Comma 9 5 6" xfId="38894" xr:uid="{00000000-0005-0000-0000-0000AF530000}"/>
    <cellStyle name="Comma 9 6" xfId="17997" xr:uid="{00000000-0005-0000-0000-0000B0530000}"/>
    <cellStyle name="Comma 9 6 2" xfId="17998" xr:uid="{00000000-0005-0000-0000-0000B1530000}"/>
    <cellStyle name="Comma 9 6 2 2" xfId="17999" xr:uid="{00000000-0005-0000-0000-0000B2530000}"/>
    <cellStyle name="Comma 9 6 3" xfId="18000" xr:uid="{00000000-0005-0000-0000-0000B3530000}"/>
    <cellStyle name="Comma 9 6 4" xfId="18001" xr:uid="{00000000-0005-0000-0000-0000B4530000}"/>
    <cellStyle name="Comma 9 6 5" xfId="38896" xr:uid="{00000000-0005-0000-0000-0000B5530000}"/>
    <cellStyle name="Comma 9 7" xfId="18002" xr:uid="{00000000-0005-0000-0000-0000B6530000}"/>
    <cellStyle name="Comma 9 7 2" xfId="18003" xr:uid="{00000000-0005-0000-0000-0000B7530000}"/>
    <cellStyle name="Comma 9 8" xfId="18004" xr:uid="{00000000-0005-0000-0000-0000B8530000}"/>
    <cellStyle name="Comma 9 9" xfId="18005" xr:uid="{00000000-0005-0000-0000-0000B9530000}"/>
    <cellStyle name="Comma 90" xfId="18006" xr:uid="{00000000-0005-0000-0000-0000BA530000}"/>
    <cellStyle name="Comma 90 2" xfId="18007" xr:uid="{00000000-0005-0000-0000-0000BB530000}"/>
    <cellStyle name="Comma 91" xfId="18008" xr:uid="{00000000-0005-0000-0000-0000BC530000}"/>
    <cellStyle name="Comma 91 2" xfId="18009" xr:uid="{00000000-0005-0000-0000-0000BD530000}"/>
    <cellStyle name="Comma 92" xfId="18010" xr:uid="{00000000-0005-0000-0000-0000BE530000}"/>
    <cellStyle name="Comma 92 2" xfId="18011" xr:uid="{00000000-0005-0000-0000-0000BF530000}"/>
    <cellStyle name="Comma 93" xfId="18012" xr:uid="{00000000-0005-0000-0000-0000C0530000}"/>
    <cellStyle name="Comma 93 2" xfId="18013" xr:uid="{00000000-0005-0000-0000-0000C1530000}"/>
    <cellStyle name="Comma 94" xfId="18014" xr:uid="{00000000-0005-0000-0000-0000C2530000}"/>
    <cellStyle name="Comma 94 2" xfId="18015" xr:uid="{00000000-0005-0000-0000-0000C3530000}"/>
    <cellStyle name="Comma 95" xfId="18016" xr:uid="{00000000-0005-0000-0000-0000C4530000}"/>
    <cellStyle name="Comma 95 2" xfId="18017" xr:uid="{00000000-0005-0000-0000-0000C5530000}"/>
    <cellStyle name="Comma 96" xfId="18018" xr:uid="{00000000-0005-0000-0000-0000C6530000}"/>
    <cellStyle name="Comma 96 2" xfId="18019" xr:uid="{00000000-0005-0000-0000-0000C7530000}"/>
    <cellStyle name="Comma 97" xfId="18020" xr:uid="{00000000-0005-0000-0000-0000C8530000}"/>
    <cellStyle name="Comma 97 2" xfId="18021" xr:uid="{00000000-0005-0000-0000-0000C9530000}"/>
    <cellStyle name="Comma 98" xfId="18022" xr:uid="{00000000-0005-0000-0000-0000CA530000}"/>
    <cellStyle name="Comma 98 2" xfId="18023" xr:uid="{00000000-0005-0000-0000-0000CB530000}"/>
    <cellStyle name="Comma 99" xfId="18024" xr:uid="{00000000-0005-0000-0000-0000CC530000}"/>
    <cellStyle name="Comma 99 2" xfId="18025" xr:uid="{00000000-0005-0000-0000-0000CD530000}"/>
    <cellStyle name="Comma0" xfId="35068" xr:uid="{00000000-0005-0000-0000-0000CE530000}"/>
    <cellStyle name="Currency" xfId="34386" builtinId="4"/>
    <cellStyle name="Currency [0] 2" xfId="18026" xr:uid="{00000000-0005-0000-0000-0000D0530000}"/>
    <cellStyle name="Currency [0] 2 2" xfId="18027" xr:uid="{00000000-0005-0000-0000-0000D1530000}"/>
    <cellStyle name="Currency 10" xfId="18028" xr:uid="{00000000-0005-0000-0000-0000D2530000}"/>
    <cellStyle name="Currency 10 2" xfId="18029" xr:uid="{00000000-0005-0000-0000-0000D3530000}"/>
    <cellStyle name="Currency 100" xfId="18030" xr:uid="{00000000-0005-0000-0000-0000D4530000}"/>
    <cellStyle name="Currency 100 2" xfId="18031" xr:uid="{00000000-0005-0000-0000-0000D5530000}"/>
    <cellStyle name="Currency 100 2 2" xfId="18032" xr:uid="{00000000-0005-0000-0000-0000D6530000}"/>
    <cellStyle name="Currency 100 3" xfId="18033" xr:uid="{00000000-0005-0000-0000-0000D7530000}"/>
    <cellStyle name="Currency 101" xfId="18034" xr:uid="{00000000-0005-0000-0000-0000D8530000}"/>
    <cellStyle name="Currency 101 2" xfId="18035" xr:uid="{00000000-0005-0000-0000-0000D9530000}"/>
    <cellStyle name="Currency 102" xfId="18036" xr:uid="{00000000-0005-0000-0000-0000DA530000}"/>
    <cellStyle name="Currency 102 2" xfId="18037" xr:uid="{00000000-0005-0000-0000-0000DB530000}"/>
    <cellStyle name="Currency 103" xfId="18038" xr:uid="{00000000-0005-0000-0000-0000DC530000}"/>
    <cellStyle name="Currency 103 2" xfId="18039" xr:uid="{00000000-0005-0000-0000-0000DD530000}"/>
    <cellStyle name="Currency 104" xfId="18040" xr:uid="{00000000-0005-0000-0000-0000DE530000}"/>
    <cellStyle name="Currency 104 2" xfId="18041" xr:uid="{00000000-0005-0000-0000-0000DF530000}"/>
    <cellStyle name="Currency 105" xfId="18042" xr:uid="{00000000-0005-0000-0000-0000E0530000}"/>
    <cellStyle name="Currency 105 2" xfId="18043" xr:uid="{00000000-0005-0000-0000-0000E1530000}"/>
    <cellStyle name="Currency 106" xfId="18044" xr:uid="{00000000-0005-0000-0000-0000E2530000}"/>
    <cellStyle name="Currency 106 2" xfId="18045" xr:uid="{00000000-0005-0000-0000-0000E3530000}"/>
    <cellStyle name="Currency 107" xfId="18046" xr:uid="{00000000-0005-0000-0000-0000E4530000}"/>
    <cellStyle name="Currency 107 2" xfId="18047" xr:uid="{00000000-0005-0000-0000-0000E5530000}"/>
    <cellStyle name="Currency 108" xfId="18048" xr:uid="{00000000-0005-0000-0000-0000E6530000}"/>
    <cellStyle name="Currency 108 2" xfId="18049" xr:uid="{00000000-0005-0000-0000-0000E7530000}"/>
    <cellStyle name="Currency 109" xfId="18050" xr:uid="{00000000-0005-0000-0000-0000E8530000}"/>
    <cellStyle name="Currency 109 2" xfId="18051" xr:uid="{00000000-0005-0000-0000-0000E9530000}"/>
    <cellStyle name="Currency 11" xfId="18052" xr:uid="{00000000-0005-0000-0000-0000EA530000}"/>
    <cellStyle name="Currency 11 2" xfId="35069" xr:uid="{00000000-0005-0000-0000-0000EB530000}"/>
    <cellStyle name="Currency 11 2 2" xfId="41931" xr:uid="{FF8644C7-0A05-4799-A6EA-C332A2250113}"/>
    <cellStyle name="Currency 11 3" xfId="41930" xr:uid="{C8E7DB07-9DEA-405F-8FC0-887E0D80F7F0}"/>
    <cellStyle name="Currency 110" xfId="18053" xr:uid="{00000000-0005-0000-0000-0000EC530000}"/>
    <cellStyle name="Currency 110 2" xfId="18054" xr:uid="{00000000-0005-0000-0000-0000ED530000}"/>
    <cellStyle name="Currency 111" xfId="18055" xr:uid="{00000000-0005-0000-0000-0000EE530000}"/>
    <cellStyle name="Currency 111 2" xfId="18056" xr:uid="{00000000-0005-0000-0000-0000EF530000}"/>
    <cellStyle name="Currency 112" xfId="18057" xr:uid="{00000000-0005-0000-0000-0000F0530000}"/>
    <cellStyle name="Currency 112 2" xfId="18058" xr:uid="{00000000-0005-0000-0000-0000F1530000}"/>
    <cellStyle name="Currency 113" xfId="18059" xr:uid="{00000000-0005-0000-0000-0000F2530000}"/>
    <cellStyle name="Currency 113 2" xfId="18060" xr:uid="{00000000-0005-0000-0000-0000F3530000}"/>
    <cellStyle name="Currency 114" xfId="18061" xr:uid="{00000000-0005-0000-0000-0000F4530000}"/>
    <cellStyle name="Currency 114 2" xfId="18062" xr:uid="{00000000-0005-0000-0000-0000F5530000}"/>
    <cellStyle name="Currency 115" xfId="18063" xr:uid="{00000000-0005-0000-0000-0000F6530000}"/>
    <cellStyle name="Currency 115 2" xfId="18064" xr:uid="{00000000-0005-0000-0000-0000F7530000}"/>
    <cellStyle name="Currency 116" xfId="18065" xr:uid="{00000000-0005-0000-0000-0000F8530000}"/>
    <cellStyle name="Currency 116 2" xfId="18066" xr:uid="{00000000-0005-0000-0000-0000F9530000}"/>
    <cellStyle name="Currency 117" xfId="18067" xr:uid="{00000000-0005-0000-0000-0000FA530000}"/>
    <cellStyle name="Currency 117 2" xfId="18068" xr:uid="{00000000-0005-0000-0000-0000FB530000}"/>
    <cellStyle name="Currency 118" xfId="18069" xr:uid="{00000000-0005-0000-0000-0000FC530000}"/>
    <cellStyle name="Currency 118 2" xfId="18070" xr:uid="{00000000-0005-0000-0000-0000FD530000}"/>
    <cellStyle name="Currency 119" xfId="18071" xr:uid="{00000000-0005-0000-0000-0000FE530000}"/>
    <cellStyle name="Currency 119 2" xfId="18072" xr:uid="{00000000-0005-0000-0000-0000FF530000}"/>
    <cellStyle name="Currency 12" xfId="18073" xr:uid="{00000000-0005-0000-0000-000000540000}"/>
    <cellStyle name="Currency 120" xfId="18074" xr:uid="{00000000-0005-0000-0000-000001540000}"/>
    <cellStyle name="Currency 120 2" xfId="18075" xr:uid="{00000000-0005-0000-0000-000002540000}"/>
    <cellStyle name="Currency 121" xfId="18076" xr:uid="{00000000-0005-0000-0000-000003540000}"/>
    <cellStyle name="Currency 122" xfId="18077" xr:uid="{00000000-0005-0000-0000-000004540000}"/>
    <cellStyle name="Currency 123" xfId="18078" xr:uid="{00000000-0005-0000-0000-000005540000}"/>
    <cellStyle name="Currency 124" xfId="18079" xr:uid="{00000000-0005-0000-0000-000006540000}"/>
    <cellStyle name="Currency 125" xfId="18080" xr:uid="{00000000-0005-0000-0000-000007540000}"/>
    <cellStyle name="Currency 126" xfId="18081" xr:uid="{00000000-0005-0000-0000-000008540000}"/>
    <cellStyle name="Currency 127" xfId="18082" xr:uid="{00000000-0005-0000-0000-000009540000}"/>
    <cellStyle name="Currency 128" xfId="18083" xr:uid="{00000000-0005-0000-0000-00000A540000}"/>
    <cellStyle name="Currency 129" xfId="18084" xr:uid="{00000000-0005-0000-0000-00000B540000}"/>
    <cellStyle name="Currency 13" xfId="18085" xr:uid="{00000000-0005-0000-0000-00000C540000}"/>
    <cellStyle name="Currency 130" xfId="18086" xr:uid="{00000000-0005-0000-0000-00000D540000}"/>
    <cellStyle name="Currency 131" xfId="18087" xr:uid="{00000000-0005-0000-0000-00000E540000}"/>
    <cellStyle name="Currency 132" xfId="18088" xr:uid="{00000000-0005-0000-0000-00000F540000}"/>
    <cellStyle name="Currency 133" xfId="18089" xr:uid="{00000000-0005-0000-0000-000010540000}"/>
    <cellStyle name="Currency 134" xfId="18090" xr:uid="{00000000-0005-0000-0000-000011540000}"/>
    <cellStyle name="Currency 135" xfId="18091" xr:uid="{00000000-0005-0000-0000-000012540000}"/>
    <cellStyle name="Currency 135 2" xfId="18092" xr:uid="{00000000-0005-0000-0000-000013540000}"/>
    <cellStyle name="Currency 136" xfId="18093" xr:uid="{00000000-0005-0000-0000-000014540000}"/>
    <cellStyle name="Currency 136 2" xfId="18094" xr:uid="{00000000-0005-0000-0000-000015540000}"/>
    <cellStyle name="Currency 137" xfId="18095" xr:uid="{00000000-0005-0000-0000-000016540000}"/>
    <cellStyle name="Currency 137 2" xfId="18096" xr:uid="{00000000-0005-0000-0000-000017540000}"/>
    <cellStyle name="Currency 138" xfId="18097" xr:uid="{00000000-0005-0000-0000-000018540000}"/>
    <cellStyle name="Currency 138 2" xfId="18098" xr:uid="{00000000-0005-0000-0000-000019540000}"/>
    <cellStyle name="Currency 139" xfId="18099" xr:uid="{00000000-0005-0000-0000-00001A540000}"/>
    <cellStyle name="Currency 139 2" xfId="18100" xr:uid="{00000000-0005-0000-0000-00001B540000}"/>
    <cellStyle name="Currency 14" xfId="18101" xr:uid="{00000000-0005-0000-0000-00001C540000}"/>
    <cellStyle name="Currency 14 2" xfId="18102" xr:uid="{00000000-0005-0000-0000-00001D540000}"/>
    <cellStyle name="Currency 140" xfId="18103" xr:uid="{00000000-0005-0000-0000-00001E540000}"/>
    <cellStyle name="Currency 140 2" xfId="18104" xr:uid="{00000000-0005-0000-0000-00001F540000}"/>
    <cellStyle name="Currency 141" xfId="18105" xr:uid="{00000000-0005-0000-0000-000020540000}"/>
    <cellStyle name="Currency 141 2" xfId="18106" xr:uid="{00000000-0005-0000-0000-000021540000}"/>
    <cellStyle name="Currency 142" xfId="18107" xr:uid="{00000000-0005-0000-0000-000022540000}"/>
    <cellStyle name="Currency 143" xfId="18108" xr:uid="{00000000-0005-0000-0000-000023540000}"/>
    <cellStyle name="Currency 144" xfId="18109" xr:uid="{00000000-0005-0000-0000-000024540000}"/>
    <cellStyle name="Currency 145" xfId="18110" xr:uid="{00000000-0005-0000-0000-000025540000}"/>
    <cellStyle name="Currency 146" xfId="18111" xr:uid="{00000000-0005-0000-0000-000026540000}"/>
    <cellStyle name="Currency 146 2" xfId="18112" xr:uid="{00000000-0005-0000-0000-000027540000}"/>
    <cellStyle name="Currency 147" xfId="18113" xr:uid="{00000000-0005-0000-0000-000028540000}"/>
    <cellStyle name="Currency 147 2" xfId="18114" xr:uid="{00000000-0005-0000-0000-000029540000}"/>
    <cellStyle name="Currency 148" xfId="18115" xr:uid="{00000000-0005-0000-0000-00002A540000}"/>
    <cellStyle name="Currency 148 2" xfId="18116" xr:uid="{00000000-0005-0000-0000-00002B540000}"/>
    <cellStyle name="Currency 149" xfId="18117" xr:uid="{00000000-0005-0000-0000-00002C540000}"/>
    <cellStyle name="Currency 149 2" xfId="18118" xr:uid="{00000000-0005-0000-0000-00002D540000}"/>
    <cellStyle name="Currency 15" xfId="18119" xr:uid="{00000000-0005-0000-0000-00002E540000}"/>
    <cellStyle name="Currency 15 2" xfId="18120" xr:uid="{00000000-0005-0000-0000-00002F540000}"/>
    <cellStyle name="Currency 150" xfId="18121" xr:uid="{00000000-0005-0000-0000-000030540000}"/>
    <cellStyle name="Currency 150 2" xfId="18122" xr:uid="{00000000-0005-0000-0000-000031540000}"/>
    <cellStyle name="Currency 151" xfId="18123" xr:uid="{00000000-0005-0000-0000-000032540000}"/>
    <cellStyle name="Currency 151 2" xfId="18124" xr:uid="{00000000-0005-0000-0000-000033540000}"/>
    <cellStyle name="Currency 152" xfId="18125" xr:uid="{00000000-0005-0000-0000-000034540000}"/>
    <cellStyle name="Currency 152 2" xfId="18126" xr:uid="{00000000-0005-0000-0000-000035540000}"/>
    <cellStyle name="Currency 153" xfId="18127" xr:uid="{00000000-0005-0000-0000-000036540000}"/>
    <cellStyle name="Currency 153 2" xfId="18128" xr:uid="{00000000-0005-0000-0000-000037540000}"/>
    <cellStyle name="Currency 154" xfId="18129" xr:uid="{00000000-0005-0000-0000-000038540000}"/>
    <cellStyle name="Currency 154 2" xfId="18130" xr:uid="{00000000-0005-0000-0000-000039540000}"/>
    <cellStyle name="Currency 155" xfId="18131" xr:uid="{00000000-0005-0000-0000-00003A540000}"/>
    <cellStyle name="Currency 155 2" xfId="18132" xr:uid="{00000000-0005-0000-0000-00003B540000}"/>
    <cellStyle name="Currency 156" xfId="18133" xr:uid="{00000000-0005-0000-0000-00003C540000}"/>
    <cellStyle name="Currency 156 2" xfId="18134" xr:uid="{00000000-0005-0000-0000-00003D540000}"/>
    <cellStyle name="Currency 157" xfId="18135" xr:uid="{00000000-0005-0000-0000-00003E540000}"/>
    <cellStyle name="Currency 157 2" xfId="18136" xr:uid="{00000000-0005-0000-0000-00003F540000}"/>
    <cellStyle name="Currency 158" xfId="18137" xr:uid="{00000000-0005-0000-0000-000040540000}"/>
    <cellStyle name="Currency 158 2" xfId="18138" xr:uid="{00000000-0005-0000-0000-000041540000}"/>
    <cellStyle name="Currency 159" xfId="18139" xr:uid="{00000000-0005-0000-0000-000042540000}"/>
    <cellStyle name="Currency 159 2" xfId="18140" xr:uid="{00000000-0005-0000-0000-000043540000}"/>
    <cellStyle name="Currency 16" xfId="18141" xr:uid="{00000000-0005-0000-0000-000044540000}"/>
    <cellStyle name="Currency 16 2" xfId="18142" xr:uid="{00000000-0005-0000-0000-000045540000}"/>
    <cellStyle name="Currency 160" xfId="18143" xr:uid="{00000000-0005-0000-0000-000046540000}"/>
    <cellStyle name="Currency 160 2" xfId="18144" xr:uid="{00000000-0005-0000-0000-000047540000}"/>
    <cellStyle name="Currency 161" xfId="18145" xr:uid="{00000000-0005-0000-0000-000048540000}"/>
    <cellStyle name="Currency 161 2" xfId="18146" xr:uid="{00000000-0005-0000-0000-000049540000}"/>
    <cellStyle name="Currency 162" xfId="18147" xr:uid="{00000000-0005-0000-0000-00004A540000}"/>
    <cellStyle name="Currency 162 2" xfId="18148" xr:uid="{00000000-0005-0000-0000-00004B540000}"/>
    <cellStyle name="Currency 163" xfId="18149" xr:uid="{00000000-0005-0000-0000-00004C540000}"/>
    <cellStyle name="Currency 163 2" xfId="18150" xr:uid="{00000000-0005-0000-0000-00004D540000}"/>
    <cellStyle name="Currency 164" xfId="18151" xr:uid="{00000000-0005-0000-0000-00004E540000}"/>
    <cellStyle name="Currency 164 2" xfId="18152" xr:uid="{00000000-0005-0000-0000-00004F540000}"/>
    <cellStyle name="Currency 165" xfId="18153" xr:uid="{00000000-0005-0000-0000-000050540000}"/>
    <cellStyle name="Currency 165 2" xfId="18154" xr:uid="{00000000-0005-0000-0000-000051540000}"/>
    <cellStyle name="Currency 166" xfId="18155" xr:uid="{00000000-0005-0000-0000-000052540000}"/>
    <cellStyle name="Currency 166 2" xfId="18156" xr:uid="{00000000-0005-0000-0000-000053540000}"/>
    <cellStyle name="Currency 167" xfId="18157" xr:uid="{00000000-0005-0000-0000-000054540000}"/>
    <cellStyle name="Currency 167 2" xfId="18158" xr:uid="{00000000-0005-0000-0000-000055540000}"/>
    <cellStyle name="Currency 168" xfId="18159" xr:uid="{00000000-0005-0000-0000-000056540000}"/>
    <cellStyle name="Currency 168 2" xfId="18160" xr:uid="{00000000-0005-0000-0000-000057540000}"/>
    <cellStyle name="Currency 169" xfId="18161" xr:uid="{00000000-0005-0000-0000-000058540000}"/>
    <cellStyle name="Currency 169 2" xfId="18162" xr:uid="{00000000-0005-0000-0000-000059540000}"/>
    <cellStyle name="Currency 17" xfId="18163" xr:uid="{00000000-0005-0000-0000-00005A540000}"/>
    <cellStyle name="Currency 17 2" xfId="18164" xr:uid="{00000000-0005-0000-0000-00005B540000}"/>
    <cellStyle name="Currency 170" xfId="18165" xr:uid="{00000000-0005-0000-0000-00005C540000}"/>
    <cellStyle name="Currency 170 2" xfId="18166" xr:uid="{00000000-0005-0000-0000-00005D540000}"/>
    <cellStyle name="Currency 171" xfId="18167" xr:uid="{00000000-0005-0000-0000-00005E540000}"/>
    <cellStyle name="Currency 171 2" xfId="18168" xr:uid="{00000000-0005-0000-0000-00005F540000}"/>
    <cellStyle name="Currency 172" xfId="18169" xr:uid="{00000000-0005-0000-0000-000060540000}"/>
    <cellStyle name="Currency 172 2" xfId="18170" xr:uid="{00000000-0005-0000-0000-000061540000}"/>
    <cellStyle name="Currency 173" xfId="18171" xr:uid="{00000000-0005-0000-0000-000062540000}"/>
    <cellStyle name="Currency 173 2" xfId="18172" xr:uid="{00000000-0005-0000-0000-000063540000}"/>
    <cellStyle name="Currency 174" xfId="18173" xr:uid="{00000000-0005-0000-0000-000064540000}"/>
    <cellStyle name="Currency 174 2" xfId="18174" xr:uid="{00000000-0005-0000-0000-000065540000}"/>
    <cellStyle name="Currency 175" xfId="18175" xr:uid="{00000000-0005-0000-0000-000066540000}"/>
    <cellStyle name="Currency 175 2" xfId="18176" xr:uid="{00000000-0005-0000-0000-000067540000}"/>
    <cellStyle name="Currency 176" xfId="18177" xr:uid="{00000000-0005-0000-0000-000068540000}"/>
    <cellStyle name="Currency 176 2" xfId="18178" xr:uid="{00000000-0005-0000-0000-000069540000}"/>
    <cellStyle name="Currency 177" xfId="18179" xr:uid="{00000000-0005-0000-0000-00006A540000}"/>
    <cellStyle name="Currency 177 2" xfId="18180" xr:uid="{00000000-0005-0000-0000-00006B540000}"/>
    <cellStyle name="Currency 178" xfId="18181" xr:uid="{00000000-0005-0000-0000-00006C540000}"/>
    <cellStyle name="Currency 178 2" xfId="18182" xr:uid="{00000000-0005-0000-0000-00006D540000}"/>
    <cellStyle name="Currency 179" xfId="18183" xr:uid="{00000000-0005-0000-0000-00006E540000}"/>
    <cellStyle name="Currency 179 2" xfId="18184" xr:uid="{00000000-0005-0000-0000-00006F540000}"/>
    <cellStyle name="Currency 18" xfId="18185" xr:uid="{00000000-0005-0000-0000-000070540000}"/>
    <cellStyle name="Currency 18 2" xfId="18186" xr:uid="{00000000-0005-0000-0000-000071540000}"/>
    <cellStyle name="Currency 180" xfId="18187" xr:uid="{00000000-0005-0000-0000-000072540000}"/>
    <cellStyle name="Currency 180 2" xfId="18188" xr:uid="{00000000-0005-0000-0000-000073540000}"/>
    <cellStyle name="Currency 181" xfId="18189" xr:uid="{00000000-0005-0000-0000-000074540000}"/>
    <cellStyle name="Currency 181 2" xfId="18190" xr:uid="{00000000-0005-0000-0000-000075540000}"/>
    <cellStyle name="Currency 182" xfId="18191" xr:uid="{00000000-0005-0000-0000-000076540000}"/>
    <cellStyle name="Currency 182 2" xfId="18192" xr:uid="{00000000-0005-0000-0000-000077540000}"/>
    <cellStyle name="Currency 183" xfId="18193" xr:uid="{00000000-0005-0000-0000-000078540000}"/>
    <cellStyle name="Currency 183 2" xfId="18194" xr:uid="{00000000-0005-0000-0000-000079540000}"/>
    <cellStyle name="Currency 184" xfId="18195" xr:uid="{00000000-0005-0000-0000-00007A540000}"/>
    <cellStyle name="Currency 184 2" xfId="18196" xr:uid="{00000000-0005-0000-0000-00007B540000}"/>
    <cellStyle name="Currency 185" xfId="18197" xr:uid="{00000000-0005-0000-0000-00007C540000}"/>
    <cellStyle name="Currency 185 2" xfId="18198" xr:uid="{00000000-0005-0000-0000-00007D540000}"/>
    <cellStyle name="Currency 186" xfId="18199" xr:uid="{00000000-0005-0000-0000-00007E540000}"/>
    <cellStyle name="Currency 186 2" xfId="18200" xr:uid="{00000000-0005-0000-0000-00007F540000}"/>
    <cellStyle name="Currency 187" xfId="18201" xr:uid="{00000000-0005-0000-0000-000080540000}"/>
    <cellStyle name="Currency 187 2" xfId="18202" xr:uid="{00000000-0005-0000-0000-000081540000}"/>
    <cellStyle name="Currency 188" xfId="18203" xr:uid="{00000000-0005-0000-0000-000082540000}"/>
    <cellStyle name="Currency 188 2" xfId="18204" xr:uid="{00000000-0005-0000-0000-000083540000}"/>
    <cellStyle name="Currency 189" xfId="18205" xr:uid="{00000000-0005-0000-0000-000084540000}"/>
    <cellStyle name="Currency 189 2" xfId="18206" xr:uid="{00000000-0005-0000-0000-000085540000}"/>
    <cellStyle name="Currency 19" xfId="18207" xr:uid="{00000000-0005-0000-0000-000086540000}"/>
    <cellStyle name="Currency 19 2" xfId="18208" xr:uid="{00000000-0005-0000-0000-000087540000}"/>
    <cellStyle name="Currency 190" xfId="18209" xr:uid="{00000000-0005-0000-0000-000088540000}"/>
    <cellStyle name="Currency 190 2" xfId="18210" xr:uid="{00000000-0005-0000-0000-000089540000}"/>
    <cellStyle name="Currency 191" xfId="18211" xr:uid="{00000000-0005-0000-0000-00008A540000}"/>
    <cellStyle name="Currency 191 2" xfId="18212" xr:uid="{00000000-0005-0000-0000-00008B540000}"/>
    <cellStyle name="Currency 192" xfId="18213" xr:uid="{00000000-0005-0000-0000-00008C540000}"/>
    <cellStyle name="Currency 192 2" xfId="18214" xr:uid="{00000000-0005-0000-0000-00008D540000}"/>
    <cellStyle name="Currency 193" xfId="18215" xr:uid="{00000000-0005-0000-0000-00008E540000}"/>
    <cellStyle name="Currency 193 2" xfId="18216" xr:uid="{00000000-0005-0000-0000-00008F540000}"/>
    <cellStyle name="Currency 194" xfId="18217" xr:uid="{00000000-0005-0000-0000-000090540000}"/>
    <cellStyle name="Currency 194 2" xfId="18218" xr:uid="{00000000-0005-0000-0000-000091540000}"/>
    <cellStyle name="Currency 195" xfId="18219" xr:uid="{00000000-0005-0000-0000-000092540000}"/>
    <cellStyle name="Currency 195 2" xfId="18220" xr:uid="{00000000-0005-0000-0000-000093540000}"/>
    <cellStyle name="Currency 196" xfId="18221" xr:uid="{00000000-0005-0000-0000-000094540000}"/>
    <cellStyle name="Currency 196 2" xfId="18222" xr:uid="{00000000-0005-0000-0000-000095540000}"/>
    <cellStyle name="Currency 197" xfId="18223" xr:uid="{00000000-0005-0000-0000-000096540000}"/>
    <cellStyle name="Currency 197 2" xfId="18224" xr:uid="{00000000-0005-0000-0000-000097540000}"/>
    <cellStyle name="Currency 198" xfId="18225" xr:uid="{00000000-0005-0000-0000-000098540000}"/>
    <cellStyle name="Currency 198 2" xfId="18226" xr:uid="{00000000-0005-0000-0000-000099540000}"/>
    <cellStyle name="Currency 199" xfId="18227" xr:uid="{00000000-0005-0000-0000-00009A540000}"/>
    <cellStyle name="Currency 199 2" xfId="18228" xr:uid="{00000000-0005-0000-0000-00009B540000}"/>
    <cellStyle name="Currency 2" xfId="21" xr:uid="{00000000-0005-0000-0000-00009C540000}"/>
    <cellStyle name="Currency 2 10" xfId="41932" xr:uid="{8B3C8EEF-6D46-4EF9-AA48-5EE6FD80F5C2}"/>
    <cellStyle name="Currency 2 2" xfId="18229" xr:uid="{00000000-0005-0000-0000-00009D540000}"/>
    <cellStyle name="Currency 2 2 2" xfId="18230" xr:uid="{00000000-0005-0000-0000-00009E540000}"/>
    <cellStyle name="Currency 2 2 2 2" xfId="18231" xr:uid="{00000000-0005-0000-0000-00009F540000}"/>
    <cellStyle name="Currency 2 2 2 3" xfId="18232" xr:uid="{00000000-0005-0000-0000-0000A0540000}"/>
    <cellStyle name="Currency 2 2 3" xfId="18233" xr:uid="{00000000-0005-0000-0000-0000A1540000}"/>
    <cellStyle name="Currency 2 2 4" xfId="18234" xr:uid="{00000000-0005-0000-0000-0000A2540000}"/>
    <cellStyle name="Currency 2 2 5" xfId="18235" xr:uid="{00000000-0005-0000-0000-0000A3540000}"/>
    <cellStyle name="Currency 2 2 6" xfId="35071" xr:uid="{00000000-0005-0000-0000-0000A4540000}"/>
    <cellStyle name="Currency 2 2 7" xfId="41933" xr:uid="{0E90B194-EF55-432E-A4F8-9416FF01A190}"/>
    <cellStyle name="Currency 2 3" xfId="18236" xr:uid="{00000000-0005-0000-0000-0000A5540000}"/>
    <cellStyle name="Currency 2 3 2" xfId="18237" xr:uid="{00000000-0005-0000-0000-0000A6540000}"/>
    <cellStyle name="Currency 2 3 3" xfId="18238" xr:uid="{00000000-0005-0000-0000-0000A7540000}"/>
    <cellStyle name="Currency 2 3 3 2" xfId="18239" xr:uid="{00000000-0005-0000-0000-0000A8540000}"/>
    <cellStyle name="Currency 2 3 3 2 2" xfId="18240" xr:uid="{00000000-0005-0000-0000-0000A9540000}"/>
    <cellStyle name="Currency 2 3 3 3" xfId="18241" xr:uid="{00000000-0005-0000-0000-0000AA540000}"/>
    <cellStyle name="Currency 2 3 3 4" xfId="18242" xr:uid="{00000000-0005-0000-0000-0000AB540000}"/>
    <cellStyle name="Currency 2 3 3 5" xfId="38897" xr:uid="{00000000-0005-0000-0000-0000AC540000}"/>
    <cellStyle name="Currency 2 3 4" xfId="18243" xr:uid="{00000000-0005-0000-0000-0000AD540000}"/>
    <cellStyle name="Currency 2 3 5" xfId="42229" xr:uid="{AF7C36FC-485A-4D05-8087-F3D5867EABF9}"/>
    <cellStyle name="Currency 2 4" xfId="18244" xr:uid="{00000000-0005-0000-0000-0000AE540000}"/>
    <cellStyle name="Currency 2 4 2" xfId="18245" xr:uid="{00000000-0005-0000-0000-0000AF540000}"/>
    <cellStyle name="Currency 2 5" xfId="18246" xr:uid="{00000000-0005-0000-0000-0000B0540000}"/>
    <cellStyle name="Currency 2 5 2" xfId="18247" xr:uid="{00000000-0005-0000-0000-0000B1540000}"/>
    <cellStyle name="Currency 2 5 3" xfId="18248" xr:uid="{00000000-0005-0000-0000-0000B2540000}"/>
    <cellStyle name="Currency 2 6" xfId="18249" xr:uid="{00000000-0005-0000-0000-0000B3540000}"/>
    <cellStyle name="Currency 2 6 2" xfId="18250" xr:uid="{00000000-0005-0000-0000-0000B4540000}"/>
    <cellStyle name="Currency 2 7" xfId="18251" xr:uid="{00000000-0005-0000-0000-0000B5540000}"/>
    <cellStyle name="Currency 2 8" xfId="34374" xr:uid="{00000000-0005-0000-0000-0000B6540000}"/>
    <cellStyle name="Currency 2 9" xfId="35070" xr:uid="{00000000-0005-0000-0000-0000B7540000}"/>
    <cellStyle name="Currency 20" xfId="18252" xr:uid="{00000000-0005-0000-0000-0000B8540000}"/>
    <cellStyle name="Currency 20 2" xfId="18253" xr:uid="{00000000-0005-0000-0000-0000B9540000}"/>
    <cellStyle name="Currency 200" xfId="18254" xr:uid="{00000000-0005-0000-0000-0000BA540000}"/>
    <cellStyle name="Currency 200 2" xfId="18255" xr:uid="{00000000-0005-0000-0000-0000BB540000}"/>
    <cellStyle name="Currency 201" xfId="18256" xr:uid="{00000000-0005-0000-0000-0000BC540000}"/>
    <cellStyle name="Currency 201 2" xfId="18257" xr:uid="{00000000-0005-0000-0000-0000BD540000}"/>
    <cellStyle name="Currency 202" xfId="18258" xr:uid="{00000000-0005-0000-0000-0000BE540000}"/>
    <cellStyle name="Currency 202 2" xfId="18259" xr:uid="{00000000-0005-0000-0000-0000BF540000}"/>
    <cellStyle name="Currency 203" xfId="18260" xr:uid="{00000000-0005-0000-0000-0000C0540000}"/>
    <cellStyle name="Currency 203 2" xfId="18261" xr:uid="{00000000-0005-0000-0000-0000C1540000}"/>
    <cellStyle name="Currency 204" xfId="18262" xr:uid="{00000000-0005-0000-0000-0000C2540000}"/>
    <cellStyle name="Currency 204 2" xfId="18263" xr:uid="{00000000-0005-0000-0000-0000C3540000}"/>
    <cellStyle name="Currency 205" xfId="18264" xr:uid="{00000000-0005-0000-0000-0000C4540000}"/>
    <cellStyle name="Currency 205 2" xfId="18265" xr:uid="{00000000-0005-0000-0000-0000C5540000}"/>
    <cellStyle name="Currency 206" xfId="18266" xr:uid="{00000000-0005-0000-0000-0000C6540000}"/>
    <cellStyle name="Currency 206 2" xfId="18267" xr:uid="{00000000-0005-0000-0000-0000C7540000}"/>
    <cellStyle name="Currency 207" xfId="18268" xr:uid="{00000000-0005-0000-0000-0000C8540000}"/>
    <cellStyle name="Currency 207 2" xfId="18269" xr:uid="{00000000-0005-0000-0000-0000C9540000}"/>
    <cellStyle name="Currency 208" xfId="18270" xr:uid="{00000000-0005-0000-0000-0000CA540000}"/>
    <cellStyle name="Currency 208 2" xfId="18271" xr:uid="{00000000-0005-0000-0000-0000CB540000}"/>
    <cellStyle name="Currency 209" xfId="18272" xr:uid="{00000000-0005-0000-0000-0000CC540000}"/>
    <cellStyle name="Currency 209 2" xfId="18273" xr:uid="{00000000-0005-0000-0000-0000CD540000}"/>
    <cellStyle name="Currency 21" xfId="18274" xr:uid="{00000000-0005-0000-0000-0000CE540000}"/>
    <cellStyle name="Currency 21 2" xfId="18275" xr:uid="{00000000-0005-0000-0000-0000CF540000}"/>
    <cellStyle name="Currency 210" xfId="18276" xr:uid="{00000000-0005-0000-0000-0000D0540000}"/>
    <cellStyle name="Currency 210 2" xfId="18277" xr:uid="{00000000-0005-0000-0000-0000D1540000}"/>
    <cellStyle name="Currency 211" xfId="18278" xr:uid="{00000000-0005-0000-0000-0000D2540000}"/>
    <cellStyle name="Currency 211 2" xfId="18279" xr:uid="{00000000-0005-0000-0000-0000D3540000}"/>
    <cellStyle name="Currency 212" xfId="18280" xr:uid="{00000000-0005-0000-0000-0000D4540000}"/>
    <cellStyle name="Currency 212 2" xfId="18281" xr:uid="{00000000-0005-0000-0000-0000D5540000}"/>
    <cellStyle name="Currency 213" xfId="18282" xr:uid="{00000000-0005-0000-0000-0000D6540000}"/>
    <cellStyle name="Currency 213 2" xfId="18283" xr:uid="{00000000-0005-0000-0000-0000D7540000}"/>
    <cellStyle name="Currency 214" xfId="18284" xr:uid="{00000000-0005-0000-0000-0000D8540000}"/>
    <cellStyle name="Currency 214 2" xfId="18285" xr:uid="{00000000-0005-0000-0000-0000D9540000}"/>
    <cellStyle name="Currency 215" xfId="18286" xr:uid="{00000000-0005-0000-0000-0000DA540000}"/>
    <cellStyle name="Currency 215 2" xfId="18287" xr:uid="{00000000-0005-0000-0000-0000DB540000}"/>
    <cellStyle name="Currency 216" xfId="18288" xr:uid="{00000000-0005-0000-0000-0000DC540000}"/>
    <cellStyle name="Currency 216 2" xfId="18289" xr:uid="{00000000-0005-0000-0000-0000DD540000}"/>
    <cellStyle name="Currency 217" xfId="18290" xr:uid="{00000000-0005-0000-0000-0000DE540000}"/>
    <cellStyle name="Currency 217 2" xfId="18291" xr:uid="{00000000-0005-0000-0000-0000DF540000}"/>
    <cellStyle name="Currency 218" xfId="18292" xr:uid="{00000000-0005-0000-0000-0000E0540000}"/>
    <cellStyle name="Currency 218 2" xfId="18293" xr:uid="{00000000-0005-0000-0000-0000E1540000}"/>
    <cellStyle name="Currency 219" xfId="18294" xr:uid="{00000000-0005-0000-0000-0000E2540000}"/>
    <cellStyle name="Currency 219 2" xfId="18295" xr:uid="{00000000-0005-0000-0000-0000E3540000}"/>
    <cellStyle name="Currency 22" xfId="18296" xr:uid="{00000000-0005-0000-0000-0000E4540000}"/>
    <cellStyle name="Currency 220" xfId="18297" xr:uid="{00000000-0005-0000-0000-0000E5540000}"/>
    <cellStyle name="Currency 220 2" xfId="18298" xr:uid="{00000000-0005-0000-0000-0000E6540000}"/>
    <cellStyle name="Currency 221" xfId="18299" xr:uid="{00000000-0005-0000-0000-0000E7540000}"/>
    <cellStyle name="Currency 221 2" xfId="18300" xr:uid="{00000000-0005-0000-0000-0000E8540000}"/>
    <cellStyle name="Currency 222" xfId="18301" xr:uid="{00000000-0005-0000-0000-0000E9540000}"/>
    <cellStyle name="Currency 222 2" xfId="18302" xr:uid="{00000000-0005-0000-0000-0000EA540000}"/>
    <cellStyle name="Currency 223" xfId="18303" xr:uid="{00000000-0005-0000-0000-0000EB540000}"/>
    <cellStyle name="Currency 223 2" xfId="18304" xr:uid="{00000000-0005-0000-0000-0000EC540000}"/>
    <cellStyle name="Currency 224" xfId="18305" xr:uid="{00000000-0005-0000-0000-0000ED540000}"/>
    <cellStyle name="Currency 224 2" xfId="18306" xr:uid="{00000000-0005-0000-0000-0000EE540000}"/>
    <cellStyle name="Currency 225" xfId="18307" xr:uid="{00000000-0005-0000-0000-0000EF540000}"/>
    <cellStyle name="Currency 225 2" xfId="18308" xr:uid="{00000000-0005-0000-0000-0000F0540000}"/>
    <cellStyle name="Currency 226" xfId="18309" xr:uid="{00000000-0005-0000-0000-0000F1540000}"/>
    <cellStyle name="Currency 227" xfId="18310" xr:uid="{00000000-0005-0000-0000-0000F2540000}"/>
    <cellStyle name="Currency 227 2" xfId="18311" xr:uid="{00000000-0005-0000-0000-0000F3540000}"/>
    <cellStyle name="Currency 227 2 2" xfId="18312" xr:uid="{00000000-0005-0000-0000-0000F4540000}"/>
    <cellStyle name="Currency 227 3" xfId="18313" xr:uid="{00000000-0005-0000-0000-0000F5540000}"/>
    <cellStyle name="Currency 228" xfId="18314" xr:uid="{00000000-0005-0000-0000-0000F6540000}"/>
    <cellStyle name="Currency 228 2" xfId="18315" xr:uid="{00000000-0005-0000-0000-0000F7540000}"/>
    <cellStyle name="Currency 229" xfId="18316" xr:uid="{00000000-0005-0000-0000-0000F8540000}"/>
    <cellStyle name="Currency 229 2" xfId="18317" xr:uid="{00000000-0005-0000-0000-0000F9540000}"/>
    <cellStyle name="Currency 23" xfId="18318" xr:uid="{00000000-0005-0000-0000-0000FA540000}"/>
    <cellStyle name="Currency 230" xfId="18319" xr:uid="{00000000-0005-0000-0000-0000FB540000}"/>
    <cellStyle name="Currency 230 2" xfId="18320" xr:uid="{00000000-0005-0000-0000-0000FC540000}"/>
    <cellStyle name="Currency 231" xfId="18321" xr:uid="{00000000-0005-0000-0000-0000FD540000}"/>
    <cellStyle name="Currency 232" xfId="18322" xr:uid="{00000000-0005-0000-0000-0000FE540000}"/>
    <cellStyle name="Currency 232 2" xfId="18323" xr:uid="{00000000-0005-0000-0000-0000FF540000}"/>
    <cellStyle name="Currency 233" xfId="18324" xr:uid="{00000000-0005-0000-0000-000000550000}"/>
    <cellStyle name="Currency 233 2" xfId="18325" xr:uid="{00000000-0005-0000-0000-000001550000}"/>
    <cellStyle name="Currency 234" xfId="18326" xr:uid="{00000000-0005-0000-0000-000002550000}"/>
    <cellStyle name="Currency 234 2" xfId="18327" xr:uid="{00000000-0005-0000-0000-000003550000}"/>
    <cellStyle name="Currency 234 2 2" xfId="18328" xr:uid="{00000000-0005-0000-0000-000004550000}"/>
    <cellStyle name="Currency 234 2 2 2" xfId="18329" xr:uid="{00000000-0005-0000-0000-000005550000}"/>
    <cellStyle name="Currency 234 2 2 2 2" xfId="18330" xr:uid="{00000000-0005-0000-0000-000006550000}"/>
    <cellStyle name="Currency 234 2 2 3" xfId="18331" xr:uid="{00000000-0005-0000-0000-000007550000}"/>
    <cellStyle name="Currency 234 2 2 4" xfId="18332" xr:uid="{00000000-0005-0000-0000-000008550000}"/>
    <cellStyle name="Currency 234 2 2 5" xfId="38899" xr:uid="{00000000-0005-0000-0000-000009550000}"/>
    <cellStyle name="Currency 234 2 3" xfId="18333" xr:uid="{00000000-0005-0000-0000-00000A550000}"/>
    <cellStyle name="Currency 234 2 3 2" xfId="18334" xr:uid="{00000000-0005-0000-0000-00000B550000}"/>
    <cellStyle name="Currency 234 2 4" xfId="18335" xr:uid="{00000000-0005-0000-0000-00000C550000}"/>
    <cellStyle name="Currency 234 2 5" xfId="18336" xr:uid="{00000000-0005-0000-0000-00000D550000}"/>
    <cellStyle name="Currency 234 2 6" xfId="38898" xr:uid="{00000000-0005-0000-0000-00000E550000}"/>
    <cellStyle name="Currency 234 3" xfId="18337" xr:uid="{00000000-0005-0000-0000-00000F550000}"/>
    <cellStyle name="Currency 234 3 2" xfId="18338" xr:uid="{00000000-0005-0000-0000-000010550000}"/>
    <cellStyle name="Currency 234 3 2 2" xfId="18339" xr:uid="{00000000-0005-0000-0000-000011550000}"/>
    <cellStyle name="Currency 234 3 3" xfId="18340" xr:uid="{00000000-0005-0000-0000-000012550000}"/>
    <cellStyle name="Currency 234 3 4" xfId="18341" xr:uid="{00000000-0005-0000-0000-000013550000}"/>
    <cellStyle name="Currency 234 3 5" xfId="38900" xr:uid="{00000000-0005-0000-0000-000014550000}"/>
    <cellStyle name="Currency 234 4" xfId="18342" xr:uid="{00000000-0005-0000-0000-000015550000}"/>
    <cellStyle name="Currency 234 5" xfId="18343" xr:uid="{00000000-0005-0000-0000-000016550000}"/>
    <cellStyle name="Currency 234 5 2" xfId="18344" xr:uid="{00000000-0005-0000-0000-000017550000}"/>
    <cellStyle name="Currency 234 6" xfId="18345" xr:uid="{00000000-0005-0000-0000-000018550000}"/>
    <cellStyle name="Currency 234 7" xfId="18346" xr:uid="{00000000-0005-0000-0000-000019550000}"/>
    <cellStyle name="Currency 235" xfId="18347" xr:uid="{00000000-0005-0000-0000-00001A550000}"/>
    <cellStyle name="Currency 235 2" xfId="18348" xr:uid="{00000000-0005-0000-0000-00001B550000}"/>
    <cellStyle name="Currency 235 2 2" xfId="18349" xr:uid="{00000000-0005-0000-0000-00001C550000}"/>
    <cellStyle name="Currency 235 2 2 2" xfId="18350" xr:uid="{00000000-0005-0000-0000-00001D550000}"/>
    <cellStyle name="Currency 235 2 2 2 2" xfId="18351" xr:uid="{00000000-0005-0000-0000-00001E550000}"/>
    <cellStyle name="Currency 235 2 2 3" xfId="18352" xr:uid="{00000000-0005-0000-0000-00001F550000}"/>
    <cellStyle name="Currency 235 2 2 4" xfId="18353" xr:uid="{00000000-0005-0000-0000-000020550000}"/>
    <cellStyle name="Currency 235 2 2 5" xfId="38902" xr:uid="{00000000-0005-0000-0000-000021550000}"/>
    <cellStyle name="Currency 235 2 3" xfId="18354" xr:uid="{00000000-0005-0000-0000-000022550000}"/>
    <cellStyle name="Currency 235 2 3 2" xfId="18355" xr:uid="{00000000-0005-0000-0000-000023550000}"/>
    <cellStyle name="Currency 235 2 4" xfId="18356" xr:uid="{00000000-0005-0000-0000-000024550000}"/>
    <cellStyle name="Currency 235 2 5" xfId="18357" xr:uid="{00000000-0005-0000-0000-000025550000}"/>
    <cellStyle name="Currency 235 2 6" xfId="38901" xr:uid="{00000000-0005-0000-0000-000026550000}"/>
    <cellStyle name="Currency 235 3" xfId="18358" xr:uid="{00000000-0005-0000-0000-000027550000}"/>
    <cellStyle name="Currency 235 3 2" xfId="18359" xr:uid="{00000000-0005-0000-0000-000028550000}"/>
    <cellStyle name="Currency 235 3 2 2" xfId="18360" xr:uid="{00000000-0005-0000-0000-000029550000}"/>
    <cellStyle name="Currency 235 3 3" xfId="18361" xr:uid="{00000000-0005-0000-0000-00002A550000}"/>
    <cellStyle name="Currency 235 3 4" xfId="18362" xr:uid="{00000000-0005-0000-0000-00002B550000}"/>
    <cellStyle name="Currency 235 3 5" xfId="38903" xr:uid="{00000000-0005-0000-0000-00002C550000}"/>
    <cellStyle name="Currency 235 4" xfId="18363" xr:uid="{00000000-0005-0000-0000-00002D550000}"/>
    <cellStyle name="Currency 235 5" xfId="18364" xr:uid="{00000000-0005-0000-0000-00002E550000}"/>
    <cellStyle name="Currency 235 5 2" xfId="18365" xr:uid="{00000000-0005-0000-0000-00002F550000}"/>
    <cellStyle name="Currency 235 6" xfId="18366" xr:uid="{00000000-0005-0000-0000-000030550000}"/>
    <cellStyle name="Currency 235 7" xfId="18367" xr:uid="{00000000-0005-0000-0000-000031550000}"/>
    <cellStyle name="Currency 235 8" xfId="35072" xr:uid="{00000000-0005-0000-0000-000032550000}"/>
    <cellStyle name="Currency 236" xfId="18368" xr:uid="{00000000-0005-0000-0000-000033550000}"/>
    <cellStyle name="Currency 236 2" xfId="18369" xr:uid="{00000000-0005-0000-0000-000034550000}"/>
    <cellStyle name="Currency 236 2 2" xfId="18370" xr:uid="{00000000-0005-0000-0000-000035550000}"/>
    <cellStyle name="Currency 236 2 2 2" xfId="18371" xr:uid="{00000000-0005-0000-0000-000036550000}"/>
    <cellStyle name="Currency 236 2 2 2 2" xfId="18372" xr:uid="{00000000-0005-0000-0000-000037550000}"/>
    <cellStyle name="Currency 236 2 2 3" xfId="18373" xr:uid="{00000000-0005-0000-0000-000038550000}"/>
    <cellStyle name="Currency 236 2 2 4" xfId="18374" xr:uid="{00000000-0005-0000-0000-000039550000}"/>
    <cellStyle name="Currency 236 2 2 5" xfId="38905" xr:uid="{00000000-0005-0000-0000-00003A550000}"/>
    <cellStyle name="Currency 236 2 3" xfId="18375" xr:uid="{00000000-0005-0000-0000-00003B550000}"/>
    <cellStyle name="Currency 236 2 3 2" xfId="18376" xr:uid="{00000000-0005-0000-0000-00003C550000}"/>
    <cellStyle name="Currency 236 2 4" xfId="18377" xr:uid="{00000000-0005-0000-0000-00003D550000}"/>
    <cellStyle name="Currency 236 2 5" xfId="18378" xr:uid="{00000000-0005-0000-0000-00003E550000}"/>
    <cellStyle name="Currency 236 2 6" xfId="38904" xr:uid="{00000000-0005-0000-0000-00003F550000}"/>
    <cellStyle name="Currency 236 3" xfId="18379" xr:uid="{00000000-0005-0000-0000-000040550000}"/>
    <cellStyle name="Currency 236 3 2" xfId="18380" xr:uid="{00000000-0005-0000-0000-000041550000}"/>
    <cellStyle name="Currency 236 3 2 2" xfId="18381" xr:uid="{00000000-0005-0000-0000-000042550000}"/>
    <cellStyle name="Currency 236 3 3" xfId="18382" xr:uid="{00000000-0005-0000-0000-000043550000}"/>
    <cellStyle name="Currency 236 3 4" xfId="18383" xr:uid="{00000000-0005-0000-0000-000044550000}"/>
    <cellStyle name="Currency 236 3 5" xfId="38906" xr:uid="{00000000-0005-0000-0000-000045550000}"/>
    <cellStyle name="Currency 236 4" xfId="18384" xr:uid="{00000000-0005-0000-0000-000046550000}"/>
    <cellStyle name="Currency 236 5" xfId="18385" xr:uid="{00000000-0005-0000-0000-000047550000}"/>
    <cellStyle name="Currency 236 5 2" xfId="18386" xr:uid="{00000000-0005-0000-0000-000048550000}"/>
    <cellStyle name="Currency 236 6" xfId="18387" xr:uid="{00000000-0005-0000-0000-000049550000}"/>
    <cellStyle name="Currency 236 7" xfId="18388" xr:uid="{00000000-0005-0000-0000-00004A550000}"/>
    <cellStyle name="Currency 236 8" xfId="35073" xr:uid="{00000000-0005-0000-0000-00004B550000}"/>
    <cellStyle name="Currency 237" xfId="18389" xr:uid="{00000000-0005-0000-0000-00004C550000}"/>
    <cellStyle name="Currency 237 2" xfId="18390" xr:uid="{00000000-0005-0000-0000-00004D550000}"/>
    <cellStyle name="Currency 237 2 2" xfId="18391" xr:uid="{00000000-0005-0000-0000-00004E550000}"/>
    <cellStyle name="Currency 237 2 2 2" xfId="18392" xr:uid="{00000000-0005-0000-0000-00004F550000}"/>
    <cellStyle name="Currency 237 2 2 2 2" xfId="18393" xr:uid="{00000000-0005-0000-0000-000050550000}"/>
    <cellStyle name="Currency 237 2 2 3" xfId="18394" xr:uid="{00000000-0005-0000-0000-000051550000}"/>
    <cellStyle name="Currency 237 2 2 4" xfId="18395" xr:uid="{00000000-0005-0000-0000-000052550000}"/>
    <cellStyle name="Currency 237 2 2 5" xfId="38908" xr:uid="{00000000-0005-0000-0000-000053550000}"/>
    <cellStyle name="Currency 237 2 3" xfId="18396" xr:uid="{00000000-0005-0000-0000-000054550000}"/>
    <cellStyle name="Currency 237 2 3 2" xfId="18397" xr:uid="{00000000-0005-0000-0000-000055550000}"/>
    <cellStyle name="Currency 237 2 4" xfId="18398" xr:uid="{00000000-0005-0000-0000-000056550000}"/>
    <cellStyle name="Currency 237 2 5" xfId="18399" xr:uid="{00000000-0005-0000-0000-000057550000}"/>
    <cellStyle name="Currency 237 2 6" xfId="38907" xr:uid="{00000000-0005-0000-0000-000058550000}"/>
    <cellStyle name="Currency 237 3" xfId="18400" xr:uid="{00000000-0005-0000-0000-000059550000}"/>
    <cellStyle name="Currency 237 3 2" xfId="18401" xr:uid="{00000000-0005-0000-0000-00005A550000}"/>
    <cellStyle name="Currency 237 3 2 2" xfId="18402" xr:uid="{00000000-0005-0000-0000-00005B550000}"/>
    <cellStyle name="Currency 237 3 3" xfId="18403" xr:uid="{00000000-0005-0000-0000-00005C550000}"/>
    <cellStyle name="Currency 237 3 4" xfId="18404" xr:uid="{00000000-0005-0000-0000-00005D550000}"/>
    <cellStyle name="Currency 237 3 5" xfId="38909" xr:uid="{00000000-0005-0000-0000-00005E550000}"/>
    <cellStyle name="Currency 237 4" xfId="18405" xr:uid="{00000000-0005-0000-0000-00005F550000}"/>
    <cellStyle name="Currency 237 5" xfId="18406" xr:uid="{00000000-0005-0000-0000-000060550000}"/>
    <cellStyle name="Currency 237 5 2" xfId="18407" xr:uid="{00000000-0005-0000-0000-000061550000}"/>
    <cellStyle name="Currency 237 6" xfId="18408" xr:uid="{00000000-0005-0000-0000-000062550000}"/>
    <cellStyle name="Currency 237 7" xfId="18409" xr:uid="{00000000-0005-0000-0000-000063550000}"/>
    <cellStyle name="Currency 237 8" xfId="35074" xr:uid="{00000000-0005-0000-0000-000064550000}"/>
    <cellStyle name="Currency 238" xfId="18410" xr:uid="{00000000-0005-0000-0000-000065550000}"/>
    <cellStyle name="Currency 238 2" xfId="18411" xr:uid="{00000000-0005-0000-0000-000066550000}"/>
    <cellStyle name="Currency 238 2 2" xfId="18412" xr:uid="{00000000-0005-0000-0000-000067550000}"/>
    <cellStyle name="Currency 238 2 2 2" xfId="18413" xr:uid="{00000000-0005-0000-0000-000068550000}"/>
    <cellStyle name="Currency 238 2 2 2 2" xfId="18414" xr:uid="{00000000-0005-0000-0000-000069550000}"/>
    <cellStyle name="Currency 238 2 2 3" xfId="18415" xr:uid="{00000000-0005-0000-0000-00006A550000}"/>
    <cellStyle name="Currency 238 2 2 4" xfId="18416" xr:uid="{00000000-0005-0000-0000-00006B550000}"/>
    <cellStyle name="Currency 238 2 2 5" xfId="38911" xr:uid="{00000000-0005-0000-0000-00006C550000}"/>
    <cellStyle name="Currency 238 2 3" xfId="18417" xr:uid="{00000000-0005-0000-0000-00006D550000}"/>
    <cellStyle name="Currency 238 2 3 2" xfId="18418" xr:uid="{00000000-0005-0000-0000-00006E550000}"/>
    <cellStyle name="Currency 238 2 4" xfId="18419" xr:uid="{00000000-0005-0000-0000-00006F550000}"/>
    <cellStyle name="Currency 238 2 5" xfId="18420" xr:uid="{00000000-0005-0000-0000-000070550000}"/>
    <cellStyle name="Currency 238 2 6" xfId="38910" xr:uid="{00000000-0005-0000-0000-000071550000}"/>
    <cellStyle name="Currency 238 3" xfId="18421" xr:uid="{00000000-0005-0000-0000-000072550000}"/>
    <cellStyle name="Currency 238 3 2" xfId="18422" xr:uid="{00000000-0005-0000-0000-000073550000}"/>
    <cellStyle name="Currency 238 3 2 2" xfId="18423" xr:uid="{00000000-0005-0000-0000-000074550000}"/>
    <cellStyle name="Currency 238 3 3" xfId="18424" xr:uid="{00000000-0005-0000-0000-000075550000}"/>
    <cellStyle name="Currency 238 3 4" xfId="18425" xr:uid="{00000000-0005-0000-0000-000076550000}"/>
    <cellStyle name="Currency 238 3 5" xfId="38912" xr:uid="{00000000-0005-0000-0000-000077550000}"/>
    <cellStyle name="Currency 238 4" xfId="18426" xr:uid="{00000000-0005-0000-0000-000078550000}"/>
    <cellStyle name="Currency 238 5" xfId="18427" xr:uid="{00000000-0005-0000-0000-000079550000}"/>
    <cellStyle name="Currency 238 5 2" xfId="18428" xr:uid="{00000000-0005-0000-0000-00007A550000}"/>
    <cellStyle name="Currency 238 6" xfId="18429" xr:uid="{00000000-0005-0000-0000-00007B550000}"/>
    <cellStyle name="Currency 238 7" xfId="18430" xr:uid="{00000000-0005-0000-0000-00007C550000}"/>
    <cellStyle name="Currency 238 8" xfId="35075" xr:uid="{00000000-0005-0000-0000-00007D550000}"/>
    <cellStyle name="Currency 239" xfId="18431" xr:uid="{00000000-0005-0000-0000-00007E550000}"/>
    <cellStyle name="Currency 239 2" xfId="18432" xr:uid="{00000000-0005-0000-0000-00007F550000}"/>
    <cellStyle name="Currency 239 2 2" xfId="18433" xr:uid="{00000000-0005-0000-0000-000080550000}"/>
    <cellStyle name="Currency 239 2 2 2" xfId="18434" xr:uid="{00000000-0005-0000-0000-000081550000}"/>
    <cellStyle name="Currency 239 2 2 2 2" xfId="18435" xr:uid="{00000000-0005-0000-0000-000082550000}"/>
    <cellStyle name="Currency 239 2 2 3" xfId="18436" xr:uid="{00000000-0005-0000-0000-000083550000}"/>
    <cellStyle name="Currency 239 2 2 4" xfId="18437" xr:uid="{00000000-0005-0000-0000-000084550000}"/>
    <cellStyle name="Currency 239 2 2 5" xfId="38914" xr:uid="{00000000-0005-0000-0000-000085550000}"/>
    <cellStyle name="Currency 239 2 3" xfId="18438" xr:uid="{00000000-0005-0000-0000-000086550000}"/>
    <cellStyle name="Currency 239 2 3 2" xfId="18439" xr:uid="{00000000-0005-0000-0000-000087550000}"/>
    <cellStyle name="Currency 239 2 4" xfId="18440" xr:uid="{00000000-0005-0000-0000-000088550000}"/>
    <cellStyle name="Currency 239 2 5" xfId="18441" xr:uid="{00000000-0005-0000-0000-000089550000}"/>
    <cellStyle name="Currency 239 2 6" xfId="38913" xr:uid="{00000000-0005-0000-0000-00008A550000}"/>
    <cellStyle name="Currency 239 3" xfId="18442" xr:uid="{00000000-0005-0000-0000-00008B550000}"/>
    <cellStyle name="Currency 239 3 2" xfId="18443" xr:uid="{00000000-0005-0000-0000-00008C550000}"/>
    <cellStyle name="Currency 239 3 2 2" xfId="18444" xr:uid="{00000000-0005-0000-0000-00008D550000}"/>
    <cellStyle name="Currency 239 3 3" xfId="18445" xr:uid="{00000000-0005-0000-0000-00008E550000}"/>
    <cellStyle name="Currency 239 3 4" xfId="18446" xr:uid="{00000000-0005-0000-0000-00008F550000}"/>
    <cellStyle name="Currency 239 3 5" xfId="38915" xr:uid="{00000000-0005-0000-0000-000090550000}"/>
    <cellStyle name="Currency 239 4" xfId="18447" xr:uid="{00000000-0005-0000-0000-000091550000}"/>
    <cellStyle name="Currency 239 5" xfId="18448" xr:uid="{00000000-0005-0000-0000-000092550000}"/>
    <cellStyle name="Currency 239 5 2" xfId="18449" xr:uid="{00000000-0005-0000-0000-000093550000}"/>
    <cellStyle name="Currency 239 6" xfId="18450" xr:uid="{00000000-0005-0000-0000-000094550000}"/>
    <cellStyle name="Currency 239 7" xfId="18451" xr:uid="{00000000-0005-0000-0000-000095550000}"/>
    <cellStyle name="Currency 239 8" xfId="35076" xr:uid="{00000000-0005-0000-0000-000096550000}"/>
    <cellStyle name="Currency 24" xfId="18452" xr:uid="{00000000-0005-0000-0000-000097550000}"/>
    <cellStyle name="Currency 240" xfId="18453" xr:uid="{00000000-0005-0000-0000-000098550000}"/>
    <cellStyle name="Currency 240 2" xfId="18454" xr:uid="{00000000-0005-0000-0000-000099550000}"/>
    <cellStyle name="Currency 240 2 2" xfId="18455" xr:uid="{00000000-0005-0000-0000-00009A550000}"/>
    <cellStyle name="Currency 240 2 2 2" xfId="18456" xr:uid="{00000000-0005-0000-0000-00009B550000}"/>
    <cellStyle name="Currency 240 2 2 2 2" xfId="18457" xr:uid="{00000000-0005-0000-0000-00009C550000}"/>
    <cellStyle name="Currency 240 2 2 3" xfId="18458" xr:uid="{00000000-0005-0000-0000-00009D550000}"/>
    <cellStyle name="Currency 240 2 2 4" xfId="18459" xr:uid="{00000000-0005-0000-0000-00009E550000}"/>
    <cellStyle name="Currency 240 2 2 5" xfId="38917" xr:uid="{00000000-0005-0000-0000-00009F550000}"/>
    <cellStyle name="Currency 240 2 3" xfId="18460" xr:uid="{00000000-0005-0000-0000-0000A0550000}"/>
    <cellStyle name="Currency 240 2 3 2" xfId="18461" xr:uid="{00000000-0005-0000-0000-0000A1550000}"/>
    <cellStyle name="Currency 240 2 4" xfId="18462" xr:uid="{00000000-0005-0000-0000-0000A2550000}"/>
    <cellStyle name="Currency 240 2 5" xfId="18463" xr:uid="{00000000-0005-0000-0000-0000A3550000}"/>
    <cellStyle name="Currency 240 2 6" xfId="38916" xr:uid="{00000000-0005-0000-0000-0000A4550000}"/>
    <cellStyle name="Currency 240 3" xfId="18464" xr:uid="{00000000-0005-0000-0000-0000A5550000}"/>
    <cellStyle name="Currency 240 3 2" xfId="18465" xr:uid="{00000000-0005-0000-0000-0000A6550000}"/>
    <cellStyle name="Currency 240 3 2 2" xfId="18466" xr:uid="{00000000-0005-0000-0000-0000A7550000}"/>
    <cellStyle name="Currency 240 3 3" xfId="18467" xr:uid="{00000000-0005-0000-0000-0000A8550000}"/>
    <cellStyle name="Currency 240 3 4" xfId="18468" xr:uid="{00000000-0005-0000-0000-0000A9550000}"/>
    <cellStyle name="Currency 240 3 5" xfId="38918" xr:uid="{00000000-0005-0000-0000-0000AA550000}"/>
    <cellStyle name="Currency 240 4" xfId="18469" xr:uid="{00000000-0005-0000-0000-0000AB550000}"/>
    <cellStyle name="Currency 240 5" xfId="18470" xr:uid="{00000000-0005-0000-0000-0000AC550000}"/>
    <cellStyle name="Currency 240 5 2" xfId="18471" xr:uid="{00000000-0005-0000-0000-0000AD550000}"/>
    <cellStyle name="Currency 240 6" xfId="18472" xr:uid="{00000000-0005-0000-0000-0000AE550000}"/>
    <cellStyle name="Currency 240 7" xfId="18473" xr:uid="{00000000-0005-0000-0000-0000AF550000}"/>
    <cellStyle name="Currency 241" xfId="18474" xr:uid="{00000000-0005-0000-0000-0000B0550000}"/>
    <cellStyle name="Currency 241 2" xfId="18475" xr:uid="{00000000-0005-0000-0000-0000B1550000}"/>
    <cellStyle name="Currency 241 2 2" xfId="18476" xr:uid="{00000000-0005-0000-0000-0000B2550000}"/>
    <cellStyle name="Currency 241 2 2 2" xfId="18477" xr:uid="{00000000-0005-0000-0000-0000B3550000}"/>
    <cellStyle name="Currency 241 2 2 2 2" xfId="18478" xr:uid="{00000000-0005-0000-0000-0000B4550000}"/>
    <cellStyle name="Currency 241 2 2 3" xfId="18479" xr:uid="{00000000-0005-0000-0000-0000B5550000}"/>
    <cellStyle name="Currency 241 2 2 4" xfId="18480" xr:uid="{00000000-0005-0000-0000-0000B6550000}"/>
    <cellStyle name="Currency 241 2 2 5" xfId="38920" xr:uid="{00000000-0005-0000-0000-0000B7550000}"/>
    <cellStyle name="Currency 241 2 3" xfId="18481" xr:uid="{00000000-0005-0000-0000-0000B8550000}"/>
    <cellStyle name="Currency 241 2 3 2" xfId="18482" xr:uid="{00000000-0005-0000-0000-0000B9550000}"/>
    <cellStyle name="Currency 241 2 4" xfId="18483" xr:uid="{00000000-0005-0000-0000-0000BA550000}"/>
    <cellStyle name="Currency 241 2 5" xfId="18484" xr:uid="{00000000-0005-0000-0000-0000BB550000}"/>
    <cellStyle name="Currency 241 2 6" xfId="38919" xr:uid="{00000000-0005-0000-0000-0000BC550000}"/>
    <cellStyle name="Currency 241 3" xfId="18485" xr:uid="{00000000-0005-0000-0000-0000BD550000}"/>
    <cellStyle name="Currency 241 3 2" xfId="18486" xr:uid="{00000000-0005-0000-0000-0000BE550000}"/>
    <cellStyle name="Currency 241 3 2 2" xfId="18487" xr:uid="{00000000-0005-0000-0000-0000BF550000}"/>
    <cellStyle name="Currency 241 3 3" xfId="18488" xr:uid="{00000000-0005-0000-0000-0000C0550000}"/>
    <cellStyle name="Currency 241 3 4" xfId="18489" xr:uid="{00000000-0005-0000-0000-0000C1550000}"/>
    <cellStyle name="Currency 241 3 5" xfId="38921" xr:uid="{00000000-0005-0000-0000-0000C2550000}"/>
    <cellStyle name="Currency 241 4" xfId="18490" xr:uid="{00000000-0005-0000-0000-0000C3550000}"/>
    <cellStyle name="Currency 241 5" xfId="18491" xr:uid="{00000000-0005-0000-0000-0000C4550000}"/>
    <cellStyle name="Currency 241 5 2" xfId="18492" xr:uid="{00000000-0005-0000-0000-0000C5550000}"/>
    <cellStyle name="Currency 241 6" xfId="18493" xr:uid="{00000000-0005-0000-0000-0000C6550000}"/>
    <cellStyle name="Currency 241 7" xfId="18494" xr:uid="{00000000-0005-0000-0000-0000C7550000}"/>
    <cellStyle name="Currency 242" xfId="18495" xr:uid="{00000000-0005-0000-0000-0000C8550000}"/>
    <cellStyle name="Currency 242 2" xfId="18496" xr:uid="{00000000-0005-0000-0000-0000C9550000}"/>
    <cellStyle name="Currency 242 2 2" xfId="18497" xr:uid="{00000000-0005-0000-0000-0000CA550000}"/>
    <cellStyle name="Currency 242 2 2 2" xfId="18498" xr:uid="{00000000-0005-0000-0000-0000CB550000}"/>
    <cellStyle name="Currency 242 2 2 2 2" xfId="18499" xr:uid="{00000000-0005-0000-0000-0000CC550000}"/>
    <cellStyle name="Currency 242 2 2 3" xfId="18500" xr:uid="{00000000-0005-0000-0000-0000CD550000}"/>
    <cellStyle name="Currency 242 2 2 4" xfId="18501" xr:uid="{00000000-0005-0000-0000-0000CE550000}"/>
    <cellStyle name="Currency 242 2 2 5" xfId="38923" xr:uid="{00000000-0005-0000-0000-0000CF550000}"/>
    <cellStyle name="Currency 242 2 3" xfId="18502" xr:uid="{00000000-0005-0000-0000-0000D0550000}"/>
    <cellStyle name="Currency 242 2 3 2" xfId="18503" xr:uid="{00000000-0005-0000-0000-0000D1550000}"/>
    <cellStyle name="Currency 242 2 4" xfId="18504" xr:uid="{00000000-0005-0000-0000-0000D2550000}"/>
    <cellStyle name="Currency 242 2 5" xfId="18505" xr:uid="{00000000-0005-0000-0000-0000D3550000}"/>
    <cellStyle name="Currency 242 2 6" xfId="38922" xr:uid="{00000000-0005-0000-0000-0000D4550000}"/>
    <cellStyle name="Currency 242 3" xfId="18506" xr:uid="{00000000-0005-0000-0000-0000D5550000}"/>
    <cellStyle name="Currency 242 3 2" xfId="18507" xr:uid="{00000000-0005-0000-0000-0000D6550000}"/>
    <cellStyle name="Currency 242 3 2 2" xfId="18508" xr:uid="{00000000-0005-0000-0000-0000D7550000}"/>
    <cellStyle name="Currency 242 3 3" xfId="18509" xr:uid="{00000000-0005-0000-0000-0000D8550000}"/>
    <cellStyle name="Currency 242 3 4" xfId="18510" xr:uid="{00000000-0005-0000-0000-0000D9550000}"/>
    <cellStyle name="Currency 242 3 5" xfId="38924" xr:uid="{00000000-0005-0000-0000-0000DA550000}"/>
    <cellStyle name="Currency 242 4" xfId="18511" xr:uid="{00000000-0005-0000-0000-0000DB550000}"/>
    <cellStyle name="Currency 242 5" xfId="18512" xr:uid="{00000000-0005-0000-0000-0000DC550000}"/>
    <cellStyle name="Currency 242 5 2" xfId="18513" xr:uid="{00000000-0005-0000-0000-0000DD550000}"/>
    <cellStyle name="Currency 242 6" xfId="18514" xr:uid="{00000000-0005-0000-0000-0000DE550000}"/>
    <cellStyle name="Currency 242 7" xfId="18515" xr:uid="{00000000-0005-0000-0000-0000DF550000}"/>
    <cellStyle name="Currency 243" xfId="18516" xr:uid="{00000000-0005-0000-0000-0000E0550000}"/>
    <cellStyle name="Currency 243 2" xfId="18517" xr:uid="{00000000-0005-0000-0000-0000E1550000}"/>
    <cellStyle name="Currency 243 2 2" xfId="18518" xr:uid="{00000000-0005-0000-0000-0000E2550000}"/>
    <cellStyle name="Currency 243 2 2 2" xfId="18519" xr:uid="{00000000-0005-0000-0000-0000E3550000}"/>
    <cellStyle name="Currency 243 2 2 2 2" xfId="18520" xr:uid="{00000000-0005-0000-0000-0000E4550000}"/>
    <cellStyle name="Currency 243 2 2 3" xfId="18521" xr:uid="{00000000-0005-0000-0000-0000E5550000}"/>
    <cellStyle name="Currency 243 2 2 4" xfId="18522" xr:uid="{00000000-0005-0000-0000-0000E6550000}"/>
    <cellStyle name="Currency 243 2 2 5" xfId="38926" xr:uid="{00000000-0005-0000-0000-0000E7550000}"/>
    <cellStyle name="Currency 243 2 3" xfId="18523" xr:uid="{00000000-0005-0000-0000-0000E8550000}"/>
    <cellStyle name="Currency 243 2 3 2" xfId="18524" xr:uid="{00000000-0005-0000-0000-0000E9550000}"/>
    <cellStyle name="Currency 243 2 4" xfId="18525" xr:uid="{00000000-0005-0000-0000-0000EA550000}"/>
    <cellStyle name="Currency 243 2 5" xfId="18526" xr:uid="{00000000-0005-0000-0000-0000EB550000}"/>
    <cellStyle name="Currency 243 2 6" xfId="38925" xr:uid="{00000000-0005-0000-0000-0000EC550000}"/>
    <cellStyle name="Currency 243 3" xfId="18527" xr:uid="{00000000-0005-0000-0000-0000ED550000}"/>
    <cellStyle name="Currency 243 3 2" xfId="18528" xr:uid="{00000000-0005-0000-0000-0000EE550000}"/>
    <cellStyle name="Currency 243 3 2 2" xfId="18529" xr:uid="{00000000-0005-0000-0000-0000EF550000}"/>
    <cellStyle name="Currency 243 3 3" xfId="18530" xr:uid="{00000000-0005-0000-0000-0000F0550000}"/>
    <cellStyle name="Currency 243 3 4" xfId="18531" xr:uid="{00000000-0005-0000-0000-0000F1550000}"/>
    <cellStyle name="Currency 243 3 5" xfId="38927" xr:uid="{00000000-0005-0000-0000-0000F2550000}"/>
    <cellStyle name="Currency 243 4" xfId="18532" xr:uid="{00000000-0005-0000-0000-0000F3550000}"/>
    <cellStyle name="Currency 243 5" xfId="18533" xr:uid="{00000000-0005-0000-0000-0000F4550000}"/>
    <cellStyle name="Currency 243 5 2" xfId="18534" xr:uid="{00000000-0005-0000-0000-0000F5550000}"/>
    <cellStyle name="Currency 243 6" xfId="18535" xr:uid="{00000000-0005-0000-0000-0000F6550000}"/>
    <cellStyle name="Currency 243 7" xfId="18536" xr:uid="{00000000-0005-0000-0000-0000F7550000}"/>
    <cellStyle name="Currency 244" xfId="18537" xr:uid="{00000000-0005-0000-0000-0000F8550000}"/>
    <cellStyle name="Currency 244 2" xfId="18538" xr:uid="{00000000-0005-0000-0000-0000F9550000}"/>
    <cellStyle name="Currency 245" xfId="18539" xr:uid="{00000000-0005-0000-0000-0000FA550000}"/>
    <cellStyle name="Currency 246" xfId="18540" xr:uid="{00000000-0005-0000-0000-0000FB550000}"/>
    <cellStyle name="Currency 247" xfId="18541" xr:uid="{00000000-0005-0000-0000-0000FC550000}"/>
    <cellStyle name="Currency 248" xfId="18542" xr:uid="{00000000-0005-0000-0000-0000FD550000}"/>
    <cellStyle name="Currency 248 2" xfId="18543" xr:uid="{00000000-0005-0000-0000-0000FE550000}"/>
    <cellStyle name="Currency 248 2 2" xfId="18544" xr:uid="{00000000-0005-0000-0000-0000FF550000}"/>
    <cellStyle name="Currency 248 2 2 2" xfId="18545" xr:uid="{00000000-0005-0000-0000-000000560000}"/>
    <cellStyle name="Currency 248 2 3" xfId="18546" xr:uid="{00000000-0005-0000-0000-000001560000}"/>
    <cellStyle name="Currency 248 2 4" xfId="18547" xr:uid="{00000000-0005-0000-0000-000002560000}"/>
    <cellStyle name="Currency 248 2 5" xfId="38928" xr:uid="{00000000-0005-0000-0000-000003560000}"/>
    <cellStyle name="Currency 248 3" xfId="18548" xr:uid="{00000000-0005-0000-0000-000004560000}"/>
    <cellStyle name="Currency 248 4" xfId="18549" xr:uid="{00000000-0005-0000-0000-000005560000}"/>
    <cellStyle name="Currency 248 4 2" xfId="18550" xr:uid="{00000000-0005-0000-0000-000006560000}"/>
    <cellStyle name="Currency 248 5" xfId="18551" xr:uid="{00000000-0005-0000-0000-000007560000}"/>
    <cellStyle name="Currency 248 6" xfId="18552" xr:uid="{00000000-0005-0000-0000-000008560000}"/>
    <cellStyle name="Currency 249" xfId="18553" xr:uid="{00000000-0005-0000-0000-000009560000}"/>
    <cellStyle name="Currency 249 2" xfId="18554" xr:uid="{00000000-0005-0000-0000-00000A560000}"/>
    <cellStyle name="Currency 249 2 2" xfId="18555" xr:uid="{00000000-0005-0000-0000-00000B560000}"/>
    <cellStyle name="Currency 249 2 2 2" xfId="18556" xr:uid="{00000000-0005-0000-0000-00000C560000}"/>
    <cellStyle name="Currency 249 2 3" xfId="18557" xr:uid="{00000000-0005-0000-0000-00000D560000}"/>
    <cellStyle name="Currency 249 2 4" xfId="18558" xr:uid="{00000000-0005-0000-0000-00000E560000}"/>
    <cellStyle name="Currency 249 2 5" xfId="38929" xr:uid="{00000000-0005-0000-0000-00000F560000}"/>
    <cellStyle name="Currency 249 3" xfId="18559" xr:uid="{00000000-0005-0000-0000-000010560000}"/>
    <cellStyle name="Currency 249 4" xfId="18560" xr:uid="{00000000-0005-0000-0000-000011560000}"/>
    <cellStyle name="Currency 249 4 2" xfId="18561" xr:uid="{00000000-0005-0000-0000-000012560000}"/>
    <cellStyle name="Currency 249 5" xfId="18562" xr:uid="{00000000-0005-0000-0000-000013560000}"/>
    <cellStyle name="Currency 249 6" xfId="18563" xr:uid="{00000000-0005-0000-0000-000014560000}"/>
    <cellStyle name="Currency 25" xfId="18564" xr:uid="{00000000-0005-0000-0000-000015560000}"/>
    <cellStyle name="Currency 250" xfId="18565" xr:uid="{00000000-0005-0000-0000-000016560000}"/>
    <cellStyle name="Currency 250 2" xfId="18566" xr:uid="{00000000-0005-0000-0000-000017560000}"/>
    <cellStyle name="Currency 250 2 2" xfId="18567" xr:uid="{00000000-0005-0000-0000-000018560000}"/>
    <cellStyle name="Currency 250 2 2 2" xfId="18568" xr:uid="{00000000-0005-0000-0000-000019560000}"/>
    <cellStyle name="Currency 250 2 3" xfId="18569" xr:uid="{00000000-0005-0000-0000-00001A560000}"/>
    <cellStyle name="Currency 250 2 4" xfId="18570" xr:uid="{00000000-0005-0000-0000-00001B560000}"/>
    <cellStyle name="Currency 250 2 5" xfId="38930" xr:uid="{00000000-0005-0000-0000-00001C560000}"/>
    <cellStyle name="Currency 250 3" xfId="18571" xr:uid="{00000000-0005-0000-0000-00001D560000}"/>
    <cellStyle name="Currency 250 4" xfId="18572" xr:uid="{00000000-0005-0000-0000-00001E560000}"/>
    <cellStyle name="Currency 250 4 2" xfId="18573" xr:uid="{00000000-0005-0000-0000-00001F560000}"/>
    <cellStyle name="Currency 250 5" xfId="18574" xr:uid="{00000000-0005-0000-0000-000020560000}"/>
    <cellStyle name="Currency 250 6" xfId="18575" xr:uid="{00000000-0005-0000-0000-000021560000}"/>
    <cellStyle name="Currency 251" xfId="18576" xr:uid="{00000000-0005-0000-0000-000022560000}"/>
    <cellStyle name="Currency 251 2" xfId="18577" xr:uid="{00000000-0005-0000-0000-000023560000}"/>
    <cellStyle name="Currency 252" xfId="18578" xr:uid="{00000000-0005-0000-0000-000024560000}"/>
    <cellStyle name="Currency 252 2" xfId="18579" xr:uid="{00000000-0005-0000-0000-000025560000}"/>
    <cellStyle name="Currency 253" xfId="18580" xr:uid="{00000000-0005-0000-0000-000026560000}"/>
    <cellStyle name="Currency 253 2" xfId="18581" xr:uid="{00000000-0005-0000-0000-000027560000}"/>
    <cellStyle name="Currency 253 3" xfId="18582" xr:uid="{00000000-0005-0000-0000-000028560000}"/>
    <cellStyle name="Currency 253 3 2" xfId="18583" xr:uid="{00000000-0005-0000-0000-000029560000}"/>
    <cellStyle name="Currency 253 3 3" xfId="18584" xr:uid="{00000000-0005-0000-0000-00002A560000}"/>
    <cellStyle name="Currency 253 4" xfId="18585" xr:uid="{00000000-0005-0000-0000-00002B560000}"/>
    <cellStyle name="Currency 254" xfId="18586" xr:uid="{00000000-0005-0000-0000-00002C560000}"/>
    <cellStyle name="Currency 254 2" xfId="18587" xr:uid="{00000000-0005-0000-0000-00002D560000}"/>
    <cellStyle name="Currency 254 2 2" xfId="18588" xr:uid="{00000000-0005-0000-0000-00002E560000}"/>
    <cellStyle name="Currency 254 2 3" xfId="18589" xr:uid="{00000000-0005-0000-0000-00002F560000}"/>
    <cellStyle name="Currency 254 3" xfId="18590" xr:uid="{00000000-0005-0000-0000-000030560000}"/>
    <cellStyle name="Currency 254 4" xfId="18591" xr:uid="{00000000-0005-0000-0000-000031560000}"/>
    <cellStyle name="Currency 255" xfId="18592" xr:uid="{00000000-0005-0000-0000-000032560000}"/>
    <cellStyle name="Currency 255 2" xfId="18593" xr:uid="{00000000-0005-0000-0000-000033560000}"/>
    <cellStyle name="Currency 255 2 2" xfId="18594" xr:uid="{00000000-0005-0000-0000-000034560000}"/>
    <cellStyle name="Currency 255 2 3" xfId="18595" xr:uid="{00000000-0005-0000-0000-000035560000}"/>
    <cellStyle name="Currency 255 3" xfId="18596" xr:uid="{00000000-0005-0000-0000-000036560000}"/>
    <cellStyle name="Currency 255 4" xfId="18597" xr:uid="{00000000-0005-0000-0000-000037560000}"/>
    <cellStyle name="Currency 256" xfId="18598" xr:uid="{00000000-0005-0000-0000-000038560000}"/>
    <cellStyle name="Currency 256 2" xfId="35077" xr:uid="{00000000-0005-0000-0000-000039560000}"/>
    <cellStyle name="Currency 257" xfId="18599" xr:uid="{00000000-0005-0000-0000-00003A560000}"/>
    <cellStyle name="Currency 258" xfId="18600" xr:uid="{00000000-0005-0000-0000-00003B560000}"/>
    <cellStyle name="Currency 259" xfId="18601" xr:uid="{00000000-0005-0000-0000-00003C560000}"/>
    <cellStyle name="Currency 26" xfId="18602" xr:uid="{00000000-0005-0000-0000-00003D560000}"/>
    <cellStyle name="Currency 260" xfId="18603" xr:uid="{00000000-0005-0000-0000-00003E560000}"/>
    <cellStyle name="Currency 261" xfId="18604" xr:uid="{00000000-0005-0000-0000-00003F560000}"/>
    <cellStyle name="Currency 262" xfId="18605" xr:uid="{00000000-0005-0000-0000-000040560000}"/>
    <cellStyle name="Currency 263" xfId="18606" xr:uid="{00000000-0005-0000-0000-000041560000}"/>
    <cellStyle name="Currency 264" xfId="18607" xr:uid="{00000000-0005-0000-0000-000042560000}"/>
    <cellStyle name="Currency 264 2" xfId="18608" xr:uid="{00000000-0005-0000-0000-000043560000}"/>
    <cellStyle name="Currency 264 2 2" xfId="18609" xr:uid="{00000000-0005-0000-0000-000044560000}"/>
    <cellStyle name="Currency 264 3" xfId="18610" xr:uid="{00000000-0005-0000-0000-000045560000}"/>
    <cellStyle name="Currency 264 4" xfId="18611" xr:uid="{00000000-0005-0000-0000-000046560000}"/>
    <cellStyle name="Currency 265" xfId="18612" xr:uid="{00000000-0005-0000-0000-000047560000}"/>
    <cellStyle name="Currency 265 2" xfId="18613" xr:uid="{00000000-0005-0000-0000-000048560000}"/>
    <cellStyle name="Currency 265 2 2" xfId="18614" xr:uid="{00000000-0005-0000-0000-000049560000}"/>
    <cellStyle name="Currency 265 3" xfId="18615" xr:uid="{00000000-0005-0000-0000-00004A560000}"/>
    <cellStyle name="Currency 265 4" xfId="18616" xr:uid="{00000000-0005-0000-0000-00004B560000}"/>
    <cellStyle name="Currency 266" xfId="18617" xr:uid="{00000000-0005-0000-0000-00004C560000}"/>
    <cellStyle name="Currency 267" xfId="18618" xr:uid="{00000000-0005-0000-0000-00004D560000}"/>
    <cellStyle name="Currency 268" xfId="18619" xr:uid="{00000000-0005-0000-0000-00004E560000}"/>
    <cellStyle name="Currency 269" xfId="18620" xr:uid="{00000000-0005-0000-0000-00004F560000}"/>
    <cellStyle name="Currency 27" xfId="18621" xr:uid="{00000000-0005-0000-0000-000050560000}"/>
    <cellStyle name="Currency 27 2" xfId="18622" xr:uid="{00000000-0005-0000-0000-000051560000}"/>
    <cellStyle name="Currency 270" xfId="18623" xr:uid="{00000000-0005-0000-0000-000052560000}"/>
    <cellStyle name="Currency 271" xfId="18624" xr:uid="{00000000-0005-0000-0000-000053560000}"/>
    <cellStyle name="Currency 272" xfId="18625" xr:uid="{00000000-0005-0000-0000-000054560000}"/>
    <cellStyle name="Currency 273" xfId="18626" xr:uid="{00000000-0005-0000-0000-000055560000}"/>
    <cellStyle name="Currency 274" xfId="18627" xr:uid="{00000000-0005-0000-0000-000056560000}"/>
    <cellStyle name="Currency 275" xfId="18628" xr:uid="{00000000-0005-0000-0000-000057560000}"/>
    <cellStyle name="Currency 276" xfId="18629" xr:uid="{00000000-0005-0000-0000-000058560000}"/>
    <cellStyle name="Currency 277" xfId="18630" xr:uid="{00000000-0005-0000-0000-000059560000}"/>
    <cellStyle name="Currency 278" xfId="34356" xr:uid="{00000000-0005-0000-0000-00005A560000}"/>
    <cellStyle name="Currency 279" xfId="34389" xr:uid="{00000000-0005-0000-0000-00005B560000}"/>
    <cellStyle name="Currency 28" xfId="18631" xr:uid="{00000000-0005-0000-0000-00005C560000}"/>
    <cellStyle name="Currency 28 2" xfId="18632" xr:uid="{00000000-0005-0000-0000-00005D560000}"/>
    <cellStyle name="Currency 280" xfId="41095" xr:uid="{00000000-0005-0000-0000-00005E560000}"/>
    <cellStyle name="Currency 281" xfId="38891" xr:uid="{00000000-0005-0000-0000-00005F560000}"/>
    <cellStyle name="Currency 282" xfId="42389" xr:uid="{1F1E438C-ACF2-4A2D-ACF2-BF2F9E573C06}"/>
    <cellStyle name="Currency 283" xfId="42394" xr:uid="{FBC31906-735D-4E8E-9BEC-4EF6DEEC4E22}"/>
    <cellStyle name="Currency 284" xfId="42398" xr:uid="{0920A276-FFDA-4B49-95E1-10F36F45AC5D}"/>
    <cellStyle name="Currency 29" xfId="18633" xr:uid="{00000000-0005-0000-0000-000060560000}"/>
    <cellStyle name="Currency 29 2" xfId="18634" xr:uid="{00000000-0005-0000-0000-000061560000}"/>
    <cellStyle name="Currency 3" xfId="18635" xr:uid="{00000000-0005-0000-0000-000062560000}"/>
    <cellStyle name="Currency 3 2" xfId="18636" xr:uid="{00000000-0005-0000-0000-000063560000}"/>
    <cellStyle name="Currency 3 2 2" xfId="18637" xr:uid="{00000000-0005-0000-0000-000064560000}"/>
    <cellStyle name="Currency 3 2 3" xfId="35079" xr:uid="{00000000-0005-0000-0000-000065560000}"/>
    <cellStyle name="Currency 3 2 4" xfId="41935" xr:uid="{FB5E3AE2-15FC-4110-8BAF-004A335003D0}"/>
    <cellStyle name="Currency 3 3" xfId="18638" xr:uid="{00000000-0005-0000-0000-000066560000}"/>
    <cellStyle name="Currency 3 3 2" xfId="18639" xr:uid="{00000000-0005-0000-0000-000067560000}"/>
    <cellStyle name="Currency 3 3 3" xfId="18640" xr:uid="{00000000-0005-0000-0000-000068560000}"/>
    <cellStyle name="Currency 3 3 4" xfId="35080" xr:uid="{00000000-0005-0000-0000-000069560000}"/>
    <cellStyle name="Currency 3 4" xfId="18641" xr:uid="{00000000-0005-0000-0000-00006A560000}"/>
    <cellStyle name="Currency 3 4 2" xfId="18642" xr:uid="{00000000-0005-0000-0000-00006B560000}"/>
    <cellStyle name="Currency 3 4 3" xfId="18643" xr:uid="{00000000-0005-0000-0000-00006C560000}"/>
    <cellStyle name="Currency 3 4 3 2" xfId="18644" xr:uid="{00000000-0005-0000-0000-00006D560000}"/>
    <cellStyle name="Currency 3 4 3 2 2" xfId="18645" xr:uid="{00000000-0005-0000-0000-00006E560000}"/>
    <cellStyle name="Currency 3 4 3 3" xfId="18646" xr:uid="{00000000-0005-0000-0000-00006F560000}"/>
    <cellStyle name="Currency 3 4 3 4" xfId="18647" xr:uid="{00000000-0005-0000-0000-000070560000}"/>
    <cellStyle name="Currency 3 4 3 5" xfId="38931" xr:uid="{00000000-0005-0000-0000-000071560000}"/>
    <cellStyle name="Currency 3 4 4" xfId="35081" xr:uid="{00000000-0005-0000-0000-000072560000}"/>
    <cellStyle name="Currency 3 5" xfId="18648" xr:uid="{00000000-0005-0000-0000-000073560000}"/>
    <cellStyle name="Currency 3 6" xfId="34378" xr:uid="{00000000-0005-0000-0000-000074560000}"/>
    <cellStyle name="Currency 3 7" xfId="35078" xr:uid="{00000000-0005-0000-0000-000075560000}"/>
    <cellStyle name="Currency 3 8" xfId="41934" xr:uid="{13CF64D2-5249-4684-9CF7-A7246B99FB15}"/>
    <cellStyle name="Currency 30" xfId="18649" xr:uid="{00000000-0005-0000-0000-000076560000}"/>
    <cellStyle name="Currency 30 2" xfId="18650" xr:uid="{00000000-0005-0000-0000-000077560000}"/>
    <cellStyle name="Currency 30 2 2" xfId="18651" xr:uid="{00000000-0005-0000-0000-000078560000}"/>
    <cellStyle name="Currency 30 3" xfId="18652" xr:uid="{00000000-0005-0000-0000-000079560000}"/>
    <cellStyle name="Currency 31" xfId="18653" xr:uid="{00000000-0005-0000-0000-00007A560000}"/>
    <cellStyle name="Currency 31 2" xfId="18654" xr:uid="{00000000-0005-0000-0000-00007B560000}"/>
    <cellStyle name="Currency 31 2 2" xfId="18655" xr:uid="{00000000-0005-0000-0000-00007C560000}"/>
    <cellStyle name="Currency 31 3" xfId="18656" xr:uid="{00000000-0005-0000-0000-00007D560000}"/>
    <cellStyle name="Currency 32" xfId="18657" xr:uid="{00000000-0005-0000-0000-00007E560000}"/>
    <cellStyle name="Currency 32 2" xfId="18658" xr:uid="{00000000-0005-0000-0000-00007F560000}"/>
    <cellStyle name="Currency 32 2 2" xfId="18659" xr:uid="{00000000-0005-0000-0000-000080560000}"/>
    <cellStyle name="Currency 32 3" xfId="18660" xr:uid="{00000000-0005-0000-0000-000081560000}"/>
    <cellStyle name="Currency 33" xfId="18661" xr:uid="{00000000-0005-0000-0000-000082560000}"/>
    <cellStyle name="Currency 33 2" xfId="18662" xr:uid="{00000000-0005-0000-0000-000083560000}"/>
    <cellStyle name="Currency 33 2 2" xfId="18663" xr:uid="{00000000-0005-0000-0000-000084560000}"/>
    <cellStyle name="Currency 33 3" xfId="18664" xr:uid="{00000000-0005-0000-0000-000085560000}"/>
    <cellStyle name="Currency 34" xfId="18665" xr:uid="{00000000-0005-0000-0000-000086560000}"/>
    <cellStyle name="Currency 34 2" xfId="18666" xr:uid="{00000000-0005-0000-0000-000087560000}"/>
    <cellStyle name="Currency 34 2 2" xfId="18667" xr:uid="{00000000-0005-0000-0000-000088560000}"/>
    <cellStyle name="Currency 34 3" xfId="18668" xr:uid="{00000000-0005-0000-0000-000089560000}"/>
    <cellStyle name="Currency 35" xfId="18669" xr:uid="{00000000-0005-0000-0000-00008A560000}"/>
    <cellStyle name="Currency 36" xfId="18670" xr:uid="{00000000-0005-0000-0000-00008B560000}"/>
    <cellStyle name="Currency 36 2" xfId="18671" xr:uid="{00000000-0005-0000-0000-00008C560000}"/>
    <cellStyle name="Currency 36 2 2" xfId="18672" xr:uid="{00000000-0005-0000-0000-00008D560000}"/>
    <cellStyle name="Currency 36 3" xfId="18673" xr:uid="{00000000-0005-0000-0000-00008E560000}"/>
    <cellStyle name="Currency 37" xfId="18674" xr:uid="{00000000-0005-0000-0000-00008F560000}"/>
    <cellStyle name="Currency 37 2" xfId="18675" xr:uid="{00000000-0005-0000-0000-000090560000}"/>
    <cellStyle name="Currency 37 2 2" xfId="18676" xr:uid="{00000000-0005-0000-0000-000091560000}"/>
    <cellStyle name="Currency 37 3" xfId="18677" xr:uid="{00000000-0005-0000-0000-000092560000}"/>
    <cellStyle name="Currency 38" xfId="18678" xr:uid="{00000000-0005-0000-0000-000093560000}"/>
    <cellStyle name="Currency 38 10" xfId="18679" xr:uid="{00000000-0005-0000-0000-000094560000}"/>
    <cellStyle name="Currency 38 11" xfId="18680" xr:uid="{00000000-0005-0000-0000-000095560000}"/>
    <cellStyle name="Currency 38 12" xfId="35082" xr:uid="{00000000-0005-0000-0000-000096560000}"/>
    <cellStyle name="Currency 38 2" xfId="18681" xr:uid="{00000000-0005-0000-0000-000097560000}"/>
    <cellStyle name="Currency 38 2 10" xfId="18682" xr:uid="{00000000-0005-0000-0000-000098560000}"/>
    <cellStyle name="Currency 38 2 11" xfId="35083" xr:uid="{00000000-0005-0000-0000-000099560000}"/>
    <cellStyle name="Currency 38 2 2" xfId="18683" xr:uid="{00000000-0005-0000-0000-00009A560000}"/>
    <cellStyle name="Currency 38 2 2 10" xfId="35084" xr:uid="{00000000-0005-0000-0000-00009B560000}"/>
    <cellStyle name="Currency 38 2 2 2" xfId="18684" xr:uid="{00000000-0005-0000-0000-00009C560000}"/>
    <cellStyle name="Currency 38 2 2 2 2" xfId="18685" xr:uid="{00000000-0005-0000-0000-00009D560000}"/>
    <cellStyle name="Currency 38 2 2 2 2 2" xfId="18686" xr:uid="{00000000-0005-0000-0000-00009E560000}"/>
    <cellStyle name="Currency 38 2 2 2 2 2 2" xfId="18687" xr:uid="{00000000-0005-0000-0000-00009F560000}"/>
    <cellStyle name="Currency 38 2 2 2 2 3" xfId="18688" xr:uid="{00000000-0005-0000-0000-0000A0560000}"/>
    <cellStyle name="Currency 38 2 2 2 2 4" xfId="18689" xr:uid="{00000000-0005-0000-0000-0000A1560000}"/>
    <cellStyle name="Currency 38 2 2 2 2 5" xfId="38933" xr:uid="{00000000-0005-0000-0000-0000A2560000}"/>
    <cellStyle name="Currency 38 2 2 2 3" xfId="18690" xr:uid="{00000000-0005-0000-0000-0000A3560000}"/>
    <cellStyle name="Currency 38 2 2 2 3 2" xfId="18691" xr:uid="{00000000-0005-0000-0000-0000A4560000}"/>
    <cellStyle name="Currency 38 2 2 2 4" xfId="18692" xr:uid="{00000000-0005-0000-0000-0000A5560000}"/>
    <cellStyle name="Currency 38 2 2 2 5" xfId="18693" xr:uid="{00000000-0005-0000-0000-0000A6560000}"/>
    <cellStyle name="Currency 38 2 2 2 6" xfId="38932" xr:uid="{00000000-0005-0000-0000-0000A7560000}"/>
    <cellStyle name="Currency 38 2 2 3" xfId="18694" xr:uid="{00000000-0005-0000-0000-0000A8560000}"/>
    <cellStyle name="Currency 38 2 2 3 2" xfId="18695" xr:uid="{00000000-0005-0000-0000-0000A9560000}"/>
    <cellStyle name="Currency 38 2 2 3 2 2" xfId="18696" xr:uid="{00000000-0005-0000-0000-0000AA560000}"/>
    <cellStyle name="Currency 38 2 2 3 2 2 2" xfId="18697" xr:uid="{00000000-0005-0000-0000-0000AB560000}"/>
    <cellStyle name="Currency 38 2 2 3 2 3" xfId="18698" xr:uid="{00000000-0005-0000-0000-0000AC560000}"/>
    <cellStyle name="Currency 38 2 2 3 2 4" xfId="18699" xr:uid="{00000000-0005-0000-0000-0000AD560000}"/>
    <cellStyle name="Currency 38 2 2 3 2 5" xfId="38935" xr:uid="{00000000-0005-0000-0000-0000AE560000}"/>
    <cellStyle name="Currency 38 2 2 3 3" xfId="18700" xr:uid="{00000000-0005-0000-0000-0000AF560000}"/>
    <cellStyle name="Currency 38 2 2 3 3 2" xfId="18701" xr:uid="{00000000-0005-0000-0000-0000B0560000}"/>
    <cellStyle name="Currency 38 2 2 3 4" xfId="18702" xr:uid="{00000000-0005-0000-0000-0000B1560000}"/>
    <cellStyle name="Currency 38 2 2 3 5" xfId="18703" xr:uid="{00000000-0005-0000-0000-0000B2560000}"/>
    <cellStyle name="Currency 38 2 2 3 6" xfId="38934" xr:uid="{00000000-0005-0000-0000-0000B3560000}"/>
    <cellStyle name="Currency 38 2 2 4" xfId="18704" xr:uid="{00000000-0005-0000-0000-0000B4560000}"/>
    <cellStyle name="Currency 38 2 2 4 2" xfId="18705" xr:uid="{00000000-0005-0000-0000-0000B5560000}"/>
    <cellStyle name="Currency 38 2 2 4 2 2" xfId="18706" xr:uid="{00000000-0005-0000-0000-0000B6560000}"/>
    <cellStyle name="Currency 38 2 2 4 3" xfId="18707" xr:uid="{00000000-0005-0000-0000-0000B7560000}"/>
    <cellStyle name="Currency 38 2 2 4 4" xfId="18708" xr:uid="{00000000-0005-0000-0000-0000B8560000}"/>
    <cellStyle name="Currency 38 2 2 4 5" xfId="38936" xr:uid="{00000000-0005-0000-0000-0000B9560000}"/>
    <cellStyle name="Currency 38 2 2 5" xfId="18709" xr:uid="{00000000-0005-0000-0000-0000BA560000}"/>
    <cellStyle name="Currency 38 2 2 5 2" xfId="18710" xr:uid="{00000000-0005-0000-0000-0000BB560000}"/>
    <cellStyle name="Currency 38 2 2 5 2 2" xfId="18711" xr:uid="{00000000-0005-0000-0000-0000BC560000}"/>
    <cellStyle name="Currency 38 2 2 5 3" xfId="18712" xr:uid="{00000000-0005-0000-0000-0000BD560000}"/>
    <cellStyle name="Currency 38 2 2 5 4" xfId="18713" xr:uid="{00000000-0005-0000-0000-0000BE560000}"/>
    <cellStyle name="Currency 38 2 2 6" xfId="18714" xr:uid="{00000000-0005-0000-0000-0000BF560000}"/>
    <cellStyle name="Currency 38 2 2 6 2" xfId="18715" xr:uid="{00000000-0005-0000-0000-0000C0560000}"/>
    <cellStyle name="Currency 38 2 2 6 2 2" xfId="18716" xr:uid="{00000000-0005-0000-0000-0000C1560000}"/>
    <cellStyle name="Currency 38 2 2 6 3" xfId="18717" xr:uid="{00000000-0005-0000-0000-0000C2560000}"/>
    <cellStyle name="Currency 38 2 2 6 4" xfId="18718" xr:uid="{00000000-0005-0000-0000-0000C3560000}"/>
    <cellStyle name="Currency 38 2 2 7" xfId="18719" xr:uid="{00000000-0005-0000-0000-0000C4560000}"/>
    <cellStyle name="Currency 38 2 2 7 2" xfId="18720" xr:uid="{00000000-0005-0000-0000-0000C5560000}"/>
    <cellStyle name="Currency 38 2 2 8" xfId="18721" xr:uid="{00000000-0005-0000-0000-0000C6560000}"/>
    <cellStyle name="Currency 38 2 2 9" xfId="18722" xr:uid="{00000000-0005-0000-0000-0000C7560000}"/>
    <cellStyle name="Currency 38 2 3" xfId="18723" xr:uid="{00000000-0005-0000-0000-0000C8560000}"/>
    <cellStyle name="Currency 38 2 3 2" xfId="18724" xr:uid="{00000000-0005-0000-0000-0000C9560000}"/>
    <cellStyle name="Currency 38 2 3 2 2" xfId="18725" xr:uid="{00000000-0005-0000-0000-0000CA560000}"/>
    <cellStyle name="Currency 38 2 3 2 2 2" xfId="18726" xr:uid="{00000000-0005-0000-0000-0000CB560000}"/>
    <cellStyle name="Currency 38 2 3 2 3" xfId="18727" xr:uid="{00000000-0005-0000-0000-0000CC560000}"/>
    <cellStyle name="Currency 38 2 3 2 4" xfId="18728" xr:uid="{00000000-0005-0000-0000-0000CD560000}"/>
    <cellStyle name="Currency 38 2 3 2 5" xfId="38938" xr:uid="{00000000-0005-0000-0000-0000CE560000}"/>
    <cellStyle name="Currency 38 2 3 3" xfId="18729" xr:uid="{00000000-0005-0000-0000-0000CF560000}"/>
    <cellStyle name="Currency 38 2 3 3 2" xfId="18730" xr:uid="{00000000-0005-0000-0000-0000D0560000}"/>
    <cellStyle name="Currency 38 2 3 4" xfId="18731" xr:uid="{00000000-0005-0000-0000-0000D1560000}"/>
    <cellStyle name="Currency 38 2 3 5" xfId="18732" xr:uid="{00000000-0005-0000-0000-0000D2560000}"/>
    <cellStyle name="Currency 38 2 3 6" xfId="38937" xr:uid="{00000000-0005-0000-0000-0000D3560000}"/>
    <cellStyle name="Currency 38 2 4" xfId="18733" xr:uid="{00000000-0005-0000-0000-0000D4560000}"/>
    <cellStyle name="Currency 38 2 4 2" xfId="18734" xr:uid="{00000000-0005-0000-0000-0000D5560000}"/>
    <cellStyle name="Currency 38 2 4 2 2" xfId="18735" xr:uid="{00000000-0005-0000-0000-0000D6560000}"/>
    <cellStyle name="Currency 38 2 4 2 2 2" xfId="18736" xr:uid="{00000000-0005-0000-0000-0000D7560000}"/>
    <cellStyle name="Currency 38 2 4 2 3" xfId="18737" xr:uid="{00000000-0005-0000-0000-0000D8560000}"/>
    <cellStyle name="Currency 38 2 4 2 4" xfId="18738" xr:uid="{00000000-0005-0000-0000-0000D9560000}"/>
    <cellStyle name="Currency 38 2 4 2 5" xfId="38940" xr:uid="{00000000-0005-0000-0000-0000DA560000}"/>
    <cellStyle name="Currency 38 2 4 3" xfId="18739" xr:uid="{00000000-0005-0000-0000-0000DB560000}"/>
    <cellStyle name="Currency 38 2 4 3 2" xfId="18740" xr:uid="{00000000-0005-0000-0000-0000DC560000}"/>
    <cellStyle name="Currency 38 2 4 4" xfId="18741" xr:uid="{00000000-0005-0000-0000-0000DD560000}"/>
    <cellStyle name="Currency 38 2 4 5" xfId="18742" xr:uid="{00000000-0005-0000-0000-0000DE560000}"/>
    <cellStyle name="Currency 38 2 4 6" xfId="38939" xr:uid="{00000000-0005-0000-0000-0000DF560000}"/>
    <cellStyle name="Currency 38 2 5" xfId="18743" xr:uid="{00000000-0005-0000-0000-0000E0560000}"/>
    <cellStyle name="Currency 38 2 5 2" xfId="18744" xr:uid="{00000000-0005-0000-0000-0000E1560000}"/>
    <cellStyle name="Currency 38 2 5 2 2" xfId="18745" xr:uid="{00000000-0005-0000-0000-0000E2560000}"/>
    <cellStyle name="Currency 38 2 5 3" xfId="18746" xr:uid="{00000000-0005-0000-0000-0000E3560000}"/>
    <cellStyle name="Currency 38 2 5 4" xfId="18747" xr:uid="{00000000-0005-0000-0000-0000E4560000}"/>
    <cellStyle name="Currency 38 2 5 5" xfId="38941" xr:uid="{00000000-0005-0000-0000-0000E5560000}"/>
    <cellStyle name="Currency 38 2 6" xfId="18748" xr:uid="{00000000-0005-0000-0000-0000E6560000}"/>
    <cellStyle name="Currency 38 2 6 2" xfId="18749" xr:uid="{00000000-0005-0000-0000-0000E7560000}"/>
    <cellStyle name="Currency 38 2 6 2 2" xfId="18750" xr:uid="{00000000-0005-0000-0000-0000E8560000}"/>
    <cellStyle name="Currency 38 2 6 3" xfId="18751" xr:uid="{00000000-0005-0000-0000-0000E9560000}"/>
    <cellStyle name="Currency 38 2 6 4" xfId="18752" xr:uid="{00000000-0005-0000-0000-0000EA560000}"/>
    <cellStyle name="Currency 38 2 7" xfId="18753" xr:uid="{00000000-0005-0000-0000-0000EB560000}"/>
    <cellStyle name="Currency 38 2 7 2" xfId="18754" xr:uid="{00000000-0005-0000-0000-0000EC560000}"/>
    <cellStyle name="Currency 38 2 7 2 2" xfId="18755" xr:uid="{00000000-0005-0000-0000-0000ED560000}"/>
    <cellStyle name="Currency 38 2 7 3" xfId="18756" xr:uid="{00000000-0005-0000-0000-0000EE560000}"/>
    <cellStyle name="Currency 38 2 7 4" xfId="18757" xr:uid="{00000000-0005-0000-0000-0000EF560000}"/>
    <cellStyle name="Currency 38 2 8" xfId="18758" xr:uid="{00000000-0005-0000-0000-0000F0560000}"/>
    <cellStyle name="Currency 38 2 8 2" xfId="18759" xr:uid="{00000000-0005-0000-0000-0000F1560000}"/>
    <cellStyle name="Currency 38 2 9" xfId="18760" xr:uid="{00000000-0005-0000-0000-0000F2560000}"/>
    <cellStyle name="Currency 38 3" xfId="18761" xr:uid="{00000000-0005-0000-0000-0000F3560000}"/>
    <cellStyle name="Currency 38 3 10" xfId="35085" xr:uid="{00000000-0005-0000-0000-0000F4560000}"/>
    <cellStyle name="Currency 38 3 2" xfId="18762" xr:uid="{00000000-0005-0000-0000-0000F5560000}"/>
    <cellStyle name="Currency 38 3 2 2" xfId="18763" xr:uid="{00000000-0005-0000-0000-0000F6560000}"/>
    <cellStyle name="Currency 38 3 2 2 2" xfId="18764" xr:uid="{00000000-0005-0000-0000-0000F7560000}"/>
    <cellStyle name="Currency 38 3 2 2 2 2" xfId="18765" xr:uid="{00000000-0005-0000-0000-0000F8560000}"/>
    <cellStyle name="Currency 38 3 2 2 3" xfId="18766" xr:uid="{00000000-0005-0000-0000-0000F9560000}"/>
    <cellStyle name="Currency 38 3 2 2 4" xfId="18767" xr:uid="{00000000-0005-0000-0000-0000FA560000}"/>
    <cellStyle name="Currency 38 3 2 2 5" xfId="38943" xr:uid="{00000000-0005-0000-0000-0000FB560000}"/>
    <cellStyle name="Currency 38 3 2 3" xfId="18768" xr:uid="{00000000-0005-0000-0000-0000FC560000}"/>
    <cellStyle name="Currency 38 3 2 3 2" xfId="18769" xr:uid="{00000000-0005-0000-0000-0000FD560000}"/>
    <cellStyle name="Currency 38 3 2 4" xfId="18770" xr:uid="{00000000-0005-0000-0000-0000FE560000}"/>
    <cellStyle name="Currency 38 3 2 5" xfId="18771" xr:uid="{00000000-0005-0000-0000-0000FF560000}"/>
    <cellStyle name="Currency 38 3 2 6" xfId="38942" xr:uid="{00000000-0005-0000-0000-000000570000}"/>
    <cellStyle name="Currency 38 3 3" xfId="18772" xr:uid="{00000000-0005-0000-0000-000001570000}"/>
    <cellStyle name="Currency 38 3 3 2" xfId="18773" xr:uid="{00000000-0005-0000-0000-000002570000}"/>
    <cellStyle name="Currency 38 3 3 2 2" xfId="18774" xr:uid="{00000000-0005-0000-0000-000003570000}"/>
    <cellStyle name="Currency 38 3 3 2 2 2" xfId="18775" xr:uid="{00000000-0005-0000-0000-000004570000}"/>
    <cellStyle name="Currency 38 3 3 2 3" xfId="18776" xr:uid="{00000000-0005-0000-0000-000005570000}"/>
    <cellStyle name="Currency 38 3 3 2 4" xfId="18777" xr:uid="{00000000-0005-0000-0000-000006570000}"/>
    <cellStyle name="Currency 38 3 3 2 5" xfId="38945" xr:uid="{00000000-0005-0000-0000-000007570000}"/>
    <cellStyle name="Currency 38 3 3 3" xfId="18778" xr:uid="{00000000-0005-0000-0000-000008570000}"/>
    <cellStyle name="Currency 38 3 3 3 2" xfId="18779" xr:uid="{00000000-0005-0000-0000-000009570000}"/>
    <cellStyle name="Currency 38 3 3 4" xfId="18780" xr:uid="{00000000-0005-0000-0000-00000A570000}"/>
    <cellStyle name="Currency 38 3 3 5" xfId="18781" xr:uid="{00000000-0005-0000-0000-00000B570000}"/>
    <cellStyle name="Currency 38 3 3 6" xfId="38944" xr:uid="{00000000-0005-0000-0000-00000C570000}"/>
    <cellStyle name="Currency 38 3 4" xfId="18782" xr:uid="{00000000-0005-0000-0000-00000D570000}"/>
    <cellStyle name="Currency 38 3 4 2" xfId="18783" xr:uid="{00000000-0005-0000-0000-00000E570000}"/>
    <cellStyle name="Currency 38 3 4 2 2" xfId="18784" xr:uid="{00000000-0005-0000-0000-00000F570000}"/>
    <cellStyle name="Currency 38 3 4 3" xfId="18785" xr:uid="{00000000-0005-0000-0000-000010570000}"/>
    <cellStyle name="Currency 38 3 4 4" xfId="18786" xr:uid="{00000000-0005-0000-0000-000011570000}"/>
    <cellStyle name="Currency 38 3 4 5" xfId="38946" xr:uid="{00000000-0005-0000-0000-000012570000}"/>
    <cellStyle name="Currency 38 3 5" xfId="18787" xr:uid="{00000000-0005-0000-0000-000013570000}"/>
    <cellStyle name="Currency 38 3 5 2" xfId="18788" xr:uid="{00000000-0005-0000-0000-000014570000}"/>
    <cellStyle name="Currency 38 3 5 2 2" xfId="18789" xr:uid="{00000000-0005-0000-0000-000015570000}"/>
    <cellStyle name="Currency 38 3 5 3" xfId="18790" xr:uid="{00000000-0005-0000-0000-000016570000}"/>
    <cellStyle name="Currency 38 3 5 4" xfId="18791" xr:uid="{00000000-0005-0000-0000-000017570000}"/>
    <cellStyle name="Currency 38 3 6" xfId="18792" xr:uid="{00000000-0005-0000-0000-000018570000}"/>
    <cellStyle name="Currency 38 3 6 2" xfId="18793" xr:uid="{00000000-0005-0000-0000-000019570000}"/>
    <cellStyle name="Currency 38 3 6 2 2" xfId="18794" xr:uid="{00000000-0005-0000-0000-00001A570000}"/>
    <cellStyle name="Currency 38 3 6 3" xfId="18795" xr:uid="{00000000-0005-0000-0000-00001B570000}"/>
    <cellStyle name="Currency 38 3 6 4" xfId="18796" xr:uid="{00000000-0005-0000-0000-00001C570000}"/>
    <cellStyle name="Currency 38 3 7" xfId="18797" xr:uid="{00000000-0005-0000-0000-00001D570000}"/>
    <cellStyle name="Currency 38 3 7 2" xfId="18798" xr:uid="{00000000-0005-0000-0000-00001E570000}"/>
    <cellStyle name="Currency 38 3 8" xfId="18799" xr:uid="{00000000-0005-0000-0000-00001F570000}"/>
    <cellStyle name="Currency 38 3 9" xfId="18800" xr:uid="{00000000-0005-0000-0000-000020570000}"/>
    <cellStyle name="Currency 38 4" xfId="18801" xr:uid="{00000000-0005-0000-0000-000021570000}"/>
    <cellStyle name="Currency 38 4 2" xfId="18802" xr:uid="{00000000-0005-0000-0000-000022570000}"/>
    <cellStyle name="Currency 38 4 2 2" xfId="18803" xr:uid="{00000000-0005-0000-0000-000023570000}"/>
    <cellStyle name="Currency 38 4 2 2 2" xfId="18804" xr:uid="{00000000-0005-0000-0000-000024570000}"/>
    <cellStyle name="Currency 38 4 2 3" xfId="18805" xr:uid="{00000000-0005-0000-0000-000025570000}"/>
    <cellStyle name="Currency 38 4 2 4" xfId="18806" xr:uid="{00000000-0005-0000-0000-000026570000}"/>
    <cellStyle name="Currency 38 4 2 5" xfId="38948" xr:uid="{00000000-0005-0000-0000-000027570000}"/>
    <cellStyle name="Currency 38 4 3" xfId="18807" xr:uid="{00000000-0005-0000-0000-000028570000}"/>
    <cellStyle name="Currency 38 4 3 2" xfId="18808" xr:uid="{00000000-0005-0000-0000-000029570000}"/>
    <cellStyle name="Currency 38 4 4" xfId="18809" xr:uid="{00000000-0005-0000-0000-00002A570000}"/>
    <cellStyle name="Currency 38 4 5" xfId="18810" xr:uid="{00000000-0005-0000-0000-00002B570000}"/>
    <cellStyle name="Currency 38 4 6" xfId="38947" xr:uid="{00000000-0005-0000-0000-00002C570000}"/>
    <cellStyle name="Currency 38 5" xfId="18811" xr:uid="{00000000-0005-0000-0000-00002D570000}"/>
    <cellStyle name="Currency 38 5 2" xfId="18812" xr:uid="{00000000-0005-0000-0000-00002E570000}"/>
    <cellStyle name="Currency 38 5 2 2" xfId="18813" xr:uid="{00000000-0005-0000-0000-00002F570000}"/>
    <cellStyle name="Currency 38 5 2 2 2" xfId="18814" xr:uid="{00000000-0005-0000-0000-000030570000}"/>
    <cellStyle name="Currency 38 5 2 3" xfId="18815" xr:uid="{00000000-0005-0000-0000-000031570000}"/>
    <cellStyle name="Currency 38 5 2 4" xfId="18816" xr:uid="{00000000-0005-0000-0000-000032570000}"/>
    <cellStyle name="Currency 38 5 2 5" xfId="38950" xr:uid="{00000000-0005-0000-0000-000033570000}"/>
    <cellStyle name="Currency 38 5 3" xfId="18817" xr:uid="{00000000-0005-0000-0000-000034570000}"/>
    <cellStyle name="Currency 38 5 3 2" xfId="18818" xr:uid="{00000000-0005-0000-0000-000035570000}"/>
    <cellStyle name="Currency 38 5 4" xfId="18819" xr:uid="{00000000-0005-0000-0000-000036570000}"/>
    <cellStyle name="Currency 38 5 5" xfId="18820" xr:uid="{00000000-0005-0000-0000-000037570000}"/>
    <cellStyle name="Currency 38 5 6" xfId="38949" xr:uid="{00000000-0005-0000-0000-000038570000}"/>
    <cellStyle name="Currency 38 6" xfId="18821" xr:uid="{00000000-0005-0000-0000-000039570000}"/>
    <cellStyle name="Currency 38 6 2" xfId="18822" xr:uid="{00000000-0005-0000-0000-00003A570000}"/>
    <cellStyle name="Currency 38 6 2 2" xfId="18823" xr:uid="{00000000-0005-0000-0000-00003B570000}"/>
    <cellStyle name="Currency 38 6 3" xfId="18824" xr:uid="{00000000-0005-0000-0000-00003C570000}"/>
    <cellStyle name="Currency 38 6 4" xfId="18825" xr:uid="{00000000-0005-0000-0000-00003D570000}"/>
    <cellStyle name="Currency 38 6 5" xfId="38951" xr:uid="{00000000-0005-0000-0000-00003E570000}"/>
    <cellStyle name="Currency 38 7" xfId="18826" xr:uid="{00000000-0005-0000-0000-00003F570000}"/>
    <cellStyle name="Currency 38 7 2" xfId="18827" xr:uid="{00000000-0005-0000-0000-000040570000}"/>
    <cellStyle name="Currency 38 7 2 2" xfId="18828" xr:uid="{00000000-0005-0000-0000-000041570000}"/>
    <cellStyle name="Currency 38 7 3" xfId="18829" xr:uid="{00000000-0005-0000-0000-000042570000}"/>
    <cellStyle name="Currency 38 7 4" xfId="18830" xr:uid="{00000000-0005-0000-0000-000043570000}"/>
    <cellStyle name="Currency 38 8" xfId="18831" xr:uid="{00000000-0005-0000-0000-000044570000}"/>
    <cellStyle name="Currency 38 8 2" xfId="18832" xr:uid="{00000000-0005-0000-0000-000045570000}"/>
    <cellStyle name="Currency 38 8 2 2" xfId="18833" xr:uid="{00000000-0005-0000-0000-000046570000}"/>
    <cellStyle name="Currency 38 8 3" xfId="18834" xr:uid="{00000000-0005-0000-0000-000047570000}"/>
    <cellStyle name="Currency 38 8 4" xfId="18835" xr:uid="{00000000-0005-0000-0000-000048570000}"/>
    <cellStyle name="Currency 38 9" xfId="18836" xr:uid="{00000000-0005-0000-0000-000049570000}"/>
    <cellStyle name="Currency 38 9 2" xfId="18837" xr:uid="{00000000-0005-0000-0000-00004A570000}"/>
    <cellStyle name="Currency 39" xfId="18838" xr:uid="{00000000-0005-0000-0000-00004B570000}"/>
    <cellStyle name="Currency 39 10" xfId="18839" xr:uid="{00000000-0005-0000-0000-00004C570000}"/>
    <cellStyle name="Currency 39 11" xfId="18840" xr:uid="{00000000-0005-0000-0000-00004D570000}"/>
    <cellStyle name="Currency 39 12" xfId="35086" xr:uid="{00000000-0005-0000-0000-00004E570000}"/>
    <cellStyle name="Currency 39 2" xfId="18841" xr:uid="{00000000-0005-0000-0000-00004F570000}"/>
    <cellStyle name="Currency 39 2 10" xfId="18842" xr:uid="{00000000-0005-0000-0000-000050570000}"/>
    <cellStyle name="Currency 39 2 11" xfId="35087" xr:uid="{00000000-0005-0000-0000-000051570000}"/>
    <cellStyle name="Currency 39 2 2" xfId="18843" xr:uid="{00000000-0005-0000-0000-000052570000}"/>
    <cellStyle name="Currency 39 2 2 10" xfId="35088" xr:uid="{00000000-0005-0000-0000-000053570000}"/>
    <cellStyle name="Currency 39 2 2 2" xfId="18844" xr:uid="{00000000-0005-0000-0000-000054570000}"/>
    <cellStyle name="Currency 39 2 2 2 2" xfId="18845" xr:uid="{00000000-0005-0000-0000-000055570000}"/>
    <cellStyle name="Currency 39 2 2 2 2 2" xfId="18846" xr:uid="{00000000-0005-0000-0000-000056570000}"/>
    <cellStyle name="Currency 39 2 2 2 2 2 2" xfId="18847" xr:uid="{00000000-0005-0000-0000-000057570000}"/>
    <cellStyle name="Currency 39 2 2 2 2 3" xfId="18848" xr:uid="{00000000-0005-0000-0000-000058570000}"/>
    <cellStyle name="Currency 39 2 2 2 2 4" xfId="18849" xr:uid="{00000000-0005-0000-0000-000059570000}"/>
    <cellStyle name="Currency 39 2 2 2 2 5" xfId="38953" xr:uid="{00000000-0005-0000-0000-00005A570000}"/>
    <cellStyle name="Currency 39 2 2 2 3" xfId="18850" xr:uid="{00000000-0005-0000-0000-00005B570000}"/>
    <cellStyle name="Currency 39 2 2 2 3 2" xfId="18851" xr:uid="{00000000-0005-0000-0000-00005C570000}"/>
    <cellStyle name="Currency 39 2 2 2 4" xfId="18852" xr:uid="{00000000-0005-0000-0000-00005D570000}"/>
    <cellStyle name="Currency 39 2 2 2 5" xfId="18853" xr:uid="{00000000-0005-0000-0000-00005E570000}"/>
    <cellStyle name="Currency 39 2 2 2 6" xfId="38952" xr:uid="{00000000-0005-0000-0000-00005F570000}"/>
    <cellStyle name="Currency 39 2 2 3" xfId="18854" xr:uid="{00000000-0005-0000-0000-000060570000}"/>
    <cellStyle name="Currency 39 2 2 3 2" xfId="18855" xr:uid="{00000000-0005-0000-0000-000061570000}"/>
    <cellStyle name="Currency 39 2 2 3 2 2" xfId="18856" xr:uid="{00000000-0005-0000-0000-000062570000}"/>
    <cellStyle name="Currency 39 2 2 3 2 2 2" xfId="18857" xr:uid="{00000000-0005-0000-0000-000063570000}"/>
    <cellStyle name="Currency 39 2 2 3 2 3" xfId="18858" xr:uid="{00000000-0005-0000-0000-000064570000}"/>
    <cellStyle name="Currency 39 2 2 3 2 4" xfId="18859" xr:uid="{00000000-0005-0000-0000-000065570000}"/>
    <cellStyle name="Currency 39 2 2 3 2 5" xfId="38955" xr:uid="{00000000-0005-0000-0000-000066570000}"/>
    <cellStyle name="Currency 39 2 2 3 3" xfId="18860" xr:uid="{00000000-0005-0000-0000-000067570000}"/>
    <cellStyle name="Currency 39 2 2 3 3 2" xfId="18861" xr:uid="{00000000-0005-0000-0000-000068570000}"/>
    <cellStyle name="Currency 39 2 2 3 4" xfId="18862" xr:uid="{00000000-0005-0000-0000-000069570000}"/>
    <cellStyle name="Currency 39 2 2 3 5" xfId="18863" xr:uid="{00000000-0005-0000-0000-00006A570000}"/>
    <cellStyle name="Currency 39 2 2 3 6" xfId="38954" xr:uid="{00000000-0005-0000-0000-00006B570000}"/>
    <cellStyle name="Currency 39 2 2 4" xfId="18864" xr:uid="{00000000-0005-0000-0000-00006C570000}"/>
    <cellStyle name="Currency 39 2 2 4 2" xfId="18865" xr:uid="{00000000-0005-0000-0000-00006D570000}"/>
    <cellStyle name="Currency 39 2 2 4 2 2" xfId="18866" xr:uid="{00000000-0005-0000-0000-00006E570000}"/>
    <cellStyle name="Currency 39 2 2 4 3" xfId="18867" xr:uid="{00000000-0005-0000-0000-00006F570000}"/>
    <cellStyle name="Currency 39 2 2 4 4" xfId="18868" xr:uid="{00000000-0005-0000-0000-000070570000}"/>
    <cellStyle name="Currency 39 2 2 4 5" xfId="38956" xr:uid="{00000000-0005-0000-0000-000071570000}"/>
    <cellStyle name="Currency 39 2 2 5" xfId="18869" xr:uid="{00000000-0005-0000-0000-000072570000}"/>
    <cellStyle name="Currency 39 2 2 5 2" xfId="18870" xr:uid="{00000000-0005-0000-0000-000073570000}"/>
    <cellStyle name="Currency 39 2 2 5 2 2" xfId="18871" xr:uid="{00000000-0005-0000-0000-000074570000}"/>
    <cellStyle name="Currency 39 2 2 5 3" xfId="18872" xr:uid="{00000000-0005-0000-0000-000075570000}"/>
    <cellStyle name="Currency 39 2 2 5 4" xfId="18873" xr:uid="{00000000-0005-0000-0000-000076570000}"/>
    <cellStyle name="Currency 39 2 2 6" xfId="18874" xr:uid="{00000000-0005-0000-0000-000077570000}"/>
    <cellStyle name="Currency 39 2 2 6 2" xfId="18875" xr:uid="{00000000-0005-0000-0000-000078570000}"/>
    <cellStyle name="Currency 39 2 2 6 2 2" xfId="18876" xr:uid="{00000000-0005-0000-0000-000079570000}"/>
    <cellStyle name="Currency 39 2 2 6 3" xfId="18877" xr:uid="{00000000-0005-0000-0000-00007A570000}"/>
    <cellStyle name="Currency 39 2 2 6 4" xfId="18878" xr:uid="{00000000-0005-0000-0000-00007B570000}"/>
    <cellStyle name="Currency 39 2 2 7" xfId="18879" xr:uid="{00000000-0005-0000-0000-00007C570000}"/>
    <cellStyle name="Currency 39 2 2 7 2" xfId="18880" xr:uid="{00000000-0005-0000-0000-00007D570000}"/>
    <cellStyle name="Currency 39 2 2 8" xfId="18881" xr:uid="{00000000-0005-0000-0000-00007E570000}"/>
    <cellStyle name="Currency 39 2 2 9" xfId="18882" xr:uid="{00000000-0005-0000-0000-00007F570000}"/>
    <cellStyle name="Currency 39 2 3" xfId="18883" xr:uid="{00000000-0005-0000-0000-000080570000}"/>
    <cellStyle name="Currency 39 2 3 2" xfId="18884" xr:uid="{00000000-0005-0000-0000-000081570000}"/>
    <cellStyle name="Currency 39 2 3 2 2" xfId="18885" xr:uid="{00000000-0005-0000-0000-000082570000}"/>
    <cellStyle name="Currency 39 2 3 2 2 2" xfId="18886" xr:uid="{00000000-0005-0000-0000-000083570000}"/>
    <cellStyle name="Currency 39 2 3 2 3" xfId="18887" xr:uid="{00000000-0005-0000-0000-000084570000}"/>
    <cellStyle name="Currency 39 2 3 2 4" xfId="18888" xr:uid="{00000000-0005-0000-0000-000085570000}"/>
    <cellStyle name="Currency 39 2 3 2 5" xfId="38958" xr:uid="{00000000-0005-0000-0000-000086570000}"/>
    <cellStyle name="Currency 39 2 3 3" xfId="18889" xr:uid="{00000000-0005-0000-0000-000087570000}"/>
    <cellStyle name="Currency 39 2 3 3 2" xfId="18890" xr:uid="{00000000-0005-0000-0000-000088570000}"/>
    <cellStyle name="Currency 39 2 3 4" xfId="18891" xr:uid="{00000000-0005-0000-0000-000089570000}"/>
    <cellStyle name="Currency 39 2 3 5" xfId="18892" xr:uid="{00000000-0005-0000-0000-00008A570000}"/>
    <cellStyle name="Currency 39 2 3 6" xfId="38957" xr:uid="{00000000-0005-0000-0000-00008B570000}"/>
    <cellStyle name="Currency 39 2 4" xfId="18893" xr:uid="{00000000-0005-0000-0000-00008C570000}"/>
    <cellStyle name="Currency 39 2 4 2" xfId="18894" xr:uid="{00000000-0005-0000-0000-00008D570000}"/>
    <cellStyle name="Currency 39 2 4 2 2" xfId="18895" xr:uid="{00000000-0005-0000-0000-00008E570000}"/>
    <cellStyle name="Currency 39 2 4 2 2 2" xfId="18896" xr:uid="{00000000-0005-0000-0000-00008F570000}"/>
    <cellStyle name="Currency 39 2 4 2 3" xfId="18897" xr:uid="{00000000-0005-0000-0000-000090570000}"/>
    <cellStyle name="Currency 39 2 4 2 4" xfId="18898" xr:uid="{00000000-0005-0000-0000-000091570000}"/>
    <cellStyle name="Currency 39 2 4 2 5" xfId="38960" xr:uid="{00000000-0005-0000-0000-000092570000}"/>
    <cellStyle name="Currency 39 2 4 3" xfId="18899" xr:uid="{00000000-0005-0000-0000-000093570000}"/>
    <cellStyle name="Currency 39 2 4 3 2" xfId="18900" xr:uid="{00000000-0005-0000-0000-000094570000}"/>
    <cellStyle name="Currency 39 2 4 4" xfId="18901" xr:uid="{00000000-0005-0000-0000-000095570000}"/>
    <cellStyle name="Currency 39 2 4 5" xfId="18902" xr:uid="{00000000-0005-0000-0000-000096570000}"/>
    <cellStyle name="Currency 39 2 4 6" xfId="38959" xr:uid="{00000000-0005-0000-0000-000097570000}"/>
    <cellStyle name="Currency 39 2 5" xfId="18903" xr:uid="{00000000-0005-0000-0000-000098570000}"/>
    <cellStyle name="Currency 39 2 5 2" xfId="18904" xr:uid="{00000000-0005-0000-0000-000099570000}"/>
    <cellStyle name="Currency 39 2 5 2 2" xfId="18905" xr:uid="{00000000-0005-0000-0000-00009A570000}"/>
    <cellStyle name="Currency 39 2 5 3" xfId="18906" xr:uid="{00000000-0005-0000-0000-00009B570000}"/>
    <cellStyle name="Currency 39 2 5 4" xfId="18907" xr:uid="{00000000-0005-0000-0000-00009C570000}"/>
    <cellStyle name="Currency 39 2 5 5" xfId="38961" xr:uid="{00000000-0005-0000-0000-00009D570000}"/>
    <cellStyle name="Currency 39 2 6" xfId="18908" xr:uid="{00000000-0005-0000-0000-00009E570000}"/>
    <cellStyle name="Currency 39 2 6 2" xfId="18909" xr:uid="{00000000-0005-0000-0000-00009F570000}"/>
    <cellStyle name="Currency 39 2 6 2 2" xfId="18910" xr:uid="{00000000-0005-0000-0000-0000A0570000}"/>
    <cellStyle name="Currency 39 2 6 3" xfId="18911" xr:uid="{00000000-0005-0000-0000-0000A1570000}"/>
    <cellStyle name="Currency 39 2 6 4" xfId="18912" xr:uid="{00000000-0005-0000-0000-0000A2570000}"/>
    <cellStyle name="Currency 39 2 7" xfId="18913" xr:uid="{00000000-0005-0000-0000-0000A3570000}"/>
    <cellStyle name="Currency 39 2 7 2" xfId="18914" xr:uid="{00000000-0005-0000-0000-0000A4570000}"/>
    <cellStyle name="Currency 39 2 7 2 2" xfId="18915" xr:uid="{00000000-0005-0000-0000-0000A5570000}"/>
    <cellStyle name="Currency 39 2 7 3" xfId="18916" xr:uid="{00000000-0005-0000-0000-0000A6570000}"/>
    <cellStyle name="Currency 39 2 7 4" xfId="18917" xr:uid="{00000000-0005-0000-0000-0000A7570000}"/>
    <cellStyle name="Currency 39 2 8" xfId="18918" xr:uid="{00000000-0005-0000-0000-0000A8570000}"/>
    <cellStyle name="Currency 39 2 8 2" xfId="18919" xr:uid="{00000000-0005-0000-0000-0000A9570000}"/>
    <cellStyle name="Currency 39 2 9" xfId="18920" xr:uid="{00000000-0005-0000-0000-0000AA570000}"/>
    <cellStyle name="Currency 39 3" xfId="18921" xr:uid="{00000000-0005-0000-0000-0000AB570000}"/>
    <cellStyle name="Currency 39 3 10" xfId="35089" xr:uid="{00000000-0005-0000-0000-0000AC570000}"/>
    <cellStyle name="Currency 39 3 2" xfId="18922" xr:uid="{00000000-0005-0000-0000-0000AD570000}"/>
    <cellStyle name="Currency 39 3 2 2" xfId="18923" xr:uid="{00000000-0005-0000-0000-0000AE570000}"/>
    <cellStyle name="Currency 39 3 2 2 2" xfId="18924" xr:uid="{00000000-0005-0000-0000-0000AF570000}"/>
    <cellStyle name="Currency 39 3 2 2 2 2" xfId="18925" xr:uid="{00000000-0005-0000-0000-0000B0570000}"/>
    <cellStyle name="Currency 39 3 2 2 3" xfId="18926" xr:uid="{00000000-0005-0000-0000-0000B1570000}"/>
    <cellStyle name="Currency 39 3 2 2 4" xfId="18927" xr:uid="{00000000-0005-0000-0000-0000B2570000}"/>
    <cellStyle name="Currency 39 3 2 2 5" xfId="38963" xr:uid="{00000000-0005-0000-0000-0000B3570000}"/>
    <cellStyle name="Currency 39 3 2 3" xfId="18928" xr:uid="{00000000-0005-0000-0000-0000B4570000}"/>
    <cellStyle name="Currency 39 3 2 3 2" xfId="18929" xr:uid="{00000000-0005-0000-0000-0000B5570000}"/>
    <cellStyle name="Currency 39 3 2 4" xfId="18930" xr:uid="{00000000-0005-0000-0000-0000B6570000}"/>
    <cellStyle name="Currency 39 3 2 5" xfId="18931" xr:uid="{00000000-0005-0000-0000-0000B7570000}"/>
    <cellStyle name="Currency 39 3 2 6" xfId="38962" xr:uid="{00000000-0005-0000-0000-0000B8570000}"/>
    <cellStyle name="Currency 39 3 3" xfId="18932" xr:uid="{00000000-0005-0000-0000-0000B9570000}"/>
    <cellStyle name="Currency 39 3 3 2" xfId="18933" xr:uid="{00000000-0005-0000-0000-0000BA570000}"/>
    <cellStyle name="Currency 39 3 3 2 2" xfId="18934" xr:uid="{00000000-0005-0000-0000-0000BB570000}"/>
    <cellStyle name="Currency 39 3 3 2 2 2" xfId="18935" xr:uid="{00000000-0005-0000-0000-0000BC570000}"/>
    <cellStyle name="Currency 39 3 3 2 3" xfId="18936" xr:uid="{00000000-0005-0000-0000-0000BD570000}"/>
    <cellStyle name="Currency 39 3 3 2 4" xfId="18937" xr:uid="{00000000-0005-0000-0000-0000BE570000}"/>
    <cellStyle name="Currency 39 3 3 2 5" xfId="38965" xr:uid="{00000000-0005-0000-0000-0000BF570000}"/>
    <cellStyle name="Currency 39 3 3 3" xfId="18938" xr:uid="{00000000-0005-0000-0000-0000C0570000}"/>
    <cellStyle name="Currency 39 3 3 3 2" xfId="18939" xr:uid="{00000000-0005-0000-0000-0000C1570000}"/>
    <cellStyle name="Currency 39 3 3 4" xfId="18940" xr:uid="{00000000-0005-0000-0000-0000C2570000}"/>
    <cellStyle name="Currency 39 3 3 5" xfId="18941" xr:uid="{00000000-0005-0000-0000-0000C3570000}"/>
    <cellStyle name="Currency 39 3 3 6" xfId="38964" xr:uid="{00000000-0005-0000-0000-0000C4570000}"/>
    <cellStyle name="Currency 39 3 4" xfId="18942" xr:uid="{00000000-0005-0000-0000-0000C5570000}"/>
    <cellStyle name="Currency 39 3 4 2" xfId="18943" xr:uid="{00000000-0005-0000-0000-0000C6570000}"/>
    <cellStyle name="Currency 39 3 4 2 2" xfId="18944" xr:uid="{00000000-0005-0000-0000-0000C7570000}"/>
    <cellStyle name="Currency 39 3 4 3" xfId="18945" xr:uid="{00000000-0005-0000-0000-0000C8570000}"/>
    <cellStyle name="Currency 39 3 4 4" xfId="18946" xr:uid="{00000000-0005-0000-0000-0000C9570000}"/>
    <cellStyle name="Currency 39 3 4 5" xfId="38966" xr:uid="{00000000-0005-0000-0000-0000CA570000}"/>
    <cellStyle name="Currency 39 3 5" xfId="18947" xr:uid="{00000000-0005-0000-0000-0000CB570000}"/>
    <cellStyle name="Currency 39 3 5 2" xfId="18948" xr:uid="{00000000-0005-0000-0000-0000CC570000}"/>
    <cellStyle name="Currency 39 3 5 2 2" xfId="18949" xr:uid="{00000000-0005-0000-0000-0000CD570000}"/>
    <cellStyle name="Currency 39 3 5 3" xfId="18950" xr:uid="{00000000-0005-0000-0000-0000CE570000}"/>
    <cellStyle name="Currency 39 3 5 4" xfId="18951" xr:uid="{00000000-0005-0000-0000-0000CF570000}"/>
    <cellStyle name="Currency 39 3 6" xfId="18952" xr:uid="{00000000-0005-0000-0000-0000D0570000}"/>
    <cellStyle name="Currency 39 3 6 2" xfId="18953" xr:uid="{00000000-0005-0000-0000-0000D1570000}"/>
    <cellStyle name="Currency 39 3 6 2 2" xfId="18954" xr:uid="{00000000-0005-0000-0000-0000D2570000}"/>
    <cellStyle name="Currency 39 3 6 3" xfId="18955" xr:uid="{00000000-0005-0000-0000-0000D3570000}"/>
    <cellStyle name="Currency 39 3 6 4" xfId="18956" xr:uid="{00000000-0005-0000-0000-0000D4570000}"/>
    <cellStyle name="Currency 39 3 7" xfId="18957" xr:uid="{00000000-0005-0000-0000-0000D5570000}"/>
    <cellStyle name="Currency 39 3 7 2" xfId="18958" xr:uid="{00000000-0005-0000-0000-0000D6570000}"/>
    <cellStyle name="Currency 39 3 8" xfId="18959" xr:uid="{00000000-0005-0000-0000-0000D7570000}"/>
    <cellStyle name="Currency 39 3 9" xfId="18960" xr:uid="{00000000-0005-0000-0000-0000D8570000}"/>
    <cellStyle name="Currency 39 4" xfId="18961" xr:uid="{00000000-0005-0000-0000-0000D9570000}"/>
    <cellStyle name="Currency 39 4 2" xfId="18962" xr:uid="{00000000-0005-0000-0000-0000DA570000}"/>
    <cellStyle name="Currency 39 4 2 2" xfId="18963" xr:uid="{00000000-0005-0000-0000-0000DB570000}"/>
    <cellStyle name="Currency 39 4 2 2 2" xfId="18964" xr:uid="{00000000-0005-0000-0000-0000DC570000}"/>
    <cellStyle name="Currency 39 4 2 3" xfId="18965" xr:uid="{00000000-0005-0000-0000-0000DD570000}"/>
    <cellStyle name="Currency 39 4 2 4" xfId="18966" xr:uid="{00000000-0005-0000-0000-0000DE570000}"/>
    <cellStyle name="Currency 39 4 2 5" xfId="38968" xr:uid="{00000000-0005-0000-0000-0000DF570000}"/>
    <cellStyle name="Currency 39 4 3" xfId="18967" xr:uid="{00000000-0005-0000-0000-0000E0570000}"/>
    <cellStyle name="Currency 39 4 3 2" xfId="18968" xr:uid="{00000000-0005-0000-0000-0000E1570000}"/>
    <cellStyle name="Currency 39 4 4" xfId="18969" xr:uid="{00000000-0005-0000-0000-0000E2570000}"/>
    <cellStyle name="Currency 39 4 5" xfId="18970" xr:uid="{00000000-0005-0000-0000-0000E3570000}"/>
    <cellStyle name="Currency 39 4 6" xfId="38967" xr:uid="{00000000-0005-0000-0000-0000E4570000}"/>
    <cellStyle name="Currency 39 5" xfId="18971" xr:uid="{00000000-0005-0000-0000-0000E5570000}"/>
    <cellStyle name="Currency 39 5 2" xfId="18972" xr:uid="{00000000-0005-0000-0000-0000E6570000}"/>
    <cellStyle name="Currency 39 5 2 2" xfId="18973" xr:uid="{00000000-0005-0000-0000-0000E7570000}"/>
    <cellStyle name="Currency 39 5 2 2 2" xfId="18974" xr:uid="{00000000-0005-0000-0000-0000E8570000}"/>
    <cellStyle name="Currency 39 5 2 3" xfId="18975" xr:uid="{00000000-0005-0000-0000-0000E9570000}"/>
    <cellStyle name="Currency 39 5 2 4" xfId="18976" xr:uid="{00000000-0005-0000-0000-0000EA570000}"/>
    <cellStyle name="Currency 39 5 2 5" xfId="38970" xr:uid="{00000000-0005-0000-0000-0000EB570000}"/>
    <cellStyle name="Currency 39 5 3" xfId="18977" xr:uid="{00000000-0005-0000-0000-0000EC570000}"/>
    <cellStyle name="Currency 39 5 3 2" xfId="18978" xr:uid="{00000000-0005-0000-0000-0000ED570000}"/>
    <cellStyle name="Currency 39 5 4" xfId="18979" xr:uid="{00000000-0005-0000-0000-0000EE570000}"/>
    <cellStyle name="Currency 39 5 5" xfId="18980" xr:uid="{00000000-0005-0000-0000-0000EF570000}"/>
    <cellStyle name="Currency 39 5 6" xfId="38969" xr:uid="{00000000-0005-0000-0000-0000F0570000}"/>
    <cellStyle name="Currency 39 6" xfId="18981" xr:uid="{00000000-0005-0000-0000-0000F1570000}"/>
    <cellStyle name="Currency 39 6 2" xfId="18982" xr:uid="{00000000-0005-0000-0000-0000F2570000}"/>
    <cellStyle name="Currency 39 6 2 2" xfId="18983" xr:uid="{00000000-0005-0000-0000-0000F3570000}"/>
    <cellStyle name="Currency 39 6 3" xfId="18984" xr:uid="{00000000-0005-0000-0000-0000F4570000}"/>
    <cellStyle name="Currency 39 6 4" xfId="18985" xr:uid="{00000000-0005-0000-0000-0000F5570000}"/>
    <cellStyle name="Currency 39 6 5" xfId="38971" xr:uid="{00000000-0005-0000-0000-0000F6570000}"/>
    <cellStyle name="Currency 39 7" xfId="18986" xr:uid="{00000000-0005-0000-0000-0000F7570000}"/>
    <cellStyle name="Currency 39 7 2" xfId="18987" xr:uid="{00000000-0005-0000-0000-0000F8570000}"/>
    <cellStyle name="Currency 39 7 2 2" xfId="18988" xr:uid="{00000000-0005-0000-0000-0000F9570000}"/>
    <cellStyle name="Currency 39 7 3" xfId="18989" xr:uid="{00000000-0005-0000-0000-0000FA570000}"/>
    <cellStyle name="Currency 39 7 4" xfId="18990" xr:uid="{00000000-0005-0000-0000-0000FB570000}"/>
    <cellStyle name="Currency 39 8" xfId="18991" xr:uid="{00000000-0005-0000-0000-0000FC570000}"/>
    <cellStyle name="Currency 39 8 2" xfId="18992" xr:uid="{00000000-0005-0000-0000-0000FD570000}"/>
    <cellStyle name="Currency 39 8 2 2" xfId="18993" xr:uid="{00000000-0005-0000-0000-0000FE570000}"/>
    <cellStyle name="Currency 39 8 3" xfId="18994" xr:uid="{00000000-0005-0000-0000-0000FF570000}"/>
    <cellStyle name="Currency 39 8 4" xfId="18995" xr:uid="{00000000-0005-0000-0000-000000580000}"/>
    <cellStyle name="Currency 39 9" xfId="18996" xr:uid="{00000000-0005-0000-0000-000001580000}"/>
    <cellStyle name="Currency 39 9 2" xfId="18997" xr:uid="{00000000-0005-0000-0000-000002580000}"/>
    <cellStyle name="Currency 4" xfId="18998" xr:uid="{00000000-0005-0000-0000-000003580000}"/>
    <cellStyle name="Currency 4 10" xfId="35090" xr:uid="{00000000-0005-0000-0000-000004580000}"/>
    <cellStyle name="Currency 4 11" xfId="41936" xr:uid="{0B7ADA85-CFA5-46A1-9BB9-2B62A02E8A6C}"/>
    <cellStyle name="Currency 4 2" xfId="18999" xr:uid="{00000000-0005-0000-0000-000005580000}"/>
    <cellStyle name="Currency 4 2 2" xfId="19000" xr:uid="{00000000-0005-0000-0000-000006580000}"/>
    <cellStyle name="Currency 4 2 2 10" xfId="35091" xr:uid="{00000000-0005-0000-0000-000007580000}"/>
    <cellStyle name="Currency 4 2 2 2" xfId="19001" xr:uid="{00000000-0005-0000-0000-000008580000}"/>
    <cellStyle name="Currency 4 2 2 2 2" xfId="19002" xr:uid="{00000000-0005-0000-0000-000009580000}"/>
    <cellStyle name="Currency 4 2 2 2 2 2" xfId="19003" xr:uid="{00000000-0005-0000-0000-00000A580000}"/>
    <cellStyle name="Currency 4 2 2 2 2 2 2" xfId="19004" xr:uid="{00000000-0005-0000-0000-00000B580000}"/>
    <cellStyle name="Currency 4 2 2 2 2 3" xfId="19005" xr:uid="{00000000-0005-0000-0000-00000C580000}"/>
    <cellStyle name="Currency 4 2 2 2 2 4" xfId="19006" xr:uid="{00000000-0005-0000-0000-00000D580000}"/>
    <cellStyle name="Currency 4 2 2 2 2 5" xfId="38973" xr:uid="{00000000-0005-0000-0000-00000E580000}"/>
    <cellStyle name="Currency 4 2 2 2 3" xfId="19007" xr:uid="{00000000-0005-0000-0000-00000F580000}"/>
    <cellStyle name="Currency 4 2 2 2 3 2" xfId="19008" xr:uid="{00000000-0005-0000-0000-000010580000}"/>
    <cellStyle name="Currency 4 2 2 2 4" xfId="19009" xr:uid="{00000000-0005-0000-0000-000011580000}"/>
    <cellStyle name="Currency 4 2 2 2 5" xfId="19010" xr:uid="{00000000-0005-0000-0000-000012580000}"/>
    <cellStyle name="Currency 4 2 2 2 6" xfId="38972" xr:uid="{00000000-0005-0000-0000-000013580000}"/>
    <cellStyle name="Currency 4 2 2 3" xfId="19011" xr:uid="{00000000-0005-0000-0000-000014580000}"/>
    <cellStyle name="Currency 4 2 2 3 2" xfId="19012" xr:uid="{00000000-0005-0000-0000-000015580000}"/>
    <cellStyle name="Currency 4 2 2 3 2 2" xfId="19013" xr:uid="{00000000-0005-0000-0000-000016580000}"/>
    <cellStyle name="Currency 4 2 2 3 2 2 2" xfId="19014" xr:uid="{00000000-0005-0000-0000-000017580000}"/>
    <cellStyle name="Currency 4 2 2 3 2 3" xfId="19015" xr:uid="{00000000-0005-0000-0000-000018580000}"/>
    <cellStyle name="Currency 4 2 2 3 2 4" xfId="19016" xr:uid="{00000000-0005-0000-0000-000019580000}"/>
    <cellStyle name="Currency 4 2 2 3 2 5" xfId="38975" xr:uid="{00000000-0005-0000-0000-00001A580000}"/>
    <cellStyle name="Currency 4 2 2 3 3" xfId="19017" xr:uid="{00000000-0005-0000-0000-00001B580000}"/>
    <cellStyle name="Currency 4 2 2 3 3 2" xfId="19018" xr:uid="{00000000-0005-0000-0000-00001C580000}"/>
    <cellStyle name="Currency 4 2 2 3 4" xfId="19019" xr:uid="{00000000-0005-0000-0000-00001D580000}"/>
    <cellStyle name="Currency 4 2 2 3 5" xfId="19020" xr:uid="{00000000-0005-0000-0000-00001E580000}"/>
    <cellStyle name="Currency 4 2 2 3 6" xfId="38974" xr:uid="{00000000-0005-0000-0000-00001F580000}"/>
    <cellStyle name="Currency 4 2 2 4" xfId="19021" xr:uid="{00000000-0005-0000-0000-000020580000}"/>
    <cellStyle name="Currency 4 2 2 4 2" xfId="19022" xr:uid="{00000000-0005-0000-0000-000021580000}"/>
    <cellStyle name="Currency 4 2 2 4 2 2" xfId="19023" xr:uid="{00000000-0005-0000-0000-000022580000}"/>
    <cellStyle name="Currency 4 2 2 4 3" xfId="19024" xr:uid="{00000000-0005-0000-0000-000023580000}"/>
    <cellStyle name="Currency 4 2 2 4 4" xfId="19025" xr:uid="{00000000-0005-0000-0000-000024580000}"/>
    <cellStyle name="Currency 4 2 2 4 5" xfId="38976" xr:uid="{00000000-0005-0000-0000-000025580000}"/>
    <cellStyle name="Currency 4 2 2 5" xfId="19026" xr:uid="{00000000-0005-0000-0000-000026580000}"/>
    <cellStyle name="Currency 4 2 2 5 2" xfId="19027" xr:uid="{00000000-0005-0000-0000-000027580000}"/>
    <cellStyle name="Currency 4 2 2 5 2 2" xfId="19028" xr:uid="{00000000-0005-0000-0000-000028580000}"/>
    <cellStyle name="Currency 4 2 2 5 3" xfId="19029" xr:uid="{00000000-0005-0000-0000-000029580000}"/>
    <cellStyle name="Currency 4 2 2 5 4" xfId="19030" xr:uid="{00000000-0005-0000-0000-00002A580000}"/>
    <cellStyle name="Currency 4 2 2 6" xfId="19031" xr:uid="{00000000-0005-0000-0000-00002B580000}"/>
    <cellStyle name="Currency 4 2 2 6 2" xfId="19032" xr:uid="{00000000-0005-0000-0000-00002C580000}"/>
    <cellStyle name="Currency 4 2 2 6 2 2" xfId="19033" xr:uid="{00000000-0005-0000-0000-00002D580000}"/>
    <cellStyle name="Currency 4 2 2 6 3" xfId="19034" xr:uid="{00000000-0005-0000-0000-00002E580000}"/>
    <cellStyle name="Currency 4 2 2 6 4" xfId="19035" xr:uid="{00000000-0005-0000-0000-00002F580000}"/>
    <cellStyle name="Currency 4 2 2 7" xfId="19036" xr:uid="{00000000-0005-0000-0000-000030580000}"/>
    <cellStyle name="Currency 4 2 2 7 2" xfId="19037" xr:uid="{00000000-0005-0000-0000-000031580000}"/>
    <cellStyle name="Currency 4 2 2 8" xfId="19038" xr:uid="{00000000-0005-0000-0000-000032580000}"/>
    <cellStyle name="Currency 4 2 2 9" xfId="19039" xr:uid="{00000000-0005-0000-0000-000033580000}"/>
    <cellStyle name="Currency 4 2 3" xfId="41937" xr:uid="{4032800D-D47B-44FC-946A-0AF6E8D1C511}"/>
    <cellStyle name="Currency 4 3" xfId="19040" xr:uid="{00000000-0005-0000-0000-000034580000}"/>
    <cellStyle name="Currency 4 4" xfId="19041" xr:uid="{00000000-0005-0000-0000-000035580000}"/>
    <cellStyle name="Currency 4 4 2" xfId="19042" xr:uid="{00000000-0005-0000-0000-000036580000}"/>
    <cellStyle name="Currency 4 5" xfId="19043" xr:uid="{00000000-0005-0000-0000-000037580000}"/>
    <cellStyle name="Currency 4 5 2" xfId="19044" xr:uid="{00000000-0005-0000-0000-000038580000}"/>
    <cellStyle name="Currency 4 5 2 2" xfId="19045" xr:uid="{00000000-0005-0000-0000-000039580000}"/>
    <cellStyle name="Currency 4 5 2 2 2" xfId="19046" xr:uid="{00000000-0005-0000-0000-00003A580000}"/>
    <cellStyle name="Currency 4 5 2 3" xfId="19047" xr:uid="{00000000-0005-0000-0000-00003B580000}"/>
    <cellStyle name="Currency 4 5 2 4" xfId="19048" xr:uid="{00000000-0005-0000-0000-00003C580000}"/>
    <cellStyle name="Currency 4 5 2 5" xfId="38978" xr:uid="{00000000-0005-0000-0000-00003D580000}"/>
    <cellStyle name="Currency 4 5 3" xfId="19049" xr:uid="{00000000-0005-0000-0000-00003E580000}"/>
    <cellStyle name="Currency 4 5 3 2" xfId="19050" xr:uid="{00000000-0005-0000-0000-00003F580000}"/>
    <cellStyle name="Currency 4 5 4" xfId="19051" xr:uid="{00000000-0005-0000-0000-000040580000}"/>
    <cellStyle name="Currency 4 5 5" xfId="19052" xr:uid="{00000000-0005-0000-0000-000041580000}"/>
    <cellStyle name="Currency 4 5 6" xfId="38977" xr:uid="{00000000-0005-0000-0000-000042580000}"/>
    <cellStyle name="Currency 4 6" xfId="19053" xr:uid="{00000000-0005-0000-0000-000043580000}"/>
    <cellStyle name="Currency 4 6 2" xfId="19054" xr:uid="{00000000-0005-0000-0000-000044580000}"/>
    <cellStyle name="Currency 4 6 2 2" xfId="19055" xr:uid="{00000000-0005-0000-0000-000045580000}"/>
    <cellStyle name="Currency 4 6 3" xfId="19056" xr:uid="{00000000-0005-0000-0000-000046580000}"/>
    <cellStyle name="Currency 4 6 4" xfId="19057" xr:uid="{00000000-0005-0000-0000-000047580000}"/>
    <cellStyle name="Currency 4 6 5" xfId="38979" xr:uid="{00000000-0005-0000-0000-000048580000}"/>
    <cellStyle name="Currency 4 7" xfId="19058" xr:uid="{00000000-0005-0000-0000-000049580000}"/>
    <cellStyle name="Currency 4 7 2" xfId="19059" xr:uid="{00000000-0005-0000-0000-00004A580000}"/>
    <cellStyle name="Currency 4 8" xfId="19060" xr:uid="{00000000-0005-0000-0000-00004B580000}"/>
    <cellStyle name="Currency 4 9" xfId="19061" xr:uid="{00000000-0005-0000-0000-00004C580000}"/>
    <cellStyle name="Currency 40" xfId="19062" xr:uid="{00000000-0005-0000-0000-00004D580000}"/>
    <cellStyle name="Currency 40 10" xfId="19063" xr:uid="{00000000-0005-0000-0000-00004E580000}"/>
    <cellStyle name="Currency 40 11" xfId="19064" xr:uid="{00000000-0005-0000-0000-00004F580000}"/>
    <cellStyle name="Currency 40 12" xfId="35092" xr:uid="{00000000-0005-0000-0000-000050580000}"/>
    <cellStyle name="Currency 40 2" xfId="19065" xr:uid="{00000000-0005-0000-0000-000051580000}"/>
    <cellStyle name="Currency 40 2 10" xfId="19066" xr:uid="{00000000-0005-0000-0000-000052580000}"/>
    <cellStyle name="Currency 40 2 11" xfId="35093" xr:uid="{00000000-0005-0000-0000-000053580000}"/>
    <cellStyle name="Currency 40 2 2" xfId="19067" xr:uid="{00000000-0005-0000-0000-000054580000}"/>
    <cellStyle name="Currency 40 2 2 10" xfId="35094" xr:uid="{00000000-0005-0000-0000-000055580000}"/>
    <cellStyle name="Currency 40 2 2 2" xfId="19068" xr:uid="{00000000-0005-0000-0000-000056580000}"/>
    <cellStyle name="Currency 40 2 2 2 2" xfId="19069" xr:uid="{00000000-0005-0000-0000-000057580000}"/>
    <cellStyle name="Currency 40 2 2 2 2 2" xfId="19070" xr:uid="{00000000-0005-0000-0000-000058580000}"/>
    <cellStyle name="Currency 40 2 2 2 2 2 2" xfId="19071" xr:uid="{00000000-0005-0000-0000-000059580000}"/>
    <cellStyle name="Currency 40 2 2 2 2 3" xfId="19072" xr:uid="{00000000-0005-0000-0000-00005A580000}"/>
    <cellStyle name="Currency 40 2 2 2 2 4" xfId="19073" xr:uid="{00000000-0005-0000-0000-00005B580000}"/>
    <cellStyle name="Currency 40 2 2 2 2 5" xfId="38981" xr:uid="{00000000-0005-0000-0000-00005C580000}"/>
    <cellStyle name="Currency 40 2 2 2 3" xfId="19074" xr:uid="{00000000-0005-0000-0000-00005D580000}"/>
    <cellStyle name="Currency 40 2 2 2 3 2" xfId="19075" xr:uid="{00000000-0005-0000-0000-00005E580000}"/>
    <cellStyle name="Currency 40 2 2 2 4" xfId="19076" xr:uid="{00000000-0005-0000-0000-00005F580000}"/>
    <cellStyle name="Currency 40 2 2 2 5" xfId="19077" xr:uid="{00000000-0005-0000-0000-000060580000}"/>
    <cellStyle name="Currency 40 2 2 2 6" xfId="38980" xr:uid="{00000000-0005-0000-0000-000061580000}"/>
    <cellStyle name="Currency 40 2 2 3" xfId="19078" xr:uid="{00000000-0005-0000-0000-000062580000}"/>
    <cellStyle name="Currency 40 2 2 3 2" xfId="19079" xr:uid="{00000000-0005-0000-0000-000063580000}"/>
    <cellStyle name="Currency 40 2 2 3 2 2" xfId="19080" xr:uid="{00000000-0005-0000-0000-000064580000}"/>
    <cellStyle name="Currency 40 2 2 3 2 2 2" xfId="19081" xr:uid="{00000000-0005-0000-0000-000065580000}"/>
    <cellStyle name="Currency 40 2 2 3 2 3" xfId="19082" xr:uid="{00000000-0005-0000-0000-000066580000}"/>
    <cellStyle name="Currency 40 2 2 3 2 4" xfId="19083" xr:uid="{00000000-0005-0000-0000-000067580000}"/>
    <cellStyle name="Currency 40 2 2 3 2 5" xfId="38983" xr:uid="{00000000-0005-0000-0000-000068580000}"/>
    <cellStyle name="Currency 40 2 2 3 3" xfId="19084" xr:uid="{00000000-0005-0000-0000-000069580000}"/>
    <cellStyle name="Currency 40 2 2 3 3 2" xfId="19085" xr:uid="{00000000-0005-0000-0000-00006A580000}"/>
    <cellStyle name="Currency 40 2 2 3 4" xfId="19086" xr:uid="{00000000-0005-0000-0000-00006B580000}"/>
    <cellStyle name="Currency 40 2 2 3 5" xfId="19087" xr:uid="{00000000-0005-0000-0000-00006C580000}"/>
    <cellStyle name="Currency 40 2 2 3 6" xfId="38982" xr:uid="{00000000-0005-0000-0000-00006D580000}"/>
    <cellStyle name="Currency 40 2 2 4" xfId="19088" xr:uid="{00000000-0005-0000-0000-00006E580000}"/>
    <cellStyle name="Currency 40 2 2 4 2" xfId="19089" xr:uid="{00000000-0005-0000-0000-00006F580000}"/>
    <cellStyle name="Currency 40 2 2 4 2 2" xfId="19090" xr:uid="{00000000-0005-0000-0000-000070580000}"/>
    <cellStyle name="Currency 40 2 2 4 3" xfId="19091" xr:uid="{00000000-0005-0000-0000-000071580000}"/>
    <cellStyle name="Currency 40 2 2 4 4" xfId="19092" xr:uid="{00000000-0005-0000-0000-000072580000}"/>
    <cellStyle name="Currency 40 2 2 4 5" xfId="38984" xr:uid="{00000000-0005-0000-0000-000073580000}"/>
    <cellStyle name="Currency 40 2 2 5" xfId="19093" xr:uid="{00000000-0005-0000-0000-000074580000}"/>
    <cellStyle name="Currency 40 2 2 5 2" xfId="19094" xr:uid="{00000000-0005-0000-0000-000075580000}"/>
    <cellStyle name="Currency 40 2 2 5 2 2" xfId="19095" xr:uid="{00000000-0005-0000-0000-000076580000}"/>
    <cellStyle name="Currency 40 2 2 5 3" xfId="19096" xr:uid="{00000000-0005-0000-0000-000077580000}"/>
    <cellStyle name="Currency 40 2 2 5 4" xfId="19097" xr:uid="{00000000-0005-0000-0000-000078580000}"/>
    <cellStyle name="Currency 40 2 2 6" xfId="19098" xr:uid="{00000000-0005-0000-0000-000079580000}"/>
    <cellStyle name="Currency 40 2 2 6 2" xfId="19099" xr:uid="{00000000-0005-0000-0000-00007A580000}"/>
    <cellStyle name="Currency 40 2 2 6 2 2" xfId="19100" xr:uid="{00000000-0005-0000-0000-00007B580000}"/>
    <cellStyle name="Currency 40 2 2 6 3" xfId="19101" xr:uid="{00000000-0005-0000-0000-00007C580000}"/>
    <cellStyle name="Currency 40 2 2 6 4" xfId="19102" xr:uid="{00000000-0005-0000-0000-00007D580000}"/>
    <cellStyle name="Currency 40 2 2 7" xfId="19103" xr:uid="{00000000-0005-0000-0000-00007E580000}"/>
    <cellStyle name="Currency 40 2 2 7 2" xfId="19104" xr:uid="{00000000-0005-0000-0000-00007F580000}"/>
    <cellStyle name="Currency 40 2 2 8" xfId="19105" xr:uid="{00000000-0005-0000-0000-000080580000}"/>
    <cellStyle name="Currency 40 2 2 9" xfId="19106" xr:uid="{00000000-0005-0000-0000-000081580000}"/>
    <cellStyle name="Currency 40 2 3" xfId="19107" xr:uid="{00000000-0005-0000-0000-000082580000}"/>
    <cellStyle name="Currency 40 2 3 2" xfId="19108" xr:uid="{00000000-0005-0000-0000-000083580000}"/>
    <cellStyle name="Currency 40 2 3 2 2" xfId="19109" xr:uid="{00000000-0005-0000-0000-000084580000}"/>
    <cellStyle name="Currency 40 2 3 2 2 2" xfId="19110" xr:uid="{00000000-0005-0000-0000-000085580000}"/>
    <cellStyle name="Currency 40 2 3 2 3" xfId="19111" xr:uid="{00000000-0005-0000-0000-000086580000}"/>
    <cellStyle name="Currency 40 2 3 2 4" xfId="19112" xr:uid="{00000000-0005-0000-0000-000087580000}"/>
    <cellStyle name="Currency 40 2 3 2 5" xfId="38986" xr:uid="{00000000-0005-0000-0000-000088580000}"/>
    <cellStyle name="Currency 40 2 3 3" xfId="19113" xr:uid="{00000000-0005-0000-0000-000089580000}"/>
    <cellStyle name="Currency 40 2 3 3 2" xfId="19114" xr:uid="{00000000-0005-0000-0000-00008A580000}"/>
    <cellStyle name="Currency 40 2 3 4" xfId="19115" xr:uid="{00000000-0005-0000-0000-00008B580000}"/>
    <cellStyle name="Currency 40 2 3 5" xfId="19116" xr:uid="{00000000-0005-0000-0000-00008C580000}"/>
    <cellStyle name="Currency 40 2 3 6" xfId="38985" xr:uid="{00000000-0005-0000-0000-00008D580000}"/>
    <cellStyle name="Currency 40 2 4" xfId="19117" xr:uid="{00000000-0005-0000-0000-00008E580000}"/>
    <cellStyle name="Currency 40 2 4 2" xfId="19118" xr:uid="{00000000-0005-0000-0000-00008F580000}"/>
    <cellStyle name="Currency 40 2 4 2 2" xfId="19119" xr:uid="{00000000-0005-0000-0000-000090580000}"/>
    <cellStyle name="Currency 40 2 4 2 2 2" xfId="19120" xr:uid="{00000000-0005-0000-0000-000091580000}"/>
    <cellStyle name="Currency 40 2 4 2 3" xfId="19121" xr:uid="{00000000-0005-0000-0000-000092580000}"/>
    <cellStyle name="Currency 40 2 4 2 4" xfId="19122" xr:uid="{00000000-0005-0000-0000-000093580000}"/>
    <cellStyle name="Currency 40 2 4 2 5" xfId="38988" xr:uid="{00000000-0005-0000-0000-000094580000}"/>
    <cellStyle name="Currency 40 2 4 3" xfId="19123" xr:uid="{00000000-0005-0000-0000-000095580000}"/>
    <cellStyle name="Currency 40 2 4 3 2" xfId="19124" xr:uid="{00000000-0005-0000-0000-000096580000}"/>
    <cellStyle name="Currency 40 2 4 4" xfId="19125" xr:uid="{00000000-0005-0000-0000-000097580000}"/>
    <cellStyle name="Currency 40 2 4 5" xfId="19126" xr:uid="{00000000-0005-0000-0000-000098580000}"/>
    <cellStyle name="Currency 40 2 4 6" xfId="38987" xr:uid="{00000000-0005-0000-0000-000099580000}"/>
    <cellStyle name="Currency 40 2 5" xfId="19127" xr:uid="{00000000-0005-0000-0000-00009A580000}"/>
    <cellStyle name="Currency 40 2 5 2" xfId="19128" xr:uid="{00000000-0005-0000-0000-00009B580000}"/>
    <cellStyle name="Currency 40 2 5 2 2" xfId="19129" xr:uid="{00000000-0005-0000-0000-00009C580000}"/>
    <cellStyle name="Currency 40 2 5 3" xfId="19130" xr:uid="{00000000-0005-0000-0000-00009D580000}"/>
    <cellStyle name="Currency 40 2 5 4" xfId="19131" xr:uid="{00000000-0005-0000-0000-00009E580000}"/>
    <cellStyle name="Currency 40 2 5 5" xfId="38989" xr:uid="{00000000-0005-0000-0000-00009F580000}"/>
    <cellStyle name="Currency 40 2 6" xfId="19132" xr:uid="{00000000-0005-0000-0000-0000A0580000}"/>
    <cellStyle name="Currency 40 2 6 2" xfId="19133" xr:uid="{00000000-0005-0000-0000-0000A1580000}"/>
    <cellStyle name="Currency 40 2 6 2 2" xfId="19134" xr:uid="{00000000-0005-0000-0000-0000A2580000}"/>
    <cellStyle name="Currency 40 2 6 3" xfId="19135" xr:uid="{00000000-0005-0000-0000-0000A3580000}"/>
    <cellStyle name="Currency 40 2 6 4" xfId="19136" xr:uid="{00000000-0005-0000-0000-0000A4580000}"/>
    <cellStyle name="Currency 40 2 7" xfId="19137" xr:uid="{00000000-0005-0000-0000-0000A5580000}"/>
    <cellStyle name="Currency 40 2 7 2" xfId="19138" xr:uid="{00000000-0005-0000-0000-0000A6580000}"/>
    <cellStyle name="Currency 40 2 7 2 2" xfId="19139" xr:uid="{00000000-0005-0000-0000-0000A7580000}"/>
    <cellStyle name="Currency 40 2 7 3" xfId="19140" xr:uid="{00000000-0005-0000-0000-0000A8580000}"/>
    <cellStyle name="Currency 40 2 7 4" xfId="19141" xr:uid="{00000000-0005-0000-0000-0000A9580000}"/>
    <cellStyle name="Currency 40 2 8" xfId="19142" xr:uid="{00000000-0005-0000-0000-0000AA580000}"/>
    <cellStyle name="Currency 40 2 8 2" xfId="19143" xr:uid="{00000000-0005-0000-0000-0000AB580000}"/>
    <cellStyle name="Currency 40 2 9" xfId="19144" xr:uid="{00000000-0005-0000-0000-0000AC580000}"/>
    <cellStyle name="Currency 40 3" xfId="19145" xr:uid="{00000000-0005-0000-0000-0000AD580000}"/>
    <cellStyle name="Currency 40 3 10" xfId="35095" xr:uid="{00000000-0005-0000-0000-0000AE580000}"/>
    <cellStyle name="Currency 40 3 2" xfId="19146" xr:uid="{00000000-0005-0000-0000-0000AF580000}"/>
    <cellStyle name="Currency 40 3 2 2" xfId="19147" xr:uid="{00000000-0005-0000-0000-0000B0580000}"/>
    <cellStyle name="Currency 40 3 2 2 2" xfId="19148" xr:uid="{00000000-0005-0000-0000-0000B1580000}"/>
    <cellStyle name="Currency 40 3 2 2 2 2" xfId="19149" xr:uid="{00000000-0005-0000-0000-0000B2580000}"/>
    <cellStyle name="Currency 40 3 2 2 3" xfId="19150" xr:uid="{00000000-0005-0000-0000-0000B3580000}"/>
    <cellStyle name="Currency 40 3 2 2 4" xfId="19151" xr:uid="{00000000-0005-0000-0000-0000B4580000}"/>
    <cellStyle name="Currency 40 3 2 2 5" xfId="38991" xr:uid="{00000000-0005-0000-0000-0000B5580000}"/>
    <cellStyle name="Currency 40 3 2 3" xfId="19152" xr:uid="{00000000-0005-0000-0000-0000B6580000}"/>
    <cellStyle name="Currency 40 3 2 3 2" xfId="19153" xr:uid="{00000000-0005-0000-0000-0000B7580000}"/>
    <cellStyle name="Currency 40 3 2 4" xfId="19154" xr:uid="{00000000-0005-0000-0000-0000B8580000}"/>
    <cellStyle name="Currency 40 3 2 5" xfId="19155" xr:uid="{00000000-0005-0000-0000-0000B9580000}"/>
    <cellStyle name="Currency 40 3 2 6" xfId="38990" xr:uid="{00000000-0005-0000-0000-0000BA580000}"/>
    <cellStyle name="Currency 40 3 3" xfId="19156" xr:uid="{00000000-0005-0000-0000-0000BB580000}"/>
    <cellStyle name="Currency 40 3 3 2" xfId="19157" xr:uid="{00000000-0005-0000-0000-0000BC580000}"/>
    <cellStyle name="Currency 40 3 3 2 2" xfId="19158" xr:uid="{00000000-0005-0000-0000-0000BD580000}"/>
    <cellStyle name="Currency 40 3 3 2 2 2" xfId="19159" xr:uid="{00000000-0005-0000-0000-0000BE580000}"/>
    <cellStyle name="Currency 40 3 3 2 3" xfId="19160" xr:uid="{00000000-0005-0000-0000-0000BF580000}"/>
    <cellStyle name="Currency 40 3 3 2 4" xfId="19161" xr:uid="{00000000-0005-0000-0000-0000C0580000}"/>
    <cellStyle name="Currency 40 3 3 2 5" xfId="38993" xr:uid="{00000000-0005-0000-0000-0000C1580000}"/>
    <cellStyle name="Currency 40 3 3 3" xfId="19162" xr:uid="{00000000-0005-0000-0000-0000C2580000}"/>
    <cellStyle name="Currency 40 3 3 3 2" xfId="19163" xr:uid="{00000000-0005-0000-0000-0000C3580000}"/>
    <cellStyle name="Currency 40 3 3 4" xfId="19164" xr:uid="{00000000-0005-0000-0000-0000C4580000}"/>
    <cellStyle name="Currency 40 3 3 5" xfId="19165" xr:uid="{00000000-0005-0000-0000-0000C5580000}"/>
    <cellStyle name="Currency 40 3 3 6" xfId="38992" xr:uid="{00000000-0005-0000-0000-0000C6580000}"/>
    <cellStyle name="Currency 40 3 4" xfId="19166" xr:uid="{00000000-0005-0000-0000-0000C7580000}"/>
    <cellStyle name="Currency 40 3 4 2" xfId="19167" xr:uid="{00000000-0005-0000-0000-0000C8580000}"/>
    <cellStyle name="Currency 40 3 4 2 2" xfId="19168" xr:uid="{00000000-0005-0000-0000-0000C9580000}"/>
    <cellStyle name="Currency 40 3 4 3" xfId="19169" xr:uid="{00000000-0005-0000-0000-0000CA580000}"/>
    <cellStyle name="Currency 40 3 4 4" xfId="19170" xr:uid="{00000000-0005-0000-0000-0000CB580000}"/>
    <cellStyle name="Currency 40 3 4 5" xfId="38994" xr:uid="{00000000-0005-0000-0000-0000CC580000}"/>
    <cellStyle name="Currency 40 3 5" xfId="19171" xr:uid="{00000000-0005-0000-0000-0000CD580000}"/>
    <cellStyle name="Currency 40 3 5 2" xfId="19172" xr:uid="{00000000-0005-0000-0000-0000CE580000}"/>
    <cellStyle name="Currency 40 3 5 2 2" xfId="19173" xr:uid="{00000000-0005-0000-0000-0000CF580000}"/>
    <cellStyle name="Currency 40 3 5 3" xfId="19174" xr:uid="{00000000-0005-0000-0000-0000D0580000}"/>
    <cellStyle name="Currency 40 3 5 4" xfId="19175" xr:uid="{00000000-0005-0000-0000-0000D1580000}"/>
    <cellStyle name="Currency 40 3 6" xfId="19176" xr:uid="{00000000-0005-0000-0000-0000D2580000}"/>
    <cellStyle name="Currency 40 3 6 2" xfId="19177" xr:uid="{00000000-0005-0000-0000-0000D3580000}"/>
    <cellStyle name="Currency 40 3 6 2 2" xfId="19178" xr:uid="{00000000-0005-0000-0000-0000D4580000}"/>
    <cellStyle name="Currency 40 3 6 3" xfId="19179" xr:uid="{00000000-0005-0000-0000-0000D5580000}"/>
    <cellStyle name="Currency 40 3 6 4" xfId="19180" xr:uid="{00000000-0005-0000-0000-0000D6580000}"/>
    <cellStyle name="Currency 40 3 7" xfId="19181" xr:uid="{00000000-0005-0000-0000-0000D7580000}"/>
    <cellStyle name="Currency 40 3 7 2" xfId="19182" xr:uid="{00000000-0005-0000-0000-0000D8580000}"/>
    <cellStyle name="Currency 40 3 8" xfId="19183" xr:uid="{00000000-0005-0000-0000-0000D9580000}"/>
    <cellStyle name="Currency 40 3 9" xfId="19184" xr:uid="{00000000-0005-0000-0000-0000DA580000}"/>
    <cellStyle name="Currency 40 4" xfId="19185" xr:uid="{00000000-0005-0000-0000-0000DB580000}"/>
    <cellStyle name="Currency 40 4 2" xfId="19186" xr:uid="{00000000-0005-0000-0000-0000DC580000}"/>
    <cellStyle name="Currency 40 4 2 2" xfId="19187" xr:uid="{00000000-0005-0000-0000-0000DD580000}"/>
    <cellStyle name="Currency 40 4 2 2 2" xfId="19188" xr:uid="{00000000-0005-0000-0000-0000DE580000}"/>
    <cellStyle name="Currency 40 4 2 3" xfId="19189" xr:uid="{00000000-0005-0000-0000-0000DF580000}"/>
    <cellStyle name="Currency 40 4 2 4" xfId="19190" xr:uid="{00000000-0005-0000-0000-0000E0580000}"/>
    <cellStyle name="Currency 40 4 2 5" xfId="38996" xr:uid="{00000000-0005-0000-0000-0000E1580000}"/>
    <cellStyle name="Currency 40 4 3" xfId="19191" xr:uid="{00000000-0005-0000-0000-0000E2580000}"/>
    <cellStyle name="Currency 40 4 3 2" xfId="19192" xr:uid="{00000000-0005-0000-0000-0000E3580000}"/>
    <cellStyle name="Currency 40 4 4" xfId="19193" xr:uid="{00000000-0005-0000-0000-0000E4580000}"/>
    <cellStyle name="Currency 40 4 5" xfId="19194" xr:uid="{00000000-0005-0000-0000-0000E5580000}"/>
    <cellStyle name="Currency 40 4 6" xfId="38995" xr:uid="{00000000-0005-0000-0000-0000E6580000}"/>
    <cellStyle name="Currency 40 5" xfId="19195" xr:uid="{00000000-0005-0000-0000-0000E7580000}"/>
    <cellStyle name="Currency 40 5 2" xfId="19196" xr:uid="{00000000-0005-0000-0000-0000E8580000}"/>
    <cellStyle name="Currency 40 5 2 2" xfId="19197" xr:uid="{00000000-0005-0000-0000-0000E9580000}"/>
    <cellStyle name="Currency 40 5 2 2 2" xfId="19198" xr:uid="{00000000-0005-0000-0000-0000EA580000}"/>
    <cellStyle name="Currency 40 5 2 3" xfId="19199" xr:uid="{00000000-0005-0000-0000-0000EB580000}"/>
    <cellStyle name="Currency 40 5 2 4" xfId="19200" xr:uid="{00000000-0005-0000-0000-0000EC580000}"/>
    <cellStyle name="Currency 40 5 2 5" xfId="38998" xr:uid="{00000000-0005-0000-0000-0000ED580000}"/>
    <cellStyle name="Currency 40 5 3" xfId="19201" xr:uid="{00000000-0005-0000-0000-0000EE580000}"/>
    <cellStyle name="Currency 40 5 3 2" xfId="19202" xr:uid="{00000000-0005-0000-0000-0000EF580000}"/>
    <cellStyle name="Currency 40 5 4" xfId="19203" xr:uid="{00000000-0005-0000-0000-0000F0580000}"/>
    <cellStyle name="Currency 40 5 5" xfId="19204" xr:uid="{00000000-0005-0000-0000-0000F1580000}"/>
    <cellStyle name="Currency 40 5 6" xfId="38997" xr:uid="{00000000-0005-0000-0000-0000F2580000}"/>
    <cellStyle name="Currency 40 6" xfId="19205" xr:uid="{00000000-0005-0000-0000-0000F3580000}"/>
    <cellStyle name="Currency 40 6 2" xfId="19206" xr:uid="{00000000-0005-0000-0000-0000F4580000}"/>
    <cellStyle name="Currency 40 6 2 2" xfId="19207" xr:uid="{00000000-0005-0000-0000-0000F5580000}"/>
    <cellStyle name="Currency 40 6 3" xfId="19208" xr:uid="{00000000-0005-0000-0000-0000F6580000}"/>
    <cellStyle name="Currency 40 6 4" xfId="19209" xr:uid="{00000000-0005-0000-0000-0000F7580000}"/>
    <cellStyle name="Currency 40 6 5" xfId="38999" xr:uid="{00000000-0005-0000-0000-0000F8580000}"/>
    <cellStyle name="Currency 40 7" xfId="19210" xr:uid="{00000000-0005-0000-0000-0000F9580000}"/>
    <cellStyle name="Currency 40 7 2" xfId="19211" xr:uid="{00000000-0005-0000-0000-0000FA580000}"/>
    <cellStyle name="Currency 40 7 2 2" xfId="19212" xr:uid="{00000000-0005-0000-0000-0000FB580000}"/>
    <cellStyle name="Currency 40 7 3" xfId="19213" xr:uid="{00000000-0005-0000-0000-0000FC580000}"/>
    <cellStyle name="Currency 40 7 4" xfId="19214" xr:uid="{00000000-0005-0000-0000-0000FD580000}"/>
    <cellStyle name="Currency 40 8" xfId="19215" xr:uid="{00000000-0005-0000-0000-0000FE580000}"/>
    <cellStyle name="Currency 40 8 2" xfId="19216" xr:uid="{00000000-0005-0000-0000-0000FF580000}"/>
    <cellStyle name="Currency 40 8 2 2" xfId="19217" xr:uid="{00000000-0005-0000-0000-000000590000}"/>
    <cellStyle name="Currency 40 8 3" xfId="19218" xr:uid="{00000000-0005-0000-0000-000001590000}"/>
    <cellStyle name="Currency 40 8 4" xfId="19219" xr:uid="{00000000-0005-0000-0000-000002590000}"/>
    <cellStyle name="Currency 40 9" xfId="19220" xr:uid="{00000000-0005-0000-0000-000003590000}"/>
    <cellStyle name="Currency 40 9 2" xfId="19221" xr:uid="{00000000-0005-0000-0000-000004590000}"/>
    <cellStyle name="Currency 41" xfId="19222" xr:uid="{00000000-0005-0000-0000-000005590000}"/>
    <cellStyle name="Currency 41 2" xfId="19223" xr:uid="{00000000-0005-0000-0000-000006590000}"/>
    <cellStyle name="Currency 42" xfId="19224" xr:uid="{00000000-0005-0000-0000-000007590000}"/>
    <cellStyle name="Currency 42 2" xfId="19225" xr:uid="{00000000-0005-0000-0000-000008590000}"/>
    <cellStyle name="Currency 42 2 2" xfId="19226" xr:uid="{00000000-0005-0000-0000-000009590000}"/>
    <cellStyle name="Currency 42 3" xfId="19227" xr:uid="{00000000-0005-0000-0000-00000A590000}"/>
    <cellStyle name="Currency 43" xfId="19228" xr:uid="{00000000-0005-0000-0000-00000B590000}"/>
    <cellStyle name="Currency 43 2" xfId="19229" xr:uid="{00000000-0005-0000-0000-00000C590000}"/>
    <cellStyle name="Currency 43 2 2" xfId="19230" xr:uid="{00000000-0005-0000-0000-00000D590000}"/>
    <cellStyle name="Currency 43 3" xfId="19231" xr:uid="{00000000-0005-0000-0000-00000E590000}"/>
    <cellStyle name="Currency 44" xfId="19232" xr:uid="{00000000-0005-0000-0000-00000F590000}"/>
    <cellStyle name="Currency 44 2" xfId="19233" xr:uid="{00000000-0005-0000-0000-000010590000}"/>
    <cellStyle name="Currency 44 2 2" xfId="19234" xr:uid="{00000000-0005-0000-0000-000011590000}"/>
    <cellStyle name="Currency 44 3" xfId="19235" xr:uid="{00000000-0005-0000-0000-000012590000}"/>
    <cellStyle name="Currency 45" xfId="19236" xr:uid="{00000000-0005-0000-0000-000013590000}"/>
    <cellStyle name="Currency 45 2" xfId="19237" xr:uid="{00000000-0005-0000-0000-000014590000}"/>
    <cellStyle name="Currency 45 2 2" xfId="19238" xr:uid="{00000000-0005-0000-0000-000015590000}"/>
    <cellStyle name="Currency 45 3" xfId="19239" xr:uid="{00000000-0005-0000-0000-000016590000}"/>
    <cellStyle name="Currency 46" xfId="19240" xr:uid="{00000000-0005-0000-0000-000017590000}"/>
    <cellStyle name="Currency 46 2" xfId="19241" xr:uid="{00000000-0005-0000-0000-000018590000}"/>
    <cellStyle name="Currency 46 2 2" xfId="19242" xr:uid="{00000000-0005-0000-0000-000019590000}"/>
    <cellStyle name="Currency 46 3" xfId="19243" xr:uid="{00000000-0005-0000-0000-00001A590000}"/>
    <cellStyle name="Currency 47" xfId="19244" xr:uid="{00000000-0005-0000-0000-00001B590000}"/>
    <cellStyle name="Currency 47 2" xfId="19245" xr:uid="{00000000-0005-0000-0000-00001C590000}"/>
    <cellStyle name="Currency 47 2 2" xfId="19246" xr:uid="{00000000-0005-0000-0000-00001D590000}"/>
    <cellStyle name="Currency 47 3" xfId="19247" xr:uid="{00000000-0005-0000-0000-00001E590000}"/>
    <cellStyle name="Currency 48" xfId="19248" xr:uid="{00000000-0005-0000-0000-00001F590000}"/>
    <cellStyle name="Currency 48 2" xfId="19249" xr:uid="{00000000-0005-0000-0000-000020590000}"/>
    <cellStyle name="Currency 48 2 2" xfId="19250" xr:uid="{00000000-0005-0000-0000-000021590000}"/>
    <cellStyle name="Currency 48 3" xfId="19251" xr:uid="{00000000-0005-0000-0000-000022590000}"/>
    <cellStyle name="Currency 49" xfId="19252" xr:uid="{00000000-0005-0000-0000-000023590000}"/>
    <cellStyle name="Currency 49 2" xfId="19253" xr:uid="{00000000-0005-0000-0000-000024590000}"/>
    <cellStyle name="Currency 49 2 2" xfId="19254" xr:uid="{00000000-0005-0000-0000-000025590000}"/>
    <cellStyle name="Currency 49 3" xfId="19255" xr:uid="{00000000-0005-0000-0000-000026590000}"/>
    <cellStyle name="Currency 5" xfId="19256" xr:uid="{00000000-0005-0000-0000-000027590000}"/>
    <cellStyle name="Currency 5 2" xfId="19257" xr:uid="{00000000-0005-0000-0000-000028590000}"/>
    <cellStyle name="Currency 5 2 2" xfId="42271" xr:uid="{97AC9F46-9516-4B35-8A62-5DEA829B8151}"/>
    <cellStyle name="Currency 5 3" xfId="19258" xr:uid="{00000000-0005-0000-0000-000029590000}"/>
    <cellStyle name="Currency 5 3 2" xfId="19259" xr:uid="{00000000-0005-0000-0000-00002A590000}"/>
    <cellStyle name="Currency 5 3 3" xfId="19260" xr:uid="{00000000-0005-0000-0000-00002B590000}"/>
    <cellStyle name="Currency 5 3 3 2" xfId="19261" xr:uid="{00000000-0005-0000-0000-00002C590000}"/>
    <cellStyle name="Currency 5 3 3 2 2" xfId="19262" xr:uid="{00000000-0005-0000-0000-00002D590000}"/>
    <cellStyle name="Currency 5 3 3 3" xfId="19263" xr:uid="{00000000-0005-0000-0000-00002E590000}"/>
    <cellStyle name="Currency 5 3 3 4" xfId="19264" xr:uid="{00000000-0005-0000-0000-00002F590000}"/>
    <cellStyle name="Currency 5 3 3 5" xfId="39000" xr:uid="{00000000-0005-0000-0000-000030590000}"/>
    <cellStyle name="Currency 5 4" xfId="19265" xr:uid="{00000000-0005-0000-0000-000031590000}"/>
    <cellStyle name="Currency 50" xfId="19266" xr:uid="{00000000-0005-0000-0000-000032590000}"/>
    <cellStyle name="Currency 50 2" xfId="19267" xr:uid="{00000000-0005-0000-0000-000033590000}"/>
    <cellStyle name="Currency 50 2 2" xfId="19268" xr:uid="{00000000-0005-0000-0000-000034590000}"/>
    <cellStyle name="Currency 50 3" xfId="19269" xr:uid="{00000000-0005-0000-0000-000035590000}"/>
    <cellStyle name="Currency 51" xfId="19270" xr:uid="{00000000-0005-0000-0000-000036590000}"/>
    <cellStyle name="Currency 51 2" xfId="19271" xr:uid="{00000000-0005-0000-0000-000037590000}"/>
    <cellStyle name="Currency 51 2 2" xfId="19272" xr:uid="{00000000-0005-0000-0000-000038590000}"/>
    <cellStyle name="Currency 51 3" xfId="19273" xr:uid="{00000000-0005-0000-0000-000039590000}"/>
    <cellStyle name="Currency 52" xfId="19274" xr:uid="{00000000-0005-0000-0000-00003A590000}"/>
    <cellStyle name="Currency 52 2" xfId="19275" xr:uid="{00000000-0005-0000-0000-00003B590000}"/>
    <cellStyle name="Currency 53" xfId="19276" xr:uid="{00000000-0005-0000-0000-00003C590000}"/>
    <cellStyle name="Currency 53 2" xfId="19277" xr:uid="{00000000-0005-0000-0000-00003D590000}"/>
    <cellStyle name="Currency 54" xfId="19278" xr:uid="{00000000-0005-0000-0000-00003E590000}"/>
    <cellStyle name="Currency 54 2" xfId="19279" xr:uid="{00000000-0005-0000-0000-00003F590000}"/>
    <cellStyle name="Currency 55" xfId="19280" xr:uid="{00000000-0005-0000-0000-000040590000}"/>
    <cellStyle name="Currency 55 2" xfId="19281" xr:uid="{00000000-0005-0000-0000-000041590000}"/>
    <cellStyle name="Currency 56" xfId="19282" xr:uid="{00000000-0005-0000-0000-000042590000}"/>
    <cellStyle name="Currency 56 2" xfId="19283" xr:uid="{00000000-0005-0000-0000-000043590000}"/>
    <cellStyle name="Currency 57" xfId="19284" xr:uid="{00000000-0005-0000-0000-000044590000}"/>
    <cellStyle name="Currency 57 2" xfId="19285" xr:uid="{00000000-0005-0000-0000-000045590000}"/>
    <cellStyle name="Currency 58" xfId="19286" xr:uid="{00000000-0005-0000-0000-000046590000}"/>
    <cellStyle name="Currency 58 2" xfId="19287" xr:uid="{00000000-0005-0000-0000-000047590000}"/>
    <cellStyle name="Currency 59" xfId="19288" xr:uid="{00000000-0005-0000-0000-000048590000}"/>
    <cellStyle name="Currency 59 2" xfId="19289" xr:uid="{00000000-0005-0000-0000-000049590000}"/>
    <cellStyle name="Currency 6" xfId="19290" xr:uid="{00000000-0005-0000-0000-00004A590000}"/>
    <cellStyle name="Currency 6 2" xfId="19291" xr:uid="{00000000-0005-0000-0000-00004B590000}"/>
    <cellStyle name="Currency 6 2 2" xfId="19292" xr:uid="{00000000-0005-0000-0000-00004C590000}"/>
    <cellStyle name="Currency 6 2 3" xfId="42169" xr:uid="{4B5ADDF7-991A-4B47-B856-19BBBFDC134A}"/>
    <cellStyle name="Currency 6 3" xfId="19293" xr:uid="{00000000-0005-0000-0000-00004D590000}"/>
    <cellStyle name="Currency 6 3 2" xfId="19294" xr:uid="{00000000-0005-0000-0000-00004E590000}"/>
    <cellStyle name="Currency 6 3 3" xfId="19295" xr:uid="{00000000-0005-0000-0000-00004F590000}"/>
    <cellStyle name="Currency 6 3 3 2" xfId="19296" xr:uid="{00000000-0005-0000-0000-000050590000}"/>
    <cellStyle name="Currency 6 3 3 2 2" xfId="19297" xr:uid="{00000000-0005-0000-0000-000051590000}"/>
    <cellStyle name="Currency 6 3 3 3" xfId="19298" xr:uid="{00000000-0005-0000-0000-000052590000}"/>
    <cellStyle name="Currency 6 3 3 4" xfId="19299" xr:uid="{00000000-0005-0000-0000-000053590000}"/>
    <cellStyle name="Currency 6 3 3 5" xfId="39001" xr:uid="{00000000-0005-0000-0000-000054590000}"/>
    <cellStyle name="Currency 6 3 4" xfId="42100" xr:uid="{99F17D5F-6225-43E7-A160-9BD1198D56E0}"/>
    <cellStyle name="Currency 6 4" xfId="42028" xr:uid="{B6E59B48-1A14-498C-98A0-C1B1160F0464}"/>
    <cellStyle name="Currency 60" xfId="19300" xr:uid="{00000000-0005-0000-0000-000055590000}"/>
    <cellStyle name="Currency 60 2" xfId="19301" xr:uid="{00000000-0005-0000-0000-000056590000}"/>
    <cellStyle name="Currency 61" xfId="19302" xr:uid="{00000000-0005-0000-0000-000057590000}"/>
    <cellStyle name="Currency 61 2" xfId="19303" xr:uid="{00000000-0005-0000-0000-000058590000}"/>
    <cellStyle name="Currency 62" xfId="19304" xr:uid="{00000000-0005-0000-0000-000059590000}"/>
    <cellStyle name="Currency 62 2" xfId="19305" xr:uid="{00000000-0005-0000-0000-00005A590000}"/>
    <cellStyle name="Currency 63" xfId="19306" xr:uid="{00000000-0005-0000-0000-00005B590000}"/>
    <cellStyle name="Currency 63 2" xfId="19307" xr:uid="{00000000-0005-0000-0000-00005C590000}"/>
    <cellStyle name="Currency 64" xfId="19308" xr:uid="{00000000-0005-0000-0000-00005D590000}"/>
    <cellStyle name="Currency 64 2" xfId="19309" xr:uid="{00000000-0005-0000-0000-00005E590000}"/>
    <cellStyle name="Currency 65" xfId="19310" xr:uid="{00000000-0005-0000-0000-00005F590000}"/>
    <cellStyle name="Currency 65 2" xfId="19311" xr:uid="{00000000-0005-0000-0000-000060590000}"/>
    <cellStyle name="Currency 66" xfId="19312" xr:uid="{00000000-0005-0000-0000-000061590000}"/>
    <cellStyle name="Currency 66 2" xfId="19313" xr:uid="{00000000-0005-0000-0000-000062590000}"/>
    <cellStyle name="Currency 67" xfId="19314" xr:uid="{00000000-0005-0000-0000-000063590000}"/>
    <cellStyle name="Currency 67 2" xfId="19315" xr:uid="{00000000-0005-0000-0000-000064590000}"/>
    <cellStyle name="Currency 68" xfId="19316" xr:uid="{00000000-0005-0000-0000-000065590000}"/>
    <cellStyle name="Currency 68 2" xfId="19317" xr:uid="{00000000-0005-0000-0000-000066590000}"/>
    <cellStyle name="Currency 69" xfId="19318" xr:uid="{00000000-0005-0000-0000-000067590000}"/>
    <cellStyle name="Currency 69 2" xfId="19319" xr:uid="{00000000-0005-0000-0000-000068590000}"/>
    <cellStyle name="Currency 7" xfId="19320" xr:uid="{00000000-0005-0000-0000-000069590000}"/>
    <cellStyle name="Currency 7 2" xfId="19321" xr:uid="{00000000-0005-0000-0000-00006A590000}"/>
    <cellStyle name="Currency 7 2 2" xfId="19322" xr:uid="{00000000-0005-0000-0000-00006B590000}"/>
    <cellStyle name="Currency 7 2 2 2" xfId="19323" xr:uid="{00000000-0005-0000-0000-00006C590000}"/>
    <cellStyle name="Currency 7 2 3" xfId="19324" xr:uid="{00000000-0005-0000-0000-00006D590000}"/>
    <cellStyle name="Currency 7 2 3 2" xfId="19325" xr:uid="{00000000-0005-0000-0000-00006E590000}"/>
    <cellStyle name="Currency 7 2 3 2 2" xfId="19326" xr:uid="{00000000-0005-0000-0000-00006F590000}"/>
    <cellStyle name="Currency 7 2 3 2 2 2" xfId="19327" xr:uid="{00000000-0005-0000-0000-000070590000}"/>
    <cellStyle name="Currency 7 2 3 2 3" xfId="19328" xr:uid="{00000000-0005-0000-0000-000071590000}"/>
    <cellStyle name="Currency 7 2 3 2 4" xfId="19329" xr:uid="{00000000-0005-0000-0000-000072590000}"/>
    <cellStyle name="Currency 7 2 3 2 5" xfId="39003" xr:uid="{00000000-0005-0000-0000-000073590000}"/>
    <cellStyle name="Currency 7 2 3 3" xfId="19330" xr:uid="{00000000-0005-0000-0000-000074590000}"/>
    <cellStyle name="Currency 7 2 3 3 2" xfId="19331" xr:uid="{00000000-0005-0000-0000-000075590000}"/>
    <cellStyle name="Currency 7 2 3 4" xfId="19332" xr:uid="{00000000-0005-0000-0000-000076590000}"/>
    <cellStyle name="Currency 7 2 3 5" xfId="19333" xr:uid="{00000000-0005-0000-0000-000077590000}"/>
    <cellStyle name="Currency 7 2 3 6" xfId="39002" xr:uid="{00000000-0005-0000-0000-000078590000}"/>
    <cellStyle name="Currency 7 2 4" xfId="19334" xr:uid="{00000000-0005-0000-0000-000079590000}"/>
    <cellStyle name="Currency 7 2 4 2" xfId="19335" xr:uid="{00000000-0005-0000-0000-00007A590000}"/>
    <cellStyle name="Currency 7 2 4 2 2" xfId="19336" xr:uid="{00000000-0005-0000-0000-00007B590000}"/>
    <cellStyle name="Currency 7 2 4 3" xfId="19337" xr:uid="{00000000-0005-0000-0000-00007C590000}"/>
    <cellStyle name="Currency 7 2 4 4" xfId="19338" xr:uid="{00000000-0005-0000-0000-00007D590000}"/>
    <cellStyle name="Currency 7 2 4 5" xfId="39004" xr:uid="{00000000-0005-0000-0000-00007E590000}"/>
    <cellStyle name="Currency 7 2 5" xfId="19339" xr:uid="{00000000-0005-0000-0000-00007F590000}"/>
    <cellStyle name="Currency 7 2 5 2" xfId="19340" xr:uid="{00000000-0005-0000-0000-000080590000}"/>
    <cellStyle name="Currency 7 2 6" xfId="19341" xr:uid="{00000000-0005-0000-0000-000081590000}"/>
    <cellStyle name="Currency 7 2 7" xfId="19342" xr:uid="{00000000-0005-0000-0000-000082590000}"/>
    <cellStyle name="Currency 7 3" xfId="19343" xr:uid="{00000000-0005-0000-0000-000083590000}"/>
    <cellStyle name="Currency 7 3 2" xfId="19344" xr:uid="{00000000-0005-0000-0000-000084590000}"/>
    <cellStyle name="Currency 7 4" xfId="42128" xr:uid="{DDA46213-D901-44FE-8320-6CE91B361A11}"/>
    <cellStyle name="Currency 70" xfId="19345" xr:uid="{00000000-0005-0000-0000-000085590000}"/>
    <cellStyle name="Currency 70 2" xfId="19346" xr:uid="{00000000-0005-0000-0000-000086590000}"/>
    <cellStyle name="Currency 71" xfId="19347" xr:uid="{00000000-0005-0000-0000-000087590000}"/>
    <cellStyle name="Currency 71 2" xfId="19348" xr:uid="{00000000-0005-0000-0000-000088590000}"/>
    <cellStyle name="Currency 72" xfId="19349" xr:uid="{00000000-0005-0000-0000-000089590000}"/>
    <cellStyle name="Currency 72 2" xfId="19350" xr:uid="{00000000-0005-0000-0000-00008A590000}"/>
    <cellStyle name="Currency 73" xfId="19351" xr:uid="{00000000-0005-0000-0000-00008B590000}"/>
    <cellStyle name="Currency 73 2" xfId="19352" xr:uid="{00000000-0005-0000-0000-00008C590000}"/>
    <cellStyle name="Currency 74" xfId="19353" xr:uid="{00000000-0005-0000-0000-00008D590000}"/>
    <cellStyle name="Currency 74 2" xfId="19354" xr:uid="{00000000-0005-0000-0000-00008E590000}"/>
    <cellStyle name="Currency 75" xfId="19355" xr:uid="{00000000-0005-0000-0000-00008F590000}"/>
    <cellStyle name="Currency 75 2" xfId="19356" xr:uid="{00000000-0005-0000-0000-000090590000}"/>
    <cellStyle name="Currency 76" xfId="19357" xr:uid="{00000000-0005-0000-0000-000091590000}"/>
    <cellStyle name="Currency 76 2" xfId="19358" xr:uid="{00000000-0005-0000-0000-000092590000}"/>
    <cellStyle name="Currency 77" xfId="19359" xr:uid="{00000000-0005-0000-0000-000093590000}"/>
    <cellStyle name="Currency 77 2" xfId="19360" xr:uid="{00000000-0005-0000-0000-000094590000}"/>
    <cellStyle name="Currency 78" xfId="19361" xr:uid="{00000000-0005-0000-0000-000095590000}"/>
    <cellStyle name="Currency 78 2" xfId="19362" xr:uid="{00000000-0005-0000-0000-000096590000}"/>
    <cellStyle name="Currency 79" xfId="19363" xr:uid="{00000000-0005-0000-0000-000097590000}"/>
    <cellStyle name="Currency 79 2" xfId="19364" xr:uid="{00000000-0005-0000-0000-000098590000}"/>
    <cellStyle name="Currency 8" xfId="19365" xr:uid="{00000000-0005-0000-0000-000099590000}"/>
    <cellStyle name="Currency 8 2" xfId="19366" xr:uid="{00000000-0005-0000-0000-00009A590000}"/>
    <cellStyle name="Currency 8 2 2" xfId="19367" xr:uid="{00000000-0005-0000-0000-00009B590000}"/>
    <cellStyle name="Currency 8 3" xfId="19368" xr:uid="{00000000-0005-0000-0000-00009C590000}"/>
    <cellStyle name="Currency 8 3 2" xfId="19369" xr:uid="{00000000-0005-0000-0000-00009D590000}"/>
    <cellStyle name="Currency 80" xfId="19370" xr:uid="{00000000-0005-0000-0000-00009E590000}"/>
    <cellStyle name="Currency 80 2" xfId="19371" xr:uid="{00000000-0005-0000-0000-00009F590000}"/>
    <cellStyle name="Currency 81" xfId="19372" xr:uid="{00000000-0005-0000-0000-0000A0590000}"/>
    <cellStyle name="Currency 81 2" xfId="19373" xr:uid="{00000000-0005-0000-0000-0000A1590000}"/>
    <cellStyle name="Currency 82" xfId="19374" xr:uid="{00000000-0005-0000-0000-0000A2590000}"/>
    <cellStyle name="Currency 82 2" xfId="19375" xr:uid="{00000000-0005-0000-0000-0000A3590000}"/>
    <cellStyle name="Currency 83" xfId="19376" xr:uid="{00000000-0005-0000-0000-0000A4590000}"/>
    <cellStyle name="Currency 83 2" xfId="19377" xr:uid="{00000000-0005-0000-0000-0000A5590000}"/>
    <cellStyle name="Currency 84" xfId="19378" xr:uid="{00000000-0005-0000-0000-0000A6590000}"/>
    <cellStyle name="Currency 84 2" xfId="19379" xr:uid="{00000000-0005-0000-0000-0000A7590000}"/>
    <cellStyle name="Currency 85" xfId="19380" xr:uid="{00000000-0005-0000-0000-0000A8590000}"/>
    <cellStyle name="Currency 85 2" xfId="19381" xr:uid="{00000000-0005-0000-0000-0000A9590000}"/>
    <cellStyle name="Currency 86" xfId="19382" xr:uid="{00000000-0005-0000-0000-0000AA590000}"/>
    <cellStyle name="Currency 86 2" xfId="19383" xr:uid="{00000000-0005-0000-0000-0000AB590000}"/>
    <cellStyle name="Currency 87" xfId="19384" xr:uid="{00000000-0005-0000-0000-0000AC590000}"/>
    <cellStyle name="Currency 87 2" xfId="19385" xr:uid="{00000000-0005-0000-0000-0000AD590000}"/>
    <cellStyle name="Currency 88" xfId="19386" xr:uid="{00000000-0005-0000-0000-0000AE590000}"/>
    <cellStyle name="Currency 88 2" xfId="19387" xr:uid="{00000000-0005-0000-0000-0000AF590000}"/>
    <cellStyle name="Currency 89" xfId="19388" xr:uid="{00000000-0005-0000-0000-0000B0590000}"/>
    <cellStyle name="Currency 89 2" xfId="19389" xr:uid="{00000000-0005-0000-0000-0000B1590000}"/>
    <cellStyle name="Currency 9" xfId="19390" xr:uid="{00000000-0005-0000-0000-0000B2590000}"/>
    <cellStyle name="Currency 9 2" xfId="19391" xr:uid="{00000000-0005-0000-0000-0000B3590000}"/>
    <cellStyle name="Currency 9 2 2" xfId="19392" xr:uid="{00000000-0005-0000-0000-0000B4590000}"/>
    <cellStyle name="Currency 9 3" xfId="19393" xr:uid="{00000000-0005-0000-0000-0000B5590000}"/>
    <cellStyle name="Currency 9 3 2" xfId="19394" xr:uid="{00000000-0005-0000-0000-0000B6590000}"/>
    <cellStyle name="Currency 9 4" xfId="19395" xr:uid="{00000000-0005-0000-0000-0000B7590000}"/>
    <cellStyle name="Currency 9 4 2" xfId="19396" xr:uid="{00000000-0005-0000-0000-0000B8590000}"/>
    <cellStyle name="Currency 9 4 2 2" xfId="19397" xr:uid="{00000000-0005-0000-0000-0000B9590000}"/>
    <cellStyle name="Currency 9 4 2 2 2" xfId="19398" xr:uid="{00000000-0005-0000-0000-0000BA590000}"/>
    <cellStyle name="Currency 9 4 2 3" xfId="19399" xr:uid="{00000000-0005-0000-0000-0000BB590000}"/>
    <cellStyle name="Currency 9 4 2 4" xfId="19400" xr:uid="{00000000-0005-0000-0000-0000BC590000}"/>
    <cellStyle name="Currency 9 4 2 5" xfId="39006" xr:uid="{00000000-0005-0000-0000-0000BD590000}"/>
    <cellStyle name="Currency 9 4 3" xfId="19401" xr:uid="{00000000-0005-0000-0000-0000BE590000}"/>
    <cellStyle name="Currency 9 4 3 2" xfId="19402" xr:uid="{00000000-0005-0000-0000-0000BF590000}"/>
    <cellStyle name="Currency 9 4 4" xfId="19403" xr:uid="{00000000-0005-0000-0000-0000C0590000}"/>
    <cellStyle name="Currency 9 4 5" xfId="19404" xr:uid="{00000000-0005-0000-0000-0000C1590000}"/>
    <cellStyle name="Currency 9 4 6" xfId="39005" xr:uid="{00000000-0005-0000-0000-0000C2590000}"/>
    <cellStyle name="Currency 9 5" xfId="19405" xr:uid="{00000000-0005-0000-0000-0000C3590000}"/>
    <cellStyle name="Currency 9 5 2" xfId="19406" xr:uid="{00000000-0005-0000-0000-0000C4590000}"/>
    <cellStyle name="Currency 9 5 2 2" xfId="19407" xr:uid="{00000000-0005-0000-0000-0000C5590000}"/>
    <cellStyle name="Currency 9 5 3" xfId="19408" xr:uid="{00000000-0005-0000-0000-0000C6590000}"/>
    <cellStyle name="Currency 9 5 4" xfId="19409" xr:uid="{00000000-0005-0000-0000-0000C7590000}"/>
    <cellStyle name="Currency 9 5 5" xfId="39007" xr:uid="{00000000-0005-0000-0000-0000C8590000}"/>
    <cellStyle name="Currency 9 6" xfId="19410" xr:uid="{00000000-0005-0000-0000-0000C9590000}"/>
    <cellStyle name="Currency 9 6 2" xfId="19411" xr:uid="{00000000-0005-0000-0000-0000CA590000}"/>
    <cellStyle name="Currency 9 7" xfId="19412" xr:uid="{00000000-0005-0000-0000-0000CB590000}"/>
    <cellStyle name="Currency 9 8" xfId="19413" xr:uid="{00000000-0005-0000-0000-0000CC590000}"/>
    <cellStyle name="Currency 90" xfId="19414" xr:uid="{00000000-0005-0000-0000-0000CD590000}"/>
    <cellStyle name="Currency 90 2" xfId="19415" xr:uid="{00000000-0005-0000-0000-0000CE590000}"/>
    <cellStyle name="Currency 91" xfId="19416" xr:uid="{00000000-0005-0000-0000-0000CF590000}"/>
    <cellStyle name="Currency 91 2" xfId="19417" xr:uid="{00000000-0005-0000-0000-0000D0590000}"/>
    <cellStyle name="Currency 92" xfId="19418" xr:uid="{00000000-0005-0000-0000-0000D1590000}"/>
    <cellStyle name="Currency 92 2" xfId="19419" xr:uid="{00000000-0005-0000-0000-0000D2590000}"/>
    <cellStyle name="Currency 93" xfId="19420" xr:uid="{00000000-0005-0000-0000-0000D3590000}"/>
    <cellStyle name="Currency 93 2" xfId="19421" xr:uid="{00000000-0005-0000-0000-0000D4590000}"/>
    <cellStyle name="Currency 94" xfId="19422" xr:uid="{00000000-0005-0000-0000-0000D5590000}"/>
    <cellStyle name="Currency 94 2" xfId="19423" xr:uid="{00000000-0005-0000-0000-0000D6590000}"/>
    <cellStyle name="Currency 95" xfId="19424" xr:uid="{00000000-0005-0000-0000-0000D7590000}"/>
    <cellStyle name="Currency 95 2" xfId="19425" xr:uid="{00000000-0005-0000-0000-0000D8590000}"/>
    <cellStyle name="Currency 96" xfId="19426" xr:uid="{00000000-0005-0000-0000-0000D9590000}"/>
    <cellStyle name="Currency 96 2" xfId="19427" xr:uid="{00000000-0005-0000-0000-0000DA590000}"/>
    <cellStyle name="Currency 97" xfId="19428" xr:uid="{00000000-0005-0000-0000-0000DB590000}"/>
    <cellStyle name="Currency 97 2" xfId="19429" xr:uid="{00000000-0005-0000-0000-0000DC590000}"/>
    <cellStyle name="Currency 98" xfId="19430" xr:uid="{00000000-0005-0000-0000-0000DD590000}"/>
    <cellStyle name="Currency 98 2" xfId="19431" xr:uid="{00000000-0005-0000-0000-0000DE590000}"/>
    <cellStyle name="Currency 98 2 2" xfId="19432" xr:uid="{00000000-0005-0000-0000-0000DF590000}"/>
    <cellStyle name="Currency 98 3" xfId="19433" xr:uid="{00000000-0005-0000-0000-0000E0590000}"/>
    <cellStyle name="Currency 99" xfId="19434" xr:uid="{00000000-0005-0000-0000-0000E1590000}"/>
    <cellStyle name="Currency 99 2" xfId="19435" xr:uid="{00000000-0005-0000-0000-0000E2590000}"/>
    <cellStyle name="Currency 99 2 2" xfId="19436" xr:uid="{00000000-0005-0000-0000-0000E3590000}"/>
    <cellStyle name="Currency 99 3" xfId="19437" xr:uid="{00000000-0005-0000-0000-0000E4590000}"/>
    <cellStyle name="D4_B8B1_005004B79812_.wvu.PrintTitlest" xfId="35096" xr:uid="{00000000-0005-0000-0000-0000E5590000}"/>
    <cellStyle name="Data input" xfId="19438" xr:uid="{00000000-0005-0000-0000-0000E6590000}"/>
    <cellStyle name="Data input 2" xfId="19439" xr:uid="{00000000-0005-0000-0000-0000E7590000}"/>
    <cellStyle name="Data input 2 2" xfId="19440" xr:uid="{00000000-0005-0000-0000-0000E8590000}"/>
    <cellStyle name="Data input 2 2 2" xfId="19441" xr:uid="{00000000-0005-0000-0000-0000E9590000}"/>
    <cellStyle name="Data input 2 2 3" xfId="19442" xr:uid="{00000000-0005-0000-0000-0000EA590000}"/>
    <cellStyle name="Data input 2 2 4" xfId="19443" xr:uid="{00000000-0005-0000-0000-0000EB590000}"/>
    <cellStyle name="Data input 2 2 4 2" xfId="19444" xr:uid="{00000000-0005-0000-0000-0000EC590000}"/>
    <cellStyle name="Data input 2 2 4 3" xfId="19445" xr:uid="{00000000-0005-0000-0000-0000ED590000}"/>
    <cellStyle name="Data input 2 2 5" xfId="19446" xr:uid="{00000000-0005-0000-0000-0000EE590000}"/>
    <cellStyle name="Data input 2 2 6" xfId="19447" xr:uid="{00000000-0005-0000-0000-0000EF590000}"/>
    <cellStyle name="Data input 2 3" xfId="19448" xr:uid="{00000000-0005-0000-0000-0000F0590000}"/>
    <cellStyle name="Data input 2 3 2" xfId="19449" xr:uid="{00000000-0005-0000-0000-0000F1590000}"/>
    <cellStyle name="Data input 2 3 2 2" xfId="19450" xr:uid="{00000000-0005-0000-0000-0000F2590000}"/>
    <cellStyle name="Data input 2 3 2 2 2" xfId="39008" xr:uid="{00000000-0005-0000-0000-0000F3590000}"/>
    <cellStyle name="Data input 2 3 2 3" xfId="19451" xr:uid="{00000000-0005-0000-0000-0000F4590000}"/>
    <cellStyle name="Data input 2 3 2 3 2" xfId="19452" xr:uid="{00000000-0005-0000-0000-0000F5590000}"/>
    <cellStyle name="Data input 2 3 2 3 3" xfId="19453" xr:uid="{00000000-0005-0000-0000-0000F6590000}"/>
    <cellStyle name="Data input 2 3 2 4" xfId="19454" xr:uid="{00000000-0005-0000-0000-0000F7590000}"/>
    <cellStyle name="Data input 2 3 2 5" xfId="19455" xr:uid="{00000000-0005-0000-0000-0000F8590000}"/>
    <cellStyle name="Data input 2 3 3" xfId="19456" xr:uid="{00000000-0005-0000-0000-0000F9590000}"/>
    <cellStyle name="Data input 2 3 4" xfId="19457" xr:uid="{00000000-0005-0000-0000-0000FA590000}"/>
    <cellStyle name="Data input 2 3 4 2" xfId="19458" xr:uid="{00000000-0005-0000-0000-0000FB590000}"/>
    <cellStyle name="Data input 2 3 4 2 2" xfId="19459" xr:uid="{00000000-0005-0000-0000-0000FC590000}"/>
    <cellStyle name="Data input 2 3 4 2 3" xfId="19460" xr:uid="{00000000-0005-0000-0000-0000FD590000}"/>
    <cellStyle name="Data input 2 3 4 3" xfId="19461" xr:uid="{00000000-0005-0000-0000-0000FE590000}"/>
    <cellStyle name="Data input 2 3 4 4" xfId="19462" xr:uid="{00000000-0005-0000-0000-0000FF590000}"/>
    <cellStyle name="Data input 2 3 5" xfId="19463" xr:uid="{00000000-0005-0000-0000-0000005A0000}"/>
    <cellStyle name="Data input 2 3 6" xfId="19464" xr:uid="{00000000-0005-0000-0000-0000015A0000}"/>
    <cellStyle name="Data input 2 4" xfId="19465" xr:uid="{00000000-0005-0000-0000-0000025A0000}"/>
    <cellStyle name="Data input 2 4 2" xfId="19466" xr:uid="{00000000-0005-0000-0000-0000035A0000}"/>
    <cellStyle name="Data input 2 4 2 2" xfId="19467" xr:uid="{00000000-0005-0000-0000-0000045A0000}"/>
    <cellStyle name="Data input 2 4 2 2 2" xfId="19468" xr:uid="{00000000-0005-0000-0000-0000055A0000}"/>
    <cellStyle name="Data input 2 4 2 2 3" xfId="19469" xr:uid="{00000000-0005-0000-0000-0000065A0000}"/>
    <cellStyle name="Data input 2 4 2 3" xfId="19470" xr:uid="{00000000-0005-0000-0000-0000075A0000}"/>
    <cellStyle name="Data input 2 4 2 4" xfId="19471" xr:uid="{00000000-0005-0000-0000-0000085A0000}"/>
    <cellStyle name="Data input 2 4 3" xfId="19472" xr:uid="{00000000-0005-0000-0000-0000095A0000}"/>
    <cellStyle name="Data input 2 4 4" xfId="19473" xr:uid="{00000000-0005-0000-0000-00000A5A0000}"/>
    <cellStyle name="Data input 2 4 4 2" xfId="19474" xr:uid="{00000000-0005-0000-0000-00000B5A0000}"/>
    <cellStyle name="Data input 2 4 4 3" xfId="19475" xr:uid="{00000000-0005-0000-0000-00000C5A0000}"/>
    <cellStyle name="Data input 2 4 5" xfId="19476" xr:uid="{00000000-0005-0000-0000-00000D5A0000}"/>
    <cellStyle name="Data input 2 4 6" xfId="19477" xr:uid="{00000000-0005-0000-0000-00000E5A0000}"/>
    <cellStyle name="Data input 2 5" xfId="19478" xr:uid="{00000000-0005-0000-0000-00000F5A0000}"/>
    <cellStyle name="Data input 2 6" xfId="19479" xr:uid="{00000000-0005-0000-0000-0000105A0000}"/>
    <cellStyle name="Data input 2 7" xfId="19480" xr:uid="{00000000-0005-0000-0000-0000115A0000}"/>
    <cellStyle name="Data input 2 7 2" xfId="19481" xr:uid="{00000000-0005-0000-0000-0000125A0000}"/>
    <cellStyle name="Data input 2 7 2 2" xfId="19482" xr:uid="{00000000-0005-0000-0000-0000135A0000}"/>
    <cellStyle name="Data input 2 7 2 3" xfId="19483" xr:uid="{00000000-0005-0000-0000-0000145A0000}"/>
    <cellStyle name="Data input 2 7 3" xfId="19484" xr:uid="{00000000-0005-0000-0000-0000155A0000}"/>
    <cellStyle name="Data input 2 7 4" xfId="19485" xr:uid="{00000000-0005-0000-0000-0000165A0000}"/>
    <cellStyle name="Data input 2 8" xfId="19486" xr:uid="{00000000-0005-0000-0000-0000175A0000}"/>
    <cellStyle name="Data input 2 9" xfId="19487" xr:uid="{00000000-0005-0000-0000-0000185A0000}"/>
    <cellStyle name="Data input 3" xfId="19488" xr:uid="{00000000-0005-0000-0000-0000195A0000}"/>
    <cellStyle name="Data input 3 2" xfId="19489" xr:uid="{00000000-0005-0000-0000-00001A5A0000}"/>
    <cellStyle name="Data input 3 2 2" xfId="19490" xr:uid="{00000000-0005-0000-0000-00001B5A0000}"/>
    <cellStyle name="Data input 3 2 2 2" xfId="19491" xr:uid="{00000000-0005-0000-0000-00001C5A0000}"/>
    <cellStyle name="Data input 3 2 2 3" xfId="19492" xr:uid="{00000000-0005-0000-0000-00001D5A0000}"/>
    <cellStyle name="Data input 3 2 3" xfId="19493" xr:uid="{00000000-0005-0000-0000-00001E5A0000}"/>
    <cellStyle name="Data input 3 2 4" xfId="19494" xr:uid="{00000000-0005-0000-0000-00001F5A0000}"/>
    <cellStyle name="Data input 3 3" xfId="19495" xr:uid="{00000000-0005-0000-0000-0000205A0000}"/>
    <cellStyle name="Data input 3 4" xfId="19496" xr:uid="{00000000-0005-0000-0000-0000215A0000}"/>
    <cellStyle name="Data input 3 4 2" xfId="19497" xr:uid="{00000000-0005-0000-0000-0000225A0000}"/>
    <cellStyle name="Data input 3 4 3" xfId="19498" xr:uid="{00000000-0005-0000-0000-0000235A0000}"/>
    <cellStyle name="Data input 3 5" xfId="19499" xr:uid="{00000000-0005-0000-0000-0000245A0000}"/>
    <cellStyle name="Data input 3 6" xfId="19500" xr:uid="{00000000-0005-0000-0000-0000255A0000}"/>
    <cellStyle name="Data input 4" xfId="19501" xr:uid="{00000000-0005-0000-0000-0000265A0000}"/>
    <cellStyle name="Data input 5" xfId="19502" xr:uid="{00000000-0005-0000-0000-0000275A0000}"/>
    <cellStyle name="Data input 6" xfId="19503" xr:uid="{00000000-0005-0000-0000-0000285A0000}"/>
    <cellStyle name="Date" xfId="19504" xr:uid="{00000000-0005-0000-0000-0000295A0000}"/>
    <cellStyle name="Date 2" xfId="19505" xr:uid="{00000000-0005-0000-0000-00002A5A0000}"/>
    <cellStyle name="Date 2 2" xfId="19506" xr:uid="{00000000-0005-0000-0000-00002B5A0000}"/>
    <cellStyle name="Date 2 3" xfId="41939" xr:uid="{528D3728-1E2B-4415-B2EC-DF58C0DE7098}"/>
    <cellStyle name="Date 3" xfId="41938" xr:uid="{70E5092C-B702-4B60-9659-822685723783}"/>
    <cellStyle name="Date_ACS Overall" xfId="19507" xr:uid="{00000000-0005-0000-0000-00002C5A0000}"/>
    <cellStyle name="Dates" xfId="19508" xr:uid="{00000000-0005-0000-0000-00002D5A0000}"/>
    <cellStyle name="Dates 2" xfId="19509" xr:uid="{00000000-0005-0000-0000-00002E5A0000}"/>
    <cellStyle name="Dates 2 2" xfId="19510" xr:uid="{00000000-0005-0000-0000-00002F5A0000}"/>
    <cellStyle name="Dates 2 2 2" xfId="19511" xr:uid="{00000000-0005-0000-0000-0000305A0000}"/>
    <cellStyle name="Dates 2 2 3" xfId="19512" xr:uid="{00000000-0005-0000-0000-0000315A0000}"/>
    <cellStyle name="Dates 2 2 4" xfId="19513" xr:uid="{00000000-0005-0000-0000-0000325A0000}"/>
    <cellStyle name="Dates 2 2 4 2" xfId="19514" xr:uid="{00000000-0005-0000-0000-0000335A0000}"/>
    <cellStyle name="Dates 2 2 4 3" xfId="19515" xr:uid="{00000000-0005-0000-0000-0000345A0000}"/>
    <cellStyle name="Dates 2 2 5" xfId="19516" xr:uid="{00000000-0005-0000-0000-0000355A0000}"/>
    <cellStyle name="Dates 2 2 6" xfId="19517" xr:uid="{00000000-0005-0000-0000-0000365A0000}"/>
    <cellStyle name="Dates 2 3" xfId="19518" xr:uid="{00000000-0005-0000-0000-0000375A0000}"/>
    <cellStyle name="Dates 2 3 2" xfId="19519" xr:uid="{00000000-0005-0000-0000-0000385A0000}"/>
    <cellStyle name="Dates 2 3 2 2" xfId="19520" xr:uid="{00000000-0005-0000-0000-0000395A0000}"/>
    <cellStyle name="Dates 2 3 2 2 2" xfId="39009" xr:uid="{00000000-0005-0000-0000-00003A5A0000}"/>
    <cellStyle name="Dates 2 3 2 3" xfId="19521" xr:uid="{00000000-0005-0000-0000-00003B5A0000}"/>
    <cellStyle name="Dates 2 3 2 3 2" xfId="19522" xr:uid="{00000000-0005-0000-0000-00003C5A0000}"/>
    <cellStyle name="Dates 2 3 2 3 3" xfId="19523" xr:uid="{00000000-0005-0000-0000-00003D5A0000}"/>
    <cellStyle name="Dates 2 3 2 4" xfId="19524" xr:uid="{00000000-0005-0000-0000-00003E5A0000}"/>
    <cellStyle name="Dates 2 3 2 5" xfId="19525" xr:uid="{00000000-0005-0000-0000-00003F5A0000}"/>
    <cellStyle name="Dates 2 3 3" xfId="19526" xr:uid="{00000000-0005-0000-0000-0000405A0000}"/>
    <cellStyle name="Dates 2 3 4" xfId="19527" xr:uid="{00000000-0005-0000-0000-0000415A0000}"/>
    <cellStyle name="Dates 2 3 4 2" xfId="19528" xr:uid="{00000000-0005-0000-0000-0000425A0000}"/>
    <cellStyle name="Dates 2 3 4 2 2" xfId="19529" xr:uid="{00000000-0005-0000-0000-0000435A0000}"/>
    <cellStyle name="Dates 2 3 4 2 3" xfId="19530" xr:uid="{00000000-0005-0000-0000-0000445A0000}"/>
    <cellStyle name="Dates 2 3 4 3" xfId="19531" xr:uid="{00000000-0005-0000-0000-0000455A0000}"/>
    <cellStyle name="Dates 2 3 4 4" xfId="19532" xr:uid="{00000000-0005-0000-0000-0000465A0000}"/>
    <cellStyle name="Dates 2 3 5" xfId="19533" xr:uid="{00000000-0005-0000-0000-0000475A0000}"/>
    <cellStyle name="Dates 2 3 6" xfId="19534" xr:uid="{00000000-0005-0000-0000-0000485A0000}"/>
    <cellStyle name="Dates 2 4" xfId="19535" xr:uid="{00000000-0005-0000-0000-0000495A0000}"/>
    <cellStyle name="Dates 2 4 2" xfId="19536" xr:uid="{00000000-0005-0000-0000-00004A5A0000}"/>
    <cellStyle name="Dates 2 4 2 2" xfId="19537" xr:uid="{00000000-0005-0000-0000-00004B5A0000}"/>
    <cellStyle name="Dates 2 4 2 2 2" xfId="19538" xr:uid="{00000000-0005-0000-0000-00004C5A0000}"/>
    <cellStyle name="Dates 2 4 2 2 3" xfId="19539" xr:uid="{00000000-0005-0000-0000-00004D5A0000}"/>
    <cellStyle name="Dates 2 4 2 3" xfId="19540" xr:uid="{00000000-0005-0000-0000-00004E5A0000}"/>
    <cellStyle name="Dates 2 4 2 4" xfId="19541" xr:uid="{00000000-0005-0000-0000-00004F5A0000}"/>
    <cellStyle name="Dates 2 4 3" xfId="19542" xr:uid="{00000000-0005-0000-0000-0000505A0000}"/>
    <cellStyle name="Dates 2 4 4" xfId="19543" xr:uid="{00000000-0005-0000-0000-0000515A0000}"/>
    <cellStyle name="Dates 2 4 4 2" xfId="19544" xr:uid="{00000000-0005-0000-0000-0000525A0000}"/>
    <cellStyle name="Dates 2 4 4 3" xfId="19545" xr:uid="{00000000-0005-0000-0000-0000535A0000}"/>
    <cellStyle name="Dates 2 4 5" xfId="19546" xr:uid="{00000000-0005-0000-0000-0000545A0000}"/>
    <cellStyle name="Dates 2 4 6" xfId="19547" xr:uid="{00000000-0005-0000-0000-0000555A0000}"/>
    <cellStyle name="Dates 2 5" xfId="19548" xr:uid="{00000000-0005-0000-0000-0000565A0000}"/>
    <cellStyle name="Dates 2 6" xfId="19549" xr:uid="{00000000-0005-0000-0000-0000575A0000}"/>
    <cellStyle name="Dates 2 7" xfId="19550" xr:uid="{00000000-0005-0000-0000-0000585A0000}"/>
    <cellStyle name="Dates 2 7 2" xfId="19551" xr:uid="{00000000-0005-0000-0000-0000595A0000}"/>
    <cellStyle name="Dates 2 7 2 2" xfId="19552" xr:uid="{00000000-0005-0000-0000-00005A5A0000}"/>
    <cellStyle name="Dates 2 7 2 3" xfId="19553" xr:uid="{00000000-0005-0000-0000-00005B5A0000}"/>
    <cellStyle name="Dates 2 7 3" xfId="19554" xr:uid="{00000000-0005-0000-0000-00005C5A0000}"/>
    <cellStyle name="Dates 2 7 4" xfId="19555" xr:uid="{00000000-0005-0000-0000-00005D5A0000}"/>
    <cellStyle name="Dates 2 8" xfId="19556" xr:uid="{00000000-0005-0000-0000-00005E5A0000}"/>
    <cellStyle name="Dates 2 8 2" xfId="19557" xr:uid="{00000000-0005-0000-0000-00005F5A0000}"/>
    <cellStyle name="Dates 2 8 3" xfId="19558" xr:uid="{00000000-0005-0000-0000-0000605A0000}"/>
    <cellStyle name="Dates 2 9" xfId="39010" xr:uid="{00000000-0005-0000-0000-0000615A0000}"/>
    <cellStyle name="Dates 3" xfId="19559" xr:uid="{00000000-0005-0000-0000-0000625A0000}"/>
    <cellStyle name="Dates 3 2" xfId="19560" xr:uid="{00000000-0005-0000-0000-0000635A0000}"/>
    <cellStyle name="Dates 3 2 2" xfId="19561" xr:uid="{00000000-0005-0000-0000-0000645A0000}"/>
    <cellStyle name="Dates 3 2 3" xfId="19562" xr:uid="{00000000-0005-0000-0000-0000655A0000}"/>
    <cellStyle name="Dates 3 2 3 2" xfId="19563" xr:uid="{00000000-0005-0000-0000-0000665A0000}"/>
    <cellStyle name="Dates 3 2 3 3" xfId="19564" xr:uid="{00000000-0005-0000-0000-0000675A0000}"/>
    <cellStyle name="Dates 3 2 4" xfId="39011" xr:uid="{00000000-0005-0000-0000-0000685A0000}"/>
    <cellStyle name="Dates 3 2 5" xfId="39012" xr:uid="{00000000-0005-0000-0000-0000695A0000}"/>
    <cellStyle name="Dates 3 3" xfId="19565" xr:uid="{00000000-0005-0000-0000-00006A5A0000}"/>
    <cellStyle name="Dates 3 4" xfId="19566" xr:uid="{00000000-0005-0000-0000-00006B5A0000}"/>
    <cellStyle name="Dates 3 4 2" xfId="19567" xr:uid="{00000000-0005-0000-0000-00006C5A0000}"/>
    <cellStyle name="Dates 3 4 3" xfId="19568" xr:uid="{00000000-0005-0000-0000-00006D5A0000}"/>
    <cellStyle name="Dates 3 5" xfId="39013" xr:uid="{00000000-0005-0000-0000-00006E5A0000}"/>
    <cellStyle name="Dates 3 6" xfId="39014" xr:uid="{00000000-0005-0000-0000-00006F5A0000}"/>
    <cellStyle name="Dates 4" xfId="19569" xr:uid="{00000000-0005-0000-0000-0000705A0000}"/>
    <cellStyle name="Dates 5" xfId="19570" xr:uid="{00000000-0005-0000-0000-0000715A0000}"/>
    <cellStyle name="Dates 6" xfId="19571" xr:uid="{00000000-0005-0000-0000-0000725A0000}"/>
    <cellStyle name="dms_Blue_HDR" xfId="42230" xr:uid="{F8125A8A-8A90-44B3-86C8-E497A471F3BD}"/>
    <cellStyle name="dms_Level2" xfId="41808" xr:uid="{548D0D01-5DF5-45D1-813D-3468CC5C42AE}"/>
    <cellStyle name="dms_Row" xfId="41809" xr:uid="{2595042E-0EC3-486E-BA27-ADC05D921EB6}"/>
    <cellStyle name="Emphasis 1" xfId="35097" xr:uid="{00000000-0005-0000-0000-0000735A0000}"/>
    <cellStyle name="Emphasis 2" xfId="35098" xr:uid="{00000000-0005-0000-0000-0000745A0000}"/>
    <cellStyle name="Emphasis 3" xfId="35099" xr:uid="{00000000-0005-0000-0000-0000755A0000}"/>
    <cellStyle name="Euro" xfId="19572" xr:uid="{00000000-0005-0000-0000-0000765A0000}"/>
    <cellStyle name="Euro 2" xfId="19573" xr:uid="{00000000-0005-0000-0000-0000775A0000}"/>
    <cellStyle name="Euro 2 2" xfId="19574" xr:uid="{00000000-0005-0000-0000-0000785A0000}"/>
    <cellStyle name="Euro 3" xfId="19575" xr:uid="{00000000-0005-0000-0000-0000795A0000}"/>
    <cellStyle name="Euro 3 2" xfId="19576" xr:uid="{00000000-0005-0000-0000-00007A5A0000}"/>
    <cellStyle name="Euro 4" xfId="19577" xr:uid="{00000000-0005-0000-0000-00007B5A0000}"/>
    <cellStyle name="Euro 4 2" xfId="19578" xr:uid="{00000000-0005-0000-0000-00007C5A0000}"/>
    <cellStyle name="Euro 5" xfId="19579" xr:uid="{00000000-0005-0000-0000-00007D5A0000}"/>
    <cellStyle name="Euro 5 2" xfId="35100" xr:uid="{00000000-0005-0000-0000-00007E5A0000}"/>
    <cellStyle name="Euro 6" xfId="41940" xr:uid="{A03A6627-84BC-4A74-8016-73A260B04D68}"/>
    <cellStyle name="Explanatory Text 2" xfId="19580" xr:uid="{00000000-0005-0000-0000-00007F5A0000}"/>
    <cellStyle name="Explanatory Text 2 2" xfId="19581" xr:uid="{00000000-0005-0000-0000-0000805A0000}"/>
    <cellStyle name="Explanatory Text 2 2 2" xfId="19582" xr:uid="{00000000-0005-0000-0000-0000815A0000}"/>
    <cellStyle name="Explanatory Text 2 3" xfId="19583" xr:uid="{00000000-0005-0000-0000-0000825A0000}"/>
    <cellStyle name="Explanatory Text 2 3 2" xfId="19584" xr:uid="{00000000-0005-0000-0000-0000835A0000}"/>
    <cellStyle name="Explanatory Text 2 4" xfId="19585" xr:uid="{00000000-0005-0000-0000-0000845A0000}"/>
    <cellStyle name="Explanatory Text 2 4 2" xfId="19586" xr:uid="{00000000-0005-0000-0000-0000855A0000}"/>
    <cellStyle name="Explanatory Text 2 4 3" xfId="35101" xr:uid="{00000000-0005-0000-0000-0000865A0000}"/>
    <cellStyle name="Explanatory Text 2 5" xfId="19587" xr:uid="{00000000-0005-0000-0000-0000875A0000}"/>
    <cellStyle name="Explanatory Text 3" xfId="19588" xr:uid="{00000000-0005-0000-0000-0000885A0000}"/>
    <cellStyle name="Explanatory Text 3 2" xfId="19589" xr:uid="{00000000-0005-0000-0000-0000895A0000}"/>
    <cellStyle name="Explanatory Text 3 3" xfId="19590" xr:uid="{00000000-0005-0000-0000-00008A5A0000}"/>
    <cellStyle name="Explanatory Text 3 4" xfId="19591" xr:uid="{00000000-0005-0000-0000-00008B5A0000}"/>
    <cellStyle name="Explanatory Text 4" xfId="19592" xr:uid="{00000000-0005-0000-0000-00008C5A0000}"/>
    <cellStyle name="Explanatory Text 4 2" xfId="19593" xr:uid="{00000000-0005-0000-0000-00008D5A0000}"/>
    <cellStyle name="Explanatory Text 4 3" xfId="19594" xr:uid="{00000000-0005-0000-0000-00008E5A0000}"/>
    <cellStyle name="Explanatory Text 5" xfId="19595" xr:uid="{00000000-0005-0000-0000-00008F5A0000}"/>
    <cellStyle name="Explanatory Text 6" xfId="19596" xr:uid="{00000000-0005-0000-0000-0000905A0000}"/>
    <cellStyle name="EY%colcalc" xfId="19597" xr:uid="{00000000-0005-0000-0000-0000915A0000}"/>
    <cellStyle name="EY%input" xfId="19598" xr:uid="{00000000-0005-0000-0000-0000925A0000}"/>
    <cellStyle name="EY%rowcalc" xfId="19599" xr:uid="{00000000-0005-0000-0000-0000935A0000}"/>
    <cellStyle name="EY0dp" xfId="19600" xr:uid="{00000000-0005-0000-0000-0000945A0000}"/>
    <cellStyle name="EY1dp" xfId="19601" xr:uid="{00000000-0005-0000-0000-0000955A0000}"/>
    <cellStyle name="EY2dp" xfId="19602" xr:uid="{00000000-0005-0000-0000-0000965A0000}"/>
    <cellStyle name="EY3dp" xfId="19603" xr:uid="{00000000-0005-0000-0000-0000975A0000}"/>
    <cellStyle name="EYColumnHeading" xfId="19604" xr:uid="{00000000-0005-0000-0000-0000985A0000}"/>
    <cellStyle name="EYColumnHeading 2" xfId="19605" xr:uid="{00000000-0005-0000-0000-0000995A0000}"/>
    <cellStyle name="EYColumnHeading 2 2" xfId="19606" xr:uid="{00000000-0005-0000-0000-00009A5A0000}"/>
    <cellStyle name="EYColumnHeading 2 3" xfId="19607" xr:uid="{00000000-0005-0000-0000-00009B5A0000}"/>
    <cellStyle name="EYColumnHeading 2 4" xfId="19608" xr:uid="{00000000-0005-0000-0000-00009C5A0000}"/>
    <cellStyle name="EYColumnHeading 3" xfId="19609" xr:uid="{00000000-0005-0000-0000-00009D5A0000}"/>
    <cellStyle name="EYColumnHeading 3 2" xfId="19610" xr:uid="{00000000-0005-0000-0000-00009E5A0000}"/>
    <cellStyle name="EYColumnHeading 4" xfId="19611" xr:uid="{00000000-0005-0000-0000-00009F5A0000}"/>
    <cellStyle name="EYColumnHeading 4 2" xfId="19612" xr:uid="{00000000-0005-0000-0000-0000A05A0000}"/>
    <cellStyle name="EYHeading1" xfId="19613" xr:uid="{00000000-0005-0000-0000-0000A15A0000}"/>
    <cellStyle name="EYheading2" xfId="19614" xr:uid="{00000000-0005-0000-0000-0000A25A0000}"/>
    <cellStyle name="EYheading3" xfId="19615" xr:uid="{00000000-0005-0000-0000-0000A35A0000}"/>
    <cellStyle name="EYnumber" xfId="19616" xr:uid="{00000000-0005-0000-0000-0000A45A0000}"/>
    <cellStyle name="EYnumber 2" xfId="19617" xr:uid="{00000000-0005-0000-0000-0000A55A0000}"/>
    <cellStyle name="EYnumber 3" xfId="19618" xr:uid="{00000000-0005-0000-0000-0000A65A0000}"/>
    <cellStyle name="EYSheetHeader1" xfId="19619" xr:uid="{00000000-0005-0000-0000-0000A75A0000}"/>
    <cellStyle name="EYtext" xfId="19620" xr:uid="{00000000-0005-0000-0000-0000A85A0000}"/>
    <cellStyle name="EYtext 2" xfId="19621" xr:uid="{00000000-0005-0000-0000-0000A95A0000}"/>
    <cellStyle name="EYtext 2 2" xfId="19622" xr:uid="{00000000-0005-0000-0000-0000AA5A0000}"/>
    <cellStyle name="EYtext 2 3" xfId="19623" xr:uid="{00000000-0005-0000-0000-0000AB5A0000}"/>
    <cellStyle name="EYtext 2 4" xfId="19624" xr:uid="{00000000-0005-0000-0000-0000AC5A0000}"/>
    <cellStyle name="EYtext 3" xfId="19625" xr:uid="{00000000-0005-0000-0000-0000AD5A0000}"/>
    <cellStyle name="EYtext 3 2" xfId="19626" xr:uid="{00000000-0005-0000-0000-0000AE5A0000}"/>
    <cellStyle name="EYtext 4" xfId="19627" xr:uid="{00000000-0005-0000-0000-0000AF5A0000}"/>
    <cellStyle name="EYtext 4 2" xfId="19628" xr:uid="{00000000-0005-0000-0000-0000B05A0000}"/>
    <cellStyle name="Fixed" xfId="19629" xr:uid="{00000000-0005-0000-0000-0000B15A0000}"/>
    <cellStyle name="Fixed 2" xfId="35102" xr:uid="{00000000-0005-0000-0000-0000B25A0000}"/>
    <cellStyle name="Gilsans" xfId="35103" xr:uid="{00000000-0005-0000-0000-0000B35A0000}"/>
    <cellStyle name="Gilsansl" xfId="35104" xr:uid="{00000000-0005-0000-0000-0000B45A0000}"/>
    <cellStyle name="Good 2" xfId="19630" xr:uid="{00000000-0005-0000-0000-0000B55A0000}"/>
    <cellStyle name="Good 2 2" xfId="19631" xr:uid="{00000000-0005-0000-0000-0000B65A0000}"/>
    <cellStyle name="Good 2 2 2" xfId="19632" xr:uid="{00000000-0005-0000-0000-0000B75A0000}"/>
    <cellStyle name="Good 2 2 3" xfId="19633" xr:uid="{00000000-0005-0000-0000-0000B85A0000}"/>
    <cellStyle name="Good 2 2 3 2" xfId="39016" xr:uid="{00000000-0005-0000-0000-0000B95A0000}"/>
    <cellStyle name="Good 2 2 3 3" xfId="39015" xr:uid="{00000000-0005-0000-0000-0000BA5A0000}"/>
    <cellStyle name="Good 2 2 4" xfId="19634" xr:uid="{00000000-0005-0000-0000-0000BB5A0000}"/>
    <cellStyle name="Good 2 3" xfId="19635" xr:uid="{00000000-0005-0000-0000-0000BC5A0000}"/>
    <cellStyle name="Good 2 3 2" xfId="19636" xr:uid="{00000000-0005-0000-0000-0000BD5A0000}"/>
    <cellStyle name="Good 2 4" xfId="19637" xr:uid="{00000000-0005-0000-0000-0000BE5A0000}"/>
    <cellStyle name="Good 2 5" xfId="19638" xr:uid="{00000000-0005-0000-0000-0000BF5A0000}"/>
    <cellStyle name="Good 2 6" xfId="19639" xr:uid="{00000000-0005-0000-0000-0000C05A0000}"/>
    <cellStyle name="Good 2 6 2" xfId="19640" xr:uid="{00000000-0005-0000-0000-0000C15A0000}"/>
    <cellStyle name="Good 2 6 3" xfId="35105" xr:uid="{00000000-0005-0000-0000-0000C25A0000}"/>
    <cellStyle name="Good 2 7" xfId="19641" xr:uid="{00000000-0005-0000-0000-0000C35A0000}"/>
    <cellStyle name="Good 2 8" xfId="19642" xr:uid="{00000000-0005-0000-0000-0000C45A0000}"/>
    <cellStyle name="Good 3" xfId="19643" xr:uid="{00000000-0005-0000-0000-0000C55A0000}"/>
    <cellStyle name="Good 3 2" xfId="19644" xr:uid="{00000000-0005-0000-0000-0000C65A0000}"/>
    <cellStyle name="Good 3 3" xfId="19645" xr:uid="{00000000-0005-0000-0000-0000C75A0000}"/>
    <cellStyle name="Good 3 4" xfId="19646" xr:uid="{00000000-0005-0000-0000-0000C85A0000}"/>
    <cellStyle name="Good 4" xfId="19647" xr:uid="{00000000-0005-0000-0000-0000C95A0000}"/>
    <cellStyle name="Good 4 2" xfId="19648" xr:uid="{00000000-0005-0000-0000-0000CA5A0000}"/>
    <cellStyle name="Good 4 2 2" xfId="19649" xr:uid="{00000000-0005-0000-0000-0000CB5A0000}"/>
    <cellStyle name="Good 4 3" xfId="19650" xr:uid="{00000000-0005-0000-0000-0000CC5A0000}"/>
    <cellStyle name="Good 5" xfId="19651" xr:uid="{00000000-0005-0000-0000-0000CD5A0000}"/>
    <cellStyle name="Good 6" xfId="19652" xr:uid="{00000000-0005-0000-0000-0000CE5A0000}"/>
    <cellStyle name="Good 7" xfId="19653" xr:uid="{00000000-0005-0000-0000-0000CF5A0000}"/>
    <cellStyle name="Good 8" xfId="19654" xr:uid="{00000000-0005-0000-0000-0000D05A0000}"/>
    <cellStyle name="Good 9" xfId="19655" xr:uid="{00000000-0005-0000-0000-0000D15A0000}"/>
    <cellStyle name="Grey" xfId="19656" xr:uid="{00000000-0005-0000-0000-0000D25A0000}"/>
    <cellStyle name="Hard Coded" xfId="19657" xr:uid="{00000000-0005-0000-0000-0000D35A0000}"/>
    <cellStyle name="Hard Coded 10" xfId="19658" xr:uid="{00000000-0005-0000-0000-0000D45A0000}"/>
    <cellStyle name="Hard Coded 10 2" xfId="19659" xr:uid="{00000000-0005-0000-0000-0000D55A0000}"/>
    <cellStyle name="Hard Coded 10 2 2" xfId="19660" xr:uid="{00000000-0005-0000-0000-0000D65A0000}"/>
    <cellStyle name="Hard Coded 10 2 2 2" xfId="19661" xr:uid="{00000000-0005-0000-0000-0000D75A0000}"/>
    <cellStyle name="Hard Coded 10 2 2 2 2" xfId="19662" xr:uid="{00000000-0005-0000-0000-0000D85A0000}"/>
    <cellStyle name="Hard Coded 10 2 2 2 3" xfId="19663" xr:uid="{00000000-0005-0000-0000-0000D95A0000}"/>
    <cellStyle name="Hard Coded 10 2 2 2 4" xfId="39018" xr:uid="{00000000-0005-0000-0000-0000DA5A0000}"/>
    <cellStyle name="Hard Coded 10 2 2 3" xfId="19664" xr:uid="{00000000-0005-0000-0000-0000DB5A0000}"/>
    <cellStyle name="Hard Coded 10 2 2 3 2" xfId="39019" xr:uid="{00000000-0005-0000-0000-0000DC5A0000}"/>
    <cellStyle name="Hard Coded 10 2 2 4" xfId="19665" xr:uid="{00000000-0005-0000-0000-0000DD5A0000}"/>
    <cellStyle name="Hard Coded 10 2 2 5" xfId="39017" xr:uid="{00000000-0005-0000-0000-0000DE5A0000}"/>
    <cellStyle name="Hard Coded 10 2 3" xfId="19666" xr:uid="{00000000-0005-0000-0000-0000DF5A0000}"/>
    <cellStyle name="Hard Coded 10 2 3 2" xfId="19667" xr:uid="{00000000-0005-0000-0000-0000E05A0000}"/>
    <cellStyle name="Hard Coded 10 2 3 2 2" xfId="19668" xr:uid="{00000000-0005-0000-0000-0000E15A0000}"/>
    <cellStyle name="Hard Coded 10 2 3 2 3" xfId="19669" xr:uid="{00000000-0005-0000-0000-0000E25A0000}"/>
    <cellStyle name="Hard Coded 10 2 3 3" xfId="19670" xr:uid="{00000000-0005-0000-0000-0000E35A0000}"/>
    <cellStyle name="Hard Coded 10 2 3 4" xfId="19671" xr:uid="{00000000-0005-0000-0000-0000E45A0000}"/>
    <cellStyle name="Hard Coded 10 2 3 5" xfId="39020" xr:uid="{00000000-0005-0000-0000-0000E55A0000}"/>
    <cellStyle name="Hard Coded 10 2 4" xfId="19672" xr:uid="{00000000-0005-0000-0000-0000E65A0000}"/>
    <cellStyle name="Hard Coded 10 2 5" xfId="35107" xr:uid="{00000000-0005-0000-0000-0000E75A0000}"/>
    <cellStyle name="Hard Coded 10 3" xfId="19673" xr:uid="{00000000-0005-0000-0000-0000E85A0000}"/>
    <cellStyle name="Hard Coded 10 3 2" xfId="19674" xr:uid="{00000000-0005-0000-0000-0000E95A0000}"/>
    <cellStyle name="Hard Coded 10 3 2 2" xfId="19675" xr:uid="{00000000-0005-0000-0000-0000EA5A0000}"/>
    <cellStyle name="Hard Coded 10 3 2 2 2" xfId="19676" xr:uid="{00000000-0005-0000-0000-0000EB5A0000}"/>
    <cellStyle name="Hard Coded 10 3 2 2 3" xfId="19677" xr:uid="{00000000-0005-0000-0000-0000EC5A0000}"/>
    <cellStyle name="Hard Coded 10 3 2 2 4" xfId="39023" xr:uid="{00000000-0005-0000-0000-0000ED5A0000}"/>
    <cellStyle name="Hard Coded 10 3 2 3" xfId="19678" xr:uid="{00000000-0005-0000-0000-0000EE5A0000}"/>
    <cellStyle name="Hard Coded 10 3 2 3 2" xfId="39024" xr:uid="{00000000-0005-0000-0000-0000EF5A0000}"/>
    <cellStyle name="Hard Coded 10 3 2 4" xfId="19679" xr:uid="{00000000-0005-0000-0000-0000F05A0000}"/>
    <cellStyle name="Hard Coded 10 3 2 5" xfId="39022" xr:uid="{00000000-0005-0000-0000-0000F15A0000}"/>
    <cellStyle name="Hard Coded 10 3 3" xfId="19680" xr:uid="{00000000-0005-0000-0000-0000F25A0000}"/>
    <cellStyle name="Hard Coded 10 3 3 2" xfId="19681" xr:uid="{00000000-0005-0000-0000-0000F35A0000}"/>
    <cellStyle name="Hard Coded 10 3 3 3" xfId="19682" xr:uid="{00000000-0005-0000-0000-0000F45A0000}"/>
    <cellStyle name="Hard Coded 10 3 4" xfId="19683" xr:uid="{00000000-0005-0000-0000-0000F55A0000}"/>
    <cellStyle name="Hard Coded 10 3 5" xfId="39021" xr:uid="{00000000-0005-0000-0000-0000F65A0000}"/>
    <cellStyle name="Hard Coded 10 4" xfId="19684" xr:uid="{00000000-0005-0000-0000-0000F75A0000}"/>
    <cellStyle name="Hard Coded 10 4 2" xfId="19685" xr:uid="{00000000-0005-0000-0000-0000F85A0000}"/>
    <cellStyle name="Hard Coded 10 4 2 2" xfId="19686" xr:uid="{00000000-0005-0000-0000-0000F95A0000}"/>
    <cellStyle name="Hard Coded 10 4 2 3" xfId="19687" xr:uid="{00000000-0005-0000-0000-0000FA5A0000}"/>
    <cellStyle name="Hard Coded 10 4 2 4" xfId="39026" xr:uid="{00000000-0005-0000-0000-0000FB5A0000}"/>
    <cellStyle name="Hard Coded 10 4 3" xfId="19688" xr:uid="{00000000-0005-0000-0000-0000FC5A0000}"/>
    <cellStyle name="Hard Coded 10 4 4" xfId="19689" xr:uid="{00000000-0005-0000-0000-0000FD5A0000}"/>
    <cellStyle name="Hard Coded 10 4 5" xfId="39025" xr:uid="{00000000-0005-0000-0000-0000FE5A0000}"/>
    <cellStyle name="Hard Coded 10 5" xfId="19690" xr:uid="{00000000-0005-0000-0000-0000FF5A0000}"/>
    <cellStyle name="Hard Coded 10 5 2" xfId="19691" xr:uid="{00000000-0005-0000-0000-0000005B0000}"/>
    <cellStyle name="Hard Coded 10 5 2 2" xfId="19692" xr:uid="{00000000-0005-0000-0000-0000015B0000}"/>
    <cellStyle name="Hard Coded 10 5 2 3" xfId="19693" xr:uid="{00000000-0005-0000-0000-0000025B0000}"/>
    <cellStyle name="Hard Coded 10 5 2 4" xfId="39028" xr:uid="{00000000-0005-0000-0000-0000035B0000}"/>
    <cellStyle name="Hard Coded 10 5 3" xfId="19694" xr:uid="{00000000-0005-0000-0000-0000045B0000}"/>
    <cellStyle name="Hard Coded 10 5 3 2" xfId="19695" xr:uid="{00000000-0005-0000-0000-0000055B0000}"/>
    <cellStyle name="Hard Coded 10 5 3 3" xfId="19696" xr:uid="{00000000-0005-0000-0000-0000065B0000}"/>
    <cellStyle name="Hard Coded 10 5 4" xfId="19697" xr:uid="{00000000-0005-0000-0000-0000075B0000}"/>
    <cellStyle name="Hard Coded 10 5 5" xfId="39027" xr:uid="{00000000-0005-0000-0000-0000085B0000}"/>
    <cellStyle name="Hard Coded 10 6" xfId="19698" xr:uid="{00000000-0005-0000-0000-0000095B0000}"/>
    <cellStyle name="Hard Coded 10 7" xfId="19699" xr:uid="{00000000-0005-0000-0000-00000A5B0000}"/>
    <cellStyle name="Hard Coded 10 8" xfId="35106" xr:uid="{00000000-0005-0000-0000-00000B5B0000}"/>
    <cellStyle name="Hard Coded 11" xfId="19700" xr:uid="{00000000-0005-0000-0000-00000C5B0000}"/>
    <cellStyle name="Hard Coded 11 2" xfId="19701" xr:uid="{00000000-0005-0000-0000-00000D5B0000}"/>
    <cellStyle name="Hard Coded 11 2 2" xfId="19702" xr:uid="{00000000-0005-0000-0000-00000E5B0000}"/>
    <cellStyle name="Hard Coded 11 2 2 2" xfId="19703" xr:uid="{00000000-0005-0000-0000-00000F5B0000}"/>
    <cellStyle name="Hard Coded 11 2 2 3" xfId="19704" xr:uid="{00000000-0005-0000-0000-0000105B0000}"/>
    <cellStyle name="Hard Coded 11 2 2 4" xfId="39030" xr:uid="{00000000-0005-0000-0000-0000115B0000}"/>
    <cellStyle name="Hard Coded 11 2 3" xfId="19705" xr:uid="{00000000-0005-0000-0000-0000125B0000}"/>
    <cellStyle name="Hard Coded 11 2 3 2" xfId="39031" xr:uid="{00000000-0005-0000-0000-0000135B0000}"/>
    <cellStyle name="Hard Coded 11 2 4" xfId="19706" xr:uid="{00000000-0005-0000-0000-0000145B0000}"/>
    <cellStyle name="Hard Coded 11 2 5" xfId="39029" xr:uid="{00000000-0005-0000-0000-0000155B0000}"/>
    <cellStyle name="Hard Coded 11 3" xfId="19707" xr:uid="{00000000-0005-0000-0000-0000165B0000}"/>
    <cellStyle name="Hard Coded 11 3 2" xfId="19708" xr:uid="{00000000-0005-0000-0000-0000175B0000}"/>
    <cellStyle name="Hard Coded 11 3 2 2" xfId="19709" xr:uid="{00000000-0005-0000-0000-0000185B0000}"/>
    <cellStyle name="Hard Coded 11 3 2 3" xfId="19710" xr:uid="{00000000-0005-0000-0000-0000195B0000}"/>
    <cellStyle name="Hard Coded 11 3 3" xfId="19711" xr:uid="{00000000-0005-0000-0000-00001A5B0000}"/>
    <cellStyle name="Hard Coded 11 3 4" xfId="19712" xr:uid="{00000000-0005-0000-0000-00001B5B0000}"/>
    <cellStyle name="Hard Coded 11 3 5" xfId="39032" xr:uid="{00000000-0005-0000-0000-00001C5B0000}"/>
    <cellStyle name="Hard Coded 11 4" xfId="19713" xr:uid="{00000000-0005-0000-0000-00001D5B0000}"/>
    <cellStyle name="Hard Coded 11 4 2" xfId="19714" xr:uid="{00000000-0005-0000-0000-00001E5B0000}"/>
    <cellStyle name="Hard Coded 11 4 2 2" xfId="19715" xr:uid="{00000000-0005-0000-0000-00001F5B0000}"/>
    <cellStyle name="Hard Coded 11 4 2 3" xfId="19716" xr:uid="{00000000-0005-0000-0000-0000205B0000}"/>
    <cellStyle name="Hard Coded 11 4 3" xfId="19717" xr:uid="{00000000-0005-0000-0000-0000215B0000}"/>
    <cellStyle name="Hard Coded 11 4 4" xfId="19718" xr:uid="{00000000-0005-0000-0000-0000225B0000}"/>
    <cellStyle name="Hard Coded 11 4 5" xfId="39033" xr:uid="{00000000-0005-0000-0000-0000235B0000}"/>
    <cellStyle name="Hard Coded 11 5" xfId="19719" xr:uid="{00000000-0005-0000-0000-0000245B0000}"/>
    <cellStyle name="Hard Coded 11 5 2" xfId="19720" xr:uid="{00000000-0005-0000-0000-0000255B0000}"/>
    <cellStyle name="Hard Coded 11 5 3" xfId="19721" xr:uid="{00000000-0005-0000-0000-0000265B0000}"/>
    <cellStyle name="Hard Coded 11 6" xfId="19722" xr:uid="{00000000-0005-0000-0000-0000275B0000}"/>
    <cellStyle name="Hard Coded 11 7" xfId="35108" xr:uid="{00000000-0005-0000-0000-0000285B0000}"/>
    <cellStyle name="Hard Coded 12" xfId="19723" xr:uid="{00000000-0005-0000-0000-0000295B0000}"/>
    <cellStyle name="Hard Coded 12 2" xfId="19724" xr:uid="{00000000-0005-0000-0000-00002A5B0000}"/>
    <cellStyle name="Hard Coded 12 2 2" xfId="19725" xr:uid="{00000000-0005-0000-0000-00002B5B0000}"/>
    <cellStyle name="Hard Coded 12 2 2 2" xfId="19726" xr:uid="{00000000-0005-0000-0000-00002C5B0000}"/>
    <cellStyle name="Hard Coded 12 2 2 3" xfId="19727" xr:uid="{00000000-0005-0000-0000-00002D5B0000}"/>
    <cellStyle name="Hard Coded 12 2 2 4" xfId="39036" xr:uid="{00000000-0005-0000-0000-00002E5B0000}"/>
    <cellStyle name="Hard Coded 12 2 3" xfId="19728" xr:uid="{00000000-0005-0000-0000-00002F5B0000}"/>
    <cellStyle name="Hard Coded 12 2 3 2" xfId="39037" xr:uid="{00000000-0005-0000-0000-0000305B0000}"/>
    <cellStyle name="Hard Coded 12 2 4" xfId="19729" xr:uid="{00000000-0005-0000-0000-0000315B0000}"/>
    <cellStyle name="Hard Coded 12 2 5" xfId="39035" xr:uid="{00000000-0005-0000-0000-0000325B0000}"/>
    <cellStyle name="Hard Coded 12 3" xfId="19730" xr:uid="{00000000-0005-0000-0000-0000335B0000}"/>
    <cellStyle name="Hard Coded 12 3 2" xfId="19731" xr:uid="{00000000-0005-0000-0000-0000345B0000}"/>
    <cellStyle name="Hard Coded 12 3 3" xfId="19732" xr:uid="{00000000-0005-0000-0000-0000355B0000}"/>
    <cellStyle name="Hard Coded 12 4" xfId="19733" xr:uid="{00000000-0005-0000-0000-0000365B0000}"/>
    <cellStyle name="Hard Coded 12 5" xfId="39034" xr:uid="{00000000-0005-0000-0000-0000375B0000}"/>
    <cellStyle name="Hard Coded 13" xfId="19734" xr:uid="{00000000-0005-0000-0000-0000385B0000}"/>
    <cellStyle name="Hard Coded 14" xfId="34357" xr:uid="{00000000-0005-0000-0000-0000395B0000}"/>
    <cellStyle name="Hard Coded 2" xfId="19735" xr:uid="{00000000-0005-0000-0000-00003A5B0000}"/>
    <cellStyle name="Hard Coded 2 2" xfId="19736" xr:uid="{00000000-0005-0000-0000-00003B5B0000}"/>
    <cellStyle name="Hard Coded 2 2 2" xfId="19737" xr:uid="{00000000-0005-0000-0000-00003C5B0000}"/>
    <cellStyle name="Hard Coded 2 2 2 2" xfId="19738" xr:uid="{00000000-0005-0000-0000-00003D5B0000}"/>
    <cellStyle name="Hard Coded 2 2 2 2 2" xfId="19739" xr:uid="{00000000-0005-0000-0000-00003E5B0000}"/>
    <cellStyle name="Hard Coded 2 2 2 2 2 2" xfId="19740" xr:uid="{00000000-0005-0000-0000-00003F5B0000}"/>
    <cellStyle name="Hard Coded 2 2 2 2 2 3" xfId="19741" xr:uid="{00000000-0005-0000-0000-0000405B0000}"/>
    <cellStyle name="Hard Coded 2 2 2 2 2 4" xfId="39039" xr:uid="{00000000-0005-0000-0000-0000415B0000}"/>
    <cellStyle name="Hard Coded 2 2 2 2 3" xfId="19742" xr:uid="{00000000-0005-0000-0000-0000425B0000}"/>
    <cellStyle name="Hard Coded 2 2 2 2 3 2" xfId="39040" xr:uid="{00000000-0005-0000-0000-0000435B0000}"/>
    <cellStyle name="Hard Coded 2 2 2 2 4" xfId="19743" xr:uid="{00000000-0005-0000-0000-0000445B0000}"/>
    <cellStyle name="Hard Coded 2 2 2 2 5" xfId="39038" xr:uid="{00000000-0005-0000-0000-0000455B0000}"/>
    <cellStyle name="Hard Coded 2 2 2 3" xfId="19744" xr:uid="{00000000-0005-0000-0000-0000465B0000}"/>
    <cellStyle name="Hard Coded 2 2 2 3 2" xfId="19745" xr:uid="{00000000-0005-0000-0000-0000475B0000}"/>
    <cellStyle name="Hard Coded 2 2 2 3 2 2" xfId="19746" xr:uid="{00000000-0005-0000-0000-0000485B0000}"/>
    <cellStyle name="Hard Coded 2 2 2 3 2 3" xfId="19747" xr:uid="{00000000-0005-0000-0000-0000495B0000}"/>
    <cellStyle name="Hard Coded 2 2 2 3 3" xfId="19748" xr:uid="{00000000-0005-0000-0000-00004A5B0000}"/>
    <cellStyle name="Hard Coded 2 2 2 3 4" xfId="19749" xr:uid="{00000000-0005-0000-0000-00004B5B0000}"/>
    <cellStyle name="Hard Coded 2 2 2 3 5" xfId="39041" xr:uid="{00000000-0005-0000-0000-00004C5B0000}"/>
    <cellStyle name="Hard Coded 2 2 2 4" xfId="19750" xr:uid="{00000000-0005-0000-0000-00004D5B0000}"/>
    <cellStyle name="Hard Coded 2 2 2 5" xfId="35111" xr:uid="{00000000-0005-0000-0000-00004E5B0000}"/>
    <cellStyle name="Hard Coded 2 2 3" xfId="19751" xr:uid="{00000000-0005-0000-0000-00004F5B0000}"/>
    <cellStyle name="Hard Coded 2 2 3 2" xfId="19752" xr:uid="{00000000-0005-0000-0000-0000505B0000}"/>
    <cellStyle name="Hard Coded 2 2 3 2 2" xfId="19753" xr:uid="{00000000-0005-0000-0000-0000515B0000}"/>
    <cellStyle name="Hard Coded 2 2 3 2 2 2" xfId="19754" xr:uid="{00000000-0005-0000-0000-0000525B0000}"/>
    <cellStyle name="Hard Coded 2 2 3 2 2 3" xfId="19755" xr:uid="{00000000-0005-0000-0000-0000535B0000}"/>
    <cellStyle name="Hard Coded 2 2 3 2 2 4" xfId="39044" xr:uid="{00000000-0005-0000-0000-0000545B0000}"/>
    <cellStyle name="Hard Coded 2 2 3 2 3" xfId="19756" xr:uid="{00000000-0005-0000-0000-0000555B0000}"/>
    <cellStyle name="Hard Coded 2 2 3 2 3 2" xfId="39045" xr:uid="{00000000-0005-0000-0000-0000565B0000}"/>
    <cellStyle name="Hard Coded 2 2 3 2 4" xfId="19757" xr:uid="{00000000-0005-0000-0000-0000575B0000}"/>
    <cellStyle name="Hard Coded 2 2 3 2 5" xfId="39043" xr:uid="{00000000-0005-0000-0000-0000585B0000}"/>
    <cellStyle name="Hard Coded 2 2 3 3" xfId="19758" xr:uid="{00000000-0005-0000-0000-0000595B0000}"/>
    <cellStyle name="Hard Coded 2 2 3 3 2" xfId="19759" xr:uid="{00000000-0005-0000-0000-00005A5B0000}"/>
    <cellStyle name="Hard Coded 2 2 3 3 3" xfId="19760" xr:uid="{00000000-0005-0000-0000-00005B5B0000}"/>
    <cellStyle name="Hard Coded 2 2 3 4" xfId="19761" xr:uid="{00000000-0005-0000-0000-00005C5B0000}"/>
    <cellStyle name="Hard Coded 2 2 3 5" xfId="39042" xr:uid="{00000000-0005-0000-0000-00005D5B0000}"/>
    <cellStyle name="Hard Coded 2 2 4" xfId="19762" xr:uid="{00000000-0005-0000-0000-00005E5B0000}"/>
    <cellStyle name="Hard Coded 2 2 4 2" xfId="19763" xr:uid="{00000000-0005-0000-0000-00005F5B0000}"/>
    <cellStyle name="Hard Coded 2 2 4 2 2" xfId="19764" xr:uid="{00000000-0005-0000-0000-0000605B0000}"/>
    <cellStyle name="Hard Coded 2 2 4 2 3" xfId="19765" xr:uid="{00000000-0005-0000-0000-0000615B0000}"/>
    <cellStyle name="Hard Coded 2 2 4 2 4" xfId="39047" xr:uid="{00000000-0005-0000-0000-0000625B0000}"/>
    <cellStyle name="Hard Coded 2 2 4 3" xfId="19766" xr:uid="{00000000-0005-0000-0000-0000635B0000}"/>
    <cellStyle name="Hard Coded 2 2 4 4" xfId="19767" xr:uid="{00000000-0005-0000-0000-0000645B0000}"/>
    <cellStyle name="Hard Coded 2 2 4 5" xfId="39046" xr:uid="{00000000-0005-0000-0000-0000655B0000}"/>
    <cellStyle name="Hard Coded 2 2 5" xfId="19768" xr:uid="{00000000-0005-0000-0000-0000665B0000}"/>
    <cellStyle name="Hard Coded 2 2 5 2" xfId="19769" xr:uid="{00000000-0005-0000-0000-0000675B0000}"/>
    <cellStyle name="Hard Coded 2 2 5 2 2" xfId="19770" xr:uid="{00000000-0005-0000-0000-0000685B0000}"/>
    <cellStyle name="Hard Coded 2 2 5 2 3" xfId="19771" xr:uid="{00000000-0005-0000-0000-0000695B0000}"/>
    <cellStyle name="Hard Coded 2 2 5 2 4" xfId="39049" xr:uid="{00000000-0005-0000-0000-00006A5B0000}"/>
    <cellStyle name="Hard Coded 2 2 5 3" xfId="19772" xr:uid="{00000000-0005-0000-0000-00006B5B0000}"/>
    <cellStyle name="Hard Coded 2 2 5 4" xfId="19773" xr:uid="{00000000-0005-0000-0000-00006C5B0000}"/>
    <cellStyle name="Hard Coded 2 2 5 5" xfId="39048" xr:uid="{00000000-0005-0000-0000-00006D5B0000}"/>
    <cellStyle name="Hard Coded 2 2 6" xfId="19774" xr:uid="{00000000-0005-0000-0000-00006E5B0000}"/>
    <cellStyle name="Hard Coded 2 2 6 2" xfId="19775" xr:uid="{00000000-0005-0000-0000-00006F5B0000}"/>
    <cellStyle name="Hard Coded 2 2 6 3" xfId="19776" xr:uid="{00000000-0005-0000-0000-0000705B0000}"/>
    <cellStyle name="Hard Coded 2 2 6 4" xfId="39050" xr:uid="{00000000-0005-0000-0000-0000715B0000}"/>
    <cellStyle name="Hard Coded 2 2 7" xfId="19777" xr:uid="{00000000-0005-0000-0000-0000725B0000}"/>
    <cellStyle name="Hard Coded 2 2 8" xfId="35110" xr:uid="{00000000-0005-0000-0000-0000735B0000}"/>
    <cellStyle name="Hard Coded 2 3" xfId="19778" xr:uid="{00000000-0005-0000-0000-0000745B0000}"/>
    <cellStyle name="Hard Coded 2 3 2" xfId="19779" xr:uid="{00000000-0005-0000-0000-0000755B0000}"/>
    <cellStyle name="Hard Coded 2 3 2 2" xfId="19780" xr:uid="{00000000-0005-0000-0000-0000765B0000}"/>
    <cellStyle name="Hard Coded 2 3 2 2 2" xfId="19781" xr:uid="{00000000-0005-0000-0000-0000775B0000}"/>
    <cellStyle name="Hard Coded 2 3 2 2 2 2" xfId="19782" xr:uid="{00000000-0005-0000-0000-0000785B0000}"/>
    <cellStyle name="Hard Coded 2 3 2 2 2 3" xfId="19783" xr:uid="{00000000-0005-0000-0000-0000795B0000}"/>
    <cellStyle name="Hard Coded 2 3 2 2 2 4" xfId="39052" xr:uid="{00000000-0005-0000-0000-00007A5B0000}"/>
    <cellStyle name="Hard Coded 2 3 2 2 3" xfId="19784" xr:uid="{00000000-0005-0000-0000-00007B5B0000}"/>
    <cellStyle name="Hard Coded 2 3 2 2 3 2" xfId="39053" xr:uid="{00000000-0005-0000-0000-00007C5B0000}"/>
    <cellStyle name="Hard Coded 2 3 2 2 4" xfId="19785" xr:uid="{00000000-0005-0000-0000-00007D5B0000}"/>
    <cellStyle name="Hard Coded 2 3 2 2 5" xfId="39051" xr:uid="{00000000-0005-0000-0000-00007E5B0000}"/>
    <cellStyle name="Hard Coded 2 3 2 3" xfId="19786" xr:uid="{00000000-0005-0000-0000-00007F5B0000}"/>
    <cellStyle name="Hard Coded 2 3 2 3 2" xfId="19787" xr:uid="{00000000-0005-0000-0000-0000805B0000}"/>
    <cellStyle name="Hard Coded 2 3 2 3 2 2" xfId="19788" xr:uid="{00000000-0005-0000-0000-0000815B0000}"/>
    <cellStyle name="Hard Coded 2 3 2 3 2 3" xfId="19789" xr:uid="{00000000-0005-0000-0000-0000825B0000}"/>
    <cellStyle name="Hard Coded 2 3 2 3 3" xfId="19790" xr:uid="{00000000-0005-0000-0000-0000835B0000}"/>
    <cellStyle name="Hard Coded 2 3 2 3 4" xfId="19791" xr:uid="{00000000-0005-0000-0000-0000845B0000}"/>
    <cellStyle name="Hard Coded 2 3 2 3 5" xfId="39054" xr:uid="{00000000-0005-0000-0000-0000855B0000}"/>
    <cellStyle name="Hard Coded 2 3 2 4" xfId="19792" xr:uid="{00000000-0005-0000-0000-0000865B0000}"/>
    <cellStyle name="Hard Coded 2 3 2 5" xfId="35113" xr:uid="{00000000-0005-0000-0000-0000875B0000}"/>
    <cellStyle name="Hard Coded 2 3 3" xfId="19793" xr:uid="{00000000-0005-0000-0000-0000885B0000}"/>
    <cellStyle name="Hard Coded 2 3 3 2" xfId="19794" xr:uid="{00000000-0005-0000-0000-0000895B0000}"/>
    <cellStyle name="Hard Coded 2 3 3 2 2" xfId="19795" xr:uid="{00000000-0005-0000-0000-00008A5B0000}"/>
    <cellStyle name="Hard Coded 2 3 3 2 2 2" xfId="19796" xr:uid="{00000000-0005-0000-0000-00008B5B0000}"/>
    <cellStyle name="Hard Coded 2 3 3 2 2 3" xfId="19797" xr:uid="{00000000-0005-0000-0000-00008C5B0000}"/>
    <cellStyle name="Hard Coded 2 3 3 2 2 4" xfId="39057" xr:uid="{00000000-0005-0000-0000-00008D5B0000}"/>
    <cellStyle name="Hard Coded 2 3 3 2 3" xfId="19798" xr:uid="{00000000-0005-0000-0000-00008E5B0000}"/>
    <cellStyle name="Hard Coded 2 3 3 2 3 2" xfId="39058" xr:uid="{00000000-0005-0000-0000-00008F5B0000}"/>
    <cellStyle name="Hard Coded 2 3 3 2 4" xfId="19799" xr:uid="{00000000-0005-0000-0000-0000905B0000}"/>
    <cellStyle name="Hard Coded 2 3 3 2 5" xfId="39056" xr:uid="{00000000-0005-0000-0000-0000915B0000}"/>
    <cellStyle name="Hard Coded 2 3 3 3" xfId="19800" xr:uid="{00000000-0005-0000-0000-0000925B0000}"/>
    <cellStyle name="Hard Coded 2 3 3 3 2" xfId="19801" xr:uid="{00000000-0005-0000-0000-0000935B0000}"/>
    <cellStyle name="Hard Coded 2 3 3 3 3" xfId="19802" xr:uid="{00000000-0005-0000-0000-0000945B0000}"/>
    <cellStyle name="Hard Coded 2 3 3 4" xfId="19803" xr:uid="{00000000-0005-0000-0000-0000955B0000}"/>
    <cellStyle name="Hard Coded 2 3 3 5" xfId="39055" xr:uid="{00000000-0005-0000-0000-0000965B0000}"/>
    <cellStyle name="Hard Coded 2 3 4" xfId="19804" xr:uid="{00000000-0005-0000-0000-0000975B0000}"/>
    <cellStyle name="Hard Coded 2 3 4 2" xfId="19805" xr:uid="{00000000-0005-0000-0000-0000985B0000}"/>
    <cellStyle name="Hard Coded 2 3 4 2 2" xfId="19806" xr:uid="{00000000-0005-0000-0000-0000995B0000}"/>
    <cellStyle name="Hard Coded 2 3 4 2 3" xfId="19807" xr:uid="{00000000-0005-0000-0000-00009A5B0000}"/>
    <cellStyle name="Hard Coded 2 3 4 2 4" xfId="39060" xr:uid="{00000000-0005-0000-0000-00009B5B0000}"/>
    <cellStyle name="Hard Coded 2 3 4 3" xfId="19808" xr:uid="{00000000-0005-0000-0000-00009C5B0000}"/>
    <cellStyle name="Hard Coded 2 3 4 3 2" xfId="39061" xr:uid="{00000000-0005-0000-0000-00009D5B0000}"/>
    <cellStyle name="Hard Coded 2 3 4 4" xfId="19809" xr:uid="{00000000-0005-0000-0000-00009E5B0000}"/>
    <cellStyle name="Hard Coded 2 3 4 5" xfId="39059" xr:uid="{00000000-0005-0000-0000-00009F5B0000}"/>
    <cellStyle name="Hard Coded 2 3 5" xfId="19810" xr:uid="{00000000-0005-0000-0000-0000A05B0000}"/>
    <cellStyle name="Hard Coded 2 3 5 2" xfId="19811" xr:uid="{00000000-0005-0000-0000-0000A15B0000}"/>
    <cellStyle name="Hard Coded 2 3 5 2 2" xfId="19812" xr:uid="{00000000-0005-0000-0000-0000A25B0000}"/>
    <cellStyle name="Hard Coded 2 3 5 2 3" xfId="19813" xr:uid="{00000000-0005-0000-0000-0000A35B0000}"/>
    <cellStyle name="Hard Coded 2 3 5 3" xfId="19814" xr:uid="{00000000-0005-0000-0000-0000A45B0000}"/>
    <cellStyle name="Hard Coded 2 3 5 4" xfId="19815" xr:uid="{00000000-0005-0000-0000-0000A55B0000}"/>
    <cellStyle name="Hard Coded 2 3 5 5" xfId="39062" xr:uid="{00000000-0005-0000-0000-0000A65B0000}"/>
    <cellStyle name="Hard Coded 2 3 6" xfId="19816" xr:uid="{00000000-0005-0000-0000-0000A75B0000}"/>
    <cellStyle name="Hard Coded 2 3 6 2" xfId="19817" xr:uid="{00000000-0005-0000-0000-0000A85B0000}"/>
    <cellStyle name="Hard Coded 2 3 6 2 2" xfId="19818" xr:uid="{00000000-0005-0000-0000-0000A95B0000}"/>
    <cellStyle name="Hard Coded 2 3 6 2 3" xfId="19819" xr:uid="{00000000-0005-0000-0000-0000AA5B0000}"/>
    <cellStyle name="Hard Coded 2 3 6 3" xfId="19820" xr:uid="{00000000-0005-0000-0000-0000AB5B0000}"/>
    <cellStyle name="Hard Coded 2 3 6 3 2" xfId="19821" xr:uid="{00000000-0005-0000-0000-0000AC5B0000}"/>
    <cellStyle name="Hard Coded 2 3 6 3 3" xfId="19822" xr:uid="{00000000-0005-0000-0000-0000AD5B0000}"/>
    <cellStyle name="Hard Coded 2 3 6 4" xfId="19823" xr:uid="{00000000-0005-0000-0000-0000AE5B0000}"/>
    <cellStyle name="Hard Coded 2 3 6 5" xfId="39063" xr:uid="{00000000-0005-0000-0000-0000AF5B0000}"/>
    <cellStyle name="Hard Coded 2 3 7" xfId="19824" xr:uid="{00000000-0005-0000-0000-0000B05B0000}"/>
    <cellStyle name="Hard Coded 2 3 8" xfId="35112" xr:uid="{00000000-0005-0000-0000-0000B15B0000}"/>
    <cellStyle name="Hard Coded 2 4" xfId="19825" xr:uid="{00000000-0005-0000-0000-0000B25B0000}"/>
    <cellStyle name="Hard Coded 2 4 2" xfId="19826" xr:uid="{00000000-0005-0000-0000-0000B35B0000}"/>
    <cellStyle name="Hard Coded 2 4 2 2" xfId="19827" xr:uid="{00000000-0005-0000-0000-0000B45B0000}"/>
    <cellStyle name="Hard Coded 2 4 2 2 2" xfId="19828" xr:uid="{00000000-0005-0000-0000-0000B55B0000}"/>
    <cellStyle name="Hard Coded 2 4 2 2 3" xfId="19829" xr:uid="{00000000-0005-0000-0000-0000B65B0000}"/>
    <cellStyle name="Hard Coded 2 4 2 2 4" xfId="39066" xr:uid="{00000000-0005-0000-0000-0000B75B0000}"/>
    <cellStyle name="Hard Coded 2 4 2 3" xfId="19830" xr:uid="{00000000-0005-0000-0000-0000B85B0000}"/>
    <cellStyle name="Hard Coded 2 4 2 3 2" xfId="39067" xr:uid="{00000000-0005-0000-0000-0000B95B0000}"/>
    <cellStyle name="Hard Coded 2 4 2 4" xfId="19831" xr:uid="{00000000-0005-0000-0000-0000BA5B0000}"/>
    <cellStyle name="Hard Coded 2 4 2 5" xfId="39065" xr:uid="{00000000-0005-0000-0000-0000BB5B0000}"/>
    <cellStyle name="Hard Coded 2 4 3" xfId="19832" xr:uid="{00000000-0005-0000-0000-0000BC5B0000}"/>
    <cellStyle name="Hard Coded 2 4 3 2" xfId="19833" xr:uid="{00000000-0005-0000-0000-0000BD5B0000}"/>
    <cellStyle name="Hard Coded 2 4 3 3" xfId="19834" xr:uid="{00000000-0005-0000-0000-0000BE5B0000}"/>
    <cellStyle name="Hard Coded 2 4 4" xfId="19835" xr:uid="{00000000-0005-0000-0000-0000BF5B0000}"/>
    <cellStyle name="Hard Coded 2 4 5" xfId="39064" xr:uid="{00000000-0005-0000-0000-0000C05B0000}"/>
    <cellStyle name="Hard Coded 2 5" xfId="19836" xr:uid="{00000000-0005-0000-0000-0000C15B0000}"/>
    <cellStyle name="Hard Coded 2 5 2" xfId="19837" xr:uid="{00000000-0005-0000-0000-0000C25B0000}"/>
    <cellStyle name="Hard Coded 2 5 2 2" xfId="19838" xr:uid="{00000000-0005-0000-0000-0000C35B0000}"/>
    <cellStyle name="Hard Coded 2 5 2 2 2" xfId="19839" xr:uid="{00000000-0005-0000-0000-0000C45B0000}"/>
    <cellStyle name="Hard Coded 2 5 2 2 3" xfId="19840" xr:uid="{00000000-0005-0000-0000-0000C55B0000}"/>
    <cellStyle name="Hard Coded 2 5 2 2 4" xfId="39070" xr:uid="{00000000-0005-0000-0000-0000C65B0000}"/>
    <cellStyle name="Hard Coded 2 5 2 3" xfId="19841" xr:uid="{00000000-0005-0000-0000-0000C75B0000}"/>
    <cellStyle name="Hard Coded 2 5 2 3 2" xfId="39071" xr:uid="{00000000-0005-0000-0000-0000C85B0000}"/>
    <cellStyle name="Hard Coded 2 5 2 4" xfId="19842" xr:uid="{00000000-0005-0000-0000-0000C95B0000}"/>
    <cellStyle name="Hard Coded 2 5 2 5" xfId="39069" xr:uid="{00000000-0005-0000-0000-0000CA5B0000}"/>
    <cellStyle name="Hard Coded 2 5 3" xfId="19843" xr:uid="{00000000-0005-0000-0000-0000CB5B0000}"/>
    <cellStyle name="Hard Coded 2 5 3 2" xfId="19844" xr:uid="{00000000-0005-0000-0000-0000CC5B0000}"/>
    <cellStyle name="Hard Coded 2 5 3 3" xfId="19845" xr:uid="{00000000-0005-0000-0000-0000CD5B0000}"/>
    <cellStyle name="Hard Coded 2 5 4" xfId="19846" xr:uid="{00000000-0005-0000-0000-0000CE5B0000}"/>
    <cellStyle name="Hard Coded 2 5 5" xfId="39068" xr:uid="{00000000-0005-0000-0000-0000CF5B0000}"/>
    <cellStyle name="Hard Coded 2 6" xfId="19847" xr:uid="{00000000-0005-0000-0000-0000D05B0000}"/>
    <cellStyle name="Hard Coded 2 6 2" xfId="19848" xr:uid="{00000000-0005-0000-0000-0000D15B0000}"/>
    <cellStyle name="Hard Coded 2 6 2 2" xfId="19849" xr:uid="{00000000-0005-0000-0000-0000D25B0000}"/>
    <cellStyle name="Hard Coded 2 6 2 3" xfId="19850" xr:uid="{00000000-0005-0000-0000-0000D35B0000}"/>
    <cellStyle name="Hard Coded 2 6 3" xfId="19851" xr:uid="{00000000-0005-0000-0000-0000D45B0000}"/>
    <cellStyle name="Hard Coded 2 6 4" xfId="19852" xr:uid="{00000000-0005-0000-0000-0000D55B0000}"/>
    <cellStyle name="Hard Coded 2 6 5" xfId="39072" xr:uid="{00000000-0005-0000-0000-0000D65B0000}"/>
    <cellStyle name="Hard Coded 2 7" xfId="19853" xr:uid="{00000000-0005-0000-0000-0000D75B0000}"/>
    <cellStyle name="Hard Coded 2 7 2" xfId="19854" xr:uid="{00000000-0005-0000-0000-0000D85B0000}"/>
    <cellStyle name="Hard Coded 2 7 2 2" xfId="19855" xr:uid="{00000000-0005-0000-0000-0000D95B0000}"/>
    <cellStyle name="Hard Coded 2 7 2 3" xfId="19856" xr:uid="{00000000-0005-0000-0000-0000DA5B0000}"/>
    <cellStyle name="Hard Coded 2 7 3" xfId="19857" xr:uid="{00000000-0005-0000-0000-0000DB5B0000}"/>
    <cellStyle name="Hard Coded 2 7 3 2" xfId="19858" xr:uid="{00000000-0005-0000-0000-0000DC5B0000}"/>
    <cellStyle name="Hard Coded 2 7 3 3" xfId="19859" xr:uid="{00000000-0005-0000-0000-0000DD5B0000}"/>
    <cellStyle name="Hard Coded 2 7 4" xfId="19860" xr:uid="{00000000-0005-0000-0000-0000DE5B0000}"/>
    <cellStyle name="Hard Coded 2 7 5" xfId="39073" xr:uid="{00000000-0005-0000-0000-0000DF5B0000}"/>
    <cellStyle name="Hard Coded 2 8" xfId="19861" xr:uid="{00000000-0005-0000-0000-0000E05B0000}"/>
    <cellStyle name="Hard Coded 2 9" xfId="35109" xr:uid="{00000000-0005-0000-0000-0000E15B0000}"/>
    <cellStyle name="Hard Coded 3" xfId="19862" xr:uid="{00000000-0005-0000-0000-0000E25B0000}"/>
    <cellStyle name="Hard Coded 3 10" xfId="35114" xr:uid="{00000000-0005-0000-0000-0000E35B0000}"/>
    <cellStyle name="Hard Coded 3 2" xfId="19863" xr:uid="{00000000-0005-0000-0000-0000E45B0000}"/>
    <cellStyle name="Hard Coded 3 2 2" xfId="19864" xr:uid="{00000000-0005-0000-0000-0000E55B0000}"/>
    <cellStyle name="Hard Coded 3 2 2 2" xfId="19865" xr:uid="{00000000-0005-0000-0000-0000E65B0000}"/>
    <cellStyle name="Hard Coded 3 2 2 2 2" xfId="19866" xr:uid="{00000000-0005-0000-0000-0000E75B0000}"/>
    <cellStyle name="Hard Coded 3 2 2 2 2 2" xfId="19867" xr:uid="{00000000-0005-0000-0000-0000E85B0000}"/>
    <cellStyle name="Hard Coded 3 2 2 2 2 3" xfId="19868" xr:uid="{00000000-0005-0000-0000-0000E95B0000}"/>
    <cellStyle name="Hard Coded 3 2 2 2 2 4" xfId="39075" xr:uid="{00000000-0005-0000-0000-0000EA5B0000}"/>
    <cellStyle name="Hard Coded 3 2 2 2 3" xfId="19869" xr:uid="{00000000-0005-0000-0000-0000EB5B0000}"/>
    <cellStyle name="Hard Coded 3 2 2 2 3 2" xfId="39076" xr:uid="{00000000-0005-0000-0000-0000EC5B0000}"/>
    <cellStyle name="Hard Coded 3 2 2 2 4" xfId="19870" xr:uid="{00000000-0005-0000-0000-0000ED5B0000}"/>
    <cellStyle name="Hard Coded 3 2 2 2 5" xfId="39074" xr:uid="{00000000-0005-0000-0000-0000EE5B0000}"/>
    <cellStyle name="Hard Coded 3 2 2 3" xfId="19871" xr:uid="{00000000-0005-0000-0000-0000EF5B0000}"/>
    <cellStyle name="Hard Coded 3 2 2 3 2" xfId="19872" xr:uid="{00000000-0005-0000-0000-0000F05B0000}"/>
    <cellStyle name="Hard Coded 3 2 2 3 2 2" xfId="19873" xr:uid="{00000000-0005-0000-0000-0000F15B0000}"/>
    <cellStyle name="Hard Coded 3 2 2 3 2 3" xfId="19874" xr:uid="{00000000-0005-0000-0000-0000F25B0000}"/>
    <cellStyle name="Hard Coded 3 2 2 3 3" xfId="19875" xr:uid="{00000000-0005-0000-0000-0000F35B0000}"/>
    <cellStyle name="Hard Coded 3 2 2 3 4" xfId="19876" xr:uid="{00000000-0005-0000-0000-0000F45B0000}"/>
    <cellStyle name="Hard Coded 3 2 2 3 5" xfId="39077" xr:uid="{00000000-0005-0000-0000-0000F55B0000}"/>
    <cellStyle name="Hard Coded 3 2 2 4" xfId="19877" xr:uid="{00000000-0005-0000-0000-0000F65B0000}"/>
    <cellStyle name="Hard Coded 3 2 2 5" xfId="35116" xr:uid="{00000000-0005-0000-0000-0000F75B0000}"/>
    <cellStyle name="Hard Coded 3 2 3" xfId="19878" xr:uid="{00000000-0005-0000-0000-0000F85B0000}"/>
    <cellStyle name="Hard Coded 3 2 3 2" xfId="19879" xr:uid="{00000000-0005-0000-0000-0000F95B0000}"/>
    <cellStyle name="Hard Coded 3 2 3 2 2" xfId="19880" xr:uid="{00000000-0005-0000-0000-0000FA5B0000}"/>
    <cellStyle name="Hard Coded 3 2 3 2 2 2" xfId="19881" xr:uid="{00000000-0005-0000-0000-0000FB5B0000}"/>
    <cellStyle name="Hard Coded 3 2 3 2 2 3" xfId="19882" xr:uid="{00000000-0005-0000-0000-0000FC5B0000}"/>
    <cellStyle name="Hard Coded 3 2 3 2 2 4" xfId="39080" xr:uid="{00000000-0005-0000-0000-0000FD5B0000}"/>
    <cellStyle name="Hard Coded 3 2 3 2 3" xfId="19883" xr:uid="{00000000-0005-0000-0000-0000FE5B0000}"/>
    <cellStyle name="Hard Coded 3 2 3 2 3 2" xfId="39081" xr:uid="{00000000-0005-0000-0000-0000FF5B0000}"/>
    <cellStyle name="Hard Coded 3 2 3 2 4" xfId="19884" xr:uid="{00000000-0005-0000-0000-0000005C0000}"/>
    <cellStyle name="Hard Coded 3 2 3 2 5" xfId="39079" xr:uid="{00000000-0005-0000-0000-0000015C0000}"/>
    <cellStyle name="Hard Coded 3 2 3 3" xfId="19885" xr:uid="{00000000-0005-0000-0000-0000025C0000}"/>
    <cellStyle name="Hard Coded 3 2 3 3 2" xfId="19886" xr:uid="{00000000-0005-0000-0000-0000035C0000}"/>
    <cellStyle name="Hard Coded 3 2 3 3 3" xfId="19887" xr:uid="{00000000-0005-0000-0000-0000045C0000}"/>
    <cellStyle name="Hard Coded 3 2 3 4" xfId="19888" xr:uid="{00000000-0005-0000-0000-0000055C0000}"/>
    <cellStyle name="Hard Coded 3 2 3 5" xfId="39078" xr:uid="{00000000-0005-0000-0000-0000065C0000}"/>
    <cellStyle name="Hard Coded 3 2 4" xfId="19889" xr:uid="{00000000-0005-0000-0000-0000075C0000}"/>
    <cellStyle name="Hard Coded 3 2 4 2" xfId="19890" xr:uid="{00000000-0005-0000-0000-0000085C0000}"/>
    <cellStyle name="Hard Coded 3 2 4 2 2" xfId="19891" xr:uid="{00000000-0005-0000-0000-0000095C0000}"/>
    <cellStyle name="Hard Coded 3 2 4 2 3" xfId="19892" xr:uid="{00000000-0005-0000-0000-00000A5C0000}"/>
    <cellStyle name="Hard Coded 3 2 4 2 4" xfId="39083" xr:uid="{00000000-0005-0000-0000-00000B5C0000}"/>
    <cellStyle name="Hard Coded 3 2 4 3" xfId="19893" xr:uid="{00000000-0005-0000-0000-00000C5C0000}"/>
    <cellStyle name="Hard Coded 3 2 4 4" xfId="19894" xr:uid="{00000000-0005-0000-0000-00000D5C0000}"/>
    <cellStyle name="Hard Coded 3 2 4 5" xfId="39082" xr:uid="{00000000-0005-0000-0000-00000E5C0000}"/>
    <cellStyle name="Hard Coded 3 2 5" xfId="19895" xr:uid="{00000000-0005-0000-0000-00000F5C0000}"/>
    <cellStyle name="Hard Coded 3 2 5 2" xfId="19896" xr:uid="{00000000-0005-0000-0000-0000105C0000}"/>
    <cellStyle name="Hard Coded 3 2 5 2 2" xfId="19897" xr:uid="{00000000-0005-0000-0000-0000115C0000}"/>
    <cellStyle name="Hard Coded 3 2 5 2 3" xfId="19898" xr:uid="{00000000-0005-0000-0000-0000125C0000}"/>
    <cellStyle name="Hard Coded 3 2 5 2 4" xfId="39085" xr:uid="{00000000-0005-0000-0000-0000135C0000}"/>
    <cellStyle name="Hard Coded 3 2 5 3" xfId="19899" xr:uid="{00000000-0005-0000-0000-0000145C0000}"/>
    <cellStyle name="Hard Coded 3 2 5 4" xfId="19900" xr:uid="{00000000-0005-0000-0000-0000155C0000}"/>
    <cellStyle name="Hard Coded 3 2 5 5" xfId="39084" xr:uid="{00000000-0005-0000-0000-0000165C0000}"/>
    <cellStyle name="Hard Coded 3 2 6" xfId="19901" xr:uid="{00000000-0005-0000-0000-0000175C0000}"/>
    <cellStyle name="Hard Coded 3 2 6 2" xfId="19902" xr:uid="{00000000-0005-0000-0000-0000185C0000}"/>
    <cellStyle name="Hard Coded 3 2 6 3" xfId="19903" xr:uid="{00000000-0005-0000-0000-0000195C0000}"/>
    <cellStyle name="Hard Coded 3 2 6 4" xfId="39086" xr:uid="{00000000-0005-0000-0000-00001A5C0000}"/>
    <cellStyle name="Hard Coded 3 2 7" xfId="19904" xr:uid="{00000000-0005-0000-0000-00001B5C0000}"/>
    <cellStyle name="Hard Coded 3 2 8" xfId="35115" xr:uid="{00000000-0005-0000-0000-00001C5C0000}"/>
    <cellStyle name="Hard Coded 3 3" xfId="19905" xr:uid="{00000000-0005-0000-0000-00001D5C0000}"/>
    <cellStyle name="Hard Coded 3 3 2" xfId="19906" xr:uid="{00000000-0005-0000-0000-00001E5C0000}"/>
    <cellStyle name="Hard Coded 3 3 2 2" xfId="19907" xr:uid="{00000000-0005-0000-0000-00001F5C0000}"/>
    <cellStyle name="Hard Coded 3 3 2 2 2" xfId="19908" xr:uid="{00000000-0005-0000-0000-0000205C0000}"/>
    <cellStyle name="Hard Coded 3 3 2 2 2 2" xfId="19909" xr:uid="{00000000-0005-0000-0000-0000215C0000}"/>
    <cellStyle name="Hard Coded 3 3 2 2 2 3" xfId="19910" xr:uid="{00000000-0005-0000-0000-0000225C0000}"/>
    <cellStyle name="Hard Coded 3 3 2 2 2 4" xfId="39089" xr:uid="{00000000-0005-0000-0000-0000235C0000}"/>
    <cellStyle name="Hard Coded 3 3 2 2 3" xfId="19911" xr:uid="{00000000-0005-0000-0000-0000245C0000}"/>
    <cellStyle name="Hard Coded 3 3 2 2 3 2" xfId="39090" xr:uid="{00000000-0005-0000-0000-0000255C0000}"/>
    <cellStyle name="Hard Coded 3 3 2 2 4" xfId="19912" xr:uid="{00000000-0005-0000-0000-0000265C0000}"/>
    <cellStyle name="Hard Coded 3 3 2 2 5" xfId="39088" xr:uid="{00000000-0005-0000-0000-0000275C0000}"/>
    <cellStyle name="Hard Coded 3 3 2 3" xfId="19913" xr:uid="{00000000-0005-0000-0000-0000285C0000}"/>
    <cellStyle name="Hard Coded 3 3 2 3 2" xfId="19914" xr:uid="{00000000-0005-0000-0000-0000295C0000}"/>
    <cellStyle name="Hard Coded 3 3 2 3 3" xfId="19915" xr:uid="{00000000-0005-0000-0000-00002A5C0000}"/>
    <cellStyle name="Hard Coded 3 3 2 4" xfId="19916" xr:uid="{00000000-0005-0000-0000-00002B5C0000}"/>
    <cellStyle name="Hard Coded 3 3 2 5" xfId="39087" xr:uid="{00000000-0005-0000-0000-00002C5C0000}"/>
    <cellStyle name="Hard Coded 3 3 3" xfId="19917" xr:uid="{00000000-0005-0000-0000-00002D5C0000}"/>
    <cellStyle name="Hard Coded 3 3 3 2" xfId="19918" xr:uid="{00000000-0005-0000-0000-00002E5C0000}"/>
    <cellStyle name="Hard Coded 3 3 3 2 2" xfId="19919" xr:uid="{00000000-0005-0000-0000-00002F5C0000}"/>
    <cellStyle name="Hard Coded 3 3 3 2 2 2" xfId="19920" xr:uid="{00000000-0005-0000-0000-0000305C0000}"/>
    <cellStyle name="Hard Coded 3 3 3 2 2 3" xfId="19921" xr:uid="{00000000-0005-0000-0000-0000315C0000}"/>
    <cellStyle name="Hard Coded 3 3 3 2 2 4" xfId="39093" xr:uid="{00000000-0005-0000-0000-0000325C0000}"/>
    <cellStyle name="Hard Coded 3 3 3 2 3" xfId="19922" xr:uid="{00000000-0005-0000-0000-0000335C0000}"/>
    <cellStyle name="Hard Coded 3 3 3 2 3 2" xfId="39094" xr:uid="{00000000-0005-0000-0000-0000345C0000}"/>
    <cellStyle name="Hard Coded 3 3 3 2 4" xfId="19923" xr:uid="{00000000-0005-0000-0000-0000355C0000}"/>
    <cellStyle name="Hard Coded 3 3 3 2 5" xfId="39092" xr:uid="{00000000-0005-0000-0000-0000365C0000}"/>
    <cellStyle name="Hard Coded 3 3 3 3" xfId="19924" xr:uid="{00000000-0005-0000-0000-0000375C0000}"/>
    <cellStyle name="Hard Coded 3 3 3 3 2" xfId="19925" xr:uid="{00000000-0005-0000-0000-0000385C0000}"/>
    <cellStyle name="Hard Coded 3 3 3 3 3" xfId="19926" xr:uid="{00000000-0005-0000-0000-0000395C0000}"/>
    <cellStyle name="Hard Coded 3 3 3 4" xfId="19927" xr:uid="{00000000-0005-0000-0000-00003A5C0000}"/>
    <cellStyle name="Hard Coded 3 3 3 5" xfId="39091" xr:uid="{00000000-0005-0000-0000-00003B5C0000}"/>
    <cellStyle name="Hard Coded 3 3 4" xfId="19928" xr:uid="{00000000-0005-0000-0000-00003C5C0000}"/>
    <cellStyle name="Hard Coded 3 3 4 2" xfId="19929" xr:uid="{00000000-0005-0000-0000-00003D5C0000}"/>
    <cellStyle name="Hard Coded 3 3 4 2 2" xfId="19930" xr:uid="{00000000-0005-0000-0000-00003E5C0000}"/>
    <cellStyle name="Hard Coded 3 3 4 2 3" xfId="19931" xr:uid="{00000000-0005-0000-0000-00003F5C0000}"/>
    <cellStyle name="Hard Coded 3 3 4 2 4" xfId="39096" xr:uid="{00000000-0005-0000-0000-0000405C0000}"/>
    <cellStyle name="Hard Coded 3 3 4 3" xfId="19932" xr:uid="{00000000-0005-0000-0000-0000415C0000}"/>
    <cellStyle name="Hard Coded 3 3 4 4" xfId="19933" xr:uid="{00000000-0005-0000-0000-0000425C0000}"/>
    <cellStyle name="Hard Coded 3 3 4 5" xfId="39095" xr:uid="{00000000-0005-0000-0000-0000435C0000}"/>
    <cellStyle name="Hard Coded 3 3 5" xfId="19934" xr:uid="{00000000-0005-0000-0000-0000445C0000}"/>
    <cellStyle name="Hard Coded 3 3 5 2" xfId="39097" xr:uid="{00000000-0005-0000-0000-0000455C0000}"/>
    <cellStyle name="Hard Coded 3 3 6" xfId="19935" xr:uid="{00000000-0005-0000-0000-0000465C0000}"/>
    <cellStyle name="Hard Coded 3 3 7" xfId="35117" xr:uid="{00000000-0005-0000-0000-0000475C0000}"/>
    <cellStyle name="Hard Coded 3 4" xfId="19936" xr:uid="{00000000-0005-0000-0000-0000485C0000}"/>
    <cellStyle name="Hard Coded 3 4 2" xfId="19937" xr:uid="{00000000-0005-0000-0000-0000495C0000}"/>
    <cellStyle name="Hard Coded 3 4 2 2" xfId="19938" xr:uid="{00000000-0005-0000-0000-00004A5C0000}"/>
    <cellStyle name="Hard Coded 3 4 2 2 2" xfId="19939" xr:uid="{00000000-0005-0000-0000-00004B5C0000}"/>
    <cellStyle name="Hard Coded 3 4 2 2 3" xfId="19940" xr:uid="{00000000-0005-0000-0000-00004C5C0000}"/>
    <cellStyle name="Hard Coded 3 4 2 2 4" xfId="39100" xr:uid="{00000000-0005-0000-0000-00004D5C0000}"/>
    <cellStyle name="Hard Coded 3 4 2 3" xfId="19941" xr:uid="{00000000-0005-0000-0000-00004E5C0000}"/>
    <cellStyle name="Hard Coded 3 4 2 3 2" xfId="39101" xr:uid="{00000000-0005-0000-0000-00004F5C0000}"/>
    <cellStyle name="Hard Coded 3 4 2 4" xfId="19942" xr:uid="{00000000-0005-0000-0000-0000505C0000}"/>
    <cellStyle name="Hard Coded 3 4 2 5" xfId="39099" xr:uid="{00000000-0005-0000-0000-0000515C0000}"/>
    <cellStyle name="Hard Coded 3 4 3" xfId="19943" xr:uid="{00000000-0005-0000-0000-0000525C0000}"/>
    <cellStyle name="Hard Coded 3 4 3 2" xfId="19944" xr:uid="{00000000-0005-0000-0000-0000535C0000}"/>
    <cellStyle name="Hard Coded 3 4 3 3" xfId="19945" xr:uid="{00000000-0005-0000-0000-0000545C0000}"/>
    <cellStyle name="Hard Coded 3 4 4" xfId="19946" xr:uid="{00000000-0005-0000-0000-0000555C0000}"/>
    <cellStyle name="Hard Coded 3 4 5" xfId="39098" xr:uid="{00000000-0005-0000-0000-0000565C0000}"/>
    <cellStyle name="Hard Coded 3 5" xfId="19947" xr:uid="{00000000-0005-0000-0000-0000575C0000}"/>
    <cellStyle name="Hard Coded 3 5 2" xfId="19948" xr:uid="{00000000-0005-0000-0000-0000585C0000}"/>
    <cellStyle name="Hard Coded 3 5 2 2" xfId="19949" xr:uid="{00000000-0005-0000-0000-0000595C0000}"/>
    <cellStyle name="Hard Coded 3 5 2 2 2" xfId="19950" xr:uid="{00000000-0005-0000-0000-00005A5C0000}"/>
    <cellStyle name="Hard Coded 3 5 2 2 3" xfId="19951" xr:uid="{00000000-0005-0000-0000-00005B5C0000}"/>
    <cellStyle name="Hard Coded 3 5 2 2 4" xfId="39104" xr:uid="{00000000-0005-0000-0000-00005C5C0000}"/>
    <cellStyle name="Hard Coded 3 5 2 3" xfId="19952" xr:uid="{00000000-0005-0000-0000-00005D5C0000}"/>
    <cellStyle name="Hard Coded 3 5 2 3 2" xfId="39105" xr:uid="{00000000-0005-0000-0000-00005E5C0000}"/>
    <cellStyle name="Hard Coded 3 5 2 4" xfId="19953" xr:uid="{00000000-0005-0000-0000-00005F5C0000}"/>
    <cellStyle name="Hard Coded 3 5 2 5" xfId="39103" xr:uid="{00000000-0005-0000-0000-0000605C0000}"/>
    <cellStyle name="Hard Coded 3 5 3" xfId="19954" xr:uid="{00000000-0005-0000-0000-0000615C0000}"/>
    <cellStyle name="Hard Coded 3 5 3 2" xfId="19955" xr:uid="{00000000-0005-0000-0000-0000625C0000}"/>
    <cellStyle name="Hard Coded 3 5 3 3" xfId="19956" xr:uid="{00000000-0005-0000-0000-0000635C0000}"/>
    <cellStyle name="Hard Coded 3 5 4" xfId="19957" xr:uid="{00000000-0005-0000-0000-0000645C0000}"/>
    <cellStyle name="Hard Coded 3 5 5" xfId="39102" xr:uid="{00000000-0005-0000-0000-0000655C0000}"/>
    <cellStyle name="Hard Coded 3 6" xfId="19958" xr:uid="{00000000-0005-0000-0000-0000665C0000}"/>
    <cellStyle name="Hard Coded 3 6 2" xfId="19959" xr:uid="{00000000-0005-0000-0000-0000675C0000}"/>
    <cellStyle name="Hard Coded 3 6 2 2" xfId="19960" xr:uid="{00000000-0005-0000-0000-0000685C0000}"/>
    <cellStyle name="Hard Coded 3 6 2 3" xfId="19961" xr:uid="{00000000-0005-0000-0000-0000695C0000}"/>
    <cellStyle name="Hard Coded 3 6 2 4" xfId="39107" xr:uid="{00000000-0005-0000-0000-00006A5C0000}"/>
    <cellStyle name="Hard Coded 3 6 3" xfId="19962" xr:uid="{00000000-0005-0000-0000-00006B5C0000}"/>
    <cellStyle name="Hard Coded 3 6 4" xfId="19963" xr:uid="{00000000-0005-0000-0000-00006C5C0000}"/>
    <cellStyle name="Hard Coded 3 6 5" xfId="39106" xr:uid="{00000000-0005-0000-0000-00006D5C0000}"/>
    <cellStyle name="Hard Coded 3 7" xfId="19964" xr:uid="{00000000-0005-0000-0000-00006E5C0000}"/>
    <cellStyle name="Hard Coded 3 7 2" xfId="19965" xr:uid="{00000000-0005-0000-0000-00006F5C0000}"/>
    <cellStyle name="Hard Coded 3 7 2 2" xfId="19966" xr:uid="{00000000-0005-0000-0000-0000705C0000}"/>
    <cellStyle name="Hard Coded 3 7 2 3" xfId="19967" xr:uid="{00000000-0005-0000-0000-0000715C0000}"/>
    <cellStyle name="Hard Coded 3 7 2 4" xfId="39109" xr:uid="{00000000-0005-0000-0000-0000725C0000}"/>
    <cellStyle name="Hard Coded 3 7 3" xfId="19968" xr:uid="{00000000-0005-0000-0000-0000735C0000}"/>
    <cellStyle name="Hard Coded 3 7 4" xfId="19969" xr:uid="{00000000-0005-0000-0000-0000745C0000}"/>
    <cellStyle name="Hard Coded 3 7 5" xfId="39108" xr:uid="{00000000-0005-0000-0000-0000755C0000}"/>
    <cellStyle name="Hard Coded 3 8" xfId="19970" xr:uid="{00000000-0005-0000-0000-0000765C0000}"/>
    <cellStyle name="Hard Coded 3 8 2" xfId="19971" xr:uid="{00000000-0005-0000-0000-0000775C0000}"/>
    <cellStyle name="Hard Coded 3 8 3" xfId="19972" xr:uid="{00000000-0005-0000-0000-0000785C0000}"/>
    <cellStyle name="Hard Coded 3 8 4" xfId="39110" xr:uid="{00000000-0005-0000-0000-0000795C0000}"/>
    <cellStyle name="Hard Coded 3 9" xfId="19973" xr:uid="{00000000-0005-0000-0000-00007A5C0000}"/>
    <cellStyle name="Hard Coded 4" xfId="19974" xr:uid="{00000000-0005-0000-0000-00007B5C0000}"/>
    <cellStyle name="Hard Coded 4 10" xfId="35118" xr:uid="{00000000-0005-0000-0000-00007C5C0000}"/>
    <cellStyle name="Hard Coded 4 2" xfId="19975" xr:uid="{00000000-0005-0000-0000-00007D5C0000}"/>
    <cellStyle name="Hard Coded 4 2 2" xfId="19976" xr:uid="{00000000-0005-0000-0000-00007E5C0000}"/>
    <cellStyle name="Hard Coded 4 2 2 2" xfId="19977" xr:uid="{00000000-0005-0000-0000-00007F5C0000}"/>
    <cellStyle name="Hard Coded 4 2 2 2 2" xfId="19978" xr:uid="{00000000-0005-0000-0000-0000805C0000}"/>
    <cellStyle name="Hard Coded 4 2 2 2 2 2" xfId="19979" xr:uid="{00000000-0005-0000-0000-0000815C0000}"/>
    <cellStyle name="Hard Coded 4 2 2 2 2 3" xfId="19980" xr:uid="{00000000-0005-0000-0000-0000825C0000}"/>
    <cellStyle name="Hard Coded 4 2 2 2 2 4" xfId="39112" xr:uid="{00000000-0005-0000-0000-0000835C0000}"/>
    <cellStyle name="Hard Coded 4 2 2 2 3" xfId="19981" xr:uid="{00000000-0005-0000-0000-0000845C0000}"/>
    <cellStyle name="Hard Coded 4 2 2 2 3 2" xfId="39113" xr:uid="{00000000-0005-0000-0000-0000855C0000}"/>
    <cellStyle name="Hard Coded 4 2 2 2 4" xfId="19982" xr:uid="{00000000-0005-0000-0000-0000865C0000}"/>
    <cellStyle name="Hard Coded 4 2 2 2 5" xfId="39111" xr:uid="{00000000-0005-0000-0000-0000875C0000}"/>
    <cellStyle name="Hard Coded 4 2 2 3" xfId="19983" xr:uid="{00000000-0005-0000-0000-0000885C0000}"/>
    <cellStyle name="Hard Coded 4 2 2 3 2" xfId="19984" xr:uid="{00000000-0005-0000-0000-0000895C0000}"/>
    <cellStyle name="Hard Coded 4 2 2 3 2 2" xfId="19985" xr:uid="{00000000-0005-0000-0000-00008A5C0000}"/>
    <cellStyle name="Hard Coded 4 2 2 3 2 3" xfId="19986" xr:uid="{00000000-0005-0000-0000-00008B5C0000}"/>
    <cellStyle name="Hard Coded 4 2 2 3 3" xfId="19987" xr:uid="{00000000-0005-0000-0000-00008C5C0000}"/>
    <cellStyle name="Hard Coded 4 2 2 3 4" xfId="19988" xr:uid="{00000000-0005-0000-0000-00008D5C0000}"/>
    <cellStyle name="Hard Coded 4 2 2 3 5" xfId="39114" xr:uid="{00000000-0005-0000-0000-00008E5C0000}"/>
    <cellStyle name="Hard Coded 4 2 2 4" xfId="19989" xr:uid="{00000000-0005-0000-0000-00008F5C0000}"/>
    <cellStyle name="Hard Coded 4 2 2 5" xfId="35120" xr:uid="{00000000-0005-0000-0000-0000905C0000}"/>
    <cellStyle name="Hard Coded 4 2 3" xfId="19990" xr:uid="{00000000-0005-0000-0000-0000915C0000}"/>
    <cellStyle name="Hard Coded 4 2 3 2" xfId="19991" xr:uid="{00000000-0005-0000-0000-0000925C0000}"/>
    <cellStyle name="Hard Coded 4 2 3 2 2" xfId="19992" xr:uid="{00000000-0005-0000-0000-0000935C0000}"/>
    <cellStyle name="Hard Coded 4 2 3 2 2 2" xfId="19993" xr:uid="{00000000-0005-0000-0000-0000945C0000}"/>
    <cellStyle name="Hard Coded 4 2 3 2 2 3" xfId="19994" xr:uid="{00000000-0005-0000-0000-0000955C0000}"/>
    <cellStyle name="Hard Coded 4 2 3 2 2 4" xfId="39117" xr:uid="{00000000-0005-0000-0000-0000965C0000}"/>
    <cellStyle name="Hard Coded 4 2 3 2 3" xfId="19995" xr:uid="{00000000-0005-0000-0000-0000975C0000}"/>
    <cellStyle name="Hard Coded 4 2 3 2 3 2" xfId="39118" xr:uid="{00000000-0005-0000-0000-0000985C0000}"/>
    <cellStyle name="Hard Coded 4 2 3 2 4" xfId="19996" xr:uid="{00000000-0005-0000-0000-0000995C0000}"/>
    <cellStyle name="Hard Coded 4 2 3 2 5" xfId="39116" xr:uid="{00000000-0005-0000-0000-00009A5C0000}"/>
    <cellStyle name="Hard Coded 4 2 3 3" xfId="19997" xr:uid="{00000000-0005-0000-0000-00009B5C0000}"/>
    <cellStyle name="Hard Coded 4 2 3 3 2" xfId="19998" xr:uid="{00000000-0005-0000-0000-00009C5C0000}"/>
    <cellStyle name="Hard Coded 4 2 3 3 3" xfId="19999" xr:uid="{00000000-0005-0000-0000-00009D5C0000}"/>
    <cellStyle name="Hard Coded 4 2 3 4" xfId="20000" xr:uid="{00000000-0005-0000-0000-00009E5C0000}"/>
    <cellStyle name="Hard Coded 4 2 3 5" xfId="39115" xr:uid="{00000000-0005-0000-0000-00009F5C0000}"/>
    <cellStyle name="Hard Coded 4 2 4" xfId="20001" xr:uid="{00000000-0005-0000-0000-0000A05C0000}"/>
    <cellStyle name="Hard Coded 4 2 4 2" xfId="20002" xr:uid="{00000000-0005-0000-0000-0000A15C0000}"/>
    <cellStyle name="Hard Coded 4 2 4 2 2" xfId="20003" xr:uid="{00000000-0005-0000-0000-0000A25C0000}"/>
    <cellStyle name="Hard Coded 4 2 4 2 3" xfId="20004" xr:uid="{00000000-0005-0000-0000-0000A35C0000}"/>
    <cellStyle name="Hard Coded 4 2 4 2 4" xfId="39120" xr:uid="{00000000-0005-0000-0000-0000A45C0000}"/>
    <cellStyle name="Hard Coded 4 2 4 3" xfId="20005" xr:uid="{00000000-0005-0000-0000-0000A55C0000}"/>
    <cellStyle name="Hard Coded 4 2 4 4" xfId="20006" xr:uid="{00000000-0005-0000-0000-0000A65C0000}"/>
    <cellStyle name="Hard Coded 4 2 4 5" xfId="39119" xr:uid="{00000000-0005-0000-0000-0000A75C0000}"/>
    <cellStyle name="Hard Coded 4 2 5" xfId="20007" xr:uid="{00000000-0005-0000-0000-0000A85C0000}"/>
    <cellStyle name="Hard Coded 4 2 5 2" xfId="20008" xr:uid="{00000000-0005-0000-0000-0000A95C0000}"/>
    <cellStyle name="Hard Coded 4 2 5 2 2" xfId="20009" xr:uid="{00000000-0005-0000-0000-0000AA5C0000}"/>
    <cellStyle name="Hard Coded 4 2 5 2 3" xfId="20010" xr:uid="{00000000-0005-0000-0000-0000AB5C0000}"/>
    <cellStyle name="Hard Coded 4 2 5 2 4" xfId="39122" xr:uid="{00000000-0005-0000-0000-0000AC5C0000}"/>
    <cellStyle name="Hard Coded 4 2 5 3" xfId="20011" xr:uid="{00000000-0005-0000-0000-0000AD5C0000}"/>
    <cellStyle name="Hard Coded 4 2 5 4" xfId="20012" xr:uid="{00000000-0005-0000-0000-0000AE5C0000}"/>
    <cellStyle name="Hard Coded 4 2 5 5" xfId="39121" xr:uid="{00000000-0005-0000-0000-0000AF5C0000}"/>
    <cellStyle name="Hard Coded 4 2 6" xfId="20013" xr:uid="{00000000-0005-0000-0000-0000B05C0000}"/>
    <cellStyle name="Hard Coded 4 2 7" xfId="20014" xr:uid="{00000000-0005-0000-0000-0000B15C0000}"/>
    <cellStyle name="Hard Coded 4 2 8" xfId="35119" xr:uid="{00000000-0005-0000-0000-0000B25C0000}"/>
    <cellStyle name="Hard Coded 4 3" xfId="20015" xr:uid="{00000000-0005-0000-0000-0000B35C0000}"/>
    <cellStyle name="Hard Coded 4 3 2" xfId="20016" xr:uid="{00000000-0005-0000-0000-0000B45C0000}"/>
    <cellStyle name="Hard Coded 4 3 2 2" xfId="20017" xr:uid="{00000000-0005-0000-0000-0000B55C0000}"/>
    <cellStyle name="Hard Coded 4 3 2 2 2" xfId="20018" xr:uid="{00000000-0005-0000-0000-0000B65C0000}"/>
    <cellStyle name="Hard Coded 4 3 2 2 2 2" xfId="20019" xr:uid="{00000000-0005-0000-0000-0000B75C0000}"/>
    <cellStyle name="Hard Coded 4 3 2 2 2 3" xfId="20020" xr:uid="{00000000-0005-0000-0000-0000B85C0000}"/>
    <cellStyle name="Hard Coded 4 3 2 2 2 4" xfId="39125" xr:uid="{00000000-0005-0000-0000-0000B95C0000}"/>
    <cellStyle name="Hard Coded 4 3 2 2 3" xfId="20021" xr:uid="{00000000-0005-0000-0000-0000BA5C0000}"/>
    <cellStyle name="Hard Coded 4 3 2 2 3 2" xfId="39126" xr:uid="{00000000-0005-0000-0000-0000BB5C0000}"/>
    <cellStyle name="Hard Coded 4 3 2 2 4" xfId="20022" xr:uid="{00000000-0005-0000-0000-0000BC5C0000}"/>
    <cellStyle name="Hard Coded 4 3 2 2 5" xfId="39124" xr:uid="{00000000-0005-0000-0000-0000BD5C0000}"/>
    <cellStyle name="Hard Coded 4 3 2 3" xfId="20023" xr:uid="{00000000-0005-0000-0000-0000BE5C0000}"/>
    <cellStyle name="Hard Coded 4 3 2 3 2" xfId="20024" xr:uid="{00000000-0005-0000-0000-0000BF5C0000}"/>
    <cellStyle name="Hard Coded 4 3 2 3 3" xfId="20025" xr:uid="{00000000-0005-0000-0000-0000C05C0000}"/>
    <cellStyle name="Hard Coded 4 3 2 4" xfId="20026" xr:uid="{00000000-0005-0000-0000-0000C15C0000}"/>
    <cellStyle name="Hard Coded 4 3 2 5" xfId="39123" xr:uid="{00000000-0005-0000-0000-0000C25C0000}"/>
    <cellStyle name="Hard Coded 4 3 3" xfId="20027" xr:uid="{00000000-0005-0000-0000-0000C35C0000}"/>
    <cellStyle name="Hard Coded 4 3 3 2" xfId="20028" xr:uid="{00000000-0005-0000-0000-0000C45C0000}"/>
    <cellStyle name="Hard Coded 4 3 3 2 2" xfId="20029" xr:uid="{00000000-0005-0000-0000-0000C55C0000}"/>
    <cellStyle name="Hard Coded 4 3 3 2 2 2" xfId="20030" xr:uid="{00000000-0005-0000-0000-0000C65C0000}"/>
    <cellStyle name="Hard Coded 4 3 3 2 2 3" xfId="20031" xr:uid="{00000000-0005-0000-0000-0000C75C0000}"/>
    <cellStyle name="Hard Coded 4 3 3 2 2 4" xfId="39129" xr:uid="{00000000-0005-0000-0000-0000C85C0000}"/>
    <cellStyle name="Hard Coded 4 3 3 2 3" xfId="20032" xr:uid="{00000000-0005-0000-0000-0000C95C0000}"/>
    <cellStyle name="Hard Coded 4 3 3 2 3 2" xfId="39130" xr:uid="{00000000-0005-0000-0000-0000CA5C0000}"/>
    <cellStyle name="Hard Coded 4 3 3 2 4" xfId="20033" xr:uid="{00000000-0005-0000-0000-0000CB5C0000}"/>
    <cellStyle name="Hard Coded 4 3 3 2 5" xfId="39128" xr:uid="{00000000-0005-0000-0000-0000CC5C0000}"/>
    <cellStyle name="Hard Coded 4 3 3 3" xfId="20034" xr:uid="{00000000-0005-0000-0000-0000CD5C0000}"/>
    <cellStyle name="Hard Coded 4 3 3 3 2" xfId="20035" xr:uid="{00000000-0005-0000-0000-0000CE5C0000}"/>
    <cellStyle name="Hard Coded 4 3 3 3 3" xfId="20036" xr:uid="{00000000-0005-0000-0000-0000CF5C0000}"/>
    <cellStyle name="Hard Coded 4 3 3 4" xfId="20037" xr:uid="{00000000-0005-0000-0000-0000D05C0000}"/>
    <cellStyle name="Hard Coded 4 3 3 5" xfId="39127" xr:uid="{00000000-0005-0000-0000-0000D15C0000}"/>
    <cellStyle name="Hard Coded 4 3 4" xfId="20038" xr:uid="{00000000-0005-0000-0000-0000D25C0000}"/>
    <cellStyle name="Hard Coded 4 3 4 2" xfId="20039" xr:uid="{00000000-0005-0000-0000-0000D35C0000}"/>
    <cellStyle name="Hard Coded 4 3 4 2 2" xfId="20040" xr:uid="{00000000-0005-0000-0000-0000D45C0000}"/>
    <cellStyle name="Hard Coded 4 3 4 2 3" xfId="20041" xr:uid="{00000000-0005-0000-0000-0000D55C0000}"/>
    <cellStyle name="Hard Coded 4 3 4 2 4" xfId="39132" xr:uid="{00000000-0005-0000-0000-0000D65C0000}"/>
    <cellStyle name="Hard Coded 4 3 4 3" xfId="20042" xr:uid="{00000000-0005-0000-0000-0000D75C0000}"/>
    <cellStyle name="Hard Coded 4 3 4 4" xfId="20043" xr:uid="{00000000-0005-0000-0000-0000D85C0000}"/>
    <cellStyle name="Hard Coded 4 3 4 5" xfId="39131" xr:uid="{00000000-0005-0000-0000-0000D95C0000}"/>
    <cellStyle name="Hard Coded 4 3 5" xfId="20044" xr:uid="{00000000-0005-0000-0000-0000DA5C0000}"/>
    <cellStyle name="Hard Coded 4 3 5 2" xfId="39133" xr:uid="{00000000-0005-0000-0000-0000DB5C0000}"/>
    <cellStyle name="Hard Coded 4 3 6" xfId="20045" xr:uid="{00000000-0005-0000-0000-0000DC5C0000}"/>
    <cellStyle name="Hard Coded 4 3 7" xfId="35121" xr:uid="{00000000-0005-0000-0000-0000DD5C0000}"/>
    <cellStyle name="Hard Coded 4 4" xfId="20046" xr:uid="{00000000-0005-0000-0000-0000DE5C0000}"/>
    <cellStyle name="Hard Coded 4 4 2" xfId="20047" xr:uid="{00000000-0005-0000-0000-0000DF5C0000}"/>
    <cellStyle name="Hard Coded 4 4 2 2" xfId="20048" xr:uid="{00000000-0005-0000-0000-0000E05C0000}"/>
    <cellStyle name="Hard Coded 4 4 2 2 2" xfId="20049" xr:uid="{00000000-0005-0000-0000-0000E15C0000}"/>
    <cellStyle name="Hard Coded 4 4 2 2 3" xfId="20050" xr:uid="{00000000-0005-0000-0000-0000E25C0000}"/>
    <cellStyle name="Hard Coded 4 4 2 2 4" xfId="39136" xr:uid="{00000000-0005-0000-0000-0000E35C0000}"/>
    <cellStyle name="Hard Coded 4 4 2 3" xfId="20051" xr:uid="{00000000-0005-0000-0000-0000E45C0000}"/>
    <cellStyle name="Hard Coded 4 4 2 3 2" xfId="39137" xr:uid="{00000000-0005-0000-0000-0000E55C0000}"/>
    <cellStyle name="Hard Coded 4 4 2 4" xfId="20052" xr:uid="{00000000-0005-0000-0000-0000E65C0000}"/>
    <cellStyle name="Hard Coded 4 4 2 5" xfId="39135" xr:uid="{00000000-0005-0000-0000-0000E75C0000}"/>
    <cellStyle name="Hard Coded 4 4 3" xfId="20053" xr:uid="{00000000-0005-0000-0000-0000E85C0000}"/>
    <cellStyle name="Hard Coded 4 4 3 2" xfId="20054" xr:uid="{00000000-0005-0000-0000-0000E95C0000}"/>
    <cellStyle name="Hard Coded 4 4 3 3" xfId="20055" xr:uid="{00000000-0005-0000-0000-0000EA5C0000}"/>
    <cellStyle name="Hard Coded 4 4 4" xfId="20056" xr:uid="{00000000-0005-0000-0000-0000EB5C0000}"/>
    <cellStyle name="Hard Coded 4 4 5" xfId="39134" xr:uid="{00000000-0005-0000-0000-0000EC5C0000}"/>
    <cellStyle name="Hard Coded 4 5" xfId="20057" xr:uid="{00000000-0005-0000-0000-0000ED5C0000}"/>
    <cellStyle name="Hard Coded 4 5 2" xfId="20058" xr:uid="{00000000-0005-0000-0000-0000EE5C0000}"/>
    <cellStyle name="Hard Coded 4 5 2 2" xfId="20059" xr:uid="{00000000-0005-0000-0000-0000EF5C0000}"/>
    <cellStyle name="Hard Coded 4 5 2 2 2" xfId="20060" xr:uid="{00000000-0005-0000-0000-0000F05C0000}"/>
    <cellStyle name="Hard Coded 4 5 2 2 3" xfId="20061" xr:uid="{00000000-0005-0000-0000-0000F15C0000}"/>
    <cellStyle name="Hard Coded 4 5 2 2 4" xfId="39140" xr:uid="{00000000-0005-0000-0000-0000F25C0000}"/>
    <cellStyle name="Hard Coded 4 5 2 3" xfId="20062" xr:uid="{00000000-0005-0000-0000-0000F35C0000}"/>
    <cellStyle name="Hard Coded 4 5 2 3 2" xfId="39141" xr:uid="{00000000-0005-0000-0000-0000F45C0000}"/>
    <cellStyle name="Hard Coded 4 5 2 4" xfId="20063" xr:uid="{00000000-0005-0000-0000-0000F55C0000}"/>
    <cellStyle name="Hard Coded 4 5 2 5" xfId="39139" xr:uid="{00000000-0005-0000-0000-0000F65C0000}"/>
    <cellStyle name="Hard Coded 4 5 3" xfId="20064" xr:uid="{00000000-0005-0000-0000-0000F75C0000}"/>
    <cellStyle name="Hard Coded 4 5 3 2" xfId="20065" xr:uid="{00000000-0005-0000-0000-0000F85C0000}"/>
    <cellStyle name="Hard Coded 4 5 3 3" xfId="20066" xr:uid="{00000000-0005-0000-0000-0000F95C0000}"/>
    <cellStyle name="Hard Coded 4 5 4" xfId="20067" xr:uid="{00000000-0005-0000-0000-0000FA5C0000}"/>
    <cellStyle name="Hard Coded 4 5 5" xfId="39138" xr:uid="{00000000-0005-0000-0000-0000FB5C0000}"/>
    <cellStyle name="Hard Coded 4 6" xfId="20068" xr:uid="{00000000-0005-0000-0000-0000FC5C0000}"/>
    <cellStyle name="Hard Coded 4 6 2" xfId="20069" xr:uid="{00000000-0005-0000-0000-0000FD5C0000}"/>
    <cellStyle name="Hard Coded 4 6 2 2" xfId="20070" xr:uid="{00000000-0005-0000-0000-0000FE5C0000}"/>
    <cellStyle name="Hard Coded 4 6 2 3" xfId="20071" xr:uid="{00000000-0005-0000-0000-0000FF5C0000}"/>
    <cellStyle name="Hard Coded 4 6 2 4" xfId="39143" xr:uid="{00000000-0005-0000-0000-0000005D0000}"/>
    <cellStyle name="Hard Coded 4 6 3" xfId="20072" xr:uid="{00000000-0005-0000-0000-0000015D0000}"/>
    <cellStyle name="Hard Coded 4 6 4" xfId="20073" xr:uid="{00000000-0005-0000-0000-0000025D0000}"/>
    <cellStyle name="Hard Coded 4 6 5" xfId="39142" xr:uid="{00000000-0005-0000-0000-0000035D0000}"/>
    <cellStyle name="Hard Coded 4 7" xfId="20074" xr:uid="{00000000-0005-0000-0000-0000045D0000}"/>
    <cellStyle name="Hard Coded 4 7 2" xfId="20075" xr:uid="{00000000-0005-0000-0000-0000055D0000}"/>
    <cellStyle name="Hard Coded 4 7 2 2" xfId="20076" xr:uid="{00000000-0005-0000-0000-0000065D0000}"/>
    <cellStyle name="Hard Coded 4 7 2 3" xfId="20077" xr:uid="{00000000-0005-0000-0000-0000075D0000}"/>
    <cellStyle name="Hard Coded 4 7 2 4" xfId="39145" xr:uid="{00000000-0005-0000-0000-0000085D0000}"/>
    <cellStyle name="Hard Coded 4 7 3" xfId="20078" xr:uid="{00000000-0005-0000-0000-0000095D0000}"/>
    <cellStyle name="Hard Coded 4 7 4" xfId="20079" xr:uid="{00000000-0005-0000-0000-00000A5D0000}"/>
    <cellStyle name="Hard Coded 4 7 5" xfId="39144" xr:uid="{00000000-0005-0000-0000-00000B5D0000}"/>
    <cellStyle name="Hard Coded 4 8" xfId="20080" xr:uid="{00000000-0005-0000-0000-00000C5D0000}"/>
    <cellStyle name="Hard Coded 4 9" xfId="20081" xr:uid="{00000000-0005-0000-0000-00000D5D0000}"/>
    <cellStyle name="Hard Coded 5" xfId="20082" xr:uid="{00000000-0005-0000-0000-00000E5D0000}"/>
    <cellStyle name="Hard Coded 5 10" xfId="35122" xr:uid="{00000000-0005-0000-0000-00000F5D0000}"/>
    <cellStyle name="Hard Coded 5 2" xfId="20083" xr:uid="{00000000-0005-0000-0000-0000105D0000}"/>
    <cellStyle name="Hard Coded 5 2 2" xfId="20084" xr:uid="{00000000-0005-0000-0000-0000115D0000}"/>
    <cellStyle name="Hard Coded 5 2 2 2" xfId="20085" xr:uid="{00000000-0005-0000-0000-0000125D0000}"/>
    <cellStyle name="Hard Coded 5 2 2 2 2" xfId="20086" xr:uid="{00000000-0005-0000-0000-0000135D0000}"/>
    <cellStyle name="Hard Coded 5 2 2 2 2 2" xfId="20087" xr:uid="{00000000-0005-0000-0000-0000145D0000}"/>
    <cellStyle name="Hard Coded 5 2 2 2 2 3" xfId="20088" xr:uid="{00000000-0005-0000-0000-0000155D0000}"/>
    <cellStyle name="Hard Coded 5 2 2 2 2 4" xfId="39147" xr:uid="{00000000-0005-0000-0000-0000165D0000}"/>
    <cellStyle name="Hard Coded 5 2 2 2 3" xfId="20089" xr:uid="{00000000-0005-0000-0000-0000175D0000}"/>
    <cellStyle name="Hard Coded 5 2 2 2 3 2" xfId="39148" xr:uid="{00000000-0005-0000-0000-0000185D0000}"/>
    <cellStyle name="Hard Coded 5 2 2 2 4" xfId="20090" xr:uid="{00000000-0005-0000-0000-0000195D0000}"/>
    <cellStyle name="Hard Coded 5 2 2 2 5" xfId="39146" xr:uid="{00000000-0005-0000-0000-00001A5D0000}"/>
    <cellStyle name="Hard Coded 5 2 2 3" xfId="20091" xr:uid="{00000000-0005-0000-0000-00001B5D0000}"/>
    <cellStyle name="Hard Coded 5 2 2 3 2" xfId="20092" xr:uid="{00000000-0005-0000-0000-00001C5D0000}"/>
    <cellStyle name="Hard Coded 5 2 2 3 2 2" xfId="20093" xr:uid="{00000000-0005-0000-0000-00001D5D0000}"/>
    <cellStyle name="Hard Coded 5 2 2 3 2 3" xfId="20094" xr:uid="{00000000-0005-0000-0000-00001E5D0000}"/>
    <cellStyle name="Hard Coded 5 2 2 3 3" xfId="20095" xr:uid="{00000000-0005-0000-0000-00001F5D0000}"/>
    <cellStyle name="Hard Coded 5 2 2 3 4" xfId="20096" xr:uid="{00000000-0005-0000-0000-0000205D0000}"/>
    <cellStyle name="Hard Coded 5 2 2 3 5" xfId="39149" xr:uid="{00000000-0005-0000-0000-0000215D0000}"/>
    <cellStyle name="Hard Coded 5 2 2 4" xfId="20097" xr:uid="{00000000-0005-0000-0000-0000225D0000}"/>
    <cellStyle name="Hard Coded 5 2 2 5" xfId="35124" xr:uid="{00000000-0005-0000-0000-0000235D0000}"/>
    <cellStyle name="Hard Coded 5 2 3" xfId="20098" xr:uid="{00000000-0005-0000-0000-0000245D0000}"/>
    <cellStyle name="Hard Coded 5 2 3 2" xfId="20099" xr:uid="{00000000-0005-0000-0000-0000255D0000}"/>
    <cellStyle name="Hard Coded 5 2 3 2 2" xfId="20100" xr:uid="{00000000-0005-0000-0000-0000265D0000}"/>
    <cellStyle name="Hard Coded 5 2 3 2 2 2" xfId="20101" xr:uid="{00000000-0005-0000-0000-0000275D0000}"/>
    <cellStyle name="Hard Coded 5 2 3 2 2 3" xfId="20102" xr:uid="{00000000-0005-0000-0000-0000285D0000}"/>
    <cellStyle name="Hard Coded 5 2 3 2 2 4" xfId="39152" xr:uid="{00000000-0005-0000-0000-0000295D0000}"/>
    <cellStyle name="Hard Coded 5 2 3 2 3" xfId="20103" xr:uid="{00000000-0005-0000-0000-00002A5D0000}"/>
    <cellStyle name="Hard Coded 5 2 3 2 3 2" xfId="39153" xr:uid="{00000000-0005-0000-0000-00002B5D0000}"/>
    <cellStyle name="Hard Coded 5 2 3 2 4" xfId="20104" xr:uid="{00000000-0005-0000-0000-00002C5D0000}"/>
    <cellStyle name="Hard Coded 5 2 3 2 5" xfId="39151" xr:uid="{00000000-0005-0000-0000-00002D5D0000}"/>
    <cellStyle name="Hard Coded 5 2 3 3" xfId="20105" xr:uid="{00000000-0005-0000-0000-00002E5D0000}"/>
    <cellStyle name="Hard Coded 5 2 3 3 2" xfId="20106" xr:uid="{00000000-0005-0000-0000-00002F5D0000}"/>
    <cellStyle name="Hard Coded 5 2 3 3 3" xfId="20107" xr:uid="{00000000-0005-0000-0000-0000305D0000}"/>
    <cellStyle name="Hard Coded 5 2 3 4" xfId="20108" xr:uid="{00000000-0005-0000-0000-0000315D0000}"/>
    <cellStyle name="Hard Coded 5 2 3 5" xfId="39150" xr:uid="{00000000-0005-0000-0000-0000325D0000}"/>
    <cellStyle name="Hard Coded 5 2 4" xfId="20109" xr:uid="{00000000-0005-0000-0000-0000335D0000}"/>
    <cellStyle name="Hard Coded 5 2 4 2" xfId="20110" xr:uid="{00000000-0005-0000-0000-0000345D0000}"/>
    <cellStyle name="Hard Coded 5 2 4 2 2" xfId="20111" xr:uid="{00000000-0005-0000-0000-0000355D0000}"/>
    <cellStyle name="Hard Coded 5 2 4 2 3" xfId="20112" xr:uid="{00000000-0005-0000-0000-0000365D0000}"/>
    <cellStyle name="Hard Coded 5 2 4 2 4" xfId="39155" xr:uid="{00000000-0005-0000-0000-0000375D0000}"/>
    <cellStyle name="Hard Coded 5 2 4 3" xfId="20113" xr:uid="{00000000-0005-0000-0000-0000385D0000}"/>
    <cellStyle name="Hard Coded 5 2 4 4" xfId="20114" xr:uid="{00000000-0005-0000-0000-0000395D0000}"/>
    <cellStyle name="Hard Coded 5 2 4 5" xfId="39154" xr:uid="{00000000-0005-0000-0000-00003A5D0000}"/>
    <cellStyle name="Hard Coded 5 2 5" xfId="20115" xr:uid="{00000000-0005-0000-0000-00003B5D0000}"/>
    <cellStyle name="Hard Coded 5 2 5 2" xfId="20116" xr:uid="{00000000-0005-0000-0000-00003C5D0000}"/>
    <cellStyle name="Hard Coded 5 2 5 2 2" xfId="20117" xr:uid="{00000000-0005-0000-0000-00003D5D0000}"/>
    <cellStyle name="Hard Coded 5 2 5 2 3" xfId="20118" xr:uid="{00000000-0005-0000-0000-00003E5D0000}"/>
    <cellStyle name="Hard Coded 5 2 5 2 4" xfId="39157" xr:uid="{00000000-0005-0000-0000-00003F5D0000}"/>
    <cellStyle name="Hard Coded 5 2 5 3" xfId="20119" xr:uid="{00000000-0005-0000-0000-0000405D0000}"/>
    <cellStyle name="Hard Coded 5 2 5 4" xfId="20120" xr:uid="{00000000-0005-0000-0000-0000415D0000}"/>
    <cellStyle name="Hard Coded 5 2 5 5" xfId="39156" xr:uid="{00000000-0005-0000-0000-0000425D0000}"/>
    <cellStyle name="Hard Coded 5 2 6" xfId="20121" xr:uid="{00000000-0005-0000-0000-0000435D0000}"/>
    <cellStyle name="Hard Coded 5 2 7" xfId="20122" xr:uid="{00000000-0005-0000-0000-0000445D0000}"/>
    <cellStyle name="Hard Coded 5 2 8" xfId="35123" xr:uid="{00000000-0005-0000-0000-0000455D0000}"/>
    <cellStyle name="Hard Coded 5 3" xfId="20123" xr:uid="{00000000-0005-0000-0000-0000465D0000}"/>
    <cellStyle name="Hard Coded 5 3 2" xfId="20124" xr:uid="{00000000-0005-0000-0000-0000475D0000}"/>
    <cellStyle name="Hard Coded 5 3 2 2" xfId="20125" xr:uid="{00000000-0005-0000-0000-0000485D0000}"/>
    <cellStyle name="Hard Coded 5 3 2 2 2" xfId="20126" xr:uid="{00000000-0005-0000-0000-0000495D0000}"/>
    <cellStyle name="Hard Coded 5 3 2 2 2 2" xfId="20127" xr:uid="{00000000-0005-0000-0000-00004A5D0000}"/>
    <cellStyle name="Hard Coded 5 3 2 2 2 3" xfId="20128" xr:uid="{00000000-0005-0000-0000-00004B5D0000}"/>
    <cellStyle name="Hard Coded 5 3 2 2 2 4" xfId="39160" xr:uid="{00000000-0005-0000-0000-00004C5D0000}"/>
    <cellStyle name="Hard Coded 5 3 2 2 3" xfId="20129" xr:uid="{00000000-0005-0000-0000-00004D5D0000}"/>
    <cellStyle name="Hard Coded 5 3 2 2 3 2" xfId="39161" xr:uid="{00000000-0005-0000-0000-00004E5D0000}"/>
    <cellStyle name="Hard Coded 5 3 2 2 4" xfId="20130" xr:uid="{00000000-0005-0000-0000-00004F5D0000}"/>
    <cellStyle name="Hard Coded 5 3 2 2 5" xfId="39159" xr:uid="{00000000-0005-0000-0000-0000505D0000}"/>
    <cellStyle name="Hard Coded 5 3 2 3" xfId="20131" xr:uid="{00000000-0005-0000-0000-0000515D0000}"/>
    <cellStyle name="Hard Coded 5 3 2 3 2" xfId="20132" xr:uid="{00000000-0005-0000-0000-0000525D0000}"/>
    <cellStyle name="Hard Coded 5 3 2 3 3" xfId="20133" xr:uid="{00000000-0005-0000-0000-0000535D0000}"/>
    <cellStyle name="Hard Coded 5 3 2 4" xfId="20134" xr:uid="{00000000-0005-0000-0000-0000545D0000}"/>
    <cellStyle name="Hard Coded 5 3 2 5" xfId="39158" xr:uid="{00000000-0005-0000-0000-0000555D0000}"/>
    <cellStyle name="Hard Coded 5 3 3" xfId="20135" xr:uid="{00000000-0005-0000-0000-0000565D0000}"/>
    <cellStyle name="Hard Coded 5 3 3 2" xfId="20136" xr:uid="{00000000-0005-0000-0000-0000575D0000}"/>
    <cellStyle name="Hard Coded 5 3 3 2 2" xfId="20137" xr:uid="{00000000-0005-0000-0000-0000585D0000}"/>
    <cellStyle name="Hard Coded 5 3 3 2 2 2" xfId="20138" xr:uid="{00000000-0005-0000-0000-0000595D0000}"/>
    <cellStyle name="Hard Coded 5 3 3 2 2 3" xfId="20139" xr:uid="{00000000-0005-0000-0000-00005A5D0000}"/>
    <cellStyle name="Hard Coded 5 3 3 2 2 4" xfId="39164" xr:uid="{00000000-0005-0000-0000-00005B5D0000}"/>
    <cellStyle name="Hard Coded 5 3 3 2 3" xfId="20140" xr:uid="{00000000-0005-0000-0000-00005C5D0000}"/>
    <cellStyle name="Hard Coded 5 3 3 2 3 2" xfId="39165" xr:uid="{00000000-0005-0000-0000-00005D5D0000}"/>
    <cellStyle name="Hard Coded 5 3 3 2 4" xfId="20141" xr:uid="{00000000-0005-0000-0000-00005E5D0000}"/>
    <cellStyle name="Hard Coded 5 3 3 2 5" xfId="39163" xr:uid="{00000000-0005-0000-0000-00005F5D0000}"/>
    <cellStyle name="Hard Coded 5 3 3 3" xfId="20142" xr:uid="{00000000-0005-0000-0000-0000605D0000}"/>
    <cellStyle name="Hard Coded 5 3 3 3 2" xfId="20143" xr:uid="{00000000-0005-0000-0000-0000615D0000}"/>
    <cellStyle name="Hard Coded 5 3 3 3 3" xfId="20144" xr:uid="{00000000-0005-0000-0000-0000625D0000}"/>
    <cellStyle name="Hard Coded 5 3 3 4" xfId="20145" xr:uid="{00000000-0005-0000-0000-0000635D0000}"/>
    <cellStyle name="Hard Coded 5 3 3 5" xfId="39162" xr:uid="{00000000-0005-0000-0000-0000645D0000}"/>
    <cellStyle name="Hard Coded 5 3 4" xfId="20146" xr:uid="{00000000-0005-0000-0000-0000655D0000}"/>
    <cellStyle name="Hard Coded 5 3 4 2" xfId="20147" xr:uid="{00000000-0005-0000-0000-0000665D0000}"/>
    <cellStyle name="Hard Coded 5 3 4 2 2" xfId="20148" xr:uid="{00000000-0005-0000-0000-0000675D0000}"/>
    <cellStyle name="Hard Coded 5 3 4 2 3" xfId="20149" xr:uid="{00000000-0005-0000-0000-0000685D0000}"/>
    <cellStyle name="Hard Coded 5 3 4 2 4" xfId="39167" xr:uid="{00000000-0005-0000-0000-0000695D0000}"/>
    <cellStyle name="Hard Coded 5 3 4 3" xfId="20150" xr:uid="{00000000-0005-0000-0000-00006A5D0000}"/>
    <cellStyle name="Hard Coded 5 3 4 4" xfId="20151" xr:uid="{00000000-0005-0000-0000-00006B5D0000}"/>
    <cellStyle name="Hard Coded 5 3 4 5" xfId="39166" xr:uid="{00000000-0005-0000-0000-00006C5D0000}"/>
    <cellStyle name="Hard Coded 5 3 5" xfId="20152" xr:uid="{00000000-0005-0000-0000-00006D5D0000}"/>
    <cellStyle name="Hard Coded 5 3 5 2" xfId="39168" xr:uid="{00000000-0005-0000-0000-00006E5D0000}"/>
    <cellStyle name="Hard Coded 5 3 6" xfId="20153" xr:uid="{00000000-0005-0000-0000-00006F5D0000}"/>
    <cellStyle name="Hard Coded 5 3 7" xfId="35125" xr:uid="{00000000-0005-0000-0000-0000705D0000}"/>
    <cellStyle name="Hard Coded 5 4" xfId="20154" xr:uid="{00000000-0005-0000-0000-0000715D0000}"/>
    <cellStyle name="Hard Coded 5 4 2" xfId="20155" xr:uid="{00000000-0005-0000-0000-0000725D0000}"/>
    <cellStyle name="Hard Coded 5 4 2 2" xfId="20156" xr:uid="{00000000-0005-0000-0000-0000735D0000}"/>
    <cellStyle name="Hard Coded 5 4 2 2 2" xfId="20157" xr:uid="{00000000-0005-0000-0000-0000745D0000}"/>
    <cellStyle name="Hard Coded 5 4 2 2 3" xfId="20158" xr:uid="{00000000-0005-0000-0000-0000755D0000}"/>
    <cellStyle name="Hard Coded 5 4 2 2 4" xfId="39171" xr:uid="{00000000-0005-0000-0000-0000765D0000}"/>
    <cellStyle name="Hard Coded 5 4 2 3" xfId="20159" xr:uid="{00000000-0005-0000-0000-0000775D0000}"/>
    <cellStyle name="Hard Coded 5 4 2 3 2" xfId="39172" xr:uid="{00000000-0005-0000-0000-0000785D0000}"/>
    <cellStyle name="Hard Coded 5 4 2 4" xfId="20160" xr:uid="{00000000-0005-0000-0000-0000795D0000}"/>
    <cellStyle name="Hard Coded 5 4 2 5" xfId="39170" xr:uid="{00000000-0005-0000-0000-00007A5D0000}"/>
    <cellStyle name="Hard Coded 5 4 3" xfId="20161" xr:uid="{00000000-0005-0000-0000-00007B5D0000}"/>
    <cellStyle name="Hard Coded 5 4 3 2" xfId="20162" xr:uid="{00000000-0005-0000-0000-00007C5D0000}"/>
    <cellStyle name="Hard Coded 5 4 3 3" xfId="20163" xr:uid="{00000000-0005-0000-0000-00007D5D0000}"/>
    <cellStyle name="Hard Coded 5 4 4" xfId="20164" xr:uid="{00000000-0005-0000-0000-00007E5D0000}"/>
    <cellStyle name="Hard Coded 5 4 5" xfId="39169" xr:uid="{00000000-0005-0000-0000-00007F5D0000}"/>
    <cellStyle name="Hard Coded 5 5" xfId="20165" xr:uid="{00000000-0005-0000-0000-0000805D0000}"/>
    <cellStyle name="Hard Coded 5 5 2" xfId="20166" xr:uid="{00000000-0005-0000-0000-0000815D0000}"/>
    <cellStyle name="Hard Coded 5 5 2 2" xfId="20167" xr:uid="{00000000-0005-0000-0000-0000825D0000}"/>
    <cellStyle name="Hard Coded 5 5 2 2 2" xfId="20168" xr:uid="{00000000-0005-0000-0000-0000835D0000}"/>
    <cellStyle name="Hard Coded 5 5 2 2 3" xfId="20169" xr:uid="{00000000-0005-0000-0000-0000845D0000}"/>
    <cellStyle name="Hard Coded 5 5 2 2 4" xfId="39175" xr:uid="{00000000-0005-0000-0000-0000855D0000}"/>
    <cellStyle name="Hard Coded 5 5 2 3" xfId="20170" xr:uid="{00000000-0005-0000-0000-0000865D0000}"/>
    <cellStyle name="Hard Coded 5 5 2 3 2" xfId="39176" xr:uid="{00000000-0005-0000-0000-0000875D0000}"/>
    <cellStyle name="Hard Coded 5 5 2 4" xfId="20171" xr:uid="{00000000-0005-0000-0000-0000885D0000}"/>
    <cellStyle name="Hard Coded 5 5 2 5" xfId="39174" xr:uid="{00000000-0005-0000-0000-0000895D0000}"/>
    <cellStyle name="Hard Coded 5 5 3" xfId="20172" xr:uid="{00000000-0005-0000-0000-00008A5D0000}"/>
    <cellStyle name="Hard Coded 5 5 3 2" xfId="20173" xr:uid="{00000000-0005-0000-0000-00008B5D0000}"/>
    <cellStyle name="Hard Coded 5 5 3 3" xfId="20174" xr:uid="{00000000-0005-0000-0000-00008C5D0000}"/>
    <cellStyle name="Hard Coded 5 5 4" xfId="20175" xr:uid="{00000000-0005-0000-0000-00008D5D0000}"/>
    <cellStyle name="Hard Coded 5 5 5" xfId="39173" xr:uid="{00000000-0005-0000-0000-00008E5D0000}"/>
    <cellStyle name="Hard Coded 5 6" xfId="20176" xr:uid="{00000000-0005-0000-0000-00008F5D0000}"/>
    <cellStyle name="Hard Coded 5 6 2" xfId="20177" xr:uid="{00000000-0005-0000-0000-0000905D0000}"/>
    <cellStyle name="Hard Coded 5 6 2 2" xfId="20178" xr:uid="{00000000-0005-0000-0000-0000915D0000}"/>
    <cellStyle name="Hard Coded 5 6 2 3" xfId="20179" xr:uid="{00000000-0005-0000-0000-0000925D0000}"/>
    <cellStyle name="Hard Coded 5 6 2 4" xfId="39178" xr:uid="{00000000-0005-0000-0000-0000935D0000}"/>
    <cellStyle name="Hard Coded 5 6 3" xfId="20180" xr:uid="{00000000-0005-0000-0000-0000945D0000}"/>
    <cellStyle name="Hard Coded 5 6 4" xfId="20181" xr:uid="{00000000-0005-0000-0000-0000955D0000}"/>
    <cellStyle name="Hard Coded 5 6 5" xfId="39177" xr:uid="{00000000-0005-0000-0000-0000965D0000}"/>
    <cellStyle name="Hard Coded 5 7" xfId="20182" xr:uid="{00000000-0005-0000-0000-0000975D0000}"/>
    <cellStyle name="Hard Coded 5 7 2" xfId="20183" xr:uid="{00000000-0005-0000-0000-0000985D0000}"/>
    <cellStyle name="Hard Coded 5 7 2 2" xfId="20184" xr:uid="{00000000-0005-0000-0000-0000995D0000}"/>
    <cellStyle name="Hard Coded 5 7 2 3" xfId="20185" xr:uid="{00000000-0005-0000-0000-00009A5D0000}"/>
    <cellStyle name="Hard Coded 5 7 2 4" xfId="39180" xr:uid="{00000000-0005-0000-0000-00009B5D0000}"/>
    <cellStyle name="Hard Coded 5 7 3" xfId="20186" xr:uid="{00000000-0005-0000-0000-00009C5D0000}"/>
    <cellStyle name="Hard Coded 5 7 4" xfId="20187" xr:uid="{00000000-0005-0000-0000-00009D5D0000}"/>
    <cellStyle name="Hard Coded 5 7 5" xfId="39179" xr:uid="{00000000-0005-0000-0000-00009E5D0000}"/>
    <cellStyle name="Hard Coded 5 8" xfId="20188" xr:uid="{00000000-0005-0000-0000-00009F5D0000}"/>
    <cellStyle name="Hard Coded 5 9" xfId="20189" xr:uid="{00000000-0005-0000-0000-0000A05D0000}"/>
    <cellStyle name="Hard Coded 6" xfId="20190" xr:uid="{00000000-0005-0000-0000-0000A15D0000}"/>
    <cellStyle name="Hard Coded 6 10" xfId="35126" xr:uid="{00000000-0005-0000-0000-0000A25D0000}"/>
    <cellStyle name="Hard Coded 6 2" xfId="20191" xr:uid="{00000000-0005-0000-0000-0000A35D0000}"/>
    <cellStyle name="Hard Coded 6 2 2" xfId="20192" xr:uid="{00000000-0005-0000-0000-0000A45D0000}"/>
    <cellStyle name="Hard Coded 6 2 2 2" xfId="20193" xr:uid="{00000000-0005-0000-0000-0000A55D0000}"/>
    <cellStyle name="Hard Coded 6 2 2 2 2" xfId="20194" xr:uid="{00000000-0005-0000-0000-0000A65D0000}"/>
    <cellStyle name="Hard Coded 6 2 2 2 2 2" xfId="20195" xr:uid="{00000000-0005-0000-0000-0000A75D0000}"/>
    <cellStyle name="Hard Coded 6 2 2 2 2 3" xfId="20196" xr:uid="{00000000-0005-0000-0000-0000A85D0000}"/>
    <cellStyle name="Hard Coded 6 2 2 2 2 4" xfId="39182" xr:uid="{00000000-0005-0000-0000-0000A95D0000}"/>
    <cellStyle name="Hard Coded 6 2 2 2 3" xfId="20197" xr:uid="{00000000-0005-0000-0000-0000AA5D0000}"/>
    <cellStyle name="Hard Coded 6 2 2 2 3 2" xfId="39183" xr:uid="{00000000-0005-0000-0000-0000AB5D0000}"/>
    <cellStyle name="Hard Coded 6 2 2 2 4" xfId="20198" xr:uid="{00000000-0005-0000-0000-0000AC5D0000}"/>
    <cellStyle name="Hard Coded 6 2 2 2 5" xfId="39181" xr:uid="{00000000-0005-0000-0000-0000AD5D0000}"/>
    <cellStyle name="Hard Coded 6 2 2 3" xfId="20199" xr:uid="{00000000-0005-0000-0000-0000AE5D0000}"/>
    <cellStyle name="Hard Coded 6 2 2 3 2" xfId="20200" xr:uid="{00000000-0005-0000-0000-0000AF5D0000}"/>
    <cellStyle name="Hard Coded 6 2 2 3 2 2" xfId="20201" xr:uid="{00000000-0005-0000-0000-0000B05D0000}"/>
    <cellStyle name="Hard Coded 6 2 2 3 2 3" xfId="20202" xr:uid="{00000000-0005-0000-0000-0000B15D0000}"/>
    <cellStyle name="Hard Coded 6 2 2 3 3" xfId="20203" xr:uid="{00000000-0005-0000-0000-0000B25D0000}"/>
    <cellStyle name="Hard Coded 6 2 2 3 4" xfId="20204" xr:uid="{00000000-0005-0000-0000-0000B35D0000}"/>
    <cellStyle name="Hard Coded 6 2 2 3 5" xfId="39184" xr:uid="{00000000-0005-0000-0000-0000B45D0000}"/>
    <cellStyle name="Hard Coded 6 2 2 4" xfId="20205" xr:uid="{00000000-0005-0000-0000-0000B55D0000}"/>
    <cellStyle name="Hard Coded 6 2 2 5" xfId="35128" xr:uid="{00000000-0005-0000-0000-0000B65D0000}"/>
    <cellStyle name="Hard Coded 6 2 3" xfId="20206" xr:uid="{00000000-0005-0000-0000-0000B75D0000}"/>
    <cellStyle name="Hard Coded 6 2 3 2" xfId="20207" xr:uid="{00000000-0005-0000-0000-0000B85D0000}"/>
    <cellStyle name="Hard Coded 6 2 3 2 2" xfId="20208" xr:uid="{00000000-0005-0000-0000-0000B95D0000}"/>
    <cellStyle name="Hard Coded 6 2 3 2 2 2" xfId="20209" xr:uid="{00000000-0005-0000-0000-0000BA5D0000}"/>
    <cellStyle name="Hard Coded 6 2 3 2 2 3" xfId="20210" xr:uid="{00000000-0005-0000-0000-0000BB5D0000}"/>
    <cellStyle name="Hard Coded 6 2 3 2 2 4" xfId="39187" xr:uid="{00000000-0005-0000-0000-0000BC5D0000}"/>
    <cellStyle name="Hard Coded 6 2 3 2 3" xfId="20211" xr:uid="{00000000-0005-0000-0000-0000BD5D0000}"/>
    <cellStyle name="Hard Coded 6 2 3 2 3 2" xfId="39188" xr:uid="{00000000-0005-0000-0000-0000BE5D0000}"/>
    <cellStyle name="Hard Coded 6 2 3 2 4" xfId="20212" xr:uid="{00000000-0005-0000-0000-0000BF5D0000}"/>
    <cellStyle name="Hard Coded 6 2 3 2 5" xfId="39186" xr:uid="{00000000-0005-0000-0000-0000C05D0000}"/>
    <cellStyle name="Hard Coded 6 2 3 3" xfId="20213" xr:uid="{00000000-0005-0000-0000-0000C15D0000}"/>
    <cellStyle name="Hard Coded 6 2 3 3 2" xfId="20214" xr:uid="{00000000-0005-0000-0000-0000C25D0000}"/>
    <cellStyle name="Hard Coded 6 2 3 3 3" xfId="20215" xr:uid="{00000000-0005-0000-0000-0000C35D0000}"/>
    <cellStyle name="Hard Coded 6 2 3 4" xfId="20216" xr:uid="{00000000-0005-0000-0000-0000C45D0000}"/>
    <cellStyle name="Hard Coded 6 2 3 5" xfId="39185" xr:uid="{00000000-0005-0000-0000-0000C55D0000}"/>
    <cellStyle name="Hard Coded 6 2 4" xfId="20217" xr:uid="{00000000-0005-0000-0000-0000C65D0000}"/>
    <cellStyle name="Hard Coded 6 2 4 2" xfId="20218" xr:uid="{00000000-0005-0000-0000-0000C75D0000}"/>
    <cellStyle name="Hard Coded 6 2 4 2 2" xfId="20219" xr:uid="{00000000-0005-0000-0000-0000C85D0000}"/>
    <cellStyle name="Hard Coded 6 2 4 2 3" xfId="20220" xr:uid="{00000000-0005-0000-0000-0000C95D0000}"/>
    <cellStyle name="Hard Coded 6 2 4 2 4" xfId="39190" xr:uid="{00000000-0005-0000-0000-0000CA5D0000}"/>
    <cellStyle name="Hard Coded 6 2 4 3" xfId="20221" xr:uid="{00000000-0005-0000-0000-0000CB5D0000}"/>
    <cellStyle name="Hard Coded 6 2 4 4" xfId="20222" xr:uid="{00000000-0005-0000-0000-0000CC5D0000}"/>
    <cellStyle name="Hard Coded 6 2 4 5" xfId="39189" xr:uid="{00000000-0005-0000-0000-0000CD5D0000}"/>
    <cellStyle name="Hard Coded 6 2 5" xfId="20223" xr:uid="{00000000-0005-0000-0000-0000CE5D0000}"/>
    <cellStyle name="Hard Coded 6 2 5 2" xfId="20224" xr:uid="{00000000-0005-0000-0000-0000CF5D0000}"/>
    <cellStyle name="Hard Coded 6 2 5 2 2" xfId="20225" xr:uid="{00000000-0005-0000-0000-0000D05D0000}"/>
    <cellStyle name="Hard Coded 6 2 5 2 3" xfId="20226" xr:uid="{00000000-0005-0000-0000-0000D15D0000}"/>
    <cellStyle name="Hard Coded 6 2 5 2 4" xfId="39192" xr:uid="{00000000-0005-0000-0000-0000D25D0000}"/>
    <cellStyle name="Hard Coded 6 2 5 3" xfId="20227" xr:uid="{00000000-0005-0000-0000-0000D35D0000}"/>
    <cellStyle name="Hard Coded 6 2 5 4" xfId="20228" xr:uid="{00000000-0005-0000-0000-0000D45D0000}"/>
    <cellStyle name="Hard Coded 6 2 5 5" xfId="39191" xr:uid="{00000000-0005-0000-0000-0000D55D0000}"/>
    <cellStyle name="Hard Coded 6 2 6" xfId="20229" xr:uid="{00000000-0005-0000-0000-0000D65D0000}"/>
    <cellStyle name="Hard Coded 6 2 7" xfId="20230" xr:uid="{00000000-0005-0000-0000-0000D75D0000}"/>
    <cellStyle name="Hard Coded 6 2 8" xfId="35127" xr:uid="{00000000-0005-0000-0000-0000D85D0000}"/>
    <cellStyle name="Hard Coded 6 3" xfId="20231" xr:uid="{00000000-0005-0000-0000-0000D95D0000}"/>
    <cellStyle name="Hard Coded 6 3 2" xfId="20232" xr:uid="{00000000-0005-0000-0000-0000DA5D0000}"/>
    <cellStyle name="Hard Coded 6 3 2 2" xfId="20233" xr:uid="{00000000-0005-0000-0000-0000DB5D0000}"/>
    <cellStyle name="Hard Coded 6 3 2 2 2" xfId="20234" xr:uid="{00000000-0005-0000-0000-0000DC5D0000}"/>
    <cellStyle name="Hard Coded 6 3 2 2 2 2" xfId="20235" xr:uid="{00000000-0005-0000-0000-0000DD5D0000}"/>
    <cellStyle name="Hard Coded 6 3 2 2 2 3" xfId="20236" xr:uid="{00000000-0005-0000-0000-0000DE5D0000}"/>
    <cellStyle name="Hard Coded 6 3 2 2 2 4" xfId="39195" xr:uid="{00000000-0005-0000-0000-0000DF5D0000}"/>
    <cellStyle name="Hard Coded 6 3 2 2 3" xfId="20237" xr:uid="{00000000-0005-0000-0000-0000E05D0000}"/>
    <cellStyle name="Hard Coded 6 3 2 2 3 2" xfId="39196" xr:uid="{00000000-0005-0000-0000-0000E15D0000}"/>
    <cellStyle name="Hard Coded 6 3 2 2 4" xfId="20238" xr:uid="{00000000-0005-0000-0000-0000E25D0000}"/>
    <cellStyle name="Hard Coded 6 3 2 2 5" xfId="39194" xr:uid="{00000000-0005-0000-0000-0000E35D0000}"/>
    <cellStyle name="Hard Coded 6 3 2 3" xfId="20239" xr:uid="{00000000-0005-0000-0000-0000E45D0000}"/>
    <cellStyle name="Hard Coded 6 3 2 3 2" xfId="20240" xr:uid="{00000000-0005-0000-0000-0000E55D0000}"/>
    <cellStyle name="Hard Coded 6 3 2 3 3" xfId="20241" xr:uid="{00000000-0005-0000-0000-0000E65D0000}"/>
    <cellStyle name="Hard Coded 6 3 2 4" xfId="20242" xr:uid="{00000000-0005-0000-0000-0000E75D0000}"/>
    <cellStyle name="Hard Coded 6 3 2 5" xfId="39193" xr:uid="{00000000-0005-0000-0000-0000E85D0000}"/>
    <cellStyle name="Hard Coded 6 3 3" xfId="20243" xr:uid="{00000000-0005-0000-0000-0000E95D0000}"/>
    <cellStyle name="Hard Coded 6 3 3 2" xfId="20244" xr:uid="{00000000-0005-0000-0000-0000EA5D0000}"/>
    <cellStyle name="Hard Coded 6 3 3 2 2" xfId="20245" xr:uid="{00000000-0005-0000-0000-0000EB5D0000}"/>
    <cellStyle name="Hard Coded 6 3 3 2 2 2" xfId="20246" xr:uid="{00000000-0005-0000-0000-0000EC5D0000}"/>
    <cellStyle name="Hard Coded 6 3 3 2 2 3" xfId="20247" xr:uid="{00000000-0005-0000-0000-0000ED5D0000}"/>
    <cellStyle name="Hard Coded 6 3 3 2 2 4" xfId="39199" xr:uid="{00000000-0005-0000-0000-0000EE5D0000}"/>
    <cellStyle name="Hard Coded 6 3 3 2 3" xfId="20248" xr:uid="{00000000-0005-0000-0000-0000EF5D0000}"/>
    <cellStyle name="Hard Coded 6 3 3 2 3 2" xfId="39200" xr:uid="{00000000-0005-0000-0000-0000F05D0000}"/>
    <cellStyle name="Hard Coded 6 3 3 2 4" xfId="20249" xr:uid="{00000000-0005-0000-0000-0000F15D0000}"/>
    <cellStyle name="Hard Coded 6 3 3 2 5" xfId="39198" xr:uid="{00000000-0005-0000-0000-0000F25D0000}"/>
    <cellStyle name="Hard Coded 6 3 3 3" xfId="20250" xr:uid="{00000000-0005-0000-0000-0000F35D0000}"/>
    <cellStyle name="Hard Coded 6 3 3 3 2" xfId="20251" xr:uid="{00000000-0005-0000-0000-0000F45D0000}"/>
    <cellStyle name="Hard Coded 6 3 3 3 3" xfId="20252" xr:uid="{00000000-0005-0000-0000-0000F55D0000}"/>
    <cellStyle name="Hard Coded 6 3 3 4" xfId="20253" xr:uid="{00000000-0005-0000-0000-0000F65D0000}"/>
    <cellStyle name="Hard Coded 6 3 3 5" xfId="39197" xr:uid="{00000000-0005-0000-0000-0000F75D0000}"/>
    <cellStyle name="Hard Coded 6 3 4" xfId="20254" xr:uid="{00000000-0005-0000-0000-0000F85D0000}"/>
    <cellStyle name="Hard Coded 6 3 4 2" xfId="20255" xr:uid="{00000000-0005-0000-0000-0000F95D0000}"/>
    <cellStyle name="Hard Coded 6 3 4 2 2" xfId="20256" xr:uid="{00000000-0005-0000-0000-0000FA5D0000}"/>
    <cellStyle name="Hard Coded 6 3 4 2 3" xfId="20257" xr:uid="{00000000-0005-0000-0000-0000FB5D0000}"/>
    <cellStyle name="Hard Coded 6 3 4 2 4" xfId="39202" xr:uid="{00000000-0005-0000-0000-0000FC5D0000}"/>
    <cellStyle name="Hard Coded 6 3 4 3" xfId="20258" xr:uid="{00000000-0005-0000-0000-0000FD5D0000}"/>
    <cellStyle name="Hard Coded 6 3 4 4" xfId="20259" xr:uid="{00000000-0005-0000-0000-0000FE5D0000}"/>
    <cellStyle name="Hard Coded 6 3 4 5" xfId="39201" xr:uid="{00000000-0005-0000-0000-0000FF5D0000}"/>
    <cellStyle name="Hard Coded 6 3 5" xfId="20260" xr:uid="{00000000-0005-0000-0000-0000005E0000}"/>
    <cellStyle name="Hard Coded 6 3 5 2" xfId="39203" xr:uid="{00000000-0005-0000-0000-0000015E0000}"/>
    <cellStyle name="Hard Coded 6 3 6" xfId="20261" xr:uid="{00000000-0005-0000-0000-0000025E0000}"/>
    <cellStyle name="Hard Coded 6 3 7" xfId="35129" xr:uid="{00000000-0005-0000-0000-0000035E0000}"/>
    <cellStyle name="Hard Coded 6 4" xfId="20262" xr:uid="{00000000-0005-0000-0000-0000045E0000}"/>
    <cellStyle name="Hard Coded 6 4 2" xfId="20263" xr:uid="{00000000-0005-0000-0000-0000055E0000}"/>
    <cellStyle name="Hard Coded 6 4 2 2" xfId="20264" xr:uid="{00000000-0005-0000-0000-0000065E0000}"/>
    <cellStyle name="Hard Coded 6 4 2 2 2" xfId="20265" xr:uid="{00000000-0005-0000-0000-0000075E0000}"/>
    <cellStyle name="Hard Coded 6 4 2 2 3" xfId="20266" xr:uid="{00000000-0005-0000-0000-0000085E0000}"/>
    <cellStyle name="Hard Coded 6 4 2 2 4" xfId="39206" xr:uid="{00000000-0005-0000-0000-0000095E0000}"/>
    <cellStyle name="Hard Coded 6 4 2 3" xfId="20267" xr:uid="{00000000-0005-0000-0000-00000A5E0000}"/>
    <cellStyle name="Hard Coded 6 4 2 3 2" xfId="39207" xr:uid="{00000000-0005-0000-0000-00000B5E0000}"/>
    <cellStyle name="Hard Coded 6 4 2 4" xfId="20268" xr:uid="{00000000-0005-0000-0000-00000C5E0000}"/>
    <cellStyle name="Hard Coded 6 4 2 5" xfId="39205" xr:uid="{00000000-0005-0000-0000-00000D5E0000}"/>
    <cellStyle name="Hard Coded 6 4 3" xfId="20269" xr:uid="{00000000-0005-0000-0000-00000E5E0000}"/>
    <cellStyle name="Hard Coded 6 4 3 2" xfId="20270" xr:uid="{00000000-0005-0000-0000-00000F5E0000}"/>
    <cellStyle name="Hard Coded 6 4 3 3" xfId="20271" xr:uid="{00000000-0005-0000-0000-0000105E0000}"/>
    <cellStyle name="Hard Coded 6 4 4" xfId="20272" xr:uid="{00000000-0005-0000-0000-0000115E0000}"/>
    <cellStyle name="Hard Coded 6 4 5" xfId="39204" xr:uid="{00000000-0005-0000-0000-0000125E0000}"/>
    <cellStyle name="Hard Coded 6 5" xfId="20273" xr:uid="{00000000-0005-0000-0000-0000135E0000}"/>
    <cellStyle name="Hard Coded 6 5 2" xfId="20274" xr:uid="{00000000-0005-0000-0000-0000145E0000}"/>
    <cellStyle name="Hard Coded 6 5 2 2" xfId="20275" xr:uid="{00000000-0005-0000-0000-0000155E0000}"/>
    <cellStyle name="Hard Coded 6 5 2 2 2" xfId="20276" xr:uid="{00000000-0005-0000-0000-0000165E0000}"/>
    <cellStyle name="Hard Coded 6 5 2 2 3" xfId="20277" xr:uid="{00000000-0005-0000-0000-0000175E0000}"/>
    <cellStyle name="Hard Coded 6 5 2 2 4" xfId="39210" xr:uid="{00000000-0005-0000-0000-0000185E0000}"/>
    <cellStyle name="Hard Coded 6 5 2 3" xfId="20278" xr:uid="{00000000-0005-0000-0000-0000195E0000}"/>
    <cellStyle name="Hard Coded 6 5 2 3 2" xfId="39211" xr:uid="{00000000-0005-0000-0000-00001A5E0000}"/>
    <cellStyle name="Hard Coded 6 5 2 4" xfId="20279" xr:uid="{00000000-0005-0000-0000-00001B5E0000}"/>
    <cellStyle name="Hard Coded 6 5 2 5" xfId="39209" xr:uid="{00000000-0005-0000-0000-00001C5E0000}"/>
    <cellStyle name="Hard Coded 6 5 3" xfId="20280" xr:uid="{00000000-0005-0000-0000-00001D5E0000}"/>
    <cellStyle name="Hard Coded 6 5 3 2" xfId="20281" xr:uid="{00000000-0005-0000-0000-00001E5E0000}"/>
    <cellStyle name="Hard Coded 6 5 3 3" xfId="20282" xr:uid="{00000000-0005-0000-0000-00001F5E0000}"/>
    <cellStyle name="Hard Coded 6 5 4" xfId="20283" xr:uid="{00000000-0005-0000-0000-0000205E0000}"/>
    <cellStyle name="Hard Coded 6 5 5" xfId="39208" xr:uid="{00000000-0005-0000-0000-0000215E0000}"/>
    <cellStyle name="Hard Coded 6 6" xfId="20284" xr:uid="{00000000-0005-0000-0000-0000225E0000}"/>
    <cellStyle name="Hard Coded 6 6 2" xfId="20285" xr:uid="{00000000-0005-0000-0000-0000235E0000}"/>
    <cellStyle name="Hard Coded 6 6 2 2" xfId="20286" xr:uid="{00000000-0005-0000-0000-0000245E0000}"/>
    <cellStyle name="Hard Coded 6 6 2 3" xfId="20287" xr:uid="{00000000-0005-0000-0000-0000255E0000}"/>
    <cellStyle name="Hard Coded 6 6 2 4" xfId="39213" xr:uid="{00000000-0005-0000-0000-0000265E0000}"/>
    <cellStyle name="Hard Coded 6 6 3" xfId="20288" xr:uid="{00000000-0005-0000-0000-0000275E0000}"/>
    <cellStyle name="Hard Coded 6 6 4" xfId="20289" xr:uid="{00000000-0005-0000-0000-0000285E0000}"/>
    <cellStyle name="Hard Coded 6 6 5" xfId="39212" xr:uid="{00000000-0005-0000-0000-0000295E0000}"/>
    <cellStyle name="Hard Coded 6 7" xfId="20290" xr:uid="{00000000-0005-0000-0000-00002A5E0000}"/>
    <cellStyle name="Hard Coded 6 7 2" xfId="20291" xr:uid="{00000000-0005-0000-0000-00002B5E0000}"/>
    <cellStyle name="Hard Coded 6 7 2 2" xfId="20292" xr:uid="{00000000-0005-0000-0000-00002C5E0000}"/>
    <cellStyle name="Hard Coded 6 7 2 3" xfId="20293" xr:uid="{00000000-0005-0000-0000-00002D5E0000}"/>
    <cellStyle name="Hard Coded 6 7 2 4" xfId="39215" xr:uid="{00000000-0005-0000-0000-00002E5E0000}"/>
    <cellStyle name="Hard Coded 6 7 3" xfId="20294" xr:uid="{00000000-0005-0000-0000-00002F5E0000}"/>
    <cellStyle name="Hard Coded 6 7 4" xfId="20295" xr:uid="{00000000-0005-0000-0000-0000305E0000}"/>
    <cellStyle name="Hard Coded 6 7 5" xfId="39214" xr:uid="{00000000-0005-0000-0000-0000315E0000}"/>
    <cellStyle name="Hard Coded 6 8" xfId="20296" xr:uid="{00000000-0005-0000-0000-0000325E0000}"/>
    <cellStyle name="Hard Coded 6 9" xfId="20297" xr:uid="{00000000-0005-0000-0000-0000335E0000}"/>
    <cellStyle name="Hard Coded 7" xfId="20298" xr:uid="{00000000-0005-0000-0000-0000345E0000}"/>
    <cellStyle name="Hard Coded 7 10" xfId="35130" xr:uid="{00000000-0005-0000-0000-0000355E0000}"/>
    <cellStyle name="Hard Coded 7 2" xfId="20299" xr:uid="{00000000-0005-0000-0000-0000365E0000}"/>
    <cellStyle name="Hard Coded 7 2 2" xfId="20300" xr:uid="{00000000-0005-0000-0000-0000375E0000}"/>
    <cellStyle name="Hard Coded 7 2 2 2" xfId="20301" xr:uid="{00000000-0005-0000-0000-0000385E0000}"/>
    <cellStyle name="Hard Coded 7 2 2 2 2" xfId="20302" xr:uid="{00000000-0005-0000-0000-0000395E0000}"/>
    <cellStyle name="Hard Coded 7 2 2 2 2 2" xfId="20303" xr:uid="{00000000-0005-0000-0000-00003A5E0000}"/>
    <cellStyle name="Hard Coded 7 2 2 2 2 3" xfId="20304" xr:uid="{00000000-0005-0000-0000-00003B5E0000}"/>
    <cellStyle name="Hard Coded 7 2 2 2 2 4" xfId="39217" xr:uid="{00000000-0005-0000-0000-00003C5E0000}"/>
    <cellStyle name="Hard Coded 7 2 2 2 3" xfId="20305" xr:uid="{00000000-0005-0000-0000-00003D5E0000}"/>
    <cellStyle name="Hard Coded 7 2 2 2 3 2" xfId="39218" xr:uid="{00000000-0005-0000-0000-00003E5E0000}"/>
    <cellStyle name="Hard Coded 7 2 2 2 4" xfId="20306" xr:uid="{00000000-0005-0000-0000-00003F5E0000}"/>
    <cellStyle name="Hard Coded 7 2 2 2 5" xfId="39216" xr:uid="{00000000-0005-0000-0000-0000405E0000}"/>
    <cellStyle name="Hard Coded 7 2 2 3" xfId="20307" xr:uid="{00000000-0005-0000-0000-0000415E0000}"/>
    <cellStyle name="Hard Coded 7 2 2 3 2" xfId="20308" xr:uid="{00000000-0005-0000-0000-0000425E0000}"/>
    <cellStyle name="Hard Coded 7 2 2 3 2 2" xfId="20309" xr:uid="{00000000-0005-0000-0000-0000435E0000}"/>
    <cellStyle name="Hard Coded 7 2 2 3 2 3" xfId="20310" xr:uid="{00000000-0005-0000-0000-0000445E0000}"/>
    <cellStyle name="Hard Coded 7 2 2 3 3" xfId="20311" xr:uid="{00000000-0005-0000-0000-0000455E0000}"/>
    <cellStyle name="Hard Coded 7 2 2 3 4" xfId="20312" xr:uid="{00000000-0005-0000-0000-0000465E0000}"/>
    <cellStyle name="Hard Coded 7 2 2 3 5" xfId="39219" xr:uid="{00000000-0005-0000-0000-0000475E0000}"/>
    <cellStyle name="Hard Coded 7 2 2 4" xfId="20313" xr:uid="{00000000-0005-0000-0000-0000485E0000}"/>
    <cellStyle name="Hard Coded 7 2 2 5" xfId="35132" xr:uid="{00000000-0005-0000-0000-0000495E0000}"/>
    <cellStyle name="Hard Coded 7 2 3" xfId="20314" xr:uid="{00000000-0005-0000-0000-00004A5E0000}"/>
    <cellStyle name="Hard Coded 7 2 3 2" xfId="20315" xr:uid="{00000000-0005-0000-0000-00004B5E0000}"/>
    <cellStyle name="Hard Coded 7 2 3 2 2" xfId="20316" xr:uid="{00000000-0005-0000-0000-00004C5E0000}"/>
    <cellStyle name="Hard Coded 7 2 3 2 2 2" xfId="20317" xr:uid="{00000000-0005-0000-0000-00004D5E0000}"/>
    <cellStyle name="Hard Coded 7 2 3 2 2 3" xfId="20318" xr:uid="{00000000-0005-0000-0000-00004E5E0000}"/>
    <cellStyle name="Hard Coded 7 2 3 2 2 4" xfId="39222" xr:uid="{00000000-0005-0000-0000-00004F5E0000}"/>
    <cellStyle name="Hard Coded 7 2 3 2 3" xfId="20319" xr:uid="{00000000-0005-0000-0000-0000505E0000}"/>
    <cellStyle name="Hard Coded 7 2 3 2 3 2" xfId="39223" xr:uid="{00000000-0005-0000-0000-0000515E0000}"/>
    <cellStyle name="Hard Coded 7 2 3 2 4" xfId="20320" xr:uid="{00000000-0005-0000-0000-0000525E0000}"/>
    <cellStyle name="Hard Coded 7 2 3 2 5" xfId="39221" xr:uid="{00000000-0005-0000-0000-0000535E0000}"/>
    <cellStyle name="Hard Coded 7 2 3 3" xfId="20321" xr:uid="{00000000-0005-0000-0000-0000545E0000}"/>
    <cellStyle name="Hard Coded 7 2 3 3 2" xfId="20322" xr:uid="{00000000-0005-0000-0000-0000555E0000}"/>
    <cellStyle name="Hard Coded 7 2 3 3 3" xfId="20323" xr:uid="{00000000-0005-0000-0000-0000565E0000}"/>
    <cellStyle name="Hard Coded 7 2 3 4" xfId="20324" xr:uid="{00000000-0005-0000-0000-0000575E0000}"/>
    <cellStyle name="Hard Coded 7 2 3 5" xfId="39220" xr:uid="{00000000-0005-0000-0000-0000585E0000}"/>
    <cellStyle name="Hard Coded 7 2 4" xfId="20325" xr:uid="{00000000-0005-0000-0000-0000595E0000}"/>
    <cellStyle name="Hard Coded 7 2 4 2" xfId="20326" xr:uid="{00000000-0005-0000-0000-00005A5E0000}"/>
    <cellStyle name="Hard Coded 7 2 4 2 2" xfId="20327" xr:uid="{00000000-0005-0000-0000-00005B5E0000}"/>
    <cellStyle name="Hard Coded 7 2 4 2 3" xfId="20328" xr:uid="{00000000-0005-0000-0000-00005C5E0000}"/>
    <cellStyle name="Hard Coded 7 2 4 2 4" xfId="39225" xr:uid="{00000000-0005-0000-0000-00005D5E0000}"/>
    <cellStyle name="Hard Coded 7 2 4 3" xfId="20329" xr:uid="{00000000-0005-0000-0000-00005E5E0000}"/>
    <cellStyle name="Hard Coded 7 2 4 4" xfId="20330" xr:uid="{00000000-0005-0000-0000-00005F5E0000}"/>
    <cellStyle name="Hard Coded 7 2 4 5" xfId="39224" xr:uid="{00000000-0005-0000-0000-0000605E0000}"/>
    <cellStyle name="Hard Coded 7 2 5" xfId="20331" xr:uid="{00000000-0005-0000-0000-0000615E0000}"/>
    <cellStyle name="Hard Coded 7 2 5 2" xfId="20332" xr:uid="{00000000-0005-0000-0000-0000625E0000}"/>
    <cellStyle name="Hard Coded 7 2 5 2 2" xfId="20333" xr:uid="{00000000-0005-0000-0000-0000635E0000}"/>
    <cellStyle name="Hard Coded 7 2 5 2 3" xfId="20334" xr:uid="{00000000-0005-0000-0000-0000645E0000}"/>
    <cellStyle name="Hard Coded 7 2 5 2 4" xfId="39227" xr:uid="{00000000-0005-0000-0000-0000655E0000}"/>
    <cellStyle name="Hard Coded 7 2 5 3" xfId="20335" xr:uid="{00000000-0005-0000-0000-0000665E0000}"/>
    <cellStyle name="Hard Coded 7 2 5 4" xfId="20336" xr:uid="{00000000-0005-0000-0000-0000675E0000}"/>
    <cellStyle name="Hard Coded 7 2 5 5" xfId="39226" xr:uid="{00000000-0005-0000-0000-0000685E0000}"/>
    <cellStyle name="Hard Coded 7 2 6" xfId="20337" xr:uid="{00000000-0005-0000-0000-0000695E0000}"/>
    <cellStyle name="Hard Coded 7 2 7" xfId="20338" xr:uid="{00000000-0005-0000-0000-00006A5E0000}"/>
    <cellStyle name="Hard Coded 7 2 8" xfId="35131" xr:uid="{00000000-0005-0000-0000-00006B5E0000}"/>
    <cellStyle name="Hard Coded 7 3" xfId="20339" xr:uid="{00000000-0005-0000-0000-00006C5E0000}"/>
    <cellStyle name="Hard Coded 7 3 2" xfId="20340" xr:uid="{00000000-0005-0000-0000-00006D5E0000}"/>
    <cellStyle name="Hard Coded 7 3 2 2" xfId="20341" xr:uid="{00000000-0005-0000-0000-00006E5E0000}"/>
    <cellStyle name="Hard Coded 7 3 2 2 2" xfId="20342" xr:uid="{00000000-0005-0000-0000-00006F5E0000}"/>
    <cellStyle name="Hard Coded 7 3 2 2 2 2" xfId="20343" xr:uid="{00000000-0005-0000-0000-0000705E0000}"/>
    <cellStyle name="Hard Coded 7 3 2 2 2 3" xfId="20344" xr:uid="{00000000-0005-0000-0000-0000715E0000}"/>
    <cellStyle name="Hard Coded 7 3 2 2 2 4" xfId="39230" xr:uid="{00000000-0005-0000-0000-0000725E0000}"/>
    <cellStyle name="Hard Coded 7 3 2 2 3" xfId="20345" xr:uid="{00000000-0005-0000-0000-0000735E0000}"/>
    <cellStyle name="Hard Coded 7 3 2 2 3 2" xfId="39231" xr:uid="{00000000-0005-0000-0000-0000745E0000}"/>
    <cellStyle name="Hard Coded 7 3 2 2 4" xfId="20346" xr:uid="{00000000-0005-0000-0000-0000755E0000}"/>
    <cellStyle name="Hard Coded 7 3 2 2 5" xfId="39229" xr:uid="{00000000-0005-0000-0000-0000765E0000}"/>
    <cellStyle name="Hard Coded 7 3 2 3" xfId="20347" xr:uid="{00000000-0005-0000-0000-0000775E0000}"/>
    <cellStyle name="Hard Coded 7 3 2 3 2" xfId="20348" xr:uid="{00000000-0005-0000-0000-0000785E0000}"/>
    <cellStyle name="Hard Coded 7 3 2 3 3" xfId="20349" xr:uid="{00000000-0005-0000-0000-0000795E0000}"/>
    <cellStyle name="Hard Coded 7 3 2 4" xfId="20350" xr:uid="{00000000-0005-0000-0000-00007A5E0000}"/>
    <cellStyle name="Hard Coded 7 3 2 5" xfId="39228" xr:uid="{00000000-0005-0000-0000-00007B5E0000}"/>
    <cellStyle name="Hard Coded 7 3 3" xfId="20351" xr:uid="{00000000-0005-0000-0000-00007C5E0000}"/>
    <cellStyle name="Hard Coded 7 3 3 2" xfId="20352" xr:uid="{00000000-0005-0000-0000-00007D5E0000}"/>
    <cellStyle name="Hard Coded 7 3 3 2 2" xfId="20353" xr:uid="{00000000-0005-0000-0000-00007E5E0000}"/>
    <cellStyle name="Hard Coded 7 3 3 2 2 2" xfId="20354" xr:uid="{00000000-0005-0000-0000-00007F5E0000}"/>
    <cellStyle name="Hard Coded 7 3 3 2 2 3" xfId="20355" xr:uid="{00000000-0005-0000-0000-0000805E0000}"/>
    <cellStyle name="Hard Coded 7 3 3 2 2 4" xfId="39234" xr:uid="{00000000-0005-0000-0000-0000815E0000}"/>
    <cellStyle name="Hard Coded 7 3 3 2 3" xfId="20356" xr:uid="{00000000-0005-0000-0000-0000825E0000}"/>
    <cellStyle name="Hard Coded 7 3 3 2 3 2" xfId="39235" xr:uid="{00000000-0005-0000-0000-0000835E0000}"/>
    <cellStyle name="Hard Coded 7 3 3 2 4" xfId="20357" xr:uid="{00000000-0005-0000-0000-0000845E0000}"/>
    <cellStyle name="Hard Coded 7 3 3 2 5" xfId="39233" xr:uid="{00000000-0005-0000-0000-0000855E0000}"/>
    <cellStyle name="Hard Coded 7 3 3 3" xfId="20358" xr:uid="{00000000-0005-0000-0000-0000865E0000}"/>
    <cellStyle name="Hard Coded 7 3 3 3 2" xfId="20359" xr:uid="{00000000-0005-0000-0000-0000875E0000}"/>
    <cellStyle name="Hard Coded 7 3 3 3 3" xfId="20360" xr:uid="{00000000-0005-0000-0000-0000885E0000}"/>
    <cellStyle name="Hard Coded 7 3 3 4" xfId="20361" xr:uid="{00000000-0005-0000-0000-0000895E0000}"/>
    <cellStyle name="Hard Coded 7 3 3 5" xfId="39232" xr:uid="{00000000-0005-0000-0000-00008A5E0000}"/>
    <cellStyle name="Hard Coded 7 3 4" xfId="20362" xr:uid="{00000000-0005-0000-0000-00008B5E0000}"/>
    <cellStyle name="Hard Coded 7 3 4 2" xfId="20363" xr:uid="{00000000-0005-0000-0000-00008C5E0000}"/>
    <cellStyle name="Hard Coded 7 3 4 2 2" xfId="20364" xr:uid="{00000000-0005-0000-0000-00008D5E0000}"/>
    <cellStyle name="Hard Coded 7 3 4 2 3" xfId="20365" xr:uid="{00000000-0005-0000-0000-00008E5E0000}"/>
    <cellStyle name="Hard Coded 7 3 4 2 4" xfId="39237" xr:uid="{00000000-0005-0000-0000-00008F5E0000}"/>
    <cellStyle name="Hard Coded 7 3 4 3" xfId="20366" xr:uid="{00000000-0005-0000-0000-0000905E0000}"/>
    <cellStyle name="Hard Coded 7 3 4 4" xfId="20367" xr:uid="{00000000-0005-0000-0000-0000915E0000}"/>
    <cellStyle name="Hard Coded 7 3 4 5" xfId="39236" xr:uid="{00000000-0005-0000-0000-0000925E0000}"/>
    <cellStyle name="Hard Coded 7 3 5" xfId="20368" xr:uid="{00000000-0005-0000-0000-0000935E0000}"/>
    <cellStyle name="Hard Coded 7 3 5 2" xfId="39238" xr:uid="{00000000-0005-0000-0000-0000945E0000}"/>
    <cellStyle name="Hard Coded 7 3 6" xfId="20369" xr:uid="{00000000-0005-0000-0000-0000955E0000}"/>
    <cellStyle name="Hard Coded 7 3 7" xfId="35133" xr:uid="{00000000-0005-0000-0000-0000965E0000}"/>
    <cellStyle name="Hard Coded 7 4" xfId="20370" xr:uid="{00000000-0005-0000-0000-0000975E0000}"/>
    <cellStyle name="Hard Coded 7 4 2" xfId="20371" xr:uid="{00000000-0005-0000-0000-0000985E0000}"/>
    <cellStyle name="Hard Coded 7 4 2 2" xfId="20372" xr:uid="{00000000-0005-0000-0000-0000995E0000}"/>
    <cellStyle name="Hard Coded 7 4 2 2 2" xfId="20373" xr:uid="{00000000-0005-0000-0000-00009A5E0000}"/>
    <cellStyle name="Hard Coded 7 4 2 2 3" xfId="20374" xr:uid="{00000000-0005-0000-0000-00009B5E0000}"/>
    <cellStyle name="Hard Coded 7 4 2 2 4" xfId="39241" xr:uid="{00000000-0005-0000-0000-00009C5E0000}"/>
    <cellStyle name="Hard Coded 7 4 2 3" xfId="20375" xr:uid="{00000000-0005-0000-0000-00009D5E0000}"/>
    <cellStyle name="Hard Coded 7 4 2 3 2" xfId="39242" xr:uid="{00000000-0005-0000-0000-00009E5E0000}"/>
    <cellStyle name="Hard Coded 7 4 2 4" xfId="20376" xr:uid="{00000000-0005-0000-0000-00009F5E0000}"/>
    <cellStyle name="Hard Coded 7 4 2 5" xfId="39240" xr:uid="{00000000-0005-0000-0000-0000A05E0000}"/>
    <cellStyle name="Hard Coded 7 4 3" xfId="20377" xr:uid="{00000000-0005-0000-0000-0000A15E0000}"/>
    <cellStyle name="Hard Coded 7 4 3 2" xfId="20378" xr:uid="{00000000-0005-0000-0000-0000A25E0000}"/>
    <cellStyle name="Hard Coded 7 4 3 3" xfId="20379" xr:uid="{00000000-0005-0000-0000-0000A35E0000}"/>
    <cellStyle name="Hard Coded 7 4 4" xfId="20380" xr:uid="{00000000-0005-0000-0000-0000A45E0000}"/>
    <cellStyle name="Hard Coded 7 4 5" xfId="39239" xr:uid="{00000000-0005-0000-0000-0000A55E0000}"/>
    <cellStyle name="Hard Coded 7 5" xfId="20381" xr:uid="{00000000-0005-0000-0000-0000A65E0000}"/>
    <cellStyle name="Hard Coded 7 5 2" xfId="20382" xr:uid="{00000000-0005-0000-0000-0000A75E0000}"/>
    <cellStyle name="Hard Coded 7 5 2 2" xfId="20383" xr:uid="{00000000-0005-0000-0000-0000A85E0000}"/>
    <cellStyle name="Hard Coded 7 5 2 2 2" xfId="20384" xr:uid="{00000000-0005-0000-0000-0000A95E0000}"/>
    <cellStyle name="Hard Coded 7 5 2 2 3" xfId="20385" xr:uid="{00000000-0005-0000-0000-0000AA5E0000}"/>
    <cellStyle name="Hard Coded 7 5 2 2 4" xfId="39245" xr:uid="{00000000-0005-0000-0000-0000AB5E0000}"/>
    <cellStyle name="Hard Coded 7 5 2 3" xfId="20386" xr:uid="{00000000-0005-0000-0000-0000AC5E0000}"/>
    <cellStyle name="Hard Coded 7 5 2 3 2" xfId="39246" xr:uid="{00000000-0005-0000-0000-0000AD5E0000}"/>
    <cellStyle name="Hard Coded 7 5 2 4" xfId="20387" xr:uid="{00000000-0005-0000-0000-0000AE5E0000}"/>
    <cellStyle name="Hard Coded 7 5 2 5" xfId="39244" xr:uid="{00000000-0005-0000-0000-0000AF5E0000}"/>
    <cellStyle name="Hard Coded 7 5 3" xfId="20388" xr:uid="{00000000-0005-0000-0000-0000B05E0000}"/>
    <cellStyle name="Hard Coded 7 5 3 2" xfId="20389" xr:uid="{00000000-0005-0000-0000-0000B15E0000}"/>
    <cellStyle name="Hard Coded 7 5 3 3" xfId="20390" xr:uid="{00000000-0005-0000-0000-0000B25E0000}"/>
    <cellStyle name="Hard Coded 7 5 4" xfId="20391" xr:uid="{00000000-0005-0000-0000-0000B35E0000}"/>
    <cellStyle name="Hard Coded 7 5 5" xfId="39243" xr:uid="{00000000-0005-0000-0000-0000B45E0000}"/>
    <cellStyle name="Hard Coded 7 6" xfId="20392" xr:uid="{00000000-0005-0000-0000-0000B55E0000}"/>
    <cellStyle name="Hard Coded 7 6 2" xfId="20393" xr:uid="{00000000-0005-0000-0000-0000B65E0000}"/>
    <cellStyle name="Hard Coded 7 6 2 2" xfId="20394" xr:uid="{00000000-0005-0000-0000-0000B75E0000}"/>
    <cellStyle name="Hard Coded 7 6 2 3" xfId="20395" xr:uid="{00000000-0005-0000-0000-0000B85E0000}"/>
    <cellStyle name="Hard Coded 7 6 2 4" xfId="39248" xr:uid="{00000000-0005-0000-0000-0000B95E0000}"/>
    <cellStyle name="Hard Coded 7 6 3" xfId="20396" xr:uid="{00000000-0005-0000-0000-0000BA5E0000}"/>
    <cellStyle name="Hard Coded 7 6 4" xfId="20397" xr:uid="{00000000-0005-0000-0000-0000BB5E0000}"/>
    <cellStyle name="Hard Coded 7 6 5" xfId="39247" xr:uid="{00000000-0005-0000-0000-0000BC5E0000}"/>
    <cellStyle name="Hard Coded 7 7" xfId="20398" xr:uid="{00000000-0005-0000-0000-0000BD5E0000}"/>
    <cellStyle name="Hard Coded 7 7 2" xfId="20399" xr:uid="{00000000-0005-0000-0000-0000BE5E0000}"/>
    <cellStyle name="Hard Coded 7 7 2 2" xfId="20400" xr:uid="{00000000-0005-0000-0000-0000BF5E0000}"/>
    <cellStyle name="Hard Coded 7 7 2 3" xfId="20401" xr:uid="{00000000-0005-0000-0000-0000C05E0000}"/>
    <cellStyle name="Hard Coded 7 7 2 4" xfId="39250" xr:uid="{00000000-0005-0000-0000-0000C15E0000}"/>
    <cellStyle name="Hard Coded 7 7 3" xfId="20402" xr:uid="{00000000-0005-0000-0000-0000C25E0000}"/>
    <cellStyle name="Hard Coded 7 7 4" xfId="20403" xr:uid="{00000000-0005-0000-0000-0000C35E0000}"/>
    <cellStyle name="Hard Coded 7 7 5" xfId="39249" xr:uid="{00000000-0005-0000-0000-0000C45E0000}"/>
    <cellStyle name="Hard Coded 7 8" xfId="20404" xr:uid="{00000000-0005-0000-0000-0000C55E0000}"/>
    <cellStyle name="Hard Coded 7 9" xfId="20405" xr:uid="{00000000-0005-0000-0000-0000C65E0000}"/>
    <cellStyle name="Hard Coded 8" xfId="20406" xr:uid="{00000000-0005-0000-0000-0000C75E0000}"/>
    <cellStyle name="Hard Coded 8 2" xfId="20407" xr:uid="{00000000-0005-0000-0000-0000C85E0000}"/>
    <cellStyle name="Hard Coded 8 2 2" xfId="20408" xr:uid="{00000000-0005-0000-0000-0000C95E0000}"/>
    <cellStyle name="Hard Coded 8 2 2 2" xfId="20409" xr:uid="{00000000-0005-0000-0000-0000CA5E0000}"/>
    <cellStyle name="Hard Coded 8 2 2 2 2" xfId="20410" xr:uid="{00000000-0005-0000-0000-0000CB5E0000}"/>
    <cellStyle name="Hard Coded 8 2 2 2 2 2" xfId="20411" xr:uid="{00000000-0005-0000-0000-0000CC5E0000}"/>
    <cellStyle name="Hard Coded 8 2 2 2 2 3" xfId="20412" xr:uid="{00000000-0005-0000-0000-0000CD5E0000}"/>
    <cellStyle name="Hard Coded 8 2 2 2 2 4" xfId="39252" xr:uid="{00000000-0005-0000-0000-0000CE5E0000}"/>
    <cellStyle name="Hard Coded 8 2 2 2 3" xfId="20413" xr:uid="{00000000-0005-0000-0000-0000CF5E0000}"/>
    <cellStyle name="Hard Coded 8 2 2 2 3 2" xfId="39253" xr:uid="{00000000-0005-0000-0000-0000D05E0000}"/>
    <cellStyle name="Hard Coded 8 2 2 2 4" xfId="20414" xr:uid="{00000000-0005-0000-0000-0000D15E0000}"/>
    <cellStyle name="Hard Coded 8 2 2 2 5" xfId="39251" xr:uid="{00000000-0005-0000-0000-0000D25E0000}"/>
    <cellStyle name="Hard Coded 8 2 2 3" xfId="20415" xr:uid="{00000000-0005-0000-0000-0000D35E0000}"/>
    <cellStyle name="Hard Coded 8 2 2 3 2" xfId="20416" xr:uid="{00000000-0005-0000-0000-0000D45E0000}"/>
    <cellStyle name="Hard Coded 8 2 2 3 2 2" xfId="20417" xr:uid="{00000000-0005-0000-0000-0000D55E0000}"/>
    <cellStyle name="Hard Coded 8 2 2 3 2 3" xfId="20418" xr:uid="{00000000-0005-0000-0000-0000D65E0000}"/>
    <cellStyle name="Hard Coded 8 2 2 3 3" xfId="20419" xr:uid="{00000000-0005-0000-0000-0000D75E0000}"/>
    <cellStyle name="Hard Coded 8 2 2 3 4" xfId="20420" xr:uid="{00000000-0005-0000-0000-0000D85E0000}"/>
    <cellStyle name="Hard Coded 8 2 2 3 5" xfId="39254" xr:uid="{00000000-0005-0000-0000-0000D95E0000}"/>
    <cellStyle name="Hard Coded 8 2 2 4" xfId="20421" xr:uid="{00000000-0005-0000-0000-0000DA5E0000}"/>
    <cellStyle name="Hard Coded 8 2 2 5" xfId="35136" xr:uid="{00000000-0005-0000-0000-0000DB5E0000}"/>
    <cellStyle name="Hard Coded 8 2 3" xfId="20422" xr:uid="{00000000-0005-0000-0000-0000DC5E0000}"/>
    <cellStyle name="Hard Coded 8 2 3 2" xfId="20423" xr:uid="{00000000-0005-0000-0000-0000DD5E0000}"/>
    <cellStyle name="Hard Coded 8 2 3 2 2" xfId="20424" xr:uid="{00000000-0005-0000-0000-0000DE5E0000}"/>
    <cellStyle name="Hard Coded 8 2 3 2 2 2" xfId="20425" xr:uid="{00000000-0005-0000-0000-0000DF5E0000}"/>
    <cellStyle name="Hard Coded 8 2 3 2 2 3" xfId="20426" xr:uid="{00000000-0005-0000-0000-0000E05E0000}"/>
    <cellStyle name="Hard Coded 8 2 3 2 2 4" xfId="39257" xr:uid="{00000000-0005-0000-0000-0000E15E0000}"/>
    <cellStyle name="Hard Coded 8 2 3 2 3" xfId="20427" xr:uid="{00000000-0005-0000-0000-0000E25E0000}"/>
    <cellStyle name="Hard Coded 8 2 3 2 3 2" xfId="39258" xr:uid="{00000000-0005-0000-0000-0000E35E0000}"/>
    <cellStyle name="Hard Coded 8 2 3 2 4" xfId="20428" xr:uid="{00000000-0005-0000-0000-0000E45E0000}"/>
    <cellStyle name="Hard Coded 8 2 3 2 5" xfId="39256" xr:uid="{00000000-0005-0000-0000-0000E55E0000}"/>
    <cellStyle name="Hard Coded 8 2 3 3" xfId="20429" xr:uid="{00000000-0005-0000-0000-0000E65E0000}"/>
    <cellStyle name="Hard Coded 8 2 3 3 2" xfId="20430" xr:uid="{00000000-0005-0000-0000-0000E75E0000}"/>
    <cellStyle name="Hard Coded 8 2 3 3 3" xfId="20431" xr:uid="{00000000-0005-0000-0000-0000E85E0000}"/>
    <cellStyle name="Hard Coded 8 2 3 4" xfId="20432" xr:uid="{00000000-0005-0000-0000-0000E95E0000}"/>
    <cellStyle name="Hard Coded 8 2 3 5" xfId="39255" xr:uid="{00000000-0005-0000-0000-0000EA5E0000}"/>
    <cellStyle name="Hard Coded 8 2 4" xfId="20433" xr:uid="{00000000-0005-0000-0000-0000EB5E0000}"/>
    <cellStyle name="Hard Coded 8 2 4 2" xfId="20434" xr:uid="{00000000-0005-0000-0000-0000EC5E0000}"/>
    <cellStyle name="Hard Coded 8 2 4 2 2" xfId="20435" xr:uid="{00000000-0005-0000-0000-0000ED5E0000}"/>
    <cellStyle name="Hard Coded 8 2 4 2 3" xfId="20436" xr:uid="{00000000-0005-0000-0000-0000EE5E0000}"/>
    <cellStyle name="Hard Coded 8 2 4 2 4" xfId="39260" xr:uid="{00000000-0005-0000-0000-0000EF5E0000}"/>
    <cellStyle name="Hard Coded 8 2 4 3" xfId="20437" xr:uid="{00000000-0005-0000-0000-0000F05E0000}"/>
    <cellStyle name="Hard Coded 8 2 4 3 2" xfId="39261" xr:uid="{00000000-0005-0000-0000-0000F15E0000}"/>
    <cellStyle name="Hard Coded 8 2 4 4" xfId="20438" xr:uid="{00000000-0005-0000-0000-0000F25E0000}"/>
    <cellStyle name="Hard Coded 8 2 4 5" xfId="39259" xr:uid="{00000000-0005-0000-0000-0000F35E0000}"/>
    <cellStyle name="Hard Coded 8 2 5" xfId="20439" xr:uid="{00000000-0005-0000-0000-0000F45E0000}"/>
    <cellStyle name="Hard Coded 8 2 6" xfId="35135" xr:uid="{00000000-0005-0000-0000-0000F55E0000}"/>
    <cellStyle name="Hard Coded 8 3" xfId="20440" xr:uid="{00000000-0005-0000-0000-0000F65E0000}"/>
    <cellStyle name="Hard Coded 8 3 2" xfId="20441" xr:uid="{00000000-0005-0000-0000-0000F75E0000}"/>
    <cellStyle name="Hard Coded 8 3 2 2" xfId="20442" xr:uid="{00000000-0005-0000-0000-0000F85E0000}"/>
    <cellStyle name="Hard Coded 8 3 2 2 2" xfId="20443" xr:uid="{00000000-0005-0000-0000-0000F95E0000}"/>
    <cellStyle name="Hard Coded 8 3 2 2 2 2" xfId="20444" xr:uid="{00000000-0005-0000-0000-0000FA5E0000}"/>
    <cellStyle name="Hard Coded 8 3 2 2 2 3" xfId="20445" xr:uid="{00000000-0005-0000-0000-0000FB5E0000}"/>
    <cellStyle name="Hard Coded 8 3 2 2 2 4" xfId="39263" xr:uid="{00000000-0005-0000-0000-0000FC5E0000}"/>
    <cellStyle name="Hard Coded 8 3 2 2 3" xfId="20446" xr:uid="{00000000-0005-0000-0000-0000FD5E0000}"/>
    <cellStyle name="Hard Coded 8 3 2 2 3 2" xfId="39264" xr:uid="{00000000-0005-0000-0000-0000FE5E0000}"/>
    <cellStyle name="Hard Coded 8 3 2 2 4" xfId="20447" xr:uid="{00000000-0005-0000-0000-0000FF5E0000}"/>
    <cellStyle name="Hard Coded 8 3 2 2 5" xfId="39262" xr:uid="{00000000-0005-0000-0000-0000005F0000}"/>
    <cellStyle name="Hard Coded 8 3 2 3" xfId="20448" xr:uid="{00000000-0005-0000-0000-0000015F0000}"/>
    <cellStyle name="Hard Coded 8 3 2 3 2" xfId="20449" xr:uid="{00000000-0005-0000-0000-0000025F0000}"/>
    <cellStyle name="Hard Coded 8 3 2 3 2 2" xfId="20450" xr:uid="{00000000-0005-0000-0000-0000035F0000}"/>
    <cellStyle name="Hard Coded 8 3 2 3 2 3" xfId="20451" xr:uid="{00000000-0005-0000-0000-0000045F0000}"/>
    <cellStyle name="Hard Coded 8 3 2 3 3" xfId="20452" xr:uid="{00000000-0005-0000-0000-0000055F0000}"/>
    <cellStyle name="Hard Coded 8 3 2 3 4" xfId="20453" xr:uid="{00000000-0005-0000-0000-0000065F0000}"/>
    <cellStyle name="Hard Coded 8 3 2 3 5" xfId="39265" xr:uid="{00000000-0005-0000-0000-0000075F0000}"/>
    <cellStyle name="Hard Coded 8 3 2 4" xfId="20454" xr:uid="{00000000-0005-0000-0000-0000085F0000}"/>
    <cellStyle name="Hard Coded 8 3 2 5" xfId="35138" xr:uid="{00000000-0005-0000-0000-0000095F0000}"/>
    <cellStyle name="Hard Coded 8 3 3" xfId="20455" xr:uid="{00000000-0005-0000-0000-00000A5F0000}"/>
    <cellStyle name="Hard Coded 8 3 3 2" xfId="20456" xr:uid="{00000000-0005-0000-0000-00000B5F0000}"/>
    <cellStyle name="Hard Coded 8 3 3 2 2" xfId="20457" xr:uid="{00000000-0005-0000-0000-00000C5F0000}"/>
    <cellStyle name="Hard Coded 8 3 3 2 2 2" xfId="20458" xr:uid="{00000000-0005-0000-0000-00000D5F0000}"/>
    <cellStyle name="Hard Coded 8 3 3 2 2 3" xfId="20459" xr:uid="{00000000-0005-0000-0000-00000E5F0000}"/>
    <cellStyle name="Hard Coded 8 3 3 2 2 4" xfId="39268" xr:uid="{00000000-0005-0000-0000-00000F5F0000}"/>
    <cellStyle name="Hard Coded 8 3 3 2 3" xfId="20460" xr:uid="{00000000-0005-0000-0000-0000105F0000}"/>
    <cellStyle name="Hard Coded 8 3 3 2 3 2" xfId="39269" xr:uid="{00000000-0005-0000-0000-0000115F0000}"/>
    <cellStyle name="Hard Coded 8 3 3 2 4" xfId="20461" xr:uid="{00000000-0005-0000-0000-0000125F0000}"/>
    <cellStyle name="Hard Coded 8 3 3 2 5" xfId="39267" xr:uid="{00000000-0005-0000-0000-0000135F0000}"/>
    <cellStyle name="Hard Coded 8 3 3 3" xfId="20462" xr:uid="{00000000-0005-0000-0000-0000145F0000}"/>
    <cellStyle name="Hard Coded 8 3 3 3 2" xfId="20463" xr:uid="{00000000-0005-0000-0000-0000155F0000}"/>
    <cellStyle name="Hard Coded 8 3 3 3 3" xfId="20464" xr:uid="{00000000-0005-0000-0000-0000165F0000}"/>
    <cellStyle name="Hard Coded 8 3 3 4" xfId="20465" xr:uid="{00000000-0005-0000-0000-0000175F0000}"/>
    <cellStyle name="Hard Coded 8 3 3 5" xfId="39266" xr:uid="{00000000-0005-0000-0000-0000185F0000}"/>
    <cellStyle name="Hard Coded 8 3 4" xfId="20466" xr:uid="{00000000-0005-0000-0000-0000195F0000}"/>
    <cellStyle name="Hard Coded 8 3 4 2" xfId="20467" xr:uid="{00000000-0005-0000-0000-00001A5F0000}"/>
    <cellStyle name="Hard Coded 8 3 4 2 2" xfId="20468" xr:uid="{00000000-0005-0000-0000-00001B5F0000}"/>
    <cellStyle name="Hard Coded 8 3 4 2 3" xfId="20469" xr:uid="{00000000-0005-0000-0000-00001C5F0000}"/>
    <cellStyle name="Hard Coded 8 3 4 2 4" xfId="39271" xr:uid="{00000000-0005-0000-0000-00001D5F0000}"/>
    <cellStyle name="Hard Coded 8 3 4 3" xfId="20470" xr:uid="{00000000-0005-0000-0000-00001E5F0000}"/>
    <cellStyle name="Hard Coded 8 3 4 3 2" xfId="39272" xr:uid="{00000000-0005-0000-0000-00001F5F0000}"/>
    <cellStyle name="Hard Coded 8 3 4 4" xfId="20471" xr:uid="{00000000-0005-0000-0000-0000205F0000}"/>
    <cellStyle name="Hard Coded 8 3 4 5" xfId="39270" xr:uid="{00000000-0005-0000-0000-0000215F0000}"/>
    <cellStyle name="Hard Coded 8 3 5" xfId="20472" xr:uid="{00000000-0005-0000-0000-0000225F0000}"/>
    <cellStyle name="Hard Coded 8 3 6" xfId="35137" xr:uid="{00000000-0005-0000-0000-0000235F0000}"/>
    <cellStyle name="Hard Coded 8 4" xfId="20473" xr:uid="{00000000-0005-0000-0000-0000245F0000}"/>
    <cellStyle name="Hard Coded 8 4 2" xfId="20474" xr:uid="{00000000-0005-0000-0000-0000255F0000}"/>
    <cellStyle name="Hard Coded 8 4 2 2" xfId="20475" xr:uid="{00000000-0005-0000-0000-0000265F0000}"/>
    <cellStyle name="Hard Coded 8 4 2 2 2" xfId="20476" xr:uid="{00000000-0005-0000-0000-0000275F0000}"/>
    <cellStyle name="Hard Coded 8 4 2 2 2 2" xfId="20477" xr:uid="{00000000-0005-0000-0000-0000285F0000}"/>
    <cellStyle name="Hard Coded 8 4 2 2 2 3" xfId="20478" xr:uid="{00000000-0005-0000-0000-0000295F0000}"/>
    <cellStyle name="Hard Coded 8 4 2 2 2 4" xfId="39275" xr:uid="{00000000-0005-0000-0000-00002A5F0000}"/>
    <cellStyle name="Hard Coded 8 4 2 2 3" xfId="20479" xr:uid="{00000000-0005-0000-0000-00002B5F0000}"/>
    <cellStyle name="Hard Coded 8 4 2 2 3 2" xfId="39276" xr:uid="{00000000-0005-0000-0000-00002C5F0000}"/>
    <cellStyle name="Hard Coded 8 4 2 2 4" xfId="20480" xr:uid="{00000000-0005-0000-0000-00002D5F0000}"/>
    <cellStyle name="Hard Coded 8 4 2 2 5" xfId="39274" xr:uid="{00000000-0005-0000-0000-00002E5F0000}"/>
    <cellStyle name="Hard Coded 8 4 2 3" xfId="20481" xr:uid="{00000000-0005-0000-0000-00002F5F0000}"/>
    <cellStyle name="Hard Coded 8 4 2 3 2" xfId="20482" xr:uid="{00000000-0005-0000-0000-0000305F0000}"/>
    <cellStyle name="Hard Coded 8 4 2 3 3" xfId="20483" xr:uid="{00000000-0005-0000-0000-0000315F0000}"/>
    <cellStyle name="Hard Coded 8 4 2 4" xfId="20484" xr:uid="{00000000-0005-0000-0000-0000325F0000}"/>
    <cellStyle name="Hard Coded 8 4 2 5" xfId="39273" xr:uid="{00000000-0005-0000-0000-0000335F0000}"/>
    <cellStyle name="Hard Coded 8 4 3" xfId="20485" xr:uid="{00000000-0005-0000-0000-0000345F0000}"/>
    <cellStyle name="Hard Coded 8 4 3 2" xfId="20486" xr:uid="{00000000-0005-0000-0000-0000355F0000}"/>
    <cellStyle name="Hard Coded 8 4 3 2 2" xfId="20487" xr:uid="{00000000-0005-0000-0000-0000365F0000}"/>
    <cellStyle name="Hard Coded 8 4 3 2 2 2" xfId="20488" xr:uid="{00000000-0005-0000-0000-0000375F0000}"/>
    <cellStyle name="Hard Coded 8 4 3 2 2 3" xfId="20489" xr:uid="{00000000-0005-0000-0000-0000385F0000}"/>
    <cellStyle name="Hard Coded 8 4 3 2 2 4" xfId="39279" xr:uid="{00000000-0005-0000-0000-0000395F0000}"/>
    <cellStyle name="Hard Coded 8 4 3 2 3" xfId="20490" xr:uid="{00000000-0005-0000-0000-00003A5F0000}"/>
    <cellStyle name="Hard Coded 8 4 3 2 3 2" xfId="39280" xr:uid="{00000000-0005-0000-0000-00003B5F0000}"/>
    <cellStyle name="Hard Coded 8 4 3 2 4" xfId="20491" xr:uid="{00000000-0005-0000-0000-00003C5F0000}"/>
    <cellStyle name="Hard Coded 8 4 3 2 5" xfId="39278" xr:uid="{00000000-0005-0000-0000-00003D5F0000}"/>
    <cellStyle name="Hard Coded 8 4 3 3" xfId="20492" xr:uid="{00000000-0005-0000-0000-00003E5F0000}"/>
    <cellStyle name="Hard Coded 8 4 3 3 2" xfId="20493" xr:uid="{00000000-0005-0000-0000-00003F5F0000}"/>
    <cellStyle name="Hard Coded 8 4 3 3 3" xfId="20494" xr:uid="{00000000-0005-0000-0000-0000405F0000}"/>
    <cellStyle name="Hard Coded 8 4 3 4" xfId="20495" xr:uid="{00000000-0005-0000-0000-0000415F0000}"/>
    <cellStyle name="Hard Coded 8 4 3 5" xfId="39277" xr:uid="{00000000-0005-0000-0000-0000425F0000}"/>
    <cellStyle name="Hard Coded 8 4 4" xfId="20496" xr:uid="{00000000-0005-0000-0000-0000435F0000}"/>
    <cellStyle name="Hard Coded 8 4 4 2" xfId="20497" xr:uid="{00000000-0005-0000-0000-0000445F0000}"/>
    <cellStyle name="Hard Coded 8 4 4 2 2" xfId="20498" xr:uid="{00000000-0005-0000-0000-0000455F0000}"/>
    <cellStyle name="Hard Coded 8 4 4 2 3" xfId="20499" xr:uid="{00000000-0005-0000-0000-0000465F0000}"/>
    <cellStyle name="Hard Coded 8 4 4 2 4" xfId="39282" xr:uid="{00000000-0005-0000-0000-0000475F0000}"/>
    <cellStyle name="Hard Coded 8 4 4 3" xfId="20500" xr:uid="{00000000-0005-0000-0000-0000485F0000}"/>
    <cellStyle name="Hard Coded 8 4 4 4" xfId="20501" xr:uid="{00000000-0005-0000-0000-0000495F0000}"/>
    <cellStyle name="Hard Coded 8 4 4 5" xfId="39281" xr:uid="{00000000-0005-0000-0000-00004A5F0000}"/>
    <cellStyle name="Hard Coded 8 4 5" xfId="20502" xr:uid="{00000000-0005-0000-0000-00004B5F0000}"/>
    <cellStyle name="Hard Coded 8 4 5 2" xfId="39283" xr:uid="{00000000-0005-0000-0000-00004C5F0000}"/>
    <cellStyle name="Hard Coded 8 4 6" xfId="20503" xr:uid="{00000000-0005-0000-0000-00004D5F0000}"/>
    <cellStyle name="Hard Coded 8 4 7" xfId="35139" xr:uid="{00000000-0005-0000-0000-00004E5F0000}"/>
    <cellStyle name="Hard Coded 8 5" xfId="20504" xr:uid="{00000000-0005-0000-0000-00004F5F0000}"/>
    <cellStyle name="Hard Coded 8 5 2" xfId="20505" xr:uid="{00000000-0005-0000-0000-0000505F0000}"/>
    <cellStyle name="Hard Coded 8 5 2 2" xfId="20506" xr:uid="{00000000-0005-0000-0000-0000515F0000}"/>
    <cellStyle name="Hard Coded 8 5 2 2 2" xfId="20507" xr:uid="{00000000-0005-0000-0000-0000525F0000}"/>
    <cellStyle name="Hard Coded 8 5 2 2 3" xfId="20508" xr:uid="{00000000-0005-0000-0000-0000535F0000}"/>
    <cellStyle name="Hard Coded 8 5 2 2 4" xfId="39286" xr:uid="{00000000-0005-0000-0000-0000545F0000}"/>
    <cellStyle name="Hard Coded 8 5 2 3" xfId="20509" xr:uid="{00000000-0005-0000-0000-0000555F0000}"/>
    <cellStyle name="Hard Coded 8 5 2 3 2" xfId="39287" xr:uid="{00000000-0005-0000-0000-0000565F0000}"/>
    <cellStyle name="Hard Coded 8 5 2 4" xfId="20510" xr:uid="{00000000-0005-0000-0000-0000575F0000}"/>
    <cellStyle name="Hard Coded 8 5 2 5" xfId="39285" xr:uid="{00000000-0005-0000-0000-0000585F0000}"/>
    <cellStyle name="Hard Coded 8 5 3" xfId="20511" xr:uid="{00000000-0005-0000-0000-0000595F0000}"/>
    <cellStyle name="Hard Coded 8 5 3 2" xfId="20512" xr:uid="{00000000-0005-0000-0000-00005A5F0000}"/>
    <cellStyle name="Hard Coded 8 5 3 3" xfId="20513" xr:uid="{00000000-0005-0000-0000-00005B5F0000}"/>
    <cellStyle name="Hard Coded 8 5 4" xfId="20514" xr:uid="{00000000-0005-0000-0000-00005C5F0000}"/>
    <cellStyle name="Hard Coded 8 5 5" xfId="39284" xr:uid="{00000000-0005-0000-0000-00005D5F0000}"/>
    <cellStyle name="Hard Coded 8 6" xfId="20515" xr:uid="{00000000-0005-0000-0000-00005E5F0000}"/>
    <cellStyle name="Hard Coded 8 6 2" xfId="20516" xr:uid="{00000000-0005-0000-0000-00005F5F0000}"/>
    <cellStyle name="Hard Coded 8 6 2 2" xfId="20517" xr:uid="{00000000-0005-0000-0000-0000605F0000}"/>
    <cellStyle name="Hard Coded 8 6 2 2 2" xfId="20518" xr:uid="{00000000-0005-0000-0000-0000615F0000}"/>
    <cellStyle name="Hard Coded 8 6 2 2 3" xfId="20519" xr:uid="{00000000-0005-0000-0000-0000625F0000}"/>
    <cellStyle name="Hard Coded 8 6 2 2 4" xfId="39290" xr:uid="{00000000-0005-0000-0000-0000635F0000}"/>
    <cellStyle name="Hard Coded 8 6 2 3" xfId="20520" xr:uid="{00000000-0005-0000-0000-0000645F0000}"/>
    <cellStyle name="Hard Coded 8 6 2 3 2" xfId="39291" xr:uid="{00000000-0005-0000-0000-0000655F0000}"/>
    <cellStyle name="Hard Coded 8 6 2 4" xfId="20521" xr:uid="{00000000-0005-0000-0000-0000665F0000}"/>
    <cellStyle name="Hard Coded 8 6 2 5" xfId="39289" xr:uid="{00000000-0005-0000-0000-0000675F0000}"/>
    <cellStyle name="Hard Coded 8 6 3" xfId="20522" xr:uid="{00000000-0005-0000-0000-0000685F0000}"/>
    <cellStyle name="Hard Coded 8 6 3 2" xfId="20523" xr:uid="{00000000-0005-0000-0000-0000695F0000}"/>
    <cellStyle name="Hard Coded 8 6 3 3" xfId="20524" xr:uid="{00000000-0005-0000-0000-00006A5F0000}"/>
    <cellStyle name="Hard Coded 8 6 4" xfId="20525" xr:uid="{00000000-0005-0000-0000-00006B5F0000}"/>
    <cellStyle name="Hard Coded 8 6 5" xfId="39288" xr:uid="{00000000-0005-0000-0000-00006C5F0000}"/>
    <cellStyle name="Hard Coded 8 7" xfId="20526" xr:uid="{00000000-0005-0000-0000-00006D5F0000}"/>
    <cellStyle name="Hard Coded 8 8" xfId="35134" xr:uid="{00000000-0005-0000-0000-00006E5F0000}"/>
    <cellStyle name="Hard Coded 9" xfId="20527" xr:uid="{00000000-0005-0000-0000-00006F5F0000}"/>
    <cellStyle name="Hard Coded 9 2" xfId="20528" xr:uid="{00000000-0005-0000-0000-0000705F0000}"/>
    <cellStyle name="Hard Coded 9 2 2" xfId="20529" xr:uid="{00000000-0005-0000-0000-0000715F0000}"/>
    <cellStyle name="Hard Coded 9 2 2 2" xfId="20530" xr:uid="{00000000-0005-0000-0000-0000725F0000}"/>
    <cellStyle name="Hard Coded 9 2 2 2 2" xfId="20531" xr:uid="{00000000-0005-0000-0000-0000735F0000}"/>
    <cellStyle name="Hard Coded 9 2 2 2 3" xfId="20532" xr:uid="{00000000-0005-0000-0000-0000745F0000}"/>
    <cellStyle name="Hard Coded 9 2 2 2 4" xfId="39293" xr:uid="{00000000-0005-0000-0000-0000755F0000}"/>
    <cellStyle name="Hard Coded 9 2 2 3" xfId="20533" xr:uid="{00000000-0005-0000-0000-0000765F0000}"/>
    <cellStyle name="Hard Coded 9 2 2 3 2" xfId="39294" xr:uid="{00000000-0005-0000-0000-0000775F0000}"/>
    <cellStyle name="Hard Coded 9 2 2 4" xfId="20534" xr:uid="{00000000-0005-0000-0000-0000785F0000}"/>
    <cellStyle name="Hard Coded 9 2 2 5" xfId="39292" xr:uid="{00000000-0005-0000-0000-0000795F0000}"/>
    <cellStyle name="Hard Coded 9 2 3" xfId="20535" xr:uid="{00000000-0005-0000-0000-00007A5F0000}"/>
    <cellStyle name="Hard Coded 9 2 3 2" xfId="20536" xr:uid="{00000000-0005-0000-0000-00007B5F0000}"/>
    <cellStyle name="Hard Coded 9 2 3 2 2" xfId="20537" xr:uid="{00000000-0005-0000-0000-00007C5F0000}"/>
    <cellStyle name="Hard Coded 9 2 3 2 3" xfId="20538" xr:uid="{00000000-0005-0000-0000-00007D5F0000}"/>
    <cellStyle name="Hard Coded 9 2 3 3" xfId="20539" xr:uid="{00000000-0005-0000-0000-00007E5F0000}"/>
    <cellStyle name="Hard Coded 9 2 3 4" xfId="20540" xr:uid="{00000000-0005-0000-0000-00007F5F0000}"/>
    <cellStyle name="Hard Coded 9 2 3 5" xfId="39295" xr:uid="{00000000-0005-0000-0000-0000805F0000}"/>
    <cellStyle name="Hard Coded 9 2 4" xfId="20541" xr:uid="{00000000-0005-0000-0000-0000815F0000}"/>
    <cellStyle name="Hard Coded 9 2 5" xfId="35141" xr:uid="{00000000-0005-0000-0000-0000825F0000}"/>
    <cellStyle name="Hard Coded 9 3" xfId="20542" xr:uid="{00000000-0005-0000-0000-0000835F0000}"/>
    <cellStyle name="Hard Coded 9 3 2" xfId="20543" xr:uid="{00000000-0005-0000-0000-0000845F0000}"/>
    <cellStyle name="Hard Coded 9 3 2 2" xfId="20544" xr:uid="{00000000-0005-0000-0000-0000855F0000}"/>
    <cellStyle name="Hard Coded 9 3 2 2 2" xfId="20545" xr:uid="{00000000-0005-0000-0000-0000865F0000}"/>
    <cellStyle name="Hard Coded 9 3 2 2 3" xfId="20546" xr:uid="{00000000-0005-0000-0000-0000875F0000}"/>
    <cellStyle name="Hard Coded 9 3 2 2 4" xfId="39298" xr:uid="{00000000-0005-0000-0000-0000885F0000}"/>
    <cellStyle name="Hard Coded 9 3 2 3" xfId="20547" xr:uid="{00000000-0005-0000-0000-0000895F0000}"/>
    <cellStyle name="Hard Coded 9 3 2 3 2" xfId="39299" xr:uid="{00000000-0005-0000-0000-00008A5F0000}"/>
    <cellStyle name="Hard Coded 9 3 2 4" xfId="20548" xr:uid="{00000000-0005-0000-0000-00008B5F0000}"/>
    <cellStyle name="Hard Coded 9 3 2 5" xfId="39297" xr:uid="{00000000-0005-0000-0000-00008C5F0000}"/>
    <cellStyle name="Hard Coded 9 3 3" xfId="20549" xr:uid="{00000000-0005-0000-0000-00008D5F0000}"/>
    <cellStyle name="Hard Coded 9 3 3 2" xfId="20550" xr:uid="{00000000-0005-0000-0000-00008E5F0000}"/>
    <cellStyle name="Hard Coded 9 3 3 3" xfId="20551" xr:uid="{00000000-0005-0000-0000-00008F5F0000}"/>
    <cellStyle name="Hard Coded 9 3 4" xfId="20552" xr:uid="{00000000-0005-0000-0000-0000905F0000}"/>
    <cellStyle name="Hard Coded 9 3 5" xfId="39296" xr:uid="{00000000-0005-0000-0000-0000915F0000}"/>
    <cellStyle name="Hard Coded 9 4" xfId="20553" xr:uid="{00000000-0005-0000-0000-0000925F0000}"/>
    <cellStyle name="Hard Coded 9 4 2" xfId="20554" xr:uid="{00000000-0005-0000-0000-0000935F0000}"/>
    <cellStyle name="Hard Coded 9 4 2 2" xfId="20555" xr:uid="{00000000-0005-0000-0000-0000945F0000}"/>
    <cellStyle name="Hard Coded 9 4 2 3" xfId="20556" xr:uid="{00000000-0005-0000-0000-0000955F0000}"/>
    <cellStyle name="Hard Coded 9 4 2 4" xfId="39301" xr:uid="{00000000-0005-0000-0000-0000965F0000}"/>
    <cellStyle name="Hard Coded 9 4 3" xfId="20557" xr:uid="{00000000-0005-0000-0000-0000975F0000}"/>
    <cellStyle name="Hard Coded 9 4 3 2" xfId="39302" xr:uid="{00000000-0005-0000-0000-0000985F0000}"/>
    <cellStyle name="Hard Coded 9 4 4" xfId="20558" xr:uid="{00000000-0005-0000-0000-0000995F0000}"/>
    <cellStyle name="Hard Coded 9 4 5" xfId="39300" xr:uid="{00000000-0005-0000-0000-00009A5F0000}"/>
    <cellStyle name="Hard Coded 9 5" xfId="20559" xr:uid="{00000000-0005-0000-0000-00009B5F0000}"/>
    <cellStyle name="Hard Coded 9 5 2" xfId="20560" xr:uid="{00000000-0005-0000-0000-00009C5F0000}"/>
    <cellStyle name="Hard Coded 9 5 2 2" xfId="20561" xr:uid="{00000000-0005-0000-0000-00009D5F0000}"/>
    <cellStyle name="Hard Coded 9 5 2 3" xfId="20562" xr:uid="{00000000-0005-0000-0000-00009E5F0000}"/>
    <cellStyle name="Hard Coded 9 5 3" xfId="20563" xr:uid="{00000000-0005-0000-0000-00009F5F0000}"/>
    <cellStyle name="Hard Coded 9 5 4" xfId="20564" xr:uid="{00000000-0005-0000-0000-0000A05F0000}"/>
    <cellStyle name="Hard Coded 9 5 5" xfId="39303" xr:uid="{00000000-0005-0000-0000-0000A15F0000}"/>
    <cellStyle name="Hard Coded 9 6" xfId="20565" xr:uid="{00000000-0005-0000-0000-0000A25F0000}"/>
    <cellStyle name="Hard Coded 9 6 2" xfId="20566" xr:uid="{00000000-0005-0000-0000-0000A35F0000}"/>
    <cellStyle name="Hard Coded 9 6 2 2" xfId="20567" xr:uid="{00000000-0005-0000-0000-0000A45F0000}"/>
    <cellStyle name="Hard Coded 9 6 2 3" xfId="20568" xr:uid="{00000000-0005-0000-0000-0000A55F0000}"/>
    <cellStyle name="Hard Coded 9 6 3" xfId="20569" xr:uid="{00000000-0005-0000-0000-0000A65F0000}"/>
    <cellStyle name="Hard Coded 9 6 3 2" xfId="20570" xr:uid="{00000000-0005-0000-0000-0000A75F0000}"/>
    <cellStyle name="Hard Coded 9 6 3 3" xfId="20571" xr:uid="{00000000-0005-0000-0000-0000A85F0000}"/>
    <cellStyle name="Hard Coded 9 6 4" xfId="20572" xr:uid="{00000000-0005-0000-0000-0000A95F0000}"/>
    <cellStyle name="Hard Coded 9 6 5" xfId="39304" xr:uid="{00000000-0005-0000-0000-0000AA5F0000}"/>
    <cellStyle name="Hard Coded 9 7" xfId="20573" xr:uid="{00000000-0005-0000-0000-0000AB5F0000}"/>
    <cellStyle name="Hard Coded 9 8" xfId="35140" xr:uid="{00000000-0005-0000-0000-0000AC5F0000}"/>
    <cellStyle name="Header1" xfId="20574" xr:uid="{00000000-0005-0000-0000-0000AD5F0000}"/>
    <cellStyle name="Header1 2" xfId="20575" xr:uid="{00000000-0005-0000-0000-0000AE5F0000}"/>
    <cellStyle name="Header1 2 2" xfId="20576" xr:uid="{00000000-0005-0000-0000-0000AF5F0000}"/>
    <cellStyle name="Header1 2 2 2" xfId="20577" xr:uid="{00000000-0005-0000-0000-0000B05F0000}"/>
    <cellStyle name="Header1 2 2 2 2" xfId="20578" xr:uid="{00000000-0005-0000-0000-0000B15F0000}"/>
    <cellStyle name="Header1 2 2 3" xfId="20579" xr:uid="{00000000-0005-0000-0000-0000B25F0000}"/>
    <cellStyle name="Header1 2 3" xfId="20580" xr:uid="{00000000-0005-0000-0000-0000B35F0000}"/>
    <cellStyle name="Header1 2 3 2" xfId="20581" xr:uid="{00000000-0005-0000-0000-0000B45F0000}"/>
    <cellStyle name="Header1 2 3 2 2" xfId="20582" xr:uid="{00000000-0005-0000-0000-0000B55F0000}"/>
    <cellStyle name="Header1 2 3 3" xfId="20583" xr:uid="{00000000-0005-0000-0000-0000B65F0000}"/>
    <cellStyle name="Header1 2 4" xfId="20584" xr:uid="{00000000-0005-0000-0000-0000B75F0000}"/>
    <cellStyle name="Header1 3" xfId="20585" xr:uid="{00000000-0005-0000-0000-0000B85F0000}"/>
    <cellStyle name="Header1 3 2" xfId="20586" xr:uid="{00000000-0005-0000-0000-0000B95F0000}"/>
    <cellStyle name="Header1 3 2 2" xfId="20587" xr:uid="{00000000-0005-0000-0000-0000BA5F0000}"/>
    <cellStyle name="Header1 3 3" xfId="20588" xr:uid="{00000000-0005-0000-0000-0000BB5F0000}"/>
    <cellStyle name="Header1 4" xfId="20589" xr:uid="{00000000-0005-0000-0000-0000BC5F0000}"/>
    <cellStyle name="Header1 4 2" xfId="20590" xr:uid="{00000000-0005-0000-0000-0000BD5F0000}"/>
    <cellStyle name="Header1 4 2 2" xfId="20591" xr:uid="{00000000-0005-0000-0000-0000BE5F0000}"/>
    <cellStyle name="Header1 4 3" xfId="20592" xr:uid="{00000000-0005-0000-0000-0000BF5F0000}"/>
    <cellStyle name="Header1 5" xfId="20593" xr:uid="{00000000-0005-0000-0000-0000C05F0000}"/>
    <cellStyle name="Header1 5 2" xfId="20594" xr:uid="{00000000-0005-0000-0000-0000C15F0000}"/>
    <cellStyle name="Header1 5 2 2" xfId="20595" xr:uid="{00000000-0005-0000-0000-0000C25F0000}"/>
    <cellStyle name="Header1 5 3" xfId="20596" xr:uid="{00000000-0005-0000-0000-0000C35F0000}"/>
    <cellStyle name="Header1 6" xfId="20597" xr:uid="{00000000-0005-0000-0000-0000C45F0000}"/>
    <cellStyle name="Header2" xfId="20598" xr:uid="{00000000-0005-0000-0000-0000C55F0000}"/>
    <cellStyle name="Heading" xfId="20599" xr:uid="{00000000-0005-0000-0000-0000C65F0000}"/>
    <cellStyle name="Heading 1 10" xfId="41884" xr:uid="{FFEF418D-D099-4137-8752-0D52E9DD832F}"/>
    <cellStyle name="Heading 1 2" xfId="20600" xr:uid="{00000000-0005-0000-0000-0000C75F0000}"/>
    <cellStyle name="Heading 1 2 2" xfId="20601" xr:uid="{00000000-0005-0000-0000-0000C85F0000}"/>
    <cellStyle name="Heading 1 2 2 2" xfId="20602" xr:uid="{00000000-0005-0000-0000-0000C95F0000}"/>
    <cellStyle name="Heading 1 2 2 3" xfId="20603" xr:uid="{00000000-0005-0000-0000-0000CA5F0000}"/>
    <cellStyle name="Heading 1 2 2 3 2" xfId="39306" xr:uid="{00000000-0005-0000-0000-0000CB5F0000}"/>
    <cellStyle name="Heading 1 2 2 3 3" xfId="39305" xr:uid="{00000000-0005-0000-0000-0000CC5F0000}"/>
    <cellStyle name="Heading 1 2 2 4" xfId="20604" xr:uid="{00000000-0005-0000-0000-0000CD5F0000}"/>
    <cellStyle name="Heading 1 2 2 5" xfId="41942" xr:uid="{3F2B4085-5A7A-460B-A1D1-FDFA57FCC1E1}"/>
    <cellStyle name="Heading 1 2 3" xfId="20605" xr:uid="{00000000-0005-0000-0000-0000CE5F0000}"/>
    <cellStyle name="Heading 1 2 3 2" xfId="20606" xr:uid="{00000000-0005-0000-0000-0000CF5F0000}"/>
    <cellStyle name="Heading 1 2 4" xfId="20607" xr:uid="{00000000-0005-0000-0000-0000D05F0000}"/>
    <cellStyle name="Heading 1 2 5" xfId="20608" xr:uid="{00000000-0005-0000-0000-0000D15F0000}"/>
    <cellStyle name="Heading 1 2 6" xfId="20609" xr:uid="{00000000-0005-0000-0000-0000D25F0000}"/>
    <cellStyle name="Heading 1 2 6 2" xfId="20610" xr:uid="{00000000-0005-0000-0000-0000D35F0000}"/>
    <cellStyle name="Heading 1 2 6 3" xfId="35142" xr:uid="{00000000-0005-0000-0000-0000D45F0000}"/>
    <cellStyle name="Heading 1 2 7" xfId="20611" xr:uid="{00000000-0005-0000-0000-0000D55F0000}"/>
    <cellStyle name="Heading 1 2 8" xfId="41941" xr:uid="{EF64C740-4CC3-4B80-AE4E-280237BACAC6}"/>
    <cellStyle name="Heading 1 3" xfId="20612" xr:uid="{00000000-0005-0000-0000-0000D65F0000}"/>
    <cellStyle name="Heading 1 3 2" xfId="20613" xr:uid="{00000000-0005-0000-0000-0000D75F0000}"/>
    <cellStyle name="Heading 1 3 2 2" xfId="35143" xr:uid="{00000000-0005-0000-0000-0000D85F0000}"/>
    <cellStyle name="Heading 1 3 3" xfId="20614" xr:uid="{00000000-0005-0000-0000-0000D95F0000}"/>
    <cellStyle name="Heading 1 3 4" xfId="20615" xr:uid="{00000000-0005-0000-0000-0000DA5F0000}"/>
    <cellStyle name="Heading 1 3 5" xfId="41943" xr:uid="{C2F00484-8ED1-4B86-86D8-49E8D2C7F6B6}"/>
    <cellStyle name="Heading 1 4" xfId="20616" xr:uid="{00000000-0005-0000-0000-0000DB5F0000}"/>
    <cellStyle name="Heading 1 4 2" xfId="20617" xr:uid="{00000000-0005-0000-0000-0000DC5F0000}"/>
    <cellStyle name="Heading 1 4 3" xfId="20618" xr:uid="{00000000-0005-0000-0000-0000DD5F0000}"/>
    <cellStyle name="Heading 1 5" xfId="20619" xr:uid="{00000000-0005-0000-0000-0000DE5F0000}"/>
    <cellStyle name="Heading 1 6" xfId="20620" xr:uid="{00000000-0005-0000-0000-0000DF5F0000}"/>
    <cellStyle name="Heading 1 7" xfId="20621" xr:uid="{00000000-0005-0000-0000-0000E05F0000}"/>
    <cellStyle name="Heading 1 8" xfId="20622" xr:uid="{00000000-0005-0000-0000-0000E15F0000}"/>
    <cellStyle name="Heading 1 9" xfId="20623" xr:uid="{00000000-0005-0000-0000-0000E25F0000}"/>
    <cellStyle name="Heading 2 10" xfId="41885" xr:uid="{D51ECFFC-A205-4E1F-A5BF-AE7F129D8EE4}"/>
    <cellStyle name="Heading 2 2" xfId="20624" xr:uid="{00000000-0005-0000-0000-0000E35F0000}"/>
    <cellStyle name="Heading 2 2 10" xfId="41944" xr:uid="{989DF735-8606-4F9B-8523-9EF960EFFC98}"/>
    <cellStyle name="Heading 2 2 2" xfId="20625" xr:uid="{00000000-0005-0000-0000-0000E45F0000}"/>
    <cellStyle name="Heading 2 2 2 2" xfId="20626" xr:uid="{00000000-0005-0000-0000-0000E55F0000}"/>
    <cellStyle name="Heading 2 2 2 3" xfId="20627" xr:uid="{00000000-0005-0000-0000-0000E65F0000}"/>
    <cellStyle name="Heading 2 2 2 3 2" xfId="39308" xr:uid="{00000000-0005-0000-0000-0000E75F0000}"/>
    <cellStyle name="Heading 2 2 2 3 3" xfId="39307" xr:uid="{00000000-0005-0000-0000-0000E85F0000}"/>
    <cellStyle name="Heading 2 2 2 4" xfId="20628" xr:uid="{00000000-0005-0000-0000-0000E95F0000}"/>
    <cellStyle name="Heading 2 2 2 5" xfId="41945" xr:uid="{49D53853-4A85-4AEC-8312-5C0B9DA4295C}"/>
    <cellStyle name="Heading 2 2 3" xfId="20629" xr:uid="{00000000-0005-0000-0000-0000EA5F0000}"/>
    <cellStyle name="Heading 2 2 3 2" xfId="20630" xr:uid="{00000000-0005-0000-0000-0000EB5F0000}"/>
    <cellStyle name="Heading 2 2 3 3" xfId="20631" xr:uid="{00000000-0005-0000-0000-0000EC5F0000}"/>
    <cellStyle name="Heading 2 2 3 4" xfId="42272" xr:uid="{C99FE9EA-11B7-4A5F-A1A7-4F5F5DAC479D}"/>
    <cellStyle name="Heading 2 2 4" xfId="20632" xr:uid="{00000000-0005-0000-0000-0000ED5F0000}"/>
    <cellStyle name="Heading 2 2 4 2" xfId="20633" xr:uid="{00000000-0005-0000-0000-0000EE5F0000}"/>
    <cellStyle name="Heading 2 2 4 3" xfId="20634" xr:uid="{00000000-0005-0000-0000-0000EF5F0000}"/>
    <cellStyle name="Heading 2 2 5" xfId="20635" xr:uid="{00000000-0005-0000-0000-0000F05F0000}"/>
    <cellStyle name="Heading 2 2 6" xfId="20636" xr:uid="{00000000-0005-0000-0000-0000F15F0000}"/>
    <cellStyle name="Heading 2 2 7" xfId="20637" xr:uid="{00000000-0005-0000-0000-0000F25F0000}"/>
    <cellStyle name="Heading 2 2 7 2" xfId="35144" xr:uid="{00000000-0005-0000-0000-0000F35F0000}"/>
    <cellStyle name="Heading 2 2 8" xfId="20638" xr:uid="{00000000-0005-0000-0000-0000F45F0000}"/>
    <cellStyle name="Heading 2 2 9" xfId="20639" xr:uid="{00000000-0005-0000-0000-0000F55F0000}"/>
    <cellStyle name="Heading 2 3" xfId="20640" xr:uid="{00000000-0005-0000-0000-0000F65F0000}"/>
    <cellStyle name="Heading 2 3 2" xfId="20641" xr:uid="{00000000-0005-0000-0000-0000F75F0000}"/>
    <cellStyle name="Heading 2 3 2 2" xfId="35146" xr:uid="{00000000-0005-0000-0000-0000F85F0000}"/>
    <cellStyle name="Heading 2 3 3" xfId="20642" xr:uid="{00000000-0005-0000-0000-0000F95F0000}"/>
    <cellStyle name="Heading 2 3 4" xfId="35145" xr:uid="{00000000-0005-0000-0000-0000FA5F0000}"/>
    <cellStyle name="Heading 2 3 5" xfId="41946" xr:uid="{895EF10E-41D9-4761-A5CD-EDCC80CEACD2}"/>
    <cellStyle name="Heading 2 4" xfId="20643" xr:uid="{00000000-0005-0000-0000-0000FB5F0000}"/>
    <cellStyle name="Heading 2 4 2" xfId="20644" xr:uid="{00000000-0005-0000-0000-0000FC5F0000}"/>
    <cellStyle name="Heading 2 4 3" xfId="20645" xr:uid="{00000000-0005-0000-0000-0000FD5F0000}"/>
    <cellStyle name="Heading 2 4 4" xfId="20646" xr:uid="{00000000-0005-0000-0000-0000FE5F0000}"/>
    <cellStyle name="Heading 2 5" xfId="20647" xr:uid="{00000000-0005-0000-0000-0000FF5F0000}"/>
    <cellStyle name="Heading 2 5 2" xfId="20648" xr:uid="{00000000-0005-0000-0000-000000600000}"/>
    <cellStyle name="Heading 2 6" xfId="20649" xr:uid="{00000000-0005-0000-0000-000001600000}"/>
    <cellStyle name="Heading 2 6 2" xfId="20650" xr:uid="{00000000-0005-0000-0000-000002600000}"/>
    <cellStyle name="Heading 2 7" xfId="20651" xr:uid="{00000000-0005-0000-0000-000003600000}"/>
    <cellStyle name="Heading 2 8" xfId="20652" xr:uid="{00000000-0005-0000-0000-000004600000}"/>
    <cellStyle name="Heading 2 8 2" xfId="20653" xr:uid="{00000000-0005-0000-0000-000005600000}"/>
    <cellStyle name="Heading 2 9" xfId="20654" xr:uid="{00000000-0005-0000-0000-000006600000}"/>
    <cellStyle name="Heading 3 10" xfId="41886" xr:uid="{05BE4DF0-496D-4C8F-9230-1120E39F5981}"/>
    <cellStyle name="Heading 3 2" xfId="20655" xr:uid="{00000000-0005-0000-0000-000007600000}"/>
    <cellStyle name="Heading 3 2 10" xfId="41947" xr:uid="{70575C31-89E6-48B2-BB2F-9D87C768B0BB}"/>
    <cellStyle name="Heading 3 2 2" xfId="20656" xr:uid="{00000000-0005-0000-0000-000008600000}"/>
    <cellStyle name="Heading 3 2 2 2" xfId="20657" xr:uid="{00000000-0005-0000-0000-000009600000}"/>
    <cellStyle name="Heading 3 2 2 2 2" xfId="20658" xr:uid="{00000000-0005-0000-0000-00000A600000}"/>
    <cellStyle name="Heading 3 2 2 2 2 2" xfId="20659" xr:uid="{00000000-0005-0000-0000-00000B600000}"/>
    <cellStyle name="Heading 3 2 2 2 2 2 2" xfId="35149" xr:uid="{00000000-0005-0000-0000-00000C600000}"/>
    <cellStyle name="Heading 3 2 2 2 2 2 3" xfId="42189" xr:uid="{79912C11-22CF-48A9-9748-25D2E7FC8F74}"/>
    <cellStyle name="Heading 3 2 2 2 2 3" xfId="35148" xr:uid="{00000000-0005-0000-0000-00000D600000}"/>
    <cellStyle name="Heading 3 2 2 2 2 3 2" xfId="42204" xr:uid="{031723EF-3EF9-4FFC-8823-AE6EA28B7E7E}"/>
    <cellStyle name="Heading 3 2 2 2 2 4" xfId="42158" xr:uid="{6534132F-9EDF-407C-B7B8-B5E27777962F}"/>
    <cellStyle name="Heading 3 2 2 2 2 5" xfId="42069" xr:uid="{CE236BB3-D57C-4F52-8E81-6873078B0A90}"/>
    <cellStyle name="Heading 3 2 2 2 3" xfId="20660" xr:uid="{00000000-0005-0000-0000-00000E600000}"/>
    <cellStyle name="Heading 3 2 2 2 3 2" xfId="35150" xr:uid="{00000000-0005-0000-0000-00000F600000}"/>
    <cellStyle name="Heading 3 2 2 2 3 3" xfId="42183" xr:uid="{A363DA82-0B17-4B3E-B3BB-B8BD956B5F32}"/>
    <cellStyle name="Heading 3 2 2 2 4" xfId="35147" xr:uid="{00000000-0005-0000-0000-000010600000}"/>
    <cellStyle name="Heading 3 2 2 2 4 2" xfId="42198" xr:uid="{6ECC4B96-00AB-4C54-87FB-D9EFFBC23975}"/>
    <cellStyle name="Heading 3 2 2 2 5" xfId="42150" xr:uid="{90EC3EA6-618F-4C17-8EAE-FE9CF1E95C97}"/>
    <cellStyle name="Heading 3 2 2 2 6" xfId="42273" xr:uid="{F8E66DFA-7349-4F6C-9355-5F04A2C0E89A}"/>
    <cellStyle name="Heading 3 2 2 2 7" xfId="42052" xr:uid="{0F90B632-B10C-4CDA-AF35-E59A21850813}"/>
    <cellStyle name="Heading 3 2 2 3" xfId="20661" xr:uid="{00000000-0005-0000-0000-000011600000}"/>
    <cellStyle name="Heading 3 2 2 3 2" xfId="20662" xr:uid="{00000000-0005-0000-0000-000012600000}"/>
    <cellStyle name="Heading 3 2 2 3 2 2" xfId="35152" xr:uid="{00000000-0005-0000-0000-000013600000}"/>
    <cellStyle name="Heading 3 2 2 3 2 2 2" xfId="42190" xr:uid="{F3493873-1706-4786-BC5F-937B40E89C3B}"/>
    <cellStyle name="Heading 3 2 2 3 2 3" xfId="42205" xr:uid="{57157F2F-0293-4108-A4C3-CB4EB45CDCDB}"/>
    <cellStyle name="Heading 3 2 2 3 2 4" xfId="42159" xr:uid="{45A28F05-A964-48AB-9F1E-16F5D9ED5127}"/>
    <cellStyle name="Heading 3 2 2 3 2 5" xfId="42070" xr:uid="{06754345-2D81-4A43-8453-92975C924840}"/>
    <cellStyle name="Heading 3 2 2 3 3" xfId="35151" xr:uid="{00000000-0005-0000-0000-000014600000}"/>
    <cellStyle name="Heading 3 2 2 3 3 2" xfId="42184" xr:uid="{7372E855-97D1-4933-9E08-774FD542CF7B}"/>
    <cellStyle name="Heading 3 2 2 3 4" xfId="42199" xr:uid="{B0ABCD29-42CD-4B17-B07E-570B0BFFDF25}"/>
    <cellStyle name="Heading 3 2 2 3 5" xfId="42151" xr:uid="{2C740CDF-3787-4664-90E9-7AA46017BA27}"/>
    <cellStyle name="Heading 3 2 2 3 6" xfId="42053" xr:uid="{61B210F5-36D2-423F-8C6B-1F8CD79930A0}"/>
    <cellStyle name="Heading 3 2 2 4" xfId="20663" xr:uid="{00000000-0005-0000-0000-000015600000}"/>
    <cellStyle name="Heading 3 2 2 4 2" xfId="20664" xr:uid="{00000000-0005-0000-0000-000016600000}"/>
    <cellStyle name="Heading 3 2 2 4 2 2" xfId="42188" xr:uid="{BB990FF3-366C-4A0C-B14B-2BCF44F57B8E}"/>
    <cellStyle name="Heading 3 2 2 4 3" xfId="42203" xr:uid="{CC3DAD32-B43F-4BD4-9805-57F484AD6849}"/>
    <cellStyle name="Heading 3 2 2 4 4" xfId="42157" xr:uid="{911CC229-8F03-46CC-B432-7DB3B3AC2364}"/>
    <cellStyle name="Heading 3 2 2 4 5" xfId="42068" xr:uid="{C0012E88-C048-484E-A299-2DAD26C3CA3F}"/>
    <cellStyle name="Heading 3 2 2 5" xfId="20665" xr:uid="{00000000-0005-0000-0000-000017600000}"/>
    <cellStyle name="Heading 3 2 2 5 2" xfId="20666" xr:uid="{00000000-0005-0000-0000-000018600000}"/>
    <cellStyle name="Heading 3 2 2 5 2 2" xfId="42194" xr:uid="{2EC464BE-FB62-41A1-A6B3-5E6980953454}"/>
    <cellStyle name="Heading 3 2 2 5 3" xfId="42163" xr:uid="{7F079043-999C-415C-89A2-8D2483077694}"/>
    <cellStyle name="Heading 3 2 2 5 4" xfId="42075" xr:uid="{5C9A185C-4C07-41ED-A17C-BD231AD88AA7}"/>
    <cellStyle name="Heading 3 2 2 6" xfId="20667" xr:uid="{00000000-0005-0000-0000-000019600000}"/>
    <cellStyle name="Heading 3 2 2 6 2" xfId="42274" xr:uid="{CF131237-EBAE-43E0-AD77-30F1BC021A4D}"/>
    <cellStyle name="Heading 3 2 2 7" xfId="41948" xr:uid="{18938934-48C9-48C6-9651-474133BFC612}"/>
    <cellStyle name="Heading 3 2 3" xfId="20668" xr:uid="{00000000-0005-0000-0000-00001A600000}"/>
    <cellStyle name="Heading 3 2 3 2" xfId="20669" xr:uid="{00000000-0005-0000-0000-00001B600000}"/>
    <cellStyle name="Heading 3 2 3 2 2" xfId="20670" xr:uid="{00000000-0005-0000-0000-00001C600000}"/>
    <cellStyle name="Heading 3 2 3 2 2 2" xfId="35154" xr:uid="{00000000-0005-0000-0000-00001D600000}"/>
    <cellStyle name="Heading 3 2 3 2 3" xfId="35153" xr:uid="{00000000-0005-0000-0000-00001E600000}"/>
    <cellStyle name="Heading 3 2 3 3" xfId="35155" xr:uid="{00000000-0005-0000-0000-00001F600000}"/>
    <cellStyle name="Heading 3 2 3 4" xfId="35156" xr:uid="{00000000-0005-0000-0000-000020600000}"/>
    <cellStyle name="Heading 3 2 3 5" xfId="41949" xr:uid="{31372BDD-52E6-4BD8-8EE0-0215DA76A1D5}"/>
    <cellStyle name="Heading 3 2 4" xfId="20671" xr:uid="{00000000-0005-0000-0000-000021600000}"/>
    <cellStyle name="Heading 3 2 4 2" xfId="20672" xr:uid="{00000000-0005-0000-0000-000022600000}"/>
    <cellStyle name="Heading 3 2 4 2 2" xfId="35157" xr:uid="{00000000-0005-0000-0000-000023600000}"/>
    <cellStyle name="Heading 3 2 4 2 2 2" xfId="42191" xr:uid="{8B096698-47DD-4E0C-929F-AB405A020683}"/>
    <cellStyle name="Heading 3 2 4 2 3" xfId="42206" xr:uid="{DDB3AC82-C2D2-49B5-8715-11BE77AF66D4}"/>
    <cellStyle name="Heading 3 2 4 2 4" xfId="42160" xr:uid="{C6591237-E2CB-434E-95DE-0C64CCDABBD9}"/>
    <cellStyle name="Heading 3 2 4 2 5" xfId="42071" xr:uid="{42695499-E761-4FF4-9BC8-76AE9102D88A}"/>
    <cellStyle name="Heading 3 2 4 3" xfId="35158" xr:uid="{00000000-0005-0000-0000-000024600000}"/>
    <cellStyle name="Heading 3 2 4 3 2" xfId="42185" xr:uid="{D04AE8E2-30F1-4FA8-ADEA-4BD112E56F97}"/>
    <cellStyle name="Heading 3 2 4 4" xfId="42200" xr:uid="{6223B05B-827F-4A05-A400-E4D81F69DEE5}"/>
    <cellStyle name="Heading 3 2 4 5" xfId="42152" xr:uid="{9D70F213-4617-4A2D-8862-3329F1BBD600}"/>
    <cellStyle name="Heading 3 2 4 6" xfId="42054" xr:uid="{96AE3D4C-1C50-42F8-8BBA-7A2603C7E393}"/>
    <cellStyle name="Heading 3 2 5" xfId="20673" xr:uid="{00000000-0005-0000-0000-000025600000}"/>
    <cellStyle name="Heading 3 2 5 2" xfId="20674" xr:uid="{00000000-0005-0000-0000-000026600000}"/>
    <cellStyle name="Heading 3 2 5 2 2" xfId="20675" xr:uid="{00000000-0005-0000-0000-000027600000}"/>
    <cellStyle name="Heading 3 2 5 2 2 2" xfId="42192" xr:uid="{C75BC9AF-99CD-4651-9D18-115A616FA719}"/>
    <cellStyle name="Heading 3 2 5 2 3" xfId="42207" xr:uid="{33F791E3-2E10-4203-9FE4-881EFD3E1B5E}"/>
    <cellStyle name="Heading 3 2 5 2 4" xfId="42161" xr:uid="{483753C2-098A-4CFA-9DC1-76BEC810EE10}"/>
    <cellStyle name="Heading 3 2 5 2 5" xfId="42072" xr:uid="{F0FDD166-DEE7-4C05-B45F-163611111E67}"/>
    <cellStyle name="Heading 3 2 5 3" xfId="20676" xr:uid="{00000000-0005-0000-0000-000028600000}"/>
    <cellStyle name="Heading 3 2 5 3 2" xfId="42186" xr:uid="{DDF49B31-8CFF-4568-A49C-351142B76A94}"/>
    <cellStyle name="Heading 3 2 5 4" xfId="42201" xr:uid="{47CCCDE7-4D0A-43FC-9D41-CFF3F8BADC0E}"/>
    <cellStyle name="Heading 3 2 5 5" xfId="42153" xr:uid="{A23BECA7-535B-4D2C-9B11-142680C58B9A}"/>
    <cellStyle name="Heading 3 2 5 6" xfId="42055" xr:uid="{128C44FB-9176-4034-BF6E-1E665FE8DF3D}"/>
    <cellStyle name="Heading 3 2 6" xfId="20677" xr:uid="{00000000-0005-0000-0000-000029600000}"/>
    <cellStyle name="Heading 3 2 6 2" xfId="20678" xr:uid="{00000000-0005-0000-0000-00002A600000}"/>
    <cellStyle name="Heading 3 2 6 2 2" xfId="42187" xr:uid="{30C403F8-9947-448F-BE4B-4E92AAA01090}"/>
    <cellStyle name="Heading 3 2 6 3" xfId="39309" xr:uid="{00000000-0005-0000-0000-00002B600000}"/>
    <cellStyle name="Heading 3 2 6 3 2" xfId="42202" xr:uid="{A08FC1E3-E1FC-41BB-A723-FF89034DC163}"/>
    <cellStyle name="Heading 3 2 6 4" xfId="39310" xr:uid="{00000000-0005-0000-0000-00002C600000}"/>
    <cellStyle name="Heading 3 2 6 4 2" xfId="42156" xr:uid="{822056EC-46F6-40C4-ABB5-11A9CB775AA8}"/>
    <cellStyle name="Heading 3 2 6 5" xfId="35159" xr:uid="{00000000-0005-0000-0000-00002D600000}"/>
    <cellStyle name="Heading 3 2 6 6" xfId="42067" xr:uid="{3CD5D91A-FF7E-427B-ABD2-D7D1C35DFBB8}"/>
    <cellStyle name="Heading 3 2 7" xfId="20679" xr:uid="{00000000-0005-0000-0000-00002E600000}"/>
    <cellStyle name="Heading 3 2 7 2" xfId="20680" xr:uid="{00000000-0005-0000-0000-00002F600000}"/>
    <cellStyle name="Heading 3 2 7 2 2" xfId="42193" xr:uid="{806DC383-3E38-4E16-9386-1AC692C5FFEB}"/>
    <cellStyle name="Heading 3 2 7 3" xfId="39311" xr:uid="{00000000-0005-0000-0000-000030600000}"/>
    <cellStyle name="Heading 3 2 7 3 2" xfId="42162" xr:uid="{D5C31E2B-D5DC-4197-8A41-245346F7A69D}"/>
    <cellStyle name="Heading 3 2 7 4" xfId="42074" xr:uid="{86283AE9-E7CB-4D3F-B06B-6EBFA5EB4427}"/>
    <cellStyle name="Heading 3 2 8" xfId="20681" xr:uid="{00000000-0005-0000-0000-000031600000}"/>
    <cellStyle name="Heading 3 2 8 2" xfId="20682" xr:uid="{00000000-0005-0000-0000-000032600000}"/>
    <cellStyle name="Heading 3 2 8 3" xfId="39312" xr:uid="{00000000-0005-0000-0000-000033600000}"/>
    <cellStyle name="Heading 3 2 8 4" xfId="42275" xr:uid="{572A8693-CDA8-4868-A372-67E6E3466AE6}"/>
    <cellStyle name="Heading 3 2 9" xfId="20683" xr:uid="{00000000-0005-0000-0000-000034600000}"/>
    <cellStyle name="Heading 3 3" xfId="20684" xr:uid="{00000000-0005-0000-0000-000035600000}"/>
    <cellStyle name="Heading 3 3 2" xfId="20685" xr:uid="{00000000-0005-0000-0000-000036600000}"/>
    <cellStyle name="Heading 3 3 2 2" xfId="20686" xr:uid="{00000000-0005-0000-0000-000037600000}"/>
    <cellStyle name="Heading 3 3 2 3" xfId="39313" xr:uid="{00000000-0005-0000-0000-000038600000}"/>
    <cellStyle name="Heading 3 3 2 4" xfId="35160" xr:uid="{00000000-0005-0000-0000-000039600000}"/>
    <cellStyle name="Heading 3 3 3" xfId="20687" xr:uid="{00000000-0005-0000-0000-00003A600000}"/>
    <cellStyle name="Heading 3 3 3 2" xfId="20688" xr:uid="{00000000-0005-0000-0000-00003B600000}"/>
    <cellStyle name="Heading 3 3 4" xfId="20689" xr:uid="{00000000-0005-0000-0000-00003C600000}"/>
    <cellStyle name="Heading 3 3 4 2" xfId="20690" xr:uid="{00000000-0005-0000-0000-00003D600000}"/>
    <cellStyle name="Heading 3 3 5" xfId="20691" xr:uid="{00000000-0005-0000-0000-00003E600000}"/>
    <cellStyle name="Heading 3 3 5 2" xfId="20692" xr:uid="{00000000-0005-0000-0000-00003F600000}"/>
    <cellStyle name="Heading 3 3 6" xfId="20693" xr:uid="{00000000-0005-0000-0000-000040600000}"/>
    <cellStyle name="Heading 3 3 7" xfId="41950" xr:uid="{2ED933F8-918E-4697-9941-EF574C54A35B}"/>
    <cellStyle name="Heading 3 4" xfId="20694" xr:uid="{00000000-0005-0000-0000-000041600000}"/>
    <cellStyle name="Heading 3 4 2" xfId="20695" xr:uid="{00000000-0005-0000-0000-000042600000}"/>
    <cellStyle name="Heading 3 4 2 2" xfId="20696" xr:uid="{00000000-0005-0000-0000-000043600000}"/>
    <cellStyle name="Heading 3 4 3" xfId="20697" xr:uid="{00000000-0005-0000-0000-000044600000}"/>
    <cellStyle name="Heading 3 5" xfId="20698" xr:uid="{00000000-0005-0000-0000-000045600000}"/>
    <cellStyle name="Heading 3 5 2" xfId="20699" xr:uid="{00000000-0005-0000-0000-000046600000}"/>
    <cellStyle name="Heading 3 5 2 2" xfId="20700" xr:uid="{00000000-0005-0000-0000-000047600000}"/>
    <cellStyle name="Heading 3 5 3" xfId="20701" xr:uid="{00000000-0005-0000-0000-000048600000}"/>
    <cellStyle name="Heading 3 6" xfId="20702" xr:uid="{00000000-0005-0000-0000-000049600000}"/>
    <cellStyle name="Heading 3 6 2" xfId="20703" xr:uid="{00000000-0005-0000-0000-00004A600000}"/>
    <cellStyle name="Heading 3 6 3" xfId="39314" xr:uid="{00000000-0005-0000-0000-00004B600000}"/>
    <cellStyle name="Heading 3 7" xfId="20704" xr:uid="{00000000-0005-0000-0000-00004C600000}"/>
    <cellStyle name="Heading 3 7 2" xfId="20705" xr:uid="{00000000-0005-0000-0000-00004D600000}"/>
    <cellStyle name="Heading 3 8" xfId="20706" xr:uid="{00000000-0005-0000-0000-00004E600000}"/>
    <cellStyle name="Heading 3 8 2" xfId="20707" xr:uid="{00000000-0005-0000-0000-00004F600000}"/>
    <cellStyle name="Heading 3 9" xfId="20708" xr:uid="{00000000-0005-0000-0000-000050600000}"/>
    <cellStyle name="Heading 4 2" xfId="20709" xr:uid="{00000000-0005-0000-0000-000051600000}"/>
    <cellStyle name="Heading 4 2 2" xfId="20710" xr:uid="{00000000-0005-0000-0000-000052600000}"/>
    <cellStyle name="Heading 4 2 2 2" xfId="20711" xr:uid="{00000000-0005-0000-0000-000053600000}"/>
    <cellStyle name="Heading 4 2 2 3" xfId="20712" xr:uid="{00000000-0005-0000-0000-000054600000}"/>
    <cellStyle name="Heading 4 2 2 3 2" xfId="39316" xr:uid="{00000000-0005-0000-0000-000055600000}"/>
    <cellStyle name="Heading 4 2 2 3 3" xfId="39315" xr:uid="{00000000-0005-0000-0000-000056600000}"/>
    <cellStyle name="Heading 4 2 2 4" xfId="20713" xr:uid="{00000000-0005-0000-0000-000057600000}"/>
    <cellStyle name="Heading 4 2 2 5" xfId="41952" xr:uid="{B2A8BAE3-F500-475C-A14D-7DB58AF82536}"/>
    <cellStyle name="Heading 4 2 3" xfId="20714" xr:uid="{00000000-0005-0000-0000-000058600000}"/>
    <cellStyle name="Heading 4 2 3 2" xfId="20715" xr:uid="{00000000-0005-0000-0000-000059600000}"/>
    <cellStyle name="Heading 4 2 4" xfId="20716" xr:uid="{00000000-0005-0000-0000-00005A600000}"/>
    <cellStyle name="Heading 4 2 5" xfId="20717" xr:uid="{00000000-0005-0000-0000-00005B600000}"/>
    <cellStyle name="Heading 4 2 6" xfId="20718" xr:uid="{00000000-0005-0000-0000-00005C600000}"/>
    <cellStyle name="Heading 4 2 6 2" xfId="20719" xr:uid="{00000000-0005-0000-0000-00005D600000}"/>
    <cellStyle name="Heading 4 2 6 3" xfId="35161" xr:uid="{00000000-0005-0000-0000-00005E600000}"/>
    <cellStyle name="Heading 4 2 7" xfId="20720" xr:uid="{00000000-0005-0000-0000-00005F600000}"/>
    <cellStyle name="Heading 4 2 8" xfId="41951" xr:uid="{296A70A6-A274-40B9-A31A-BCBD5511C2B0}"/>
    <cellStyle name="Heading 4 3" xfId="20721" xr:uid="{00000000-0005-0000-0000-000060600000}"/>
    <cellStyle name="Heading 4 3 2" xfId="20722" xr:uid="{00000000-0005-0000-0000-000061600000}"/>
    <cellStyle name="Heading 4 3 2 2" xfId="35162" xr:uid="{00000000-0005-0000-0000-000062600000}"/>
    <cellStyle name="Heading 4 3 3" xfId="20723" xr:uid="{00000000-0005-0000-0000-000063600000}"/>
    <cellStyle name="Heading 4 3 4" xfId="20724" xr:uid="{00000000-0005-0000-0000-000064600000}"/>
    <cellStyle name="Heading 4 3 5" xfId="41953" xr:uid="{AE043499-9ACD-41A0-AA34-754326272696}"/>
    <cellStyle name="Heading 4 4" xfId="20725" xr:uid="{00000000-0005-0000-0000-000065600000}"/>
    <cellStyle name="Heading 4 4 2" xfId="20726" xr:uid="{00000000-0005-0000-0000-000066600000}"/>
    <cellStyle name="Heading 4 4 3" xfId="20727" xr:uid="{00000000-0005-0000-0000-000067600000}"/>
    <cellStyle name="Heading 4 5" xfId="20728" xr:uid="{00000000-0005-0000-0000-000068600000}"/>
    <cellStyle name="Heading 4 6" xfId="20729" xr:uid="{00000000-0005-0000-0000-000069600000}"/>
    <cellStyle name="Heading 4 7" xfId="20730" xr:uid="{00000000-0005-0000-0000-00006A600000}"/>
    <cellStyle name="Heading 4 8" xfId="20731" xr:uid="{00000000-0005-0000-0000-00006B600000}"/>
    <cellStyle name="Heading 5" xfId="20732" xr:uid="{00000000-0005-0000-0000-00006C600000}"/>
    <cellStyle name="Heading 6" xfId="20733" xr:uid="{00000000-0005-0000-0000-00006D600000}"/>
    <cellStyle name="Heading 7" xfId="20734" xr:uid="{00000000-0005-0000-0000-00006E600000}"/>
    <cellStyle name="Heading(4)" xfId="35163" xr:uid="{00000000-0005-0000-0000-00006F600000}"/>
    <cellStyle name="HeadingTitle" xfId="20735" xr:uid="{00000000-0005-0000-0000-000070600000}"/>
    <cellStyle name="HeadingTitle 2" xfId="20736" xr:uid="{00000000-0005-0000-0000-000071600000}"/>
    <cellStyle name="Hyperlink" xfId="42399" builtinId="8"/>
    <cellStyle name="Hyperlink 2" xfId="20737" xr:uid="{00000000-0005-0000-0000-000072600000}"/>
    <cellStyle name="Hyperlink 2 2" xfId="20738" xr:uid="{00000000-0005-0000-0000-000073600000}"/>
    <cellStyle name="Hyperlink 2 2 2" xfId="20739" xr:uid="{00000000-0005-0000-0000-000074600000}"/>
    <cellStyle name="Hyperlink 2 2 3" xfId="35164" xr:uid="{00000000-0005-0000-0000-000075600000}"/>
    <cellStyle name="Hyperlink 2 2 4" xfId="41888" xr:uid="{ECE88E7A-F3DB-4175-9F57-DA052922D727}"/>
    <cellStyle name="Hyperlink 2 3" xfId="20740" xr:uid="{00000000-0005-0000-0000-000076600000}"/>
    <cellStyle name="Hyperlink 2 3 2" xfId="41954" xr:uid="{415971E4-34A6-4AD3-8B9F-9006728CE428}"/>
    <cellStyle name="Hyperlink 2 4" xfId="41887" xr:uid="{F764CAF7-C1F5-4E85-B093-4541743C96E4}"/>
    <cellStyle name="Hyperlink 3" xfId="20741" xr:uid="{00000000-0005-0000-0000-000077600000}"/>
    <cellStyle name="Hyperlink 3 2" xfId="20742" xr:uid="{00000000-0005-0000-0000-000078600000}"/>
    <cellStyle name="Hyperlink 3 2 2" xfId="42276" xr:uid="{BADE31AB-9CC2-4A12-BA2A-66DBEE9B44BF}"/>
    <cellStyle name="Hyperlink 3 3" xfId="20743" xr:uid="{00000000-0005-0000-0000-000079600000}"/>
    <cellStyle name="Hyperlink 3 4" xfId="35165" xr:uid="{00000000-0005-0000-0000-00007A600000}"/>
    <cellStyle name="Hyperlink 4" xfId="20744" xr:uid="{00000000-0005-0000-0000-00007B600000}"/>
    <cellStyle name="Hyperlink 4 2" xfId="42196" xr:uid="{3FF2CCD5-B201-4D28-8B0B-FC3476F7D38C}"/>
    <cellStyle name="Hyperlink Arrow" xfId="35166" xr:uid="{00000000-0005-0000-0000-00007C600000}"/>
    <cellStyle name="Hyperlink Text" xfId="35167" xr:uid="{00000000-0005-0000-0000-00007D600000}"/>
    <cellStyle name="if0 -InpFixed" xfId="20745" xr:uid="{00000000-0005-0000-0000-00007E600000}"/>
    <cellStyle name="Import" xfId="20746" xr:uid="{00000000-0005-0000-0000-00007F600000}"/>
    <cellStyle name="import 2" xfId="42056" xr:uid="{BBFD720E-BAD7-4723-AE2F-14A12D5B7A1A}"/>
    <cellStyle name="Import%" xfId="20747" xr:uid="{00000000-0005-0000-0000-000080600000}"/>
    <cellStyle name="import% 2" xfId="42057" xr:uid="{14F2B2D8-DAEB-4237-AF86-B45E137B9D4F}"/>
    <cellStyle name="import_ICRC Electricity model 1-1  (1 Feb 2003) " xfId="41842" xr:uid="{77C52D03-E716-474C-8BF7-6086AE299274}"/>
    <cellStyle name="Input [yellow]" xfId="20748" xr:uid="{00000000-0005-0000-0000-000081600000}"/>
    <cellStyle name="Input 10" xfId="20749" xr:uid="{00000000-0005-0000-0000-000082600000}"/>
    <cellStyle name="Input 10 2" xfId="20750" xr:uid="{00000000-0005-0000-0000-000083600000}"/>
    <cellStyle name="Input 10 2 2" xfId="20751" xr:uid="{00000000-0005-0000-0000-000084600000}"/>
    <cellStyle name="Input 10 2 3" xfId="41391" xr:uid="{00000000-0005-0000-0000-000085600000}"/>
    <cellStyle name="Input 10 3" xfId="20752" xr:uid="{00000000-0005-0000-0000-000086600000}"/>
    <cellStyle name="Input 10 3 2" xfId="41392" xr:uid="{00000000-0005-0000-0000-000087600000}"/>
    <cellStyle name="Input 10 4" xfId="39317" xr:uid="{00000000-0005-0000-0000-000088600000}"/>
    <cellStyle name="Input 10 4 2" xfId="41393" xr:uid="{00000000-0005-0000-0000-000089600000}"/>
    <cellStyle name="Input 10 5" xfId="40731" xr:uid="{00000000-0005-0000-0000-00008A600000}"/>
    <cellStyle name="Input 11" xfId="20753" xr:uid="{00000000-0005-0000-0000-00008B600000}"/>
    <cellStyle name="Input 11 2" xfId="20754" xr:uid="{00000000-0005-0000-0000-00008C600000}"/>
    <cellStyle name="Input 11 2 2" xfId="20755" xr:uid="{00000000-0005-0000-0000-00008D600000}"/>
    <cellStyle name="Input 11 2 3" xfId="41394" xr:uid="{00000000-0005-0000-0000-00008E600000}"/>
    <cellStyle name="Input 11 3" xfId="20756" xr:uid="{00000000-0005-0000-0000-00008F600000}"/>
    <cellStyle name="Input 11 3 2" xfId="41395" xr:uid="{00000000-0005-0000-0000-000090600000}"/>
    <cellStyle name="Input 11 4" xfId="39318" xr:uid="{00000000-0005-0000-0000-000091600000}"/>
    <cellStyle name="Input 11 4 2" xfId="41396" xr:uid="{00000000-0005-0000-0000-000092600000}"/>
    <cellStyle name="Input 11 5" xfId="40729" xr:uid="{00000000-0005-0000-0000-000093600000}"/>
    <cellStyle name="Input 12" xfId="20757" xr:uid="{00000000-0005-0000-0000-000094600000}"/>
    <cellStyle name="Input 12 2" xfId="20758" xr:uid="{00000000-0005-0000-0000-000095600000}"/>
    <cellStyle name="Input 12 2 2" xfId="20759" xr:uid="{00000000-0005-0000-0000-000096600000}"/>
    <cellStyle name="Input 12 2 3" xfId="41397" xr:uid="{00000000-0005-0000-0000-000097600000}"/>
    <cellStyle name="Input 12 3" xfId="20760" xr:uid="{00000000-0005-0000-0000-000098600000}"/>
    <cellStyle name="Input 12 3 2" xfId="41398" xr:uid="{00000000-0005-0000-0000-000099600000}"/>
    <cellStyle name="Input 12 4" xfId="39319" xr:uid="{00000000-0005-0000-0000-00009A600000}"/>
    <cellStyle name="Input 12 4 2" xfId="41399" xr:uid="{00000000-0005-0000-0000-00009B600000}"/>
    <cellStyle name="Input 12 5" xfId="40728" xr:uid="{00000000-0005-0000-0000-00009C600000}"/>
    <cellStyle name="Input 13" xfId="20761" xr:uid="{00000000-0005-0000-0000-00009D600000}"/>
    <cellStyle name="Input 13 2" xfId="20762" xr:uid="{00000000-0005-0000-0000-00009E600000}"/>
    <cellStyle name="Input 13 2 2" xfId="20763" xr:uid="{00000000-0005-0000-0000-00009F600000}"/>
    <cellStyle name="Input 13 2 3" xfId="41400" xr:uid="{00000000-0005-0000-0000-0000A0600000}"/>
    <cellStyle name="Input 13 3" xfId="20764" xr:uid="{00000000-0005-0000-0000-0000A1600000}"/>
    <cellStyle name="Input 13 3 2" xfId="41401" xr:uid="{00000000-0005-0000-0000-0000A2600000}"/>
    <cellStyle name="Input 13 4" xfId="39320" xr:uid="{00000000-0005-0000-0000-0000A3600000}"/>
    <cellStyle name="Input 13 4 2" xfId="41402" xr:uid="{00000000-0005-0000-0000-0000A4600000}"/>
    <cellStyle name="Input 13 5" xfId="36153" xr:uid="{00000000-0005-0000-0000-0000A5600000}"/>
    <cellStyle name="Input 14" xfId="20765" xr:uid="{00000000-0005-0000-0000-0000A6600000}"/>
    <cellStyle name="Input 14 2" xfId="20766" xr:uid="{00000000-0005-0000-0000-0000A7600000}"/>
    <cellStyle name="Input 14 2 2" xfId="20767" xr:uid="{00000000-0005-0000-0000-0000A8600000}"/>
    <cellStyle name="Input 14 2 3" xfId="41403" xr:uid="{00000000-0005-0000-0000-0000A9600000}"/>
    <cellStyle name="Input 14 3" xfId="20768" xr:uid="{00000000-0005-0000-0000-0000AA600000}"/>
    <cellStyle name="Input 14 3 2" xfId="41404" xr:uid="{00000000-0005-0000-0000-0000AB600000}"/>
    <cellStyle name="Input 14 4" xfId="39321" xr:uid="{00000000-0005-0000-0000-0000AC600000}"/>
    <cellStyle name="Input 14 4 2" xfId="41405" xr:uid="{00000000-0005-0000-0000-0000AD600000}"/>
    <cellStyle name="Input 14 5" xfId="36152" xr:uid="{00000000-0005-0000-0000-0000AE600000}"/>
    <cellStyle name="Input 15" xfId="20769" xr:uid="{00000000-0005-0000-0000-0000AF600000}"/>
    <cellStyle name="Input 15 2" xfId="20770" xr:uid="{00000000-0005-0000-0000-0000B0600000}"/>
    <cellStyle name="Input 15 2 2" xfId="20771" xr:uid="{00000000-0005-0000-0000-0000B1600000}"/>
    <cellStyle name="Input 15 2 3" xfId="41406" xr:uid="{00000000-0005-0000-0000-0000B2600000}"/>
    <cellStyle name="Input 15 3" xfId="20772" xr:uid="{00000000-0005-0000-0000-0000B3600000}"/>
    <cellStyle name="Input 15 3 2" xfId="41407" xr:uid="{00000000-0005-0000-0000-0000B4600000}"/>
    <cellStyle name="Input 15 4" xfId="39322" xr:uid="{00000000-0005-0000-0000-0000B5600000}"/>
    <cellStyle name="Input 15 4 2" xfId="41408" xr:uid="{00000000-0005-0000-0000-0000B6600000}"/>
    <cellStyle name="Input 15 5" xfId="40727" xr:uid="{00000000-0005-0000-0000-0000B7600000}"/>
    <cellStyle name="Input 16" xfId="20773" xr:uid="{00000000-0005-0000-0000-0000B8600000}"/>
    <cellStyle name="Input 16 2" xfId="20774" xr:uid="{00000000-0005-0000-0000-0000B9600000}"/>
    <cellStyle name="Input 16 2 2" xfId="20775" xr:uid="{00000000-0005-0000-0000-0000BA600000}"/>
    <cellStyle name="Input 16 2 3" xfId="41409" xr:uid="{00000000-0005-0000-0000-0000BB600000}"/>
    <cellStyle name="Input 16 3" xfId="20776" xr:uid="{00000000-0005-0000-0000-0000BC600000}"/>
    <cellStyle name="Input 16 3 2" xfId="41410" xr:uid="{00000000-0005-0000-0000-0000BD600000}"/>
    <cellStyle name="Input 16 4" xfId="39323" xr:uid="{00000000-0005-0000-0000-0000BE600000}"/>
    <cellStyle name="Input 16 4 2" xfId="41411" xr:uid="{00000000-0005-0000-0000-0000BF600000}"/>
    <cellStyle name="Input 16 5" xfId="40725" xr:uid="{00000000-0005-0000-0000-0000C0600000}"/>
    <cellStyle name="Input 17" xfId="20777" xr:uid="{00000000-0005-0000-0000-0000C1600000}"/>
    <cellStyle name="Input 17 2" xfId="20778" xr:uid="{00000000-0005-0000-0000-0000C2600000}"/>
    <cellStyle name="Input 17 2 2" xfId="20779" xr:uid="{00000000-0005-0000-0000-0000C3600000}"/>
    <cellStyle name="Input 17 2 3" xfId="41412" xr:uid="{00000000-0005-0000-0000-0000C4600000}"/>
    <cellStyle name="Input 17 3" xfId="20780" xr:uid="{00000000-0005-0000-0000-0000C5600000}"/>
    <cellStyle name="Input 17 3 2" xfId="41413" xr:uid="{00000000-0005-0000-0000-0000C6600000}"/>
    <cellStyle name="Input 17 4" xfId="39324" xr:uid="{00000000-0005-0000-0000-0000C7600000}"/>
    <cellStyle name="Input 17 4 2" xfId="41414" xr:uid="{00000000-0005-0000-0000-0000C8600000}"/>
    <cellStyle name="Input 17 5" xfId="40722" xr:uid="{00000000-0005-0000-0000-0000C9600000}"/>
    <cellStyle name="Input 18" xfId="20781" xr:uid="{00000000-0005-0000-0000-0000CA600000}"/>
    <cellStyle name="Input 18 2" xfId="20782" xr:uid="{00000000-0005-0000-0000-0000CB600000}"/>
    <cellStyle name="Input 18 2 2" xfId="20783" xr:uid="{00000000-0005-0000-0000-0000CC600000}"/>
    <cellStyle name="Input 18 2 3" xfId="41415" xr:uid="{00000000-0005-0000-0000-0000CD600000}"/>
    <cellStyle name="Input 18 3" xfId="20784" xr:uid="{00000000-0005-0000-0000-0000CE600000}"/>
    <cellStyle name="Input 18 3 2" xfId="41416" xr:uid="{00000000-0005-0000-0000-0000CF600000}"/>
    <cellStyle name="Input 18 4" xfId="39325" xr:uid="{00000000-0005-0000-0000-0000D0600000}"/>
    <cellStyle name="Input 18 4 2" xfId="41417" xr:uid="{00000000-0005-0000-0000-0000D1600000}"/>
    <cellStyle name="Input 18 5" xfId="40721" xr:uid="{00000000-0005-0000-0000-0000D2600000}"/>
    <cellStyle name="Input 19" xfId="20785" xr:uid="{00000000-0005-0000-0000-0000D3600000}"/>
    <cellStyle name="Input 19 2" xfId="20786" xr:uid="{00000000-0005-0000-0000-0000D4600000}"/>
    <cellStyle name="Input 19 2 2" xfId="20787" xr:uid="{00000000-0005-0000-0000-0000D5600000}"/>
    <cellStyle name="Input 19 2 3" xfId="41418" xr:uid="{00000000-0005-0000-0000-0000D6600000}"/>
    <cellStyle name="Input 19 3" xfId="20788" xr:uid="{00000000-0005-0000-0000-0000D7600000}"/>
    <cellStyle name="Input 19 3 2" xfId="41419" xr:uid="{00000000-0005-0000-0000-0000D8600000}"/>
    <cellStyle name="Input 19 4" xfId="39326" xr:uid="{00000000-0005-0000-0000-0000D9600000}"/>
    <cellStyle name="Input 19 4 2" xfId="41420" xr:uid="{00000000-0005-0000-0000-0000DA600000}"/>
    <cellStyle name="Input 19 5" xfId="40719" xr:uid="{00000000-0005-0000-0000-0000DB600000}"/>
    <cellStyle name="Input 2" xfId="20789" xr:uid="{00000000-0005-0000-0000-0000DC600000}"/>
    <cellStyle name="Input 2 10" xfId="20790" xr:uid="{00000000-0005-0000-0000-0000DD600000}"/>
    <cellStyle name="Input 2 10 2" xfId="20791" xr:uid="{00000000-0005-0000-0000-0000DE600000}"/>
    <cellStyle name="Input 2 10 2 2" xfId="20792" xr:uid="{00000000-0005-0000-0000-0000DF600000}"/>
    <cellStyle name="Input 2 10 2 3" xfId="41421" xr:uid="{00000000-0005-0000-0000-0000E0600000}"/>
    <cellStyle name="Input 2 10 3" xfId="20793" xr:uid="{00000000-0005-0000-0000-0000E1600000}"/>
    <cellStyle name="Input 2 10 3 2" xfId="20794" xr:uid="{00000000-0005-0000-0000-0000E2600000}"/>
    <cellStyle name="Input 2 10 4" xfId="20795" xr:uid="{00000000-0005-0000-0000-0000E3600000}"/>
    <cellStyle name="Input 2 10 5" xfId="36151" xr:uid="{00000000-0005-0000-0000-0000E4600000}"/>
    <cellStyle name="Input 2 11" xfId="20796" xr:uid="{00000000-0005-0000-0000-0000E5600000}"/>
    <cellStyle name="Input 2 11 2" xfId="20797" xr:uid="{00000000-0005-0000-0000-0000E6600000}"/>
    <cellStyle name="Input 2 11 2 2" xfId="20798" xr:uid="{00000000-0005-0000-0000-0000E7600000}"/>
    <cellStyle name="Input 2 11 2 3" xfId="41423" xr:uid="{00000000-0005-0000-0000-0000E8600000}"/>
    <cellStyle name="Input 2 11 3" xfId="20799" xr:uid="{00000000-0005-0000-0000-0000E9600000}"/>
    <cellStyle name="Input 2 11 4" xfId="39327" xr:uid="{00000000-0005-0000-0000-0000EA600000}"/>
    <cellStyle name="Input 2 11 5" xfId="41422" xr:uid="{00000000-0005-0000-0000-0000EB600000}"/>
    <cellStyle name="Input 2 12" xfId="40718" xr:uid="{00000000-0005-0000-0000-0000EC600000}"/>
    <cellStyle name="Input 2 2" xfId="20800" xr:uid="{00000000-0005-0000-0000-0000ED600000}"/>
    <cellStyle name="Input 2 2 10" xfId="20801" xr:uid="{00000000-0005-0000-0000-0000EE600000}"/>
    <cellStyle name="Input 2 2 10 2" xfId="20802" xr:uid="{00000000-0005-0000-0000-0000EF600000}"/>
    <cellStyle name="Input 2 2 10 2 2" xfId="20803" xr:uid="{00000000-0005-0000-0000-0000F0600000}"/>
    <cellStyle name="Input 2 2 10 2 3" xfId="41425" xr:uid="{00000000-0005-0000-0000-0000F1600000}"/>
    <cellStyle name="Input 2 2 10 3" xfId="20804" xr:uid="{00000000-0005-0000-0000-0000F2600000}"/>
    <cellStyle name="Input 2 2 10 4" xfId="39328" xr:uid="{00000000-0005-0000-0000-0000F3600000}"/>
    <cellStyle name="Input 2 2 10 5" xfId="41424" xr:uid="{00000000-0005-0000-0000-0000F4600000}"/>
    <cellStyle name="Input 2 2 11" xfId="20805" xr:uid="{00000000-0005-0000-0000-0000F5600000}"/>
    <cellStyle name="Input 2 2 11 2" xfId="20806" xr:uid="{00000000-0005-0000-0000-0000F6600000}"/>
    <cellStyle name="Input 2 2 11 3" xfId="41426" xr:uid="{00000000-0005-0000-0000-0000F7600000}"/>
    <cellStyle name="Input 2 2 12" xfId="20807" xr:uid="{00000000-0005-0000-0000-0000F8600000}"/>
    <cellStyle name="Input 2 2 12 2" xfId="41427" xr:uid="{00000000-0005-0000-0000-0000F9600000}"/>
    <cellStyle name="Input 2 2 13" xfId="36150" xr:uid="{00000000-0005-0000-0000-0000FA600000}"/>
    <cellStyle name="Input 2 2 2" xfId="20808" xr:uid="{00000000-0005-0000-0000-0000FB600000}"/>
    <cellStyle name="Input 2 2 2 2" xfId="20809" xr:uid="{00000000-0005-0000-0000-0000FC600000}"/>
    <cellStyle name="Input 2 2 2 2 2" xfId="20810" xr:uid="{00000000-0005-0000-0000-0000FD600000}"/>
    <cellStyle name="Input 2 2 2 2 2 2" xfId="20811" xr:uid="{00000000-0005-0000-0000-0000FE600000}"/>
    <cellStyle name="Input 2 2 2 2 2 2 2" xfId="20812" xr:uid="{00000000-0005-0000-0000-0000FF600000}"/>
    <cellStyle name="Input 2 2 2 2 2 2 3" xfId="40714" xr:uid="{00000000-0005-0000-0000-000000610000}"/>
    <cellStyle name="Input 2 2 2 2 2 3" xfId="20813" xr:uid="{00000000-0005-0000-0000-000001610000}"/>
    <cellStyle name="Input 2 2 2 2 2 3 2" xfId="20814" xr:uid="{00000000-0005-0000-0000-000002610000}"/>
    <cellStyle name="Input 2 2 2 2 2 4" xfId="20815" xr:uid="{00000000-0005-0000-0000-000003610000}"/>
    <cellStyle name="Input 2 2 2 2 2 5" xfId="36149" xr:uid="{00000000-0005-0000-0000-000004610000}"/>
    <cellStyle name="Input 2 2 2 2 3" xfId="20816" xr:uid="{00000000-0005-0000-0000-000005610000}"/>
    <cellStyle name="Input 2 2 2 2 3 2" xfId="20817" xr:uid="{00000000-0005-0000-0000-000006610000}"/>
    <cellStyle name="Input 2 2 2 2 3 2 2" xfId="20818" xr:uid="{00000000-0005-0000-0000-000007610000}"/>
    <cellStyle name="Input 2 2 2 2 3 2 3" xfId="40709" xr:uid="{00000000-0005-0000-0000-000008610000}"/>
    <cellStyle name="Input 2 2 2 2 3 3" xfId="20819" xr:uid="{00000000-0005-0000-0000-000009610000}"/>
    <cellStyle name="Input 2 2 2 2 3 4" xfId="40712" xr:uid="{00000000-0005-0000-0000-00000A610000}"/>
    <cellStyle name="Input 2 2 2 2 4" xfId="20820" xr:uid="{00000000-0005-0000-0000-00000B610000}"/>
    <cellStyle name="Input 2 2 2 2 4 2" xfId="40708" xr:uid="{00000000-0005-0000-0000-00000C610000}"/>
    <cellStyle name="Input 2 2 2 2 5" xfId="40716" xr:uid="{00000000-0005-0000-0000-00000D610000}"/>
    <cellStyle name="Input 2 2 2 3" xfId="20821" xr:uid="{00000000-0005-0000-0000-00000E610000}"/>
    <cellStyle name="Input 2 2 2 3 2" xfId="20822" xr:uid="{00000000-0005-0000-0000-00000F610000}"/>
    <cellStyle name="Input 2 2 2 3 2 2" xfId="20823" xr:uid="{00000000-0005-0000-0000-000010610000}"/>
    <cellStyle name="Input 2 2 2 3 2 3" xfId="40705" xr:uid="{00000000-0005-0000-0000-000011610000}"/>
    <cellStyle name="Input 2 2 2 3 3" xfId="20824" xr:uid="{00000000-0005-0000-0000-000012610000}"/>
    <cellStyle name="Input 2 2 2 3 3 2" xfId="41428" xr:uid="{00000000-0005-0000-0000-000013610000}"/>
    <cellStyle name="Input 2 2 2 3 4" xfId="40706" xr:uid="{00000000-0005-0000-0000-000014610000}"/>
    <cellStyle name="Input 2 2 2 4" xfId="20825" xr:uid="{00000000-0005-0000-0000-000015610000}"/>
    <cellStyle name="Input 2 2 2 4 2" xfId="20826" xr:uid="{00000000-0005-0000-0000-000016610000}"/>
    <cellStyle name="Input 2 2 2 4 2 2" xfId="20827" xr:uid="{00000000-0005-0000-0000-000017610000}"/>
    <cellStyle name="Input 2 2 2 4 2 3" xfId="35169" xr:uid="{00000000-0005-0000-0000-000018610000}"/>
    <cellStyle name="Input 2 2 2 4 2 4" xfId="40701" xr:uid="{00000000-0005-0000-0000-000019610000}"/>
    <cellStyle name="Input 2 2 2 4 3" xfId="20828" xr:uid="{00000000-0005-0000-0000-00001A610000}"/>
    <cellStyle name="Input 2 2 2 4 3 2" xfId="20829" xr:uid="{00000000-0005-0000-0000-00001B610000}"/>
    <cellStyle name="Input 2 2 2 4 4" xfId="20830" xr:uid="{00000000-0005-0000-0000-00001C610000}"/>
    <cellStyle name="Input 2 2 2 4 5" xfId="35168" xr:uid="{00000000-0005-0000-0000-00001D610000}"/>
    <cellStyle name="Input 2 2 2 4 6" xfId="40703" xr:uid="{00000000-0005-0000-0000-00001E610000}"/>
    <cellStyle name="Input 2 2 2 5" xfId="20831" xr:uid="{00000000-0005-0000-0000-00001F610000}"/>
    <cellStyle name="Input 2 2 2 5 2" xfId="20832" xr:uid="{00000000-0005-0000-0000-000020610000}"/>
    <cellStyle name="Input 2 2 2 5 2 2" xfId="20833" xr:uid="{00000000-0005-0000-0000-000021610000}"/>
    <cellStyle name="Input 2 2 2 5 2 3" xfId="41429" xr:uid="{00000000-0005-0000-0000-000022610000}"/>
    <cellStyle name="Input 2 2 2 5 3" xfId="20834" xr:uid="{00000000-0005-0000-0000-000023610000}"/>
    <cellStyle name="Input 2 2 2 5 4" xfId="35170" xr:uid="{00000000-0005-0000-0000-000024610000}"/>
    <cellStyle name="Input 2 2 2 5 5" xfId="40700" xr:uid="{00000000-0005-0000-0000-000025610000}"/>
    <cellStyle name="Input 2 2 2 6" xfId="20835" xr:uid="{00000000-0005-0000-0000-000026610000}"/>
    <cellStyle name="Input 2 2 2 7" xfId="40717" xr:uid="{00000000-0005-0000-0000-000027610000}"/>
    <cellStyle name="Input 2 2 3" xfId="20836" xr:uid="{00000000-0005-0000-0000-000028610000}"/>
    <cellStyle name="Input 2 2 3 2" xfId="20837" xr:uid="{00000000-0005-0000-0000-000029610000}"/>
    <cellStyle name="Input 2 2 3 2 2" xfId="20838" xr:uid="{00000000-0005-0000-0000-00002A610000}"/>
    <cellStyle name="Input 2 2 3 2 2 2" xfId="20839" xr:uid="{00000000-0005-0000-0000-00002B610000}"/>
    <cellStyle name="Input 2 2 3 2 2 2 2" xfId="20840" xr:uid="{00000000-0005-0000-0000-00002C610000}"/>
    <cellStyle name="Input 2 2 3 2 2 2 3" xfId="40694" xr:uid="{00000000-0005-0000-0000-00002D610000}"/>
    <cellStyle name="Input 2 2 3 2 2 3" xfId="20841" xr:uid="{00000000-0005-0000-0000-00002E610000}"/>
    <cellStyle name="Input 2 2 3 2 2 3 2" xfId="20842" xr:uid="{00000000-0005-0000-0000-00002F610000}"/>
    <cellStyle name="Input 2 2 3 2 2 4" xfId="20843" xr:uid="{00000000-0005-0000-0000-000030610000}"/>
    <cellStyle name="Input 2 2 3 2 2 5" xfId="40696" xr:uid="{00000000-0005-0000-0000-000031610000}"/>
    <cellStyle name="Input 2 2 3 2 3" xfId="20844" xr:uid="{00000000-0005-0000-0000-000032610000}"/>
    <cellStyle name="Input 2 2 3 2 3 2" xfId="20845" xr:uid="{00000000-0005-0000-0000-000033610000}"/>
    <cellStyle name="Input 2 2 3 2 3 2 2" xfId="20846" xr:uid="{00000000-0005-0000-0000-000034610000}"/>
    <cellStyle name="Input 2 2 3 2 3 2 3" xfId="40691" xr:uid="{00000000-0005-0000-0000-000035610000}"/>
    <cellStyle name="Input 2 2 3 2 3 3" xfId="20847" xr:uid="{00000000-0005-0000-0000-000036610000}"/>
    <cellStyle name="Input 2 2 3 2 3 4" xfId="40693" xr:uid="{00000000-0005-0000-0000-000037610000}"/>
    <cellStyle name="Input 2 2 3 2 4" xfId="20848" xr:uid="{00000000-0005-0000-0000-000038610000}"/>
    <cellStyle name="Input 2 2 3 2 4 2" xfId="40690" xr:uid="{00000000-0005-0000-0000-000039610000}"/>
    <cellStyle name="Input 2 2 3 2 5" xfId="40697" xr:uid="{00000000-0005-0000-0000-00003A610000}"/>
    <cellStyle name="Input 2 2 3 3" xfId="20849" xr:uid="{00000000-0005-0000-0000-00003B610000}"/>
    <cellStyle name="Input 2 2 3 3 2" xfId="20850" xr:uid="{00000000-0005-0000-0000-00003C610000}"/>
    <cellStyle name="Input 2 2 3 3 2 2" xfId="20851" xr:uid="{00000000-0005-0000-0000-00003D610000}"/>
    <cellStyle name="Input 2 2 3 3 2 3" xfId="40687" xr:uid="{00000000-0005-0000-0000-00003E610000}"/>
    <cellStyle name="Input 2 2 3 3 3" xfId="20852" xr:uid="{00000000-0005-0000-0000-00003F610000}"/>
    <cellStyle name="Input 2 2 3 3 3 2" xfId="41430" xr:uid="{00000000-0005-0000-0000-000040610000}"/>
    <cellStyle name="Input 2 2 3 3 4" xfId="40688" xr:uid="{00000000-0005-0000-0000-000041610000}"/>
    <cellStyle name="Input 2 2 3 4" xfId="20853" xr:uid="{00000000-0005-0000-0000-000042610000}"/>
    <cellStyle name="Input 2 2 3 4 2" xfId="20854" xr:uid="{00000000-0005-0000-0000-000043610000}"/>
    <cellStyle name="Input 2 2 3 4 2 2" xfId="20855" xr:uid="{00000000-0005-0000-0000-000044610000}"/>
    <cellStyle name="Input 2 2 3 4 2 3" xfId="35172" xr:uid="{00000000-0005-0000-0000-000045610000}"/>
    <cellStyle name="Input 2 2 3 4 2 4" xfId="40686" xr:uid="{00000000-0005-0000-0000-000046610000}"/>
    <cellStyle name="Input 2 2 3 4 3" xfId="20856" xr:uid="{00000000-0005-0000-0000-000047610000}"/>
    <cellStyle name="Input 2 2 3 4 3 2" xfId="20857" xr:uid="{00000000-0005-0000-0000-000048610000}"/>
    <cellStyle name="Input 2 2 3 4 4" xfId="20858" xr:uid="{00000000-0005-0000-0000-000049610000}"/>
    <cellStyle name="Input 2 2 3 4 5" xfId="35171" xr:uid="{00000000-0005-0000-0000-00004A610000}"/>
    <cellStyle name="Input 2 2 3 4 6" xfId="36148" xr:uid="{00000000-0005-0000-0000-00004B610000}"/>
    <cellStyle name="Input 2 2 3 5" xfId="20859" xr:uid="{00000000-0005-0000-0000-00004C610000}"/>
    <cellStyle name="Input 2 2 3 5 2" xfId="20860" xr:uid="{00000000-0005-0000-0000-00004D610000}"/>
    <cellStyle name="Input 2 2 3 5 2 2" xfId="20861" xr:uid="{00000000-0005-0000-0000-00004E610000}"/>
    <cellStyle name="Input 2 2 3 5 2 3" xfId="41431" xr:uid="{00000000-0005-0000-0000-00004F610000}"/>
    <cellStyle name="Input 2 2 3 5 3" xfId="20862" xr:uid="{00000000-0005-0000-0000-000050610000}"/>
    <cellStyle name="Input 2 2 3 5 4" xfId="35173" xr:uid="{00000000-0005-0000-0000-000051610000}"/>
    <cellStyle name="Input 2 2 3 5 5" xfId="40684" xr:uid="{00000000-0005-0000-0000-000052610000}"/>
    <cellStyle name="Input 2 2 3 6" xfId="20863" xr:uid="{00000000-0005-0000-0000-000053610000}"/>
    <cellStyle name="Input 2 2 3 7" xfId="40698" xr:uid="{00000000-0005-0000-0000-000054610000}"/>
    <cellStyle name="Input 2 2 4" xfId="20864" xr:uid="{00000000-0005-0000-0000-000055610000}"/>
    <cellStyle name="Input 2 2 4 2" xfId="20865" xr:uid="{00000000-0005-0000-0000-000056610000}"/>
    <cellStyle name="Input 2 2 4 2 2" xfId="20866" xr:uid="{00000000-0005-0000-0000-000057610000}"/>
    <cellStyle name="Input 2 2 4 2 2 2" xfId="20867" xr:uid="{00000000-0005-0000-0000-000058610000}"/>
    <cellStyle name="Input 2 2 4 2 2 3" xfId="40678" xr:uid="{00000000-0005-0000-0000-000059610000}"/>
    <cellStyle name="Input 2 2 4 2 3" xfId="20868" xr:uid="{00000000-0005-0000-0000-00005A610000}"/>
    <cellStyle name="Input 2 2 4 2 3 2" xfId="41432" xr:uid="{00000000-0005-0000-0000-00005B610000}"/>
    <cellStyle name="Input 2 2 4 2 4" xfId="40680" xr:uid="{00000000-0005-0000-0000-00005C610000}"/>
    <cellStyle name="Input 2 2 4 3" xfId="20869" xr:uid="{00000000-0005-0000-0000-00005D610000}"/>
    <cellStyle name="Input 2 2 4 3 2" xfId="20870" xr:uid="{00000000-0005-0000-0000-00005E610000}"/>
    <cellStyle name="Input 2 2 4 3 2 2" xfId="20871" xr:uid="{00000000-0005-0000-0000-00005F610000}"/>
    <cellStyle name="Input 2 2 4 3 2 3" xfId="36147" xr:uid="{00000000-0005-0000-0000-000060610000}"/>
    <cellStyle name="Input 2 2 4 3 3" xfId="20872" xr:uid="{00000000-0005-0000-0000-000061610000}"/>
    <cellStyle name="Input 2 2 4 3 3 2" xfId="41433" xr:uid="{00000000-0005-0000-0000-000062610000}"/>
    <cellStyle name="Input 2 2 4 3 4" xfId="40677" xr:uid="{00000000-0005-0000-0000-000063610000}"/>
    <cellStyle name="Input 2 2 4 4" xfId="20873" xr:uid="{00000000-0005-0000-0000-000064610000}"/>
    <cellStyle name="Input 2 2 4 4 2" xfId="20874" xr:uid="{00000000-0005-0000-0000-000065610000}"/>
    <cellStyle name="Input 2 2 4 4 2 2" xfId="20875" xr:uid="{00000000-0005-0000-0000-000066610000}"/>
    <cellStyle name="Input 2 2 4 4 2 3" xfId="41434" xr:uid="{00000000-0005-0000-0000-000067610000}"/>
    <cellStyle name="Input 2 2 4 4 3" xfId="20876" xr:uid="{00000000-0005-0000-0000-000068610000}"/>
    <cellStyle name="Input 2 2 4 4 3 2" xfId="20877" xr:uid="{00000000-0005-0000-0000-000069610000}"/>
    <cellStyle name="Input 2 2 4 4 4" xfId="20878" xr:uid="{00000000-0005-0000-0000-00006A610000}"/>
    <cellStyle name="Input 2 2 4 4 5" xfId="36146" xr:uid="{00000000-0005-0000-0000-00006B610000}"/>
    <cellStyle name="Input 2 2 4 5" xfId="20879" xr:uid="{00000000-0005-0000-0000-00006C610000}"/>
    <cellStyle name="Input 2 2 4 5 2" xfId="20880" xr:uid="{00000000-0005-0000-0000-00006D610000}"/>
    <cellStyle name="Input 2 2 4 5 2 2" xfId="20881" xr:uid="{00000000-0005-0000-0000-00006E610000}"/>
    <cellStyle name="Input 2 2 4 5 2 3" xfId="41436" xr:uid="{00000000-0005-0000-0000-00006F610000}"/>
    <cellStyle name="Input 2 2 4 5 3" xfId="20882" xr:uid="{00000000-0005-0000-0000-000070610000}"/>
    <cellStyle name="Input 2 2 4 5 4" xfId="41435" xr:uid="{00000000-0005-0000-0000-000071610000}"/>
    <cellStyle name="Input 2 2 4 6" xfId="20883" xr:uid="{00000000-0005-0000-0000-000072610000}"/>
    <cellStyle name="Input 2 2 4 7" xfId="40681" xr:uid="{00000000-0005-0000-0000-000073610000}"/>
    <cellStyle name="Input 2 2 5" xfId="20884" xr:uid="{00000000-0005-0000-0000-000074610000}"/>
    <cellStyle name="Input 2 2 5 2" xfId="20885" xr:uid="{00000000-0005-0000-0000-000075610000}"/>
    <cellStyle name="Input 2 2 5 2 2" xfId="20886" xr:uid="{00000000-0005-0000-0000-000076610000}"/>
    <cellStyle name="Input 2 2 5 2 2 2" xfId="20887" xr:uid="{00000000-0005-0000-0000-000077610000}"/>
    <cellStyle name="Input 2 2 5 2 2 3" xfId="41437" xr:uid="{00000000-0005-0000-0000-000078610000}"/>
    <cellStyle name="Input 2 2 5 2 3" xfId="20888" xr:uid="{00000000-0005-0000-0000-000079610000}"/>
    <cellStyle name="Input 2 2 5 2 3 2" xfId="41438" xr:uid="{00000000-0005-0000-0000-00007A610000}"/>
    <cellStyle name="Input 2 2 5 2 4" xfId="40674" xr:uid="{00000000-0005-0000-0000-00007B610000}"/>
    <cellStyle name="Input 2 2 5 3" xfId="20889" xr:uid="{00000000-0005-0000-0000-00007C610000}"/>
    <cellStyle name="Input 2 2 5 3 2" xfId="20890" xr:uid="{00000000-0005-0000-0000-00007D610000}"/>
    <cellStyle name="Input 2 2 5 3 2 2" xfId="20891" xr:uid="{00000000-0005-0000-0000-00007E610000}"/>
    <cellStyle name="Input 2 2 5 3 2 3" xfId="41440" xr:uid="{00000000-0005-0000-0000-00007F610000}"/>
    <cellStyle name="Input 2 2 5 3 3" xfId="20892" xr:uid="{00000000-0005-0000-0000-000080610000}"/>
    <cellStyle name="Input 2 2 5 3 3 2" xfId="41441" xr:uid="{00000000-0005-0000-0000-000081610000}"/>
    <cellStyle name="Input 2 2 5 3 4" xfId="41439" xr:uid="{00000000-0005-0000-0000-000082610000}"/>
    <cellStyle name="Input 2 2 5 4" xfId="20893" xr:uid="{00000000-0005-0000-0000-000083610000}"/>
    <cellStyle name="Input 2 2 5 4 2" xfId="20894" xr:uid="{00000000-0005-0000-0000-000084610000}"/>
    <cellStyle name="Input 2 2 5 4 3" xfId="41442" xr:uid="{00000000-0005-0000-0000-000085610000}"/>
    <cellStyle name="Input 2 2 5 5" xfId="20895" xr:uid="{00000000-0005-0000-0000-000086610000}"/>
    <cellStyle name="Input 2 2 5 5 2" xfId="41443" xr:uid="{00000000-0005-0000-0000-000087610000}"/>
    <cellStyle name="Input 2 2 5 6" xfId="40676" xr:uid="{00000000-0005-0000-0000-000088610000}"/>
    <cellStyle name="Input 2 2 6" xfId="20896" xr:uid="{00000000-0005-0000-0000-000089610000}"/>
    <cellStyle name="Input 2 2 6 2" xfId="20897" xr:uid="{00000000-0005-0000-0000-00008A610000}"/>
    <cellStyle name="Input 2 2 6 2 2" xfId="20898" xr:uid="{00000000-0005-0000-0000-00008B610000}"/>
    <cellStyle name="Input 2 2 6 2 3" xfId="40670" xr:uid="{00000000-0005-0000-0000-00008C610000}"/>
    <cellStyle name="Input 2 2 6 3" xfId="20899" xr:uid="{00000000-0005-0000-0000-00008D610000}"/>
    <cellStyle name="Input 2 2 6 3 2" xfId="41444" xr:uid="{00000000-0005-0000-0000-00008E610000}"/>
    <cellStyle name="Input 2 2 6 4" xfId="40671" xr:uid="{00000000-0005-0000-0000-00008F610000}"/>
    <cellStyle name="Input 2 2 7" xfId="20900" xr:uid="{00000000-0005-0000-0000-000090610000}"/>
    <cellStyle name="Input 2 2 7 2" xfId="20901" xr:uid="{00000000-0005-0000-0000-000091610000}"/>
    <cellStyle name="Input 2 2 7 2 2" xfId="20902" xr:uid="{00000000-0005-0000-0000-000092610000}"/>
    <cellStyle name="Input 2 2 7 2 3" xfId="41445" xr:uid="{00000000-0005-0000-0000-000093610000}"/>
    <cellStyle name="Input 2 2 7 3" xfId="20903" xr:uid="{00000000-0005-0000-0000-000094610000}"/>
    <cellStyle name="Input 2 2 7 3 2" xfId="41446" xr:uid="{00000000-0005-0000-0000-000095610000}"/>
    <cellStyle name="Input 2 2 7 4" xfId="40668" xr:uid="{00000000-0005-0000-0000-000096610000}"/>
    <cellStyle name="Input 2 2 8" xfId="20904" xr:uid="{00000000-0005-0000-0000-000097610000}"/>
    <cellStyle name="Input 2 2 8 2" xfId="20905" xr:uid="{00000000-0005-0000-0000-000098610000}"/>
    <cellStyle name="Input 2 2 8 2 2" xfId="20906" xr:uid="{00000000-0005-0000-0000-000099610000}"/>
    <cellStyle name="Input 2 2 8 2 3" xfId="41447" xr:uid="{00000000-0005-0000-0000-00009A610000}"/>
    <cellStyle name="Input 2 2 8 3" xfId="20907" xr:uid="{00000000-0005-0000-0000-00009B610000}"/>
    <cellStyle name="Input 2 2 8 3 2" xfId="41448" xr:uid="{00000000-0005-0000-0000-00009C610000}"/>
    <cellStyle name="Input 2 2 8 4" xfId="35174" xr:uid="{00000000-0005-0000-0000-00009D610000}"/>
    <cellStyle name="Input 2 2 8 5" xfId="40667" xr:uid="{00000000-0005-0000-0000-00009E610000}"/>
    <cellStyle name="Input 2 2 9" xfId="20908" xr:uid="{00000000-0005-0000-0000-00009F610000}"/>
    <cellStyle name="Input 2 2 9 2" xfId="20909" xr:uid="{00000000-0005-0000-0000-0000A0610000}"/>
    <cellStyle name="Input 2 2 9 2 2" xfId="20910" xr:uid="{00000000-0005-0000-0000-0000A1610000}"/>
    <cellStyle name="Input 2 2 9 2 3" xfId="41450" xr:uid="{00000000-0005-0000-0000-0000A2610000}"/>
    <cellStyle name="Input 2 2 9 3" xfId="20911" xr:uid="{00000000-0005-0000-0000-0000A3610000}"/>
    <cellStyle name="Input 2 2 9 3 2" xfId="20912" xr:uid="{00000000-0005-0000-0000-0000A4610000}"/>
    <cellStyle name="Input 2 2 9 4" xfId="20913" xr:uid="{00000000-0005-0000-0000-0000A5610000}"/>
    <cellStyle name="Input 2 2 9 5" xfId="39329" xr:uid="{00000000-0005-0000-0000-0000A6610000}"/>
    <cellStyle name="Input 2 2 9 6" xfId="41449" xr:uid="{00000000-0005-0000-0000-0000A7610000}"/>
    <cellStyle name="Input 2 3" xfId="20914" xr:uid="{00000000-0005-0000-0000-0000A8610000}"/>
    <cellStyle name="Input 2 3 10" xfId="20915" xr:uid="{00000000-0005-0000-0000-0000A9610000}"/>
    <cellStyle name="Input 2 3 10 2" xfId="20916" xr:uid="{00000000-0005-0000-0000-0000AA610000}"/>
    <cellStyle name="Input 2 3 10 2 2" xfId="20917" xr:uid="{00000000-0005-0000-0000-0000AB610000}"/>
    <cellStyle name="Input 2 3 10 2 3" xfId="41452" xr:uid="{00000000-0005-0000-0000-0000AC610000}"/>
    <cellStyle name="Input 2 3 10 3" xfId="20918" xr:uid="{00000000-0005-0000-0000-0000AD610000}"/>
    <cellStyle name="Input 2 3 10 3 2" xfId="20919" xr:uid="{00000000-0005-0000-0000-0000AE610000}"/>
    <cellStyle name="Input 2 3 10 4" xfId="20920" xr:uid="{00000000-0005-0000-0000-0000AF610000}"/>
    <cellStyle name="Input 2 3 10 5" xfId="39330" xr:uid="{00000000-0005-0000-0000-0000B0610000}"/>
    <cellStyle name="Input 2 3 10 6" xfId="41451" xr:uid="{00000000-0005-0000-0000-0000B1610000}"/>
    <cellStyle name="Input 2 3 11" xfId="20921" xr:uid="{00000000-0005-0000-0000-0000B2610000}"/>
    <cellStyle name="Input 2 3 11 2" xfId="20922" xr:uid="{00000000-0005-0000-0000-0000B3610000}"/>
    <cellStyle name="Input 2 3 11 2 2" xfId="20923" xr:uid="{00000000-0005-0000-0000-0000B4610000}"/>
    <cellStyle name="Input 2 3 11 2 3" xfId="41454" xr:uid="{00000000-0005-0000-0000-0000B5610000}"/>
    <cellStyle name="Input 2 3 11 3" xfId="20924" xr:uid="{00000000-0005-0000-0000-0000B6610000}"/>
    <cellStyle name="Input 2 3 11 4" xfId="39331" xr:uid="{00000000-0005-0000-0000-0000B7610000}"/>
    <cellStyle name="Input 2 3 11 5" xfId="41453" xr:uid="{00000000-0005-0000-0000-0000B8610000}"/>
    <cellStyle name="Input 2 3 12" xfId="20925" xr:uid="{00000000-0005-0000-0000-0000B9610000}"/>
    <cellStyle name="Input 2 3 12 2" xfId="20926" xr:uid="{00000000-0005-0000-0000-0000BA610000}"/>
    <cellStyle name="Input 2 3 12 3" xfId="41455" xr:uid="{00000000-0005-0000-0000-0000BB610000}"/>
    <cellStyle name="Input 2 3 2" xfId="20927" xr:uid="{00000000-0005-0000-0000-0000BC610000}"/>
    <cellStyle name="Input 2 3 2 2" xfId="20928" xr:uid="{00000000-0005-0000-0000-0000BD610000}"/>
    <cellStyle name="Input 2 3 2 2 2" xfId="20929" xr:uid="{00000000-0005-0000-0000-0000BE610000}"/>
    <cellStyle name="Input 2 3 2 2 2 2" xfId="20930" xr:uid="{00000000-0005-0000-0000-0000BF610000}"/>
    <cellStyle name="Input 2 3 2 2 2 2 2" xfId="20931" xr:uid="{00000000-0005-0000-0000-0000C0610000}"/>
    <cellStyle name="Input 2 3 2 2 2 2 3" xfId="36000" xr:uid="{00000000-0005-0000-0000-0000C1610000}"/>
    <cellStyle name="Input 2 3 2 2 2 3" xfId="20932" xr:uid="{00000000-0005-0000-0000-0000C2610000}"/>
    <cellStyle name="Input 2 3 2 2 2 3 2" xfId="20933" xr:uid="{00000000-0005-0000-0000-0000C3610000}"/>
    <cellStyle name="Input 2 3 2 2 2 4" xfId="20934" xr:uid="{00000000-0005-0000-0000-0000C4610000}"/>
    <cellStyle name="Input 2 3 2 2 2 5" xfId="36001" xr:uid="{00000000-0005-0000-0000-0000C5610000}"/>
    <cellStyle name="Input 2 3 2 2 3" xfId="20935" xr:uid="{00000000-0005-0000-0000-0000C6610000}"/>
    <cellStyle name="Input 2 3 2 2 3 2" xfId="20936" xr:uid="{00000000-0005-0000-0000-0000C7610000}"/>
    <cellStyle name="Input 2 3 2 2 3 2 2" xfId="20937" xr:uid="{00000000-0005-0000-0000-0000C8610000}"/>
    <cellStyle name="Input 2 3 2 2 3 2 3" xfId="35935" xr:uid="{00000000-0005-0000-0000-0000C9610000}"/>
    <cellStyle name="Input 2 3 2 2 3 3" xfId="20938" xr:uid="{00000000-0005-0000-0000-0000CA610000}"/>
    <cellStyle name="Input 2 3 2 2 3 4" xfId="35945" xr:uid="{00000000-0005-0000-0000-0000CB610000}"/>
    <cellStyle name="Input 2 3 2 2 4" xfId="20939" xr:uid="{00000000-0005-0000-0000-0000CC610000}"/>
    <cellStyle name="Input 2 3 2 2 4 2" xfId="35934" xr:uid="{00000000-0005-0000-0000-0000CD610000}"/>
    <cellStyle name="Input 2 3 2 2 5" xfId="36002" xr:uid="{00000000-0005-0000-0000-0000CE610000}"/>
    <cellStyle name="Input 2 3 2 3" xfId="20940" xr:uid="{00000000-0005-0000-0000-0000CF610000}"/>
    <cellStyle name="Input 2 3 2 3 2" xfId="20941" xr:uid="{00000000-0005-0000-0000-0000D0610000}"/>
    <cellStyle name="Input 2 3 2 3 2 2" xfId="20942" xr:uid="{00000000-0005-0000-0000-0000D1610000}"/>
    <cellStyle name="Input 2 3 2 3 2 3" xfId="35890" xr:uid="{00000000-0005-0000-0000-0000D2610000}"/>
    <cellStyle name="Input 2 3 2 3 3" xfId="20943" xr:uid="{00000000-0005-0000-0000-0000D3610000}"/>
    <cellStyle name="Input 2 3 2 3 3 2" xfId="41456" xr:uid="{00000000-0005-0000-0000-0000D4610000}"/>
    <cellStyle name="Input 2 3 2 3 4" xfId="35933" xr:uid="{00000000-0005-0000-0000-0000D5610000}"/>
    <cellStyle name="Input 2 3 2 4" xfId="20944" xr:uid="{00000000-0005-0000-0000-0000D6610000}"/>
    <cellStyle name="Input 2 3 2 4 2" xfId="20945" xr:uid="{00000000-0005-0000-0000-0000D7610000}"/>
    <cellStyle name="Input 2 3 2 4 2 2" xfId="20946" xr:uid="{00000000-0005-0000-0000-0000D8610000}"/>
    <cellStyle name="Input 2 3 2 4 2 3" xfId="35176" xr:uid="{00000000-0005-0000-0000-0000D9610000}"/>
    <cellStyle name="Input 2 3 2 4 2 4" xfId="40658" xr:uid="{00000000-0005-0000-0000-0000DA610000}"/>
    <cellStyle name="Input 2 3 2 4 3" xfId="20947" xr:uid="{00000000-0005-0000-0000-0000DB610000}"/>
    <cellStyle name="Input 2 3 2 4 3 2" xfId="20948" xr:uid="{00000000-0005-0000-0000-0000DC610000}"/>
    <cellStyle name="Input 2 3 2 4 4" xfId="20949" xr:uid="{00000000-0005-0000-0000-0000DD610000}"/>
    <cellStyle name="Input 2 3 2 4 5" xfId="35175" xr:uid="{00000000-0005-0000-0000-0000DE610000}"/>
    <cellStyle name="Input 2 3 2 4 6" xfId="40665" xr:uid="{00000000-0005-0000-0000-0000DF610000}"/>
    <cellStyle name="Input 2 3 2 5" xfId="20950" xr:uid="{00000000-0005-0000-0000-0000E0610000}"/>
    <cellStyle name="Input 2 3 2 5 2" xfId="20951" xr:uid="{00000000-0005-0000-0000-0000E1610000}"/>
    <cellStyle name="Input 2 3 2 5 2 2" xfId="20952" xr:uid="{00000000-0005-0000-0000-0000E2610000}"/>
    <cellStyle name="Input 2 3 2 5 2 3" xfId="41457" xr:uid="{00000000-0005-0000-0000-0000E3610000}"/>
    <cellStyle name="Input 2 3 2 5 3" xfId="20953" xr:uid="{00000000-0005-0000-0000-0000E4610000}"/>
    <cellStyle name="Input 2 3 2 5 4" xfId="35177" xr:uid="{00000000-0005-0000-0000-0000E5610000}"/>
    <cellStyle name="Input 2 3 2 5 5" xfId="40655" xr:uid="{00000000-0005-0000-0000-0000E6610000}"/>
    <cellStyle name="Input 2 3 2 6" xfId="20954" xr:uid="{00000000-0005-0000-0000-0000E7610000}"/>
    <cellStyle name="Input 2 3 2 7" xfId="36145" xr:uid="{00000000-0005-0000-0000-0000E8610000}"/>
    <cellStyle name="Input 2 3 3" xfId="20955" xr:uid="{00000000-0005-0000-0000-0000E9610000}"/>
    <cellStyle name="Input 2 3 3 2" xfId="20956" xr:uid="{00000000-0005-0000-0000-0000EA610000}"/>
    <cellStyle name="Input 2 3 3 2 2" xfId="20957" xr:uid="{00000000-0005-0000-0000-0000EB610000}"/>
    <cellStyle name="Input 2 3 3 2 2 2" xfId="20958" xr:uid="{00000000-0005-0000-0000-0000EC610000}"/>
    <cellStyle name="Input 2 3 3 2 2 2 2" xfId="20959" xr:uid="{00000000-0005-0000-0000-0000ED610000}"/>
    <cellStyle name="Input 2 3 3 2 2 2 3" xfId="40650" xr:uid="{00000000-0005-0000-0000-0000EE610000}"/>
    <cellStyle name="Input 2 3 3 2 2 3" xfId="20960" xr:uid="{00000000-0005-0000-0000-0000EF610000}"/>
    <cellStyle name="Input 2 3 3 2 2 3 2" xfId="20961" xr:uid="{00000000-0005-0000-0000-0000F0610000}"/>
    <cellStyle name="Input 2 3 3 2 2 4" xfId="20962" xr:uid="{00000000-0005-0000-0000-0000F1610000}"/>
    <cellStyle name="Input 2 3 3 2 2 5" xfId="35835" xr:uid="{00000000-0005-0000-0000-0000F2610000}"/>
    <cellStyle name="Input 2 3 3 2 3" xfId="20963" xr:uid="{00000000-0005-0000-0000-0000F3610000}"/>
    <cellStyle name="Input 2 3 3 2 3 2" xfId="20964" xr:uid="{00000000-0005-0000-0000-0000F4610000}"/>
    <cellStyle name="Input 2 3 3 2 3 2 2" xfId="20965" xr:uid="{00000000-0005-0000-0000-0000F5610000}"/>
    <cellStyle name="Input 2 3 3 2 3 2 3" xfId="40648" xr:uid="{00000000-0005-0000-0000-0000F6610000}"/>
    <cellStyle name="Input 2 3 3 2 3 3" xfId="20966" xr:uid="{00000000-0005-0000-0000-0000F7610000}"/>
    <cellStyle name="Input 2 3 3 2 3 4" xfId="35834" xr:uid="{00000000-0005-0000-0000-0000F8610000}"/>
    <cellStyle name="Input 2 3 3 2 4" xfId="20967" xr:uid="{00000000-0005-0000-0000-0000F9610000}"/>
    <cellStyle name="Input 2 3 3 2 4 2" xfId="40641" xr:uid="{00000000-0005-0000-0000-0000FA610000}"/>
    <cellStyle name="Input 2 3 3 2 5" xfId="40652" xr:uid="{00000000-0005-0000-0000-0000FB610000}"/>
    <cellStyle name="Input 2 3 3 3" xfId="20968" xr:uid="{00000000-0005-0000-0000-0000FC610000}"/>
    <cellStyle name="Input 2 3 3 3 2" xfId="20969" xr:uid="{00000000-0005-0000-0000-0000FD610000}"/>
    <cellStyle name="Input 2 3 3 3 2 2" xfId="20970" xr:uid="{00000000-0005-0000-0000-0000FE610000}"/>
    <cellStyle name="Input 2 3 3 3 2 3" xfId="40636" xr:uid="{00000000-0005-0000-0000-0000FF610000}"/>
    <cellStyle name="Input 2 3 3 3 3" xfId="20971" xr:uid="{00000000-0005-0000-0000-000000620000}"/>
    <cellStyle name="Input 2 3 3 3 3 2" xfId="41458" xr:uid="{00000000-0005-0000-0000-000001620000}"/>
    <cellStyle name="Input 2 3 3 3 4" xfId="40637" xr:uid="{00000000-0005-0000-0000-000002620000}"/>
    <cellStyle name="Input 2 3 3 4" xfId="20972" xr:uid="{00000000-0005-0000-0000-000003620000}"/>
    <cellStyle name="Input 2 3 3 4 2" xfId="20973" xr:uid="{00000000-0005-0000-0000-000004620000}"/>
    <cellStyle name="Input 2 3 3 4 2 2" xfId="20974" xr:uid="{00000000-0005-0000-0000-000005620000}"/>
    <cellStyle name="Input 2 3 3 4 2 3" xfId="35179" xr:uid="{00000000-0005-0000-0000-000006620000}"/>
    <cellStyle name="Input 2 3 3 4 2 4" xfId="35761" xr:uid="{00000000-0005-0000-0000-000007620000}"/>
    <cellStyle name="Input 2 3 3 4 3" xfId="20975" xr:uid="{00000000-0005-0000-0000-000008620000}"/>
    <cellStyle name="Input 2 3 3 4 3 2" xfId="20976" xr:uid="{00000000-0005-0000-0000-000009620000}"/>
    <cellStyle name="Input 2 3 3 4 4" xfId="20977" xr:uid="{00000000-0005-0000-0000-00000A620000}"/>
    <cellStyle name="Input 2 3 3 4 5" xfId="35178" xr:uid="{00000000-0005-0000-0000-00000B620000}"/>
    <cellStyle name="Input 2 3 3 4 6" xfId="35780" xr:uid="{00000000-0005-0000-0000-00000C620000}"/>
    <cellStyle name="Input 2 3 3 5" xfId="20978" xr:uid="{00000000-0005-0000-0000-00000D620000}"/>
    <cellStyle name="Input 2 3 3 5 2" xfId="20979" xr:uid="{00000000-0005-0000-0000-00000E620000}"/>
    <cellStyle name="Input 2 3 3 5 2 2" xfId="20980" xr:uid="{00000000-0005-0000-0000-00000F620000}"/>
    <cellStyle name="Input 2 3 3 5 2 3" xfId="41459" xr:uid="{00000000-0005-0000-0000-000010620000}"/>
    <cellStyle name="Input 2 3 3 5 3" xfId="20981" xr:uid="{00000000-0005-0000-0000-000011620000}"/>
    <cellStyle name="Input 2 3 3 5 4" xfId="35180" xr:uid="{00000000-0005-0000-0000-000012620000}"/>
    <cellStyle name="Input 2 3 3 5 5" xfId="40634" xr:uid="{00000000-0005-0000-0000-000013620000}"/>
    <cellStyle name="Input 2 3 3 6" xfId="20982" xr:uid="{00000000-0005-0000-0000-000014620000}"/>
    <cellStyle name="Input 2 3 3 7" xfId="40654" xr:uid="{00000000-0005-0000-0000-000015620000}"/>
    <cellStyle name="Input 2 3 4" xfId="20983" xr:uid="{00000000-0005-0000-0000-000016620000}"/>
    <cellStyle name="Input 2 3 4 2" xfId="20984" xr:uid="{00000000-0005-0000-0000-000017620000}"/>
    <cellStyle name="Input 2 3 4 2 2" xfId="20985" xr:uid="{00000000-0005-0000-0000-000018620000}"/>
    <cellStyle name="Input 2 3 4 2 2 2" xfId="20986" xr:uid="{00000000-0005-0000-0000-000019620000}"/>
    <cellStyle name="Input 2 3 4 2 2 3" xfId="40631" xr:uid="{00000000-0005-0000-0000-00001A620000}"/>
    <cellStyle name="Input 2 3 4 2 3" xfId="20987" xr:uid="{00000000-0005-0000-0000-00001B620000}"/>
    <cellStyle name="Input 2 3 4 2 3 2" xfId="41460" xr:uid="{00000000-0005-0000-0000-00001C620000}"/>
    <cellStyle name="Input 2 3 4 2 4" xfId="40632" xr:uid="{00000000-0005-0000-0000-00001D620000}"/>
    <cellStyle name="Input 2 3 4 3" xfId="20988" xr:uid="{00000000-0005-0000-0000-00001E620000}"/>
    <cellStyle name="Input 2 3 4 3 2" xfId="20989" xr:uid="{00000000-0005-0000-0000-00001F620000}"/>
    <cellStyle name="Input 2 3 4 3 2 2" xfId="20990" xr:uid="{00000000-0005-0000-0000-000020620000}"/>
    <cellStyle name="Input 2 3 4 3 2 3" xfId="35760" xr:uid="{00000000-0005-0000-0000-000021620000}"/>
    <cellStyle name="Input 2 3 4 3 3" xfId="20991" xr:uid="{00000000-0005-0000-0000-000022620000}"/>
    <cellStyle name="Input 2 3 4 3 3 2" xfId="41461" xr:uid="{00000000-0005-0000-0000-000023620000}"/>
    <cellStyle name="Input 2 3 4 3 4" xfId="40630" xr:uid="{00000000-0005-0000-0000-000024620000}"/>
    <cellStyle name="Input 2 3 4 4" xfId="20992" xr:uid="{00000000-0005-0000-0000-000025620000}"/>
    <cellStyle name="Input 2 3 4 4 2" xfId="20993" xr:uid="{00000000-0005-0000-0000-000026620000}"/>
    <cellStyle name="Input 2 3 4 4 2 2" xfId="20994" xr:uid="{00000000-0005-0000-0000-000027620000}"/>
    <cellStyle name="Input 2 3 4 4 2 3" xfId="41462" xr:uid="{00000000-0005-0000-0000-000028620000}"/>
    <cellStyle name="Input 2 3 4 4 3" xfId="20995" xr:uid="{00000000-0005-0000-0000-000029620000}"/>
    <cellStyle name="Input 2 3 4 4 3 2" xfId="20996" xr:uid="{00000000-0005-0000-0000-00002A620000}"/>
    <cellStyle name="Input 2 3 4 4 4" xfId="20997" xr:uid="{00000000-0005-0000-0000-00002B620000}"/>
    <cellStyle name="Input 2 3 4 4 5" xfId="40629" xr:uid="{00000000-0005-0000-0000-00002C620000}"/>
    <cellStyle name="Input 2 3 4 5" xfId="20998" xr:uid="{00000000-0005-0000-0000-00002D620000}"/>
    <cellStyle name="Input 2 3 4 5 2" xfId="20999" xr:uid="{00000000-0005-0000-0000-00002E620000}"/>
    <cellStyle name="Input 2 3 4 5 2 2" xfId="21000" xr:uid="{00000000-0005-0000-0000-00002F620000}"/>
    <cellStyle name="Input 2 3 4 5 2 3" xfId="41464" xr:uid="{00000000-0005-0000-0000-000030620000}"/>
    <cellStyle name="Input 2 3 4 5 3" xfId="21001" xr:uid="{00000000-0005-0000-0000-000031620000}"/>
    <cellStyle name="Input 2 3 4 5 4" xfId="41463" xr:uid="{00000000-0005-0000-0000-000032620000}"/>
    <cellStyle name="Input 2 3 4 6" xfId="21002" xr:uid="{00000000-0005-0000-0000-000033620000}"/>
    <cellStyle name="Input 2 3 4 7" xfId="40633" xr:uid="{00000000-0005-0000-0000-000034620000}"/>
    <cellStyle name="Input 2 3 5" xfId="21003" xr:uid="{00000000-0005-0000-0000-000035620000}"/>
    <cellStyle name="Input 2 3 5 2" xfId="21004" xr:uid="{00000000-0005-0000-0000-000036620000}"/>
    <cellStyle name="Input 2 3 5 2 2" xfId="21005" xr:uid="{00000000-0005-0000-0000-000037620000}"/>
    <cellStyle name="Input 2 3 5 2 2 2" xfId="21006" xr:uid="{00000000-0005-0000-0000-000038620000}"/>
    <cellStyle name="Input 2 3 5 2 2 3" xfId="41465" xr:uid="{00000000-0005-0000-0000-000039620000}"/>
    <cellStyle name="Input 2 3 5 2 3" xfId="21007" xr:uid="{00000000-0005-0000-0000-00003A620000}"/>
    <cellStyle name="Input 2 3 5 2 3 2" xfId="41466" xr:uid="{00000000-0005-0000-0000-00003B620000}"/>
    <cellStyle name="Input 2 3 5 2 4" xfId="40622" xr:uid="{00000000-0005-0000-0000-00003C620000}"/>
    <cellStyle name="Input 2 3 5 3" xfId="21008" xr:uid="{00000000-0005-0000-0000-00003D620000}"/>
    <cellStyle name="Input 2 3 5 3 2" xfId="21009" xr:uid="{00000000-0005-0000-0000-00003E620000}"/>
    <cellStyle name="Input 2 3 5 3 2 2" xfId="21010" xr:uid="{00000000-0005-0000-0000-00003F620000}"/>
    <cellStyle name="Input 2 3 5 3 2 3" xfId="41468" xr:uid="{00000000-0005-0000-0000-000040620000}"/>
    <cellStyle name="Input 2 3 5 3 3" xfId="21011" xr:uid="{00000000-0005-0000-0000-000041620000}"/>
    <cellStyle name="Input 2 3 5 3 3 2" xfId="41469" xr:uid="{00000000-0005-0000-0000-000042620000}"/>
    <cellStyle name="Input 2 3 5 3 4" xfId="41467" xr:uid="{00000000-0005-0000-0000-000043620000}"/>
    <cellStyle name="Input 2 3 5 4" xfId="21012" xr:uid="{00000000-0005-0000-0000-000044620000}"/>
    <cellStyle name="Input 2 3 5 4 2" xfId="21013" xr:uid="{00000000-0005-0000-0000-000045620000}"/>
    <cellStyle name="Input 2 3 5 4 3" xfId="41470" xr:uid="{00000000-0005-0000-0000-000046620000}"/>
    <cellStyle name="Input 2 3 5 5" xfId="21014" xr:uid="{00000000-0005-0000-0000-000047620000}"/>
    <cellStyle name="Input 2 3 5 5 2" xfId="41471" xr:uid="{00000000-0005-0000-0000-000048620000}"/>
    <cellStyle name="Input 2 3 5 6" xfId="40626" xr:uid="{00000000-0005-0000-0000-000049620000}"/>
    <cellStyle name="Input 2 3 6" xfId="21015" xr:uid="{00000000-0005-0000-0000-00004A620000}"/>
    <cellStyle name="Input 2 3 6 2" xfId="21016" xr:uid="{00000000-0005-0000-0000-00004B620000}"/>
    <cellStyle name="Input 2 3 6 2 2" xfId="21017" xr:uid="{00000000-0005-0000-0000-00004C620000}"/>
    <cellStyle name="Input 2 3 6 2 3" xfId="40619" xr:uid="{00000000-0005-0000-0000-00004D620000}"/>
    <cellStyle name="Input 2 3 6 3" xfId="21018" xr:uid="{00000000-0005-0000-0000-00004E620000}"/>
    <cellStyle name="Input 2 3 6 3 2" xfId="41472" xr:uid="{00000000-0005-0000-0000-00004F620000}"/>
    <cellStyle name="Input 2 3 6 4" xfId="40621" xr:uid="{00000000-0005-0000-0000-000050620000}"/>
    <cellStyle name="Input 2 3 7" xfId="21019" xr:uid="{00000000-0005-0000-0000-000051620000}"/>
    <cellStyle name="Input 2 3 7 2" xfId="21020" xr:uid="{00000000-0005-0000-0000-000052620000}"/>
    <cellStyle name="Input 2 3 7 2 2" xfId="21021" xr:uid="{00000000-0005-0000-0000-000053620000}"/>
    <cellStyle name="Input 2 3 7 2 3" xfId="41473" xr:uid="{00000000-0005-0000-0000-000054620000}"/>
    <cellStyle name="Input 2 3 7 3" xfId="21022" xr:uid="{00000000-0005-0000-0000-000055620000}"/>
    <cellStyle name="Input 2 3 7 3 2" xfId="41474" xr:uid="{00000000-0005-0000-0000-000056620000}"/>
    <cellStyle name="Input 2 3 7 4" xfId="40618" xr:uid="{00000000-0005-0000-0000-000057620000}"/>
    <cellStyle name="Input 2 3 8" xfId="21023" xr:uid="{00000000-0005-0000-0000-000058620000}"/>
    <cellStyle name="Input 2 3 8 2" xfId="35181" xr:uid="{00000000-0005-0000-0000-000059620000}"/>
    <cellStyle name="Input 2 3 9" xfId="21024" xr:uid="{00000000-0005-0000-0000-00005A620000}"/>
    <cellStyle name="Input 2 3 9 2" xfId="21025" xr:uid="{00000000-0005-0000-0000-00005B620000}"/>
    <cellStyle name="Input 2 3 9 2 2" xfId="21026" xr:uid="{00000000-0005-0000-0000-00005C620000}"/>
    <cellStyle name="Input 2 3 9 2 3" xfId="41476" xr:uid="{00000000-0005-0000-0000-00005D620000}"/>
    <cellStyle name="Input 2 3 9 3" xfId="21027" xr:uid="{00000000-0005-0000-0000-00005E620000}"/>
    <cellStyle name="Input 2 3 9 3 2" xfId="41477" xr:uid="{00000000-0005-0000-0000-00005F620000}"/>
    <cellStyle name="Input 2 3 9 4" xfId="41475" xr:uid="{00000000-0005-0000-0000-000060620000}"/>
    <cellStyle name="Input 2 4" xfId="21028" xr:uid="{00000000-0005-0000-0000-000061620000}"/>
    <cellStyle name="Input 2 4 10" xfId="40615" xr:uid="{00000000-0005-0000-0000-000062620000}"/>
    <cellStyle name="Input 2 4 2" xfId="21029" xr:uid="{00000000-0005-0000-0000-000063620000}"/>
    <cellStyle name="Input 2 4 2 2" xfId="21030" xr:uid="{00000000-0005-0000-0000-000064620000}"/>
    <cellStyle name="Input 2 4 2 2 2" xfId="21031" xr:uid="{00000000-0005-0000-0000-000065620000}"/>
    <cellStyle name="Input 2 4 2 2 2 2" xfId="21032" xr:uid="{00000000-0005-0000-0000-000066620000}"/>
    <cellStyle name="Input 2 4 2 2 2 2 2" xfId="35185" xr:uid="{00000000-0005-0000-0000-000067620000}"/>
    <cellStyle name="Input 2 4 2 2 2 2 3" xfId="40610" xr:uid="{00000000-0005-0000-0000-000068620000}"/>
    <cellStyle name="Input 2 4 2 2 2 3" xfId="35184" xr:uid="{00000000-0005-0000-0000-000069620000}"/>
    <cellStyle name="Input 2 4 2 2 2 4" xfId="40611" xr:uid="{00000000-0005-0000-0000-00006A620000}"/>
    <cellStyle name="Input 2 4 2 2 3" xfId="21033" xr:uid="{00000000-0005-0000-0000-00006B620000}"/>
    <cellStyle name="Input 2 4 2 2 3 2" xfId="35187" xr:uid="{00000000-0005-0000-0000-00006C620000}"/>
    <cellStyle name="Input 2 4 2 2 3 2 2" xfId="40607" xr:uid="{00000000-0005-0000-0000-00006D620000}"/>
    <cellStyle name="Input 2 4 2 2 3 3" xfId="35186" xr:uid="{00000000-0005-0000-0000-00006E620000}"/>
    <cellStyle name="Input 2 4 2 2 3 4" xfId="40609" xr:uid="{00000000-0005-0000-0000-00006F620000}"/>
    <cellStyle name="Input 2 4 2 2 4" xfId="35188" xr:uid="{00000000-0005-0000-0000-000070620000}"/>
    <cellStyle name="Input 2 4 2 2 4 2" xfId="40604" xr:uid="{00000000-0005-0000-0000-000071620000}"/>
    <cellStyle name="Input 2 4 2 2 5" xfId="35183" xr:uid="{00000000-0005-0000-0000-000072620000}"/>
    <cellStyle name="Input 2 4 2 2 6" xfId="40612" xr:uid="{00000000-0005-0000-0000-000073620000}"/>
    <cellStyle name="Input 2 4 2 3" xfId="21034" xr:uid="{00000000-0005-0000-0000-000074620000}"/>
    <cellStyle name="Input 2 4 2 3 2" xfId="21035" xr:uid="{00000000-0005-0000-0000-000075620000}"/>
    <cellStyle name="Input 2 4 2 3 2 2" xfId="21036" xr:uid="{00000000-0005-0000-0000-000076620000}"/>
    <cellStyle name="Input 2 4 2 3 2 3" xfId="35190" xr:uid="{00000000-0005-0000-0000-000077620000}"/>
    <cellStyle name="Input 2 4 2 3 2 4" xfId="40601" xr:uid="{00000000-0005-0000-0000-000078620000}"/>
    <cellStyle name="Input 2 4 2 3 3" xfId="21037" xr:uid="{00000000-0005-0000-0000-000079620000}"/>
    <cellStyle name="Input 2 4 2 3 3 2" xfId="41478" xr:uid="{00000000-0005-0000-0000-00007A620000}"/>
    <cellStyle name="Input 2 4 2 3 4" xfId="35189" xr:uid="{00000000-0005-0000-0000-00007B620000}"/>
    <cellStyle name="Input 2 4 2 3 5" xfId="40603" xr:uid="{00000000-0005-0000-0000-00007C620000}"/>
    <cellStyle name="Input 2 4 2 4" xfId="21038" xr:uid="{00000000-0005-0000-0000-00007D620000}"/>
    <cellStyle name="Input 2 4 2 4 2" xfId="21039" xr:uid="{00000000-0005-0000-0000-00007E620000}"/>
    <cellStyle name="Input 2 4 2 4 2 2" xfId="21040" xr:uid="{00000000-0005-0000-0000-00007F620000}"/>
    <cellStyle name="Input 2 4 2 4 2 3" xfId="35192" xr:uid="{00000000-0005-0000-0000-000080620000}"/>
    <cellStyle name="Input 2 4 2 4 2 4" xfId="40598" xr:uid="{00000000-0005-0000-0000-000081620000}"/>
    <cellStyle name="Input 2 4 2 4 3" xfId="21041" xr:uid="{00000000-0005-0000-0000-000082620000}"/>
    <cellStyle name="Input 2 4 2 4 3 2" xfId="21042" xr:uid="{00000000-0005-0000-0000-000083620000}"/>
    <cellStyle name="Input 2 4 2 4 4" xfId="21043" xr:uid="{00000000-0005-0000-0000-000084620000}"/>
    <cellStyle name="Input 2 4 2 4 5" xfId="35191" xr:uid="{00000000-0005-0000-0000-000085620000}"/>
    <cellStyle name="Input 2 4 2 4 6" xfId="40600" xr:uid="{00000000-0005-0000-0000-000086620000}"/>
    <cellStyle name="Input 2 4 2 5" xfId="21044" xr:uid="{00000000-0005-0000-0000-000087620000}"/>
    <cellStyle name="Input 2 4 2 5 2" xfId="21045" xr:uid="{00000000-0005-0000-0000-000088620000}"/>
    <cellStyle name="Input 2 4 2 5 2 2" xfId="21046" xr:uid="{00000000-0005-0000-0000-000089620000}"/>
    <cellStyle name="Input 2 4 2 5 2 3" xfId="41479" xr:uid="{00000000-0005-0000-0000-00008A620000}"/>
    <cellStyle name="Input 2 4 2 5 3" xfId="21047" xr:uid="{00000000-0005-0000-0000-00008B620000}"/>
    <cellStyle name="Input 2 4 2 5 4" xfId="35193" xr:uid="{00000000-0005-0000-0000-00008C620000}"/>
    <cellStyle name="Input 2 4 2 5 5" xfId="40596" xr:uid="{00000000-0005-0000-0000-00008D620000}"/>
    <cellStyle name="Input 2 4 2 6" xfId="21048" xr:uid="{00000000-0005-0000-0000-00008E620000}"/>
    <cellStyle name="Input 2 4 2 7" xfId="35182" xr:uid="{00000000-0005-0000-0000-00008F620000}"/>
    <cellStyle name="Input 2 4 2 8" xfId="40614" xr:uid="{00000000-0005-0000-0000-000090620000}"/>
    <cellStyle name="Input 2 4 3" xfId="21049" xr:uid="{00000000-0005-0000-0000-000091620000}"/>
    <cellStyle name="Input 2 4 3 2" xfId="21050" xr:uid="{00000000-0005-0000-0000-000092620000}"/>
    <cellStyle name="Input 2 4 3 2 2" xfId="21051" xr:uid="{00000000-0005-0000-0000-000093620000}"/>
    <cellStyle name="Input 2 4 3 2 2 2" xfId="21052" xr:uid="{00000000-0005-0000-0000-000094620000}"/>
    <cellStyle name="Input 2 4 3 2 2 2 2" xfId="40591" xr:uid="{00000000-0005-0000-0000-000095620000}"/>
    <cellStyle name="Input 2 4 3 2 2 3" xfId="40592" xr:uid="{00000000-0005-0000-0000-000096620000}"/>
    <cellStyle name="Input 2 4 3 2 3" xfId="21053" xr:uid="{00000000-0005-0000-0000-000097620000}"/>
    <cellStyle name="Input 2 4 3 2 3 2" xfId="35194" xr:uid="{00000000-0005-0000-0000-000098620000}"/>
    <cellStyle name="Input 2 4 3 2 3 2 2" xfId="40588" xr:uid="{00000000-0005-0000-0000-000099620000}"/>
    <cellStyle name="Input 2 4 3 2 3 3" xfId="40589" xr:uid="{00000000-0005-0000-0000-00009A620000}"/>
    <cellStyle name="Input 2 4 3 2 4" xfId="35195" xr:uid="{00000000-0005-0000-0000-00009B620000}"/>
    <cellStyle name="Input 2 4 3 2 4 2" xfId="40586" xr:uid="{00000000-0005-0000-0000-00009C620000}"/>
    <cellStyle name="Input 2 4 3 2 5" xfId="40593" xr:uid="{00000000-0005-0000-0000-00009D620000}"/>
    <cellStyle name="Input 2 4 3 3" xfId="21054" xr:uid="{00000000-0005-0000-0000-00009E620000}"/>
    <cellStyle name="Input 2 4 3 3 2" xfId="21055" xr:uid="{00000000-0005-0000-0000-00009F620000}"/>
    <cellStyle name="Input 2 4 3 3 2 2" xfId="21056" xr:uid="{00000000-0005-0000-0000-0000A0620000}"/>
    <cellStyle name="Input 2 4 3 3 2 3" xfId="40583" xr:uid="{00000000-0005-0000-0000-0000A1620000}"/>
    <cellStyle name="Input 2 4 3 3 3" xfId="21057" xr:uid="{00000000-0005-0000-0000-0000A2620000}"/>
    <cellStyle name="Input 2 4 3 3 3 2" xfId="41480" xr:uid="{00000000-0005-0000-0000-0000A3620000}"/>
    <cellStyle name="Input 2 4 3 3 4" xfId="40585" xr:uid="{00000000-0005-0000-0000-0000A4620000}"/>
    <cellStyle name="Input 2 4 3 4" xfId="21058" xr:uid="{00000000-0005-0000-0000-0000A5620000}"/>
    <cellStyle name="Input 2 4 3 4 2" xfId="21059" xr:uid="{00000000-0005-0000-0000-0000A6620000}"/>
    <cellStyle name="Input 2 4 3 4 2 2" xfId="35757" xr:uid="{00000000-0005-0000-0000-0000A7620000}"/>
    <cellStyle name="Input 2 4 3 4 3" xfId="40582" xr:uid="{00000000-0005-0000-0000-0000A8620000}"/>
    <cellStyle name="Input 2 4 3 5" xfId="21060" xr:uid="{00000000-0005-0000-0000-0000A9620000}"/>
    <cellStyle name="Input 2 4 3 5 2" xfId="40581" xr:uid="{00000000-0005-0000-0000-0000AA620000}"/>
    <cellStyle name="Input 2 4 3 6" xfId="40595" xr:uid="{00000000-0005-0000-0000-0000AB620000}"/>
    <cellStyle name="Input 2 4 4" xfId="21061" xr:uid="{00000000-0005-0000-0000-0000AC620000}"/>
    <cellStyle name="Input 2 4 4 2" xfId="21062" xr:uid="{00000000-0005-0000-0000-0000AD620000}"/>
    <cellStyle name="Input 2 4 4 2 2" xfId="21063" xr:uid="{00000000-0005-0000-0000-0000AE620000}"/>
    <cellStyle name="Input 2 4 4 2 2 2" xfId="40575" xr:uid="{00000000-0005-0000-0000-0000AF620000}"/>
    <cellStyle name="Input 2 4 4 2 3" xfId="40576" xr:uid="{00000000-0005-0000-0000-0000B0620000}"/>
    <cellStyle name="Input 2 4 4 3" xfId="21064" xr:uid="{00000000-0005-0000-0000-0000B1620000}"/>
    <cellStyle name="Input 2 4 4 3 2" xfId="35196" xr:uid="{00000000-0005-0000-0000-0000B2620000}"/>
    <cellStyle name="Input 2 4 4 3 2 2" xfId="40572" xr:uid="{00000000-0005-0000-0000-0000B3620000}"/>
    <cellStyle name="Input 2 4 4 3 3" xfId="40573" xr:uid="{00000000-0005-0000-0000-0000B4620000}"/>
    <cellStyle name="Input 2 4 4 4" xfId="35197" xr:uid="{00000000-0005-0000-0000-0000B5620000}"/>
    <cellStyle name="Input 2 4 4 4 2" xfId="35756" xr:uid="{00000000-0005-0000-0000-0000B6620000}"/>
    <cellStyle name="Input 2 4 4 5" xfId="40579" xr:uid="{00000000-0005-0000-0000-0000B7620000}"/>
    <cellStyle name="Input 2 4 5" xfId="21065" xr:uid="{00000000-0005-0000-0000-0000B8620000}"/>
    <cellStyle name="Input 2 4 5 2" xfId="21066" xr:uid="{00000000-0005-0000-0000-0000B9620000}"/>
    <cellStyle name="Input 2 4 5 2 2" xfId="21067" xr:uid="{00000000-0005-0000-0000-0000BA620000}"/>
    <cellStyle name="Input 2 4 5 2 3" xfId="40571" xr:uid="{00000000-0005-0000-0000-0000BB620000}"/>
    <cellStyle name="Input 2 4 5 3" xfId="21068" xr:uid="{00000000-0005-0000-0000-0000BC620000}"/>
    <cellStyle name="Input 2 4 5 3 2" xfId="41481" xr:uid="{00000000-0005-0000-0000-0000BD620000}"/>
    <cellStyle name="Input 2 4 5 4" xfId="35755" xr:uid="{00000000-0005-0000-0000-0000BE620000}"/>
    <cellStyle name="Input 2 4 6" xfId="21069" xr:uid="{00000000-0005-0000-0000-0000BF620000}"/>
    <cellStyle name="Input 2 4 6 2" xfId="21070" xr:uid="{00000000-0005-0000-0000-0000C0620000}"/>
    <cellStyle name="Input 2 4 6 2 2" xfId="21071" xr:uid="{00000000-0005-0000-0000-0000C1620000}"/>
    <cellStyle name="Input 2 4 6 2 3" xfId="35199" xr:uid="{00000000-0005-0000-0000-0000C2620000}"/>
    <cellStyle name="Input 2 4 6 2 4" xfId="40566" xr:uid="{00000000-0005-0000-0000-0000C3620000}"/>
    <cellStyle name="Input 2 4 6 3" xfId="21072" xr:uid="{00000000-0005-0000-0000-0000C4620000}"/>
    <cellStyle name="Input 2 4 6 3 2" xfId="21073" xr:uid="{00000000-0005-0000-0000-0000C5620000}"/>
    <cellStyle name="Input 2 4 6 4" xfId="21074" xr:uid="{00000000-0005-0000-0000-0000C6620000}"/>
    <cellStyle name="Input 2 4 6 5" xfId="35198" xr:uid="{00000000-0005-0000-0000-0000C7620000}"/>
    <cellStyle name="Input 2 4 6 6" xfId="40569" xr:uid="{00000000-0005-0000-0000-0000C8620000}"/>
    <cellStyle name="Input 2 4 7" xfId="21075" xr:uid="{00000000-0005-0000-0000-0000C9620000}"/>
    <cellStyle name="Input 2 4 7 2" xfId="21076" xr:uid="{00000000-0005-0000-0000-0000CA620000}"/>
    <cellStyle name="Input 2 4 7 2 2" xfId="21077" xr:uid="{00000000-0005-0000-0000-0000CB620000}"/>
    <cellStyle name="Input 2 4 7 2 3" xfId="41482" xr:uid="{00000000-0005-0000-0000-0000CC620000}"/>
    <cellStyle name="Input 2 4 7 3" xfId="21078" xr:uid="{00000000-0005-0000-0000-0000CD620000}"/>
    <cellStyle name="Input 2 4 7 4" xfId="35200" xr:uid="{00000000-0005-0000-0000-0000CE620000}"/>
    <cellStyle name="Input 2 4 7 5" xfId="40565" xr:uid="{00000000-0005-0000-0000-0000CF620000}"/>
    <cellStyle name="Input 2 4 8" xfId="21079" xr:uid="{00000000-0005-0000-0000-0000D0620000}"/>
    <cellStyle name="Input 2 4 8 2" xfId="21080" xr:uid="{00000000-0005-0000-0000-0000D1620000}"/>
    <cellStyle name="Input 2 4 8 3" xfId="35201" xr:uid="{00000000-0005-0000-0000-0000D2620000}"/>
    <cellStyle name="Input 2 4 8 4" xfId="40563" xr:uid="{00000000-0005-0000-0000-0000D3620000}"/>
    <cellStyle name="Input 2 4 9" xfId="21081" xr:uid="{00000000-0005-0000-0000-0000D4620000}"/>
    <cellStyle name="Input 2 5" xfId="21082" xr:uid="{00000000-0005-0000-0000-0000D5620000}"/>
    <cellStyle name="Input 2 5 2" xfId="21083" xr:uid="{00000000-0005-0000-0000-0000D6620000}"/>
    <cellStyle name="Input 2 5 2 2" xfId="21084" xr:uid="{00000000-0005-0000-0000-0000D7620000}"/>
    <cellStyle name="Input 2 5 2 2 2" xfId="21085" xr:uid="{00000000-0005-0000-0000-0000D8620000}"/>
    <cellStyle name="Input 2 5 2 2 2 2" xfId="21086" xr:uid="{00000000-0005-0000-0000-0000D9620000}"/>
    <cellStyle name="Input 2 5 2 2 2 2 2" xfId="35205" xr:uid="{00000000-0005-0000-0000-0000DA620000}"/>
    <cellStyle name="Input 2 5 2 2 2 2 3" xfId="40561" xr:uid="{00000000-0005-0000-0000-0000DB620000}"/>
    <cellStyle name="Input 2 5 2 2 2 3" xfId="35204" xr:uid="{00000000-0005-0000-0000-0000DC620000}"/>
    <cellStyle name="Input 2 5 2 2 2 4" xfId="35752" xr:uid="{00000000-0005-0000-0000-0000DD620000}"/>
    <cellStyle name="Input 2 5 2 2 3" xfId="21087" xr:uid="{00000000-0005-0000-0000-0000DE620000}"/>
    <cellStyle name="Input 2 5 2 2 3 2" xfId="21088" xr:uid="{00000000-0005-0000-0000-0000DF620000}"/>
    <cellStyle name="Input 2 5 2 2 3 2 2" xfId="35207" xr:uid="{00000000-0005-0000-0000-0000E0620000}"/>
    <cellStyle name="Input 2 5 2 2 3 2 3" xfId="40558" xr:uid="{00000000-0005-0000-0000-0000E1620000}"/>
    <cellStyle name="Input 2 5 2 2 3 3" xfId="35206" xr:uid="{00000000-0005-0000-0000-0000E2620000}"/>
    <cellStyle name="Input 2 5 2 2 3 4" xfId="40560" xr:uid="{00000000-0005-0000-0000-0000E3620000}"/>
    <cellStyle name="Input 2 5 2 2 4" xfId="21089" xr:uid="{00000000-0005-0000-0000-0000E4620000}"/>
    <cellStyle name="Input 2 5 2 2 4 2" xfId="35208" xr:uid="{00000000-0005-0000-0000-0000E5620000}"/>
    <cellStyle name="Input 2 5 2 2 4 3" xfId="40557" xr:uid="{00000000-0005-0000-0000-0000E6620000}"/>
    <cellStyle name="Input 2 5 2 2 5" xfId="35203" xr:uid="{00000000-0005-0000-0000-0000E7620000}"/>
    <cellStyle name="Input 2 5 2 2 6" xfId="35753" xr:uid="{00000000-0005-0000-0000-0000E8620000}"/>
    <cellStyle name="Input 2 5 2 3" xfId="21090" xr:uid="{00000000-0005-0000-0000-0000E9620000}"/>
    <cellStyle name="Input 2 5 2 3 2" xfId="21091" xr:uid="{00000000-0005-0000-0000-0000EA620000}"/>
    <cellStyle name="Input 2 5 2 3 2 2" xfId="21092" xr:uid="{00000000-0005-0000-0000-0000EB620000}"/>
    <cellStyle name="Input 2 5 2 3 2 3" xfId="35210" xr:uid="{00000000-0005-0000-0000-0000EC620000}"/>
    <cellStyle name="Input 2 5 2 3 2 4" xfId="40554" xr:uid="{00000000-0005-0000-0000-0000ED620000}"/>
    <cellStyle name="Input 2 5 2 3 3" xfId="21093" xr:uid="{00000000-0005-0000-0000-0000EE620000}"/>
    <cellStyle name="Input 2 5 2 3 4" xfId="35209" xr:uid="{00000000-0005-0000-0000-0000EF620000}"/>
    <cellStyle name="Input 2 5 2 3 5" xfId="40555" xr:uid="{00000000-0005-0000-0000-0000F0620000}"/>
    <cellStyle name="Input 2 5 2 4" xfId="21094" xr:uid="{00000000-0005-0000-0000-0000F1620000}"/>
    <cellStyle name="Input 2 5 2 4 2" xfId="35212" xr:uid="{00000000-0005-0000-0000-0000F2620000}"/>
    <cellStyle name="Input 2 5 2 4 2 2" xfId="40551" xr:uid="{00000000-0005-0000-0000-0000F3620000}"/>
    <cellStyle name="Input 2 5 2 4 3" xfId="35211" xr:uid="{00000000-0005-0000-0000-0000F4620000}"/>
    <cellStyle name="Input 2 5 2 4 4" xfId="40552" xr:uid="{00000000-0005-0000-0000-0000F5620000}"/>
    <cellStyle name="Input 2 5 2 5" xfId="35213" xr:uid="{00000000-0005-0000-0000-0000F6620000}"/>
    <cellStyle name="Input 2 5 2 5 2" xfId="40549" xr:uid="{00000000-0005-0000-0000-0000F7620000}"/>
    <cellStyle name="Input 2 5 2 6" xfId="35202" xr:uid="{00000000-0005-0000-0000-0000F8620000}"/>
    <cellStyle name="Input 2 5 2 7" xfId="35754" xr:uid="{00000000-0005-0000-0000-0000F9620000}"/>
    <cellStyle name="Input 2 5 3" xfId="21095" xr:uid="{00000000-0005-0000-0000-0000FA620000}"/>
    <cellStyle name="Input 2 5 3 2" xfId="21096" xr:uid="{00000000-0005-0000-0000-0000FB620000}"/>
    <cellStyle name="Input 2 5 3 2 2" xfId="21097" xr:uid="{00000000-0005-0000-0000-0000FC620000}"/>
    <cellStyle name="Input 2 5 3 2 2 2" xfId="35217" xr:uid="{00000000-0005-0000-0000-0000FD620000}"/>
    <cellStyle name="Input 2 5 3 2 2 2 2" xfId="40543" xr:uid="{00000000-0005-0000-0000-0000FE620000}"/>
    <cellStyle name="Input 2 5 3 2 2 3" xfId="35216" xr:uid="{00000000-0005-0000-0000-0000FF620000}"/>
    <cellStyle name="Input 2 5 3 2 2 4" xfId="40544" xr:uid="{00000000-0005-0000-0000-000000630000}"/>
    <cellStyle name="Input 2 5 3 2 3" xfId="35218" xr:uid="{00000000-0005-0000-0000-000001630000}"/>
    <cellStyle name="Input 2 5 3 2 3 2" xfId="35219" xr:uid="{00000000-0005-0000-0000-000002630000}"/>
    <cellStyle name="Input 2 5 3 2 3 2 2" xfId="40540" xr:uid="{00000000-0005-0000-0000-000003630000}"/>
    <cellStyle name="Input 2 5 3 2 3 3" xfId="40542" xr:uid="{00000000-0005-0000-0000-000004630000}"/>
    <cellStyle name="Input 2 5 3 2 4" xfId="35220" xr:uid="{00000000-0005-0000-0000-000005630000}"/>
    <cellStyle name="Input 2 5 3 2 4 2" xfId="40539" xr:uid="{00000000-0005-0000-0000-000006630000}"/>
    <cellStyle name="Input 2 5 3 2 5" xfId="35215" xr:uid="{00000000-0005-0000-0000-000007630000}"/>
    <cellStyle name="Input 2 5 3 2 6" xfId="40546" xr:uid="{00000000-0005-0000-0000-000008630000}"/>
    <cellStyle name="Input 2 5 3 3" xfId="21098" xr:uid="{00000000-0005-0000-0000-000009630000}"/>
    <cellStyle name="Input 2 5 3 3 2" xfId="35222" xr:uid="{00000000-0005-0000-0000-00000A630000}"/>
    <cellStyle name="Input 2 5 3 3 2 2" xfId="40536" xr:uid="{00000000-0005-0000-0000-00000B630000}"/>
    <cellStyle name="Input 2 5 3 3 3" xfId="35221" xr:uid="{00000000-0005-0000-0000-00000C630000}"/>
    <cellStyle name="Input 2 5 3 3 4" xfId="40537" xr:uid="{00000000-0005-0000-0000-00000D630000}"/>
    <cellStyle name="Input 2 5 3 4" xfId="35223" xr:uid="{00000000-0005-0000-0000-00000E630000}"/>
    <cellStyle name="Input 2 5 3 4 2" xfId="35224" xr:uid="{00000000-0005-0000-0000-00000F630000}"/>
    <cellStyle name="Input 2 5 3 4 2 2" xfId="40533" xr:uid="{00000000-0005-0000-0000-000010630000}"/>
    <cellStyle name="Input 2 5 3 4 3" xfId="40534" xr:uid="{00000000-0005-0000-0000-000011630000}"/>
    <cellStyle name="Input 2 5 3 5" xfId="35225" xr:uid="{00000000-0005-0000-0000-000012630000}"/>
    <cellStyle name="Input 2 5 3 5 2" xfId="35751" xr:uid="{00000000-0005-0000-0000-000013630000}"/>
    <cellStyle name="Input 2 5 3 6" xfId="35214" xr:uid="{00000000-0005-0000-0000-000014630000}"/>
    <cellStyle name="Input 2 5 3 7" xfId="40547" xr:uid="{00000000-0005-0000-0000-000015630000}"/>
    <cellStyle name="Input 2 5 4" xfId="21099" xr:uid="{00000000-0005-0000-0000-000016630000}"/>
    <cellStyle name="Input 2 5 4 2" xfId="21100" xr:uid="{00000000-0005-0000-0000-000017630000}"/>
    <cellStyle name="Input 2 5 4 2 2" xfId="21101" xr:uid="{00000000-0005-0000-0000-000018630000}"/>
    <cellStyle name="Input 2 5 4 2 2 2" xfId="40528" xr:uid="{00000000-0005-0000-0000-000019630000}"/>
    <cellStyle name="Input 2 5 4 2 3" xfId="40530" xr:uid="{00000000-0005-0000-0000-00001A630000}"/>
    <cellStyle name="Input 2 5 4 3" xfId="21102" xr:uid="{00000000-0005-0000-0000-00001B630000}"/>
    <cellStyle name="Input 2 5 4 3 2" xfId="35226" xr:uid="{00000000-0005-0000-0000-00001C630000}"/>
    <cellStyle name="Input 2 5 4 3 2 2" xfId="40525" xr:uid="{00000000-0005-0000-0000-00001D630000}"/>
    <cellStyle name="Input 2 5 4 3 3" xfId="40527" xr:uid="{00000000-0005-0000-0000-00001E630000}"/>
    <cellStyle name="Input 2 5 4 4" xfId="35227" xr:uid="{00000000-0005-0000-0000-00001F630000}"/>
    <cellStyle name="Input 2 5 4 4 2" xfId="40524" xr:uid="{00000000-0005-0000-0000-000020630000}"/>
    <cellStyle name="Input 2 5 4 5" xfId="40531" xr:uid="{00000000-0005-0000-0000-000021630000}"/>
    <cellStyle name="Input 2 5 5" xfId="21103" xr:uid="{00000000-0005-0000-0000-000022630000}"/>
    <cellStyle name="Input 2 5 5 2" xfId="21104" xr:uid="{00000000-0005-0000-0000-000023630000}"/>
    <cellStyle name="Input 2 5 5 2 2" xfId="21105" xr:uid="{00000000-0005-0000-0000-000024630000}"/>
    <cellStyle name="Input 2 5 5 2 3" xfId="35229" xr:uid="{00000000-0005-0000-0000-000025630000}"/>
    <cellStyle name="Input 2 5 5 2 4" xfId="35749" xr:uid="{00000000-0005-0000-0000-000026630000}"/>
    <cellStyle name="Input 2 5 5 3" xfId="21106" xr:uid="{00000000-0005-0000-0000-000027630000}"/>
    <cellStyle name="Input 2 5 5 3 2" xfId="21107" xr:uid="{00000000-0005-0000-0000-000028630000}"/>
    <cellStyle name="Input 2 5 5 4" xfId="21108" xr:uid="{00000000-0005-0000-0000-000029630000}"/>
    <cellStyle name="Input 2 5 5 5" xfId="35228" xr:uid="{00000000-0005-0000-0000-00002A630000}"/>
    <cellStyle name="Input 2 5 5 6" xfId="35750" xr:uid="{00000000-0005-0000-0000-00002B630000}"/>
    <cellStyle name="Input 2 5 6" xfId="21109" xr:uid="{00000000-0005-0000-0000-00002C630000}"/>
    <cellStyle name="Input 2 5 6 2" xfId="21110" xr:uid="{00000000-0005-0000-0000-00002D630000}"/>
    <cellStyle name="Input 2 5 6 2 2" xfId="21111" xr:uid="{00000000-0005-0000-0000-00002E630000}"/>
    <cellStyle name="Input 2 5 6 2 3" xfId="35231" xr:uid="{00000000-0005-0000-0000-00002F630000}"/>
    <cellStyle name="Input 2 5 6 2 4" xfId="40522" xr:uid="{00000000-0005-0000-0000-000030630000}"/>
    <cellStyle name="Input 2 5 6 3" xfId="21112" xr:uid="{00000000-0005-0000-0000-000031630000}"/>
    <cellStyle name="Input 2 5 6 4" xfId="35230" xr:uid="{00000000-0005-0000-0000-000032630000}"/>
    <cellStyle name="Input 2 5 6 5" xfId="40523" xr:uid="{00000000-0005-0000-0000-000033630000}"/>
    <cellStyle name="Input 2 5 7" xfId="21113" xr:uid="{00000000-0005-0000-0000-000034630000}"/>
    <cellStyle name="Input 2 5 7 2" xfId="21114" xr:uid="{00000000-0005-0000-0000-000035630000}"/>
    <cellStyle name="Input 2 5 7 3" xfId="35232" xr:uid="{00000000-0005-0000-0000-000036630000}"/>
    <cellStyle name="Input 2 5 7 4" xfId="40521" xr:uid="{00000000-0005-0000-0000-000037630000}"/>
    <cellStyle name="Input 2 5 8" xfId="21115" xr:uid="{00000000-0005-0000-0000-000038630000}"/>
    <cellStyle name="Input 2 5 8 2" xfId="35233" xr:uid="{00000000-0005-0000-0000-000039630000}"/>
    <cellStyle name="Input 2 5 8 3" xfId="40519" xr:uid="{00000000-0005-0000-0000-00003A630000}"/>
    <cellStyle name="Input 2 5 9" xfId="40562" xr:uid="{00000000-0005-0000-0000-00003B630000}"/>
    <cellStyle name="Input 2 6" xfId="21116" xr:uid="{00000000-0005-0000-0000-00003C630000}"/>
    <cellStyle name="Input 2 6 2" xfId="21117" xr:uid="{00000000-0005-0000-0000-00003D630000}"/>
    <cellStyle name="Input 2 6 2 2" xfId="21118" xr:uid="{00000000-0005-0000-0000-00003E630000}"/>
    <cellStyle name="Input 2 6 2 2 2" xfId="21119" xr:uid="{00000000-0005-0000-0000-00003F630000}"/>
    <cellStyle name="Input 2 6 2 2 3" xfId="35236" xr:uid="{00000000-0005-0000-0000-000040630000}"/>
    <cellStyle name="Input 2 6 2 2 4" xfId="40515" xr:uid="{00000000-0005-0000-0000-000041630000}"/>
    <cellStyle name="Input 2 6 2 3" xfId="21120" xr:uid="{00000000-0005-0000-0000-000042630000}"/>
    <cellStyle name="Input 2 6 2 3 2" xfId="41483" xr:uid="{00000000-0005-0000-0000-000043630000}"/>
    <cellStyle name="Input 2 6 2 4" xfId="35235" xr:uid="{00000000-0005-0000-0000-000044630000}"/>
    <cellStyle name="Input 2 6 2 5" xfId="40516" xr:uid="{00000000-0005-0000-0000-000045630000}"/>
    <cellStyle name="Input 2 6 3" xfId="21121" xr:uid="{00000000-0005-0000-0000-000046630000}"/>
    <cellStyle name="Input 2 6 3 2" xfId="21122" xr:uid="{00000000-0005-0000-0000-000047630000}"/>
    <cellStyle name="Input 2 6 3 2 2" xfId="21123" xr:uid="{00000000-0005-0000-0000-000048630000}"/>
    <cellStyle name="Input 2 6 3 2 3" xfId="35238" xr:uid="{00000000-0005-0000-0000-000049630000}"/>
    <cellStyle name="Input 2 6 3 2 4" xfId="35747" xr:uid="{00000000-0005-0000-0000-00004A630000}"/>
    <cellStyle name="Input 2 6 3 3" xfId="21124" xr:uid="{00000000-0005-0000-0000-00004B630000}"/>
    <cellStyle name="Input 2 6 3 3 2" xfId="41484" xr:uid="{00000000-0005-0000-0000-00004C630000}"/>
    <cellStyle name="Input 2 6 3 4" xfId="35237" xr:uid="{00000000-0005-0000-0000-00004D630000}"/>
    <cellStyle name="Input 2 6 3 5" xfId="35748" xr:uid="{00000000-0005-0000-0000-00004E630000}"/>
    <cellStyle name="Input 2 6 4" xfId="21125" xr:uid="{00000000-0005-0000-0000-00004F630000}"/>
    <cellStyle name="Input 2 6 4 2" xfId="21126" xr:uid="{00000000-0005-0000-0000-000050630000}"/>
    <cellStyle name="Input 2 6 4 2 2" xfId="21127" xr:uid="{00000000-0005-0000-0000-000051630000}"/>
    <cellStyle name="Input 2 6 4 2 3" xfId="41485" xr:uid="{00000000-0005-0000-0000-000052630000}"/>
    <cellStyle name="Input 2 6 4 3" xfId="21128" xr:uid="{00000000-0005-0000-0000-000053630000}"/>
    <cellStyle name="Input 2 6 4 3 2" xfId="21129" xr:uid="{00000000-0005-0000-0000-000054630000}"/>
    <cellStyle name="Input 2 6 4 4" xfId="21130" xr:uid="{00000000-0005-0000-0000-000055630000}"/>
    <cellStyle name="Input 2 6 4 5" xfId="35239" xr:uid="{00000000-0005-0000-0000-000056630000}"/>
    <cellStyle name="Input 2 6 4 6" xfId="40511" xr:uid="{00000000-0005-0000-0000-000057630000}"/>
    <cellStyle name="Input 2 6 5" xfId="21131" xr:uid="{00000000-0005-0000-0000-000058630000}"/>
    <cellStyle name="Input 2 6 5 2" xfId="21132" xr:uid="{00000000-0005-0000-0000-000059630000}"/>
    <cellStyle name="Input 2 6 5 2 2" xfId="21133" xr:uid="{00000000-0005-0000-0000-00005A630000}"/>
    <cellStyle name="Input 2 6 5 2 3" xfId="41487" xr:uid="{00000000-0005-0000-0000-00005B630000}"/>
    <cellStyle name="Input 2 6 5 3" xfId="21134" xr:uid="{00000000-0005-0000-0000-00005C630000}"/>
    <cellStyle name="Input 2 6 5 4" xfId="41486" xr:uid="{00000000-0005-0000-0000-00005D630000}"/>
    <cellStyle name="Input 2 6 6" xfId="21135" xr:uid="{00000000-0005-0000-0000-00005E630000}"/>
    <cellStyle name="Input 2 6 7" xfId="35234" xr:uid="{00000000-0005-0000-0000-00005F630000}"/>
    <cellStyle name="Input 2 6 8" xfId="40518" xr:uid="{00000000-0005-0000-0000-000060630000}"/>
    <cellStyle name="Input 2 7" xfId="21136" xr:uid="{00000000-0005-0000-0000-000061630000}"/>
    <cellStyle name="Input 2 7 2" xfId="21137" xr:uid="{00000000-0005-0000-0000-000062630000}"/>
    <cellStyle name="Input 2 7 2 2" xfId="21138" xr:uid="{00000000-0005-0000-0000-000063630000}"/>
    <cellStyle name="Input 2 7 2 2 2" xfId="21139" xr:uid="{00000000-0005-0000-0000-000064630000}"/>
    <cellStyle name="Input 2 7 2 2 3" xfId="41488" xr:uid="{00000000-0005-0000-0000-000065630000}"/>
    <cellStyle name="Input 2 7 2 3" xfId="21140" xr:uid="{00000000-0005-0000-0000-000066630000}"/>
    <cellStyle name="Input 2 7 2 3 2" xfId="41489" xr:uid="{00000000-0005-0000-0000-000067630000}"/>
    <cellStyle name="Input 2 7 2 4" xfId="35241" xr:uid="{00000000-0005-0000-0000-000068630000}"/>
    <cellStyle name="Input 2 7 2 5" xfId="40510" xr:uid="{00000000-0005-0000-0000-000069630000}"/>
    <cellStyle name="Input 2 7 3" xfId="21141" xr:uid="{00000000-0005-0000-0000-00006A630000}"/>
    <cellStyle name="Input 2 7 3 2" xfId="21142" xr:uid="{00000000-0005-0000-0000-00006B630000}"/>
    <cellStyle name="Input 2 7 3 2 2" xfId="21143" xr:uid="{00000000-0005-0000-0000-00006C630000}"/>
    <cellStyle name="Input 2 7 3 2 3" xfId="41491" xr:uid="{00000000-0005-0000-0000-00006D630000}"/>
    <cellStyle name="Input 2 7 3 3" xfId="21144" xr:uid="{00000000-0005-0000-0000-00006E630000}"/>
    <cellStyle name="Input 2 7 3 3 2" xfId="41492" xr:uid="{00000000-0005-0000-0000-00006F630000}"/>
    <cellStyle name="Input 2 7 3 4" xfId="41490" xr:uid="{00000000-0005-0000-0000-000070630000}"/>
    <cellStyle name="Input 2 7 4" xfId="21145" xr:uid="{00000000-0005-0000-0000-000071630000}"/>
    <cellStyle name="Input 2 7 4 2" xfId="21146" xr:uid="{00000000-0005-0000-0000-000072630000}"/>
    <cellStyle name="Input 2 7 4 3" xfId="41493" xr:uid="{00000000-0005-0000-0000-000073630000}"/>
    <cellStyle name="Input 2 7 5" xfId="21147" xr:uid="{00000000-0005-0000-0000-000074630000}"/>
    <cellStyle name="Input 2 7 5 2" xfId="41494" xr:uid="{00000000-0005-0000-0000-000075630000}"/>
    <cellStyle name="Input 2 7 6" xfId="35240" xr:uid="{00000000-0005-0000-0000-000076630000}"/>
    <cellStyle name="Input 2 7 7" xfId="35746" xr:uid="{00000000-0005-0000-0000-000077630000}"/>
    <cellStyle name="Input 2 8" xfId="21148" xr:uid="{00000000-0005-0000-0000-000078630000}"/>
    <cellStyle name="Input 2 8 2" xfId="21149" xr:uid="{00000000-0005-0000-0000-000079630000}"/>
    <cellStyle name="Input 2 8 2 2" xfId="21150" xr:uid="{00000000-0005-0000-0000-00007A630000}"/>
    <cellStyle name="Input 2 8 2 3" xfId="35243" xr:uid="{00000000-0005-0000-0000-00007B630000}"/>
    <cellStyle name="Input 2 8 2 4" xfId="40507" xr:uid="{00000000-0005-0000-0000-00007C630000}"/>
    <cellStyle name="Input 2 8 3" xfId="21151" xr:uid="{00000000-0005-0000-0000-00007D630000}"/>
    <cellStyle name="Input 2 8 3 2" xfId="41495" xr:uid="{00000000-0005-0000-0000-00007E630000}"/>
    <cellStyle name="Input 2 8 4" xfId="35242" xr:uid="{00000000-0005-0000-0000-00007F630000}"/>
    <cellStyle name="Input 2 8 5" xfId="40509" xr:uid="{00000000-0005-0000-0000-000080630000}"/>
    <cellStyle name="Input 2 9" xfId="21152" xr:uid="{00000000-0005-0000-0000-000081630000}"/>
    <cellStyle name="Input 2 9 2" xfId="21153" xr:uid="{00000000-0005-0000-0000-000082630000}"/>
    <cellStyle name="Input 2 9 2 2" xfId="21154" xr:uid="{00000000-0005-0000-0000-000083630000}"/>
    <cellStyle name="Input 2 9 2 3" xfId="41496" xr:uid="{00000000-0005-0000-0000-000084630000}"/>
    <cellStyle name="Input 2 9 3" xfId="21155" xr:uid="{00000000-0005-0000-0000-000085630000}"/>
    <cellStyle name="Input 2 9 3 2" xfId="41497" xr:uid="{00000000-0005-0000-0000-000086630000}"/>
    <cellStyle name="Input 2 9 4" xfId="35244" xr:uid="{00000000-0005-0000-0000-000087630000}"/>
    <cellStyle name="Input 2 9 5" xfId="40506" xr:uid="{00000000-0005-0000-0000-000088630000}"/>
    <cellStyle name="Input 20" xfId="21156" xr:uid="{00000000-0005-0000-0000-000089630000}"/>
    <cellStyle name="Input 20 2" xfId="21157" xr:uid="{00000000-0005-0000-0000-00008A630000}"/>
    <cellStyle name="Input 20 2 2" xfId="21158" xr:uid="{00000000-0005-0000-0000-00008B630000}"/>
    <cellStyle name="Input 20 2 3" xfId="41498" xr:uid="{00000000-0005-0000-0000-00008C630000}"/>
    <cellStyle name="Input 20 3" xfId="21159" xr:uid="{00000000-0005-0000-0000-00008D630000}"/>
    <cellStyle name="Input 20 3 2" xfId="41499" xr:uid="{00000000-0005-0000-0000-00008E630000}"/>
    <cellStyle name="Input 20 4" xfId="39332" xr:uid="{00000000-0005-0000-0000-00008F630000}"/>
    <cellStyle name="Input 20 4 2" xfId="41500" xr:uid="{00000000-0005-0000-0000-000090630000}"/>
    <cellStyle name="Input 20 5" xfId="40504" xr:uid="{00000000-0005-0000-0000-000091630000}"/>
    <cellStyle name="Input 21" xfId="21160" xr:uid="{00000000-0005-0000-0000-000092630000}"/>
    <cellStyle name="Input 21 2" xfId="21161" xr:uid="{00000000-0005-0000-0000-000093630000}"/>
    <cellStyle name="Input 21 2 2" xfId="21162" xr:uid="{00000000-0005-0000-0000-000094630000}"/>
    <cellStyle name="Input 21 2 3" xfId="41501" xr:uid="{00000000-0005-0000-0000-000095630000}"/>
    <cellStyle name="Input 21 3" xfId="21163" xr:uid="{00000000-0005-0000-0000-000096630000}"/>
    <cellStyle name="Input 21 3 2" xfId="41502" xr:uid="{00000000-0005-0000-0000-000097630000}"/>
    <cellStyle name="Input 21 4" xfId="39333" xr:uid="{00000000-0005-0000-0000-000098630000}"/>
    <cellStyle name="Input 21 4 2" xfId="41503" xr:uid="{00000000-0005-0000-0000-000099630000}"/>
    <cellStyle name="Input 21 5" xfId="40503" xr:uid="{00000000-0005-0000-0000-00009A630000}"/>
    <cellStyle name="Input 22" xfId="21164" xr:uid="{00000000-0005-0000-0000-00009B630000}"/>
    <cellStyle name="Input 22 2" xfId="21165" xr:uid="{00000000-0005-0000-0000-00009C630000}"/>
    <cellStyle name="Input 22 2 2" xfId="21166" xr:uid="{00000000-0005-0000-0000-00009D630000}"/>
    <cellStyle name="Input 22 2 3" xfId="41504" xr:uid="{00000000-0005-0000-0000-00009E630000}"/>
    <cellStyle name="Input 22 3" xfId="21167" xr:uid="{00000000-0005-0000-0000-00009F630000}"/>
    <cellStyle name="Input 22 3 2" xfId="41505" xr:uid="{00000000-0005-0000-0000-0000A0630000}"/>
    <cellStyle name="Input 22 4" xfId="39334" xr:uid="{00000000-0005-0000-0000-0000A1630000}"/>
    <cellStyle name="Input 22 4 2" xfId="41506" xr:uid="{00000000-0005-0000-0000-0000A2630000}"/>
    <cellStyle name="Input 22 5" xfId="40501" xr:uid="{00000000-0005-0000-0000-0000A3630000}"/>
    <cellStyle name="Input 23" xfId="21168" xr:uid="{00000000-0005-0000-0000-0000A4630000}"/>
    <cellStyle name="Input 23 2" xfId="21169" xr:uid="{00000000-0005-0000-0000-0000A5630000}"/>
    <cellStyle name="Input 23 2 2" xfId="21170" xr:uid="{00000000-0005-0000-0000-0000A6630000}"/>
    <cellStyle name="Input 23 2 3" xfId="41507" xr:uid="{00000000-0005-0000-0000-0000A7630000}"/>
    <cellStyle name="Input 23 3" xfId="21171" xr:uid="{00000000-0005-0000-0000-0000A8630000}"/>
    <cellStyle name="Input 23 3 2" xfId="41508" xr:uid="{00000000-0005-0000-0000-0000A9630000}"/>
    <cellStyle name="Input 23 4" xfId="39335" xr:uid="{00000000-0005-0000-0000-0000AA630000}"/>
    <cellStyle name="Input 23 4 2" xfId="41509" xr:uid="{00000000-0005-0000-0000-0000AB630000}"/>
    <cellStyle name="Input 23 5" xfId="40500" xr:uid="{00000000-0005-0000-0000-0000AC630000}"/>
    <cellStyle name="Input 24" xfId="21172" xr:uid="{00000000-0005-0000-0000-0000AD630000}"/>
    <cellStyle name="Input 24 2" xfId="21173" xr:uid="{00000000-0005-0000-0000-0000AE630000}"/>
    <cellStyle name="Input 24 2 2" xfId="21174" xr:uid="{00000000-0005-0000-0000-0000AF630000}"/>
    <cellStyle name="Input 24 2 3" xfId="41510" xr:uid="{00000000-0005-0000-0000-0000B0630000}"/>
    <cellStyle name="Input 24 3" xfId="21175" xr:uid="{00000000-0005-0000-0000-0000B1630000}"/>
    <cellStyle name="Input 24 3 2" xfId="41511" xr:uid="{00000000-0005-0000-0000-0000B2630000}"/>
    <cellStyle name="Input 24 4" xfId="39336" xr:uid="{00000000-0005-0000-0000-0000B3630000}"/>
    <cellStyle name="Input 24 4 2" xfId="41512" xr:uid="{00000000-0005-0000-0000-0000B4630000}"/>
    <cellStyle name="Input 24 5" xfId="40498" xr:uid="{00000000-0005-0000-0000-0000B5630000}"/>
    <cellStyle name="Input 25" xfId="21176" xr:uid="{00000000-0005-0000-0000-0000B6630000}"/>
    <cellStyle name="Input 25 2" xfId="21177" xr:uid="{00000000-0005-0000-0000-0000B7630000}"/>
    <cellStyle name="Input 25 2 2" xfId="21178" xr:uid="{00000000-0005-0000-0000-0000B8630000}"/>
    <cellStyle name="Input 25 2 3" xfId="41513" xr:uid="{00000000-0005-0000-0000-0000B9630000}"/>
    <cellStyle name="Input 25 3" xfId="21179" xr:uid="{00000000-0005-0000-0000-0000BA630000}"/>
    <cellStyle name="Input 25 3 2" xfId="41514" xr:uid="{00000000-0005-0000-0000-0000BB630000}"/>
    <cellStyle name="Input 25 4" xfId="39337" xr:uid="{00000000-0005-0000-0000-0000BC630000}"/>
    <cellStyle name="Input 25 4 2" xfId="41515" xr:uid="{00000000-0005-0000-0000-0000BD630000}"/>
    <cellStyle name="Input 25 5" xfId="40496" xr:uid="{00000000-0005-0000-0000-0000BE630000}"/>
    <cellStyle name="Input 26" xfId="21180" xr:uid="{00000000-0005-0000-0000-0000BF630000}"/>
    <cellStyle name="Input 26 2" xfId="21181" xr:uid="{00000000-0005-0000-0000-0000C0630000}"/>
    <cellStyle name="Input 26 2 2" xfId="21182" xr:uid="{00000000-0005-0000-0000-0000C1630000}"/>
    <cellStyle name="Input 26 2 3" xfId="41516" xr:uid="{00000000-0005-0000-0000-0000C2630000}"/>
    <cellStyle name="Input 26 3" xfId="21183" xr:uid="{00000000-0005-0000-0000-0000C3630000}"/>
    <cellStyle name="Input 26 3 2" xfId="41517" xr:uid="{00000000-0005-0000-0000-0000C4630000}"/>
    <cellStyle name="Input 26 4" xfId="39338" xr:uid="{00000000-0005-0000-0000-0000C5630000}"/>
    <cellStyle name="Input 26 4 2" xfId="41518" xr:uid="{00000000-0005-0000-0000-0000C6630000}"/>
    <cellStyle name="Input 26 5" xfId="40495" xr:uid="{00000000-0005-0000-0000-0000C7630000}"/>
    <cellStyle name="Input 27" xfId="21184" xr:uid="{00000000-0005-0000-0000-0000C8630000}"/>
    <cellStyle name="Input 27 2" xfId="21185" xr:uid="{00000000-0005-0000-0000-0000C9630000}"/>
    <cellStyle name="Input 27 2 2" xfId="21186" xr:uid="{00000000-0005-0000-0000-0000CA630000}"/>
    <cellStyle name="Input 27 2 3" xfId="41519" xr:uid="{00000000-0005-0000-0000-0000CB630000}"/>
    <cellStyle name="Input 27 3" xfId="21187" xr:uid="{00000000-0005-0000-0000-0000CC630000}"/>
    <cellStyle name="Input 27 3 2" xfId="41520" xr:uid="{00000000-0005-0000-0000-0000CD630000}"/>
    <cellStyle name="Input 27 4" xfId="39339" xr:uid="{00000000-0005-0000-0000-0000CE630000}"/>
    <cellStyle name="Input 27 4 2" xfId="41521" xr:uid="{00000000-0005-0000-0000-0000CF630000}"/>
    <cellStyle name="Input 27 5" xfId="40493" xr:uid="{00000000-0005-0000-0000-0000D0630000}"/>
    <cellStyle name="Input 28" xfId="21188" xr:uid="{00000000-0005-0000-0000-0000D1630000}"/>
    <cellStyle name="Input 28 2" xfId="21189" xr:uid="{00000000-0005-0000-0000-0000D2630000}"/>
    <cellStyle name="Input 28 2 2" xfId="21190" xr:uid="{00000000-0005-0000-0000-0000D3630000}"/>
    <cellStyle name="Input 28 2 3" xfId="41522" xr:uid="{00000000-0005-0000-0000-0000D4630000}"/>
    <cellStyle name="Input 28 3" xfId="21191" xr:uid="{00000000-0005-0000-0000-0000D5630000}"/>
    <cellStyle name="Input 28 3 2" xfId="41523" xr:uid="{00000000-0005-0000-0000-0000D6630000}"/>
    <cellStyle name="Input 28 4" xfId="39340" xr:uid="{00000000-0005-0000-0000-0000D7630000}"/>
    <cellStyle name="Input 28 4 2" xfId="41524" xr:uid="{00000000-0005-0000-0000-0000D8630000}"/>
    <cellStyle name="Input 28 5" xfId="40492" xr:uid="{00000000-0005-0000-0000-0000D9630000}"/>
    <cellStyle name="Input 29" xfId="21192" xr:uid="{00000000-0005-0000-0000-0000DA630000}"/>
    <cellStyle name="Input 29 2" xfId="21193" xr:uid="{00000000-0005-0000-0000-0000DB630000}"/>
    <cellStyle name="Input 29 2 2" xfId="21194" xr:uid="{00000000-0005-0000-0000-0000DC630000}"/>
    <cellStyle name="Input 29 2 3" xfId="41525" xr:uid="{00000000-0005-0000-0000-0000DD630000}"/>
    <cellStyle name="Input 29 3" xfId="21195" xr:uid="{00000000-0005-0000-0000-0000DE630000}"/>
    <cellStyle name="Input 29 3 2" xfId="41526" xr:uid="{00000000-0005-0000-0000-0000DF630000}"/>
    <cellStyle name="Input 29 4" xfId="39341" xr:uid="{00000000-0005-0000-0000-0000E0630000}"/>
    <cellStyle name="Input 29 4 2" xfId="41527" xr:uid="{00000000-0005-0000-0000-0000E1630000}"/>
    <cellStyle name="Input 29 5" xfId="40491" xr:uid="{00000000-0005-0000-0000-0000E2630000}"/>
    <cellStyle name="Input 3" xfId="21196" xr:uid="{00000000-0005-0000-0000-0000E3630000}"/>
    <cellStyle name="Input 3 10" xfId="35245" xr:uid="{00000000-0005-0000-0000-0000E4630000}"/>
    <cellStyle name="Input 3 11" xfId="40489" xr:uid="{00000000-0005-0000-0000-0000E5630000}"/>
    <cellStyle name="Input 3 2" xfId="21197" xr:uid="{00000000-0005-0000-0000-0000E6630000}"/>
    <cellStyle name="Input 3 2 2" xfId="21198" xr:uid="{00000000-0005-0000-0000-0000E7630000}"/>
    <cellStyle name="Input 3 2 2 2" xfId="21199" xr:uid="{00000000-0005-0000-0000-0000E8630000}"/>
    <cellStyle name="Input 3 2 2 2 2" xfId="21200" xr:uid="{00000000-0005-0000-0000-0000E9630000}"/>
    <cellStyle name="Input 3 2 2 2 2 2" xfId="21201" xr:uid="{00000000-0005-0000-0000-0000EA630000}"/>
    <cellStyle name="Input 3 2 2 2 2 3" xfId="41529" xr:uid="{00000000-0005-0000-0000-0000EB630000}"/>
    <cellStyle name="Input 3 2 2 2 3" xfId="21202" xr:uid="{00000000-0005-0000-0000-0000EC630000}"/>
    <cellStyle name="Input 3 2 2 2 3 2" xfId="21203" xr:uid="{00000000-0005-0000-0000-0000ED630000}"/>
    <cellStyle name="Input 3 2 2 2 4" xfId="21204" xr:uid="{00000000-0005-0000-0000-0000EE630000}"/>
    <cellStyle name="Input 3 2 2 2 5" xfId="41528" xr:uid="{00000000-0005-0000-0000-0000EF630000}"/>
    <cellStyle name="Input 3 2 2 3" xfId="21205" xr:uid="{00000000-0005-0000-0000-0000F0630000}"/>
    <cellStyle name="Input 3 2 2 3 2" xfId="21206" xr:uid="{00000000-0005-0000-0000-0000F1630000}"/>
    <cellStyle name="Input 3 2 2 3 2 2" xfId="21207" xr:uid="{00000000-0005-0000-0000-0000F2630000}"/>
    <cellStyle name="Input 3 2 2 3 2 3" xfId="41531" xr:uid="{00000000-0005-0000-0000-0000F3630000}"/>
    <cellStyle name="Input 3 2 2 3 3" xfId="21208" xr:uid="{00000000-0005-0000-0000-0000F4630000}"/>
    <cellStyle name="Input 3 2 2 3 4" xfId="41530" xr:uid="{00000000-0005-0000-0000-0000F5630000}"/>
    <cellStyle name="Input 3 2 2 4" xfId="21209" xr:uid="{00000000-0005-0000-0000-0000F6630000}"/>
    <cellStyle name="Input 3 2 2 5" xfId="40486" xr:uid="{00000000-0005-0000-0000-0000F7630000}"/>
    <cellStyle name="Input 3 2 3" xfId="21210" xr:uid="{00000000-0005-0000-0000-0000F8630000}"/>
    <cellStyle name="Input 3 2 3 2" xfId="21211" xr:uid="{00000000-0005-0000-0000-0000F9630000}"/>
    <cellStyle name="Input 3 2 3 2 2" xfId="21212" xr:uid="{00000000-0005-0000-0000-0000FA630000}"/>
    <cellStyle name="Input 3 2 3 2 3" xfId="41533" xr:uid="{00000000-0005-0000-0000-0000FB630000}"/>
    <cellStyle name="Input 3 2 3 3" xfId="21213" xr:uid="{00000000-0005-0000-0000-0000FC630000}"/>
    <cellStyle name="Input 3 2 3 3 2" xfId="41534" xr:uid="{00000000-0005-0000-0000-0000FD630000}"/>
    <cellStyle name="Input 3 2 3 4" xfId="41532" xr:uid="{00000000-0005-0000-0000-0000FE630000}"/>
    <cellStyle name="Input 3 2 4" xfId="21214" xr:uid="{00000000-0005-0000-0000-0000FF630000}"/>
    <cellStyle name="Input 3 2 4 2" xfId="21215" xr:uid="{00000000-0005-0000-0000-000000640000}"/>
    <cellStyle name="Input 3 2 4 2 2" xfId="21216" xr:uid="{00000000-0005-0000-0000-000001640000}"/>
    <cellStyle name="Input 3 2 4 2 3" xfId="41536" xr:uid="{00000000-0005-0000-0000-000002640000}"/>
    <cellStyle name="Input 3 2 4 3" xfId="21217" xr:uid="{00000000-0005-0000-0000-000003640000}"/>
    <cellStyle name="Input 3 2 4 3 2" xfId="21218" xr:uid="{00000000-0005-0000-0000-000004640000}"/>
    <cellStyle name="Input 3 2 4 4" xfId="21219" xr:uid="{00000000-0005-0000-0000-000005640000}"/>
    <cellStyle name="Input 3 2 4 5" xfId="39342" xr:uid="{00000000-0005-0000-0000-000006640000}"/>
    <cellStyle name="Input 3 2 4 6" xfId="41535" xr:uid="{00000000-0005-0000-0000-000007640000}"/>
    <cellStyle name="Input 3 2 5" xfId="21220" xr:uid="{00000000-0005-0000-0000-000008640000}"/>
    <cellStyle name="Input 3 2 5 2" xfId="21221" xr:uid="{00000000-0005-0000-0000-000009640000}"/>
    <cellStyle name="Input 3 2 5 2 2" xfId="21222" xr:uid="{00000000-0005-0000-0000-00000A640000}"/>
    <cellStyle name="Input 3 2 5 2 3" xfId="41538" xr:uid="{00000000-0005-0000-0000-00000B640000}"/>
    <cellStyle name="Input 3 2 5 3" xfId="21223" xr:uid="{00000000-0005-0000-0000-00000C640000}"/>
    <cellStyle name="Input 3 2 5 4" xfId="39343" xr:uid="{00000000-0005-0000-0000-00000D640000}"/>
    <cellStyle name="Input 3 2 5 5" xfId="41537" xr:uid="{00000000-0005-0000-0000-00000E640000}"/>
    <cellStyle name="Input 3 2 6" xfId="21224" xr:uid="{00000000-0005-0000-0000-00000F640000}"/>
    <cellStyle name="Input 3 2 7" xfId="40488" xr:uid="{00000000-0005-0000-0000-000010640000}"/>
    <cellStyle name="Input 3 3" xfId="21225" xr:uid="{00000000-0005-0000-0000-000011640000}"/>
    <cellStyle name="Input 3 3 2" xfId="21226" xr:uid="{00000000-0005-0000-0000-000012640000}"/>
    <cellStyle name="Input 3 3 2 2" xfId="21227" xr:uid="{00000000-0005-0000-0000-000013640000}"/>
    <cellStyle name="Input 3 3 2 2 2" xfId="21228" xr:uid="{00000000-0005-0000-0000-000014640000}"/>
    <cellStyle name="Input 3 3 2 2 2 2" xfId="21229" xr:uid="{00000000-0005-0000-0000-000015640000}"/>
    <cellStyle name="Input 3 3 2 2 2 3" xfId="41540" xr:uid="{00000000-0005-0000-0000-000016640000}"/>
    <cellStyle name="Input 3 3 2 2 3" xfId="21230" xr:uid="{00000000-0005-0000-0000-000017640000}"/>
    <cellStyle name="Input 3 3 2 2 3 2" xfId="21231" xr:uid="{00000000-0005-0000-0000-000018640000}"/>
    <cellStyle name="Input 3 3 2 2 4" xfId="21232" xr:uid="{00000000-0005-0000-0000-000019640000}"/>
    <cellStyle name="Input 3 3 2 2 5" xfId="41539" xr:uid="{00000000-0005-0000-0000-00001A640000}"/>
    <cellStyle name="Input 3 3 2 3" xfId="21233" xr:uid="{00000000-0005-0000-0000-00001B640000}"/>
    <cellStyle name="Input 3 3 2 3 2" xfId="21234" xr:uid="{00000000-0005-0000-0000-00001C640000}"/>
    <cellStyle name="Input 3 3 2 3 2 2" xfId="21235" xr:uid="{00000000-0005-0000-0000-00001D640000}"/>
    <cellStyle name="Input 3 3 2 3 2 3" xfId="41542" xr:uid="{00000000-0005-0000-0000-00001E640000}"/>
    <cellStyle name="Input 3 3 2 3 3" xfId="21236" xr:uid="{00000000-0005-0000-0000-00001F640000}"/>
    <cellStyle name="Input 3 3 2 3 4" xfId="41541" xr:uid="{00000000-0005-0000-0000-000020640000}"/>
    <cellStyle name="Input 3 3 2 4" xfId="21237" xr:uid="{00000000-0005-0000-0000-000021640000}"/>
    <cellStyle name="Input 3 3 2 5" xfId="40483" xr:uid="{00000000-0005-0000-0000-000022640000}"/>
    <cellStyle name="Input 3 3 3" xfId="21238" xr:uid="{00000000-0005-0000-0000-000023640000}"/>
    <cellStyle name="Input 3 3 3 2" xfId="21239" xr:uid="{00000000-0005-0000-0000-000024640000}"/>
    <cellStyle name="Input 3 3 3 2 2" xfId="21240" xr:uid="{00000000-0005-0000-0000-000025640000}"/>
    <cellStyle name="Input 3 3 3 2 3" xfId="41544" xr:uid="{00000000-0005-0000-0000-000026640000}"/>
    <cellStyle name="Input 3 3 3 3" xfId="21241" xr:uid="{00000000-0005-0000-0000-000027640000}"/>
    <cellStyle name="Input 3 3 3 3 2" xfId="41545" xr:uid="{00000000-0005-0000-0000-000028640000}"/>
    <cellStyle name="Input 3 3 3 4" xfId="41543" xr:uid="{00000000-0005-0000-0000-000029640000}"/>
    <cellStyle name="Input 3 3 4" xfId="21242" xr:uid="{00000000-0005-0000-0000-00002A640000}"/>
    <cellStyle name="Input 3 3 4 2" xfId="21243" xr:uid="{00000000-0005-0000-0000-00002B640000}"/>
    <cellStyle name="Input 3 3 4 2 2" xfId="21244" xr:uid="{00000000-0005-0000-0000-00002C640000}"/>
    <cellStyle name="Input 3 3 4 2 3" xfId="41547" xr:uid="{00000000-0005-0000-0000-00002D640000}"/>
    <cellStyle name="Input 3 3 4 3" xfId="21245" xr:uid="{00000000-0005-0000-0000-00002E640000}"/>
    <cellStyle name="Input 3 3 4 3 2" xfId="21246" xr:uid="{00000000-0005-0000-0000-00002F640000}"/>
    <cellStyle name="Input 3 3 4 4" xfId="21247" xr:uid="{00000000-0005-0000-0000-000030640000}"/>
    <cellStyle name="Input 3 3 4 5" xfId="39344" xr:uid="{00000000-0005-0000-0000-000031640000}"/>
    <cellStyle name="Input 3 3 4 6" xfId="41546" xr:uid="{00000000-0005-0000-0000-000032640000}"/>
    <cellStyle name="Input 3 3 5" xfId="21248" xr:uid="{00000000-0005-0000-0000-000033640000}"/>
    <cellStyle name="Input 3 3 5 2" xfId="21249" xr:uid="{00000000-0005-0000-0000-000034640000}"/>
    <cellStyle name="Input 3 3 5 2 2" xfId="21250" xr:uid="{00000000-0005-0000-0000-000035640000}"/>
    <cellStyle name="Input 3 3 5 2 3" xfId="41549" xr:uid="{00000000-0005-0000-0000-000036640000}"/>
    <cellStyle name="Input 3 3 5 3" xfId="21251" xr:uid="{00000000-0005-0000-0000-000037640000}"/>
    <cellStyle name="Input 3 3 5 4" xfId="39345" xr:uid="{00000000-0005-0000-0000-000038640000}"/>
    <cellStyle name="Input 3 3 5 5" xfId="41548" xr:uid="{00000000-0005-0000-0000-000039640000}"/>
    <cellStyle name="Input 3 3 6" xfId="21252" xr:uid="{00000000-0005-0000-0000-00003A640000}"/>
    <cellStyle name="Input 3 3 7" xfId="40485" xr:uid="{00000000-0005-0000-0000-00003B640000}"/>
    <cellStyle name="Input 3 4" xfId="21253" xr:uid="{00000000-0005-0000-0000-00003C640000}"/>
    <cellStyle name="Input 3 4 2" xfId="21254" xr:uid="{00000000-0005-0000-0000-00003D640000}"/>
    <cellStyle name="Input 3 4 2 2" xfId="21255" xr:uid="{00000000-0005-0000-0000-00003E640000}"/>
    <cellStyle name="Input 3 4 2 2 2" xfId="21256" xr:uid="{00000000-0005-0000-0000-00003F640000}"/>
    <cellStyle name="Input 3 4 2 2 3" xfId="41551" xr:uid="{00000000-0005-0000-0000-000040640000}"/>
    <cellStyle name="Input 3 4 2 3" xfId="21257" xr:uid="{00000000-0005-0000-0000-000041640000}"/>
    <cellStyle name="Input 3 4 2 3 2" xfId="41552" xr:uid="{00000000-0005-0000-0000-000042640000}"/>
    <cellStyle name="Input 3 4 2 4" xfId="41550" xr:uid="{00000000-0005-0000-0000-000043640000}"/>
    <cellStyle name="Input 3 4 3" xfId="21258" xr:uid="{00000000-0005-0000-0000-000044640000}"/>
    <cellStyle name="Input 3 4 3 2" xfId="21259" xr:uid="{00000000-0005-0000-0000-000045640000}"/>
    <cellStyle name="Input 3 4 3 2 2" xfId="21260" xr:uid="{00000000-0005-0000-0000-000046640000}"/>
    <cellStyle name="Input 3 4 3 2 3" xfId="41554" xr:uid="{00000000-0005-0000-0000-000047640000}"/>
    <cellStyle name="Input 3 4 3 3" xfId="21261" xr:uid="{00000000-0005-0000-0000-000048640000}"/>
    <cellStyle name="Input 3 4 3 3 2" xfId="41555" xr:uid="{00000000-0005-0000-0000-000049640000}"/>
    <cellStyle name="Input 3 4 3 4" xfId="41553" xr:uid="{00000000-0005-0000-0000-00004A640000}"/>
    <cellStyle name="Input 3 4 4" xfId="21262" xr:uid="{00000000-0005-0000-0000-00004B640000}"/>
    <cellStyle name="Input 3 4 4 2" xfId="21263" xr:uid="{00000000-0005-0000-0000-00004C640000}"/>
    <cellStyle name="Input 3 4 4 2 2" xfId="21264" xr:uid="{00000000-0005-0000-0000-00004D640000}"/>
    <cellStyle name="Input 3 4 4 2 3" xfId="41557" xr:uid="{00000000-0005-0000-0000-00004E640000}"/>
    <cellStyle name="Input 3 4 4 3" xfId="21265" xr:uid="{00000000-0005-0000-0000-00004F640000}"/>
    <cellStyle name="Input 3 4 4 3 2" xfId="21266" xr:uid="{00000000-0005-0000-0000-000050640000}"/>
    <cellStyle name="Input 3 4 4 4" xfId="21267" xr:uid="{00000000-0005-0000-0000-000051640000}"/>
    <cellStyle name="Input 3 4 4 5" xfId="41556" xr:uid="{00000000-0005-0000-0000-000052640000}"/>
    <cellStyle name="Input 3 4 5" xfId="21268" xr:uid="{00000000-0005-0000-0000-000053640000}"/>
    <cellStyle name="Input 3 4 5 2" xfId="21269" xr:uid="{00000000-0005-0000-0000-000054640000}"/>
    <cellStyle name="Input 3 4 5 2 2" xfId="21270" xr:uid="{00000000-0005-0000-0000-000055640000}"/>
    <cellStyle name="Input 3 4 5 2 3" xfId="41559" xr:uid="{00000000-0005-0000-0000-000056640000}"/>
    <cellStyle name="Input 3 4 5 3" xfId="21271" xr:uid="{00000000-0005-0000-0000-000057640000}"/>
    <cellStyle name="Input 3 4 5 4" xfId="41558" xr:uid="{00000000-0005-0000-0000-000058640000}"/>
    <cellStyle name="Input 3 4 6" xfId="21272" xr:uid="{00000000-0005-0000-0000-000059640000}"/>
    <cellStyle name="Input 3 4 7" xfId="40482" xr:uid="{00000000-0005-0000-0000-00005A640000}"/>
    <cellStyle name="Input 3 5" xfId="21273" xr:uid="{00000000-0005-0000-0000-00005B640000}"/>
    <cellStyle name="Input 3 5 2" xfId="21274" xr:uid="{00000000-0005-0000-0000-00005C640000}"/>
    <cellStyle name="Input 3 5 2 2" xfId="21275" xr:uid="{00000000-0005-0000-0000-00005D640000}"/>
    <cellStyle name="Input 3 5 2 2 2" xfId="21276" xr:uid="{00000000-0005-0000-0000-00005E640000}"/>
    <cellStyle name="Input 3 5 2 2 3" xfId="41562" xr:uid="{00000000-0005-0000-0000-00005F640000}"/>
    <cellStyle name="Input 3 5 2 3" xfId="21277" xr:uid="{00000000-0005-0000-0000-000060640000}"/>
    <cellStyle name="Input 3 5 2 3 2" xfId="41563" xr:uid="{00000000-0005-0000-0000-000061640000}"/>
    <cellStyle name="Input 3 5 2 4" xfId="41561" xr:uid="{00000000-0005-0000-0000-000062640000}"/>
    <cellStyle name="Input 3 5 3" xfId="21278" xr:uid="{00000000-0005-0000-0000-000063640000}"/>
    <cellStyle name="Input 3 5 3 2" xfId="21279" xr:uid="{00000000-0005-0000-0000-000064640000}"/>
    <cellStyle name="Input 3 5 3 2 2" xfId="21280" xr:uid="{00000000-0005-0000-0000-000065640000}"/>
    <cellStyle name="Input 3 5 3 2 3" xfId="41565" xr:uid="{00000000-0005-0000-0000-000066640000}"/>
    <cellStyle name="Input 3 5 3 3" xfId="21281" xr:uid="{00000000-0005-0000-0000-000067640000}"/>
    <cellStyle name="Input 3 5 3 3 2" xfId="41566" xr:uid="{00000000-0005-0000-0000-000068640000}"/>
    <cellStyle name="Input 3 5 3 4" xfId="41564" xr:uid="{00000000-0005-0000-0000-000069640000}"/>
    <cellStyle name="Input 3 5 4" xfId="21282" xr:uid="{00000000-0005-0000-0000-00006A640000}"/>
    <cellStyle name="Input 3 5 4 2" xfId="21283" xr:uid="{00000000-0005-0000-0000-00006B640000}"/>
    <cellStyle name="Input 3 5 4 3" xfId="41567" xr:uid="{00000000-0005-0000-0000-00006C640000}"/>
    <cellStyle name="Input 3 5 5" xfId="21284" xr:uid="{00000000-0005-0000-0000-00006D640000}"/>
    <cellStyle name="Input 3 5 5 2" xfId="41568" xr:uid="{00000000-0005-0000-0000-00006E640000}"/>
    <cellStyle name="Input 3 5 6" xfId="41560" xr:uid="{00000000-0005-0000-0000-00006F640000}"/>
    <cellStyle name="Input 3 6" xfId="21285" xr:uid="{00000000-0005-0000-0000-000070640000}"/>
    <cellStyle name="Input 3 6 2" xfId="21286" xr:uid="{00000000-0005-0000-0000-000071640000}"/>
    <cellStyle name="Input 3 6 2 2" xfId="21287" xr:uid="{00000000-0005-0000-0000-000072640000}"/>
    <cellStyle name="Input 3 6 2 3" xfId="41570" xr:uid="{00000000-0005-0000-0000-000073640000}"/>
    <cellStyle name="Input 3 6 3" xfId="21288" xr:uid="{00000000-0005-0000-0000-000074640000}"/>
    <cellStyle name="Input 3 6 3 2" xfId="41571" xr:uid="{00000000-0005-0000-0000-000075640000}"/>
    <cellStyle name="Input 3 6 4" xfId="41569" xr:uid="{00000000-0005-0000-0000-000076640000}"/>
    <cellStyle name="Input 3 7" xfId="21289" xr:uid="{00000000-0005-0000-0000-000077640000}"/>
    <cellStyle name="Input 3 7 2" xfId="21290" xr:uid="{00000000-0005-0000-0000-000078640000}"/>
    <cellStyle name="Input 3 7 2 2" xfId="21291" xr:uid="{00000000-0005-0000-0000-000079640000}"/>
    <cellStyle name="Input 3 7 2 3" xfId="41573" xr:uid="{00000000-0005-0000-0000-00007A640000}"/>
    <cellStyle name="Input 3 7 3" xfId="21292" xr:uid="{00000000-0005-0000-0000-00007B640000}"/>
    <cellStyle name="Input 3 7 3 2" xfId="41574" xr:uid="{00000000-0005-0000-0000-00007C640000}"/>
    <cellStyle name="Input 3 7 4" xfId="41572" xr:uid="{00000000-0005-0000-0000-00007D640000}"/>
    <cellStyle name="Input 3 8" xfId="21293" xr:uid="{00000000-0005-0000-0000-00007E640000}"/>
    <cellStyle name="Input 3 8 2" xfId="21294" xr:uid="{00000000-0005-0000-0000-00007F640000}"/>
    <cellStyle name="Input 3 8 2 2" xfId="21295" xr:uid="{00000000-0005-0000-0000-000080640000}"/>
    <cellStyle name="Input 3 8 2 3" xfId="41576" xr:uid="{00000000-0005-0000-0000-000081640000}"/>
    <cellStyle name="Input 3 8 3" xfId="21296" xr:uid="{00000000-0005-0000-0000-000082640000}"/>
    <cellStyle name="Input 3 8 3 2" xfId="21297" xr:uid="{00000000-0005-0000-0000-000083640000}"/>
    <cellStyle name="Input 3 8 4" xfId="21298" xr:uid="{00000000-0005-0000-0000-000084640000}"/>
    <cellStyle name="Input 3 8 5" xfId="39346" xr:uid="{00000000-0005-0000-0000-000085640000}"/>
    <cellStyle name="Input 3 8 6" xfId="41575" xr:uid="{00000000-0005-0000-0000-000086640000}"/>
    <cellStyle name="Input 3 9" xfId="21299" xr:uid="{00000000-0005-0000-0000-000087640000}"/>
    <cellStyle name="Input 3 9 2" xfId="21300" xr:uid="{00000000-0005-0000-0000-000088640000}"/>
    <cellStyle name="Input 3 9 2 2" xfId="21301" xr:uid="{00000000-0005-0000-0000-000089640000}"/>
    <cellStyle name="Input 3 9 2 3" xfId="41578" xr:uid="{00000000-0005-0000-0000-00008A640000}"/>
    <cellStyle name="Input 3 9 3" xfId="21302" xr:uid="{00000000-0005-0000-0000-00008B640000}"/>
    <cellStyle name="Input 3 9 4" xfId="39347" xr:uid="{00000000-0005-0000-0000-00008C640000}"/>
    <cellStyle name="Input 3 9 5" xfId="41577" xr:uid="{00000000-0005-0000-0000-00008D640000}"/>
    <cellStyle name="Input 30" xfId="21303" xr:uid="{00000000-0005-0000-0000-00008E640000}"/>
    <cellStyle name="Input 30 2" xfId="21304" xr:uid="{00000000-0005-0000-0000-00008F640000}"/>
    <cellStyle name="Input 30 2 2" xfId="21305" xr:uid="{00000000-0005-0000-0000-000090640000}"/>
    <cellStyle name="Input 30 2 3" xfId="41579" xr:uid="{00000000-0005-0000-0000-000091640000}"/>
    <cellStyle name="Input 30 3" xfId="21306" xr:uid="{00000000-0005-0000-0000-000092640000}"/>
    <cellStyle name="Input 30 3 2" xfId="41580" xr:uid="{00000000-0005-0000-0000-000093640000}"/>
    <cellStyle name="Input 30 4" xfId="39348" xr:uid="{00000000-0005-0000-0000-000094640000}"/>
    <cellStyle name="Input 30 4 2" xfId="41581" xr:uid="{00000000-0005-0000-0000-000095640000}"/>
    <cellStyle name="Input 30 5" xfId="35745" xr:uid="{00000000-0005-0000-0000-000096640000}"/>
    <cellStyle name="Input 31" xfId="21307" xr:uid="{00000000-0005-0000-0000-000097640000}"/>
    <cellStyle name="Input 31 2" xfId="21308" xr:uid="{00000000-0005-0000-0000-000098640000}"/>
    <cellStyle name="Input 31 2 2" xfId="21309" xr:uid="{00000000-0005-0000-0000-000099640000}"/>
    <cellStyle name="Input 31 2 3" xfId="41582" xr:uid="{00000000-0005-0000-0000-00009A640000}"/>
    <cellStyle name="Input 31 3" xfId="21310" xr:uid="{00000000-0005-0000-0000-00009B640000}"/>
    <cellStyle name="Input 31 3 2" xfId="41583" xr:uid="{00000000-0005-0000-0000-00009C640000}"/>
    <cellStyle name="Input 31 4" xfId="39349" xr:uid="{00000000-0005-0000-0000-00009D640000}"/>
    <cellStyle name="Input 31 4 2" xfId="41584" xr:uid="{00000000-0005-0000-0000-00009E640000}"/>
    <cellStyle name="Input 31 5" xfId="40480" xr:uid="{00000000-0005-0000-0000-00009F640000}"/>
    <cellStyle name="Input 32" xfId="21311" xr:uid="{00000000-0005-0000-0000-0000A0640000}"/>
    <cellStyle name="Input 32 2" xfId="21312" xr:uid="{00000000-0005-0000-0000-0000A1640000}"/>
    <cellStyle name="Input 32 2 2" xfId="21313" xr:uid="{00000000-0005-0000-0000-0000A2640000}"/>
    <cellStyle name="Input 32 2 3" xfId="41585" xr:uid="{00000000-0005-0000-0000-0000A3640000}"/>
    <cellStyle name="Input 32 3" xfId="21314" xr:uid="{00000000-0005-0000-0000-0000A4640000}"/>
    <cellStyle name="Input 32 3 2" xfId="41586" xr:uid="{00000000-0005-0000-0000-0000A5640000}"/>
    <cellStyle name="Input 32 4" xfId="39350" xr:uid="{00000000-0005-0000-0000-0000A6640000}"/>
    <cellStyle name="Input 32 4 2" xfId="41587" xr:uid="{00000000-0005-0000-0000-0000A7640000}"/>
    <cellStyle name="Input 32 5" xfId="40479" xr:uid="{00000000-0005-0000-0000-0000A8640000}"/>
    <cellStyle name="Input 33" xfId="21315" xr:uid="{00000000-0005-0000-0000-0000A9640000}"/>
    <cellStyle name="Input 33 2" xfId="21316" xr:uid="{00000000-0005-0000-0000-0000AA640000}"/>
    <cellStyle name="Input 33 2 2" xfId="21317" xr:uid="{00000000-0005-0000-0000-0000AB640000}"/>
    <cellStyle name="Input 33 2 3" xfId="41588" xr:uid="{00000000-0005-0000-0000-0000AC640000}"/>
    <cellStyle name="Input 33 3" xfId="21318" xr:uid="{00000000-0005-0000-0000-0000AD640000}"/>
    <cellStyle name="Input 33 3 2" xfId="41589" xr:uid="{00000000-0005-0000-0000-0000AE640000}"/>
    <cellStyle name="Input 33 4" xfId="39351" xr:uid="{00000000-0005-0000-0000-0000AF640000}"/>
    <cellStyle name="Input 33 4 2" xfId="41590" xr:uid="{00000000-0005-0000-0000-0000B0640000}"/>
    <cellStyle name="Input 33 5" xfId="40477" xr:uid="{00000000-0005-0000-0000-0000B1640000}"/>
    <cellStyle name="Input 34" xfId="21319" xr:uid="{00000000-0005-0000-0000-0000B2640000}"/>
    <cellStyle name="Input 34 2" xfId="21320" xr:uid="{00000000-0005-0000-0000-0000B3640000}"/>
    <cellStyle name="Input 34 2 2" xfId="21321" xr:uid="{00000000-0005-0000-0000-0000B4640000}"/>
    <cellStyle name="Input 34 2 3" xfId="41591" xr:uid="{00000000-0005-0000-0000-0000B5640000}"/>
    <cellStyle name="Input 34 3" xfId="21322" xr:uid="{00000000-0005-0000-0000-0000B6640000}"/>
    <cellStyle name="Input 34 3 2" xfId="41592" xr:uid="{00000000-0005-0000-0000-0000B7640000}"/>
    <cellStyle name="Input 34 4" xfId="39352" xr:uid="{00000000-0005-0000-0000-0000B8640000}"/>
    <cellStyle name="Input 34 4 2" xfId="41593" xr:uid="{00000000-0005-0000-0000-0000B9640000}"/>
    <cellStyle name="Input 34 5" xfId="40476" xr:uid="{00000000-0005-0000-0000-0000BA640000}"/>
    <cellStyle name="Input 35" xfId="21323" xr:uid="{00000000-0005-0000-0000-0000BB640000}"/>
    <cellStyle name="Input 35 2" xfId="21324" xr:uid="{00000000-0005-0000-0000-0000BC640000}"/>
    <cellStyle name="Input 35 2 2" xfId="21325" xr:uid="{00000000-0005-0000-0000-0000BD640000}"/>
    <cellStyle name="Input 35 2 3" xfId="41594" xr:uid="{00000000-0005-0000-0000-0000BE640000}"/>
    <cellStyle name="Input 35 3" xfId="21326" xr:uid="{00000000-0005-0000-0000-0000BF640000}"/>
    <cellStyle name="Input 35 3 2" xfId="41595" xr:uid="{00000000-0005-0000-0000-0000C0640000}"/>
    <cellStyle name="Input 35 4" xfId="39353" xr:uid="{00000000-0005-0000-0000-0000C1640000}"/>
    <cellStyle name="Input 35 4 2" xfId="41596" xr:uid="{00000000-0005-0000-0000-0000C2640000}"/>
    <cellStyle name="Input 35 5" xfId="40474" xr:uid="{00000000-0005-0000-0000-0000C3640000}"/>
    <cellStyle name="Input 36" xfId="21327" xr:uid="{00000000-0005-0000-0000-0000C4640000}"/>
    <cellStyle name="Input 36 2" xfId="21328" xr:uid="{00000000-0005-0000-0000-0000C5640000}"/>
    <cellStyle name="Input 36 2 2" xfId="21329" xr:uid="{00000000-0005-0000-0000-0000C6640000}"/>
    <cellStyle name="Input 36 2 3" xfId="41597" xr:uid="{00000000-0005-0000-0000-0000C7640000}"/>
    <cellStyle name="Input 36 3" xfId="21330" xr:uid="{00000000-0005-0000-0000-0000C8640000}"/>
    <cellStyle name="Input 36 3 2" xfId="41598" xr:uid="{00000000-0005-0000-0000-0000C9640000}"/>
    <cellStyle name="Input 36 4" xfId="39354" xr:uid="{00000000-0005-0000-0000-0000CA640000}"/>
    <cellStyle name="Input 36 4 2" xfId="41599" xr:uid="{00000000-0005-0000-0000-0000CB640000}"/>
    <cellStyle name="Input 36 5" xfId="40473" xr:uid="{00000000-0005-0000-0000-0000CC640000}"/>
    <cellStyle name="Input 37" xfId="21331" xr:uid="{00000000-0005-0000-0000-0000CD640000}"/>
    <cellStyle name="Input 37 2" xfId="21332" xr:uid="{00000000-0005-0000-0000-0000CE640000}"/>
    <cellStyle name="Input 37 2 2" xfId="21333" xr:uid="{00000000-0005-0000-0000-0000CF640000}"/>
    <cellStyle name="Input 37 2 3" xfId="41600" xr:uid="{00000000-0005-0000-0000-0000D0640000}"/>
    <cellStyle name="Input 37 3" xfId="21334" xr:uid="{00000000-0005-0000-0000-0000D1640000}"/>
    <cellStyle name="Input 37 3 2" xfId="41601" xr:uid="{00000000-0005-0000-0000-0000D2640000}"/>
    <cellStyle name="Input 37 4" xfId="39355" xr:uid="{00000000-0005-0000-0000-0000D3640000}"/>
    <cellStyle name="Input 37 4 2" xfId="41602" xr:uid="{00000000-0005-0000-0000-0000D4640000}"/>
    <cellStyle name="Input 37 5" xfId="35744" xr:uid="{00000000-0005-0000-0000-0000D5640000}"/>
    <cellStyle name="Input 38" xfId="21335" xr:uid="{00000000-0005-0000-0000-0000D6640000}"/>
    <cellStyle name="Input 38 2" xfId="21336" xr:uid="{00000000-0005-0000-0000-0000D7640000}"/>
    <cellStyle name="Input 38 2 2" xfId="21337" xr:uid="{00000000-0005-0000-0000-0000D8640000}"/>
    <cellStyle name="Input 38 2 3" xfId="41603" xr:uid="{00000000-0005-0000-0000-0000D9640000}"/>
    <cellStyle name="Input 38 3" xfId="21338" xr:uid="{00000000-0005-0000-0000-0000DA640000}"/>
    <cellStyle name="Input 38 3 2" xfId="41604" xr:uid="{00000000-0005-0000-0000-0000DB640000}"/>
    <cellStyle name="Input 38 4" xfId="39356" xr:uid="{00000000-0005-0000-0000-0000DC640000}"/>
    <cellStyle name="Input 38 4 2" xfId="41605" xr:uid="{00000000-0005-0000-0000-0000DD640000}"/>
    <cellStyle name="Input 38 5" xfId="35743" xr:uid="{00000000-0005-0000-0000-0000DE640000}"/>
    <cellStyle name="Input 39" xfId="21339" xr:uid="{00000000-0005-0000-0000-0000DF640000}"/>
    <cellStyle name="Input 39 2" xfId="21340" xr:uid="{00000000-0005-0000-0000-0000E0640000}"/>
    <cellStyle name="Input 39 2 2" xfId="21341" xr:uid="{00000000-0005-0000-0000-0000E1640000}"/>
    <cellStyle name="Input 39 2 3" xfId="41606" xr:uid="{00000000-0005-0000-0000-0000E2640000}"/>
    <cellStyle name="Input 39 3" xfId="21342" xr:uid="{00000000-0005-0000-0000-0000E3640000}"/>
    <cellStyle name="Input 39 3 2" xfId="41607" xr:uid="{00000000-0005-0000-0000-0000E4640000}"/>
    <cellStyle name="Input 39 4" xfId="39357" xr:uid="{00000000-0005-0000-0000-0000E5640000}"/>
    <cellStyle name="Input 39 4 2" xfId="41608" xr:uid="{00000000-0005-0000-0000-0000E6640000}"/>
    <cellStyle name="Input 39 5" xfId="40472" xr:uid="{00000000-0005-0000-0000-0000E7640000}"/>
    <cellStyle name="Input 4" xfId="21343" xr:uid="{00000000-0005-0000-0000-0000E8640000}"/>
    <cellStyle name="Input 4 10" xfId="21344" xr:uid="{00000000-0005-0000-0000-0000E9640000}"/>
    <cellStyle name="Input 4 10 2" xfId="21345" xr:uid="{00000000-0005-0000-0000-0000EA640000}"/>
    <cellStyle name="Input 4 10 2 2" xfId="21346" xr:uid="{00000000-0005-0000-0000-0000EB640000}"/>
    <cellStyle name="Input 4 10 2 3" xfId="41610" xr:uid="{00000000-0005-0000-0000-0000EC640000}"/>
    <cellStyle name="Input 4 10 3" xfId="21347" xr:uid="{00000000-0005-0000-0000-0000ED640000}"/>
    <cellStyle name="Input 4 10 3 2" xfId="21348" xr:uid="{00000000-0005-0000-0000-0000EE640000}"/>
    <cellStyle name="Input 4 10 4" xfId="21349" xr:uid="{00000000-0005-0000-0000-0000EF640000}"/>
    <cellStyle name="Input 4 10 5" xfId="41609" xr:uid="{00000000-0005-0000-0000-0000F0640000}"/>
    <cellStyle name="Input 4 11" xfId="21350" xr:uid="{00000000-0005-0000-0000-0000F1640000}"/>
    <cellStyle name="Input 4 11 2" xfId="21351" xr:uid="{00000000-0005-0000-0000-0000F2640000}"/>
    <cellStyle name="Input 4 11 2 2" xfId="21352" xr:uid="{00000000-0005-0000-0000-0000F3640000}"/>
    <cellStyle name="Input 4 11 2 3" xfId="41612" xr:uid="{00000000-0005-0000-0000-0000F4640000}"/>
    <cellStyle name="Input 4 11 3" xfId="21353" xr:uid="{00000000-0005-0000-0000-0000F5640000}"/>
    <cellStyle name="Input 4 11 4" xfId="41611" xr:uid="{00000000-0005-0000-0000-0000F6640000}"/>
    <cellStyle name="Input 4 12" xfId="21354" xr:uid="{00000000-0005-0000-0000-0000F7640000}"/>
    <cellStyle name="Input 4 12 2" xfId="21355" xr:uid="{00000000-0005-0000-0000-0000F8640000}"/>
    <cellStyle name="Input 4 12 3" xfId="41613" xr:uid="{00000000-0005-0000-0000-0000F9640000}"/>
    <cellStyle name="Input 4 2" xfId="21356" xr:uid="{00000000-0005-0000-0000-0000FA640000}"/>
    <cellStyle name="Input 4 2 2" xfId="21357" xr:uid="{00000000-0005-0000-0000-0000FB640000}"/>
    <cellStyle name="Input 4 2 2 2" xfId="21358" xr:uid="{00000000-0005-0000-0000-0000FC640000}"/>
    <cellStyle name="Input 4 2 2 2 2" xfId="21359" xr:uid="{00000000-0005-0000-0000-0000FD640000}"/>
    <cellStyle name="Input 4 2 2 2 2 2" xfId="21360" xr:uid="{00000000-0005-0000-0000-0000FE640000}"/>
    <cellStyle name="Input 4 2 2 2 2 3" xfId="41615" xr:uid="{00000000-0005-0000-0000-0000FF640000}"/>
    <cellStyle name="Input 4 2 2 2 3" xfId="21361" xr:uid="{00000000-0005-0000-0000-000000650000}"/>
    <cellStyle name="Input 4 2 2 2 3 2" xfId="21362" xr:uid="{00000000-0005-0000-0000-000001650000}"/>
    <cellStyle name="Input 4 2 2 2 4" xfId="21363" xr:uid="{00000000-0005-0000-0000-000002650000}"/>
    <cellStyle name="Input 4 2 2 2 5" xfId="41614" xr:uid="{00000000-0005-0000-0000-000003650000}"/>
    <cellStyle name="Input 4 2 2 3" xfId="21364" xr:uid="{00000000-0005-0000-0000-000004650000}"/>
    <cellStyle name="Input 4 2 2 3 2" xfId="21365" xr:uid="{00000000-0005-0000-0000-000005650000}"/>
    <cellStyle name="Input 4 2 2 3 2 2" xfId="21366" xr:uid="{00000000-0005-0000-0000-000006650000}"/>
    <cellStyle name="Input 4 2 2 3 2 3" xfId="41617" xr:uid="{00000000-0005-0000-0000-000007650000}"/>
    <cellStyle name="Input 4 2 2 3 3" xfId="21367" xr:uid="{00000000-0005-0000-0000-000008650000}"/>
    <cellStyle name="Input 4 2 2 3 4" xfId="41616" xr:uid="{00000000-0005-0000-0000-000009650000}"/>
    <cellStyle name="Input 4 2 2 4" xfId="21368" xr:uid="{00000000-0005-0000-0000-00000A650000}"/>
    <cellStyle name="Input 4 2 2 5" xfId="40469" xr:uid="{00000000-0005-0000-0000-00000B650000}"/>
    <cellStyle name="Input 4 2 3" xfId="21369" xr:uid="{00000000-0005-0000-0000-00000C650000}"/>
    <cellStyle name="Input 4 2 3 2" xfId="21370" xr:uid="{00000000-0005-0000-0000-00000D650000}"/>
    <cellStyle name="Input 4 2 3 2 2" xfId="21371" xr:uid="{00000000-0005-0000-0000-00000E650000}"/>
    <cellStyle name="Input 4 2 3 2 3" xfId="41619" xr:uid="{00000000-0005-0000-0000-00000F650000}"/>
    <cellStyle name="Input 4 2 3 3" xfId="21372" xr:uid="{00000000-0005-0000-0000-000010650000}"/>
    <cellStyle name="Input 4 2 3 3 2" xfId="41620" xr:uid="{00000000-0005-0000-0000-000011650000}"/>
    <cellStyle name="Input 4 2 3 4" xfId="41618" xr:uid="{00000000-0005-0000-0000-000012650000}"/>
    <cellStyle name="Input 4 2 4" xfId="21373" xr:uid="{00000000-0005-0000-0000-000013650000}"/>
    <cellStyle name="Input 4 2 4 2" xfId="21374" xr:uid="{00000000-0005-0000-0000-000014650000}"/>
    <cellStyle name="Input 4 2 4 2 2" xfId="21375" xr:uid="{00000000-0005-0000-0000-000015650000}"/>
    <cellStyle name="Input 4 2 4 2 3" xfId="41622" xr:uid="{00000000-0005-0000-0000-000016650000}"/>
    <cellStyle name="Input 4 2 4 3" xfId="21376" xr:uid="{00000000-0005-0000-0000-000017650000}"/>
    <cellStyle name="Input 4 2 4 3 2" xfId="21377" xr:uid="{00000000-0005-0000-0000-000018650000}"/>
    <cellStyle name="Input 4 2 4 4" xfId="21378" xr:uid="{00000000-0005-0000-0000-000019650000}"/>
    <cellStyle name="Input 4 2 4 5" xfId="41621" xr:uid="{00000000-0005-0000-0000-00001A650000}"/>
    <cellStyle name="Input 4 2 5" xfId="21379" xr:uid="{00000000-0005-0000-0000-00001B650000}"/>
    <cellStyle name="Input 4 2 5 2" xfId="21380" xr:uid="{00000000-0005-0000-0000-00001C650000}"/>
    <cellStyle name="Input 4 2 5 2 2" xfId="21381" xr:uid="{00000000-0005-0000-0000-00001D650000}"/>
    <cellStyle name="Input 4 2 5 2 3" xfId="41624" xr:uid="{00000000-0005-0000-0000-00001E650000}"/>
    <cellStyle name="Input 4 2 5 3" xfId="21382" xr:uid="{00000000-0005-0000-0000-00001F650000}"/>
    <cellStyle name="Input 4 2 5 4" xfId="41623" xr:uid="{00000000-0005-0000-0000-000020650000}"/>
    <cellStyle name="Input 4 2 6" xfId="21383" xr:uid="{00000000-0005-0000-0000-000021650000}"/>
    <cellStyle name="Input 4 2 7" xfId="40471" xr:uid="{00000000-0005-0000-0000-000022650000}"/>
    <cellStyle name="Input 4 3" xfId="21384" xr:uid="{00000000-0005-0000-0000-000023650000}"/>
    <cellStyle name="Input 4 3 2" xfId="21385" xr:uid="{00000000-0005-0000-0000-000024650000}"/>
    <cellStyle name="Input 4 3 2 2" xfId="21386" xr:uid="{00000000-0005-0000-0000-000025650000}"/>
    <cellStyle name="Input 4 3 2 2 2" xfId="21387" xr:uid="{00000000-0005-0000-0000-000026650000}"/>
    <cellStyle name="Input 4 3 2 2 2 2" xfId="21388" xr:uid="{00000000-0005-0000-0000-000027650000}"/>
    <cellStyle name="Input 4 3 2 2 2 3" xfId="41626" xr:uid="{00000000-0005-0000-0000-000028650000}"/>
    <cellStyle name="Input 4 3 2 2 3" xfId="21389" xr:uid="{00000000-0005-0000-0000-000029650000}"/>
    <cellStyle name="Input 4 3 2 2 3 2" xfId="21390" xr:uid="{00000000-0005-0000-0000-00002A650000}"/>
    <cellStyle name="Input 4 3 2 2 4" xfId="21391" xr:uid="{00000000-0005-0000-0000-00002B650000}"/>
    <cellStyle name="Input 4 3 2 2 5" xfId="41625" xr:uid="{00000000-0005-0000-0000-00002C650000}"/>
    <cellStyle name="Input 4 3 2 3" xfId="21392" xr:uid="{00000000-0005-0000-0000-00002D650000}"/>
    <cellStyle name="Input 4 3 2 3 2" xfId="21393" xr:uid="{00000000-0005-0000-0000-00002E650000}"/>
    <cellStyle name="Input 4 3 2 3 2 2" xfId="21394" xr:uid="{00000000-0005-0000-0000-00002F650000}"/>
    <cellStyle name="Input 4 3 2 3 2 3" xfId="41628" xr:uid="{00000000-0005-0000-0000-000030650000}"/>
    <cellStyle name="Input 4 3 2 3 3" xfId="21395" xr:uid="{00000000-0005-0000-0000-000031650000}"/>
    <cellStyle name="Input 4 3 2 3 4" xfId="41627" xr:uid="{00000000-0005-0000-0000-000032650000}"/>
    <cellStyle name="Input 4 3 2 4" xfId="21396" xr:uid="{00000000-0005-0000-0000-000033650000}"/>
    <cellStyle name="Input 4 3 2 5" xfId="40466" xr:uid="{00000000-0005-0000-0000-000034650000}"/>
    <cellStyle name="Input 4 3 3" xfId="21397" xr:uid="{00000000-0005-0000-0000-000035650000}"/>
    <cellStyle name="Input 4 3 3 2" xfId="21398" xr:uid="{00000000-0005-0000-0000-000036650000}"/>
    <cellStyle name="Input 4 3 3 2 2" xfId="21399" xr:uid="{00000000-0005-0000-0000-000037650000}"/>
    <cellStyle name="Input 4 3 3 2 3" xfId="41630" xr:uid="{00000000-0005-0000-0000-000038650000}"/>
    <cellStyle name="Input 4 3 3 3" xfId="21400" xr:uid="{00000000-0005-0000-0000-000039650000}"/>
    <cellStyle name="Input 4 3 3 3 2" xfId="41631" xr:uid="{00000000-0005-0000-0000-00003A650000}"/>
    <cellStyle name="Input 4 3 3 4" xfId="41629" xr:uid="{00000000-0005-0000-0000-00003B650000}"/>
    <cellStyle name="Input 4 3 4" xfId="21401" xr:uid="{00000000-0005-0000-0000-00003C650000}"/>
    <cellStyle name="Input 4 3 4 2" xfId="21402" xr:uid="{00000000-0005-0000-0000-00003D650000}"/>
    <cellStyle name="Input 4 3 4 2 2" xfId="21403" xr:uid="{00000000-0005-0000-0000-00003E650000}"/>
    <cellStyle name="Input 4 3 4 2 3" xfId="41633" xr:uid="{00000000-0005-0000-0000-00003F650000}"/>
    <cellStyle name="Input 4 3 4 3" xfId="21404" xr:uid="{00000000-0005-0000-0000-000040650000}"/>
    <cellStyle name="Input 4 3 4 3 2" xfId="21405" xr:uid="{00000000-0005-0000-0000-000041650000}"/>
    <cellStyle name="Input 4 3 4 4" xfId="21406" xr:uid="{00000000-0005-0000-0000-000042650000}"/>
    <cellStyle name="Input 4 3 4 5" xfId="41632" xr:uid="{00000000-0005-0000-0000-000043650000}"/>
    <cellStyle name="Input 4 3 5" xfId="21407" xr:uid="{00000000-0005-0000-0000-000044650000}"/>
    <cellStyle name="Input 4 3 5 2" xfId="21408" xr:uid="{00000000-0005-0000-0000-000045650000}"/>
    <cellStyle name="Input 4 3 5 2 2" xfId="21409" xr:uid="{00000000-0005-0000-0000-000046650000}"/>
    <cellStyle name="Input 4 3 5 2 3" xfId="41635" xr:uid="{00000000-0005-0000-0000-000047650000}"/>
    <cellStyle name="Input 4 3 5 3" xfId="21410" xr:uid="{00000000-0005-0000-0000-000048650000}"/>
    <cellStyle name="Input 4 3 5 4" xfId="41634" xr:uid="{00000000-0005-0000-0000-000049650000}"/>
    <cellStyle name="Input 4 3 6" xfId="21411" xr:uid="{00000000-0005-0000-0000-00004A650000}"/>
    <cellStyle name="Input 4 3 7" xfId="40468" xr:uid="{00000000-0005-0000-0000-00004B650000}"/>
    <cellStyle name="Input 4 4" xfId="21412" xr:uid="{00000000-0005-0000-0000-00004C650000}"/>
    <cellStyle name="Input 4 4 2" xfId="21413" xr:uid="{00000000-0005-0000-0000-00004D650000}"/>
    <cellStyle name="Input 4 4 2 2" xfId="21414" xr:uid="{00000000-0005-0000-0000-00004E650000}"/>
    <cellStyle name="Input 4 4 2 2 2" xfId="21415" xr:uid="{00000000-0005-0000-0000-00004F650000}"/>
    <cellStyle name="Input 4 4 2 2 3" xfId="41637" xr:uid="{00000000-0005-0000-0000-000050650000}"/>
    <cellStyle name="Input 4 4 2 3" xfId="21416" xr:uid="{00000000-0005-0000-0000-000051650000}"/>
    <cellStyle name="Input 4 4 2 3 2" xfId="41638" xr:uid="{00000000-0005-0000-0000-000052650000}"/>
    <cellStyle name="Input 4 4 2 4" xfId="41636" xr:uid="{00000000-0005-0000-0000-000053650000}"/>
    <cellStyle name="Input 4 4 3" xfId="21417" xr:uid="{00000000-0005-0000-0000-000054650000}"/>
    <cellStyle name="Input 4 4 3 2" xfId="21418" xr:uid="{00000000-0005-0000-0000-000055650000}"/>
    <cellStyle name="Input 4 4 3 2 2" xfId="21419" xr:uid="{00000000-0005-0000-0000-000056650000}"/>
    <cellStyle name="Input 4 4 3 2 3" xfId="41640" xr:uid="{00000000-0005-0000-0000-000057650000}"/>
    <cellStyle name="Input 4 4 3 3" xfId="21420" xr:uid="{00000000-0005-0000-0000-000058650000}"/>
    <cellStyle name="Input 4 4 3 3 2" xfId="41641" xr:uid="{00000000-0005-0000-0000-000059650000}"/>
    <cellStyle name="Input 4 4 3 4" xfId="41639" xr:uid="{00000000-0005-0000-0000-00005A650000}"/>
    <cellStyle name="Input 4 4 4" xfId="21421" xr:uid="{00000000-0005-0000-0000-00005B650000}"/>
    <cellStyle name="Input 4 4 4 2" xfId="21422" xr:uid="{00000000-0005-0000-0000-00005C650000}"/>
    <cellStyle name="Input 4 4 4 2 2" xfId="21423" xr:uid="{00000000-0005-0000-0000-00005D650000}"/>
    <cellStyle name="Input 4 4 4 2 3" xfId="41643" xr:uid="{00000000-0005-0000-0000-00005E650000}"/>
    <cellStyle name="Input 4 4 4 3" xfId="21424" xr:uid="{00000000-0005-0000-0000-00005F650000}"/>
    <cellStyle name="Input 4 4 4 3 2" xfId="21425" xr:uid="{00000000-0005-0000-0000-000060650000}"/>
    <cellStyle name="Input 4 4 4 4" xfId="21426" xr:uid="{00000000-0005-0000-0000-000061650000}"/>
    <cellStyle name="Input 4 4 4 5" xfId="41642" xr:uid="{00000000-0005-0000-0000-000062650000}"/>
    <cellStyle name="Input 4 4 5" xfId="21427" xr:uid="{00000000-0005-0000-0000-000063650000}"/>
    <cellStyle name="Input 4 4 5 2" xfId="21428" xr:uid="{00000000-0005-0000-0000-000064650000}"/>
    <cellStyle name="Input 4 4 5 2 2" xfId="21429" xr:uid="{00000000-0005-0000-0000-000065650000}"/>
    <cellStyle name="Input 4 4 5 2 3" xfId="41645" xr:uid="{00000000-0005-0000-0000-000066650000}"/>
    <cellStyle name="Input 4 4 5 3" xfId="21430" xr:uid="{00000000-0005-0000-0000-000067650000}"/>
    <cellStyle name="Input 4 4 5 4" xfId="41644" xr:uid="{00000000-0005-0000-0000-000068650000}"/>
    <cellStyle name="Input 4 4 6" xfId="21431" xr:uid="{00000000-0005-0000-0000-000069650000}"/>
    <cellStyle name="Input 4 4 7" xfId="40465" xr:uid="{00000000-0005-0000-0000-00006A650000}"/>
    <cellStyle name="Input 4 5" xfId="21432" xr:uid="{00000000-0005-0000-0000-00006B650000}"/>
    <cellStyle name="Input 4 5 2" xfId="21433" xr:uid="{00000000-0005-0000-0000-00006C650000}"/>
    <cellStyle name="Input 4 5 2 2" xfId="21434" xr:uid="{00000000-0005-0000-0000-00006D650000}"/>
    <cellStyle name="Input 4 5 2 2 2" xfId="21435" xr:uid="{00000000-0005-0000-0000-00006E650000}"/>
    <cellStyle name="Input 4 5 2 2 3" xfId="41648" xr:uid="{00000000-0005-0000-0000-00006F650000}"/>
    <cellStyle name="Input 4 5 2 3" xfId="21436" xr:uid="{00000000-0005-0000-0000-000070650000}"/>
    <cellStyle name="Input 4 5 2 3 2" xfId="41649" xr:uid="{00000000-0005-0000-0000-000071650000}"/>
    <cellStyle name="Input 4 5 2 4" xfId="41647" xr:uid="{00000000-0005-0000-0000-000072650000}"/>
    <cellStyle name="Input 4 5 3" xfId="21437" xr:uid="{00000000-0005-0000-0000-000073650000}"/>
    <cellStyle name="Input 4 5 3 2" xfId="21438" xr:uid="{00000000-0005-0000-0000-000074650000}"/>
    <cellStyle name="Input 4 5 3 2 2" xfId="21439" xr:uid="{00000000-0005-0000-0000-000075650000}"/>
    <cellStyle name="Input 4 5 3 2 3" xfId="41651" xr:uid="{00000000-0005-0000-0000-000076650000}"/>
    <cellStyle name="Input 4 5 3 3" xfId="21440" xr:uid="{00000000-0005-0000-0000-000077650000}"/>
    <cellStyle name="Input 4 5 3 3 2" xfId="41652" xr:uid="{00000000-0005-0000-0000-000078650000}"/>
    <cellStyle name="Input 4 5 3 4" xfId="41650" xr:uid="{00000000-0005-0000-0000-000079650000}"/>
    <cellStyle name="Input 4 5 4" xfId="21441" xr:uid="{00000000-0005-0000-0000-00007A650000}"/>
    <cellStyle name="Input 4 5 4 2" xfId="21442" xr:uid="{00000000-0005-0000-0000-00007B650000}"/>
    <cellStyle name="Input 4 5 4 3" xfId="41653" xr:uid="{00000000-0005-0000-0000-00007C650000}"/>
    <cellStyle name="Input 4 5 5" xfId="21443" xr:uid="{00000000-0005-0000-0000-00007D650000}"/>
    <cellStyle name="Input 4 5 5 2" xfId="41654" xr:uid="{00000000-0005-0000-0000-00007E650000}"/>
    <cellStyle name="Input 4 5 6" xfId="41646" xr:uid="{00000000-0005-0000-0000-00007F650000}"/>
    <cellStyle name="Input 4 6" xfId="21444" xr:uid="{00000000-0005-0000-0000-000080650000}"/>
    <cellStyle name="Input 4 6 2" xfId="21445" xr:uid="{00000000-0005-0000-0000-000081650000}"/>
    <cellStyle name="Input 4 6 2 2" xfId="21446" xr:uid="{00000000-0005-0000-0000-000082650000}"/>
    <cellStyle name="Input 4 6 2 3" xfId="41656" xr:uid="{00000000-0005-0000-0000-000083650000}"/>
    <cellStyle name="Input 4 6 3" xfId="21447" xr:uid="{00000000-0005-0000-0000-000084650000}"/>
    <cellStyle name="Input 4 6 3 2" xfId="41657" xr:uid="{00000000-0005-0000-0000-000085650000}"/>
    <cellStyle name="Input 4 6 4" xfId="41655" xr:uid="{00000000-0005-0000-0000-000086650000}"/>
    <cellStyle name="Input 4 7" xfId="21448" xr:uid="{00000000-0005-0000-0000-000087650000}"/>
    <cellStyle name="Input 4 7 2" xfId="21449" xr:uid="{00000000-0005-0000-0000-000088650000}"/>
    <cellStyle name="Input 4 7 2 2" xfId="21450" xr:uid="{00000000-0005-0000-0000-000089650000}"/>
    <cellStyle name="Input 4 7 2 3" xfId="41659" xr:uid="{00000000-0005-0000-0000-00008A650000}"/>
    <cellStyle name="Input 4 7 3" xfId="21451" xr:uid="{00000000-0005-0000-0000-00008B650000}"/>
    <cellStyle name="Input 4 7 3 2" xfId="41660" xr:uid="{00000000-0005-0000-0000-00008C650000}"/>
    <cellStyle name="Input 4 7 4" xfId="41658" xr:uid="{00000000-0005-0000-0000-00008D650000}"/>
    <cellStyle name="Input 4 8" xfId="21452" xr:uid="{00000000-0005-0000-0000-00008E650000}"/>
    <cellStyle name="Input 4 9" xfId="21453" xr:uid="{00000000-0005-0000-0000-00008F650000}"/>
    <cellStyle name="Input 4 9 2" xfId="21454" xr:uid="{00000000-0005-0000-0000-000090650000}"/>
    <cellStyle name="Input 4 9 2 2" xfId="21455" xr:uid="{00000000-0005-0000-0000-000091650000}"/>
    <cellStyle name="Input 4 9 2 3" xfId="41662" xr:uid="{00000000-0005-0000-0000-000092650000}"/>
    <cellStyle name="Input 4 9 3" xfId="21456" xr:uid="{00000000-0005-0000-0000-000093650000}"/>
    <cellStyle name="Input 4 9 3 2" xfId="41663" xr:uid="{00000000-0005-0000-0000-000094650000}"/>
    <cellStyle name="Input 4 9 4" xfId="41661" xr:uid="{00000000-0005-0000-0000-000095650000}"/>
    <cellStyle name="Input 40" xfId="21457" xr:uid="{00000000-0005-0000-0000-000096650000}"/>
    <cellStyle name="Input 40 2" xfId="21458" xr:uid="{00000000-0005-0000-0000-000097650000}"/>
    <cellStyle name="Input 40 2 2" xfId="21459" xr:uid="{00000000-0005-0000-0000-000098650000}"/>
    <cellStyle name="Input 40 2 3" xfId="41664" xr:uid="{00000000-0005-0000-0000-000099650000}"/>
    <cellStyle name="Input 40 3" xfId="21460" xr:uid="{00000000-0005-0000-0000-00009A650000}"/>
    <cellStyle name="Input 40 3 2" xfId="41665" xr:uid="{00000000-0005-0000-0000-00009B650000}"/>
    <cellStyle name="Input 40 4" xfId="39358" xr:uid="{00000000-0005-0000-0000-00009C650000}"/>
    <cellStyle name="Input 40 4 2" xfId="41666" xr:uid="{00000000-0005-0000-0000-00009D650000}"/>
    <cellStyle name="Input 40 5" xfId="35742" xr:uid="{00000000-0005-0000-0000-00009E650000}"/>
    <cellStyle name="Input 41" xfId="21461" xr:uid="{00000000-0005-0000-0000-00009F650000}"/>
    <cellStyle name="Input 41 2" xfId="21462" xr:uid="{00000000-0005-0000-0000-0000A0650000}"/>
    <cellStyle name="Input 41 2 2" xfId="21463" xr:uid="{00000000-0005-0000-0000-0000A1650000}"/>
    <cellStyle name="Input 41 2 3" xfId="41667" xr:uid="{00000000-0005-0000-0000-0000A2650000}"/>
    <cellStyle name="Input 41 3" xfId="21464" xr:uid="{00000000-0005-0000-0000-0000A3650000}"/>
    <cellStyle name="Input 41 3 2" xfId="41668" xr:uid="{00000000-0005-0000-0000-0000A4650000}"/>
    <cellStyle name="Input 41 4" xfId="39359" xr:uid="{00000000-0005-0000-0000-0000A5650000}"/>
    <cellStyle name="Input 41 4 2" xfId="41669" xr:uid="{00000000-0005-0000-0000-0000A6650000}"/>
    <cellStyle name="Input 41 5" xfId="35741" xr:uid="{00000000-0005-0000-0000-0000A7650000}"/>
    <cellStyle name="Input 42" xfId="21465" xr:uid="{00000000-0005-0000-0000-0000A8650000}"/>
    <cellStyle name="Input 42 2" xfId="21466" xr:uid="{00000000-0005-0000-0000-0000A9650000}"/>
    <cellStyle name="Input 42 2 2" xfId="21467" xr:uid="{00000000-0005-0000-0000-0000AA650000}"/>
    <cellStyle name="Input 42 2 3" xfId="41670" xr:uid="{00000000-0005-0000-0000-0000AB650000}"/>
    <cellStyle name="Input 42 3" xfId="21468" xr:uid="{00000000-0005-0000-0000-0000AC650000}"/>
    <cellStyle name="Input 42 3 2" xfId="41671" xr:uid="{00000000-0005-0000-0000-0000AD650000}"/>
    <cellStyle name="Input 42 4" xfId="39360" xr:uid="{00000000-0005-0000-0000-0000AE650000}"/>
    <cellStyle name="Input 42 4 2" xfId="41672" xr:uid="{00000000-0005-0000-0000-0000AF650000}"/>
    <cellStyle name="Input 42 5" xfId="40461" xr:uid="{00000000-0005-0000-0000-0000B0650000}"/>
    <cellStyle name="Input 43" xfId="21469" xr:uid="{00000000-0005-0000-0000-0000B1650000}"/>
    <cellStyle name="Input 43 2" xfId="21470" xr:uid="{00000000-0005-0000-0000-0000B2650000}"/>
    <cellStyle name="Input 43 2 2" xfId="21471" xr:uid="{00000000-0005-0000-0000-0000B3650000}"/>
    <cellStyle name="Input 43 2 3" xfId="41673" xr:uid="{00000000-0005-0000-0000-0000B4650000}"/>
    <cellStyle name="Input 43 3" xfId="21472" xr:uid="{00000000-0005-0000-0000-0000B5650000}"/>
    <cellStyle name="Input 43 3 2" xfId="41674" xr:uid="{00000000-0005-0000-0000-0000B6650000}"/>
    <cellStyle name="Input 43 4" xfId="39361" xr:uid="{00000000-0005-0000-0000-0000B7650000}"/>
    <cellStyle name="Input 43 4 2" xfId="41675" xr:uid="{00000000-0005-0000-0000-0000B8650000}"/>
    <cellStyle name="Input 43 5" xfId="35740" xr:uid="{00000000-0005-0000-0000-0000B9650000}"/>
    <cellStyle name="Input 44" xfId="21473" xr:uid="{00000000-0005-0000-0000-0000BA650000}"/>
    <cellStyle name="Input 44 2" xfId="21474" xr:uid="{00000000-0005-0000-0000-0000BB650000}"/>
    <cellStyle name="Input 44 2 2" xfId="21475" xr:uid="{00000000-0005-0000-0000-0000BC650000}"/>
    <cellStyle name="Input 44 2 3" xfId="41676" xr:uid="{00000000-0005-0000-0000-0000BD650000}"/>
    <cellStyle name="Input 44 3" xfId="21476" xr:uid="{00000000-0005-0000-0000-0000BE650000}"/>
    <cellStyle name="Input 44 3 2" xfId="41677" xr:uid="{00000000-0005-0000-0000-0000BF650000}"/>
    <cellStyle name="Input 44 4" xfId="39362" xr:uid="{00000000-0005-0000-0000-0000C0650000}"/>
    <cellStyle name="Input 44 4 2" xfId="41678" xr:uid="{00000000-0005-0000-0000-0000C1650000}"/>
    <cellStyle name="Input 44 5" xfId="40460" xr:uid="{00000000-0005-0000-0000-0000C2650000}"/>
    <cellStyle name="Input 45" xfId="21477" xr:uid="{00000000-0005-0000-0000-0000C3650000}"/>
    <cellStyle name="Input 45 2" xfId="21478" xr:uid="{00000000-0005-0000-0000-0000C4650000}"/>
    <cellStyle name="Input 45 2 2" xfId="21479" xr:uid="{00000000-0005-0000-0000-0000C5650000}"/>
    <cellStyle name="Input 45 2 3" xfId="41679" xr:uid="{00000000-0005-0000-0000-0000C6650000}"/>
    <cellStyle name="Input 45 3" xfId="21480" xr:uid="{00000000-0005-0000-0000-0000C7650000}"/>
    <cellStyle name="Input 45 3 2" xfId="41680" xr:uid="{00000000-0005-0000-0000-0000C8650000}"/>
    <cellStyle name="Input 45 4" xfId="39363" xr:uid="{00000000-0005-0000-0000-0000C9650000}"/>
    <cellStyle name="Input 45 4 2" xfId="41681" xr:uid="{00000000-0005-0000-0000-0000CA650000}"/>
    <cellStyle name="Input 45 5" xfId="40458" xr:uid="{00000000-0005-0000-0000-0000CB650000}"/>
    <cellStyle name="Input 46" xfId="21481" xr:uid="{00000000-0005-0000-0000-0000CC650000}"/>
    <cellStyle name="Input 46 2" xfId="21482" xr:uid="{00000000-0005-0000-0000-0000CD650000}"/>
    <cellStyle name="Input 46 2 2" xfId="21483" xr:uid="{00000000-0005-0000-0000-0000CE650000}"/>
    <cellStyle name="Input 46 2 3" xfId="41682" xr:uid="{00000000-0005-0000-0000-0000CF650000}"/>
    <cellStyle name="Input 46 3" xfId="21484" xr:uid="{00000000-0005-0000-0000-0000D0650000}"/>
    <cellStyle name="Input 46 3 2" xfId="41683" xr:uid="{00000000-0005-0000-0000-0000D1650000}"/>
    <cellStyle name="Input 46 4" xfId="39364" xr:uid="{00000000-0005-0000-0000-0000D2650000}"/>
    <cellStyle name="Input 46 4 2" xfId="41684" xr:uid="{00000000-0005-0000-0000-0000D3650000}"/>
    <cellStyle name="Input 46 5" xfId="40455" xr:uid="{00000000-0005-0000-0000-0000D4650000}"/>
    <cellStyle name="Input 47" xfId="21485" xr:uid="{00000000-0005-0000-0000-0000D5650000}"/>
    <cellStyle name="Input 47 2" xfId="21486" xr:uid="{00000000-0005-0000-0000-0000D6650000}"/>
    <cellStyle name="Input 47 2 2" xfId="21487" xr:uid="{00000000-0005-0000-0000-0000D7650000}"/>
    <cellStyle name="Input 47 2 3" xfId="41685" xr:uid="{00000000-0005-0000-0000-0000D8650000}"/>
    <cellStyle name="Input 47 3" xfId="21488" xr:uid="{00000000-0005-0000-0000-0000D9650000}"/>
    <cellStyle name="Input 47 3 2" xfId="41686" xr:uid="{00000000-0005-0000-0000-0000DA650000}"/>
    <cellStyle name="Input 47 4" xfId="39365" xr:uid="{00000000-0005-0000-0000-0000DB650000}"/>
    <cellStyle name="Input 47 4 2" xfId="41687" xr:uid="{00000000-0005-0000-0000-0000DC650000}"/>
    <cellStyle name="Input 47 5" xfId="40454" xr:uid="{00000000-0005-0000-0000-0000DD650000}"/>
    <cellStyle name="Input 48" xfId="21489" xr:uid="{00000000-0005-0000-0000-0000DE650000}"/>
    <cellStyle name="Input 48 2" xfId="21490" xr:uid="{00000000-0005-0000-0000-0000DF650000}"/>
    <cellStyle name="Input 48 2 2" xfId="21491" xr:uid="{00000000-0005-0000-0000-0000E0650000}"/>
    <cellStyle name="Input 48 2 3" xfId="41688" xr:uid="{00000000-0005-0000-0000-0000E1650000}"/>
    <cellStyle name="Input 48 3" xfId="21492" xr:uid="{00000000-0005-0000-0000-0000E2650000}"/>
    <cellStyle name="Input 48 3 2" xfId="41689" xr:uid="{00000000-0005-0000-0000-0000E3650000}"/>
    <cellStyle name="Input 48 4" xfId="39366" xr:uid="{00000000-0005-0000-0000-0000E4650000}"/>
    <cellStyle name="Input 48 4 2" xfId="41690" xr:uid="{00000000-0005-0000-0000-0000E5650000}"/>
    <cellStyle name="Input 48 5" xfId="40452" xr:uid="{00000000-0005-0000-0000-0000E6650000}"/>
    <cellStyle name="Input 49" xfId="21493" xr:uid="{00000000-0005-0000-0000-0000E7650000}"/>
    <cellStyle name="Input 49 2" xfId="21494" xr:uid="{00000000-0005-0000-0000-0000E8650000}"/>
    <cellStyle name="Input 49 2 2" xfId="21495" xr:uid="{00000000-0005-0000-0000-0000E9650000}"/>
    <cellStyle name="Input 49 2 3" xfId="41691" xr:uid="{00000000-0005-0000-0000-0000EA650000}"/>
    <cellStyle name="Input 49 3" xfId="21496" xr:uid="{00000000-0005-0000-0000-0000EB650000}"/>
    <cellStyle name="Input 49 3 2" xfId="41692" xr:uid="{00000000-0005-0000-0000-0000EC650000}"/>
    <cellStyle name="Input 49 4" xfId="39367" xr:uid="{00000000-0005-0000-0000-0000ED650000}"/>
    <cellStyle name="Input 49 4 2" xfId="41693" xr:uid="{00000000-0005-0000-0000-0000EE650000}"/>
    <cellStyle name="Input 49 5" xfId="40451" xr:uid="{00000000-0005-0000-0000-0000EF650000}"/>
    <cellStyle name="Input 5" xfId="21497" xr:uid="{00000000-0005-0000-0000-0000F0650000}"/>
    <cellStyle name="Input 5 10" xfId="21498" xr:uid="{00000000-0005-0000-0000-0000F1650000}"/>
    <cellStyle name="Input 5 10 2" xfId="21499" xr:uid="{00000000-0005-0000-0000-0000F2650000}"/>
    <cellStyle name="Input 5 10 2 2" xfId="21500" xr:uid="{00000000-0005-0000-0000-0000F3650000}"/>
    <cellStyle name="Input 5 10 2 3" xfId="41695" xr:uid="{00000000-0005-0000-0000-0000F4650000}"/>
    <cellStyle name="Input 5 10 3" xfId="21501" xr:uid="{00000000-0005-0000-0000-0000F5650000}"/>
    <cellStyle name="Input 5 10 4" xfId="41694" xr:uid="{00000000-0005-0000-0000-0000F6650000}"/>
    <cellStyle name="Input 5 11" xfId="21502" xr:uid="{00000000-0005-0000-0000-0000F7650000}"/>
    <cellStyle name="Input 5 11 2" xfId="21503" xr:uid="{00000000-0005-0000-0000-0000F8650000}"/>
    <cellStyle name="Input 5 11 3" xfId="41696" xr:uid="{00000000-0005-0000-0000-0000F9650000}"/>
    <cellStyle name="Input 5 2" xfId="21504" xr:uid="{00000000-0005-0000-0000-0000FA650000}"/>
    <cellStyle name="Input 5 2 2" xfId="21505" xr:uid="{00000000-0005-0000-0000-0000FB650000}"/>
    <cellStyle name="Input 5 2 2 2" xfId="21506" xr:uid="{00000000-0005-0000-0000-0000FC650000}"/>
    <cellStyle name="Input 5 2 2 2 2" xfId="21507" xr:uid="{00000000-0005-0000-0000-0000FD650000}"/>
    <cellStyle name="Input 5 2 2 2 2 2" xfId="21508" xr:uid="{00000000-0005-0000-0000-0000FE650000}"/>
    <cellStyle name="Input 5 2 2 2 2 3" xfId="41698" xr:uid="{00000000-0005-0000-0000-0000FF650000}"/>
    <cellStyle name="Input 5 2 2 2 3" xfId="21509" xr:uid="{00000000-0005-0000-0000-000000660000}"/>
    <cellStyle name="Input 5 2 2 2 3 2" xfId="21510" xr:uid="{00000000-0005-0000-0000-000001660000}"/>
    <cellStyle name="Input 5 2 2 2 4" xfId="21511" xr:uid="{00000000-0005-0000-0000-000002660000}"/>
    <cellStyle name="Input 5 2 2 2 5" xfId="41697" xr:uid="{00000000-0005-0000-0000-000003660000}"/>
    <cellStyle name="Input 5 2 2 3" xfId="21512" xr:uid="{00000000-0005-0000-0000-000004660000}"/>
    <cellStyle name="Input 5 2 2 3 2" xfId="21513" xr:uid="{00000000-0005-0000-0000-000005660000}"/>
    <cellStyle name="Input 5 2 2 3 2 2" xfId="21514" xr:uid="{00000000-0005-0000-0000-000006660000}"/>
    <cellStyle name="Input 5 2 2 3 2 3" xfId="41700" xr:uid="{00000000-0005-0000-0000-000007660000}"/>
    <cellStyle name="Input 5 2 2 3 3" xfId="21515" xr:uid="{00000000-0005-0000-0000-000008660000}"/>
    <cellStyle name="Input 5 2 2 3 4" xfId="41699" xr:uid="{00000000-0005-0000-0000-000009660000}"/>
    <cellStyle name="Input 5 2 2 4" xfId="21516" xr:uid="{00000000-0005-0000-0000-00000A660000}"/>
    <cellStyle name="Input 5 2 2 5" xfId="40447" xr:uid="{00000000-0005-0000-0000-00000B660000}"/>
    <cellStyle name="Input 5 2 3" xfId="21517" xr:uid="{00000000-0005-0000-0000-00000C660000}"/>
    <cellStyle name="Input 5 2 3 2" xfId="21518" xr:uid="{00000000-0005-0000-0000-00000D660000}"/>
    <cellStyle name="Input 5 2 3 2 2" xfId="21519" xr:uid="{00000000-0005-0000-0000-00000E660000}"/>
    <cellStyle name="Input 5 2 3 2 3" xfId="41702" xr:uid="{00000000-0005-0000-0000-00000F660000}"/>
    <cellStyle name="Input 5 2 3 3" xfId="21520" xr:uid="{00000000-0005-0000-0000-000010660000}"/>
    <cellStyle name="Input 5 2 3 3 2" xfId="41703" xr:uid="{00000000-0005-0000-0000-000011660000}"/>
    <cellStyle name="Input 5 2 3 4" xfId="41701" xr:uid="{00000000-0005-0000-0000-000012660000}"/>
    <cellStyle name="Input 5 2 4" xfId="21521" xr:uid="{00000000-0005-0000-0000-000013660000}"/>
    <cellStyle name="Input 5 2 4 2" xfId="21522" xr:uid="{00000000-0005-0000-0000-000014660000}"/>
    <cellStyle name="Input 5 2 4 2 2" xfId="21523" xr:uid="{00000000-0005-0000-0000-000015660000}"/>
    <cellStyle name="Input 5 2 4 2 3" xfId="41705" xr:uid="{00000000-0005-0000-0000-000016660000}"/>
    <cellStyle name="Input 5 2 4 3" xfId="21524" xr:uid="{00000000-0005-0000-0000-000017660000}"/>
    <cellStyle name="Input 5 2 4 3 2" xfId="21525" xr:uid="{00000000-0005-0000-0000-000018660000}"/>
    <cellStyle name="Input 5 2 4 4" xfId="21526" xr:uid="{00000000-0005-0000-0000-000019660000}"/>
    <cellStyle name="Input 5 2 4 5" xfId="41704" xr:uid="{00000000-0005-0000-0000-00001A660000}"/>
    <cellStyle name="Input 5 2 5" xfId="21527" xr:uid="{00000000-0005-0000-0000-00001B660000}"/>
    <cellStyle name="Input 5 2 5 2" xfId="21528" xr:uid="{00000000-0005-0000-0000-00001C660000}"/>
    <cellStyle name="Input 5 2 5 2 2" xfId="21529" xr:uid="{00000000-0005-0000-0000-00001D660000}"/>
    <cellStyle name="Input 5 2 5 2 3" xfId="41707" xr:uid="{00000000-0005-0000-0000-00001E660000}"/>
    <cellStyle name="Input 5 2 5 3" xfId="21530" xr:uid="{00000000-0005-0000-0000-00001F660000}"/>
    <cellStyle name="Input 5 2 5 4" xfId="41706" xr:uid="{00000000-0005-0000-0000-000020660000}"/>
    <cellStyle name="Input 5 2 6" xfId="21531" xr:uid="{00000000-0005-0000-0000-000021660000}"/>
    <cellStyle name="Input 5 2 7" xfId="40448" xr:uid="{00000000-0005-0000-0000-000022660000}"/>
    <cellStyle name="Input 5 3" xfId="21532" xr:uid="{00000000-0005-0000-0000-000023660000}"/>
    <cellStyle name="Input 5 3 2" xfId="21533" xr:uid="{00000000-0005-0000-0000-000024660000}"/>
    <cellStyle name="Input 5 3 2 2" xfId="21534" xr:uid="{00000000-0005-0000-0000-000025660000}"/>
    <cellStyle name="Input 5 3 2 2 2" xfId="21535" xr:uid="{00000000-0005-0000-0000-000026660000}"/>
    <cellStyle name="Input 5 3 2 2 2 2" xfId="21536" xr:uid="{00000000-0005-0000-0000-000027660000}"/>
    <cellStyle name="Input 5 3 2 2 2 3" xfId="41709" xr:uid="{00000000-0005-0000-0000-000028660000}"/>
    <cellStyle name="Input 5 3 2 2 3" xfId="21537" xr:uid="{00000000-0005-0000-0000-000029660000}"/>
    <cellStyle name="Input 5 3 2 2 3 2" xfId="21538" xr:uid="{00000000-0005-0000-0000-00002A660000}"/>
    <cellStyle name="Input 5 3 2 2 4" xfId="21539" xr:uid="{00000000-0005-0000-0000-00002B660000}"/>
    <cellStyle name="Input 5 3 2 2 5" xfId="41708" xr:uid="{00000000-0005-0000-0000-00002C660000}"/>
    <cellStyle name="Input 5 3 2 3" xfId="21540" xr:uid="{00000000-0005-0000-0000-00002D660000}"/>
    <cellStyle name="Input 5 3 2 3 2" xfId="21541" xr:uid="{00000000-0005-0000-0000-00002E660000}"/>
    <cellStyle name="Input 5 3 2 3 2 2" xfId="21542" xr:uid="{00000000-0005-0000-0000-00002F660000}"/>
    <cellStyle name="Input 5 3 2 3 2 3" xfId="41711" xr:uid="{00000000-0005-0000-0000-000030660000}"/>
    <cellStyle name="Input 5 3 2 3 3" xfId="21543" xr:uid="{00000000-0005-0000-0000-000031660000}"/>
    <cellStyle name="Input 5 3 2 3 4" xfId="41710" xr:uid="{00000000-0005-0000-0000-000032660000}"/>
    <cellStyle name="Input 5 3 2 4" xfId="21544" xr:uid="{00000000-0005-0000-0000-000033660000}"/>
    <cellStyle name="Input 5 3 2 5" xfId="40444" xr:uid="{00000000-0005-0000-0000-000034660000}"/>
    <cellStyle name="Input 5 3 3" xfId="21545" xr:uid="{00000000-0005-0000-0000-000035660000}"/>
    <cellStyle name="Input 5 3 3 2" xfId="21546" xr:uid="{00000000-0005-0000-0000-000036660000}"/>
    <cellStyle name="Input 5 3 3 2 2" xfId="21547" xr:uid="{00000000-0005-0000-0000-000037660000}"/>
    <cellStyle name="Input 5 3 3 2 3" xfId="41713" xr:uid="{00000000-0005-0000-0000-000038660000}"/>
    <cellStyle name="Input 5 3 3 3" xfId="21548" xr:uid="{00000000-0005-0000-0000-000039660000}"/>
    <cellStyle name="Input 5 3 3 3 2" xfId="41714" xr:uid="{00000000-0005-0000-0000-00003A660000}"/>
    <cellStyle name="Input 5 3 3 4" xfId="41712" xr:uid="{00000000-0005-0000-0000-00003B660000}"/>
    <cellStyle name="Input 5 3 4" xfId="21549" xr:uid="{00000000-0005-0000-0000-00003C660000}"/>
    <cellStyle name="Input 5 3 4 2" xfId="21550" xr:uid="{00000000-0005-0000-0000-00003D660000}"/>
    <cellStyle name="Input 5 3 4 2 2" xfId="21551" xr:uid="{00000000-0005-0000-0000-00003E660000}"/>
    <cellStyle name="Input 5 3 4 2 3" xfId="41716" xr:uid="{00000000-0005-0000-0000-00003F660000}"/>
    <cellStyle name="Input 5 3 4 3" xfId="21552" xr:uid="{00000000-0005-0000-0000-000040660000}"/>
    <cellStyle name="Input 5 3 4 3 2" xfId="21553" xr:uid="{00000000-0005-0000-0000-000041660000}"/>
    <cellStyle name="Input 5 3 4 4" xfId="21554" xr:uid="{00000000-0005-0000-0000-000042660000}"/>
    <cellStyle name="Input 5 3 4 5" xfId="41715" xr:uid="{00000000-0005-0000-0000-000043660000}"/>
    <cellStyle name="Input 5 3 5" xfId="21555" xr:uid="{00000000-0005-0000-0000-000044660000}"/>
    <cellStyle name="Input 5 3 5 2" xfId="21556" xr:uid="{00000000-0005-0000-0000-000045660000}"/>
    <cellStyle name="Input 5 3 5 2 2" xfId="21557" xr:uid="{00000000-0005-0000-0000-000046660000}"/>
    <cellStyle name="Input 5 3 5 2 3" xfId="41718" xr:uid="{00000000-0005-0000-0000-000047660000}"/>
    <cellStyle name="Input 5 3 5 3" xfId="21558" xr:uid="{00000000-0005-0000-0000-000048660000}"/>
    <cellStyle name="Input 5 3 5 4" xfId="41717" xr:uid="{00000000-0005-0000-0000-000049660000}"/>
    <cellStyle name="Input 5 3 6" xfId="21559" xr:uid="{00000000-0005-0000-0000-00004A660000}"/>
    <cellStyle name="Input 5 3 7" xfId="40445" xr:uid="{00000000-0005-0000-0000-00004B660000}"/>
    <cellStyle name="Input 5 4" xfId="21560" xr:uid="{00000000-0005-0000-0000-00004C660000}"/>
    <cellStyle name="Input 5 4 2" xfId="21561" xr:uid="{00000000-0005-0000-0000-00004D660000}"/>
    <cellStyle name="Input 5 4 2 2" xfId="21562" xr:uid="{00000000-0005-0000-0000-00004E660000}"/>
    <cellStyle name="Input 5 4 2 2 2" xfId="21563" xr:uid="{00000000-0005-0000-0000-00004F660000}"/>
    <cellStyle name="Input 5 4 2 2 3" xfId="41720" xr:uid="{00000000-0005-0000-0000-000050660000}"/>
    <cellStyle name="Input 5 4 2 3" xfId="21564" xr:uid="{00000000-0005-0000-0000-000051660000}"/>
    <cellStyle name="Input 5 4 2 3 2" xfId="41721" xr:uid="{00000000-0005-0000-0000-000052660000}"/>
    <cellStyle name="Input 5 4 2 4" xfId="41719" xr:uid="{00000000-0005-0000-0000-000053660000}"/>
    <cellStyle name="Input 5 4 3" xfId="21565" xr:uid="{00000000-0005-0000-0000-000054660000}"/>
    <cellStyle name="Input 5 4 3 2" xfId="21566" xr:uid="{00000000-0005-0000-0000-000055660000}"/>
    <cellStyle name="Input 5 4 3 2 2" xfId="21567" xr:uid="{00000000-0005-0000-0000-000056660000}"/>
    <cellStyle name="Input 5 4 3 2 3" xfId="41723" xr:uid="{00000000-0005-0000-0000-000057660000}"/>
    <cellStyle name="Input 5 4 3 3" xfId="21568" xr:uid="{00000000-0005-0000-0000-000058660000}"/>
    <cellStyle name="Input 5 4 3 3 2" xfId="41724" xr:uid="{00000000-0005-0000-0000-000059660000}"/>
    <cellStyle name="Input 5 4 3 4" xfId="41722" xr:uid="{00000000-0005-0000-0000-00005A660000}"/>
    <cellStyle name="Input 5 4 4" xfId="21569" xr:uid="{00000000-0005-0000-0000-00005B660000}"/>
    <cellStyle name="Input 5 4 4 2" xfId="21570" xr:uid="{00000000-0005-0000-0000-00005C660000}"/>
    <cellStyle name="Input 5 4 4 2 2" xfId="21571" xr:uid="{00000000-0005-0000-0000-00005D660000}"/>
    <cellStyle name="Input 5 4 4 2 3" xfId="41726" xr:uid="{00000000-0005-0000-0000-00005E660000}"/>
    <cellStyle name="Input 5 4 4 3" xfId="21572" xr:uid="{00000000-0005-0000-0000-00005F660000}"/>
    <cellStyle name="Input 5 4 4 3 2" xfId="21573" xr:uid="{00000000-0005-0000-0000-000060660000}"/>
    <cellStyle name="Input 5 4 4 4" xfId="21574" xr:uid="{00000000-0005-0000-0000-000061660000}"/>
    <cellStyle name="Input 5 4 4 5" xfId="41725" xr:uid="{00000000-0005-0000-0000-000062660000}"/>
    <cellStyle name="Input 5 4 5" xfId="21575" xr:uid="{00000000-0005-0000-0000-000063660000}"/>
    <cellStyle name="Input 5 4 5 2" xfId="21576" xr:uid="{00000000-0005-0000-0000-000064660000}"/>
    <cellStyle name="Input 5 4 5 2 2" xfId="21577" xr:uid="{00000000-0005-0000-0000-000065660000}"/>
    <cellStyle name="Input 5 4 5 2 3" xfId="41728" xr:uid="{00000000-0005-0000-0000-000066660000}"/>
    <cellStyle name="Input 5 4 5 3" xfId="21578" xr:uid="{00000000-0005-0000-0000-000067660000}"/>
    <cellStyle name="Input 5 4 5 4" xfId="41727" xr:uid="{00000000-0005-0000-0000-000068660000}"/>
    <cellStyle name="Input 5 4 6" xfId="21579" xr:uid="{00000000-0005-0000-0000-000069660000}"/>
    <cellStyle name="Input 5 4 7" xfId="40443" xr:uid="{00000000-0005-0000-0000-00006A660000}"/>
    <cellStyle name="Input 5 5" xfId="21580" xr:uid="{00000000-0005-0000-0000-00006B660000}"/>
    <cellStyle name="Input 5 5 2" xfId="21581" xr:uid="{00000000-0005-0000-0000-00006C660000}"/>
    <cellStyle name="Input 5 5 2 2" xfId="21582" xr:uid="{00000000-0005-0000-0000-00006D660000}"/>
    <cellStyle name="Input 5 5 2 2 2" xfId="21583" xr:uid="{00000000-0005-0000-0000-00006E660000}"/>
    <cellStyle name="Input 5 5 2 2 3" xfId="41731" xr:uid="{00000000-0005-0000-0000-00006F660000}"/>
    <cellStyle name="Input 5 5 2 3" xfId="21584" xr:uid="{00000000-0005-0000-0000-000070660000}"/>
    <cellStyle name="Input 5 5 2 3 2" xfId="41732" xr:uid="{00000000-0005-0000-0000-000071660000}"/>
    <cellStyle name="Input 5 5 2 4" xfId="41730" xr:uid="{00000000-0005-0000-0000-000072660000}"/>
    <cellStyle name="Input 5 5 3" xfId="21585" xr:uid="{00000000-0005-0000-0000-000073660000}"/>
    <cellStyle name="Input 5 5 3 2" xfId="21586" xr:uid="{00000000-0005-0000-0000-000074660000}"/>
    <cellStyle name="Input 5 5 3 2 2" xfId="21587" xr:uid="{00000000-0005-0000-0000-000075660000}"/>
    <cellStyle name="Input 5 5 3 2 3" xfId="41734" xr:uid="{00000000-0005-0000-0000-000076660000}"/>
    <cellStyle name="Input 5 5 3 3" xfId="21588" xr:uid="{00000000-0005-0000-0000-000077660000}"/>
    <cellStyle name="Input 5 5 3 3 2" xfId="41735" xr:uid="{00000000-0005-0000-0000-000078660000}"/>
    <cellStyle name="Input 5 5 3 4" xfId="41733" xr:uid="{00000000-0005-0000-0000-000079660000}"/>
    <cellStyle name="Input 5 5 4" xfId="21589" xr:uid="{00000000-0005-0000-0000-00007A660000}"/>
    <cellStyle name="Input 5 5 4 2" xfId="21590" xr:uid="{00000000-0005-0000-0000-00007B660000}"/>
    <cellStyle name="Input 5 5 4 3" xfId="41736" xr:uid="{00000000-0005-0000-0000-00007C660000}"/>
    <cellStyle name="Input 5 5 5" xfId="21591" xr:uid="{00000000-0005-0000-0000-00007D660000}"/>
    <cellStyle name="Input 5 5 5 2" xfId="41737" xr:uid="{00000000-0005-0000-0000-00007E660000}"/>
    <cellStyle name="Input 5 5 6" xfId="41729" xr:uid="{00000000-0005-0000-0000-00007F660000}"/>
    <cellStyle name="Input 5 6" xfId="21592" xr:uid="{00000000-0005-0000-0000-000080660000}"/>
    <cellStyle name="Input 5 6 2" xfId="21593" xr:uid="{00000000-0005-0000-0000-000081660000}"/>
    <cellStyle name="Input 5 6 2 2" xfId="21594" xr:uid="{00000000-0005-0000-0000-000082660000}"/>
    <cellStyle name="Input 5 6 2 3" xfId="41739" xr:uid="{00000000-0005-0000-0000-000083660000}"/>
    <cellStyle name="Input 5 6 3" xfId="21595" xr:uid="{00000000-0005-0000-0000-000084660000}"/>
    <cellStyle name="Input 5 6 3 2" xfId="41740" xr:uid="{00000000-0005-0000-0000-000085660000}"/>
    <cellStyle name="Input 5 6 4" xfId="41738" xr:uid="{00000000-0005-0000-0000-000086660000}"/>
    <cellStyle name="Input 5 7" xfId="21596" xr:uid="{00000000-0005-0000-0000-000087660000}"/>
    <cellStyle name="Input 5 7 2" xfId="21597" xr:uid="{00000000-0005-0000-0000-000088660000}"/>
    <cellStyle name="Input 5 7 2 2" xfId="21598" xr:uid="{00000000-0005-0000-0000-000089660000}"/>
    <cellStyle name="Input 5 7 2 3" xfId="41742" xr:uid="{00000000-0005-0000-0000-00008A660000}"/>
    <cellStyle name="Input 5 7 3" xfId="21599" xr:uid="{00000000-0005-0000-0000-00008B660000}"/>
    <cellStyle name="Input 5 7 3 2" xfId="41743" xr:uid="{00000000-0005-0000-0000-00008C660000}"/>
    <cellStyle name="Input 5 7 4" xfId="41741" xr:uid="{00000000-0005-0000-0000-00008D660000}"/>
    <cellStyle name="Input 5 8" xfId="21600" xr:uid="{00000000-0005-0000-0000-00008E660000}"/>
    <cellStyle name="Input 5 9" xfId="21601" xr:uid="{00000000-0005-0000-0000-00008F660000}"/>
    <cellStyle name="Input 5 9 2" xfId="21602" xr:uid="{00000000-0005-0000-0000-000090660000}"/>
    <cellStyle name="Input 5 9 2 2" xfId="21603" xr:uid="{00000000-0005-0000-0000-000091660000}"/>
    <cellStyle name="Input 5 9 2 3" xfId="41745" xr:uid="{00000000-0005-0000-0000-000092660000}"/>
    <cellStyle name="Input 5 9 3" xfId="21604" xr:uid="{00000000-0005-0000-0000-000093660000}"/>
    <cellStyle name="Input 5 9 3 2" xfId="21605" xr:uid="{00000000-0005-0000-0000-000094660000}"/>
    <cellStyle name="Input 5 9 4" xfId="21606" xr:uid="{00000000-0005-0000-0000-000095660000}"/>
    <cellStyle name="Input 5 9 5" xfId="41744" xr:uid="{00000000-0005-0000-0000-000096660000}"/>
    <cellStyle name="Input 50" xfId="21607" xr:uid="{00000000-0005-0000-0000-000097660000}"/>
    <cellStyle name="Input 50 2" xfId="21608" xr:uid="{00000000-0005-0000-0000-000098660000}"/>
    <cellStyle name="Input 50 2 2" xfId="21609" xr:uid="{00000000-0005-0000-0000-000099660000}"/>
    <cellStyle name="Input 50 2 3" xfId="41746" xr:uid="{00000000-0005-0000-0000-00009A660000}"/>
    <cellStyle name="Input 50 3" xfId="21610" xr:uid="{00000000-0005-0000-0000-00009B660000}"/>
    <cellStyle name="Input 50 3 2" xfId="41747" xr:uid="{00000000-0005-0000-0000-00009C660000}"/>
    <cellStyle name="Input 50 4" xfId="39368" xr:uid="{00000000-0005-0000-0000-00009D660000}"/>
    <cellStyle name="Input 50 4 2" xfId="41748" xr:uid="{00000000-0005-0000-0000-00009E660000}"/>
    <cellStyle name="Input 50 5" xfId="40442" xr:uid="{00000000-0005-0000-0000-00009F660000}"/>
    <cellStyle name="Input 51" xfId="21611" xr:uid="{00000000-0005-0000-0000-0000A0660000}"/>
    <cellStyle name="Input 51 2" xfId="21612" xr:uid="{00000000-0005-0000-0000-0000A1660000}"/>
    <cellStyle name="Input 51 2 2" xfId="21613" xr:uid="{00000000-0005-0000-0000-0000A2660000}"/>
    <cellStyle name="Input 51 2 3" xfId="41749" xr:uid="{00000000-0005-0000-0000-0000A3660000}"/>
    <cellStyle name="Input 51 3" xfId="21614" xr:uid="{00000000-0005-0000-0000-0000A4660000}"/>
    <cellStyle name="Input 51 3 2" xfId="41750" xr:uid="{00000000-0005-0000-0000-0000A5660000}"/>
    <cellStyle name="Input 51 4" xfId="39369" xr:uid="{00000000-0005-0000-0000-0000A6660000}"/>
    <cellStyle name="Input 51 4 2" xfId="41751" xr:uid="{00000000-0005-0000-0000-0000A7660000}"/>
    <cellStyle name="Input 51 5" xfId="40440" xr:uid="{00000000-0005-0000-0000-0000A8660000}"/>
    <cellStyle name="Input 52" xfId="21615" xr:uid="{00000000-0005-0000-0000-0000A9660000}"/>
    <cellStyle name="Input 52 2" xfId="21616" xr:uid="{00000000-0005-0000-0000-0000AA660000}"/>
    <cellStyle name="Input 52 2 2" xfId="21617" xr:uid="{00000000-0005-0000-0000-0000AB660000}"/>
    <cellStyle name="Input 52 2 3" xfId="41752" xr:uid="{00000000-0005-0000-0000-0000AC660000}"/>
    <cellStyle name="Input 52 3" xfId="21618" xr:uid="{00000000-0005-0000-0000-0000AD660000}"/>
    <cellStyle name="Input 52 3 2" xfId="41753" xr:uid="{00000000-0005-0000-0000-0000AE660000}"/>
    <cellStyle name="Input 52 4" xfId="39370" xr:uid="{00000000-0005-0000-0000-0000AF660000}"/>
    <cellStyle name="Input 52 4 2" xfId="41754" xr:uid="{00000000-0005-0000-0000-0000B0660000}"/>
    <cellStyle name="Input 52 5" xfId="40437" xr:uid="{00000000-0005-0000-0000-0000B1660000}"/>
    <cellStyle name="Input 53" xfId="21619" xr:uid="{00000000-0005-0000-0000-0000B2660000}"/>
    <cellStyle name="Input 53 2" xfId="21620" xr:uid="{00000000-0005-0000-0000-0000B3660000}"/>
    <cellStyle name="Input 53 2 2" xfId="21621" xr:uid="{00000000-0005-0000-0000-0000B4660000}"/>
    <cellStyle name="Input 53 2 3" xfId="41755" xr:uid="{00000000-0005-0000-0000-0000B5660000}"/>
    <cellStyle name="Input 53 3" xfId="21622" xr:uid="{00000000-0005-0000-0000-0000B6660000}"/>
    <cellStyle name="Input 53 3 2" xfId="39371" xr:uid="{00000000-0005-0000-0000-0000B7660000}"/>
    <cellStyle name="Input 53 3 3" xfId="41756" xr:uid="{00000000-0005-0000-0000-0000B8660000}"/>
    <cellStyle name="Input 53 4" xfId="40436" xr:uid="{00000000-0005-0000-0000-0000B9660000}"/>
    <cellStyle name="Input 54" xfId="21623" xr:uid="{00000000-0005-0000-0000-0000BA660000}"/>
    <cellStyle name="Input 54 2" xfId="21624" xr:uid="{00000000-0005-0000-0000-0000BB660000}"/>
    <cellStyle name="Input 54 2 2" xfId="21625" xr:uid="{00000000-0005-0000-0000-0000BC660000}"/>
    <cellStyle name="Input 54 2 3" xfId="41758" xr:uid="{00000000-0005-0000-0000-0000BD660000}"/>
    <cellStyle name="Input 54 3" xfId="21626" xr:uid="{00000000-0005-0000-0000-0000BE660000}"/>
    <cellStyle name="Input 54 3 2" xfId="41759" xr:uid="{00000000-0005-0000-0000-0000BF660000}"/>
    <cellStyle name="Input 54 4" xfId="41757" xr:uid="{00000000-0005-0000-0000-0000C0660000}"/>
    <cellStyle name="Input 55" xfId="21627" xr:uid="{00000000-0005-0000-0000-0000C1660000}"/>
    <cellStyle name="Input 55 2" xfId="21628" xr:uid="{00000000-0005-0000-0000-0000C2660000}"/>
    <cellStyle name="Input 55 2 2" xfId="21629" xr:uid="{00000000-0005-0000-0000-0000C3660000}"/>
    <cellStyle name="Input 55 2 3" xfId="41761" xr:uid="{00000000-0005-0000-0000-0000C4660000}"/>
    <cellStyle name="Input 55 3" xfId="21630" xr:uid="{00000000-0005-0000-0000-0000C5660000}"/>
    <cellStyle name="Input 55 3 2" xfId="41762" xr:uid="{00000000-0005-0000-0000-0000C6660000}"/>
    <cellStyle name="Input 55 4" xfId="41760" xr:uid="{00000000-0005-0000-0000-0000C7660000}"/>
    <cellStyle name="Input 56" xfId="21631" xr:uid="{00000000-0005-0000-0000-0000C8660000}"/>
    <cellStyle name="Input 56 2" xfId="21632" xr:uid="{00000000-0005-0000-0000-0000C9660000}"/>
    <cellStyle name="Input 56 2 2" xfId="21633" xr:uid="{00000000-0005-0000-0000-0000CA660000}"/>
    <cellStyle name="Input 56 2 3" xfId="41764" xr:uid="{00000000-0005-0000-0000-0000CB660000}"/>
    <cellStyle name="Input 56 3" xfId="21634" xr:uid="{00000000-0005-0000-0000-0000CC660000}"/>
    <cellStyle name="Input 56 3 2" xfId="41765" xr:uid="{00000000-0005-0000-0000-0000CD660000}"/>
    <cellStyle name="Input 56 4" xfId="41763" xr:uid="{00000000-0005-0000-0000-0000CE660000}"/>
    <cellStyle name="Input 57" xfId="21635" xr:uid="{00000000-0005-0000-0000-0000CF660000}"/>
    <cellStyle name="Input 57 2" xfId="21636" xr:uid="{00000000-0005-0000-0000-0000D0660000}"/>
    <cellStyle name="Input 57 2 2" xfId="21637" xr:uid="{00000000-0005-0000-0000-0000D1660000}"/>
    <cellStyle name="Input 57 2 3" xfId="41767" xr:uid="{00000000-0005-0000-0000-0000D2660000}"/>
    <cellStyle name="Input 57 3" xfId="21638" xr:uid="{00000000-0005-0000-0000-0000D3660000}"/>
    <cellStyle name="Input 57 3 2" xfId="41768" xr:uid="{00000000-0005-0000-0000-0000D4660000}"/>
    <cellStyle name="Input 57 4" xfId="41766" xr:uid="{00000000-0005-0000-0000-0000D5660000}"/>
    <cellStyle name="Input 58" xfId="21639" xr:uid="{00000000-0005-0000-0000-0000D6660000}"/>
    <cellStyle name="Input 58 2" xfId="21640" xr:uid="{00000000-0005-0000-0000-0000D7660000}"/>
    <cellStyle name="Input 58 2 2" xfId="21641" xr:uid="{00000000-0005-0000-0000-0000D8660000}"/>
    <cellStyle name="Input 58 2 3" xfId="41770" xr:uid="{00000000-0005-0000-0000-0000D9660000}"/>
    <cellStyle name="Input 58 3" xfId="21642" xr:uid="{00000000-0005-0000-0000-0000DA660000}"/>
    <cellStyle name="Input 58 3 2" xfId="41771" xr:uid="{00000000-0005-0000-0000-0000DB660000}"/>
    <cellStyle name="Input 58 4" xfId="41769" xr:uid="{00000000-0005-0000-0000-0000DC660000}"/>
    <cellStyle name="Input 59" xfId="21643" xr:uid="{00000000-0005-0000-0000-0000DD660000}"/>
    <cellStyle name="Input 59 2" xfId="21644" xr:uid="{00000000-0005-0000-0000-0000DE660000}"/>
    <cellStyle name="Input 59 2 2" xfId="21645" xr:uid="{00000000-0005-0000-0000-0000DF660000}"/>
    <cellStyle name="Input 59 2 3" xfId="41773" xr:uid="{00000000-0005-0000-0000-0000E0660000}"/>
    <cellStyle name="Input 59 3" xfId="21646" xr:uid="{00000000-0005-0000-0000-0000E1660000}"/>
    <cellStyle name="Input 59 3 2" xfId="41774" xr:uid="{00000000-0005-0000-0000-0000E2660000}"/>
    <cellStyle name="Input 59 4" xfId="41772" xr:uid="{00000000-0005-0000-0000-0000E3660000}"/>
    <cellStyle name="Input 6" xfId="21647" xr:uid="{00000000-0005-0000-0000-0000E4660000}"/>
    <cellStyle name="Input 6 2" xfId="21648" xr:uid="{00000000-0005-0000-0000-0000E5660000}"/>
    <cellStyle name="Input 6 2 2" xfId="21649" xr:uid="{00000000-0005-0000-0000-0000E6660000}"/>
    <cellStyle name="Input 6 2 2 2" xfId="21650" xr:uid="{00000000-0005-0000-0000-0000E7660000}"/>
    <cellStyle name="Input 6 2 2 2 2" xfId="21651" xr:uid="{00000000-0005-0000-0000-0000E8660000}"/>
    <cellStyle name="Input 6 2 2 2 3" xfId="41777" xr:uid="{00000000-0005-0000-0000-0000E9660000}"/>
    <cellStyle name="Input 6 2 2 3" xfId="21652" xr:uid="{00000000-0005-0000-0000-0000EA660000}"/>
    <cellStyle name="Input 6 2 2 3 2" xfId="41778" xr:uid="{00000000-0005-0000-0000-0000EB660000}"/>
    <cellStyle name="Input 6 2 2 4" xfId="41776" xr:uid="{00000000-0005-0000-0000-0000EC660000}"/>
    <cellStyle name="Input 6 2 3" xfId="21653" xr:uid="{00000000-0005-0000-0000-0000ED660000}"/>
    <cellStyle name="Input 6 2 3 2" xfId="21654" xr:uid="{00000000-0005-0000-0000-0000EE660000}"/>
    <cellStyle name="Input 6 2 3 2 2" xfId="21655" xr:uid="{00000000-0005-0000-0000-0000EF660000}"/>
    <cellStyle name="Input 6 2 3 2 3" xfId="41780" xr:uid="{00000000-0005-0000-0000-0000F0660000}"/>
    <cellStyle name="Input 6 2 3 3" xfId="21656" xr:uid="{00000000-0005-0000-0000-0000F1660000}"/>
    <cellStyle name="Input 6 2 3 3 2" xfId="41781" xr:uid="{00000000-0005-0000-0000-0000F2660000}"/>
    <cellStyle name="Input 6 2 3 4" xfId="41779" xr:uid="{00000000-0005-0000-0000-0000F3660000}"/>
    <cellStyle name="Input 6 2 4" xfId="21657" xr:uid="{00000000-0005-0000-0000-0000F4660000}"/>
    <cellStyle name="Input 6 2 4 2" xfId="21658" xr:uid="{00000000-0005-0000-0000-0000F5660000}"/>
    <cellStyle name="Input 6 2 4 3" xfId="41782" xr:uid="{00000000-0005-0000-0000-0000F6660000}"/>
    <cellStyle name="Input 6 2 5" xfId="21659" xr:uid="{00000000-0005-0000-0000-0000F7660000}"/>
    <cellStyle name="Input 6 2 5 2" xfId="41783" xr:uid="{00000000-0005-0000-0000-0000F8660000}"/>
    <cellStyle name="Input 6 2 6" xfId="41775" xr:uid="{00000000-0005-0000-0000-0000F9660000}"/>
    <cellStyle name="Input 6 3" xfId="21660" xr:uid="{00000000-0005-0000-0000-0000FA660000}"/>
    <cellStyle name="Input 6 3 2" xfId="21661" xr:uid="{00000000-0005-0000-0000-0000FB660000}"/>
    <cellStyle name="Input 6 3 2 2" xfId="21662" xr:uid="{00000000-0005-0000-0000-0000FC660000}"/>
    <cellStyle name="Input 6 3 2 3" xfId="41785" xr:uid="{00000000-0005-0000-0000-0000FD660000}"/>
    <cellStyle name="Input 6 3 3" xfId="21663" xr:uid="{00000000-0005-0000-0000-0000FE660000}"/>
    <cellStyle name="Input 6 3 3 2" xfId="41786" xr:uid="{00000000-0005-0000-0000-0000FF660000}"/>
    <cellStyle name="Input 6 3 4" xfId="41784" xr:uid="{00000000-0005-0000-0000-000000670000}"/>
    <cellStyle name="Input 6 4" xfId="21664" xr:uid="{00000000-0005-0000-0000-000001670000}"/>
    <cellStyle name="Input 6 4 2" xfId="21665" xr:uid="{00000000-0005-0000-0000-000002670000}"/>
    <cellStyle name="Input 6 4 2 2" xfId="21666" xr:uid="{00000000-0005-0000-0000-000003670000}"/>
    <cellStyle name="Input 6 4 2 3" xfId="41788" xr:uid="{00000000-0005-0000-0000-000004670000}"/>
    <cellStyle name="Input 6 4 3" xfId="21667" xr:uid="{00000000-0005-0000-0000-000005670000}"/>
    <cellStyle name="Input 6 4 3 2" xfId="41789" xr:uid="{00000000-0005-0000-0000-000006670000}"/>
    <cellStyle name="Input 6 4 4" xfId="41787" xr:uid="{00000000-0005-0000-0000-000007670000}"/>
    <cellStyle name="Input 6 5" xfId="21668" xr:uid="{00000000-0005-0000-0000-000008670000}"/>
    <cellStyle name="Input 6 6" xfId="21669" xr:uid="{00000000-0005-0000-0000-000009670000}"/>
    <cellStyle name="Input 6 6 2" xfId="39373" xr:uid="{00000000-0005-0000-0000-00000A670000}"/>
    <cellStyle name="Input 6 6 3" xfId="39372" xr:uid="{00000000-0005-0000-0000-00000B670000}"/>
    <cellStyle name="Input 6 6 4" xfId="41790" xr:uid="{00000000-0005-0000-0000-00000C670000}"/>
    <cellStyle name="Input 6 7" xfId="21670" xr:uid="{00000000-0005-0000-0000-00000D670000}"/>
    <cellStyle name="Input 6 7 2" xfId="21671" xr:uid="{00000000-0005-0000-0000-00000E670000}"/>
    <cellStyle name="Input 6 7 3" xfId="41791" xr:uid="{00000000-0005-0000-0000-00000F670000}"/>
    <cellStyle name="Input 6 8" xfId="39374" xr:uid="{00000000-0005-0000-0000-000010670000}"/>
    <cellStyle name="Input 6 8 2" xfId="41792" xr:uid="{00000000-0005-0000-0000-000011670000}"/>
    <cellStyle name="Input 60" xfId="21672" xr:uid="{00000000-0005-0000-0000-000012670000}"/>
    <cellStyle name="Input 60 2" xfId="21673" xr:uid="{00000000-0005-0000-0000-000013670000}"/>
    <cellStyle name="Input 60 2 2" xfId="21674" xr:uid="{00000000-0005-0000-0000-000014670000}"/>
    <cellStyle name="Input 60 2 3" xfId="41794" xr:uid="{00000000-0005-0000-0000-000015670000}"/>
    <cellStyle name="Input 60 3" xfId="21675" xr:uid="{00000000-0005-0000-0000-000016670000}"/>
    <cellStyle name="Input 60 3 2" xfId="41795" xr:uid="{00000000-0005-0000-0000-000017670000}"/>
    <cellStyle name="Input 60 4" xfId="41793" xr:uid="{00000000-0005-0000-0000-000018670000}"/>
    <cellStyle name="Input 61" xfId="21676" xr:uid="{00000000-0005-0000-0000-000019670000}"/>
    <cellStyle name="Input 61 2" xfId="21677" xr:uid="{00000000-0005-0000-0000-00001A670000}"/>
    <cellStyle name="Input 61 2 2" xfId="21678" xr:uid="{00000000-0005-0000-0000-00001B670000}"/>
    <cellStyle name="Input 61 2 3" xfId="41797" xr:uid="{00000000-0005-0000-0000-00001C670000}"/>
    <cellStyle name="Input 61 3" xfId="21679" xr:uid="{00000000-0005-0000-0000-00001D670000}"/>
    <cellStyle name="Input 61 3 2" xfId="41798" xr:uid="{00000000-0005-0000-0000-00001E670000}"/>
    <cellStyle name="Input 61 4" xfId="41796" xr:uid="{00000000-0005-0000-0000-00001F670000}"/>
    <cellStyle name="Input 62" xfId="21680" xr:uid="{00000000-0005-0000-0000-000020670000}"/>
    <cellStyle name="Input 63" xfId="21681" xr:uid="{00000000-0005-0000-0000-000021670000}"/>
    <cellStyle name="Input 64" xfId="21682" xr:uid="{00000000-0005-0000-0000-000022670000}"/>
    <cellStyle name="Input 65" xfId="34358" xr:uid="{00000000-0005-0000-0000-000023670000}"/>
    <cellStyle name="Input 66" xfId="41889" xr:uid="{90483FB3-BF34-4C67-B3CE-D59C93B60A95}"/>
    <cellStyle name="Input 67" xfId="42354" xr:uid="{B0010803-5B34-4926-A2EA-7439FD2E56F5}"/>
    <cellStyle name="Input 68" xfId="42382" xr:uid="{BF53755C-D7D1-4CFE-A8E1-132AE35CB62E}"/>
    <cellStyle name="Input 7" xfId="21683" xr:uid="{00000000-0005-0000-0000-000024670000}"/>
    <cellStyle name="Input 8" xfId="21684" xr:uid="{00000000-0005-0000-0000-000025670000}"/>
    <cellStyle name="Input 8 2" xfId="21685" xr:uid="{00000000-0005-0000-0000-000026670000}"/>
    <cellStyle name="Input 8 2 2" xfId="21686" xr:uid="{00000000-0005-0000-0000-000027670000}"/>
    <cellStyle name="Input 8 2 3" xfId="41799" xr:uid="{00000000-0005-0000-0000-000028670000}"/>
    <cellStyle name="Input 8 3" xfId="21687" xr:uid="{00000000-0005-0000-0000-000029670000}"/>
    <cellStyle name="Input 8 3 2" xfId="41800" xr:uid="{00000000-0005-0000-0000-00002A670000}"/>
    <cellStyle name="Input 8 4" xfId="39375" xr:uid="{00000000-0005-0000-0000-00002B670000}"/>
    <cellStyle name="Input 8 4 2" xfId="41801" xr:uid="{00000000-0005-0000-0000-00002C670000}"/>
    <cellStyle name="Input 8 5" xfId="35739" xr:uid="{00000000-0005-0000-0000-00002D670000}"/>
    <cellStyle name="Input 9" xfId="21688" xr:uid="{00000000-0005-0000-0000-00002E670000}"/>
    <cellStyle name="Input 9 2" xfId="21689" xr:uid="{00000000-0005-0000-0000-00002F670000}"/>
    <cellStyle name="Input 9 2 2" xfId="21690" xr:uid="{00000000-0005-0000-0000-000030670000}"/>
    <cellStyle name="Input 9 2 3" xfId="41802" xr:uid="{00000000-0005-0000-0000-000031670000}"/>
    <cellStyle name="Input 9 3" xfId="21691" xr:uid="{00000000-0005-0000-0000-000032670000}"/>
    <cellStyle name="Input 9 3 2" xfId="41803" xr:uid="{00000000-0005-0000-0000-000033670000}"/>
    <cellStyle name="Input 9 4" xfId="39376" xr:uid="{00000000-0005-0000-0000-000034670000}"/>
    <cellStyle name="Input 9 4 2" xfId="41804" xr:uid="{00000000-0005-0000-0000-000035670000}"/>
    <cellStyle name="Input 9 5" xfId="40433" xr:uid="{00000000-0005-0000-0000-000036670000}"/>
    <cellStyle name="Input1" xfId="8" xr:uid="{00000000-0005-0000-0000-000037670000}"/>
    <cellStyle name="Input1 2" xfId="21692" xr:uid="{00000000-0005-0000-0000-000038670000}"/>
    <cellStyle name="Input1 2 2" xfId="21693" xr:uid="{00000000-0005-0000-0000-000039670000}"/>
    <cellStyle name="Input1 2 2 2" xfId="41891" xr:uid="{4C30D66B-5BD3-4297-8817-8ACEDD039D05}"/>
    <cellStyle name="Input1 2 3" xfId="42277" xr:uid="{38FCE766-85AD-4DA2-A101-1367D5FAB8EE}"/>
    <cellStyle name="Input1 2 4" xfId="41890" xr:uid="{535F8061-2B41-4FC8-A40E-F8F09522E9AE}"/>
    <cellStyle name="Input1 3" xfId="21694" xr:uid="{00000000-0005-0000-0000-00003A670000}"/>
    <cellStyle name="Input1 3 2" xfId="21695" xr:uid="{00000000-0005-0000-0000-00003B670000}"/>
    <cellStyle name="Input1 3 2 2" xfId="21696" xr:uid="{00000000-0005-0000-0000-00003C670000}"/>
    <cellStyle name="Input1 3 2 3" xfId="41893" xr:uid="{2A0DF873-7E8D-401A-B2AE-50B0F3560002}"/>
    <cellStyle name="Input1 3 3" xfId="21697" xr:uid="{00000000-0005-0000-0000-00003D670000}"/>
    <cellStyle name="Input1 3 3 2" xfId="42278" xr:uid="{EC68DC41-E12D-479A-9C5F-07E5E4DAA3AE}"/>
    <cellStyle name="Input1 3 4" xfId="41892" xr:uid="{1983C489-6DCD-4E96-94AA-3EF8948BD9F9}"/>
    <cellStyle name="Input1 4" xfId="21698" xr:uid="{00000000-0005-0000-0000-00003E670000}"/>
    <cellStyle name="Input1 4 2" xfId="35246" xr:uid="{00000000-0005-0000-0000-00003F670000}"/>
    <cellStyle name="Input1 4 2 2" xfId="42279" xr:uid="{8CF8D9D1-86BA-434E-86C1-E4114A666D73}"/>
    <cellStyle name="Input1 4 3" xfId="42231" xr:uid="{147034F9-70A7-40C1-8A7A-6D2160927238}"/>
    <cellStyle name="Input1 5" xfId="21699" xr:uid="{00000000-0005-0000-0000-000040670000}"/>
    <cellStyle name="Input1 5 2" xfId="42232" xr:uid="{D4EB31FC-231C-4888-83B6-98DC0AAEB2AB}"/>
    <cellStyle name="Input1 6" xfId="21700" xr:uid="{00000000-0005-0000-0000-000041670000}"/>
    <cellStyle name="Input1 6 2" xfId="42280" xr:uid="{35479C9A-8952-4D15-B4D0-3BE8CAA37717}"/>
    <cellStyle name="Input1 7" xfId="21701" xr:uid="{00000000-0005-0000-0000-000042670000}"/>
    <cellStyle name="Input1 8" xfId="41812" xr:uid="{15A24117-49EB-4393-B463-F338C1FA233A}"/>
    <cellStyle name="Input1%" xfId="21702" xr:uid="{00000000-0005-0000-0000-000043670000}"/>
    <cellStyle name="Input1% 2" xfId="42058" xr:uid="{83F52ED6-5ABB-41BF-81C3-975FA1BBB5CD}"/>
    <cellStyle name="Input1_ICRC Electricity model 1-1  (1 Feb 2003) " xfId="41955" xr:uid="{86500B13-545A-4B0C-ADF2-1B3DD5CC9CF6}"/>
    <cellStyle name="Input1default" xfId="42059" xr:uid="{432AD746-3B5F-40DE-A306-5D367CCE7BFB}"/>
    <cellStyle name="Input1default%" xfId="21703" xr:uid="{00000000-0005-0000-0000-000044670000}"/>
    <cellStyle name="Input1default% 2" xfId="42060" xr:uid="{C530CA55-C9CE-4985-A897-BA1EE886BE97}"/>
    <cellStyle name="Input2" xfId="21704" xr:uid="{00000000-0005-0000-0000-000045670000}"/>
    <cellStyle name="Input2 2" xfId="41894" xr:uid="{73E01143-2FE9-4B7D-9137-B72D27983DAE}"/>
    <cellStyle name="Input2 3" xfId="42003" xr:uid="{C3B4AF78-EA21-4761-B787-253D51331E30}"/>
    <cellStyle name="Input2%" xfId="21705" xr:uid="{00000000-0005-0000-0000-000046670000}"/>
    <cellStyle name="Input3" xfId="21706" xr:uid="{00000000-0005-0000-0000-000047670000}"/>
    <cellStyle name="Input3 2" xfId="21707" xr:uid="{00000000-0005-0000-0000-000048670000}"/>
    <cellStyle name="Input3 2 2" xfId="42281" xr:uid="{ABDA01C2-5B2A-4290-9C2A-A151CBA03A32}"/>
    <cellStyle name="Input3 2 3" xfId="41896" xr:uid="{B88EBC80-DB36-4226-AAB7-F7F401595DBF}"/>
    <cellStyle name="Input3 3" xfId="21708" xr:uid="{00000000-0005-0000-0000-000049670000}"/>
    <cellStyle name="Input3 3 2" xfId="42282" xr:uid="{F2E78040-2E1F-46B7-9E28-7713FCBD925C}"/>
    <cellStyle name="Input3 3 3" xfId="42004" xr:uid="{BAD2E9B6-7CC9-4F3A-87DA-99DE0135446F}"/>
    <cellStyle name="Input3 4" xfId="21709" xr:uid="{00000000-0005-0000-0000-00004A670000}"/>
    <cellStyle name="Input3 4 2" xfId="42283" xr:uid="{8EDB15FB-4536-494E-BC56-D74E2E1F4931}"/>
    <cellStyle name="Input3 5" xfId="21710" xr:uid="{00000000-0005-0000-0000-00004B670000}"/>
    <cellStyle name="Input3 5 2" xfId="42284" xr:uid="{8317A285-FF7C-473C-B25E-87FF12C58503}"/>
    <cellStyle name="Input3 6" xfId="41895" xr:uid="{2DB158D1-D635-46C5-8DBF-7513B882F0F0}"/>
    <cellStyle name="Input3%" xfId="21711" xr:uid="{00000000-0005-0000-0000-00004C670000}"/>
    <cellStyle name="InputCell" xfId="42033" xr:uid="{B117CC5C-9715-46EA-869A-444C514BDFEA}"/>
    <cellStyle name="InputCell 2" xfId="42132" xr:uid="{FDE2D24B-BC33-488D-8D9E-8A661BC3F0EC}"/>
    <cellStyle name="InputCell 3" xfId="42104" xr:uid="{2B992536-A656-4DCA-AB54-9D175E22F104}"/>
    <cellStyle name="InputCellText" xfId="42035" xr:uid="{BF8D8291-59D6-4238-B66A-01470150DE0B}"/>
    <cellStyle name="InputCellText 2" xfId="42134" xr:uid="{DFF02E13-17DE-41FA-A971-FC2D8A7710B1}"/>
    <cellStyle name="InputCellText 3" xfId="42106" xr:uid="{DBCF98BF-DDF2-496C-A3B3-09E0E2334059}"/>
    <cellStyle name="Key assumptions" xfId="21712" xr:uid="{00000000-0005-0000-0000-00004D670000}"/>
    <cellStyle name="Key assumptions 2" xfId="21713" xr:uid="{00000000-0005-0000-0000-00004E670000}"/>
    <cellStyle name="Key assumptions 3" xfId="21714" xr:uid="{00000000-0005-0000-0000-00004F670000}"/>
    <cellStyle name="Key assumptions 4" xfId="21715" xr:uid="{00000000-0005-0000-0000-000050670000}"/>
    <cellStyle name="key result" xfId="42061" xr:uid="{AC08FCC9-3989-4D36-976C-170381012E0E}"/>
    <cellStyle name="lineItems" xfId="21716" xr:uid="{00000000-0005-0000-0000-000051670000}"/>
    <cellStyle name="lineItems 2" xfId="21717" xr:uid="{00000000-0005-0000-0000-000052670000}"/>
    <cellStyle name="lineItems 2 10" xfId="21718" xr:uid="{00000000-0005-0000-0000-000053670000}"/>
    <cellStyle name="lineItems 2 2" xfId="21719" xr:uid="{00000000-0005-0000-0000-000054670000}"/>
    <cellStyle name="lineItems 2 2 2" xfId="21720" xr:uid="{00000000-0005-0000-0000-000055670000}"/>
    <cellStyle name="lineItems 2 2 3" xfId="21721" xr:uid="{00000000-0005-0000-0000-000056670000}"/>
    <cellStyle name="lineItems 2 2 4" xfId="21722" xr:uid="{00000000-0005-0000-0000-000057670000}"/>
    <cellStyle name="lineItems 2 2 4 2" xfId="21723" xr:uid="{00000000-0005-0000-0000-000058670000}"/>
    <cellStyle name="lineItems 2 2 4 3" xfId="21724" xr:uid="{00000000-0005-0000-0000-000059670000}"/>
    <cellStyle name="lineItems 2 2 5" xfId="21725" xr:uid="{00000000-0005-0000-0000-00005A670000}"/>
    <cellStyle name="lineItems 2 2 6" xfId="21726" xr:uid="{00000000-0005-0000-0000-00005B670000}"/>
    <cellStyle name="lineItems 2 3" xfId="21727" xr:uid="{00000000-0005-0000-0000-00005C670000}"/>
    <cellStyle name="lineItems 2 3 2" xfId="21728" xr:uid="{00000000-0005-0000-0000-00005D670000}"/>
    <cellStyle name="lineItems 2 3 2 2" xfId="21729" xr:uid="{00000000-0005-0000-0000-00005E670000}"/>
    <cellStyle name="lineItems 2 3 2 2 2" xfId="39377" xr:uid="{00000000-0005-0000-0000-00005F670000}"/>
    <cellStyle name="lineItems 2 3 2 3" xfId="21730" xr:uid="{00000000-0005-0000-0000-000060670000}"/>
    <cellStyle name="lineItems 2 3 2 3 2" xfId="21731" xr:uid="{00000000-0005-0000-0000-000061670000}"/>
    <cellStyle name="lineItems 2 3 2 3 3" xfId="21732" xr:uid="{00000000-0005-0000-0000-000062670000}"/>
    <cellStyle name="lineItems 2 3 2 4" xfId="21733" xr:uid="{00000000-0005-0000-0000-000063670000}"/>
    <cellStyle name="lineItems 2 3 2 5" xfId="21734" xr:uid="{00000000-0005-0000-0000-000064670000}"/>
    <cellStyle name="lineItems 2 3 3" xfId="21735" xr:uid="{00000000-0005-0000-0000-000065670000}"/>
    <cellStyle name="lineItems 2 3 4" xfId="21736" xr:uid="{00000000-0005-0000-0000-000066670000}"/>
    <cellStyle name="lineItems 2 3 4 2" xfId="21737" xr:uid="{00000000-0005-0000-0000-000067670000}"/>
    <cellStyle name="lineItems 2 3 4 2 2" xfId="21738" xr:uid="{00000000-0005-0000-0000-000068670000}"/>
    <cellStyle name="lineItems 2 3 4 2 3" xfId="21739" xr:uid="{00000000-0005-0000-0000-000069670000}"/>
    <cellStyle name="lineItems 2 3 4 3" xfId="21740" xr:uid="{00000000-0005-0000-0000-00006A670000}"/>
    <cellStyle name="lineItems 2 3 4 4" xfId="21741" xr:uid="{00000000-0005-0000-0000-00006B670000}"/>
    <cellStyle name="lineItems 2 3 5" xfId="21742" xr:uid="{00000000-0005-0000-0000-00006C670000}"/>
    <cellStyle name="lineItems 2 3 6" xfId="21743" xr:uid="{00000000-0005-0000-0000-00006D670000}"/>
    <cellStyle name="lineItems 2 4" xfId="21744" xr:uid="{00000000-0005-0000-0000-00006E670000}"/>
    <cellStyle name="lineItems 2 4 2" xfId="21745" xr:uid="{00000000-0005-0000-0000-00006F670000}"/>
    <cellStyle name="lineItems 2 4 2 2" xfId="21746" xr:uid="{00000000-0005-0000-0000-000070670000}"/>
    <cellStyle name="lineItems 2 4 2 2 2" xfId="21747" xr:uid="{00000000-0005-0000-0000-000071670000}"/>
    <cellStyle name="lineItems 2 4 2 2 3" xfId="21748" xr:uid="{00000000-0005-0000-0000-000072670000}"/>
    <cellStyle name="lineItems 2 4 2 3" xfId="21749" xr:uid="{00000000-0005-0000-0000-000073670000}"/>
    <cellStyle name="lineItems 2 4 2 4" xfId="21750" xr:uid="{00000000-0005-0000-0000-000074670000}"/>
    <cellStyle name="lineItems 2 4 3" xfId="21751" xr:uid="{00000000-0005-0000-0000-000075670000}"/>
    <cellStyle name="lineItems 2 4 4" xfId="21752" xr:uid="{00000000-0005-0000-0000-000076670000}"/>
    <cellStyle name="lineItems 2 4 4 2" xfId="21753" xr:uid="{00000000-0005-0000-0000-000077670000}"/>
    <cellStyle name="lineItems 2 4 4 3" xfId="21754" xr:uid="{00000000-0005-0000-0000-000078670000}"/>
    <cellStyle name="lineItems 2 4 5" xfId="21755" xr:uid="{00000000-0005-0000-0000-000079670000}"/>
    <cellStyle name="lineItems 2 4 6" xfId="21756" xr:uid="{00000000-0005-0000-0000-00007A670000}"/>
    <cellStyle name="lineItems 2 5" xfId="21757" xr:uid="{00000000-0005-0000-0000-00007B670000}"/>
    <cellStyle name="lineItems 2 5 2" xfId="21758" xr:uid="{00000000-0005-0000-0000-00007C670000}"/>
    <cellStyle name="lineItems 2 6" xfId="21759" xr:uid="{00000000-0005-0000-0000-00007D670000}"/>
    <cellStyle name="lineItems 2 7" xfId="21760" xr:uid="{00000000-0005-0000-0000-00007E670000}"/>
    <cellStyle name="lineItems 2 8" xfId="21761" xr:uid="{00000000-0005-0000-0000-00007F670000}"/>
    <cellStyle name="lineItems 2 8 2" xfId="21762" xr:uid="{00000000-0005-0000-0000-000080670000}"/>
    <cellStyle name="lineItems 2 8 2 2" xfId="21763" xr:uid="{00000000-0005-0000-0000-000081670000}"/>
    <cellStyle name="lineItems 2 8 2 3" xfId="21764" xr:uid="{00000000-0005-0000-0000-000082670000}"/>
    <cellStyle name="lineItems 2 8 3" xfId="21765" xr:uid="{00000000-0005-0000-0000-000083670000}"/>
    <cellStyle name="lineItems 2 8 4" xfId="21766" xr:uid="{00000000-0005-0000-0000-000084670000}"/>
    <cellStyle name="lineItems 2 9" xfId="21767" xr:uid="{00000000-0005-0000-0000-000085670000}"/>
    <cellStyle name="lineItems 3" xfId="21768" xr:uid="{00000000-0005-0000-0000-000086670000}"/>
    <cellStyle name="lineItems 3 2" xfId="21769" xr:uid="{00000000-0005-0000-0000-000087670000}"/>
    <cellStyle name="lineItems 3 2 2" xfId="21770" xr:uid="{00000000-0005-0000-0000-000088670000}"/>
    <cellStyle name="lineItems 3 2 2 2" xfId="21771" xr:uid="{00000000-0005-0000-0000-000089670000}"/>
    <cellStyle name="lineItems 3 2 2 2 2" xfId="21772" xr:uid="{00000000-0005-0000-0000-00008A670000}"/>
    <cellStyle name="lineItems 3 2 2 2 3" xfId="21773" xr:uid="{00000000-0005-0000-0000-00008B670000}"/>
    <cellStyle name="lineItems 3 2 2 3" xfId="21774" xr:uid="{00000000-0005-0000-0000-00008C670000}"/>
    <cellStyle name="lineItems 3 2 2 4" xfId="21775" xr:uid="{00000000-0005-0000-0000-00008D670000}"/>
    <cellStyle name="lineItems 3 2 3" xfId="21776" xr:uid="{00000000-0005-0000-0000-00008E670000}"/>
    <cellStyle name="lineItems 3 2 4" xfId="21777" xr:uid="{00000000-0005-0000-0000-00008F670000}"/>
    <cellStyle name="lineItems 3 2 4 2" xfId="21778" xr:uid="{00000000-0005-0000-0000-000090670000}"/>
    <cellStyle name="lineItems 3 2 4 3" xfId="21779" xr:uid="{00000000-0005-0000-0000-000091670000}"/>
    <cellStyle name="lineItems 3 2 5" xfId="21780" xr:uid="{00000000-0005-0000-0000-000092670000}"/>
    <cellStyle name="lineItems 3 2 6" xfId="21781" xr:uid="{00000000-0005-0000-0000-000093670000}"/>
    <cellStyle name="lineItems 3 3" xfId="21782" xr:uid="{00000000-0005-0000-0000-000094670000}"/>
    <cellStyle name="lineItems 3 4" xfId="21783" xr:uid="{00000000-0005-0000-0000-000095670000}"/>
    <cellStyle name="lineItems 4" xfId="21784" xr:uid="{00000000-0005-0000-0000-000096670000}"/>
    <cellStyle name="lineItems 4 2" xfId="21785" xr:uid="{00000000-0005-0000-0000-000097670000}"/>
    <cellStyle name="lineItems 4 2 2" xfId="21786" xr:uid="{00000000-0005-0000-0000-000098670000}"/>
    <cellStyle name="lineItems 4 2 2 2" xfId="21787" xr:uid="{00000000-0005-0000-0000-000099670000}"/>
    <cellStyle name="lineItems 4 2 2 3" xfId="21788" xr:uid="{00000000-0005-0000-0000-00009A670000}"/>
    <cellStyle name="lineItems 4 2 3" xfId="21789" xr:uid="{00000000-0005-0000-0000-00009B670000}"/>
    <cellStyle name="lineItems 4 2 4" xfId="21790" xr:uid="{00000000-0005-0000-0000-00009C670000}"/>
    <cellStyle name="lineItems 4 3" xfId="21791" xr:uid="{00000000-0005-0000-0000-00009D670000}"/>
    <cellStyle name="lineItems 4 4" xfId="21792" xr:uid="{00000000-0005-0000-0000-00009E670000}"/>
    <cellStyle name="lineItems 4 4 2" xfId="39379" xr:uid="{00000000-0005-0000-0000-00009F670000}"/>
    <cellStyle name="lineItems 4 4 3" xfId="39378" xr:uid="{00000000-0005-0000-0000-0000A0670000}"/>
    <cellStyle name="lineItems 4 5" xfId="21793" xr:uid="{00000000-0005-0000-0000-0000A1670000}"/>
    <cellStyle name="lineItems 4 5 2" xfId="21794" xr:uid="{00000000-0005-0000-0000-0000A2670000}"/>
    <cellStyle name="lineItems 4 5 3" xfId="21795" xr:uid="{00000000-0005-0000-0000-0000A3670000}"/>
    <cellStyle name="lineItems 4 6" xfId="21796" xr:uid="{00000000-0005-0000-0000-0000A4670000}"/>
    <cellStyle name="lineItems 4 7" xfId="21797" xr:uid="{00000000-0005-0000-0000-0000A5670000}"/>
    <cellStyle name="lineItems 5" xfId="21798" xr:uid="{00000000-0005-0000-0000-0000A6670000}"/>
    <cellStyle name="lineItems 5 2" xfId="21799" xr:uid="{00000000-0005-0000-0000-0000A7670000}"/>
    <cellStyle name="lineItems 6" xfId="21800" xr:uid="{00000000-0005-0000-0000-0000A8670000}"/>
    <cellStyle name="lineItems 7" xfId="21801" xr:uid="{00000000-0005-0000-0000-0000A9670000}"/>
    <cellStyle name="Lines" xfId="35247" xr:uid="{00000000-0005-0000-0000-0000AA670000}"/>
    <cellStyle name="Linked Cell 2" xfId="21802" xr:uid="{00000000-0005-0000-0000-0000AB670000}"/>
    <cellStyle name="Linked Cell 2 2" xfId="21803" xr:uid="{00000000-0005-0000-0000-0000AC670000}"/>
    <cellStyle name="Linked Cell 2 2 2" xfId="21804" xr:uid="{00000000-0005-0000-0000-0000AD670000}"/>
    <cellStyle name="Linked Cell 2 2 3" xfId="21805" xr:uid="{00000000-0005-0000-0000-0000AE670000}"/>
    <cellStyle name="Linked Cell 2 2 3 2" xfId="39381" xr:uid="{00000000-0005-0000-0000-0000AF670000}"/>
    <cellStyle name="Linked Cell 2 2 3 3" xfId="39380" xr:uid="{00000000-0005-0000-0000-0000B0670000}"/>
    <cellStyle name="Linked Cell 2 2 4" xfId="21806" xr:uid="{00000000-0005-0000-0000-0000B1670000}"/>
    <cellStyle name="Linked Cell 2 3" xfId="21807" xr:uid="{00000000-0005-0000-0000-0000B2670000}"/>
    <cellStyle name="Linked Cell 2 3 2" xfId="21808" xr:uid="{00000000-0005-0000-0000-0000B3670000}"/>
    <cellStyle name="Linked Cell 2 4" xfId="21809" xr:uid="{00000000-0005-0000-0000-0000B4670000}"/>
    <cellStyle name="Linked Cell 2 5" xfId="21810" xr:uid="{00000000-0005-0000-0000-0000B5670000}"/>
    <cellStyle name="Linked Cell 2 6" xfId="21811" xr:uid="{00000000-0005-0000-0000-0000B6670000}"/>
    <cellStyle name="Linked Cell 2 6 2" xfId="21812" xr:uid="{00000000-0005-0000-0000-0000B7670000}"/>
    <cellStyle name="Linked Cell 2 6 3" xfId="35248" xr:uid="{00000000-0005-0000-0000-0000B8670000}"/>
    <cellStyle name="Linked Cell 2 7" xfId="21813" xr:uid="{00000000-0005-0000-0000-0000B9670000}"/>
    <cellStyle name="Linked Cell 3" xfId="21814" xr:uid="{00000000-0005-0000-0000-0000BA670000}"/>
    <cellStyle name="Linked Cell 3 2" xfId="21815" xr:uid="{00000000-0005-0000-0000-0000BB670000}"/>
    <cellStyle name="Linked Cell 3 3" xfId="21816" xr:uid="{00000000-0005-0000-0000-0000BC670000}"/>
    <cellStyle name="Linked Cell 3 4" xfId="21817" xr:uid="{00000000-0005-0000-0000-0000BD670000}"/>
    <cellStyle name="Linked Cell 4" xfId="21818" xr:uid="{00000000-0005-0000-0000-0000BE670000}"/>
    <cellStyle name="Linked Cell 4 2" xfId="21819" xr:uid="{00000000-0005-0000-0000-0000BF670000}"/>
    <cellStyle name="Linked Cell 4 3" xfId="21820" xr:uid="{00000000-0005-0000-0000-0000C0670000}"/>
    <cellStyle name="Linked Cell 5" xfId="21821" xr:uid="{00000000-0005-0000-0000-0000C1670000}"/>
    <cellStyle name="Linked Cell 6" xfId="21822" xr:uid="{00000000-0005-0000-0000-0000C2670000}"/>
    <cellStyle name="Linked Cell 7" xfId="21823" xr:uid="{00000000-0005-0000-0000-0000C3670000}"/>
    <cellStyle name="Linked Cell 8" xfId="21824" xr:uid="{00000000-0005-0000-0000-0000C4670000}"/>
    <cellStyle name="Local import" xfId="42062" xr:uid="{B12E86F0-B9B4-4C70-A0D1-CB1BE470F410}"/>
    <cellStyle name="Local import %" xfId="42063" xr:uid="{E98FA17C-A06F-4C14-9837-0D350FAC4A79}"/>
    <cellStyle name="Major Heading" xfId="21825" xr:uid="{00000000-0005-0000-0000-0000C5670000}"/>
    <cellStyle name="Major Heading 2" xfId="21826" xr:uid="{00000000-0005-0000-0000-0000C6670000}"/>
    <cellStyle name="Major Heading 3" xfId="21827" xr:uid="{00000000-0005-0000-0000-0000C7670000}"/>
    <cellStyle name="Major Heading 4" xfId="21828" xr:uid="{00000000-0005-0000-0000-0000C8670000}"/>
    <cellStyle name="Major row heading" xfId="21829" xr:uid="{00000000-0005-0000-0000-0000C9670000}"/>
    <cellStyle name="Major row heading 2" xfId="21830" xr:uid="{00000000-0005-0000-0000-0000CA670000}"/>
    <cellStyle name="Major row heading 3" xfId="21831" xr:uid="{00000000-0005-0000-0000-0000CB670000}"/>
    <cellStyle name="Major row heading 4" xfId="21832" xr:uid="{00000000-0005-0000-0000-0000CC670000}"/>
    <cellStyle name="Milliers [0]_Feuil1" xfId="21833" xr:uid="{00000000-0005-0000-0000-0000CD670000}"/>
    <cellStyle name="Milliers_Feuil1" xfId="21834" xr:uid="{00000000-0005-0000-0000-0000CE670000}"/>
    <cellStyle name="Mine" xfId="35249" xr:uid="{00000000-0005-0000-0000-0000CF670000}"/>
    <cellStyle name="minor row heading" xfId="21835" xr:uid="{00000000-0005-0000-0000-0000D0670000}"/>
    <cellStyle name="minor row heading 2" xfId="21836" xr:uid="{00000000-0005-0000-0000-0000D1670000}"/>
    <cellStyle name="minor row heading 2 2" xfId="21837" xr:uid="{00000000-0005-0000-0000-0000D2670000}"/>
    <cellStyle name="minor row heading 2 2 2" xfId="21838" xr:uid="{00000000-0005-0000-0000-0000D3670000}"/>
    <cellStyle name="minor row heading 2 3" xfId="21839" xr:uid="{00000000-0005-0000-0000-0000D4670000}"/>
    <cellStyle name="minor row heading 2 4" xfId="21840" xr:uid="{00000000-0005-0000-0000-0000D5670000}"/>
    <cellStyle name="minor row heading 3" xfId="21841" xr:uid="{00000000-0005-0000-0000-0000D6670000}"/>
    <cellStyle name="minor row heading 3 2" xfId="21842" xr:uid="{00000000-0005-0000-0000-0000D7670000}"/>
    <cellStyle name="minor row heading 3 3" xfId="21843" xr:uid="{00000000-0005-0000-0000-0000D8670000}"/>
    <cellStyle name="minor row heading 4" xfId="21844" xr:uid="{00000000-0005-0000-0000-0000D9670000}"/>
    <cellStyle name="Model Name" xfId="35250" xr:uid="{00000000-0005-0000-0000-0000DA670000}"/>
    <cellStyle name="Monétaire [0]_Feuil1" xfId="21845" xr:uid="{00000000-0005-0000-0000-0000DB670000}"/>
    <cellStyle name="Monétaire_Feuil1" xfId="21846" xr:uid="{00000000-0005-0000-0000-0000DC670000}"/>
    <cellStyle name="Neutral 2" xfId="21847" xr:uid="{00000000-0005-0000-0000-0000DD670000}"/>
    <cellStyle name="Neutral 2 2" xfId="21848" xr:uid="{00000000-0005-0000-0000-0000DE670000}"/>
    <cellStyle name="Neutral 2 2 2" xfId="21849" xr:uid="{00000000-0005-0000-0000-0000DF670000}"/>
    <cellStyle name="Neutral 2 2 3" xfId="21850" xr:uid="{00000000-0005-0000-0000-0000E0670000}"/>
    <cellStyle name="Neutral 2 2 3 2" xfId="39383" xr:uid="{00000000-0005-0000-0000-0000E1670000}"/>
    <cellStyle name="Neutral 2 2 3 3" xfId="39382" xr:uid="{00000000-0005-0000-0000-0000E2670000}"/>
    <cellStyle name="Neutral 2 2 4" xfId="21851" xr:uid="{00000000-0005-0000-0000-0000E3670000}"/>
    <cellStyle name="Neutral 2 3" xfId="21852" xr:uid="{00000000-0005-0000-0000-0000E4670000}"/>
    <cellStyle name="Neutral 2 3 2" xfId="21853" xr:uid="{00000000-0005-0000-0000-0000E5670000}"/>
    <cellStyle name="Neutral 2 4" xfId="21854" xr:uid="{00000000-0005-0000-0000-0000E6670000}"/>
    <cellStyle name="Neutral 2 5" xfId="21855" xr:uid="{00000000-0005-0000-0000-0000E7670000}"/>
    <cellStyle name="Neutral 2 6" xfId="21856" xr:uid="{00000000-0005-0000-0000-0000E8670000}"/>
    <cellStyle name="Neutral 2 6 2" xfId="35251" xr:uid="{00000000-0005-0000-0000-0000E9670000}"/>
    <cellStyle name="Neutral 2 7" xfId="21857" xr:uid="{00000000-0005-0000-0000-0000EA670000}"/>
    <cellStyle name="Neutral 2 8" xfId="21858" xr:uid="{00000000-0005-0000-0000-0000EB670000}"/>
    <cellStyle name="Neutral 3" xfId="21859" xr:uid="{00000000-0005-0000-0000-0000EC670000}"/>
    <cellStyle name="Neutral 3 2" xfId="21860" xr:uid="{00000000-0005-0000-0000-0000ED670000}"/>
    <cellStyle name="Neutral 3 2 2" xfId="21861" xr:uid="{00000000-0005-0000-0000-0000EE670000}"/>
    <cellStyle name="Neutral 3 3" xfId="21862" xr:uid="{00000000-0005-0000-0000-0000EF670000}"/>
    <cellStyle name="Neutral 3 4" xfId="35252" xr:uid="{00000000-0005-0000-0000-0000F0670000}"/>
    <cellStyle name="Neutral 4" xfId="21863" xr:uid="{00000000-0005-0000-0000-0000F1670000}"/>
    <cellStyle name="Neutral 4 2" xfId="21864" xr:uid="{00000000-0005-0000-0000-0000F2670000}"/>
    <cellStyle name="Neutral 4 3" xfId="21865" xr:uid="{00000000-0005-0000-0000-0000F3670000}"/>
    <cellStyle name="Neutral 4 4" xfId="21866" xr:uid="{00000000-0005-0000-0000-0000F4670000}"/>
    <cellStyle name="Neutral 5" xfId="21867" xr:uid="{00000000-0005-0000-0000-0000F5670000}"/>
    <cellStyle name="Neutral 5 2" xfId="21868" xr:uid="{00000000-0005-0000-0000-0000F6670000}"/>
    <cellStyle name="Neutral 6" xfId="21869" xr:uid="{00000000-0005-0000-0000-0000F7670000}"/>
    <cellStyle name="Neutral 7" xfId="21870" xr:uid="{00000000-0005-0000-0000-0000F8670000}"/>
    <cellStyle name="Neutral 8" xfId="21871" xr:uid="{00000000-0005-0000-0000-0000F9670000}"/>
    <cellStyle name="Neutral 9" xfId="21872" xr:uid="{00000000-0005-0000-0000-0000FA670000}"/>
    <cellStyle name="no dec" xfId="21873" xr:uid="{00000000-0005-0000-0000-0000FB670000}"/>
    <cellStyle name="NonInputCell" xfId="42034" xr:uid="{2891F5ED-79ED-4150-9145-BEE7ADC1F51A}"/>
    <cellStyle name="NonInputCell 2" xfId="42133" xr:uid="{219EA2E5-3052-4DE7-9A8E-298FE59FBDF0}"/>
    <cellStyle name="NonInputCell 3" xfId="42105" xr:uid="{B0CAEC93-04C6-499A-93D8-8A7E10C23E05}"/>
    <cellStyle name="Normal" xfId="0" builtinId="0"/>
    <cellStyle name="Normal - Style1" xfId="21874" xr:uid="{00000000-0005-0000-0000-0000FD670000}"/>
    <cellStyle name="Normal - Style1 2" xfId="35253" xr:uid="{00000000-0005-0000-0000-0000FE670000}"/>
    <cellStyle name="Normal - Style1 3" xfId="41956" xr:uid="{AC7CD743-C652-4E07-9238-BF2AC48CCDF0}"/>
    <cellStyle name="Normal 10" xfId="21875" xr:uid="{00000000-0005-0000-0000-0000FF670000}"/>
    <cellStyle name="Normal 10 2" xfId="21876" xr:uid="{00000000-0005-0000-0000-000000680000}"/>
    <cellStyle name="Normal 10 2 2" xfId="21877" xr:uid="{00000000-0005-0000-0000-000001680000}"/>
    <cellStyle name="Normal 10 2 2 2" xfId="21878" xr:uid="{00000000-0005-0000-0000-000002680000}"/>
    <cellStyle name="Normal 10 2 2 2 2" xfId="21879" xr:uid="{00000000-0005-0000-0000-000003680000}"/>
    <cellStyle name="Normal 10 2 2 2 2 2" xfId="21880" xr:uid="{00000000-0005-0000-0000-000004680000}"/>
    <cellStyle name="Normal 10 2 2 2 3" xfId="21881" xr:uid="{00000000-0005-0000-0000-000005680000}"/>
    <cellStyle name="Normal 10 2 2 2 4" xfId="21882" xr:uid="{00000000-0005-0000-0000-000006680000}"/>
    <cellStyle name="Normal 10 2 2 2 5" xfId="39384" xr:uid="{00000000-0005-0000-0000-000007680000}"/>
    <cellStyle name="Normal 10 2 2 2 6" xfId="42256" xr:uid="{09CFEBD3-D9AB-45CB-BD39-7766B8868F83}"/>
    <cellStyle name="Normal 10 2 2 2 7" xfId="42364" xr:uid="{B9E3D1BB-FC8A-4614-A413-523FF307E16D}"/>
    <cellStyle name="Normal 10 2 3" xfId="21883" xr:uid="{00000000-0005-0000-0000-000008680000}"/>
    <cellStyle name="Normal 10 2 3 2" xfId="21884" xr:uid="{00000000-0005-0000-0000-000009680000}"/>
    <cellStyle name="Normal 10 2 3 2 2" xfId="21885" xr:uid="{00000000-0005-0000-0000-00000A680000}"/>
    <cellStyle name="Normal 10 2 3 3" xfId="21886" xr:uid="{00000000-0005-0000-0000-00000B680000}"/>
    <cellStyle name="Normal 10 2 3 4" xfId="21887" xr:uid="{00000000-0005-0000-0000-00000C680000}"/>
    <cellStyle name="Normal 10 2 3 5" xfId="39385" xr:uid="{00000000-0005-0000-0000-00000D680000}"/>
    <cellStyle name="Normal 10 2 4" xfId="21888" xr:uid="{00000000-0005-0000-0000-00000E680000}"/>
    <cellStyle name="Normal 10 2 5" xfId="21889" xr:uid="{00000000-0005-0000-0000-00000F680000}"/>
    <cellStyle name="Normal 10 2 5 2" xfId="21890" xr:uid="{00000000-0005-0000-0000-000010680000}"/>
    <cellStyle name="Normal 10 2 5 2 2" xfId="21891" xr:uid="{00000000-0005-0000-0000-000011680000}"/>
    <cellStyle name="Normal 10 2 5 3" xfId="21892" xr:uid="{00000000-0005-0000-0000-000012680000}"/>
    <cellStyle name="Normal 10 2 5 4" xfId="21893" xr:uid="{00000000-0005-0000-0000-000013680000}"/>
    <cellStyle name="Normal 10 2 6" xfId="35254" xr:uid="{00000000-0005-0000-0000-000014680000}"/>
    <cellStyle name="Normal 10 3" xfId="21894" xr:uid="{00000000-0005-0000-0000-000015680000}"/>
    <cellStyle name="Normal 10 3 2" xfId="21895" xr:uid="{00000000-0005-0000-0000-000016680000}"/>
    <cellStyle name="Normal 10 3 2 2" xfId="21896" xr:uid="{00000000-0005-0000-0000-000017680000}"/>
    <cellStyle name="Normal 10 3 2 2 2" xfId="21897" xr:uid="{00000000-0005-0000-0000-000018680000}"/>
    <cellStyle name="Normal 10 3 2 3" xfId="21898" xr:uid="{00000000-0005-0000-0000-000019680000}"/>
    <cellStyle name="Normal 10 3 2 4" xfId="21899" xr:uid="{00000000-0005-0000-0000-00001A680000}"/>
    <cellStyle name="Normal 10 3 2 5" xfId="39386" xr:uid="{00000000-0005-0000-0000-00001B680000}"/>
    <cellStyle name="Normal 10 3 3" xfId="21900" xr:uid="{00000000-0005-0000-0000-00001C680000}"/>
    <cellStyle name="Normal 10 3 3 2" xfId="21901" xr:uid="{00000000-0005-0000-0000-00001D680000}"/>
    <cellStyle name="Normal 10 3 3 2 2" xfId="21902" xr:uid="{00000000-0005-0000-0000-00001E680000}"/>
    <cellStyle name="Normal 10 3 3 3" xfId="21903" xr:uid="{00000000-0005-0000-0000-00001F680000}"/>
    <cellStyle name="Normal 10 3 3 4" xfId="21904" xr:uid="{00000000-0005-0000-0000-000020680000}"/>
    <cellStyle name="Normal 10 3 3 5" xfId="39387" xr:uid="{00000000-0005-0000-0000-000021680000}"/>
    <cellStyle name="Normal 10 3 4" xfId="21905" xr:uid="{00000000-0005-0000-0000-000022680000}"/>
    <cellStyle name="Normal 10 3 4 2" xfId="21906" xr:uid="{00000000-0005-0000-0000-000023680000}"/>
    <cellStyle name="Normal 10 3 4 2 2" xfId="21907" xr:uid="{00000000-0005-0000-0000-000024680000}"/>
    <cellStyle name="Normal 10 3 4 3" xfId="21908" xr:uid="{00000000-0005-0000-0000-000025680000}"/>
    <cellStyle name="Normal 10 3 4 4" xfId="21909" xr:uid="{00000000-0005-0000-0000-000026680000}"/>
    <cellStyle name="Normal 10 4" xfId="21910" xr:uid="{00000000-0005-0000-0000-000027680000}"/>
    <cellStyle name="Normal 10 4 2" xfId="21911" xr:uid="{00000000-0005-0000-0000-000028680000}"/>
    <cellStyle name="Normal 10 4 2 2" xfId="21912" xr:uid="{00000000-0005-0000-0000-000029680000}"/>
    <cellStyle name="Normal 10 4 2 2 2" xfId="21913" xr:uid="{00000000-0005-0000-0000-00002A680000}"/>
    <cellStyle name="Normal 10 4 2 3" xfId="21914" xr:uid="{00000000-0005-0000-0000-00002B680000}"/>
    <cellStyle name="Normal 10 4 2 4" xfId="21915" xr:uid="{00000000-0005-0000-0000-00002C680000}"/>
    <cellStyle name="Normal 10 4 2 5" xfId="39388" xr:uid="{00000000-0005-0000-0000-00002D680000}"/>
    <cellStyle name="Normal 10 4 3" xfId="21916" xr:uid="{00000000-0005-0000-0000-00002E680000}"/>
    <cellStyle name="Normal 10 4 3 2" xfId="21917" xr:uid="{00000000-0005-0000-0000-00002F680000}"/>
    <cellStyle name="Normal 10 4 3 2 2" xfId="21918" xr:uid="{00000000-0005-0000-0000-000030680000}"/>
    <cellStyle name="Normal 10 4 3 3" xfId="21919" xr:uid="{00000000-0005-0000-0000-000031680000}"/>
    <cellStyle name="Normal 10 4 3 4" xfId="21920" xr:uid="{00000000-0005-0000-0000-000032680000}"/>
    <cellStyle name="Normal 10 4 3 5" xfId="39389" xr:uid="{00000000-0005-0000-0000-000033680000}"/>
    <cellStyle name="Normal 10 4 4" xfId="21921" xr:uid="{00000000-0005-0000-0000-000034680000}"/>
    <cellStyle name="Normal 10 4 4 2" xfId="21922" xr:uid="{00000000-0005-0000-0000-000035680000}"/>
    <cellStyle name="Normal 10 4 4 2 2" xfId="21923" xr:uid="{00000000-0005-0000-0000-000036680000}"/>
    <cellStyle name="Normal 10 4 4 3" xfId="21924" xr:uid="{00000000-0005-0000-0000-000037680000}"/>
    <cellStyle name="Normal 10 4 4 4" xfId="21925" xr:uid="{00000000-0005-0000-0000-000038680000}"/>
    <cellStyle name="Normal 10 5" xfId="21926" xr:uid="{00000000-0005-0000-0000-000039680000}"/>
    <cellStyle name="Normal 10 5 2" xfId="21927" xr:uid="{00000000-0005-0000-0000-00003A680000}"/>
    <cellStyle name="Normal 10 5 2 2" xfId="21928" xr:uid="{00000000-0005-0000-0000-00003B680000}"/>
    <cellStyle name="Normal 10 5 3" xfId="21929" xr:uid="{00000000-0005-0000-0000-00003C680000}"/>
    <cellStyle name="Normal 10 5 4" xfId="21930" xr:uid="{00000000-0005-0000-0000-00003D680000}"/>
    <cellStyle name="Normal 10 5 5" xfId="39390" xr:uid="{00000000-0005-0000-0000-00003E680000}"/>
    <cellStyle name="Normal 10 6" xfId="21931" xr:uid="{00000000-0005-0000-0000-00003F680000}"/>
    <cellStyle name="Normal 10 6 2" xfId="21932" xr:uid="{00000000-0005-0000-0000-000040680000}"/>
    <cellStyle name="Normal 10 6 2 2" xfId="21933" xr:uid="{00000000-0005-0000-0000-000041680000}"/>
    <cellStyle name="Normal 10 6 3" xfId="21934" xr:uid="{00000000-0005-0000-0000-000042680000}"/>
    <cellStyle name="Normal 10 6 4" xfId="21935" xr:uid="{00000000-0005-0000-0000-000043680000}"/>
    <cellStyle name="Normal 10 6 5" xfId="39391" xr:uid="{00000000-0005-0000-0000-000044680000}"/>
    <cellStyle name="Normal 10 7" xfId="21936" xr:uid="{00000000-0005-0000-0000-000045680000}"/>
    <cellStyle name="Normal 10 8" xfId="41807" xr:uid="{04E7B07E-3EB0-4F86-A9D3-1D6B03F4E099}"/>
    <cellStyle name="Normal 100" xfId="21937" xr:uid="{00000000-0005-0000-0000-000046680000}"/>
    <cellStyle name="Normal 100 2" xfId="21938" xr:uid="{00000000-0005-0000-0000-000047680000}"/>
    <cellStyle name="Normal 101" xfId="21939" xr:uid="{00000000-0005-0000-0000-000048680000}"/>
    <cellStyle name="Normal 101 2" xfId="21940" xr:uid="{00000000-0005-0000-0000-000049680000}"/>
    <cellStyle name="Normal 102" xfId="21941" xr:uid="{00000000-0005-0000-0000-00004A680000}"/>
    <cellStyle name="Normal 102 2" xfId="21942" xr:uid="{00000000-0005-0000-0000-00004B680000}"/>
    <cellStyle name="Normal 103" xfId="21943" xr:uid="{00000000-0005-0000-0000-00004C680000}"/>
    <cellStyle name="Normal 103 2" xfId="21944" xr:uid="{00000000-0005-0000-0000-00004D680000}"/>
    <cellStyle name="Normal 104" xfId="21945" xr:uid="{00000000-0005-0000-0000-00004E680000}"/>
    <cellStyle name="Normal 104 2" xfId="21946" xr:uid="{00000000-0005-0000-0000-00004F680000}"/>
    <cellStyle name="Normal 105" xfId="21947" xr:uid="{00000000-0005-0000-0000-000050680000}"/>
    <cellStyle name="Normal 105 2" xfId="21948" xr:uid="{00000000-0005-0000-0000-000051680000}"/>
    <cellStyle name="Normal 106" xfId="21949" xr:uid="{00000000-0005-0000-0000-000052680000}"/>
    <cellStyle name="Normal 106 2" xfId="21950" xr:uid="{00000000-0005-0000-0000-000053680000}"/>
    <cellStyle name="Normal 107" xfId="21951" xr:uid="{00000000-0005-0000-0000-000054680000}"/>
    <cellStyle name="Normal 107 2" xfId="21952" xr:uid="{00000000-0005-0000-0000-000055680000}"/>
    <cellStyle name="Normal 108" xfId="21953" xr:uid="{00000000-0005-0000-0000-000056680000}"/>
    <cellStyle name="Normal 108 2" xfId="21954" xr:uid="{00000000-0005-0000-0000-000057680000}"/>
    <cellStyle name="Normal 109" xfId="21955" xr:uid="{00000000-0005-0000-0000-000058680000}"/>
    <cellStyle name="Normal 109 2" xfId="21956" xr:uid="{00000000-0005-0000-0000-000059680000}"/>
    <cellStyle name="Normal 11" xfId="21957" xr:uid="{00000000-0005-0000-0000-00005A680000}"/>
    <cellStyle name="Normal 11 2" xfId="21958" xr:uid="{00000000-0005-0000-0000-00005B680000}"/>
    <cellStyle name="Normal 11 2 2" xfId="21959" xr:uid="{00000000-0005-0000-0000-00005C680000}"/>
    <cellStyle name="Normal 11 2 2 2" xfId="21960" xr:uid="{00000000-0005-0000-0000-00005D680000}"/>
    <cellStyle name="Normal 11 2 2 2 2" xfId="21961" xr:uid="{00000000-0005-0000-0000-00005E680000}"/>
    <cellStyle name="Normal 11 2 2 3" xfId="21962" xr:uid="{00000000-0005-0000-0000-00005F680000}"/>
    <cellStyle name="Normal 11 2 2 4" xfId="21963" xr:uid="{00000000-0005-0000-0000-000060680000}"/>
    <cellStyle name="Normal 11 2 2 5" xfId="39392" xr:uid="{00000000-0005-0000-0000-000061680000}"/>
    <cellStyle name="Normal 11 2 3" xfId="21964" xr:uid="{00000000-0005-0000-0000-000062680000}"/>
    <cellStyle name="Normal 11 2 3 2" xfId="21965" xr:uid="{00000000-0005-0000-0000-000063680000}"/>
    <cellStyle name="Normal 11 2 3 2 2" xfId="21966" xr:uid="{00000000-0005-0000-0000-000064680000}"/>
    <cellStyle name="Normal 11 2 3 3" xfId="21967" xr:uid="{00000000-0005-0000-0000-000065680000}"/>
    <cellStyle name="Normal 11 2 3 4" xfId="21968" xr:uid="{00000000-0005-0000-0000-000066680000}"/>
    <cellStyle name="Normal 11 2 3 5" xfId="39393" xr:uid="{00000000-0005-0000-0000-000067680000}"/>
    <cellStyle name="Normal 11 2 4" xfId="21969" xr:uid="{00000000-0005-0000-0000-000068680000}"/>
    <cellStyle name="Normal 11 2 4 2" xfId="21970" xr:uid="{00000000-0005-0000-0000-000069680000}"/>
    <cellStyle name="Normal 11 2 4 2 2" xfId="21971" xr:uid="{00000000-0005-0000-0000-00006A680000}"/>
    <cellStyle name="Normal 11 2 4 3" xfId="21972" xr:uid="{00000000-0005-0000-0000-00006B680000}"/>
    <cellStyle name="Normal 11 2 4 4" xfId="21973" xr:uid="{00000000-0005-0000-0000-00006C680000}"/>
    <cellStyle name="Normal 11 2 5" xfId="35255" xr:uid="{00000000-0005-0000-0000-00006D680000}"/>
    <cellStyle name="Normal 11 2 6" xfId="42005" xr:uid="{B311B64F-F854-4024-B28D-CC967A40EDF0}"/>
    <cellStyle name="Normal 11 3" xfId="21974" xr:uid="{00000000-0005-0000-0000-00006E680000}"/>
    <cellStyle name="Normal 11 3 2" xfId="21975" xr:uid="{00000000-0005-0000-0000-00006F680000}"/>
    <cellStyle name="Normal 11 3 2 2" xfId="21976" xr:uid="{00000000-0005-0000-0000-000070680000}"/>
    <cellStyle name="Normal 11 3 2 2 2" xfId="21977" xr:uid="{00000000-0005-0000-0000-000071680000}"/>
    <cellStyle name="Normal 11 3 2 3" xfId="21978" xr:uid="{00000000-0005-0000-0000-000072680000}"/>
    <cellStyle name="Normal 11 3 2 4" xfId="21979" xr:uid="{00000000-0005-0000-0000-000073680000}"/>
    <cellStyle name="Normal 11 3 2 5" xfId="39394" xr:uid="{00000000-0005-0000-0000-000074680000}"/>
    <cellStyle name="Normal 11 3 3" xfId="21980" xr:uid="{00000000-0005-0000-0000-000075680000}"/>
    <cellStyle name="Normal 11 3 3 2" xfId="21981" xr:uid="{00000000-0005-0000-0000-000076680000}"/>
    <cellStyle name="Normal 11 3 3 2 2" xfId="21982" xr:uid="{00000000-0005-0000-0000-000077680000}"/>
    <cellStyle name="Normal 11 3 3 3" xfId="21983" xr:uid="{00000000-0005-0000-0000-000078680000}"/>
    <cellStyle name="Normal 11 3 3 4" xfId="21984" xr:uid="{00000000-0005-0000-0000-000079680000}"/>
    <cellStyle name="Normal 11 3 3 5" xfId="39395" xr:uid="{00000000-0005-0000-0000-00007A680000}"/>
    <cellStyle name="Normal 11 3 4" xfId="21985" xr:uid="{00000000-0005-0000-0000-00007B680000}"/>
    <cellStyle name="Normal 11 3 4 2" xfId="21986" xr:uid="{00000000-0005-0000-0000-00007C680000}"/>
    <cellStyle name="Normal 11 3 4 2 2" xfId="21987" xr:uid="{00000000-0005-0000-0000-00007D680000}"/>
    <cellStyle name="Normal 11 3 4 3" xfId="21988" xr:uid="{00000000-0005-0000-0000-00007E680000}"/>
    <cellStyle name="Normal 11 3 4 4" xfId="21989" xr:uid="{00000000-0005-0000-0000-00007F680000}"/>
    <cellStyle name="Normal 11 3 5" xfId="42079" xr:uid="{B36DE7D3-C5F9-4011-930A-5B063E2525FA}"/>
    <cellStyle name="Normal 11 4" xfId="21990" xr:uid="{00000000-0005-0000-0000-000080680000}"/>
    <cellStyle name="Normal 11 4 2" xfId="21991" xr:uid="{00000000-0005-0000-0000-000081680000}"/>
    <cellStyle name="Normal 11 4 2 2" xfId="21992" xr:uid="{00000000-0005-0000-0000-000082680000}"/>
    <cellStyle name="Normal 11 4 2 2 2" xfId="21993" xr:uid="{00000000-0005-0000-0000-000083680000}"/>
    <cellStyle name="Normal 11 4 2 3" xfId="21994" xr:uid="{00000000-0005-0000-0000-000084680000}"/>
    <cellStyle name="Normal 11 4 2 4" xfId="21995" xr:uid="{00000000-0005-0000-0000-000085680000}"/>
    <cellStyle name="Normal 11 4 2 5" xfId="39397" xr:uid="{00000000-0005-0000-0000-000086680000}"/>
    <cellStyle name="Normal 11 4 3" xfId="21996" xr:uid="{00000000-0005-0000-0000-000087680000}"/>
    <cellStyle name="Normal 11 4 3 2" xfId="21997" xr:uid="{00000000-0005-0000-0000-000088680000}"/>
    <cellStyle name="Normal 11 4 3 2 2" xfId="21998" xr:uid="{00000000-0005-0000-0000-000089680000}"/>
    <cellStyle name="Normal 11 4 3 3" xfId="21999" xr:uid="{00000000-0005-0000-0000-00008A680000}"/>
    <cellStyle name="Normal 11 4 3 4" xfId="22000" xr:uid="{00000000-0005-0000-0000-00008B680000}"/>
    <cellStyle name="Normal 11 4 3 5" xfId="39398" xr:uid="{00000000-0005-0000-0000-00008C680000}"/>
    <cellStyle name="Normal 11 4 4" xfId="22001" xr:uid="{00000000-0005-0000-0000-00008D680000}"/>
    <cellStyle name="Normal 11 4 4 2" xfId="22002" xr:uid="{00000000-0005-0000-0000-00008E680000}"/>
    <cellStyle name="Normal 11 4 5" xfId="22003" xr:uid="{00000000-0005-0000-0000-00008F680000}"/>
    <cellStyle name="Normal 11 4 6" xfId="22004" xr:uid="{00000000-0005-0000-0000-000090680000}"/>
    <cellStyle name="Normal 11 4 7" xfId="39396" xr:uid="{00000000-0005-0000-0000-000091680000}"/>
    <cellStyle name="Normal 11 4 8" xfId="42233" xr:uid="{39EC161B-5C39-4781-8300-3E0743A7577D}"/>
    <cellStyle name="Normal 11 5" xfId="22005" xr:uid="{00000000-0005-0000-0000-000092680000}"/>
    <cellStyle name="Normal 11 5 2" xfId="22006" xr:uid="{00000000-0005-0000-0000-000093680000}"/>
    <cellStyle name="Normal 11 5 2 2" xfId="22007" xr:uid="{00000000-0005-0000-0000-000094680000}"/>
    <cellStyle name="Normal 11 5 3" xfId="22008" xr:uid="{00000000-0005-0000-0000-000095680000}"/>
    <cellStyle name="Normal 11 5 4" xfId="22009" xr:uid="{00000000-0005-0000-0000-000096680000}"/>
    <cellStyle name="Normal 11 5 5" xfId="39399" xr:uid="{00000000-0005-0000-0000-000097680000}"/>
    <cellStyle name="Normal 11 6" xfId="22010" xr:uid="{00000000-0005-0000-0000-000098680000}"/>
    <cellStyle name="Normal 11 6 2" xfId="22011" xr:uid="{00000000-0005-0000-0000-000099680000}"/>
    <cellStyle name="Normal 11 6 2 2" xfId="22012" xr:uid="{00000000-0005-0000-0000-00009A680000}"/>
    <cellStyle name="Normal 11 6 3" xfId="22013" xr:uid="{00000000-0005-0000-0000-00009B680000}"/>
    <cellStyle name="Normal 11 6 4" xfId="22014" xr:uid="{00000000-0005-0000-0000-00009C680000}"/>
    <cellStyle name="Normal 11 6 5" xfId="39400" xr:uid="{00000000-0005-0000-0000-00009D680000}"/>
    <cellStyle name="Normal 11 7" xfId="22015" xr:uid="{00000000-0005-0000-0000-00009E680000}"/>
    <cellStyle name="Normal 11 7 2" xfId="22016" xr:uid="{00000000-0005-0000-0000-00009F680000}"/>
    <cellStyle name="Normal 11 7 2 2" xfId="22017" xr:uid="{00000000-0005-0000-0000-0000A0680000}"/>
    <cellStyle name="Normal 11 7 3" xfId="22018" xr:uid="{00000000-0005-0000-0000-0000A1680000}"/>
    <cellStyle name="Normal 11 7 4" xfId="22019" xr:uid="{00000000-0005-0000-0000-0000A2680000}"/>
    <cellStyle name="Normal 11 7 5" xfId="39401" xr:uid="{00000000-0005-0000-0000-0000A3680000}"/>
    <cellStyle name="Normal 11 8" xfId="42001" xr:uid="{74BB5DD5-ABAD-4B4C-9871-44FFB30DA489}"/>
    <cellStyle name="Normal 110" xfId="22020" xr:uid="{00000000-0005-0000-0000-0000A4680000}"/>
    <cellStyle name="Normal 110 2" xfId="22021" xr:uid="{00000000-0005-0000-0000-0000A5680000}"/>
    <cellStyle name="Normal 111" xfId="22022" xr:uid="{00000000-0005-0000-0000-0000A6680000}"/>
    <cellStyle name="Normal 111 2" xfId="22023" xr:uid="{00000000-0005-0000-0000-0000A7680000}"/>
    <cellStyle name="Normal 112" xfId="22024" xr:uid="{00000000-0005-0000-0000-0000A8680000}"/>
    <cellStyle name="Normal 112 2" xfId="22025" xr:uid="{00000000-0005-0000-0000-0000A9680000}"/>
    <cellStyle name="Normal 113" xfId="22026" xr:uid="{00000000-0005-0000-0000-0000AA680000}"/>
    <cellStyle name="Normal 113 2" xfId="22027" xr:uid="{00000000-0005-0000-0000-0000AB680000}"/>
    <cellStyle name="Normal 113 2 2" xfId="22028" xr:uid="{00000000-0005-0000-0000-0000AC680000}"/>
    <cellStyle name="Normal 113 3" xfId="22029" xr:uid="{00000000-0005-0000-0000-0000AD680000}"/>
    <cellStyle name="Normal 114" xfId="22030" xr:uid="{00000000-0005-0000-0000-0000AE680000}"/>
    <cellStyle name="Normal 114 2" xfId="22031" xr:uid="{00000000-0005-0000-0000-0000AF680000}"/>
    <cellStyle name="Normal 114 2 2" xfId="22032" xr:uid="{00000000-0005-0000-0000-0000B0680000}"/>
    <cellStyle name="Normal 114 2 3" xfId="42234" xr:uid="{95FBA01B-1F02-452F-BDD2-10F3605D7FBA}"/>
    <cellStyle name="Normal 114 3" xfId="22033" xr:uid="{00000000-0005-0000-0000-0000B1680000}"/>
    <cellStyle name="Normal 114 3 2" xfId="35256" xr:uid="{00000000-0005-0000-0000-0000B2680000}"/>
    <cellStyle name="Normal 114 4" xfId="35257" xr:uid="{00000000-0005-0000-0000-0000B3680000}"/>
    <cellStyle name="Normal 115" xfId="22034" xr:uid="{00000000-0005-0000-0000-0000B4680000}"/>
    <cellStyle name="Normal 115 2" xfId="22035" xr:uid="{00000000-0005-0000-0000-0000B5680000}"/>
    <cellStyle name="Normal 115 2 2" xfId="22036" xr:uid="{00000000-0005-0000-0000-0000B6680000}"/>
    <cellStyle name="Normal 115 3" xfId="22037" xr:uid="{00000000-0005-0000-0000-0000B7680000}"/>
    <cellStyle name="Normal 116" xfId="22038" xr:uid="{00000000-0005-0000-0000-0000B8680000}"/>
    <cellStyle name="Normal 116 2" xfId="22039" xr:uid="{00000000-0005-0000-0000-0000B9680000}"/>
    <cellStyle name="Normal 117" xfId="22040" xr:uid="{00000000-0005-0000-0000-0000BA680000}"/>
    <cellStyle name="Normal 117 2" xfId="22041" xr:uid="{00000000-0005-0000-0000-0000BB680000}"/>
    <cellStyle name="Normal 118" xfId="22042" xr:uid="{00000000-0005-0000-0000-0000BC680000}"/>
    <cellStyle name="Normal 118 2" xfId="22043" xr:uid="{00000000-0005-0000-0000-0000BD680000}"/>
    <cellStyle name="Normal 119" xfId="22044" xr:uid="{00000000-0005-0000-0000-0000BE680000}"/>
    <cellStyle name="Normal 119 2" xfId="22045" xr:uid="{00000000-0005-0000-0000-0000BF680000}"/>
    <cellStyle name="Normal 12" xfId="22046" xr:uid="{00000000-0005-0000-0000-0000C0680000}"/>
    <cellStyle name="Normal 12 2" xfId="22047" xr:uid="{00000000-0005-0000-0000-0000C1680000}"/>
    <cellStyle name="Normal 12 2 2" xfId="22048" xr:uid="{00000000-0005-0000-0000-0000C2680000}"/>
    <cellStyle name="Normal 12 2 2 2" xfId="22049" xr:uid="{00000000-0005-0000-0000-0000C3680000}"/>
    <cellStyle name="Normal 12 2 2 2 2" xfId="22050" xr:uid="{00000000-0005-0000-0000-0000C4680000}"/>
    <cellStyle name="Normal 12 2 2 2 2 2" xfId="22051" xr:uid="{00000000-0005-0000-0000-0000C5680000}"/>
    <cellStyle name="Normal 12 2 2 2 3" xfId="22052" xr:uid="{00000000-0005-0000-0000-0000C6680000}"/>
    <cellStyle name="Normal 12 2 2 2 4" xfId="22053" xr:uid="{00000000-0005-0000-0000-0000C7680000}"/>
    <cellStyle name="Normal 12 2 2 2 5" xfId="39402" xr:uid="{00000000-0005-0000-0000-0000C8680000}"/>
    <cellStyle name="Normal 12 2 3" xfId="22054" xr:uid="{00000000-0005-0000-0000-0000C9680000}"/>
    <cellStyle name="Normal 12 2 3 2" xfId="22055" xr:uid="{00000000-0005-0000-0000-0000CA680000}"/>
    <cellStyle name="Normal 12 2 3 2 2" xfId="22056" xr:uid="{00000000-0005-0000-0000-0000CB680000}"/>
    <cellStyle name="Normal 12 2 3 3" xfId="22057" xr:uid="{00000000-0005-0000-0000-0000CC680000}"/>
    <cellStyle name="Normal 12 2 3 4" xfId="22058" xr:uid="{00000000-0005-0000-0000-0000CD680000}"/>
    <cellStyle name="Normal 12 2 3 5" xfId="39403" xr:uid="{00000000-0005-0000-0000-0000CE680000}"/>
    <cellStyle name="Normal 12 2 4" xfId="22059" xr:uid="{00000000-0005-0000-0000-0000CF680000}"/>
    <cellStyle name="Normal 12 2 4 2" xfId="22060" xr:uid="{00000000-0005-0000-0000-0000D0680000}"/>
    <cellStyle name="Normal 12 2 4 2 2" xfId="22061" xr:uid="{00000000-0005-0000-0000-0000D1680000}"/>
    <cellStyle name="Normal 12 2 4 3" xfId="22062" xr:uid="{00000000-0005-0000-0000-0000D2680000}"/>
    <cellStyle name="Normal 12 2 4 4" xfId="22063" xr:uid="{00000000-0005-0000-0000-0000D3680000}"/>
    <cellStyle name="Normal 12 2 5" xfId="35258" xr:uid="{00000000-0005-0000-0000-0000D4680000}"/>
    <cellStyle name="Normal 12 3" xfId="22064" xr:uid="{00000000-0005-0000-0000-0000D5680000}"/>
    <cellStyle name="Normal 12 3 2" xfId="22065" xr:uid="{00000000-0005-0000-0000-0000D6680000}"/>
    <cellStyle name="Normal 12 3 2 2" xfId="22066" xr:uid="{00000000-0005-0000-0000-0000D7680000}"/>
    <cellStyle name="Normal 12 3 2 2 2" xfId="22067" xr:uid="{00000000-0005-0000-0000-0000D8680000}"/>
    <cellStyle name="Normal 12 3 2 3" xfId="22068" xr:uid="{00000000-0005-0000-0000-0000D9680000}"/>
    <cellStyle name="Normal 12 3 2 4" xfId="22069" xr:uid="{00000000-0005-0000-0000-0000DA680000}"/>
    <cellStyle name="Normal 12 3 2 5" xfId="39404" xr:uid="{00000000-0005-0000-0000-0000DB680000}"/>
    <cellStyle name="Normal 12 3 3" xfId="22070" xr:uid="{00000000-0005-0000-0000-0000DC680000}"/>
    <cellStyle name="Normal 12 3 3 2" xfId="22071" xr:uid="{00000000-0005-0000-0000-0000DD680000}"/>
    <cellStyle name="Normal 12 3 3 2 2" xfId="22072" xr:uid="{00000000-0005-0000-0000-0000DE680000}"/>
    <cellStyle name="Normal 12 3 3 3" xfId="22073" xr:uid="{00000000-0005-0000-0000-0000DF680000}"/>
    <cellStyle name="Normal 12 3 3 4" xfId="22074" xr:uid="{00000000-0005-0000-0000-0000E0680000}"/>
    <cellStyle name="Normal 12 3 3 5" xfId="39405" xr:uid="{00000000-0005-0000-0000-0000E1680000}"/>
    <cellStyle name="Normal 12 3 4" xfId="22075" xr:uid="{00000000-0005-0000-0000-0000E2680000}"/>
    <cellStyle name="Normal 12 3 4 2" xfId="22076" xr:uid="{00000000-0005-0000-0000-0000E3680000}"/>
    <cellStyle name="Normal 12 3 4 2 2" xfId="22077" xr:uid="{00000000-0005-0000-0000-0000E4680000}"/>
    <cellStyle name="Normal 12 3 4 3" xfId="22078" xr:uid="{00000000-0005-0000-0000-0000E5680000}"/>
    <cellStyle name="Normal 12 3 4 4" xfId="22079" xr:uid="{00000000-0005-0000-0000-0000E6680000}"/>
    <cellStyle name="Normal 12 4" xfId="22080" xr:uid="{00000000-0005-0000-0000-0000E7680000}"/>
    <cellStyle name="Normal 12 4 2" xfId="22081" xr:uid="{00000000-0005-0000-0000-0000E8680000}"/>
    <cellStyle name="Normal 12 4 2 2" xfId="22082" xr:uid="{00000000-0005-0000-0000-0000E9680000}"/>
    <cellStyle name="Normal 12 4 2 2 2" xfId="22083" xr:uid="{00000000-0005-0000-0000-0000EA680000}"/>
    <cellStyle name="Normal 12 4 2 3" xfId="22084" xr:uid="{00000000-0005-0000-0000-0000EB680000}"/>
    <cellStyle name="Normal 12 4 2 4" xfId="22085" xr:uid="{00000000-0005-0000-0000-0000EC680000}"/>
    <cellStyle name="Normal 12 4 2 5" xfId="39406" xr:uid="{00000000-0005-0000-0000-0000ED680000}"/>
    <cellStyle name="Normal 12 4 3" xfId="22086" xr:uid="{00000000-0005-0000-0000-0000EE680000}"/>
    <cellStyle name="Normal 12 4 3 2" xfId="22087" xr:uid="{00000000-0005-0000-0000-0000EF680000}"/>
    <cellStyle name="Normal 12 4 3 2 2" xfId="22088" xr:uid="{00000000-0005-0000-0000-0000F0680000}"/>
    <cellStyle name="Normal 12 4 3 3" xfId="22089" xr:uid="{00000000-0005-0000-0000-0000F1680000}"/>
    <cellStyle name="Normal 12 4 3 4" xfId="22090" xr:uid="{00000000-0005-0000-0000-0000F2680000}"/>
    <cellStyle name="Normal 12 4 3 5" xfId="39407" xr:uid="{00000000-0005-0000-0000-0000F3680000}"/>
    <cellStyle name="Normal 12 4 4" xfId="22091" xr:uid="{00000000-0005-0000-0000-0000F4680000}"/>
    <cellStyle name="Normal 12 4 4 2" xfId="22092" xr:uid="{00000000-0005-0000-0000-0000F5680000}"/>
    <cellStyle name="Normal 12 4 4 2 2" xfId="22093" xr:uid="{00000000-0005-0000-0000-0000F6680000}"/>
    <cellStyle name="Normal 12 4 4 3" xfId="22094" xr:uid="{00000000-0005-0000-0000-0000F7680000}"/>
    <cellStyle name="Normal 12 4 4 4" xfId="22095" xr:uid="{00000000-0005-0000-0000-0000F8680000}"/>
    <cellStyle name="Normal 12 5" xfId="22096" xr:uid="{00000000-0005-0000-0000-0000F9680000}"/>
    <cellStyle name="Normal 12 5 2" xfId="22097" xr:uid="{00000000-0005-0000-0000-0000FA680000}"/>
    <cellStyle name="Normal 12 5 2 2" xfId="22098" xr:uid="{00000000-0005-0000-0000-0000FB680000}"/>
    <cellStyle name="Normal 12 5 3" xfId="22099" xr:uid="{00000000-0005-0000-0000-0000FC680000}"/>
    <cellStyle name="Normal 12 5 4" xfId="22100" xr:uid="{00000000-0005-0000-0000-0000FD680000}"/>
    <cellStyle name="Normal 12 5 5" xfId="39408" xr:uid="{00000000-0005-0000-0000-0000FE680000}"/>
    <cellStyle name="Normal 12 6" xfId="22101" xr:uid="{00000000-0005-0000-0000-0000FF680000}"/>
    <cellStyle name="Normal 12 6 2" xfId="22102" xr:uid="{00000000-0005-0000-0000-000000690000}"/>
    <cellStyle name="Normal 12 6 2 2" xfId="22103" xr:uid="{00000000-0005-0000-0000-000001690000}"/>
    <cellStyle name="Normal 12 6 2 2 2" xfId="22104" xr:uid="{00000000-0005-0000-0000-000002690000}"/>
    <cellStyle name="Normal 12 6 2 3" xfId="22105" xr:uid="{00000000-0005-0000-0000-000003690000}"/>
    <cellStyle name="Normal 12 6 2 4" xfId="22106" xr:uid="{00000000-0005-0000-0000-000004690000}"/>
    <cellStyle name="Normal 12 6 2 5" xfId="39409" xr:uid="{00000000-0005-0000-0000-000005690000}"/>
    <cellStyle name="Normal 12 7" xfId="22107" xr:uid="{00000000-0005-0000-0000-000006690000}"/>
    <cellStyle name="Normal 12 7 2" xfId="22108" xr:uid="{00000000-0005-0000-0000-000007690000}"/>
    <cellStyle name="Normal 12 7 2 2" xfId="22109" xr:uid="{00000000-0005-0000-0000-000008690000}"/>
    <cellStyle name="Normal 12 7 3" xfId="22110" xr:uid="{00000000-0005-0000-0000-000009690000}"/>
    <cellStyle name="Normal 12 7 4" xfId="22111" xr:uid="{00000000-0005-0000-0000-00000A690000}"/>
    <cellStyle name="Normal 12 7 5" xfId="39410" xr:uid="{00000000-0005-0000-0000-00000B690000}"/>
    <cellStyle name="Normal 120" xfId="22112" xr:uid="{00000000-0005-0000-0000-00000C690000}"/>
    <cellStyle name="Normal 120 2" xfId="22113" xr:uid="{00000000-0005-0000-0000-00000D690000}"/>
    <cellStyle name="Normal 120 2 2" xfId="22114" xr:uid="{00000000-0005-0000-0000-00000E690000}"/>
    <cellStyle name="Normal 120 3" xfId="22115" xr:uid="{00000000-0005-0000-0000-00000F690000}"/>
    <cellStyle name="Normal 121" xfId="22116" xr:uid="{00000000-0005-0000-0000-000010690000}"/>
    <cellStyle name="Normal 121 2" xfId="22117" xr:uid="{00000000-0005-0000-0000-000011690000}"/>
    <cellStyle name="Normal 121 2 2" xfId="22118" xr:uid="{00000000-0005-0000-0000-000012690000}"/>
    <cellStyle name="Normal 121 3" xfId="22119" xr:uid="{00000000-0005-0000-0000-000013690000}"/>
    <cellStyle name="Normal 122" xfId="22120" xr:uid="{00000000-0005-0000-0000-000014690000}"/>
    <cellStyle name="Normal 122 2" xfId="22121" xr:uid="{00000000-0005-0000-0000-000015690000}"/>
    <cellStyle name="Normal 122 2 2" xfId="22122" xr:uid="{00000000-0005-0000-0000-000016690000}"/>
    <cellStyle name="Normal 122 3" xfId="22123" xr:uid="{00000000-0005-0000-0000-000017690000}"/>
    <cellStyle name="Normal 123" xfId="22124" xr:uid="{00000000-0005-0000-0000-000018690000}"/>
    <cellStyle name="Normal 123 2" xfId="22125" xr:uid="{00000000-0005-0000-0000-000019690000}"/>
    <cellStyle name="Normal 123 2 2" xfId="22126" xr:uid="{00000000-0005-0000-0000-00001A690000}"/>
    <cellStyle name="Normal 123 3" xfId="22127" xr:uid="{00000000-0005-0000-0000-00001B690000}"/>
    <cellStyle name="Normal 124" xfId="22128" xr:uid="{00000000-0005-0000-0000-00001C690000}"/>
    <cellStyle name="Normal 124 2" xfId="22129" xr:uid="{00000000-0005-0000-0000-00001D690000}"/>
    <cellStyle name="Normal 124 2 2" xfId="22130" xr:uid="{00000000-0005-0000-0000-00001E690000}"/>
    <cellStyle name="Normal 124 3" xfId="22131" xr:uid="{00000000-0005-0000-0000-00001F690000}"/>
    <cellStyle name="Normal 125" xfId="22132" xr:uid="{00000000-0005-0000-0000-000020690000}"/>
    <cellStyle name="Normal 125 2" xfId="22133" xr:uid="{00000000-0005-0000-0000-000021690000}"/>
    <cellStyle name="Normal 125 2 2" xfId="22134" xr:uid="{00000000-0005-0000-0000-000022690000}"/>
    <cellStyle name="Normal 125 3" xfId="22135" xr:uid="{00000000-0005-0000-0000-000023690000}"/>
    <cellStyle name="Normal 126" xfId="22136" xr:uid="{00000000-0005-0000-0000-000024690000}"/>
    <cellStyle name="Normal 126 2" xfId="22137" xr:uid="{00000000-0005-0000-0000-000025690000}"/>
    <cellStyle name="Normal 126 2 2" xfId="22138" xr:uid="{00000000-0005-0000-0000-000026690000}"/>
    <cellStyle name="Normal 126 3" xfId="22139" xr:uid="{00000000-0005-0000-0000-000027690000}"/>
    <cellStyle name="Normal 127" xfId="22140" xr:uid="{00000000-0005-0000-0000-000028690000}"/>
    <cellStyle name="Normal 127 2" xfId="22141" xr:uid="{00000000-0005-0000-0000-000029690000}"/>
    <cellStyle name="Normal 127 2 2" xfId="22142" xr:uid="{00000000-0005-0000-0000-00002A690000}"/>
    <cellStyle name="Normal 127 3" xfId="22143" xr:uid="{00000000-0005-0000-0000-00002B690000}"/>
    <cellStyle name="Normal 128" xfId="22144" xr:uid="{00000000-0005-0000-0000-00002C690000}"/>
    <cellStyle name="Normal 128 2" xfId="22145" xr:uid="{00000000-0005-0000-0000-00002D690000}"/>
    <cellStyle name="Normal 128 2 2" xfId="22146" xr:uid="{00000000-0005-0000-0000-00002E690000}"/>
    <cellStyle name="Normal 128 3" xfId="22147" xr:uid="{00000000-0005-0000-0000-00002F690000}"/>
    <cellStyle name="Normal 129" xfId="22148" xr:uid="{00000000-0005-0000-0000-000030690000}"/>
    <cellStyle name="Normal 129 2" xfId="22149" xr:uid="{00000000-0005-0000-0000-000031690000}"/>
    <cellStyle name="Normal 13" xfId="22150" xr:uid="{00000000-0005-0000-0000-000032690000}"/>
    <cellStyle name="Normal 13 2" xfId="22151" xr:uid="{00000000-0005-0000-0000-000033690000}"/>
    <cellStyle name="Normal 13 2 2" xfId="22152" xr:uid="{00000000-0005-0000-0000-000034690000}"/>
    <cellStyle name="Normal 13 2 2 2" xfId="22153" xr:uid="{00000000-0005-0000-0000-000035690000}"/>
    <cellStyle name="Normal 13 2 2 2 2" xfId="22154" xr:uid="{00000000-0005-0000-0000-000036690000}"/>
    <cellStyle name="Normal 13 2 2 3" xfId="22155" xr:uid="{00000000-0005-0000-0000-000037690000}"/>
    <cellStyle name="Normal 13 2 2 4" xfId="22156" xr:uid="{00000000-0005-0000-0000-000038690000}"/>
    <cellStyle name="Normal 13 2 2 5" xfId="39411" xr:uid="{00000000-0005-0000-0000-000039690000}"/>
    <cellStyle name="Normal 13 2 3" xfId="22157" xr:uid="{00000000-0005-0000-0000-00003A690000}"/>
    <cellStyle name="Normal 13 2 3 2" xfId="22158" xr:uid="{00000000-0005-0000-0000-00003B690000}"/>
    <cellStyle name="Normal 13 2 3 2 2" xfId="22159" xr:uid="{00000000-0005-0000-0000-00003C690000}"/>
    <cellStyle name="Normal 13 2 3 3" xfId="22160" xr:uid="{00000000-0005-0000-0000-00003D690000}"/>
    <cellStyle name="Normal 13 2 3 4" xfId="22161" xr:uid="{00000000-0005-0000-0000-00003E690000}"/>
    <cellStyle name="Normal 13 2 3 5" xfId="39412" xr:uid="{00000000-0005-0000-0000-00003F690000}"/>
    <cellStyle name="Normal 13 2 4" xfId="22162" xr:uid="{00000000-0005-0000-0000-000040690000}"/>
    <cellStyle name="Normal 13 2 4 2" xfId="22163" xr:uid="{00000000-0005-0000-0000-000041690000}"/>
    <cellStyle name="Normal 13 2 4 2 2" xfId="22164" xr:uid="{00000000-0005-0000-0000-000042690000}"/>
    <cellStyle name="Normal 13 2 4 3" xfId="22165" xr:uid="{00000000-0005-0000-0000-000043690000}"/>
    <cellStyle name="Normal 13 2 4 4" xfId="22166" xr:uid="{00000000-0005-0000-0000-000044690000}"/>
    <cellStyle name="Normal 13 2 5" xfId="35259" xr:uid="{00000000-0005-0000-0000-000045690000}"/>
    <cellStyle name="Normal 13 3" xfId="22167" xr:uid="{00000000-0005-0000-0000-000046690000}"/>
    <cellStyle name="Normal 13 3 2" xfId="22168" xr:uid="{00000000-0005-0000-0000-000047690000}"/>
    <cellStyle name="Normal 13 3 2 2" xfId="22169" xr:uid="{00000000-0005-0000-0000-000048690000}"/>
    <cellStyle name="Normal 13 3 2 2 2" xfId="22170" xr:uid="{00000000-0005-0000-0000-000049690000}"/>
    <cellStyle name="Normal 13 3 2 3" xfId="22171" xr:uid="{00000000-0005-0000-0000-00004A690000}"/>
    <cellStyle name="Normal 13 3 2 4" xfId="22172" xr:uid="{00000000-0005-0000-0000-00004B690000}"/>
    <cellStyle name="Normal 13 3 2 5" xfId="39413" xr:uid="{00000000-0005-0000-0000-00004C690000}"/>
    <cellStyle name="Normal 13 3 3" xfId="22173" xr:uid="{00000000-0005-0000-0000-00004D690000}"/>
    <cellStyle name="Normal 13 3 3 2" xfId="22174" xr:uid="{00000000-0005-0000-0000-00004E690000}"/>
    <cellStyle name="Normal 13 3 3 2 2" xfId="22175" xr:uid="{00000000-0005-0000-0000-00004F690000}"/>
    <cellStyle name="Normal 13 3 3 3" xfId="22176" xr:uid="{00000000-0005-0000-0000-000050690000}"/>
    <cellStyle name="Normal 13 3 3 4" xfId="22177" xr:uid="{00000000-0005-0000-0000-000051690000}"/>
    <cellStyle name="Normal 13 3 3 5" xfId="39414" xr:uid="{00000000-0005-0000-0000-000052690000}"/>
    <cellStyle name="Normal 13 3 4" xfId="22178" xr:uid="{00000000-0005-0000-0000-000053690000}"/>
    <cellStyle name="Normal 13 3 4 2" xfId="22179" xr:uid="{00000000-0005-0000-0000-000054690000}"/>
    <cellStyle name="Normal 13 3 4 2 2" xfId="22180" xr:uid="{00000000-0005-0000-0000-000055690000}"/>
    <cellStyle name="Normal 13 3 4 3" xfId="22181" xr:uid="{00000000-0005-0000-0000-000056690000}"/>
    <cellStyle name="Normal 13 3 4 4" xfId="22182" xr:uid="{00000000-0005-0000-0000-000057690000}"/>
    <cellStyle name="Normal 13 3 5" xfId="35260" xr:uid="{00000000-0005-0000-0000-000058690000}"/>
    <cellStyle name="Normal 13 4" xfId="22183" xr:uid="{00000000-0005-0000-0000-000059690000}"/>
    <cellStyle name="Normal 13 4 2" xfId="22184" xr:uid="{00000000-0005-0000-0000-00005A690000}"/>
    <cellStyle name="Normal 13 4 2 2" xfId="22185" xr:uid="{00000000-0005-0000-0000-00005B690000}"/>
    <cellStyle name="Normal 13 4 2 2 2" xfId="22186" xr:uid="{00000000-0005-0000-0000-00005C690000}"/>
    <cellStyle name="Normal 13 4 2 3" xfId="22187" xr:uid="{00000000-0005-0000-0000-00005D690000}"/>
    <cellStyle name="Normal 13 4 2 4" xfId="22188" xr:uid="{00000000-0005-0000-0000-00005E690000}"/>
    <cellStyle name="Normal 13 4 2 5" xfId="39416" xr:uid="{00000000-0005-0000-0000-00005F690000}"/>
    <cellStyle name="Normal 13 4 3" xfId="22189" xr:uid="{00000000-0005-0000-0000-000060690000}"/>
    <cellStyle name="Normal 13 4 3 2" xfId="22190" xr:uid="{00000000-0005-0000-0000-000061690000}"/>
    <cellStyle name="Normal 13 4 3 2 2" xfId="22191" xr:uid="{00000000-0005-0000-0000-000062690000}"/>
    <cellStyle name="Normal 13 4 3 3" xfId="22192" xr:uid="{00000000-0005-0000-0000-000063690000}"/>
    <cellStyle name="Normal 13 4 3 4" xfId="22193" xr:uid="{00000000-0005-0000-0000-000064690000}"/>
    <cellStyle name="Normal 13 4 3 5" xfId="39417" xr:uid="{00000000-0005-0000-0000-000065690000}"/>
    <cellStyle name="Normal 13 4 4" xfId="22194" xr:uid="{00000000-0005-0000-0000-000066690000}"/>
    <cellStyle name="Normal 13 4 4 2" xfId="22195" xr:uid="{00000000-0005-0000-0000-000067690000}"/>
    <cellStyle name="Normal 13 4 5" xfId="22196" xr:uid="{00000000-0005-0000-0000-000068690000}"/>
    <cellStyle name="Normal 13 4 6" xfId="22197" xr:uid="{00000000-0005-0000-0000-000069690000}"/>
    <cellStyle name="Normal 13 4 7" xfId="39415" xr:uid="{00000000-0005-0000-0000-00006A690000}"/>
    <cellStyle name="Normal 13 5" xfId="22198" xr:uid="{00000000-0005-0000-0000-00006B690000}"/>
    <cellStyle name="Normal 13 5 2" xfId="22199" xr:uid="{00000000-0005-0000-0000-00006C690000}"/>
    <cellStyle name="Normal 13 5 2 2" xfId="22200" xr:uid="{00000000-0005-0000-0000-00006D690000}"/>
    <cellStyle name="Normal 13 5 3" xfId="22201" xr:uid="{00000000-0005-0000-0000-00006E690000}"/>
    <cellStyle name="Normal 13 5 4" xfId="22202" xr:uid="{00000000-0005-0000-0000-00006F690000}"/>
    <cellStyle name="Normal 13 5 5" xfId="39418" xr:uid="{00000000-0005-0000-0000-000070690000}"/>
    <cellStyle name="Normal 13 6" xfId="22203" xr:uid="{00000000-0005-0000-0000-000071690000}"/>
    <cellStyle name="Normal 13 6 2" xfId="22204" xr:uid="{00000000-0005-0000-0000-000072690000}"/>
    <cellStyle name="Normal 13 6 2 2" xfId="22205" xr:uid="{00000000-0005-0000-0000-000073690000}"/>
    <cellStyle name="Normal 13 6 3" xfId="22206" xr:uid="{00000000-0005-0000-0000-000074690000}"/>
    <cellStyle name="Normal 13 6 4" xfId="22207" xr:uid="{00000000-0005-0000-0000-000075690000}"/>
    <cellStyle name="Normal 13 6 5" xfId="39419" xr:uid="{00000000-0005-0000-0000-000076690000}"/>
    <cellStyle name="Normal 13 7" xfId="22208" xr:uid="{00000000-0005-0000-0000-000077690000}"/>
    <cellStyle name="Normal 13 7 2" xfId="22209" xr:uid="{00000000-0005-0000-0000-000078690000}"/>
    <cellStyle name="Normal 13 7 2 2" xfId="22210" xr:uid="{00000000-0005-0000-0000-000079690000}"/>
    <cellStyle name="Normal 13 7 3" xfId="22211" xr:uid="{00000000-0005-0000-0000-00007A690000}"/>
    <cellStyle name="Normal 13 7 4" xfId="22212" xr:uid="{00000000-0005-0000-0000-00007B690000}"/>
    <cellStyle name="Normal 13 7 5" xfId="39420" xr:uid="{00000000-0005-0000-0000-00007C690000}"/>
    <cellStyle name="Normal 13_29(d) - Gas extensions -tariffs" xfId="41957" xr:uid="{52AD1E82-A49B-4A5C-BC7D-0B3D578AE335}"/>
    <cellStyle name="Normal 130" xfId="22213" xr:uid="{00000000-0005-0000-0000-00007D690000}"/>
    <cellStyle name="Normal 130 2" xfId="22214" xr:uid="{00000000-0005-0000-0000-00007E690000}"/>
    <cellStyle name="Normal 131" xfId="22215" xr:uid="{00000000-0005-0000-0000-00007F690000}"/>
    <cellStyle name="Normal 131 2" xfId="22216" xr:uid="{00000000-0005-0000-0000-000080690000}"/>
    <cellStyle name="Normal 132" xfId="22217" xr:uid="{00000000-0005-0000-0000-000081690000}"/>
    <cellStyle name="Normal 132 2" xfId="22218" xr:uid="{00000000-0005-0000-0000-000082690000}"/>
    <cellStyle name="Normal 133" xfId="22219" xr:uid="{00000000-0005-0000-0000-000083690000}"/>
    <cellStyle name="Normal 133 2" xfId="22220" xr:uid="{00000000-0005-0000-0000-000084690000}"/>
    <cellStyle name="Normal 134" xfId="22221" xr:uid="{00000000-0005-0000-0000-000085690000}"/>
    <cellStyle name="Normal 134 2" xfId="22222" xr:uid="{00000000-0005-0000-0000-000086690000}"/>
    <cellStyle name="Normal 135" xfId="22223" xr:uid="{00000000-0005-0000-0000-000087690000}"/>
    <cellStyle name="Normal 135 2" xfId="22224" xr:uid="{00000000-0005-0000-0000-000088690000}"/>
    <cellStyle name="Normal 136" xfId="22225" xr:uid="{00000000-0005-0000-0000-000089690000}"/>
    <cellStyle name="Normal 137" xfId="22226" xr:uid="{00000000-0005-0000-0000-00008A690000}"/>
    <cellStyle name="Normal 138" xfId="22227" xr:uid="{00000000-0005-0000-0000-00008B690000}"/>
    <cellStyle name="Normal 139" xfId="22228" xr:uid="{00000000-0005-0000-0000-00008C690000}"/>
    <cellStyle name="Normal 14" xfId="22229" xr:uid="{00000000-0005-0000-0000-00008D690000}"/>
    <cellStyle name="Normal 14 2" xfId="22230" xr:uid="{00000000-0005-0000-0000-00008E690000}"/>
    <cellStyle name="Normal 14 2 2" xfId="22231" xr:uid="{00000000-0005-0000-0000-00008F690000}"/>
    <cellStyle name="Normal 14 2 2 2" xfId="22232" xr:uid="{00000000-0005-0000-0000-000090690000}"/>
    <cellStyle name="Normal 14 2 2 2 2" xfId="22233" xr:uid="{00000000-0005-0000-0000-000091690000}"/>
    <cellStyle name="Normal 14 2 2 2 2 2" xfId="22234" xr:uid="{00000000-0005-0000-0000-000092690000}"/>
    <cellStyle name="Normal 14 2 2 2 3" xfId="22235" xr:uid="{00000000-0005-0000-0000-000093690000}"/>
    <cellStyle name="Normal 14 2 2 2 4" xfId="22236" xr:uid="{00000000-0005-0000-0000-000094690000}"/>
    <cellStyle name="Normal 14 2 2 2 5" xfId="39421" xr:uid="{00000000-0005-0000-0000-000095690000}"/>
    <cellStyle name="Normal 14 2 2 3" xfId="22237" xr:uid="{00000000-0005-0000-0000-000096690000}"/>
    <cellStyle name="Normal 14 2 2 3 2" xfId="22238" xr:uid="{00000000-0005-0000-0000-000097690000}"/>
    <cellStyle name="Normal 14 2 2 3 2 2" xfId="22239" xr:uid="{00000000-0005-0000-0000-000098690000}"/>
    <cellStyle name="Normal 14 2 2 3 3" xfId="22240" xr:uid="{00000000-0005-0000-0000-000099690000}"/>
    <cellStyle name="Normal 14 2 2 3 4" xfId="22241" xr:uid="{00000000-0005-0000-0000-00009A690000}"/>
    <cellStyle name="Normal 14 2 2 4" xfId="22242" xr:uid="{00000000-0005-0000-0000-00009B690000}"/>
    <cellStyle name="Normal 14 2 2 4 2" xfId="22243" xr:uid="{00000000-0005-0000-0000-00009C690000}"/>
    <cellStyle name="Normal 14 2 2 5" xfId="22244" xr:uid="{00000000-0005-0000-0000-00009D690000}"/>
    <cellStyle name="Normal 14 2 2 6" xfId="22245" xr:uid="{00000000-0005-0000-0000-00009E690000}"/>
    <cellStyle name="Normal 14 2 2 7" xfId="35262" xr:uid="{00000000-0005-0000-0000-00009F690000}"/>
    <cellStyle name="Normal 14 2 2 8" xfId="42285" xr:uid="{E92AFB3E-2B3C-4EA8-B97A-60D03A233C31}"/>
    <cellStyle name="Normal 14 2 3" xfId="22246" xr:uid="{00000000-0005-0000-0000-0000A0690000}"/>
    <cellStyle name="Normal 14 2 3 2" xfId="22247" xr:uid="{00000000-0005-0000-0000-0000A1690000}"/>
    <cellStyle name="Normal 14 2 3 2 2" xfId="22248" xr:uid="{00000000-0005-0000-0000-0000A2690000}"/>
    <cellStyle name="Normal 14 2 3 2 2 2" xfId="22249" xr:uid="{00000000-0005-0000-0000-0000A3690000}"/>
    <cellStyle name="Normal 14 2 3 2 3" xfId="22250" xr:uid="{00000000-0005-0000-0000-0000A4690000}"/>
    <cellStyle name="Normal 14 2 3 2 4" xfId="22251" xr:uid="{00000000-0005-0000-0000-0000A5690000}"/>
    <cellStyle name="Normal 14 2 3 3" xfId="22252" xr:uid="{00000000-0005-0000-0000-0000A6690000}"/>
    <cellStyle name="Normal 14 2 3 3 2" xfId="22253" xr:uid="{00000000-0005-0000-0000-0000A7690000}"/>
    <cellStyle name="Normal 14 2 3 4" xfId="22254" xr:uid="{00000000-0005-0000-0000-0000A8690000}"/>
    <cellStyle name="Normal 14 2 3 5" xfId="22255" xr:uid="{00000000-0005-0000-0000-0000A9690000}"/>
    <cellStyle name="Normal 14 2 3 6" xfId="39422" xr:uid="{00000000-0005-0000-0000-0000AA690000}"/>
    <cellStyle name="Normal 14 2 4" xfId="22256" xr:uid="{00000000-0005-0000-0000-0000AB690000}"/>
    <cellStyle name="Normal 14 2 4 2" xfId="22257" xr:uid="{00000000-0005-0000-0000-0000AC690000}"/>
    <cellStyle name="Normal 14 2 4 2 2" xfId="22258" xr:uid="{00000000-0005-0000-0000-0000AD690000}"/>
    <cellStyle name="Normal 14 2 4 3" xfId="22259" xr:uid="{00000000-0005-0000-0000-0000AE690000}"/>
    <cellStyle name="Normal 14 2 4 4" xfId="22260" xr:uid="{00000000-0005-0000-0000-0000AF690000}"/>
    <cellStyle name="Normal 14 2 5" xfId="22261" xr:uid="{00000000-0005-0000-0000-0000B0690000}"/>
    <cellStyle name="Normal 14 2 5 2" xfId="22262" xr:uid="{00000000-0005-0000-0000-0000B1690000}"/>
    <cellStyle name="Normal 14 2 6" xfId="22263" xr:uid="{00000000-0005-0000-0000-0000B2690000}"/>
    <cellStyle name="Normal 14 2 7" xfId="22264" xr:uid="{00000000-0005-0000-0000-0000B3690000}"/>
    <cellStyle name="Normal 14 2 8" xfId="35261" xr:uid="{00000000-0005-0000-0000-0000B4690000}"/>
    <cellStyle name="Normal 14 2 9" xfId="42007" xr:uid="{F0CA1506-9F38-4C4B-88A0-74103E608321}"/>
    <cellStyle name="Normal 14 3" xfId="22265" xr:uid="{00000000-0005-0000-0000-0000B5690000}"/>
    <cellStyle name="Normal 14 3 2" xfId="22266" xr:uid="{00000000-0005-0000-0000-0000B6690000}"/>
    <cellStyle name="Normal 14 3 2 2" xfId="22267" xr:uid="{00000000-0005-0000-0000-0000B7690000}"/>
    <cellStyle name="Normal 14 3 2 2 2" xfId="22268" xr:uid="{00000000-0005-0000-0000-0000B8690000}"/>
    <cellStyle name="Normal 14 3 2 3" xfId="22269" xr:uid="{00000000-0005-0000-0000-0000B9690000}"/>
    <cellStyle name="Normal 14 3 2 4" xfId="22270" xr:uid="{00000000-0005-0000-0000-0000BA690000}"/>
    <cellStyle name="Normal 14 3 2 5" xfId="39423" xr:uid="{00000000-0005-0000-0000-0000BB690000}"/>
    <cellStyle name="Normal 14 3 2 6" xfId="42167" xr:uid="{74531889-E509-4B1A-9B16-1B554C7D0A42}"/>
    <cellStyle name="Normal 14 3 3" xfId="22271" xr:uid="{00000000-0005-0000-0000-0000BC690000}"/>
    <cellStyle name="Normal 14 3 3 2" xfId="22272" xr:uid="{00000000-0005-0000-0000-0000BD690000}"/>
    <cellStyle name="Normal 14 3 3 2 2" xfId="22273" xr:uid="{00000000-0005-0000-0000-0000BE690000}"/>
    <cellStyle name="Normal 14 3 3 3" xfId="22274" xr:uid="{00000000-0005-0000-0000-0000BF690000}"/>
    <cellStyle name="Normal 14 3 3 4" xfId="22275" xr:uid="{00000000-0005-0000-0000-0000C0690000}"/>
    <cellStyle name="Normal 14 3 3 5" xfId="39424" xr:uid="{00000000-0005-0000-0000-0000C1690000}"/>
    <cellStyle name="Normal 14 3 3 6" xfId="42098" xr:uid="{BCA275AA-5C25-4EA7-B905-ACA70E5481F7}"/>
    <cellStyle name="Normal 14 3 4" xfId="22276" xr:uid="{00000000-0005-0000-0000-0000C2690000}"/>
    <cellStyle name="Normal 14 3 4 2" xfId="22277" xr:uid="{00000000-0005-0000-0000-0000C3690000}"/>
    <cellStyle name="Normal 14 3 4 2 2" xfId="22278" xr:uid="{00000000-0005-0000-0000-0000C4690000}"/>
    <cellStyle name="Normal 14 3 4 3" xfId="22279" xr:uid="{00000000-0005-0000-0000-0000C5690000}"/>
    <cellStyle name="Normal 14 3 4 4" xfId="22280" xr:uid="{00000000-0005-0000-0000-0000C6690000}"/>
    <cellStyle name="Normal 14 3 5" xfId="35263" xr:uid="{00000000-0005-0000-0000-0000C7690000}"/>
    <cellStyle name="Normal 14 3 6" xfId="42024" xr:uid="{055C21DA-234D-461C-BB76-5063AEE8A267}"/>
    <cellStyle name="Normal 14 4" xfId="22281" xr:uid="{00000000-0005-0000-0000-0000C8690000}"/>
    <cellStyle name="Normal 14 4 2" xfId="22282" xr:uid="{00000000-0005-0000-0000-0000C9690000}"/>
    <cellStyle name="Normal 14 4 2 2" xfId="22283" xr:uid="{00000000-0005-0000-0000-0000CA690000}"/>
    <cellStyle name="Normal 14 4 2 2 2" xfId="22284" xr:uid="{00000000-0005-0000-0000-0000CB690000}"/>
    <cellStyle name="Normal 14 4 2 3" xfId="22285" xr:uid="{00000000-0005-0000-0000-0000CC690000}"/>
    <cellStyle name="Normal 14 4 2 4" xfId="22286" xr:uid="{00000000-0005-0000-0000-0000CD690000}"/>
    <cellStyle name="Normal 14 4 2 5" xfId="39426" xr:uid="{00000000-0005-0000-0000-0000CE690000}"/>
    <cellStyle name="Normal 14 4 3" xfId="22287" xr:uid="{00000000-0005-0000-0000-0000CF690000}"/>
    <cellStyle name="Normal 14 4 3 2" xfId="22288" xr:uid="{00000000-0005-0000-0000-0000D0690000}"/>
    <cellStyle name="Normal 14 4 3 2 2" xfId="22289" xr:uid="{00000000-0005-0000-0000-0000D1690000}"/>
    <cellStyle name="Normal 14 4 3 3" xfId="22290" xr:uid="{00000000-0005-0000-0000-0000D2690000}"/>
    <cellStyle name="Normal 14 4 3 4" xfId="22291" xr:uid="{00000000-0005-0000-0000-0000D3690000}"/>
    <cellStyle name="Normal 14 4 3 5" xfId="39427" xr:uid="{00000000-0005-0000-0000-0000D4690000}"/>
    <cellStyle name="Normal 14 4 4" xfId="22292" xr:uid="{00000000-0005-0000-0000-0000D5690000}"/>
    <cellStyle name="Normal 14 4 4 2" xfId="22293" xr:uid="{00000000-0005-0000-0000-0000D6690000}"/>
    <cellStyle name="Normal 14 4 5" xfId="22294" xr:uid="{00000000-0005-0000-0000-0000D7690000}"/>
    <cellStyle name="Normal 14 4 6" xfId="22295" xr:uid="{00000000-0005-0000-0000-0000D8690000}"/>
    <cellStyle name="Normal 14 4 7" xfId="39425" xr:uid="{00000000-0005-0000-0000-0000D9690000}"/>
    <cellStyle name="Normal 14 4 8" xfId="42126" xr:uid="{3A6E0BAD-2B65-40C4-ADEA-9E4CB18E8FB2}"/>
    <cellStyle name="Normal 14 5" xfId="22296" xr:uid="{00000000-0005-0000-0000-0000DA690000}"/>
    <cellStyle name="Normal 14 5 2" xfId="22297" xr:uid="{00000000-0005-0000-0000-0000DB690000}"/>
    <cellStyle name="Normal 14 5 2 2" xfId="22298" xr:uid="{00000000-0005-0000-0000-0000DC690000}"/>
    <cellStyle name="Normal 14 5 3" xfId="22299" xr:uid="{00000000-0005-0000-0000-0000DD690000}"/>
    <cellStyle name="Normal 14 5 4" xfId="22300" xr:uid="{00000000-0005-0000-0000-0000DE690000}"/>
    <cellStyle name="Normal 14 5 5" xfId="39428" xr:uid="{00000000-0005-0000-0000-0000DF690000}"/>
    <cellStyle name="Normal 14 5 6" xfId="42216" xr:uid="{AB9548C6-874F-4D3C-8F67-B181AE2AA52B}"/>
    <cellStyle name="Normal 14 6" xfId="22301" xr:uid="{00000000-0005-0000-0000-0000E0690000}"/>
    <cellStyle name="Normal 14 6 2" xfId="22302" xr:uid="{00000000-0005-0000-0000-0000E1690000}"/>
    <cellStyle name="Normal 14 6 2 2" xfId="22303" xr:uid="{00000000-0005-0000-0000-0000E2690000}"/>
    <cellStyle name="Normal 14 6 3" xfId="22304" xr:uid="{00000000-0005-0000-0000-0000E3690000}"/>
    <cellStyle name="Normal 14 6 4" xfId="22305" xr:uid="{00000000-0005-0000-0000-0000E4690000}"/>
    <cellStyle name="Normal 14 6 5" xfId="39429" xr:uid="{00000000-0005-0000-0000-0000E5690000}"/>
    <cellStyle name="Normal 14 6 6" xfId="42252" xr:uid="{291F02C9-EFFD-402B-A548-2F5941DC3735}"/>
    <cellStyle name="Normal 14 7" xfId="22306" xr:uid="{00000000-0005-0000-0000-0000E6690000}"/>
    <cellStyle name="Normal 14 7 2" xfId="22307" xr:uid="{00000000-0005-0000-0000-0000E7690000}"/>
    <cellStyle name="Normal 14 7 2 2" xfId="22308" xr:uid="{00000000-0005-0000-0000-0000E8690000}"/>
    <cellStyle name="Normal 14 7 3" xfId="22309" xr:uid="{00000000-0005-0000-0000-0000E9690000}"/>
    <cellStyle name="Normal 14 7 4" xfId="22310" xr:uid="{00000000-0005-0000-0000-0000EA690000}"/>
    <cellStyle name="Normal 14 7 5" xfId="39430" xr:uid="{00000000-0005-0000-0000-0000EB690000}"/>
    <cellStyle name="Normal 14 7 6" xfId="42258" xr:uid="{4D3B6512-16DE-40A3-8863-7EBAE5481A81}"/>
    <cellStyle name="Normal 14 8" xfId="42006" xr:uid="{93D603F9-C4C8-473F-A66B-83FF5F2DBD32}"/>
    <cellStyle name="Normal 14 9" xfId="42366" xr:uid="{ABA6925F-6626-4045-8887-18D7BA450102}"/>
    <cellStyle name="Normal 14 9 2" xfId="42370" xr:uid="{0F94FB86-FA43-4EFA-8A94-8DE4B93B09B7}"/>
    <cellStyle name="Normal 14 9 2 2" xfId="42379" xr:uid="{63993F64-1024-4A5F-B4CB-2A8A755997CE}"/>
    <cellStyle name="Normal 14 9 3" xfId="42374" xr:uid="{26631F4F-C0DC-41FB-AA5F-E43BC7834C2F}"/>
    <cellStyle name="Normal 14 9 4" xfId="42378" xr:uid="{7C7D510B-28C9-4768-96D0-09317A43FC40}"/>
    <cellStyle name="Normal 140" xfId="22311" xr:uid="{00000000-0005-0000-0000-0000EC690000}"/>
    <cellStyle name="Normal 141" xfId="22312" xr:uid="{00000000-0005-0000-0000-0000ED690000}"/>
    <cellStyle name="Normal 142" xfId="22313" xr:uid="{00000000-0005-0000-0000-0000EE690000}"/>
    <cellStyle name="Normal 143" xfId="22314" xr:uid="{00000000-0005-0000-0000-0000EF690000}"/>
    <cellStyle name="Normal 143 2" xfId="35264" xr:uid="{00000000-0005-0000-0000-0000F0690000}"/>
    <cellStyle name="Normal 143 3" xfId="42286" xr:uid="{90B52F62-1253-42BA-85EF-8FA642E8D475}"/>
    <cellStyle name="Normal 144" xfId="22315" xr:uid="{00000000-0005-0000-0000-0000F1690000}"/>
    <cellStyle name="Normal 144 2" xfId="35265" xr:uid="{00000000-0005-0000-0000-0000F2690000}"/>
    <cellStyle name="Normal 144 3" xfId="42287" xr:uid="{20F4B29E-AA81-48B4-A054-C74BFA800686}"/>
    <cellStyle name="Normal 145" xfId="22316" xr:uid="{00000000-0005-0000-0000-0000F3690000}"/>
    <cellStyle name="Normal 146" xfId="22317" xr:uid="{00000000-0005-0000-0000-0000F4690000}"/>
    <cellStyle name="Normal 147" xfId="22318" xr:uid="{00000000-0005-0000-0000-0000F5690000}"/>
    <cellStyle name="Normal 147 2" xfId="35266" xr:uid="{00000000-0005-0000-0000-0000F6690000}"/>
    <cellStyle name="Normal 147 3" xfId="42288" xr:uid="{26F0759E-0968-4E01-B9BA-8A280958AE50}"/>
    <cellStyle name="Normal 148" xfId="22319" xr:uid="{00000000-0005-0000-0000-0000F7690000}"/>
    <cellStyle name="Normal 148 2" xfId="35267" xr:uid="{00000000-0005-0000-0000-0000F8690000}"/>
    <cellStyle name="Normal 148 3" xfId="42289" xr:uid="{98A4BEFD-DB4D-4C38-B3ED-24A97DC5A244}"/>
    <cellStyle name="Normal 149" xfId="22320" xr:uid="{00000000-0005-0000-0000-0000F9690000}"/>
    <cellStyle name="Normal 149 2" xfId="35268" xr:uid="{00000000-0005-0000-0000-0000FA690000}"/>
    <cellStyle name="Normal 149 3" xfId="42290" xr:uid="{14C0B5B5-6C80-47D6-B597-DA2B3A263776}"/>
    <cellStyle name="Normal 15" xfId="22321" xr:uid="{00000000-0005-0000-0000-0000FB690000}"/>
    <cellStyle name="Normal 15 2" xfId="22322" xr:uid="{00000000-0005-0000-0000-0000FC690000}"/>
    <cellStyle name="Normal 15 2 2" xfId="22323" xr:uid="{00000000-0005-0000-0000-0000FD690000}"/>
    <cellStyle name="Normal 15 2 2 2" xfId="22324" xr:uid="{00000000-0005-0000-0000-0000FE690000}"/>
    <cellStyle name="Normal 15 2 2 2 2" xfId="22325" xr:uid="{00000000-0005-0000-0000-0000FF690000}"/>
    <cellStyle name="Normal 15 2 2 3" xfId="22326" xr:uid="{00000000-0005-0000-0000-0000006A0000}"/>
    <cellStyle name="Normal 15 2 2 4" xfId="22327" xr:uid="{00000000-0005-0000-0000-0000016A0000}"/>
    <cellStyle name="Normal 15 2 2 5" xfId="39431" xr:uid="{00000000-0005-0000-0000-0000026A0000}"/>
    <cellStyle name="Normal 15 2 3" xfId="22328" xr:uid="{00000000-0005-0000-0000-0000036A0000}"/>
    <cellStyle name="Normal 15 2 3 2" xfId="22329" xr:uid="{00000000-0005-0000-0000-0000046A0000}"/>
    <cellStyle name="Normal 15 2 3 2 2" xfId="22330" xr:uid="{00000000-0005-0000-0000-0000056A0000}"/>
    <cellStyle name="Normal 15 2 3 3" xfId="22331" xr:uid="{00000000-0005-0000-0000-0000066A0000}"/>
    <cellStyle name="Normal 15 2 3 4" xfId="22332" xr:uid="{00000000-0005-0000-0000-0000076A0000}"/>
    <cellStyle name="Normal 15 2 3 5" xfId="39432" xr:uid="{00000000-0005-0000-0000-0000086A0000}"/>
    <cellStyle name="Normal 15 2 4" xfId="22333" xr:uid="{00000000-0005-0000-0000-0000096A0000}"/>
    <cellStyle name="Normal 15 2 4 2" xfId="22334" xr:uid="{00000000-0005-0000-0000-00000A6A0000}"/>
    <cellStyle name="Normal 15 2 4 2 2" xfId="22335" xr:uid="{00000000-0005-0000-0000-00000B6A0000}"/>
    <cellStyle name="Normal 15 2 4 3" xfId="22336" xr:uid="{00000000-0005-0000-0000-00000C6A0000}"/>
    <cellStyle name="Normal 15 2 4 4" xfId="22337" xr:uid="{00000000-0005-0000-0000-00000D6A0000}"/>
    <cellStyle name="Normal 15 2 5" xfId="42008" xr:uid="{F92FE58E-BE18-4AB9-B828-61FD1BC1560E}"/>
    <cellStyle name="Normal 15 3" xfId="22338" xr:uid="{00000000-0005-0000-0000-00000E6A0000}"/>
    <cellStyle name="Normal 15 3 2" xfId="22339" xr:uid="{00000000-0005-0000-0000-00000F6A0000}"/>
    <cellStyle name="Normal 15 3 2 2" xfId="22340" xr:uid="{00000000-0005-0000-0000-0000106A0000}"/>
    <cellStyle name="Normal 15 3 2 2 2" xfId="22341" xr:uid="{00000000-0005-0000-0000-0000116A0000}"/>
    <cellStyle name="Normal 15 3 2 3" xfId="22342" xr:uid="{00000000-0005-0000-0000-0000126A0000}"/>
    <cellStyle name="Normal 15 3 2 4" xfId="22343" xr:uid="{00000000-0005-0000-0000-0000136A0000}"/>
    <cellStyle name="Normal 15 3 2 5" xfId="39434" xr:uid="{00000000-0005-0000-0000-0000146A0000}"/>
    <cellStyle name="Normal 15 3 3" xfId="22344" xr:uid="{00000000-0005-0000-0000-0000156A0000}"/>
    <cellStyle name="Normal 15 3 3 2" xfId="22345" xr:uid="{00000000-0005-0000-0000-0000166A0000}"/>
    <cellStyle name="Normal 15 3 3 2 2" xfId="22346" xr:uid="{00000000-0005-0000-0000-0000176A0000}"/>
    <cellStyle name="Normal 15 3 3 3" xfId="22347" xr:uid="{00000000-0005-0000-0000-0000186A0000}"/>
    <cellStyle name="Normal 15 3 3 4" xfId="22348" xr:uid="{00000000-0005-0000-0000-0000196A0000}"/>
    <cellStyle name="Normal 15 3 3 5" xfId="39435" xr:uid="{00000000-0005-0000-0000-00001A6A0000}"/>
    <cellStyle name="Normal 15 3 4" xfId="22349" xr:uid="{00000000-0005-0000-0000-00001B6A0000}"/>
    <cellStyle name="Normal 15 3 4 2" xfId="22350" xr:uid="{00000000-0005-0000-0000-00001C6A0000}"/>
    <cellStyle name="Normal 15 3 5" xfId="22351" xr:uid="{00000000-0005-0000-0000-00001D6A0000}"/>
    <cellStyle name="Normal 15 3 6" xfId="22352" xr:uid="{00000000-0005-0000-0000-00001E6A0000}"/>
    <cellStyle name="Normal 15 3 7" xfId="39433" xr:uid="{00000000-0005-0000-0000-00001F6A0000}"/>
    <cellStyle name="Normal 15 3 8" xfId="42291" xr:uid="{4B7D4103-AA8C-4211-B99B-39A9D6A6DB2E}"/>
    <cellStyle name="Normal 15 4" xfId="22353" xr:uid="{00000000-0005-0000-0000-0000206A0000}"/>
    <cellStyle name="Normal 15 4 2" xfId="22354" xr:uid="{00000000-0005-0000-0000-0000216A0000}"/>
    <cellStyle name="Normal 15 4 2 2" xfId="22355" xr:uid="{00000000-0005-0000-0000-0000226A0000}"/>
    <cellStyle name="Normal 15 4 2 2 2" xfId="22356" xr:uid="{00000000-0005-0000-0000-0000236A0000}"/>
    <cellStyle name="Normal 15 4 2 3" xfId="22357" xr:uid="{00000000-0005-0000-0000-0000246A0000}"/>
    <cellStyle name="Normal 15 4 2 4" xfId="22358" xr:uid="{00000000-0005-0000-0000-0000256A0000}"/>
    <cellStyle name="Normal 15 4 2 5" xfId="39437" xr:uid="{00000000-0005-0000-0000-0000266A0000}"/>
    <cellStyle name="Normal 15 4 3" xfId="22359" xr:uid="{00000000-0005-0000-0000-0000276A0000}"/>
    <cellStyle name="Normal 15 4 3 2" xfId="22360" xr:uid="{00000000-0005-0000-0000-0000286A0000}"/>
    <cellStyle name="Normal 15 4 3 2 2" xfId="22361" xr:uid="{00000000-0005-0000-0000-0000296A0000}"/>
    <cellStyle name="Normal 15 4 3 3" xfId="22362" xr:uid="{00000000-0005-0000-0000-00002A6A0000}"/>
    <cellStyle name="Normal 15 4 3 4" xfId="22363" xr:uid="{00000000-0005-0000-0000-00002B6A0000}"/>
    <cellStyle name="Normal 15 4 3 5" xfId="39438" xr:uid="{00000000-0005-0000-0000-00002C6A0000}"/>
    <cellStyle name="Normal 15 4 4" xfId="22364" xr:uid="{00000000-0005-0000-0000-00002D6A0000}"/>
    <cellStyle name="Normal 15 4 4 2" xfId="22365" xr:uid="{00000000-0005-0000-0000-00002E6A0000}"/>
    <cellStyle name="Normal 15 4 5" xfId="22366" xr:uid="{00000000-0005-0000-0000-00002F6A0000}"/>
    <cellStyle name="Normal 15 4 6" xfId="22367" xr:uid="{00000000-0005-0000-0000-0000306A0000}"/>
    <cellStyle name="Normal 15 4 7" xfId="39436" xr:uid="{00000000-0005-0000-0000-0000316A0000}"/>
    <cellStyle name="Normal 15 5" xfId="22368" xr:uid="{00000000-0005-0000-0000-0000326A0000}"/>
    <cellStyle name="Normal 15 5 2" xfId="22369" xr:uid="{00000000-0005-0000-0000-0000336A0000}"/>
    <cellStyle name="Normal 15 5 2 2" xfId="22370" xr:uid="{00000000-0005-0000-0000-0000346A0000}"/>
    <cellStyle name="Normal 15 5 3" xfId="22371" xr:uid="{00000000-0005-0000-0000-0000356A0000}"/>
    <cellStyle name="Normal 15 5 4" xfId="22372" xr:uid="{00000000-0005-0000-0000-0000366A0000}"/>
    <cellStyle name="Normal 15 5 5" xfId="39439" xr:uid="{00000000-0005-0000-0000-0000376A0000}"/>
    <cellStyle name="Normal 15 6" xfId="22373" xr:uid="{00000000-0005-0000-0000-0000386A0000}"/>
    <cellStyle name="Normal 15 6 2" xfId="22374" xr:uid="{00000000-0005-0000-0000-0000396A0000}"/>
    <cellStyle name="Normal 15 6 2 2" xfId="22375" xr:uid="{00000000-0005-0000-0000-00003A6A0000}"/>
    <cellStyle name="Normal 15 6 3" xfId="22376" xr:uid="{00000000-0005-0000-0000-00003B6A0000}"/>
    <cellStyle name="Normal 15 6 4" xfId="22377" xr:uid="{00000000-0005-0000-0000-00003C6A0000}"/>
    <cellStyle name="Normal 15 6 5" xfId="39440" xr:uid="{00000000-0005-0000-0000-00003D6A0000}"/>
    <cellStyle name="Normal 15 7" xfId="41958" xr:uid="{6C499F91-9652-4D06-AD72-C8DE34F3D5C7}"/>
    <cellStyle name="Normal 150" xfId="22378" xr:uid="{00000000-0005-0000-0000-00003E6A0000}"/>
    <cellStyle name="Normal 150 2" xfId="22379" xr:uid="{00000000-0005-0000-0000-00003F6A0000}"/>
    <cellStyle name="Normal 150 2 2" xfId="35269" xr:uid="{00000000-0005-0000-0000-0000406A0000}"/>
    <cellStyle name="Normal 150 3" xfId="42292" xr:uid="{2C02DBFB-3989-423B-85B8-792B2E2F69BB}"/>
    <cellStyle name="Normal 151" xfId="22380" xr:uid="{00000000-0005-0000-0000-0000416A0000}"/>
    <cellStyle name="Normal 151 2" xfId="22381" xr:uid="{00000000-0005-0000-0000-0000426A0000}"/>
    <cellStyle name="Normal 151 2 2" xfId="35270" xr:uid="{00000000-0005-0000-0000-0000436A0000}"/>
    <cellStyle name="Normal 151 3" xfId="42293" xr:uid="{96B63314-53AE-4EC0-A2FC-999903E45536}"/>
    <cellStyle name="Normal 152" xfId="22382" xr:uid="{00000000-0005-0000-0000-0000446A0000}"/>
    <cellStyle name="Normal 152 2" xfId="22383" xr:uid="{00000000-0005-0000-0000-0000456A0000}"/>
    <cellStyle name="Normal 152 2 2" xfId="35271" xr:uid="{00000000-0005-0000-0000-0000466A0000}"/>
    <cellStyle name="Normal 152 3" xfId="42294" xr:uid="{E048FB39-4C3A-4917-B1A7-FCF0A0642F7D}"/>
    <cellStyle name="Normal 153" xfId="22384" xr:uid="{00000000-0005-0000-0000-0000476A0000}"/>
    <cellStyle name="Normal 153 2" xfId="35272" xr:uid="{00000000-0005-0000-0000-0000486A0000}"/>
    <cellStyle name="Normal 153 3" xfId="42295" xr:uid="{3661F08E-5F59-457F-9E0C-64925DA161C8}"/>
    <cellStyle name="Normal 154" xfId="22385" xr:uid="{00000000-0005-0000-0000-0000496A0000}"/>
    <cellStyle name="Normal 154 2" xfId="35273" xr:uid="{00000000-0005-0000-0000-00004A6A0000}"/>
    <cellStyle name="Normal 154 3" xfId="42296" xr:uid="{3D6CA161-2ED8-4E46-81D0-0039763A86B9}"/>
    <cellStyle name="Normal 155" xfId="22386" xr:uid="{00000000-0005-0000-0000-00004B6A0000}"/>
    <cellStyle name="Normal 155 2" xfId="22387" xr:uid="{00000000-0005-0000-0000-00004C6A0000}"/>
    <cellStyle name="Normal 155 2 2" xfId="35274" xr:uid="{00000000-0005-0000-0000-00004D6A0000}"/>
    <cellStyle name="Normal 155 3" xfId="42297" xr:uid="{D41D6843-78EF-4F9A-BDA0-CDFEF8803069}"/>
    <cellStyle name="Normal 156" xfId="22388" xr:uid="{00000000-0005-0000-0000-00004E6A0000}"/>
    <cellStyle name="Normal 156 2" xfId="22389" xr:uid="{00000000-0005-0000-0000-00004F6A0000}"/>
    <cellStyle name="Normal 156 2 2" xfId="35275" xr:uid="{00000000-0005-0000-0000-0000506A0000}"/>
    <cellStyle name="Normal 156 3" xfId="42298" xr:uid="{377AA018-317B-48DB-B2EA-A4A2E3865AF0}"/>
    <cellStyle name="Normal 157" xfId="22390" xr:uid="{00000000-0005-0000-0000-0000516A0000}"/>
    <cellStyle name="Normal 157 2" xfId="22391" xr:uid="{00000000-0005-0000-0000-0000526A0000}"/>
    <cellStyle name="Normal 158" xfId="22392" xr:uid="{00000000-0005-0000-0000-0000536A0000}"/>
    <cellStyle name="Normal 158 2" xfId="22393" xr:uid="{00000000-0005-0000-0000-0000546A0000}"/>
    <cellStyle name="Normal 159" xfId="22394" xr:uid="{00000000-0005-0000-0000-0000556A0000}"/>
    <cellStyle name="Normal 159 2" xfId="22395" xr:uid="{00000000-0005-0000-0000-0000566A0000}"/>
    <cellStyle name="Normal 159 2 2" xfId="42367" xr:uid="{884B0999-74F7-4AE5-9ADC-F2E6BB7612B2}"/>
    <cellStyle name="Normal 159 3" xfId="42371" xr:uid="{049893CF-E28C-48BA-B81A-E98317BCF054}"/>
    <cellStyle name="Normal 159 4" xfId="42375" xr:uid="{23E35709-BC17-4FB1-B1BC-0E5C3F07B974}"/>
    <cellStyle name="Normal 159 5" xfId="42362" xr:uid="{6EAC5567-543E-4C85-857B-E77FD1D8DDF0}"/>
    <cellStyle name="Normal 16" xfId="22396" xr:uid="{00000000-0005-0000-0000-0000576A0000}"/>
    <cellStyle name="Normal 16 2" xfId="22397" xr:uid="{00000000-0005-0000-0000-0000586A0000}"/>
    <cellStyle name="Normal 16 2 2" xfId="22398" xr:uid="{00000000-0005-0000-0000-0000596A0000}"/>
    <cellStyle name="Normal 16 2 2 2" xfId="22399" xr:uid="{00000000-0005-0000-0000-00005A6A0000}"/>
    <cellStyle name="Normal 16 2 2 2 2" xfId="22400" xr:uid="{00000000-0005-0000-0000-00005B6A0000}"/>
    <cellStyle name="Normal 16 2 2 3" xfId="22401" xr:uid="{00000000-0005-0000-0000-00005C6A0000}"/>
    <cellStyle name="Normal 16 2 2 4" xfId="22402" xr:uid="{00000000-0005-0000-0000-00005D6A0000}"/>
    <cellStyle name="Normal 16 2 2 5" xfId="39441" xr:uid="{00000000-0005-0000-0000-00005E6A0000}"/>
    <cellStyle name="Normal 16 2 3" xfId="22403" xr:uid="{00000000-0005-0000-0000-00005F6A0000}"/>
    <cellStyle name="Normal 16 2 3 2" xfId="22404" xr:uid="{00000000-0005-0000-0000-0000606A0000}"/>
    <cellStyle name="Normal 16 2 3 2 2" xfId="22405" xr:uid="{00000000-0005-0000-0000-0000616A0000}"/>
    <cellStyle name="Normal 16 2 3 3" xfId="22406" xr:uid="{00000000-0005-0000-0000-0000626A0000}"/>
    <cellStyle name="Normal 16 2 3 4" xfId="22407" xr:uid="{00000000-0005-0000-0000-0000636A0000}"/>
    <cellStyle name="Normal 16 2 3 5" xfId="39442" xr:uid="{00000000-0005-0000-0000-0000646A0000}"/>
    <cellStyle name="Normal 16 2 4" xfId="22408" xr:uid="{00000000-0005-0000-0000-0000656A0000}"/>
    <cellStyle name="Normal 16 2 4 2" xfId="22409" xr:uid="{00000000-0005-0000-0000-0000666A0000}"/>
    <cellStyle name="Normal 16 2 4 2 2" xfId="22410" xr:uid="{00000000-0005-0000-0000-0000676A0000}"/>
    <cellStyle name="Normal 16 2 4 3" xfId="22411" xr:uid="{00000000-0005-0000-0000-0000686A0000}"/>
    <cellStyle name="Normal 16 2 4 4" xfId="22412" xr:uid="{00000000-0005-0000-0000-0000696A0000}"/>
    <cellStyle name="Normal 16 2 5" xfId="41959" xr:uid="{37EAF2C1-2C77-4193-BBCB-A21E95F3E99C}"/>
    <cellStyle name="Normal 16 3" xfId="22413" xr:uid="{00000000-0005-0000-0000-00006A6A0000}"/>
    <cellStyle name="Normal 16 3 2" xfId="22414" xr:uid="{00000000-0005-0000-0000-00006B6A0000}"/>
    <cellStyle name="Normal 16 3 2 2" xfId="22415" xr:uid="{00000000-0005-0000-0000-00006C6A0000}"/>
    <cellStyle name="Normal 16 3 2 2 2" xfId="22416" xr:uid="{00000000-0005-0000-0000-00006D6A0000}"/>
    <cellStyle name="Normal 16 3 2 3" xfId="22417" xr:uid="{00000000-0005-0000-0000-00006E6A0000}"/>
    <cellStyle name="Normal 16 3 2 4" xfId="22418" xr:uid="{00000000-0005-0000-0000-00006F6A0000}"/>
    <cellStyle name="Normal 16 3 2 5" xfId="39444" xr:uid="{00000000-0005-0000-0000-0000706A0000}"/>
    <cellStyle name="Normal 16 3 3" xfId="22419" xr:uid="{00000000-0005-0000-0000-0000716A0000}"/>
    <cellStyle name="Normal 16 3 3 2" xfId="22420" xr:uid="{00000000-0005-0000-0000-0000726A0000}"/>
    <cellStyle name="Normal 16 3 3 2 2" xfId="22421" xr:uid="{00000000-0005-0000-0000-0000736A0000}"/>
    <cellStyle name="Normal 16 3 3 3" xfId="22422" xr:uid="{00000000-0005-0000-0000-0000746A0000}"/>
    <cellStyle name="Normal 16 3 3 4" xfId="22423" xr:uid="{00000000-0005-0000-0000-0000756A0000}"/>
    <cellStyle name="Normal 16 3 3 5" xfId="39445" xr:uid="{00000000-0005-0000-0000-0000766A0000}"/>
    <cellStyle name="Normal 16 3 4" xfId="22424" xr:uid="{00000000-0005-0000-0000-0000776A0000}"/>
    <cellStyle name="Normal 16 3 4 2" xfId="22425" xr:uid="{00000000-0005-0000-0000-0000786A0000}"/>
    <cellStyle name="Normal 16 3 5" xfId="22426" xr:uid="{00000000-0005-0000-0000-0000796A0000}"/>
    <cellStyle name="Normal 16 3 6" xfId="22427" xr:uid="{00000000-0005-0000-0000-00007A6A0000}"/>
    <cellStyle name="Normal 16 3 7" xfId="39443" xr:uid="{00000000-0005-0000-0000-00007B6A0000}"/>
    <cellStyle name="Normal 16 3 8" xfId="42299" xr:uid="{2129AF36-7641-4AFB-99A8-AA370031353F}"/>
    <cellStyle name="Normal 16 4" xfId="22428" xr:uid="{00000000-0005-0000-0000-00007C6A0000}"/>
    <cellStyle name="Normal 16 4 2" xfId="22429" xr:uid="{00000000-0005-0000-0000-00007D6A0000}"/>
    <cellStyle name="Normal 16 4 2 2" xfId="22430" xr:uid="{00000000-0005-0000-0000-00007E6A0000}"/>
    <cellStyle name="Normal 16 4 2 2 2" xfId="22431" xr:uid="{00000000-0005-0000-0000-00007F6A0000}"/>
    <cellStyle name="Normal 16 4 2 3" xfId="22432" xr:uid="{00000000-0005-0000-0000-0000806A0000}"/>
    <cellStyle name="Normal 16 4 2 4" xfId="22433" xr:uid="{00000000-0005-0000-0000-0000816A0000}"/>
    <cellStyle name="Normal 16 4 2 5" xfId="39447" xr:uid="{00000000-0005-0000-0000-0000826A0000}"/>
    <cellStyle name="Normal 16 4 3" xfId="22434" xr:uid="{00000000-0005-0000-0000-0000836A0000}"/>
    <cellStyle name="Normal 16 4 3 2" xfId="22435" xr:uid="{00000000-0005-0000-0000-0000846A0000}"/>
    <cellStyle name="Normal 16 4 3 2 2" xfId="22436" xr:uid="{00000000-0005-0000-0000-0000856A0000}"/>
    <cellStyle name="Normal 16 4 3 3" xfId="22437" xr:uid="{00000000-0005-0000-0000-0000866A0000}"/>
    <cellStyle name="Normal 16 4 3 4" xfId="22438" xr:uid="{00000000-0005-0000-0000-0000876A0000}"/>
    <cellStyle name="Normal 16 4 3 5" xfId="39448" xr:uid="{00000000-0005-0000-0000-0000886A0000}"/>
    <cellStyle name="Normal 16 4 4" xfId="22439" xr:uid="{00000000-0005-0000-0000-0000896A0000}"/>
    <cellStyle name="Normal 16 4 4 2" xfId="22440" xr:uid="{00000000-0005-0000-0000-00008A6A0000}"/>
    <cellStyle name="Normal 16 4 5" xfId="22441" xr:uid="{00000000-0005-0000-0000-00008B6A0000}"/>
    <cellStyle name="Normal 16 4 6" xfId="22442" xr:uid="{00000000-0005-0000-0000-00008C6A0000}"/>
    <cellStyle name="Normal 16 4 7" xfId="39446" xr:uid="{00000000-0005-0000-0000-00008D6A0000}"/>
    <cellStyle name="Normal 16 5" xfId="22443" xr:uid="{00000000-0005-0000-0000-00008E6A0000}"/>
    <cellStyle name="Normal 16 5 2" xfId="22444" xr:uid="{00000000-0005-0000-0000-00008F6A0000}"/>
    <cellStyle name="Normal 16 5 2 2" xfId="22445" xr:uid="{00000000-0005-0000-0000-0000906A0000}"/>
    <cellStyle name="Normal 16 5 3" xfId="22446" xr:uid="{00000000-0005-0000-0000-0000916A0000}"/>
    <cellStyle name="Normal 16 5 4" xfId="22447" xr:uid="{00000000-0005-0000-0000-0000926A0000}"/>
    <cellStyle name="Normal 16 5 5" xfId="39449" xr:uid="{00000000-0005-0000-0000-0000936A0000}"/>
    <cellStyle name="Normal 16 6" xfId="22448" xr:uid="{00000000-0005-0000-0000-0000946A0000}"/>
    <cellStyle name="Normal 16 6 2" xfId="22449" xr:uid="{00000000-0005-0000-0000-0000956A0000}"/>
    <cellStyle name="Normal 16 6 2 2" xfId="22450" xr:uid="{00000000-0005-0000-0000-0000966A0000}"/>
    <cellStyle name="Normal 16 6 3" xfId="22451" xr:uid="{00000000-0005-0000-0000-0000976A0000}"/>
    <cellStyle name="Normal 16 6 4" xfId="22452" xr:uid="{00000000-0005-0000-0000-0000986A0000}"/>
    <cellStyle name="Normal 16 6 5" xfId="39450" xr:uid="{00000000-0005-0000-0000-0000996A0000}"/>
    <cellStyle name="Normal 16 7" xfId="41818" xr:uid="{98231299-D4B6-4476-8A52-F4C737B79353}"/>
    <cellStyle name="Normal 160" xfId="22453" xr:uid="{00000000-0005-0000-0000-00009A6A0000}"/>
    <cellStyle name="Normal 160 2" xfId="22454" xr:uid="{00000000-0005-0000-0000-00009B6A0000}"/>
    <cellStyle name="Normal 161" xfId="22455" xr:uid="{00000000-0005-0000-0000-00009C6A0000}"/>
    <cellStyle name="Normal 161 2" xfId="22456" xr:uid="{00000000-0005-0000-0000-00009D6A0000}"/>
    <cellStyle name="Normal 161 2 2" xfId="35276" xr:uid="{00000000-0005-0000-0000-00009E6A0000}"/>
    <cellStyle name="Normal 161 3" xfId="42300" xr:uid="{6268436D-2432-4DEB-9A18-F1CBFCED4431}"/>
    <cellStyle name="Normal 162" xfId="22457" xr:uid="{00000000-0005-0000-0000-00009F6A0000}"/>
    <cellStyle name="Normal 162 2" xfId="35277" xr:uid="{00000000-0005-0000-0000-0000A06A0000}"/>
    <cellStyle name="Normal 162 3" xfId="42301" xr:uid="{B4230F12-D643-41F8-A5E0-150202707CF2}"/>
    <cellStyle name="Normal 163" xfId="22458" xr:uid="{00000000-0005-0000-0000-0000A16A0000}"/>
    <cellStyle name="Normal 163 2" xfId="35278" xr:uid="{00000000-0005-0000-0000-0000A26A0000}"/>
    <cellStyle name="Normal 163 3" xfId="42302" xr:uid="{59C6EB3A-17B8-45EA-8266-5C26B855DA1F}"/>
    <cellStyle name="Normal 164" xfId="22459" xr:uid="{00000000-0005-0000-0000-0000A36A0000}"/>
    <cellStyle name="Normal 164 2" xfId="35279" xr:uid="{00000000-0005-0000-0000-0000A46A0000}"/>
    <cellStyle name="Normal 164 3" xfId="42303" xr:uid="{3EDFD72A-61E0-4638-A388-69FB30C973CC}"/>
    <cellStyle name="Normal 165" xfId="22460" xr:uid="{00000000-0005-0000-0000-0000A56A0000}"/>
    <cellStyle name="Normal 166" xfId="22461" xr:uid="{00000000-0005-0000-0000-0000A66A0000}"/>
    <cellStyle name="Normal 166 2" xfId="22462" xr:uid="{00000000-0005-0000-0000-0000A76A0000}"/>
    <cellStyle name="Normal 167" xfId="22463" xr:uid="{00000000-0005-0000-0000-0000A86A0000}"/>
    <cellStyle name="Normal 167 2" xfId="22464" xr:uid="{00000000-0005-0000-0000-0000A96A0000}"/>
    <cellStyle name="Normal 168" xfId="22465" xr:uid="{00000000-0005-0000-0000-0000AA6A0000}"/>
    <cellStyle name="Normal 168 2" xfId="22466" xr:uid="{00000000-0005-0000-0000-0000AB6A0000}"/>
    <cellStyle name="Normal 169" xfId="22467" xr:uid="{00000000-0005-0000-0000-0000AC6A0000}"/>
    <cellStyle name="Normal 169 2" xfId="22468" xr:uid="{00000000-0005-0000-0000-0000AD6A0000}"/>
    <cellStyle name="Normal 169 2 2" xfId="35280" xr:uid="{00000000-0005-0000-0000-0000AE6A0000}"/>
    <cellStyle name="Normal 169 3" xfId="42304" xr:uid="{17FBE813-427B-47E6-A387-64F4001DB540}"/>
    <cellStyle name="Normal 17" xfId="22469" xr:uid="{00000000-0005-0000-0000-0000AF6A0000}"/>
    <cellStyle name="Normal 17 10" xfId="42009" xr:uid="{9D072000-22F6-48D7-9041-754AA4440BFD}"/>
    <cellStyle name="Normal 17 2" xfId="22470" xr:uid="{00000000-0005-0000-0000-0000B06A0000}"/>
    <cellStyle name="Normal 17 2 2" xfId="22471" xr:uid="{00000000-0005-0000-0000-0000B16A0000}"/>
    <cellStyle name="Normal 17 2 2 2" xfId="22472" xr:uid="{00000000-0005-0000-0000-0000B26A0000}"/>
    <cellStyle name="Normal 17 2 2 2 2" xfId="22473" xr:uid="{00000000-0005-0000-0000-0000B36A0000}"/>
    <cellStyle name="Normal 17 2 2 2 2 2" xfId="22474" xr:uid="{00000000-0005-0000-0000-0000B46A0000}"/>
    <cellStyle name="Normal 17 2 2 2 3" xfId="22475" xr:uid="{00000000-0005-0000-0000-0000B56A0000}"/>
    <cellStyle name="Normal 17 2 2 2 4" xfId="22476" xr:uid="{00000000-0005-0000-0000-0000B66A0000}"/>
    <cellStyle name="Normal 17 2 2 2 5" xfId="39451" xr:uid="{00000000-0005-0000-0000-0000B76A0000}"/>
    <cellStyle name="Normal 17 2 2 2 6" xfId="42175" xr:uid="{BB30D89D-F638-405C-8D4E-770364D69923}"/>
    <cellStyle name="Normal 17 2 2 3" xfId="42108" xr:uid="{BB0D269A-928B-4929-9507-043B551C4D10}"/>
    <cellStyle name="Normal 17 2 2 4" xfId="42037" xr:uid="{3D4E0A82-2991-4B02-9D5B-483135DB49CA}"/>
    <cellStyle name="Normal 17 2 3" xfId="22477" xr:uid="{00000000-0005-0000-0000-0000B86A0000}"/>
    <cellStyle name="Normal 17 2 3 2" xfId="22478" xr:uid="{00000000-0005-0000-0000-0000B96A0000}"/>
    <cellStyle name="Normal 17 2 3 2 2" xfId="22479" xr:uid="{00000000-0005-0000-0000-0000BA6A0000}"/>
    <cellStyle name="Normal 17 2 3 3" xfId="22480" xr:uid="{00000000-0005-0000-0000-0000BB6A0000}"/>
    <cellStyle name="Normal 17 2 3 4" xfId="22481" xr:uid="{00000000-0005-0000-0000-0000BC6A0000}"/>
    <cellStyle name="Normal 17 2 3 5" xfId="39452" xr:uid="{00000000-0005-0000-0000-0000BD6A0000}"/>
    <cellStyle name="Normal 17 2 3 6" xfId="42136" xr:uid="{940484A3-4A21-4365-B090-DC7B675DC214}"/>
    <cellStyle name="Normal 17 2 4" xfId="22482" xr:uid="{00000000-0005-0000-0000-0000BE6A0000}"/>
    <cellStyle name="Normal 17 2 4 2" xfId="22483" xr:uid="{00000000-0005-0000-0000-0000BF6A0000}"/>
    <cellStyle name="Normal 17 2 4 2 2" xfId="22484" xr:uid="{00000000-0005-0000-0000-0000C06A0000}"/>
    <cellStyle name="Normal 17 2 4 3" xfId="22485" xr:uid="{00000000-0005-0000-0000-0000C16A0000}"/>
    <cellStyle name="Normal 17 2 4 4" xfId="22486" xr:uid="{00000000-0005-0000-0000-0000C26A0000}"/>
    <cellStyle name="Normal 17 2 4 5" xfId="42088" xr:uid="{143F7616-F984-467E-B328-0A0D1C9E12C7}"/>
    <cellStyle name="Normal 17 2 5" xfId="42010" xr:uid="{36648DEF-5ED3-4DD2-AD75-9BB6EBEDEF9C}"/>
    <cellStyle name="Normal 17 3" xfId="22487" xr:uid="{00000000-0005-0000-0000-0000C36A0000}"/>
    <cellStyle name="Normal 17 3 2" xfId="22488" xr:uid="{00000000-0005-0000-0000-0000C46A0000}"/>
    <cellStyle name="Normal 17 3 2 2" xfId="22489" xr:uid="{00000000-0005-0000-0000-0000C56A0000}"/>
    <cellStyle name="Normal 17 3 2 2 2" xfId="22490" xr:uid="{00000000-0005-0000-0000-0000C66A0000}"/>
    <cellStyle name="Normal 17 3 2 2 2 2" xfId="22491" xr:uid="{00000000-0005-0000-0000-0000C76A0000}"/>
    <cellStyle name="Normal 17 3 2 2 3" xfId="22492" xr:uid="{00000000-0005-0000-0000-0000C86A0000}"/>
    <cellStyle name="Normal 17 3 2 2 4" xfId="22493" xr:uid="{00000000-0005-0000-0000-0000C96A0000}"/>
    <cellStyle name="Normal 17 3 2 2 5" xfId="42176" xr:uid="{14D983EC-48D3-442E-8089-2A4F857695B3}"/>
    <cellStyle name="Normal 17 3 2 3" xfId="22494" xr:uid="{00000000-0005-0000-0000-0000CA6A0000}"/>
    <cellStyle name="Normal 17 3 2 3 2" xfId="22495" xr:uid="{00000000-0005-0000-0000-0000CB6A0000}"/>
    <cellStyle name="Normal 17 3 2 3 3" xfId="42109" xr:uid="{69506C9B-445D-4713-9797-FFE7ACC80224}"/>
    <cellStyle name="Normal 17 3 2 4" xfId="22496" xr:uid="{00000000-0005-0000-0000-0000CC6A0000}"/>
    <cellStyle name="Normal 17 3 2 5" xfId="22497" xr:uid="{00000000-0005-0000-0000-0000CD6A0000}"/>
    <cellStyle name="Normal 17 3 2 6" xfId="39454" xr:uid="{00000000-0005-0000-0000-0000CE6A0000}"/>
    <cellStyle name="Normal 17 3 2 7" xfId="42038" xr:uid="{F4FBA490-EE04-41C7-A8DD-F0EE25D191C2}"/>
    <cellStyle name="Normal 17 3 3" xfId="22498" xr:uid="{00000000-0005-0000-0000-0000CF6A0000}"/>
    <cellStyle name="Normal 17 3 3 2" xfId="22499" xr:uid="{00000000-0005-0000-0000-0000D06A0000}"/>
    <cellStyle name="Normal 17 3 3 2 2" xfId="22500" xr:uid="{00000000-0005-0000-0000-0000D16A0000}"/>
    <cellStyle name="Normal 17 3 3 3" xfId="22501" xr:uid="{00000000-0005-0000-0000-0000D26A0000}"/>
    <cellStyle name="Normal 17 3 3 4" xfId="22502" xr:uid="{00000000-0005-0000-0000-0000D36A0000}"/>
    <cellStyle name="Normal 17 3 3 5" xfId="39455" xr:uid="{00000000-0005-0000-0000-0000D46A0000}"/>
    <cellStyle name="Normal 17 3 3 6" xfId="42137" xr:uid="{A959CC3A-D027-437C-9803-D8DEDE63280E}"/>
    <cellStyle name="Normal 17 3 4" xfId="22503" xr:uid="{00000000-0005-0000-0000-0000D56A0000}"/>
    <cellStyle name="Normal 17 3 4 2" xfId="22504" xr:uid="{00000000-0005-0000-0000-0000D66A0000}"/>
    <cellStyle name="Normal 17 3 4 2 2" xfId="22505" xr:uid="{00000000-0005-0000-0000-0000D76A0000}"/>
    <cellStyle name="Normal 17 3 4 3" xfId="22506" xr:uid="{00000000-0005-0000-0000-0000D86A0000}"/>
    <cellStyle name="Normal 17 3 4 4" xfId="22507" xr:uid="{00000000-0005-0000-0000-0000D96A0000}"/>
    <cellStyle name="Normal 17 3 4 5" xfId="42089" xr:uid="{D3A8532B-DD2F-4D13-BB85-5F42E6D4AEC0}"/>
    <cellStyle name="Normal 17 3 5" xfId="22508" xr:uid="{00000000-0005-0000-0000-0000DA6A0000}"/>
    <cellStyle name="Normal 17 3 5 2" xfId="22509" xr:uid="{00000000-0005-0000-0000-0000DB6A0000}"/>
    <cellStyle name="Normal 17 3 6" xfId="22510" xr:uid="{00000000-0005-0000-0000-0000DC6A0000}"/>
    <cellStyle name="Normal 17 3 7" xfId="22511" xr:uid="{00000000-0005-0000-0000-0000DD6A0000}"/>
    <cellStyle name="Normal 17 3 8" xfId="39453" xr:uid="{00000000-0005-0000-0000-0000DE6A0000}"/>
    <cellStyle name="Normal 17 3 9" xfId="42011" xr:uid="{C0100E4F-F0AA-4677-9E2E-EBCBAF07E4DF}"/>
    <cellStyle name="Normal 17 4" xfId="22512" xr:uid="{00000000-0005-0000-0000-0000DF6A0000}"/>
    <cellStyle name="Normal 17 4 2" xfId="22513" xr:uid="{00000000-0005-0000-0000-0000E06A0000}"/>
    <cellStyle name="Normal 17 4 2 2" xfId="22514" xr:uid="{00000000-0005-0000-0000-0000E16A0000}"/>
    <cellStyle name="Normal 17 4 2 2 2" xfId="22515" xr:uid="{00000000-0005-0000-0000-0000E26A0000}"/>
    <cellStyle name="Normal 17 4 2 3" xfId="22516" xr:uid="{00000000-0005-0000-0000-0000E36A0000}"/>
    <cellStyle name="Normal 17 4 2 4" xfId="22517" xr:uid="{00000000-0005-0000-0000-0000E46A0000}"/>
    <cellStyle name="Normal 17 4 2 5" xfId="39457" xr:uid="{00000000-0005-0000-0000-0000E56A0000}"/>
    <cellStyle name="Normal 17 4 2 6" xfId="42174" xr:uid="{9412EE7A-394B-40CB-82C5-91434D0302A3}"/>
    <cellStyle name="Normal 17 4 3" xfId="22518" xr:uid="{00000000-0005-0000-0000-0000E66A0000}"/>
    <cellStyle name="Normal 17 4 3 2" xfId="22519" xr:uid="{00000000-0005-0000-0000-0000E76A0000}"/>
    <cellStyle name="Normal 17 4 3 2 2" xfId="22520" xr:uid="{00000000-0005-0000-0000-0000E86A0000}"/>
    <cellStyle name="Normal 17 4 3 3" xfId="22521" xr:uid="{00000000-0005-0000-0000-0000E96A0000}"/>
    <cellStyle name="Normal 17 4 3 4" xfId="22522" xr:uid="{00000000-0005-0000-0000-0000EA6A0000}"/>
    <cellStyle name="Normal 17 4 3 5" xfId="39458" xr:uid="{00000000-0005-0000-0000-0000EB6A0000}"/>
    <cellStyle name="Normal 17 4 3 6" xfId="42107" xr:uid="{4C91037F-7B92-4E6C-B639-DFE775F38E63}"/>
    <cellStyle name="Normal 17 4 4" xfId="22523" xr:uid="{00000000-0005-0000-0000-0000EC6A0000}"/>
    <cellStyle name="Normal 17 4 4 2" xfId="22524" xr:uid="{00000000-0005-0000-0000-0000ED6A0000}"/>
    <cellStyle name="Normal 17 4 4 2 2" xfId="22525" xr:uid="{00000000-0005-0000-0000-0000EE6A0000}"/>
    <cellStyle name="Normal 17 4 4 3" xfId="22526" xr:uid="{00000000-0005-0000-0000-0000EF6A0000}"/>
    <cellStyle name="Normal 17 4 4 4" xfId="22527" xr:uid="{00000000-0005-0000-0000-0000F06A0000}"/>
    <cellStyle name="Normal 17 4 5" xfId="22528" xr:uid="{00000000-0005-0000-0000-0000F16A0000}"/>
    <cellStyle name="Normal 17 4 5 2" xfId="22529" xr:uid="{00000000-0005-0000-0000-0000F26A0000}"/>
    <cellStyle name="Normal 17 4 6" xfId="22530" xr:uid="{00000000-0005-0000-0000-0000F36A0000}"/>
    <cellStyle name="Normal 17 4 7" xfId="22531" xr:uid="{00000000-0005-0000-0000-0000F46A0000}"/>
    <cellStyle name="Normal 17 4 8" xfId="39456" xr:uid="{00000000-0005-0000-0000-0000F56A0000}"/>
    <cellStyle name="Normal 17 4 9" xfId="42036" xr:uid="{15FCD023-8362-4501-95B4-90A86343428E}"/>
    <cellStyle name="Normal 17 5" xfId="22532" xr:uid="{00000000-0005-0000-0000-0000F66A0000}"/>
    <cellStyle name="Normal 17 5 2" xfId="22533" xr:uid="{00000000-0005-0000-0000-0000F76A0000}"/>
    <cellStyle name="Normal 17 5 2 2" xfId="22534" xr:uid="{00000000-0005-0000-0000-0000F86A0000}"/>
    <cellStyle name="Normal 17 5 3" xfId="22535" xr:uid="{00000000-0005-0000-0000-0000F96A0000}"/>
    <cellStyle name="Normal 17 5 4" xfId="22536" xr:uid="{00000000-0005-0000-0000-0000FA6A0000}"/>
    <cellStyle name="Normal 17 5 5" xfId="39459" xr:uid="{00000000-0005-0000-0000-0000FB6A0000}"/>
    <cellStyle name="Normal 17 5 6" xfId="42135" xr:uid="{50BEC47E-3008-42C4-B89C-034D69A3B79F}"/>
    <cellStyle name="Normal 17 6" xfId="22537" xr:uid="{00000000-0005-0000-0000-0000FC6A0000}"/>
    <cellStyle name="Normal 17 6 2" xfId="22538" xr:uid="{00000000-0005-0000-0000-0000FD6A0000}"/>
    <cellStyle name="Normal 17 6 2 2" xfId="22539" xr:uid="{00000000-0005-0000-0000-0000FE6A0000}"/>
    <cellStyle name="Normal 17 6 3" xfId="22540" xr:uid="{00000000-0005-0000-0000-0000FF6A0000}"/>
    <cellStyle name="Normal 17 6 4" xfId="22541" xr:uid="{00000000-0005-0000-0000-0000006B0000}"/>
    <cellStyle name="Normal 17 6 5" xfId="39460" xr:uid="{00000000-0005-0000-0000-0000016B0000}"/>
    <cellStyle name="Normal 17 6 6" xfId="42087" xr:uid="{28E035E8-3232-4452-91AC-FFBA4403B6D1}"/>
    <cellStyle name="Normal 17 7" xfId="22542" xr:uid="{00000000-0005-0000-0000-0000026B0000}"/>
    <cellStyle name="Normal 17 7 2" xfId="22543" xr:uid="{00000000-0005-0000-0000-0000036B0000}"/>
    <cellStyle name="Normal 17 8" xfId="22544" xr:uid="{00000000-0005-0000-0000-0000046B0000}"/>
    <cellStyle name="Normal 17 9" xfId="22545" xr:uid="{00000000-0005-0000-0000-0000056B0000}"/>
    <cellStyle name="Normal 170" xfId="22546" xr:uid="{00000000-0005-0000-0000-0000066B0000}"/>
    <cellStyle name="Normal 170 2" xfId="22547" xr:uid="{00000000-0005-0000-0000-0000076B0000}"/>
    <cellStyle name="Normal 170 2 2" xfId="35281" xr:uid="{00000000-0005-0000-0000-0000086B0000}"/>
    <cellStyle name="Normal 170 3" xfId="42305" xr:uid="{79E74CBF-15DA-4FB4-AC82-ECC14CDDA1DC}"/>
    <cellStyle name="Normal 171" xfId="22548" xr:uid="{00000000-0005-0000-0000-0000096B0000}"/>
    <cellStyle name="Normal 171 2" xfId="22549" xr:uid="{00000000-0005-0000-0000-00000A6B0000}"/>
    <cellStyle name="Normal 171 2 2" xfId="35282" xr:uid="{00000000-0005-0000-0000-00000B6B0000}"/>
    <cellStyle name="Normal 171 3" xfId="42306" xr:uid="{C09CF5BC-A46F-45E2-BB0B-9702CC4C2E1E}"/>
    <cellStyle name="Normal 172" xfId="22550" xr:uid="{00000000-0005-0000-0000-00000C6B0000}"/>
    <cellStyle name="Normal 172 2" xfId="22551" xr:uid="{00000000-0005-0000-0000-00000D6B0000}"/>
    <cellStyle name="Normal 172 2 2" xfId="35283" xr:uid="{00000000-0005-0000-0000-00000E6B0000}"/>
    <cellStyle name="Normal 172 3" xfId="42307" xr:uid="{F378ADFB-7FC6-4A8F-AF94-9424AE99209E}"/>
    <cellStyle name="Normal 173" xfId="22552" xr:uid="{00000000-0005-0000-0000-00000F6B0000}"/>
    <cellStyle name="Normal 173 2" xfId="22553" xr:uid="{00000000-0005-0000-0000-0000106B0000}"/>
    <cellStyle name="Normal 174" xfId="22554" xr:uid="{00000000-0005-0000-0000-0000116B0000}"/>
    <cellStyle name="Normal 174 2" xfId="22555" xr:uid="{00000000-0005-0000-0000-0000126B0000}"/>
    <cellStyle name="Normal 175" xfId="22556" xr:uid="{00000000-0005-0000-0000-0000136B0000}"/>
    <cellStyle name="Normal 175 2" xfId="22557" xr:uid="{00000000-0005-0000-0000-0000146B0000}"/>
    <cellStyle name="Normal 176" xfId="22558" xr:uid="{00000000-0005-0000-0000-0000156B0000}"/>
    <cellStyle name="Normal 176 2" xfId="22559" xr:uid="{00000000-0005-0000-0000-0000166B0000}"/>
    <cellStyle name="Normal 177" xfId="22560" xr:uid="{00000000-0005-0000-0000-0000176B0000}"/>
    <cellStyle name="Normal 177 2" xfId="22561" xr:uid="{00000000-0005-0000-0000-0000186B0000}"/>
    <cellStyle name="Normal 177 2 2" xfId="35284" xr:uid="{00000000-0005-0000-0000-0000196B0000}"/>
    <cellStyle name="Normal 177 3" xfId="42308" xr:uid="{116C4AC5-B38A-4234-81AB-FEBA0F510960}"/>
    <cellStyle name="Normal 178" xfId="22562" xr:uid="{00000000-0005-0000-0000-00001A6B0000}"/>
    <cellStyle name="Normal 178 2" xfId="22563" xr:uid="{00000000-0005-0000-0000-00001B6B0000}"/>
    <cellStyle name="Normal 178 2 2" xfId="35285" xr:uid="{00000000-0005-0000-0000-00001C6B0000}"/>
    <cellStyle name="Normal 178 3" xfId="42309" xr:uid="{BFD9EA64-FECE-44C1-84E4-DA35BB144168}"/>
    <cellStyle name="Normal 179" xfId="22564" xr:uid="{00000000-0005-0000-0000-00001D6B0000}"/>
    <cellStyle name="Normal 179 2" xfId="22565" xr:uid="{00000000-0005-0000-0000-00001E6B0000}"/>
    <cellStyle name="Normal 179 2 2" xfId="35286" xr:uid="{00000000-0005-0000-0000-00001F6B0000}"/>
    <cellStyle name="Normal 179 3" xfId="42310" xr:uid="{03786034-D565-4F3D-A40B-1066018D56C0}"/>
    <cellStyle name="Normal 18" xfId="22566" xr:uid="{00000000-0005-0000-0000-0000206B0000}"/>
    <cellStyle name="Normal 18 2" xfId="22567" xr:uid="{00000000-0005-0000-0000-0000216B0000}"/>
    <cellStyle name="Normal 18 2 2" xfId="22568" xr:uid="{00000000-0005-0000-0000-0000226B0000}"/>
    <cellStyle name="Normal 18 2 2 2" xfId="22569" xr:uid="{00000000-0005-0000-0000-0000236B0000}"/>
    <cellStyle name="Normal 18 2 2 2 2" xfId="22570" xr:uid="{00000000-0005-0000-0000-0000246B0000}"/>
    <cellStyle name="Normal 18 2 2 3" xfId="22571" xr:uid="{00000000-0005-0000-0000-0000256B0000}"/>
    <cellStyle name="Normal 18 2 2 4" xfId="22572" xr:uid="{00000000-0005-0000-0000-0000266B0000}"/>
    <cellStyle name="Normal 18 2 2 5" xfId="39461" xr:uid="{00000000-0005-0000-0000-0000276B0000}"/>
    <cellStyle name="Normal 18 2 3" xfId="22573" xr:uid="{00000000-0005-0000-0000-0000286B0000}"/>
    <cellStyle name="Normal 18 2 3 2" xfId="22574" xr:uid="{00000000-0005-0000-0000-0000296B0000}"/>
    <cellStyle name="Normal 18 2 3 2 2" xfId="22575" xr:uid="{00000000-0005-0000-0000-00002A6B0000}"/>
    <cellStyle name="Normal 18 2 3 3" xfId="22576" xr:uid="{00000000-0005-0000-0000-00002B6B0000}"/>
    <cellStyle name="Normal 18 2 3 4" xfId="22577" xr:uid="{00000000-0005-0000-0000-00002C6B0000}"/>
    <cellStyle name="Normal 18 2 3 5" xfId="39462" xr:uid="{00000000-0005-0000-0000-00002D6B0000}"/>
    <cellStyle name="Normal 18 2 4" xfId="22578" xr:uid="{00000000-0005-0000-0000-00002E6B0000}"/>
    <cellStyle name="Normal 18 2 4 2" xfId="22579" xr:uid="{00000000-0005-0000-0000-00002F6B0000}"/>
    <cellStyle name="Normal 18 2 4 2 2" xfId="22580" xr:uid="{00000000-0005-0000-0000-0000306B0000}"/>
    <cellStyle name="Normal 18 2 4 3" xfId="22581" xr:uid="{00000000-0005-0000-0000-0000316B0000}"/>
    <cellStyle name="Normal 18 2 4 4" xfId="22582" xr:uid="{00000000-0005-0000-0000-0000326B0000}"/>
    <cellStyle name="Normal 18 2 5" xfId="42064" xr:uid="{A2AFC406-08B0-4E86-B4C2-27382243A47C}"/>
    <cellStyle name="Normal 18 3" xfId="22583" xr:uid="{00000000-0005-0000-0000-0000336B0000}"/>
    <cellStyle name="Normal 18 3 2" xfId="22584" xr:uid="{00000000-0005-0000-0000-0000346B0000}"/>
    <cellStyle name="Normal 18 3 2 2" xfId="22585" xr:uid="{00000000-0005-0000-0000-0000356B0000}"/>
    <cellStyle name="Normal 18 3 2 2 2" xfId="22586" xr:uid="{00000000-0005-0000-0000-0000366B0000}"/>
    <cellStyle name="Normal 18 3 2 3" xfId="22587" xr:uid="{00000000-0005-0000-0000-0000376B0000}"/>
    <cellStyle name="Normal 18 3 2 4" xfId="22588" xr:uid="{00000000-0005-0000-0000-0000386B0000}"/>
    <cellStyle name="Normal 18 3 2 5" xfId="39464" xr:uid="{00000000-0005-0000-0000-0000396B0000}"/>
    <cellStyle name="Normal 18 3 3" xfId="22589" xr:uid="{00000000-0005-0000-0000-00003A6B0000}"/>
    <cellStyle name="Normal 18 3 3 2" xfId="22590" xr:uid="{00000000-0005-0000-0000-00003B6B0000}"/>
    <cellStyle name="Normal 18 3 3 2 2" xfId="22591" xr:uid="{00000000-0005-0000-0000-00003C6B0000}"/>
    <cellStyle name="Normal 18 3 3 3" xfId="22592" xr:uid="{00000000-0005-0000-0000-00003D6B0000}"/>
    <cellStyle name="Normal 18 3 3 4" xfId="22593" xr:uid="{00000000-0005-0000-0000-00003E6B0000}"/>
    <cellStyle name="Normal 18 3 3 5" xfId="39465" xr:uid="{00000000-0005-0000-0000-00003F6B0000}"/>
    <cellStyle name="Normal 18 3 4" xfId="22594" xr:uid="{00000000-0005-0000-0000-0000406B0000}"/>
    <cellStyle name="Normal 18 3 4 2" xfId="22595" xr:uid="{00000000-0005-0000-0000-0000416B0000}"/>
    <cellStyle name="Normal 18 3 5" xfId="22596" xr:uid="{00000000-0005-0000-0000-0000426B0000}"/>
    <cellStyle name="Normal 18 3 6" xfId="22597" xr:uid="{00000000-0005-0000-0000-0000436B0000}"/>
    <cellStyle name="Normal 18 3 7" xfId="39463" xr:uid="{00000000-0005-0000-0000-0000446B0000}"/>
    <cellStyle name="Normal 18 4" xfId="22598" xr:uid="{00000000-0005-0000-0000-0000456B0000}"/>
    <cellStyle name="Normal 18 4 2" xfId="22599" xr:uid="{00000000-0005-0000-0000-0000466B0000}"/>
    <cellStyle name="Normal 18 4 2 2" xfId="22600" xr:uid="{00000000-0005-0000-0000-0000476B0000}"/>
    <cellStyle name="Normal 18 4 2 2 2" xfId="22601" xr:uid="{00000000-0005-0000-0000-0000486B0000}"/>
    <cellStyle name="Normal 18 4 2 3" xfId="22602" xr:uid="{00000000-0005-0000-0000-0000496B0000}"/>
    <cellStyle name="Normal 18 4 2 4" xfId="22603" xr:uid="{00000000-0005-0000-0000-00004A6B0000}"/>
    <cellStyle name="Normal 18 4 2 5" xfId="39467" xr:uid="{00000000-0005-0000-0000-00004B6B0000}"/>
    <cellStyle name="Normal 18 4 3" xfId="22604" xr:uid="{00000000-0005-0000-0000-00004C6B0000}"/>
    <cellStyle name="Normal 18 4 3 2" xfId="22605" xr:uid="{00000000-0005-0000-0000-00004D6B0000}"/>
    <cellStyle name="Normal 18 4 3 2 2" xfId="22606" xr:uid="{00000000-0005-0000-0000-00004E6B0000}"/>
    <cellStyle name="Normal 18 4 3 3" xfId="22607" xr:uid="{00000000-0005-0000-0000-00004F6B0000}"/>
    <cellStyle name="Normal 18 4 3 4" xfId="22608" xr:uid="{00000000-0005-0000-0000-0000506B0000}"/>
    <cellStyle name="Normal 18 4 3 5" xfId="39468" xr:uid="{00000000-0005-0000-0000-0000516B0000}"/>
    <cellStyle name="Normal 18 4 4" xfId="22609" xr:uid="{00000000-0005-0000-0000-0000526B0000}"/>
    <cellStyle name="Normal 18 4 4 2" xfId="22610" xr:uid="{00000000-0005-0000-0000-0000536B0000}"/>
    <cellStyle name="Normal 18 4 5" xfId="22611" xr:uid="{00000000-0005-0000-0000-0000546B0000}"/>
    <cellStyle name="Normal 18 4 6" xfId="22612" xr:uid="{00000000-0005-0000-0000-0000556B0000}"/>
    <cellStyle name="Normal 18 4 7" xfId="39466" xr:uid="{00000000-0005-0000-0000-0000566B0000}"/>
    <cellStyle name="Normal 18 5" xfId="22613" xr:uid="{00000000-0005-0000-0000-0000576B0000}"/>
    <cellStyle name="Normal 18 5 2" xfId="22614" xr:uid="{00000000-0005-0000-0000-0000586B0000}"/>
    <cellStyle name="Normal 18 5 2 2" xfId="22615" xr:uid="{00000000-0005-0000-0000-0000596B0000}"/>
    <cellStyle name="Normal 18 5 3" xfId="22616" xr:uid="{00000000-0005-0000-0000-00005A6B0000}"/>
    <cellStyle name="Normal 18 5 4" xfId="22617" xr:uid="{00000000-0005-0000-0000-00005B6B0000}"/>
    <cellStyle name="Normal 18 5 5" xfId="39469" xr:uid="{00000000-0005-0000-0000-00005C6B0000}"/>
    <cellStyle name="Normal 18 6" xfId="22618" xr:uid="{00000000-0005-0000-0000-00005D6B0000}"/>
    <cellStyle name="Normal 18 6 2" xfId="22619" xr:uid="{00000000-0005-0000-0000-00005E6B0000}"/>
    <cellStyle name="Normal 18 6 2 2" xfId="22620" xr:uid="{00000000-0005-0000-0000-00005F6B0000}"/>
    <cellStyle name="Normal 18 6 3" xfId="22621" xr:uid="{00000000-0005-0000-0000-0000606B0000}"/>
    <cellStyle name="Normal 18 6 4" xfId="22622" xr:uid="{00000000-0005-0000-0000-0000616B0000}"/>
    <cellStyle name="Normal 18 6 5" xfId="39470" xr:uid="{00000000-0005-0000-0000-0000626B0000}"/>
    <cellStyle name="Normal 18 7" xfId="42045" xr:uid="{71693C27-87CD-4EC5-96FA-8A52583A6251}"/>
    <cellStyle name="Normal 180" xfId="22623" xr:uid="{00000000-0005-0000-0000-0000636B0000}"/>
    <cellStyle name="Normal 180 2" xfId="22624" xr:uid="{00000000-0005-0000-0000-0000646B0000}"/>
    <cellStyle name="Normal 180 2 2" xfId="35287" xr:uid="{00000000-0005-0000-0000-0000656B0000}"/>
    <cellStyle name="Normal 180 3" xfId="42311" xr:uid="{53B5AECA-0037-4868-83CB-D6DF1F55D404}"/>
    <cellStyle name="Normal 181" xfId="22625" xr:uid="{00000000-0005-0000-0000-0000666B0000}"/>
    <cellStyle name="Normal 181 2" xfId="22626" xr:uid="{00000000-0005-0000-0000-0000676B0000}"/>
    <cellStyle name="Normal 181 2 2" xfId="35288" xr:uid="{00000000-0005-0000-0000-0000686B0000}"/>
    <cellStyle name="Normal 181 3" xfId="42312" xr:uid="{8C55ADCF-9F5D-4B9C-9F86-FCF507D2FD7B}"/>
    <cellStyle name="Normal 182" xfId="22627" xr:uid="{00000000-0005-0000-0000-0000696B0000}"/>
    <cellStyle name="Normal 182 2" xfId="22628" xr:uid="{00000000-0005-0000-0000-00006A6B0000}"/>
    <cellStyle name="Normal 182 2 2" xfId="35289" xr:uid="{00000000-0005-0000-0000-00006B6B0000}"/>
    <cellStyle name="Normal 182 3" xfId="42313" xr:uid="{00DE6D1B-3AEB-440B-84EC-113FDDAC8A73}"/>
    <cellStyle name="Normal 183" xfId="22629" xr:uid="{00000000-0005-0000-0000-00006C6B0000}"/>
    <cellStyle name="Normal 183 2" xfId="22630" xr:uid="{00000000-0005-0000-0000-00006D6B0000}"/>
    <cellStyle name="Normal 183 2 2" xfId="35290" xr:uid="{00000000-0005-0000-0000-00006E6B0000}"/>
    <cellStyle name="Normal 183 3" xfId="42314" xr:uid="{9812687C-A1A6-4B76-B655-880F6D6FC90D}"/>
    <cellStyle name="Normal 184" xfId="22631" xr:uid="{00000000-0005-0000-0000-00006F6B0000}"/>
    <cellStyle name="Normal 184 2" xfId="22632" xr:uid="{00000000-0005-0000-0000-0000706B0000}"/>
    <cellStyle name="Normal 184 2 2" xfId="35291" xr:uid="{00000000-0005-0000-0000-0000716B0000}"/>
    <cellStyle name="Normal 184 3" xfId="42315" xr:uid="{D0E5372F-BFA0-47CE-8ECA-1DCF56AD5F77}"/>
    <cellStyle name="Normal 185" xfId="22633" xr:uid="{00000000-0005-0000-0000-0000726B0000}"/>
    <cellStyle name="Normal 185 2" xfId="22634" xr:uid="{00000000-0005-0000-0000-0000736B0000}"/>
    <cellStyle name="Normal 185 2 2" xfId="35292" xr:uid="{00000000-0005-0000-0000-0000746B0000}"/>
    <cellStyle name="Normal 185 3" xfId="42316" xr:uid="{09D5EF80-D76B-4A3E-B102-8E8BACD12A83}"/>
    <cellStyle name="Normal 186" xfId="22635" xr:uid="{00000000-0005-0000-0000-0000756B0000}"/>
    <cellStyle name="Normal 186 2" xfId="22636" xr:uid="{00000000-0005-0000-0000-0000766B0000}"/>
    <cellStyle name="Normal 186 2 2" xfId="35293" xr:uid="{00000000-0005-0000-0000-0000776B0000}"/>
    <cellStyle name="Normal 186 3" xfId="42317" xr:uid="{E0A4FA2E-24B7-4C75-8471-C7FBFB841AE7}"/>
    <cellStyle name="Normal 187" xfId="22637" xr:uid="{00000000-0005-0000-0000-0000786B0000}"/>
    <cellStyle name="Normal 187 2" xfId="22638" xr:uid="{00000000-0005-0000-0000-0000796B0000}"/>
    <cellStyle name="Normal 187 2 2" xfId="35294" xr:uid="{00000000-0005-0000-0000-00007A6B0000}"/>
    <cellStyle name="Normal 187 3" xfId="42318" xr:uid="{5A59AC4B-8D7C-48C5-AF4B-7AACCCCE3390}"/>
    <cellStyle name="Normal 188" xfId="22639" xr:uid="{00000000-0005-0000-0000-00007B6B0000}"/>
    <cellStyle name="Normal 188 2" xfId="22640" xr:uid="{00000000-0005-0000-0000-00007C6B0000}"/>
    <cellStyle name="Normal 188 2 2" xfId="35295" xr:uid="{00000000-0005-0000-0000-00007D6B0000}"/>
    <cellStyle name="Normal 188 3" xfId="42319" xr:uid="{C776D1DA-21F7-4B9A-9AD0-F08E2A8E0531}"/>
    <cellStyle name="Normal 189" xfId="22641" xr:uid="{00000000-0005-0000-0000-00007E6B0000}"/>
    <cellStyle name="Normal 189 2" xfId="22642" xr:uid="{00000000-0005-0000-0000-00007F6B0000}"/>
    <cellStyle name="Normal 189 2 2" xfId="35296" xr:uid="{00000000-0005-0000-0000-0000806B0000}"/>
    <cellStyle name="Normal 189 3" xfId="42320" xr:uid="{F6F48BEF-A71E-4728-A5C8-37805AEE72F8}"/>
    <cellStyle name="Normal 19" xfId="22643" xr:uid="{00000000-0005-0000-0000-0000816B0000}"/>
    <cellStyle name="Normal 19 2" xfId="22644" xr:uid="{00000000-0005-0000-0000-0000826B0000}"/>
    <cellStyle name="Normal 19 2 2" xfId="22645" xr:uid="{00000000-0005-0000-0000-0000836B0000}"/>
    <cellStyle name="Normal 19 2 2 2" xfId="22646" xr:uid="{00000000-0005-0000-0000-0000846B0000}"/>
    <cellStyle name="Normal 19 2 2 2 2" xfId="22647" xr:uid="{00000000-0005-0000-0000-0000856B0000}"/>
    <cellStyle name="Normal 19 2 2 3" xfId="22648" xr:uid="{00000000-0005-0000-0000-0000866B0000}"/>
    <cellStyle name="Normal 19 2 2 4" xfId="22649" xr:uid="{00000000-0005-0000-0000-0000876B0000}"/>
    <cellStyle name="Normal 19 2 2 5" xfId="39471" xr:uid="{00000000-0005-0000-0000-0000886B0000}"/>
    <cellStyle name="Normal 19 2 3" xfId="22650" xr:uid="{00000000-0005-0000-0000-0000896B0000}"/>
    <cellStyle name="Normal 19 2 3 2" xfId="22651" xr:uid="{00000000-0005-0000-0000-00008A6B0000}"/>
    <cellStyle name="Normal 19 2 3 2 2" xfId="22652" xr:uid="{00000000-0005-0000-0000-00008B6B0000}"/>
    <cellStyle name="Normal 19 2 3 3" xfId="22653" xr:uid="{00000000-0005-0000-0000-00008C6B0000}"/>
    <cellStyle name="Normal 19 2 3 4" xfId="22654" xr:uid="{00000000-0005-0000-0000-00008D6B0000}"/>
    <cellStyle name="Normal 19 2 3 5" xfId="39472" xr:uid="{00000000-0005-0000-0000-00008E6B0000}"/>
    <cellStyle name="Normal 19 2 4" xfId="22655" xr:uid="{00000000-0005-0000-0000-00008F6B0000}"/>
    <cellStyle name="Normal 19 2 4 2" xfId="22656" xr:uid="{00000000-0005-0000-0000-0000906B0000}"/>
    <cellStyle name="Normal 19 2 4 2 2" xfId="22657" xr:uid="{00000000-0005-0000-0000-0000916B0000}"/>
    <cellStyle name="Normal 19 2 4 3" xfId="22658" xr:uid="{00000000-0005-0000-0000-0000926B0000}"/>
    <cellStyle name="Normal 19 2 4 4" xfId="22659" xr:uid="{00000000-0005-0000-0000-0000936B0000}"/>
    <cellStyle name="Normal 19 3" xfId="22660" xr:uid="{00000000-0005-0000-0000-0000946B0000}"/>
    <cellStyle name="Normal 19 3 2" xfId="22661" xr:uid="{00000000-0005-0000-0000-0000956B0000}"/>
    <cellStyle name="Normal 19 3 2 2" xfId="22662" xr:uid="{00000000-0005-0000-0000-0000966B0000}"/>
    <cellStyle name="Normal 19 3 2 2 2" xfId="22663" xr:uid="{00000000-0005-0000-0000-0000976B0000}"/>
    <cellStyle name="Normal 19 3 2 3" xfId="22664" xr:uid="{00000000-0005-0000-0000-0000986B0000}"/>
    <cellStyle name="Normal 19 3 2 4" xfId="22665" xr:uid="{00000000-0005-0000-0000-0000996B0000}"/>
    <cellStyle name="Normal 19 3 2 5" xfId="39474" xr:uid="{00000000-0005-0000-0000-00009A6B0000}"/>
    <cellStyle name="Normal 19 3 3" xfId="22666" xr:uid="{00000000-0005-0000-0000-00009B6B0000}"/>
    <cellStyle name="Normal 19 3 3 2" xfId="22667" xr:uid="{00000000-0005-0000-0000-00009C6B0000}"/>
    <cellStyle name="Normal 19 3 3 2 2" xfId="22668" xr:uid="{00000000-0005-0000-0000-00009D6B0000}"/>
    <cellStyle name="Normal 19 3 3 3" xfId="22669" xr:uid="{00000000-0005-0000-0000-00009E6B0000}"/>
    <cellStyle name="Normal 19 3 3 4" xfId="22670" xr:uid="{00000000-0005-0000-0000-00009F6B0000}"/>
    <cellStyle name="Normal 19 3 3 5" xfId="39475" xr:uid="{00000000-0005-0000-0000-0000A06B0000}"/>
    <cellStyle name="Normal 19 3 4" xfId="22671" xr:uid="{00000000-0005-0000-0000-0000A16B0000}"/>
    <cellStyle name="Normal 19 3 4 2" xfId="22672" xr:uid="{00000000-0005-0000-0000-0000A26B0000}"/>
    <cellStyle name="Normal 19 3 5" xfId="22673" xr:uid="{00000000-0005-0000-0000-0000A36B0000}"/>
    <cellStyle name="Normal 19 3 6" xfId="22674" xr:uid="{00000000-0005-0000-0000-0000A46B0000}"/>
    <cellStyle name="Normal 19 3 7" xfId="39473" xr:uid="{00000000-0005-0000-0000-0000A56B0000}"/>
    <cellStyle name="Normal 19 4" xfId="22675" xr:uid="{00000000-0005-0000-0000-0000A66B0000}"/>
    <cellStyle name="Normal 19 4 2" xfId="22676" xr:uid="{00000000-0005-0000-0000-0000A76B0000}"/>
    <cellStyle name="Normal 19 4 2 2" xfId="22677" xr:uid="{00000000-0005-0000-0000-0000A86B0000}"/>
    <cellStyle name="Normal 19 4 2 2 2" xfId="22678" xr:uid="{00000000-0005-0000-0000-0000A96B0000}"/>
    <cellStyle name="Normal 19 4 2 3" xfId="22679" xr:uid="{00000000-0005-0000-0000-0000AA6B0000}"/>
    <cellStyle name="Normal 19 4 2 4" xfId="22680" xr:uid="{00000000-0005-0000-0000-0000AB6B0000}"/>
    <cellStyle name="Normal 19 4 2 5" xfId="39477" xr:uid="{00000000-0005-0000-0000-0000AC6B0000}"/>
    <cellStyle name="Normal 19 4 3" xfId="22681" xr:uid="{00000000-0005-0000-0000-0000AD6B0000}"/>
    <cellStyle name="Normal 19 4 3 2" xfId="22682" xr:uid="{00000000-0005-0000-0000-0000AE6B0000}"/>
    <cellStyle name="Normal 19 4 3 2 2" xfId="22683" xr:uid="{00000000-0005-0000-0000-0000AF6B0000}"/>
    <cellStyle name="Normal 19 4 3 3" xfId="22684" xr:uid="{00000000-0005-0000-0000-0000B06B0000}"/>
    <cellStyle name="Normal 19 4 3 4" xfId="22685" xr:uid="{00000000-0005-0000-0000-0000B16B0000}"/>
    <cellStyle name="Normal 19 4 3 5" xfId="39478" xr:uid="{00000000-0005-0000-0000-0000B26B0000}"/>
    <cellStyle name="Normal 19 4 4" xfId="22686" xr:uid="{00000000-0005-0000-0000-0000B36B0000}"/>
    <cellStyle name="Normal 19 4 4 2" xfId="22687" xr:uid="{00000000-0005-0000-0000-0000B46B0000}"/>
    <cellStyle name="Normal 19 4 5" xfId="22688" xr:uid="{00000000-0005-0000-0000-0000B56B0000}"/>
    <cellStyle name="Normal 19 4 6" xfId="22689" xr:uid="{00000000-0005-0000-0000-0000B66B0000}"/>
    <cellStyle name="Normal 19 4 7" xfId="39476" xr:uid="{00000000-0005-0000-0000-0000B76B0000}"/>
    <cellStyle name="Normal 19 5" xfId="22690" xr:uid="{00000000-0005-0000-0000-0000B86B0000}"/>
    <cellStyle name="Normal 19 5 2" xfId="22691" xr:uid="{00000000-0005-0000-0000-0000B96B0000}"/>
    <cellStyle name="Normal 19 5 2 2" xfId="22692" xr:uid="{00000000-0005-0000-0000-0000BA6B0000}"/>
    <cellStyle name="Normal 19 5 3" xfId="22693" xr:uid="{00000000-0005-0000-0000-0000BB6B0000}"/>
    <cellStyle name="Normal 19 5 4" xfId="22694" xr:uid="{00000000-0005-0000-0000-0000BC6B0000}"/>
    <cellStyle name="Normal 19 5 5" xfId="39479" xr:uid="{00000000-0005-0000-0000-0000BD6B0000}"/>
    <cellStyle name="Normal 19 6" xfId="22695" xr:uid="{00000000-0005-0000-0000-0000BE6B0000}"/>
    <cellStyle name="Normal 19 6 2" xfId="22696" xr:uid="{00000000-0005-0000-0000-0000BF6B0000}"/>
    <cellStyle name="Normal 19 6 2 2" xfId="22697" xr:uid="{00000000-0005-0000-0000-0000C06B0000}"/>
    <cellStyle name="Normal 19 6 3" xfId="22698" xr:uid="{00000000-0005-0000-0000-0000C16B0000}"/>
    <cellStyle name="Normal 19 6 4" xfId="22699" xr:uid="{00000000-0005-0000-0000-0000C26B0000}"/>
    <cellStyle name="Normal 19 6 5" xfId="39480" xr:uid="{00000000-0005-0000-0000-0000C36B0000}"/>
    <cellStyle name="Normal 19 7" xfId="42073" xr:uid="{8BD24B33-28D7-431F-8473-31F5CF42A5D5}"/>
    <cellStyle name="Normal 190" xfId="22700" xr:uid="{00000000-0005-0000-0000-0000C46B0000}"/>
    <cellStyle name="Normal 190 2" xfId="22701" xr:uid="{00000000-0005-0000-0000-0000C56B0000}"/>
    <cellStyle name="Normal 190 2 2" xfId="35297" xr:uid="{00000000-0005-0000-0000-0000C66B0000}"/>
    <cellStyle name="Normal 190 3" xfId="42321" xr:uid="{1194CF02-24E6-4677-ACD4-AB3FBBD49115}"/>
    <cellStyle name="Normal 191" xfId="22702" xr:uid="{00000000-0005-0000-0000-0000C76B0000}"/>
    <cellStyle name="Normal 191 2" xfId="22703" xr:uid="{00000000-0005-0000-0000-0000C86B0000}"/>
    <cellStyle name="Normal 192" xfId="22704" xr:uid="{00000000-0005-0000-0000-0000C96B0000}"/>
    <cellStyle name="Normal 192 2" xfId="22705" xr:uid="{00000000-0005-0000-0000-0000CA6B0000}"/>
    <cellStyle name="Normal 192 2 2" xfId="35298" xr:uid="{00000000-0005-0000-0000-0000CB6B0000}"/>
    <cellStyle name="Normal 192 3" xfId="42322" xr:uid="{D748F15D-F263-4F22-94D6-39FBD1180748}"/>
    <cellStyle name="Normal 193" xfId="22706" xr:uid="{00000000-0005-0000-0000-0000CC6B0000}"/>
    <cellStyle name="Normal 193 2" xfId="22707" xr:uid="{00000000-0005-0000-0000-0000CD6B0000}"/>
    <cellStyle name="Normal 193 2 2" xfId="35299" xr:uid="{00000000-0005-0000-0000-0000CE6B0000}"/>
    <cellStyle name="Normal 193 3" xfId="42323" xr:uid="{5487D58F-FC3E-4B4F-8047-996C9B81FC4E}"/>
    <cellStyle name="Normal 194" xfId="22708" xr:uid="{00000000-0005-0000-0000-0000CF6B0000}"/>
    <cellStyle name="Normal 194 2" xfId="22709" xr:uid="{00000000-0005-0000-0000-0000D06B0000}"/>
    <cellStyle name="Normal 195" xfId="22710" xr:uid="{00000000-0005-0000-0000-0000D16B0000}"/>
    <cellStyle name="Normal 195 2" xfId="22711" xr:uid="{00000000-0005-0000-0000-0000D26B0000}"/>
    <cellStyle name="Normal 196" xfId="22712" xr:uid="{00000000-0005-0000-0000-0000D36B0000}"/>
    <cellStyle name="Normal 196 2" xfId="22713" xr:uid="{00000000-0005-0000-0000-0000D46B0000}"/>
    <cellStyle name="Normal 196 2 2" xfId="35300" xr:uid="{00000000-0005-0000-0000-0000D56B0000}"/>
    <cellStyle name="Normal 196 3" xfId="42324" xr:uid="{0B6C2C90-BA93-49CB-B8A9-7AB0937EAA74}"/>
    <cellStyle name="Normal 197" xfId="22714" xr:uid="{00000000-0005-0000-0000-0000D66B0000}"/>
    <cellStyle name="Normal 197 2" xfId="22715" xr:uid="{00000000-0005-0000-0000-0000D76B0000}"/>
    <cellStyle name="Normal 197 2 2" xfId="35301" xr:uid="{00000000-0005-0000-0000-0000D86B0000}"/>
    <cellStyle name="Normal 197 3" xfId="42325" xr:uid="{8B964183-45DB-4FB0-9EC6-7AA32E4241D2}"/>
    <cellStyle name="Normal 198" xfId="22716" xr:uid="{00000000-0005-0000-0000-0000D96B0000}"/>
    <cellStyle name="Normal 198 2" xfId="22717" xr:uid="{00000000-0005-0000-0000-0000DA6B0000}"/>
    <cellStyle name="Normal 198 2 2" xfId="35302" xr:uid="{00000000-0005-0000-0000-0000DB6B0000}"/>
    <cellStyle name="Normal 198 3" xfId="42326" xr:uid="{EE88C2D4-F591-44D2-8573-D459AE7214ED}"/>
    <cellStyle name="Normal 199" xfId="22718" xr:uid="{00000000-0005-0000-0000-0000DC6B0000}"/>
    <cellStyle name="Normal 199 2" xfId="22719" xr:uid="{00000000-0005-0000-0000-0000DD6B0000}"/>
    <cellStyle name="Normal 199 2 2" xfId="35303" xr:uid="{00000000-0005-0000-0000-0000DE6B0000}"/>
    <cellStyle name="Normal 199 3" xfId="42327" xr:uid="{941AC673-9656-44A8-9155-142232DAB4B2}"/>
    <cellStyle name="Normal 2" xfId="1" xr:uid="{00000000-0005-0000-0000-0000DF6B0000}"/>
    <cellStyle name="Normal 2 10" xfId="22720" xr:uid="{00000000-0005-0000-0000-0000E06B0000}"/>
    <cellStyle name="Normal 2 11" xfId="22721" xr:uid="{00000000-0005-0000-0000-0000E16B0000}"/>
    <cellStyle name="Normal 2 12" xfId="22722" xr:uid="{00000000-0005-0000-0000-0000E26B0000}"/>
    <cellStyle name="Normal 2 13" xfId="22723" xr:uid="{00000000-0005-0000-0000-0000E36B0000}"/>
    <cellStyle name="Normal 2 13 2" xfId="22724" xr:uid="{00000000-0005-0000-0000-0000E46B0000}"/>
    <cellStyle name="Normal 2 13 2 2" xfId="22725" xr:uid="{00000000-0005-0000-0000-0000E56B0000}"/>
    <cellStyle name="Normal 2 13 2 2 2" xfId="22726" xr:uid="{00000000-0005-0000-0000-0000E66B0000}"/>
    <cellStyle name="Normal 2 13 2 3" xfId="22727" xr:uid="{00000000-0005-0000-0000-0000E76B0000}"/>
    <cellStyle name="Normal 2 13 2 4" xfId="22728" xr:uid="{00000000-0005-0000-0000-0000E86B0000}"/>
    <cellStyle name="Normal 2 13 2 5" xfId="39482" xr:uid="{00000000-0005-0000-0000-0000E96B0000}"/>
    <cellStyle name="Normal 2 13 3" xfId="22729" xr:uid="{00000000-0005-0000-0000-0000EA6B0000}"/>
    <cellStyle name="Normal 2 13 3 2" xfId="22730" xr:uid="{00000000-0005-0000-0000-0000EB6B0000}"/>
    <cellStyle name="Normal 2 13 3 2 2" xfId="22731" xr:uid="{00000000-0005-0000-0000-0000EC6B0000}"/>
    <cellStyle name="Normal 2 13 3 3" xfId="22732" xr:uid="{00000000-0005-0000-0000-0000ED6B0000}"/>
    <cellStyle name="Normal 2 13 3 4" xfId="22733" xr:uid="{00000000-0005-0000-0000-0000EE6B0000}"/>
    <cellStyle name="Normal 2 13 3 5" xfId="39483" xr:uid="{00000000-0005-0000-0000-0000EF6B0000}"/>
    <cellStyle name="Normal 2 13 4" xfId="22734" xr:uid="{00000000-0005-0000-0000-0000F06B0000}"/>
    <cellStyle name="Normal 2 13 4 2" xfId="22735" xr:uid="{00000000-0005-0000-0000-0000F16B0000}"/>
    <cellStyle name="Normal 2 13 5" xfId="22736" xr:uid="{00000000-0005-0000-0000-0000F26B0000}"/>
    <cellStyle name="Normal 2 13 6" xfId="22737" xr:uid="{00000000-0005-0000-0000-0000F36B0000}"/>
    <cellStyle name="Normal 2 13 7" xfId="39481" xr:uid="{00000000-0005-0000-0000-0000F46B0000}"/>
    <cellStyle name="Normal 2 14" xfId="22738" xr:uid="{00000000-0005-0000-0000-0000F56B0000}"/>
    <cellStyle name="Normal 2 14 2" xfId="22739" xr:uid="{00000000-0005-0000-0000-0000F66B0000}"/>
    <cellStyle name="Normal 2 14 2 2" xfId="22740" xr:uid="{00000000-0005-0000-0000-0000F76B0000}"/>
    <cellStyle name="Normal 2 14 2 2 2" xfId="22741" xr:uid="{00000000-0005-0000-0000-0000F86B0000}"/>
    <cellStyle name="Normal 2 14 2 3" xfId="22742" xr:uid="{00000000-0005-0000-0000-0000F96B0000}"/>
    <cellStyle name="Normal 2 14 2 4" xfId="22743" xr:uid="{00000000-0005-0000-0000-0000FA6B0000}"/>
    <cellStyle name="Normal 2 14 2 5" xfId="39485" xr:uid="{00000000-0005-0000-0000-0000FB6B0000}"/>
    <cellStyle name="Normal 2 14 3" xfId="22744" xr:uid="{00000000-0005-0000-0000-0000FC6B0000}"/>
    <cellStyle name="Normal 2 14 3 2" xfId="22745" xr:uid="{00000000-0005-0000-0000-0000FD6B0000}"/>
    <cellStyle name="Normal 2 14 3 2 2" xfId="22746" xr:uid="{00000000-0005-0000-0000-0000FE6B0000}"/>
    <cellStyle name="Normal 2 14 3 3" xfId="22747" xr:uid="{00000000-0005-0000-0000-0000FF6B0000}"/>
    <cellStyle name="Normal 2 14 3 4" xfId="22748" xr:uid="{00000000-0005-0000-0000-0000006C0000}"/>
    <cellStyle name="Normal 2 14 3 5" xfId="39486" xr:uid="{00000000-0005-0000-0000-0000016C0000}"/>
    <cellStyle name="Normal 2 14 4" xfId="22749" xr:uid="{00000000-0005-0000-0000-0000026C0000}"/>
    <cellStyle name="Normal 2 14 4 2" xfId="22750" xr:uid="{00000000-0005-0000-0000-0000036C0000}"/>
    <cellStyle name="Normal 2 14 5" xfId="22751" xr:uid="{00000000-0005-0000-0000-0000046C0000}"/>
    <cellStyle name="Normal 2 14 6" xfId="22752" xr:uid="{00000000-0005-0000-0000-0000056C0000}"/>
    <cellStyle name="Normal 2 14 7" xfId="39484" xr:uid="{00000000-0005-0000-0000-0000066C0000}"/>
    <cellStyle name="Normal 2 15" xfId="22753" xr:uid="{00000000-0005-0000-0000-0000076C0000}"/>
    <cellStyle name="Normal 2 15 2" xfId="22754" xr:uid="{00000000-0005-0000-0000-0000086C0000}"/>
    <cellStyle name="Normal 2 15 2 2" xfId="22755" xr:uid="{00000000-0005-0000-0000-0000096C0000}"/>
    <cellStyle name="Normal 2 15 2 2 2" xfId="22756" xr:uid="{00000000-0005-0000-0000-00000A6C0000}"/>
    <cellStyle name="Normal 2 15 2 3" xfId="22757" xr:uid="{00000000-0005-0000-0000-00000B6C0000}"/>
    <cellStyle name="Normal 2 15 2 4" xfId="22758" xr:uid="{00000000-0005-0000-0000-00000C6C0000}"/>
    <cellStyle name="Normal 2 15 2 5" xfId="39488" xr:uid="{00000000-0005-0000-0000-00000D6C0000}"/>
    <cellStyle name="Normal 2 15 3" xfId="22759" xr:uid="{00000000-0005-0000-0000-00000E6C0000}"/>
    <cellStyle name="Normal 2 15 3 2" xfId="22760" xr:uid="{00000000-0005-0000-0000-00000F6C0000}"/>
    <cellStyle name="Normal 2 15 3 2 2" xfId="22761" xr:uid="{00000000-0005-0000-0000-0000106C0000}"/>
    <cellStyle name="Normal 2 15 3 3" xfId="22762" xr:uid="{00000000-0005-0000-0000-0000116C0000}"/>
    <cellStyle name="Normal 2 15 3 4" xfId="22763" xr:uid="{00000000-0005-0000-0000-0000126C0000}"/>
    <cellStyle name="Normal 2 15 3 5" xfId="39489" xr:uid="{00000000-0005-0000-0000-0000136C0000}"/>
    <cellStyle name="Normal 2 15 4" xfId="22764" xr:uid="{00000000-0005-0000-0000-0000146C0000}"/>
    <cellStyle name="Normal 2 15 4 2" xfId="22765" xr:uid="{00000000-0005-0000-0000-0000156C0000}"/>
    <cellStyle name="Normal 2 15 5" xfId="22766" xr:uid="{00000000-0005-0000-0000-0000166C0000}"/>
    <cellStyle name="Normal 2 15 6" xfId="22767" xr:uid="{00000000-0005-0000-0000-0000176C0000}"/>
    <cellStyle name="Normal 2 15 7" xfId="39487" xr:uid="{00000000-0005-0000-0000-0000186C0000}"/>
    <cellStyle name="Normal 2 16" xfId="22768" xr:uid="{00000000-0005-0000-0000-0000196C0000}"/>
    <cellStyle name="Normal 2 16 2" xfId="22769" xr:uid="{00000000-0005-0000-0000-00001A6C0000}"/>
    <cellStyle name="Normal 2 16 2 2" xfId="22770" xr:uid="{00000000-0005-0000-0000-00001B6C0000}"/>
    <cellStyle name="Normal 2 16 3" xfId="22771" xr:uid="{00000000-0005-0000-0000-00001C6C0000}"/>
    <cellStyle name="Normal 2 16 4" xfId="22772" xr:uid="{00000000-0005-0000-0000-00001D6C0000}"/>
    <cellStyle name="Normal 2 16 5" xfId="39490" xr:uid="{00000000-0005-0000-0000-00001E6C0000}"/>
    <cellStyle name="Normal 2 17" xfId="22773" xr:uid="{00000000-0005-0000-0000-00001F6C0000}"/>
    <cellStyle name="Normal 2 17 2" xfId="22774" xr:uid="{00000000-0005-0000-0000-0000206C0000}"/>
    <cellStyle name="Normal 2 17 2 2" xfId="22775" xr:uid="{00000000-0005-0000-0000-0000216C0000}"/>
    <cellStyle name="Normal 2 17 2 2 2" xfId="22776" xr:uid="{00000000-0005-0000-0000-0000226C0000}"/>
    <cellStyle name="Normal 2 17 2 3" xfId="22777" xr:uid="{00000000-0005-0000-0000-0000236C0000}"/>
    <cellStyle name="Normal 2 17 2 4" xfId="22778" xr:uid="{00000000-0005-0000-0000-0000246C0000}"/>
    <cellStyle name="Normal 2 17 2 5" xfId="39491" xr:uid="{00000000-0005-0000-0000-0000256C0000}"/>
    <cellStyle name="Normal 2 18" xfId="22779" xr:uid="{00000000-0005-0000-0000-0000266C0000}"/>
    <cellStyle name="Normal 2 19" xfId="42392" xr:uid="{BEA1AC1D-2892-4688-ADCB-3E462A00DD90}"/>
    <cellStyle name="Normal 2 2" xfId="22780" xr:uid="{00000000-0005-0000-0000-0000276C0000}"/>
    <cellStyle name="Normal 2 2 2" xfId="22781" xr:uid="{00000000-0005-0000-0000-0000286C0000}"/>
    <cellStyle name="Normal 2 2 2 2" xfId="22782" xr:uid="{00000000-0005-0000-0000-0000296C0000}"/>
    <cellStyle name="Normal 2 2 2 2 2" xfId="22783" xr:uid="{00000000-0005-0000-0000-00002A6C0000}"/>
    <cellStyle name="Normal 2 2 2 2 3" xfId="35304" xr:uid="{00000000-0005-0000-0000-00002B6C0000}"/>
    <cellStyle name="Normal 2 2 2 3" xfId="22784" xr:uid="{00000000-0005-0000-0000-00002C6C0000}"/>
    <cellStyle name="Normal 2 2 3" xfId="22785" xr:uid="{00000000-0005-0000-0000-00002D6C0000}"/>
    <cellStyle name="Normal 2 2 3 2" xfId="22786" xr:uid="{00000000-0005-0000-0000-00002E6C0000}"/>
    <cellStyle name="Normal 2 2 3 2 2" xfId="22787" xr:uid="{00000000-0005-0000-0000-00002F6C0000}"/>
    <cellStyle name="Normal 2 2 3 3" xfId="35305" xr:uid="{00000000-0005-0000-0000-0000306C0000}"/>
    <cellStyle name="Normal 2 2 3 4" xfId="41897" xr:uid="{78850913-861E-46C2-B4BD-612CE585980D}"/>
    <cellStyle name="Normal 2 2 4" xfId="22788" xr:uid="{00000000-0005-0000-0000-0000316C0000}"/>
    <cellStyle name="Normal 2 2 4 2" xfId="22789" xr:uid="{00000000-0005-0000-0000-0000326C0000}"/>
    <cellStyle name="Normal 2 2 4 3" xfId="42076" xr:uid="{10DB5614-ABCB-4AD0-B3AA-051FA44A5D11}"/>
    <cellStyle name="Normal 2 2 5" xfId="22790" xr:uid="{00000000-0005-0000-0000-0000336C0000}"/>
    <cellStyle name="Normal 2 2 5 2" xfId="41960" xr:uid="{D2ECD1DD-FB5F-446F-9C11-5B1296F0DA0D}"/>
    <cellStyle name="Normal 2 3" xfId="22791" xr:uid="{00000000-0005-0000-0000-0000346C0000}"/>
    <cellStyle name="Normal 2 3 2" xfId="22792" xr:uid="{00000000-0005-0000-0000-0000356C0000}"/>
    <cellStyle name="Normal 2 3 2 2" xfId="22793" xr:uid="{00000000-0005-0000-0000-0000366C0000}"/>
    <cellStyle name="Normal 2 3 2 3" xfId="35306" xr:uid="{00000000-0005-0000-0000-0000376C0000}"/>
    <cellStyle name="Normal 2 3 3" xfId="22794" xr:uid="{00000000-0005-0000-0000-0000386C0000}"/>
    <cellStyle name="Normal 2 3 3 2" xfId="39493" xr:uid="{00000000-0005-0000-0000-0000396C0000}"/>
    <cellStyle name="Normal 2 3 3 3" xfId="39492" xr:uid="{00000000-0005-0000-0000-00003A6C0000}"/>
    <cellStyle name="Normal 2 3 4" xfId="22795" xr:uid="{00000000-0005-0000-0000-00003B6C0000}"/>
    <cellStyle name="Normal 2 3_29(d) - Gas extensions -tariffs" xfId="41961" xr:uid="{CC4A0C73-1048-40D5-B297-F0086B6149B4}"/>
    <cellStyle name="Normal 2 4" xfId="22796" xr:uid="{00000000-0005-0000-0000-00003C6C0000}"/>
    <cellStyle name="Normal 2 4 2" xfId="22797" xr:uid="{00000000-0005-0000-0000-00003D6C0000}"/>
    <cellStyle name="Normal 2 4 2 2" xfId="35307" xr:uid="{00000000-0005-0000-0000-00003E6C0000}"/>
    <cellStyle name="Normal 2 4 2 3" xfId="42077" xr:uid="{13305E7C-9C42-459E-B80F-560B0AC61EEE}"/>
    <cellStyle name="Normal 2 4 3" xfId="22798" xr:uid="{00000000-0005-0000-0000-00003F6C0000}"/>
    <cellStyle name="Normal 2 4 3 2" xfId="42027" xr:uid="{8FCC1ADD-5AF8-4CBC-892F-48DF1A9B8D6C}"/>
    <cellStyle name="Normal 2 4 4" xfId="22799" xr:uid="{00000000-0005-0000-0000-0000406C0000}"/>
    <cellStyle name="Normal 2 4 4 2" xfId="39495" xr:uid="{00000000-0005-0000-0000-0000416C0000}"/>
    <cellStyle name="Normal 2 4 4 3" xfId="39494" xr:uid="{00000000-0005-0000-0000-0000426C0000}"/>
    <cellStyle name="Normal 2 4 5" xfId="22800" xr:uid="{00000000-0005-0000-0000-0000436C0000}"/>
    <cellStyle name="Normal 2 5" xfId="22801" xr:uid="{00000000-0005-0000-0000-0000446C0000}"/>
    <cellStyle name="Normal 2 5 2" xfId="22802" xr:uid="{00000000-0005-0000-0000-0000456C0000}"/>
    <cellStyle name="Normal 2 5 3" xfId="22803" xr:uid="{00000000-0005-0000-0000-0000466C0000}"/>
    <cellStyle name="Normal 2 5 4" xfId="41962" xr:uid="{56E1B3D0-5FB7-429F-8C47-B75AE259DCE0}"/>
    <cellStyle name="Normal 2 6" xfId="22804" xr:uid="{00000000-0005-0000-0000-0000476C0000}"/>
    <cellStyle name="Normal 2 6 2" xfId="22805" xr:uid="{00000000-0005-0000-0000-0000486C0000}"/>
    <cellStyle name="Normal 2 6 2 2" xfId="22806" xr:uid="{00000000-0005-0000-0000-0000496C0000}"/>
    <cellStyle name="Normal 2 7" xfId="22807" xr:uid="{00000000-0005-0000-0000-00004A6C0000}"/>
    <cellStyle name="Normal 2 7 2" xfId="22808" xr:uid="{00000000-0005-0000-0000-00004B6C0000}"/>
    <cellStyle name="Normal 2 7 3" xfId="35308" xr:uid="{00000000-0005-0000-0000-00004C6C0000}"/>
    <cellStyle name="Normal 2 8" xfId="22809" xr:uid="{00000000-0005-0000-0000-00004D6C0000}"/>
    <cellStyle name="Normal 2 8 2" xfId="22810" xr:uid="{00000000-0005-0000-0000-00004E6C0000}"/>
    <cellStyle name="Normal 2 8 3" xfId="22811" xr:uid="{00000000-0005-0000-0000-00004F6C0000}"/>
    <cellStyle name="Normal 2 9" xfId="22812" xr:uid="{00000000-0005-0000-0000-0000506C0000}"/>
    <cellStyle name="Normal 2_29(d) - Gas extensions -tariffs" xfId="41963" xr:uid="{EBBDF282-6330-41C4-8B28-BA58F629A7C7}"/>
    <cellStyle name="Normal 20" xfId="22813" xr:uid="{00000000-0005-0000-0000-0000526C0000}"/>
    <cellStyle name="Normal 20 2" xfId="22814" xr:uid="{00000000-0005-0000-0000-0000536C0000}"/>
    <cellStyle name="Normal 20 2 2" xfId="22815" xr:uid="{00000000-0005-0000-0000-0000546C0000}"/>
    <cellStyle name="Normal 20 2 2 2" xfId="22816" xr:uid="{00000000-0005-0000-0000-0000556C0000}"/>
    <cellStyle name="Normal 20 2 2 2 2" xfId="22817" xr:uid="{00000000-0005-0000-0000-0000566C0000}"/>
    <cellStyle name="Normal 20 2 2 3" xfId="22818" xr:uid="{00000000-0005-0000-0000-0000576C0000}"/>
    <cellStyle name="Normal 20 2 2 4" xfId="22819" xr:uid="{00000000-0005-0000-0000-0000586C0000}"/>
    <cellStyle name="Normal 20 2 2 5" xfId="39496" xr:uid="{00000000-0005-0000-0000-0000596C0000}"/>
    <cellStyle name="Normal 20 2 2 6" xfId="42144" xr:uid="{F77F0AA4-E7AC-4259-8C04-BAF6E7B8E9F4}"/>
    <cellStyle name="Normal 20 2 3" xfId="41905" xr:uid="{11772335-B1A4-421B-AF26-72C34BF21279}"/>
    <cellStyle name="Normal 20 3" xfId="22820" xr:uid="{00000000-0005-0000-0000-00005A6C0000}"/>
    <cellStyle name="Normal 20 3 2" xfId="22821" xr:uid="{00000000-0005-0000-0000-00005B6C0000}"/>
    <cellStyle name="Normal 20 3 2 2" xfId="22822" xr:uid="{00000000-0005-0000-0000-00005C6C0000}"/>
    <cellStyle name="Normal 20 3 3" xfId="22823" xr:uid="{00000000-0005-0000-0000-00005D6C0000}"/>
    <cellStyle name="Normal 20 3 4" xfId="22824" xr:uid="{00000000-0005-0000-0000-00005E6C0000}"/>
    <cellStyle name="Normal 20 3 5" xfId="39497" xr:uid="{00000000-0005-0000-0000-00005F6C0000}"/>
    <cellStyle name="Normal 20 3 6" xfId="42046" xr:uid="{8A780908-1320-40FA-8864-FC2C1030FF7F}"/>
    <cellStyle name="Normal 20 4" xfId="42116" xr:uid="{144616C8-A425-41D4-9204-3803F21A1175}"/>
    <cellStyle name="Normal 20 5" xfId="42328" xr:uid="{5F548883-268E-4765-BC13-FAD25E65AF0B}"/>
    <cellStyle name="Normal 20 6" xfId="41844" xr:uid="{8E644EE8-6125-4B46-8C86-47A71AD96EE9}"/>
    <cellStyle name="Normal 200" xfId="22825" xr:uid="{00000000-0005-0000-0000-0000606C0000}"/>
    <cellStyle name="Normal 200 2" xfId="22826" xr:uid="{00000000-0005-0000-0000-0000616C0000}"/>
    <cellStyle name="Normal 200 2 2" xfId="35309" xr:uid="{00000000-0005-0000-0000-0000626C0000}"/>
    <cellStyle name="Normal 200 3" xfId="42329" xr:uid="{78E7DC2C-C135-4D04-AAE6-BA6DDB3A5340}"/>
    <cellStyle name="Normal 201" xfId="22827" xr:uid="{00000000-0005-0000-0000-0000636C0000}"/>
    <cellStyle name="Normal 201 2" xfId="22828" xr:uid="{00000000-0005-0000-0000-0000646C0000}"/>
    <cellStyle name="Normal 201 2 2" xfId="35310" xr:uid="{00000000-0005-0000-0000-0000656C0000}"/>
    <cellStyle name="Normal 201 3" xfId="42330" xr:uid="{A5CC768E-1AFD-484D-90AD-4619CC845283}"/>
    <cellStyle name="Normal 202" xfId="22829" xr:uid="{00000000-0005-0000-0000-0000666C0000}"/>
    <cellStyle name="Normal 202 2" xfId="22830" xr:uid="{00000000-0005-0000-0000-0000676C0000}"/>
    <cellStyle name="Normal 202 2 2" xfId="35311" xr:uid="{00000000-0005-0000-0000-0000686C0000}"/>
    <cellStyle name="Normal 202 3" xfId="42331" xr:uid="{2E65A1B7-C014-49FB-A19F-E08D17B4ED6A}"/>
    <cellStyle name="Normal 203" xfId="22831" xr:uid="{00000000-0005-0000-0000-0000696C0000}"/>
    <cellStyle name="Normal 203 2" xfId="22832" xr:uid="{00000000-0005-0000-0000-00006A6C0000}"/>
    <cellStyle name="Normal 203 2 2" xfId="35312" xr:uid="{00000000-0005-0000-0000-00006B6C0000}"/>
    <cellStyle name="Normal 203 3" xfId="42332" xr:uid="{F252FB7D-8EC5-4DCF-B042-D0DF1AFF6F35}"/>
    <cellStyle name="Normal 204" xfId="22833" xr:uid="{00000000-0005-0000-0000-00006C6C0000}"/>
    <cellStyle name="Normal 204 2" xfId="22834" xr:uid="{00000000-0005-0000-0000-00006D6C0000}"/>
    <cellStyle name="Normal 204 2 2" xfId="35313" xr:uid="{00000000-0005-0000-0000-00006E6C0000}"/>
    <cellStyle name="Normal 204 3" xfId="42333" xr:uid="{A8678AC3-DDF7-43CB-A454-C7906B3CD9D0}"/>
    <cellStyle name="Normal 205" xfId="22835" xr:uid="{00000000-0005-0000-0000-00006F6C0000}"/>
    <cellStyle name="Normal 205 2" xfId="22836" xr:uid="{00000000-0005-0000-0000-0000706C0000}"/>
    <cellStyle name="Normal 205 2 2" xfId="35314" xr:uid="{00000000-0005-0000-0000-0000716C0000}"/>
    <cellStyle name="Normal 205 3" xfId="42334" xr:uid="{0C192688-AD4F-495A-BB56-0D2F36ABD168}"/>
    <cellStyle name="Normal 206" xfId="22837" xr:uid="{00000000-0005-0000-0000-0000726C0000}"/>
    <cellStyle name="Normal 206 2" xfId="22838" xr:uid="{00000000-0005-0000-0000-0000736C0000}"/>
    <cellStyle name="Normal 207" xfId="22839" xr:uid="{00000000-0005-0000-0000-0000746C0000}"/>
    <cellStyle name="Normal 207 2" xfId="22840" xr:uid="{00000000-0005-0000-0000-0000756C0000}"/>
    <cellStyle name="Normal 207 2 2" xfId="35315" xr:uid="{00000000-0005-0000-0000-0000766C0000}"/>
    <cellStyle name="Normal 207 3" xfId="42335" xr:uid="{9099F689-000F-4ED7-9DA5-86E5C4AAFFA0}"/>
    <cellStyle name="Normal 208" xfId="22841" xr:uid="{00000000-0005-0000-0000-0000776C0000}"/>
    <cellStyle name="Normal 208 2" xfId="22842" xr:uid="{00000000-0005-0000-0000-0000786C0000}"/>
    <cellStyle name="Normal 208 2 2" xfId="35316" xr:uid="{00000000-0005-0000-0000-0000796C0000}"/>
    <cellStyle name="Normal 208 3" xfId="42336" xr:uid="{7D2DE20A-746D-4A98-B00D-D7AA2F3D0521}"/>
    <cellStyle name="Normal 209" xfId="22843" xr:uid="{00000000-0005-0000-0000-00007A6C0000}"/>
    <cellStyle name="Normal 209 2" xfId="22844" xr:uid="{00000000-0005-0000-0000-00007B6C0000}"/>
    <cellStyle name="Normal 209 2 2" xfId="35317" xr:uid="{00000000-0005-0000-0000-00007C6C0000}"/>
    <cellStyle name="Normal 209 3" xfId="42337" xr:uid="{FA716155-2278-4B06-9776-C3C9F581B3F3}"/>
    <cellStyle name="Normal 21" xfId="22845" xr:uid="{00000000-0005-0000-0000-00007D6C0000}"/>
    <cellStyle name="Normal 21 2" xfId="22846" xr:uid="{00000000-0005-0000-0000-00007E6C0000}"/>
    <cellStyle name="Normal 21 2 2" xfId="42165" xr:uid="{AD797A83-BFA4-4A79-B89D-4175122264A0}"/>
    <cellStyle name="Normal 21 3" xfId="22847" xr:uid="{00000000-0005-0000-0000-00007F6C0000}"/>
    <cellStyle name="Normal 21 3 2" xfId="42096" xr:uid="{420791C6-BED0-4B12-ABBD-CD9C61BA1B6F}"/>
    <cellStyle name="Normal 21 4" xfId="42022" xr:uid="{32B3C271-1E01-4DBA-8A09-9B6876629FD1}"/>
    <cellStyle name="Normal 210" xfId="22848" xr:uid="{00000000-0005-0000-0000-0000806C0000}"/>
    <cellStyle name="Normal 210 2" xfId="22849" xr:uid="{00000000-0005-0000-0000-0000816C0000}"/>
    <cellStyle name="Normal 210 2 2" xfId="35318" xr:uid="{00000000-0005-0000-0000-0000826C0000}"/>
    <cellStyle name="Normal 210 3" xfId="42338" xr:uid="{B6F53C40-E822-4203-8A77-4D633DE8D1D2}"/>
    <cellStyle name="Normal 211" xfId="22850" xr:uid="{00000000-0005-0000-0000-0000836C0000}"/>
    <cellStyle name="Normal 211 2" xfId="22851" xr:uid="{00000000-0005-0000-0000-0000846C0000}"/>
    <cellStyle name="Normal 211 2 2" xfId="35319" xr:uid="{00000000-0005-0000-0000-0000856C0000}"/>
    <cellStyle name="Normal 211 3" xfId="42339" xr:uid="{93092BE0-3A94-41E2-8EB6-CD90D1397B66}"/>
    <cellStyle name="Normal 212" xfId="22852" xr:uid="{00000000-0005-0000-0000-0000866C0000}"/>
    <cellStyle name="Normal 212 2" xfId="22853" xr:uid="{00000000-0005-0000-0000-0000876C0000}"/>
    <cellStyle name="Normal 212 2 2" xfId="35320" xr:uid="{00000000-0005-0000-0000-0000886C0000}"/>
    <cellStyle name="Normal 212 3" xfId="42340" xr:uid="{B5528DE5-D102-4963-B3D7-AB879FF64F68}"/>
    <cellStyle name="Normal 213" xfId="22854" xr:uid="{00000000-0005-0000-0000-0000896C0000}"/>
    <cellStyle name="Normal 213 2" xfId="22855" xr:uid="{00000000-0005-0000-0000-00008A6C0000}"/>
    <cellStyle name="Normal 213 2 2" xfId="35321" xr:uid="{00000000-0005-0000-0000-00008B6C0000}"/>
    <cellStyle name="Normal 213 3" xfId="42341" xr:uid="{F43109DE-8199-4B33-B05F-796E779461C8}"/>
    <cellStyle name="Normal 214" xfId="22856" xr:uid="{00000000-0005-0000-0000-00008C6C0000}"/>
    <cellStyle name="Normal 214 2" xfId="22857" xr:uid="{00000000-0005-0000-0000-00008D6C0000}"/>
    <cellStyle name="Normal 214 2 2" xfId="35322" xr:uid="{00000000-0005-0000-0000-00008E6C0000}"/>
    <cellStyle name="Normal 214 3" xfId="42342" xr:uid="{1AA15506-9C86-4AA4-8E13-CBB7570687D5}"/>
    <cellStyle name="Normal 215" xfId="22858" xr:uid="{00000000-0005-0000-0000-00008F6C0000}"/>
    <cellStyle name="Normal 215 2" xfId="22859" xr:uid="{00000000-0005-0000-0000-0000906C0000}"/>
    <cellStyle name="Normal 215 2 2" xfId="35323" xr:uid="{00000000-0005-0000-0000-0000916C0000}"/>
    <cellStyle name="Normal 215 3" xfId="42343" xr:uid="{05C55D70-9DBD-4C89-AD8D-D018432D6E03}"/>
    <cellStyle name="Normal 216" xfId="22860" xr:uid="{00000000-0005-0000-0000-0000926C0000}"/>
    <cellStyle name="Normal 216 2" xfId="22861" xr:uid="{00000000-0005-0000-0000-0000936C0000}"/>
    <cellStyle name="Normal 216 2 2" xfId="35324" xr:uid="{00000000-0005-0000-0000-0000946C0000}"/>
    <cellStyle name="Normal 216 3" xfId="42344" xr:uid="{6659C5FB-0E1F-414E-9811-9D883B66D117}"/>
    <cellStyle name="Normal 217" xfId="22862" xr:uid="{00000000-0005-0000-0000-0000956C0000}"/>
    <cellStyle name="Normal 217 2" xfId="22863" xr:uid="{00000000-0005-0000-0000-0000966C0000}"/>
    <cellStyle name="Normal 218" xfId="22864" xr:uid="{00000000-0005-0000-0000-0000976C0000}"/>
    <cellStyle name="Normal 218 2" xfId="22865" xr:uid="{00000000-0005-0000-0000-0000986C0000}"/>
    <cellStyle name="Normal 219" xfId="22866" xr:uid="{00000000-0005-0000-0000-0000996C0000}"/>
    <cellStyle name="Normal 219 2" xfId="22867" xr:uid="{00000000-0005-0000-0000-00009A6C0000}"/>
    <cellStyle name="Normal 22" xfId="22868" xr:uid="{00000000-0005-0000-0000-00009B6C0000}"/>
    <cellStyle name="Normal 22 2" xfId="22869" xr:uid="{00000000-0005-0000-0000-00009C6C0000}"/>
    <cellStyle name="Normal 220" xfId="22870" xr:uid="{00000000-0005-0000-0000-00009D6C0000}"/>
    <cellStyle name="Normal 220 2" xfId="22871" xr:uid="{00000000-0005-0000-0000-00009E6C0000}"/>
    <cellStyle name="Normal 221" xfId="22872" xr:uid="{00000000-0005-0000-0000-00009F6C0000}"/>
    <cellStyle name="Normal 221 2" xfId="22873" xr:uid="{00000000-0005-0000-0000-0000A06C0000}"/>
    <cellStyle name="Normal 222" xfId="22874" xr:uid="{00000000-0005-0000-0000-0000A16C0000}"/>
    <cellStyle name="Normal 222 2" xfId="22875" xr:uid="{00000000-0005-0000-0000-0000A26C0000}"/>
    <cellStyle name="Normal 223" xfId="22876" xr:uid="{00000000-0005-0000-0000-0000A36C0000}"/>
    <cellStyle name="Normal 223 2" xfId="22877" xr:uid="{00000000-0005-0000-0000-0000A46C0000}"/>
    <cellStyle name="Normal 224" xfId="22878" xr:uid="{00000000-0005-0000-0000-0000A56C0000}"/>
    <cellStyle name="Normal 224 2" xfId="22879" xr:uid="{00000000-0005-0000-0000-0000A66C0000}"/>
    <cellStyle name="Normal 225" xfId="22880" xr:uid="{00000000-0005-0000-0000-0000A76C0000}"/>
    <cellStyle name="Normal 225 2" xfId="22881" xr:uid="{00000000-0005-0000-0000-0000A86C0000}"/>
    <cellStyle name="Normal 226" xfId="22882" xr:uid="{00000000-0005-0000-0000-0000A96C0000}"/>
    <cellStyle name="Normal 226 2" xfId="22883" xr:uid="{00000000-0005-0000-0000-0000AA6C0000}"/>
    <cellStyle name="Normal 227" xfId="22884" xr:uid="{00000000-0005-0000-0000-0000AB6C0000}"/>
    <cellStyle name="Normal 227 2" xfId="22885" xr:uid="{00000000-0005-0000-0000-0000AC6C0000}"/>
    <cellStyle name="Normal 228" xfId="22886" xr:uid="{00000000-0005-0000-0000-0000AD6C0000}"/>
    <cellStyle name="Normal 228 2" xfId="22887" xr:uid="{00000000-0005-0000-0000-0000AE6C0000}"/>
    <cellStyle name="Normal 229" xfId="22888" xr:uid="{00000000-0005-0000-0000-0000AF6C0000}"/>
    <cellStyle name="Normal 229 2" xfId="22889" xr:uid="{00000000-0005-0000-0000-0000B06C0000}"/>
    <cellStyle name="Normal 23" xfId="22890" xr:uid="{00000000-0005-0000-0000-0000B16C0000}"/>
    <cellStyle name="Normal 23 2" xfId="22891" xr:uid="{00000000-0005-0000-0000-0000B26C0000}"/>
    <cellStyle name="Normal 23 2 2" xfId="42145" xr:uid="{CDA97843-D52D-48CA-AB7B-B6A97A345EF6}"/>
    <cellStyle name="Normal 23 2 3" xfId="41907" xr:uid="{78FF4510-6656-462E-9074-8D94D591815C}"/>
    <cellStyle name="Normal 23 3" xfId="42047" xr:uid="{5ED905D2-D69D-4452-9221-AEED5858AADC}"/>
    <cellStyle name="Normal 23 4" xfId="42117" xr:uid="{04760BB0-8050-4171-A9F1-1CFC7FAB147C}"/>
    <cellStyle name="Normal 23 5" xfId="41847" xr:uid="{9C5B2825-8272-4678-8BA6-A62D389ED8EF}"/>
    <cellStyle name="Normal 230" xfId="22892" xr:uid="{00000000-0005-0000-0000-0000B36C0000}"/>
    <cellStyle name="Normal 230 2" xfId="22893" xr:uid="{00000000-0005-0000-0000-0000B46C0000}"/>
    <cellStyle name="Normal 231" xfId="22894" xr:uid="{00000000-0005-0000-0000-0000B56C0000}"/>
    <cellStyle name="Normal 231 2" xfId="22895" xr:uid="{00000000-0005-0000-0000-0000B66C0000}"/>
    <cellStyle name="Normal 232" xfId="22896" xr:uid="{00000000-0005-0000-0000-0000B76C0000}"/>
    <cellStyle name="Normal 232 2" xfId="22897" xr:uid="{00000000-0005-0000-0000-0000B86C0000}"/>
    <cellStyle name="Normal 233" xfId="22898" xr:uid="{00000000-0005-0000-0000-0000B96C0000}"/>
    <cellStyle name="Normal 233 2" xfId="22899" xr:uid="{00000000-0005-0000-0000-0000BA6C0000}"/>
    <cellStyle name="Normal 234" xfId="22900" xr:uid="{00000000-0005-0000-0000-0000BB6C0000}"/>
    <cellStyle name="Normal 234 2" xfId="22901" xr:uid="{00000000-0005-0000-0000-0000BC6C0000}"/>
    <cellStyle name="Normal 235" xfId="22902" xr:uid="{00000000-0005-0000-0000-0000BD6C0000}"/>
    <cellStyle name="Normal 235 2" xfId="22903" xr:uid="{00000000-0005-0000-0000-0000BE6C0000}"/>
    <cellStyle name="Normal 236" xfId="22904" xr:uid="{00000000-0005-0000-0000-0000BF6C0000}"/>
    <cellStyle name="Normal 236 2" xfId="22905" xr:uid="{00000000-0005-0000-0000-0000C06C0000}"/>
    <cellStyle name="Normal 237" xfId="22906" xr:uid="{00000000-0005-0000-0000-0000C16C0000}"/>
    <cellStyle name="Normal 237 2" xfId="22907" xr:uid="{00000000-0005-0000-0000-0000C26C0000}"/>
    <cellStyle name="Normal 238" xfId="22908" xr:uid="{00000000-0005-0000-0000-0000C36C0000}"/>
    <cellStyle name="Normal 238 2" xfId="22909" xr:uid="{00000000-0005-0000-0000-0000C46C0000}"/>
    <cellStyle name="Normal 239" xfId="22910" xr:uid="{00000000-0005-0000-0000-0000C56C0000}"/>
    <cellStyle name="Normal 239 2" xfId="22911" xr:uid="{00000000-0005-0000-0000-0000C66C0000}"/>
    <cellStyle name="Normal 24" xfId="22912" xr:uid="{00000000-0005-0000-0000-0000C76C0000}"/>
    <cellStyle name="Normal 24 2" xfId="22913" xr:uid="{00000000-0005-0000-0000-0000C86C0000}"/>
    <cellStyle name="Normal 24 2 2" xfId="42146" xr:uid="{4D5C8F00-9E2F-4B25-9FF6-8C178EDB5183}"/>
    <cellStyle name="Normal 24 2 3" xfId="41906" xr:uid="{92EA4855-B833-4C61-ADB8-E97AD548B35B}"/>
    <cellStyle name="Normal 24 3" xfId="42048" xr:uid="{4B8960BA-C43B-4723-8BB3-0DD59BE7EAEC}"/>
    <cellStyle name="Normal 24 4" xfId="42118" xr:uid="{BDBCF69E-1880-45FE-8840-0AE8971F0FDD}"/>
    <cellStyle name="Normal 24 5" xfId="41846" xr:uid="{62DC06D2-3549-4BED-93B7-9620867631B2}"/>
    <cellStyle name="Normal 240" xfId="22914" xr:uid="{00000000-0005-0000-0000-0000C96C0000}"/>
    <cellStyle name="Normal 240 2" xfId="22915" xr:uid="{00000000-0005-0000-0000-0000CA6C0000}"/>
    <cellStyle name="Normal 241" xfId="22916" xr:uid="{00000000-0005-0000-0000-0000CB6C0000}"/>
    <cellStyle name="Normal 241 2" xfId="22917" xr:uid="{00000000-0005-0000-0000-0000CC6C0000}"/>
    <cellStyle name="Normal 242" xfId="22918" xr:uid="{00000000-0005-0000-0000-0000CD6C0000}"/>
    <cellStyle name="Normal 242 2" xfId="22919" xr:uid="{00000000-0005-0000-0000-0000CE6C0000}"/>
    <cellStyle name="Normal 243" xfId="22920" xr:uid="{00000000-0005-0000-0000-0000CF6C0000}"/>
    <cellStyle name="Normal 243 2" xfId="22921" xr:uid="{00000000-0005-0000-0000-0000D06C0000}"/>
    <cellStyle name="Normal 244" xfId="22922" xr:uid="{00000000-0005-0000-0000-0000D16C0000}"/>
    <cellStyle name="Normal 244 2" xfId="22923" xr:uid="{00000000-0005-0000-0000-0000D26C0000}"/>
    <cellStyle name="Normal 245" xfId="22924" xr:uid="{00000000-0005-0000-0000-0000D36C0000}"/>
    <cellStyle name="Normal 246" xfId="22925" xr:uid="{00000000-0005-0000-0000-0000D46C0000}"/>
    <cellStyle name="Normal 246 2" xfId="22926" xr:uid="{00000000-0005-0000-0000-0000D56C0000}"/>
    <cellStyle name="Normal 246 2 2" xfId="22927" xr:uid="{00000000-0005-0000-0000-0000D66C0000}"/>
    <cellStyle name="Normal 246 2 2 2" xfId="22928" xr:uid="{00000000-0005-0000-0000-0000D76C0000}"/>
    <cellStyle name="Normal 246 2 3" xfId="22929" xr:uid="{00000000-0005-0000-0000-0000D86C0000}"/>
    <cellStyle name="Normal 246 3" xfId="22930" xr:uid="{00000000-0005-0000-0000-0000D96C0000}"/>
    <cellStyle name="Normal 246 3 2" xfId="22931" xr:uid="{00000000-0005-0000-0000-0000DA6C0000}"/>
    <cellStyle name="Normal 246 4" xfId="22932" xr:uid="{00000000-0005-0000-0000-0000DB6C0000}"/>
    <cellStyle name="Normal 247" xfId="22933" xr:uid="{00000000-0005-0000-0000-0000DC6C0000}"/>
    <cellStyle name="Normal 247 2" xfId="22934" xr:uid="{00000000-0005-0000-0000-0000DD6C0000}"/>
    <cellStyle name="Normal 248" xfId="22935" xr:uid="{00000000-0005-0000-0000-0000DE6C0000}"/>
    <cellStyle name="Normal 248 2" xfId="22936" xr:uid="{00000000-0005-0000-0000-0000DF6C0000}"/>
    <cellStyle name="Normal 248 2 2" xfId="22937" xr:uid="{00000000-0005-0000-0000-0000E06C0000}"/>
    <cellStyle name="Normal 248 3" xfId="22938" xr:uid="{00000000-0005-0000-0000-0000E16C0000}"/>
    <cellStyle name="Normal 249" xfId="22939" xr:uid="{00000000-0005-0000-0000-0000E26C0000}"/>
    <cellStyle name="Normal 249 2" xfId="22940" xr:uid="{00000000-0005-0000-0000-0000E36C0000}"/>
    <cellStyle name="Normal 249 2 2" xfId="22941" xr:uid="{00000000-0005-0000-0000-0000E46C0000}"/>
    <cellStyle name="Normal 249 3" xfId="22942" xr:uid="{00000000-0005-0000-0000-0000E56C0000}"/>
    <cellStyle name="Normal 25" xfId="22943" xr:uid="{00000000-0005-0000-0000-0000E66C0000}"/>
    <cellStyle name="Normal 25 2" xfId="22944" xr:uid="{00000000-0005-0000-0000-0000E76C0000}"/>
    <cellStyle name="Normal 25 2 2" xfId="42147" xr:uid="{6886CC92-769D-4D82-BDAD-34B068DC300F}"/>
    <cellStyle name="Normal 25 2 3" xfId="41908" xr:uid="{B48F37D5-F353-4E54-98B3-4B124021B57F}"/>
    <cellStyle name="Normal 25 3" xfId="42049" xr:uid="{6FE9048C-DDCE-4CC3-B63D-E2AF6DF8FE78}"/>
    <cellStyle name="Normal 25 4" xfId="42119" xr:uid="{41852317-E1B5-404B-968F-452ED5B66C80}"/>
    <cellStyle name="Normal 25 5" xfId="41848" xr:uid="{9C31CFF8-0AA5-4C95-A0C2-02DBE1ECBC6C}"/>
    <cellStyle name="Normal 250" xfId="22945" xr:uid="{00000000-0005-0000-0000-0000E86C0000}"/>
    <cellStyle name="Normal 250 2" xfId="22946" xr:uid="{00000000-0005-0000-0000-0000E96C0000}"/>
    <cellStyle name="Normal 250 2 2" xfId="22947" xr:uid="{00000000-0005-0000-0000-0000EA6C0000}"/>
    <cellStyle name="Normal 250 3" xfId="22948" xr:uid="{00000000-0005-0000-0000-0000EB6C0000}"/>
    <cellStyle name="Normal 251" xfId="22949" xr:uid="{00000000-0005-0000-0000-0000EC6C0000}"/>
    <cellStyle name="Normal 251 2" xfId="22950" xr:uid="{00000000-0005-0000-0000-0000ED6C0000}"/>
    <cellStyle name="Normal 252" xfId="22951" xr:uid="{00000000-0005-0000-0000-0000EE6C0000}"/>
    <cellStyle name="Normal 252 2" xfId="22952" xr:uid="{00000000-0005-0000-0000-0000EF6C0000}"/>
    <cellStyle name="Normal 253" xfId="22953" xr:uid="{00000000-0005-0000-0000-0000F06C0000}"/>
    <cellStyle name="Normal 253 2" xfId="22954" xr:uid="{00000000-0005-0000-0000-0000F16C0000}"/>
    <cellStyle name="Normal 254" xfId="22955" xr:uid="{00000000-0005-0000-0000-0000F26C0000}"/>
    <cellStyle name="Normal 254 2" xfId="22956" xr:uid="{00000000-0005-0000-0000-0000F36C0000}"/>
    <cellStyle name="Normal 254 2 2" xfId="22957" xr:uid="{00000000-0005-0000-0000-0000F46C0000}"/>
    <cellStyle name="Normal 254 2 2 2" xfId="22958" xr:uid="{00000000-0005-0000-0000-0000F56C0000}"/>
    <cellStyle name="Normal 254 2 2 2 2" xfId="22959" xr:uid="{00000000-0005-0000-0000-0000F66C0000}"/>
    <cellStyle name="Normal 254 2 2 3" xfId="22960" xr:uid="{00000000-0005-0000-0000-0000F76C0000}"/>
    <cellStyle name="Normal 254 2 2 4" xfId="22961" xr:uid="{00000000-0005-0000-0000-0000F86C0000}"/>
    <cellStyle name="Normal 254 2 2 5" xfId="39499" xr:uid="{00000000-0005-0000-0000-0000F96C0000}"/>
    <cellStyle name="Normal 254 2 3" xfId="22962" xr:uid="{00000000-0005-0000-0000-0000FA6C0000}"/>
    <cellStyle name="Normal 254 2 3 2" xfId="22963" xr:uid="{00000000-0005-0000-0000-0000FB6C0000}"/>
    <cellStyle name="Normal 254 2 4" xfId="22964" xr:uid="{00000000-0005-0000-0000-0000FC6C0000}"/>
    <cellStyle name="Normal 254 2 5" xfId="22965" xr:uid="{00000000-0005-0000-0000-0000FD6C0000}"/>
    <cellStyle name="Normal 254 2 6" xfId="39498" xr:uid="{00000000-0005-0000-0000-0000FE6C0000}"/>
    <cellStyle name="Normal 254 3" xfId="22966" xr:uid="{00000000-0005-0000-0000-0000FF6C0000}"/>
    <cellStyle name="Normal 254 3 2" xfId="22967" xr:uid="{00000000-0005-0000-0000-0000006D0000}"/>
    <cellStyle name="Normal 254 3 2 2" xfId="22968" xr:uid="{00000000-0005-0000-0000-0000016D0000}"/>
    <cellStyle name="Normal 254 3 3" xfId="22969" xr:uid="{00000000-0005-0000-0000-0000026D0000}"/>
    <cellStyle name="Normal 254 3 4" xfId="22970" xr:uid="{00000000-0005-0000-0000-0000036D0000}"/>
    <cellStyle name="Normal 254 3 5" xfId="39500" xr:uid="{00000000-0005-0000-0000-0000046D0000}"/>
    <cellStyle name="Normal 254 4" xfId="22971" xr:uid="{00000000-0005-0000-0000-0000056D0000}"/>
    <cellStyle name="Normal 254 5" xfId="22972" xr:uid="{00000000-0005-0000-0000-0000066D0000}"/>
    <cellStyle name="Normal 254 5 2" xfId="22973" xr:uid="{00000000-0005-0000-0000-0000076D0000}"/>
    <cellStyle name="Normal 254 6" xfId="22974" xr:uid="{00000000-0005-0000-0000-0000086D0000}"/>
    <cellStyle name="Normal 254 7" xfId="22975" xr:uid="{00000000-0005-0000-0000-0000096D0000}"/>
    <cellStyle name="Normal 254 8" xfId="35325" xr:uid="{00000000-0005-0000-0000-00000A6D0000}"/>
    <cellStyle name="Normal 255" xfId="22976" xr:uid="{00000000-0005-0000-0000-00000B6D0000}"/>
    <cellStyle name="Normal 255 2" xfId="22977" xr:uid="{00000000-0005-0000-0000-00000C6D0000}"/>
    <cellStyle name="Normal 255 2 2" xfId="22978" xr:uid="{00000000-0005-0000-0000-00000D6D0000}"/>
    <cellStyle name="Normal 255 2 2 2" xfId="22979" xr:uid="{00000000-0005-0000-0000-00000E6D0000}"/>
    <cellStyle name="Normal 255 2 2 2 2" xfId="22980" xr:uid="{00000000-0005-0000-0000-00000F6D0000}"/>
    <cellStyle name="Normal 255 2 2 3" xfId="22981" xr:uid="{00000000-0005-0000-0000-0000106D0000}"/>
    <cellStyle name="Normal 255 2 2 4" xfId="22982" xr:uid="{00000000-0005-0000-0000-0000116D0000}"/>
    <cellStyle name="Normal 255 2 2 5" xfId="39502" xr:uid="{00000000-0005-0000-0000-0000126D0000}"/>
    <cellStyle name="Normal 255 2 3" xfId="22983" xr:uid="{00000000-0005-0000-0000-0000136D0000}"/>
    <cellStyle name="Normal 255 2 3 2" xfId="22984" xr:uid="{00000000-0005-0000-0000-0000146D0000}"/>
    <cellStyle name="Normal 255 2 4" xfId="22985" xr:uid="{00000000-0005-0000-0000-0000156D0000}"/>
    <cellStyle name="Normal 255 2 5" xfId="22986" xr:uid="{00000000-0005-0000-0000-0000166D0000}"/>
    <cellStyle name="Normal 255 2 6" xfId="39501" xr:uid="{00000000-0005-0000-0000-0000176D0000}"/>
    <cellStyle name="Normal 255 3" xfId="22987" xr:uid="{00000000-0005-0000-0000-0000186D0000}"/>
    <cellStyle name="Normal 255 3 2" xfId="22988" xr:uid="{00000000-0005-0000-0000-0000196D0000}"/>
    <cellStyle name="Normal 255 3 2 2" xfId="22989" xr:uid="{00000000-0005-0000-0000-00001A6D0000}"/>
    <cellStyle name="Normal 255 3 3" xfId="22990" xr:uid="{00000000-0005-0000-0000-00001B6D0000}"/>
    <cellStyle name="Normal 255 3 4" xfId="22991" xr:uid="{00000000-0005-0000-0000-00001C6D0000}"/>
    <cellStyle name="Normal 255 3 5" xfId="39503" xr:uid="{00000000-0005-0000-0000-00001D6D0000}"/>
    <cellStyle name="Normal 255 4" xfId="22992" xr:uid="{00000000-0005-0000-0000-00001E6D0000}"/>
    <cellStyle name="Normal 255 5" xfId="22993" xr:uid="{00000000-0005-0000-0000-00001F6D0000}"/>
    <cellStyle name="Normal 255 5 2" xfId="22994" xr:uid="{00000000-0005-0000-0000-0000206D0000}"/>
    <cellStyle name="Normal 255 6" xfId="22995" xr:uid="{00000000-0005-0000-0000-0000216D0000}"/>
    <cellStyle name="Normal 255 7" xfId="22996" xr:uid="{00000000-0005-0000-0000-0000226D0000}"/>
    <cellStyle name="Normal 255 8" xfId="35326" xr:uid="{00000000-0005-0000-0000-0000236D0000}"/>
    <cellStyle name="Normal 256" xfId="22997" xr:uid="{00000000-0005-0000-0000-0000246D0000}"/>
    <cellStyle name="Normal 256 2" xfId="22998" xr:uid="{00000000-0005-0000-0000-0000256D0000}"/>
    <cellStyle name="Normal 256 2 2" xfId="22999" xr:uid="{00000000-0005-0000-0000-0000266D0000}"/>
    <cellStyle name="Normal 256 2 2 2" xfId="23000" xr:uid="{00000000-0005-0000-0000-0000276D0000}"/>
    <cellStyle name="Normal 256 2 2 2 2" xfId="23001" xr:uid="{00000000-0005-0000-0000-0000286D0000}"/>
    <cellStyle name="Normal 256 2 2 3" xfId="23002" xr:uid="{00000000-0005-0000-0000-0000296D0000}"/>
    <cellStyle name="Normal 256 2 2 4" xfId="23003" xr:uid="{00000000-0005-0000-0000-00002A6D0000}"/>
    <cellStyle name="Normal 256 2 2 5" xfId="39505" xr:uid="{00000000-0005-0000-0000-00002B6D0000}"/>
    <cellStyle name="Normal 256 2 3" xfId="23004" xr:uid="{00000000-0005-0000-0000-00002C6D0000}"/>
    <cellStyle name="Normal 256 2 4" xfId="23005" xr:uid="{00000000-0005-0000-0000-00002D6D0000}"/>
    <cellStyle name="Normal 256 2 4 2" xfId="23006" xr:uid="{00000000-0005-0000-0000-00002E6D0000}"/>
    <cellStyle name="Normal 256 2 5" xfId="23007" xr:uid="{00000000-0005-0000-0000-00002F6D0000}"/>
    <cellStyle name="Normal 256 2 6" xfId="23008" xr:uid="{00000000-0005-0000-0000-0000306D0000}"/>
    <cellStyle name="Normal 256 2 7" xfId="39504" xr:uid="{00000000-0005-0000-0000-0000316D0000}"/>
    <cellStyle name="Normal 256 3" xfId="23009" xr:uid="{00000000-0005-0000-0000-0000326D0000}"/>
    <cellStyle name="Normal 256 3 2" xfId="23010" xr:uid="{00000000-0005-0000-0000-0000336D0000}"/>
    <cellStyle name="Normal 256 3 2 2" xfId="23011" xr:uid="{00000000-0005-0000-0000-0000346D0000}"/>
    <cellStyle name="Normal 256 3 3" xfId="23012" xr:uid="{00000000-0005-0000-0000-0000356D0000}"/>
    <cellStyle name="Normal 256 3 4" xfId="23013" xr:uid="{00000000-0005-0000-0000-0000366D0000}"/>
    <cellStyle name="Normal 256 3 5" xfId="39506" xr:uid="{00000000-0005-0000-0000-0000376D0000}"/>
    <cellStyle name="Normal 256 4" xfId="23014" xr:uid="{00000000-0005-0000-0000-0000386D0000}"/>
    <cellStyle name="Normal 256 5" xfId="23015" xr:uid="{00000000-0005-0000-0000-0000396D0000}"/>
    <cellStyle name="Normal 256 5 2" xfId="23016" xr:uid="{00000000-0005-0000-0000-00003A6D0000}"/>
    <cellStyle name="Normal 256 6" xfId="23017" xr:uid="{00000000-0005-0000-0000-00003B6D0000}"/>
    <cellStyle name="Normal 256 7" xfId="23018" xr:uid="{00000000-0005-0000-0000-00003C6D0000}"/>
    <cellStyle name="Normal 256 8" xfId="35327" xr:uid="{00000000-0005-0000-0000-00003D6D0000}"/>
    <cellStyle name="Normal 257" xfId="23019" xr:uid="{00000000-0005-0000-0000-00003E6D0000}"/>
    <cellStyle name="Normal 257 2" xfId="23020" xr:uid="{00000000-0005-0000-0000-00003F6D0000}"/>
    <cellStyle name="Normal 257 2 2" xfId="23021" xr:uid="{00000000-0005-0000-0000-0000406D0000}"/>
    <cellStyle name="Normal 257 2 2 2" xfId="23022" xr:uid="{00000000-0005-0000-0000-0000416D0000}"/>
    <cellStyle name="Normal 257 2 2 2 2" xfId="23023" xr:uid="{00000000-0005-0000-0000-0000426D0000}"/>
    <cellStyle name="Normal 257 2 2 3" xfId="23024" xr:uid="{00000000-0005-0000-0000-0000436D0000}"/>
    <cellStyle name="Normal 257 2 2 4" xfId="23025" xr:uid="{00000000-0005-0000-0000-0000446D0000}"/>
    <cellStyle name="Normal 257 2 2 5" xfId="39508" xr:uid="{00000000-0005-0000-0000-0000456D0000}"/>
    <cellStyle name="Normal 257 2 3" xfId="23026" xr:uid="{00000000-0005-0000-0000-0000466D0000}"/>
    <cellStyle name="Normal 257 2 3 2" xfId="23027" xr:uid="{00000000-0005-0000-0000-0000476D0000}"/>
    <cellStyle name="Normal 257 2 4" xfId="23028" xr:uid="{00000000-0005-0000-0000-0000486D0000}"/>
    <cellStyle name="Normal 257 2 5" xfId="23029" xr:uid="{00000000-0005-0000-0000-0000496D0000}"/>
    <cellStyle name="Normal 257 2 6" xfId="39507" xr:uid="{00000000-0005-0000-0000-00004A6D0000}"/>
    <cellStyle name="Normal 257 3" xfId="23030" xr:uid="{00000000-0005-0000-0000-00004B6D0000}"/>
    <cellStyle name="Normal 257 3 2" xfId="23031" xr:uid="{00000000-0005-0000-0000-00004C6D0000}"/>
    <cellStyle name="Normal 257 3 2 2" xfId="23032" xr:uid="{00000000-0005-0000-0000-00004D6D0000}"/>
    <cellStyle name="Normal 257 3 3" xfId="23033" xr:uid="{00000000-0005-0000-0000-00004E6D0000}"/>
    <cellStyle name="Normal 257 3 4" xfId="23034" xr:uid="{00000000-0005-0000-0000-00004F6D0000}"/>
    <cellStyle name="Normal 257 3 5" xfId="39509" xr:uid="{00000000-0005-0000-0000-0000506D0000}"/>
    <cellStyle name="Normal 257 4" xfId="23035" xr:uid="{00000000-0005-0000-0000-0000516D0000}"/>
    <cellStyle name="Normal 257 5" xfId="23036" xr:uid="{00000000-0005-0000-0000-0000526D0000}"/>
    <cellStyle name="Normal 257 5 2" xfId="23037" xr:uid="{00000000-0005-0000-0000-0000536D0000}"/>
    <cellStyle name="Normal 257 6" xfId="23038" xr:uid="{00000000-0005-0000-0000-0000546D0000}"/>
    <cellStyle name="Normal 257 7" xfId="23039" xr:uid="{00000000-0005-0000-0000-0000556D0000}"/>
    <cellStyle name="Normal 257 8" xfId="35328" xr:uid="{00000000-0005-0000-0000-0000566D0000}"/>
    <cellStyle name="Normal 258" xfId="23040" xr:uid="{00000000-0005-0000-0000-0000576D0000}"/>
    <cellStyle name="Normal 258 2" xfId="23041" xr:uid="{00000000-0005-0000-0000-0000586D0000}"/>
    <cellStyle name="Normal 258 2 2" xfId="23042" xr:uid="{00000000-0005-0000-0000-0000596D0000}"/>
    <cellStyle name="Normal 258 2 2 2" xfId="23043" xr:uid="{00000000-0005-0000-0000-00005A6D0000}"/>
    <cellStyle name="Normal 258 2 2 2 2" xfId="23044" xr:uid="{00000000-0005-0000-0000-00005B6D0000}"/>
    <cellStyle name="Normal 258 2 2 3" xfId="23045" xr:uid="{00000000-0005-0000-0000-00005C6D0000}"/>
    <cellStyle name="Normal 258 2 2 4" xfId="23046" xr:uid="{00000000-0005-0000-0000-00005D6D0000}"/>
    <cellStyle name="Normal 258 2 2 5" xfId="39511" xr:uid="{00000000-0005-0000-0000-00005E6D0000}"/>
    <cellStyle name="Normal 258 2 3" xfId="23047" xr:uid="{00000000-0005-0000-0000-00005F6D0000}"/>
    <cellStyle name="Normal 258 2 3 2" xfId="23048" xr:uid="{00000000-0005-0000-0000-0000606D0000}"/>
    <cellStyle name="Normal 258 2 4" xfId="23049" xr:uid="{00000000-0005-0000-0000-0000616D0000}"/>
    <cellStyle name="Normal 258 2 5" xfId="23050" xr:uid="{00000000-0005-0000-0000-0000626D0000}"/>
    <cellStyle name="Normal 258 2 6" xfId="39510" xr:uid="{00000000-0005-0000-0000-0000636D0000}"/>
    <cellStyle name="Normal 258 3" xfId="23051" xr:uid="{00000000-0005-0000-0000-0000646D0000}"/>
    <cellStyle name="Normal 258 3 2" xfId="23052" xr:uid="{00000000-0005-0000-0000-0000656D0000}"/>
    <cellStyle name="Normal 258 3 2 2" xfId="23053" xr:uid="{00000000-0005-0000-0000-0000666D0000}"/>
    <cellStyle name="Normal 258 3 3" xfId="23054" xr:uid="{00000000-0005-0000-0000-0000676D0000}"/>
    <cellStyle name="Normal 258 3 4" xfId="23055" xr:uid="{00000000-0005-0000-0000-0000686D0000}"/>
    <cellStyle name="Normal 258 3 5" xfId="39512" xr:uid="{00000000-0005-0000-0000-0000696D0000}"/>
    <cellStyle name="Normal 258 4" xfId="23056" xr:uid="{00000000-0005-0000-0000-00006A6D0000}"/>
    <cellStyle name="Normal 258 5" xfId="23057" xr:uid="{00000000-0005-0000-0000-00006B6D0000}"/>
    <cellStyle name="Normal 258 5 2" xfId="23058" xr:uid="{00000000-0005-0000-0000-00006C6D0000}"/>
    <cellStyle name="Normal 258 6" xfId="23059" xr:uid="{00000000-0005-0000-0000-00006D6D0000}"/>
    <cellStyle name="Normal 258 7" xfId="23060" xr:uid="{00000000-0005-0000-0000-00006E6D0000}"/>
    <cellStyle name="Normal 258 8" xfId="35329" xr:uid="{00000000-0005-0000-0000-00006F6D0000}"/>
    <cellStyle name="Normal 259" xfId="23061" xr:uid="{00000000-0005-0000-0000-0000706D0000}"/>
    <cellStyle name="Normal 259 2" xfId="23062" xr:uid="{00000000-0005-0000-0000-0000716D0000}"/>
    <cellStyle name="Normal 259 2 2" xfId="23063" xr:uid="{00000000-0005-0000-0000-0000726D0000}"/>
    <cellStyle name="Normal 259 2 2 2" xfId="23064" xr:uid="{00000000-0005-0000-0000-0000736D0000}"/>
    <cellStyle name="Normal 259 2 2 2 2" xfId="23065" xr:uid="{00000000-0005-0000-0000-0000746D0000}"/>
    <cellStyle name="Normal 259 2 2 3" xfId="23066" xr:uid="{00000000-0005-0000-0000-0000756D0000}"/>
    <cellStyle name="Normal 259 2 2 4" xfId="23067" xr:uid="{00000000-0005-0000-0000-0000766D0000}"/>
    <cellStyle name="Normal 259 2 2 5" xfId="39514" xr:uid="{00000000-0005-0000-0000-0000776D0000}"/>
    <cellStyle name="Normal 259 2 3" xfId="23068" xr:uid="{00000000-0005-0000-0000-0000786D0000}"/>
    <cellStyle name="Normal 259 2 3 2" xfId="23069" xr:uid="{00000000-0005-0000-0000-0000796D0000}"/>
    <cellStyle name="Normal 259 2 4" xfId="23070" xr:uid="{00000000-0005-0000-0000-00007A6D0000}"/>
    <cellStyle name="Normal 259 2 5" xfId="23071" xr:uid="{00000000-0005-0000-0000-00007B6D0000}"/>
    <cellStyle name="Normal 259 2 6" xfId="39513" xr:uid="{00000000-0005-0000-0000-00007C6D0000}"/>
    <cellStyle name="Normal 259 3" xfId="23072" xr:uid="{00000000-0005-0000-0000-00007D6D0000}"/>
    <cellStyle name="Normal 259 3 2" xfId="23073" xr:uid="{00000000-0005-0000-0000-00007E6D0000}"/>
    <cellStyle name="Normal 259 3 2 2" xfId="23074" xr:uid="{00000000-0005-0000-0000-00007F6D0000}"/>
    <cellStyle name="Normal 259 3 3" xfId="23075" xr:uid="{00000000-0005-0000-0000-0000806D0000}"/>
    <cellStyle name="Normal 259 3 4" xfId="23076" xr:uid="{00000000-0005-0000-0000-0000816D0000}"/>
    <cellStyle name="Normal 259 3 5" xfId="39515" xr:uid="{00000000-0005-0000-0000-0000826D0000}"/>
    <cellStyle name="Normal 259 4" xfId="23077" xr:uid="{00000000-0005-0000-0000-0000836D0000}"/>
    <cellStyle name="Normal 259 5" xfId="23078" xr:uid="{00000000-0005-0000-0000-0000846D0000}"/>
    <cellStyle name="Normal 259 5 2" xfId="23079" xr:uid="{00000000-0005-0000-0000-0000856D0000}"/>
    <cellStyle name="Normal 259 6" xfId="23080" xr:uid="{00000000-0005-0000-0000-0000866D0000}"/>
    <cellStyle name="Normal 259 7" xfId="23081" xr:uid="{00000000-0005-0000-0000-0000876D0000}"/>
    <cellStyle name="Normal 259 8" xfId="35330" xr:uid="{00000000-0005-0000-0000-0000886D0000}"/>
    <cellStyle name="Normal 26" xfId="23082" xr:uid="{00000000-0005-0000-0000-0000896D0000}"/>
    <cellStyle name="Normal 26 2" xfId="23083" xr:uid="{00000000-0005-0000-0000-00008A6D0000}"/>
    <cellStyle name="Normal 26 2 2" xfId="42148" xr:uid="{03D70E26-C48A-47D3-ADA3-F2C4721E439A}"/>
    <cellStyle name="Normal 26 2 3" xfId="41910" xr:uid="{2F4044AF-9F3D-4BD3-B1D0-385DD9886CC1}"/>
    <cellStyle name="Normal 26 3" xfId="42050" xr:uid="{911C1A5C-1963-4531-89A3-8BF0F0459936}"/>
    <cellStyle name="Normal 26 4" xfId="42120" xr:uid="{BBBE27DE-7590-4866-9F1C-868782FCBDD6}"/>
    <cellStyle name="Normal 26 5" xfId="41850" xr:uid="{D93DF2C3-0267-40F9-91FD-98EEA7A08CE5}"/>
    <cellStyle name="Normal 260" xfId="23084" xr:uid="{00000000-0005-0000-0000-00008B6D0000}"/>
    <cellStyle name="Normal 260 2" xfId="23085" xr:uid="{00000000-0005-0000-0000-00008C6D0000}"/>
    <cellStyle name="Normal 260 2 2" xfId="23086" xr:uid="{00000000-0005-0000-0000-00008D6D0000}"/>
    <cellStyle name="Normal 260 2 2 2" xfId="23087" xr:uid="{00000000-0005-0000-0000-00008E6D0000}"/>
    <cellStyle name="Normal 260 2 2 2 2" xfId="23088" xr:uid="{00000000-0005-0000-0000-00008F6D0000}"/>
    <cellStyle name="Normal 260 2 2 3" xfId="23089" xr:uid="{00000000-0005-0000-0000-0000906D0000}"/>
    <cellStyle name="Normal 260 2 2 4" xfId="23090" xr:uid="{00000000-0005-0000-0000-0000916D0000}"/>
    <cellStyle name="Normal 260 2 2 5" xfId="39517" xr:uid="{00000000-0005-0000-0000-0000926D0000}"/>
    <cellStyle name="Normal 260 2 3" xfId="23091" xr:uid="{00000000-0005-0000-0000-0000936D0000}"/>
    <cellStyle name="Normal 260 2 3 2" xfId="23092" xr:uid="{00000000-0005-0000-0000-0000946D0000}"/>
    <cellStyle name="Normal 260 2 4" xfId="23093" xr:uid="{00000000-0005-0000-0000-0000956D0000}"/>
    <cellStyle name="Normal 260 2 5" xfId="23094" xr:uid="{00000000-0005-0000-0000-0000966D0000}"/>
    <cellStyle name="Normal 260 2 6" xfId="39516" xr:uid="{00000000-0005-0000-0000-0000976D0000}"/>
    <cellStyle name="Normal 260 3" xfId="23095" xr:uid="{00000000-0005-0000-0000-0000986D0000}"/>
    <cellStyle name="Normal 260 3 2" xfId="23096" xr:uid="{00000000-0005-0000-0000-0000996D0000}"/>
    <cellStyle name="Normal 260 3 2 2" xfId="23097" xr:uid="{00000000-0005-0000-0000-00009A6D0000}"/>
    <cellStyle name="Normal 260 3 3" xfId="23098" xr:uid="{00000000-0005-0000-0000-00009B6D0000}"/>
    <cellStyle name="Normal 260 3 4" xfId="23099" xr:uid="{00000000-0005-0000-0000-00009C6D0000}"/>
    <cellStyle name="Normal 260 3 5" xfId="39518" xr:uid="{00000000-0005-0000-0000-00009D6D0000}"/>
    <cellStyle name="Normal 260 4" xfId="23100" xr:uid="{00000000-0005-0000-0000-00009E6D0000}"/>
    <cellStyle name="Normal 260 5" xfId="23101" xr:uid="{00000000-0005-0000-0000-00009F6D0000}"/>
    <cellStyle name="Normal 260 5 2" xfId="23102" xr:uid="{00000000-0005-0000-0000-0000A06D0000}"/>
    <cellStyle name="Normal 260 6" xfId="23103" xr:uid="{00000000-0005-0000-0000-0000A16D0000}"/>
    <cellStyle name="Normal 260 7" xfId="23104" xr:uid="{00000000-0005-0000-0000-0000A26D0000}"/>
    <cellStyle name="Normal 260 8" xfId="35331" xr:uid="{00000000-0005-0000-0000-0000A36D0000}"/>
    <cellStyle name="Normal 261" xfId="23105" xr:uid="{00000000-0005-0000-0000-0000A46D0000}"/>
    <cellStyle name="Normal 261 2" xfId="23106" xr:uid="{00000000-0005-0000-0000-0000A56D0000}"/>
    <cellStyle name="Normal 261 2 2" xfId="23107" xr:uid="{00000000-0005-0000-0000-0000A66D0000}"/>
    <cellStyle name="Normal 261 2 2 2" xfId="23108" xr:uid="{00000000-0005-0000-0000-0000A76D0000}"/>
    <cellStyle name="Normal 261 2 2 2 2" xfId="23109" xr:uid="{00000000-0005-0000-0000-0000A86D0000}"/>
    <cellStyle name="Normal 261 2 2 3" xfId="23110" xr:uid="{00000000-0005-0000-0000-0000A96D0000}"/>
    <cellStyle name="Normal 261 2 2 4" xfId="23111" xr:uid="{00000000-0005-0000-0000-0000AA6D0000}"/>
    <cellStyle name="Normal 261 2 2 5" xfId="39520" xr:uid="{00000000-0005-0000-0000-0000AB6D0000}"/>
    <cellStyle name="Normal 261 2 3" xfId="23112" xr:uid="{00000000-0005-0000-0000-0000AC6D0000}"/>
    <cellStyle name="Normal 261 2 3 2" xfId="23113" xr:uid="{00000000-0005-0000-0000-0000AD6D0000}"/>
    <cellStyle name="Normal 261 2 4" xfId="23114" xr:uid="{00000000-0005-0000-0000-0000AE6D0000}"/>
    <cellStyle name="Normal 261 2 5" xfId="23115" xr:uid="{00000000-0005-0000-0000-0000AF6D0000}"/>
    <cellStyle name="Normal 261 2 6" xfId="39519" xr:uid="{00000000-0005-0000-0000-0000B06D0000}"/>
    <cellStyle name="Normal 261 3" xfId="23116" xr:uid="{00000000-0005-0000-0000-0000B16D0000}"/>
    <cellStyle name="Normal 261 3 2" xfId="23117" xr:uid="{00000000-0005-0000-0000-0000B26D0000}"/>
    <cellStyle name="Normal 261 3 2 2" xfId="23118" xr:uid="{00000000-0005-0000-0000-0000B36D0000}"/>
    <cellStyle name="Normal 261 3 3" xfId="23119" xr:uid="{00000000-0005-0000-0000-0000B46D0000}"/>
    <cellStyle name="Normal 261 3 4" xfId="23120" xr:uid="{00000000-0005-0000-0000-0000B56D0000}"/>
    <cellStyle name="Normal 261 3 5" xfId="39521" xr:uid="{00000000-0005-0000-0000-0000B66D0000}"/>
    <cellStyle name="Normal 261 4" xfId="23121" xr:uid="{00000000-0005-0000-0000-0000B76D0000}"/>
    <cellStyle name="Normal 261 5" xfId="23122" xr:uid="{00000000-0005-0000-0000-0000B86D0000}"/>
    <cellStyle name="Normal 261 5 2" xfId="23123" xr:uid="{00000000-0005-0000-0000-0000B96D0000}"/>
    <cellStyle name="Normal 261 6" xfId="23124" xr:uid="{00000000-0005-0000-0000-0000BA6D0000}"/>
    <cellStyle name="Normal 261 7" xfId="23125" xr:uid="{00000000-0005-0000-0000-0000BB6D0000}"/>
    <cellStyle name="Normal 261 8" xfId="35332" xr:uid="{00000000-0005-0000-0000-0000BC6D0000}"/>
    <cellStyle name="Normal 262" xfId="23126" xr:uid="{00000000-0005-0000-0000-0000BD6D0000}"/>
    <cellStyle name="Normal 262 2" xfId="23127" xr:uid="{00000000-0005-0000-0000-0000BE6D0000}"/>
    <cellStyle name="Normal 262 2 2" xfId="23128" xr:uid="{00000000-0005-0000-0000-0000BF6D0000}"/>
    <cellStyle name="Normal 262 2 2 2" xfId="23129" xr:uid="{00000000-0005-0000-0000-0000C06D0000}"/>
    <cellStyle name="Normal 262 2 2 2 2" xfId="23130" xr:uid="{00000000-0005-0000-0000-0000C16D0000}"/>
    <cellStyle name="Normal 262 2 2 3" xfId="23131" xr:uid="{00000000-0005-0000-0000-0000C26D0000}"/>
    <cellStyle name="Normal 262 2 2 4" xfId="23132" xr:uid="{00000000-0005-0000-0000-0000C36D0000}"/>
    <cellStyle name="Normal 262 2 2 5" xfId="39523" xr:uid="{00000000-0005-0000-0000-0000C46D0000}"/>
    <cellStyle name="Normal 262 2 3" xfId="23133" xr:uid="{00000000-0005-0000-0000-0000C56D0000}"/>
    <cellStyle name="Normal 262 2 3 2" xfId="23134" xr:uid="{00000000-0005-0000-0000-0000C66D0000}"/>
    <cellStyle name="Normal 262 2 4" xfId="23135" xr:uid="{00000000-0005-0000-0000-0000C76D0000}"/>
    <cellStyle name="Normal 262 2 5" xfId="23136" xr:uid="{00000000-0005-0000-0000-0000C86D0000}"/>
    <cellStyle name="Normal 262 2 6" xfId="39522" xr:uid="{00000000-0005-0000-0000-0000C96D0000}"/>
    <cellStyle name="Normal 262 3" xfId="23137" xr:uid="{00000000-0005-0000-0000-0000CA6D0000}"/>
    <cellStyle name="Normal 262 3 2" xfId="23138" xr:uid="{00000000-0005-0000-0000-0000CB6D0000}"/>
    <cellStyle name="Normal 262 3 2 2" xfId="23139" xr:uid="{00000000-0005-0000-0000-0000CC6D0000}"/>
    <cellStyle name="Normal 262 3 3" xfId="23140" xr:uid="{00000000-0005-0000-0000-0000CD6D0000}"/>
    <cellStyle name="Normal 262 3 4" xfId="23141" xr:uid="{00000000-0005-0000-0000-0000CE6D0000}"/>
    <cellStyle name="Normal 262 3 5" xfId="39524" xr:uid="{00000000-0005-0000-0000-0000CF6D0000}"/>
    <cellStyle name="Normal 262 4" xfId="23142" xr:uid="{00000000-0005-0000-0000-0000D06D0000}"/>
    <cellStyle name="Normal 262 5" xfId="23143" xr:uid="{00000000-0005-0000-0000-0000D16D0000}"/>
    <cellStyle name="Normal 262 5 2" xfId="23144" xr:uid="{00000000-0005-0000-0000-0000D26D0000}"/>
    <cellStyle name="Normal 262 6" xfId="23145" xr:uid="{00000000-0005-0000-0000-0000D36D0000}"/>
    <cellStyle name="Normal 262 7" xfId="23146" xr:uid="{00000000-0005-0000-0000-0000D46D0000}"/>
    <cellStyle name="Normal 262 8" xfId="35333" xr:uid="{00000000-0005-0000-0000-0000D56D0000}"/>
    <cellStyle name="Normal 263" xfId="23147" xr:uid="{00000000-0005-0000-0000-0000D66D0000}"/>
    <cellStyle name="Normal 263 2" xfId="23148" xr:uid="{00000000-0005-0000-0000-0000D76D0000}"/>
    <cellStyle name="Normal 263 2 2" xfId="23149" xr:uid="{00000000-0005-0000-0000-0000D86D0000}"/>
    <cellStyle name="Normal 263 2 2 2" xfId="23150" xr:uid="{00000000-0005-0000-0000-0000D96D0000}"/>
    <cellStyle name="Normal 263 2 2 2 2" xfId="23151" xr:uid="{00000000-0005-0000-0000-0000DA6D0000}"/>
    <cellStyle name="Normal 263 2 2 3" xfId="23152" xr:uid="{00000000-0005-0000-0000-0000DB6D0000}"/>
    <cellStyle name="Normal 263 2 2 4" xfId="23153" xr:uid="{00000000-0005-0000-0000-0000DC6D0000}"/>
    <cellStyle name="Normal 263 2 2 5" xfId="39526" xr:uid="{00000000-0005-0000-0000-0000DD6D0000}"/>
    <cellStyle name="Normal 263 2 3" xfId="23154" xr:uid="{00000000-0005-0000-0000-0000DE6D0000}"/>
    <cellStyle name="Normal 263 2 3 2" xfId="23155" xr:uid="{00000000-0005-0000-0000-0000DF6D0000}"/>
    <cellStyle name="Normal 263 2 4" xfId="23156" xr:uid="{00000000-0005-0000-0000-0000E06D0000}"/>
    <cellStyle name="Normal 263 2 5" xfId="23157" xr:uid="{00000000-0005-0000-0000-0000E16D0000}"/>
    <cellStyle name="Normal 263 2 6" xfId="39525" xr:uid="{00000000-0005-0000-0000-0000E26D0000}"/>
    <cellStyle name="Normal 263 3" xfId="23158" xr:uid="{00000000-0005-0000-0000-0000E36D0000}"/>
    <cellStyle name="Normal 263 3 2" xfId="23159" xr:uid="{00000000-0005-0000-0000-0000E46D0000}"/>
    <cellStyle name="Normal 263 3 2 2" xfId="23160" xr:uid="{00000000-0005-0000-0000-0000E56D0000}"/>
    <cellStyle name="Normal 263 3 3" xfId="23161" xr:uid="{00000000-0005-0000-0000-0000E66D0000}"/>
    <cellStyle name="Normal 263 3 4" xfId="23162" xr:uid="{00000000-0005-0000-0000-0000E76D0000}"/>
    <cellStyle name="Normal 263 3 5" xfId="39527" xr:uid="{00000000-0005-0000-0000-0000E86D0000}"/>
    <cellStyle name="Normal 263 4" xfId="23163" xr:uid="{00000000-0005-0000-0000-0000E96D0000}"/>
    <cellStyle name="Normal 263 5" xfId="23164" xr:uid="{00000000-0005-0000-0000-0000EA6D0000}"/>
    <cellStyle name="Normal 263 5 2" xfId="23165" xr:uid="{00000000-0005-0000-0000-0000EB6D0000}"/>
    <cellStyle name="Normal 263 6" xfId="23166" xr:uid="{00000000-0005-0000-0000-0000EC6D0000}"/>
    <cellStyle name="Normal 263 7" xfId="23167" xr:uid="{00000000-0005-0000-0000-0000ED6D0000}"/>
    <cellStyle name="Normal 263 8" xfId="35334" xr:uid="{00000000-0005-0000-0000-0000EE6D0000}"/>
    <cellStyle name="Normal 264" xfId="23168" xr:uid="{00000000-0005-0000-0000-0000EF6D0000}"/>
    <cellStyle name="Normal 264 2" xfId="23169" xr:uid="{00000000-0005-0000-0000-0000F06D0000}"/>
    <cellStyle name="Normal 264 3" xfId="35335" xr:uid="{00000000-0005-0000-0000-0000F16D0000}"/>
    <cellStyle name="Normal 265" xfId="23170" xr:uid="{00000000-0005-0000-0000-0000F26D0000}"/>
    <cellStyle name="Normal 265 2" xfId="23171" xr:uid="{00000000-0005-0000-0000-0000F36D0000}"/>
    <cellStyle name="Normal 265 3" xfId="35336" xr:uid="{00000000-0005-0000-0000-0000F46D0000}"/>
    <cellStyle name="Normal 266" xfId="23172" xr:uid="{00000000-0005-0000-0000-0000F56D0000}"/>
    <cellStyle name="Normal 266 2" xfId="35337" xr:uid="{00000000-0005-0000-0000-0000F66D0000}"/>
    <cellStyle name="Normal 267" xfId="23173" xr:uid="{00000000-0005-0000-0000-0000F76D0000}"/>
    <cellStyle name="Normal 267 2" xfId="35338" xr:uid="{00000000-0005-0000-0000-0000F86D0000}"/>
    <cellStyle name="Normal 268" xfId="23174" xr:uid="{00000000-0005-0000-0000-0000F96D0000}"/>
    <cellStyle name="Normal 268 2" xfId="35339" xr:uid="{00000000-0005-0000-0000-0000FA6D0000}"/>
    <cellStyle name="Normal 269" xfId="23175" xr:uid="{00000000-0005-0000-0000-0000FB6D0000}"/>
    <cellStyle name="Normal 269 2" xfId="35340" xr:uid="{00000000-0005-0000-0000-0000FC6D0000}"/>
    <cellStyle name="Normal 27" xfId="23176" xr:uid="{00000000-0005-0000-0000-0000FD6D0000}"/>
    <cellStyle name="Normal 27 2" xfId="23177" xr:uid="{00000000-0005-0000-0000-0000FE6D0000}"/>
    <cellStyle name="Normal 270" xfId="23178" xr:uid="{00000000-0005-0000-0000-0000FF6D0000}"/>
    <cellStyle name="Normal 270 2" xfId="35341" xr:uid="{00000000-0005-0000-0000-0000006E0000}"/>
    <cellStyle name="Normal 271" xfId="23179" xr:uid="{00000000-0005-0000-0000-0000016E0000}"/>
    <cellStyle name="Normal 271 2" xfId="35342" xr:uid="{00000000-0005-0000-0000-0000026E0000}"/>
    <cellStyle name="Normal 272" xfId="23180" xr:uid="{00000000-0005-0000-0000-0000036E0000}"/>
    <cellStyle name="Normal 272 2" xfId="35343" xr:uid="{00000000-0005-0000-0000-0000046E0000}"/>
    <cellStyle name="Normal 273" xfId="23181" xr:uid="{00000000-0005-0000-0000-0000056E0000}"/>
    <cellStyle name="Normal 273 2" xfId="35344" xr:uid="{00000000-0005-0000-0000-0000066E0000}"/>
    <cellStyle name="Normal 274" xfId="23182" xr:uid="{00000000-0005-0000-0000-0000076E0000}"/>
    <cellStyle name="Normal 274 2" xfId="23183" xr:uid="{00000000-0005-0000-0000-0000086E0000}"/>
    <cellStyle name="Normal 274 3" xfId="35345" xr:uid="{00000000-0005-0000-0000-0000096E0000}"/>
    <cellStyle name="Normal 275" xfId="23184" xr:uid="{00000000-0005-0000-0000-00000A6E0000}"/>
    <cellStyle name="Normal 275 2" xfId="23185" xr:uid="{00000000-0005-0000-0000-00000B6E0000}"/>
    <cellStyle name="Normal 275 3" xfId="35346" xr:uid="{00000000-0005-0000-0000-00000C6E0000}"/>
    <cellStyle name="Normal 276" xfId="23186" xr:uid="{00000000-0005-0000-0000-00000D6E0000}"/>
    <cellStyle name="Normal 276 2" xfId="23187" xr:uid="{00000000-0005-0000-0000-00000E6E0000}"/>
    <cellStyle name="Normal 276 3" xfId="35347" xr:uid="{00000000-0005-0000-0000-00000F6E0000}"/>
    <cellStyle name="Normal 277" xfId="23188" xr:uid="{00000000-0005-0000-0000-0000106E0000}"/>
    <cellStyle name="Normal 277 2" xfId="23189" xr:uid="{00000000-0005-0000-0000-0000116E0000}"/>
    <cellStyle name="Normal 278" xfId="23190" xr:uid="{00000000-0005-0000-0000-0000126E0000}"/>
    <cellStyle name="Normal 278 2" xfId="23191" xr:uid="{00000000-0005-0000-0000-0000136E0000}"/>
    <cellStyle name="Normal 278 2 2" xfId="35349" xr:uid="{00000000-0005-0000-0000-0000146E0000}"/>
    <cellStyle name="Normal 278 3" xfId="35348" xr:uid="{00000000-0005-0000-0000-0000156E0000}"/>
    <cellStyle name="Normal 279" xfId="23192" xr:uid="{00000000-0005-0000-0000-0000166E0000}"/>
    <cellStyle name="Normal 279 2" xfId="23193" xr:uid="{00000000-0005-0000-0000-0000176E0000}"/>
    <cellStyle name="Normal 279 3" xfId="35350" xr:uid="{00000000-0005-0000-0000-0000186E0000}"/>
    <cellStyle name="Normal 28" xfId="23194" xr:uid="{00000000-0005-0000-0000-0000196E0000}"/>
    <cellStyle name="Normal 28 2" xfId="23195" xr:uid="{00000000-0005-0000-0000-00001A6E0000}"/>
    <cellStyle name="Normal 28 2 2" xfId="42215" xr:uid="{3B8D003C-9AE4-44D9-BEE1-6A4FCB5173F5}"/>
    <cellStyle name="Normal 28 3" xfId="42257" xr:uid="{BC30334A-E2A4-4947-BBCF-345B6C53DE0E}"/>
    <cellStyle name="Normal 28 4" xfId="42365" xr:uid="{004129DE-B7FC-4F1A-86EF-470287A2D8C8}"/>
    <cellStyle name="Normal 28 4 2" xfId="42369" xr:uid="{5F0542E3-89C8-4312-AF4E-475355623DE5}"/>
    <cellStyle name="Normal 28 4 3" xfId="42373" xr:uid="{253CDBCF-5A26-4F09-A81E-731EE9AD633A}"/>
    <cellStyle name="Normal 28 4 4" xfId="42377" xr:uid="{228679EF-480B-4D5F-AACF-A375125F3791}"/>
    <cellStyle name="Normal 28 5" xfId="42124" xr:uid="{1D9646F3-D526-41C0-AF03-B41BF839179C}"/>
    <cellStyle name="Normal 280" xfId="23196" xr:uid="{00000000-0005-0000-0000-00001B6E0000}"/>
    <cellStyle name="Normal 280 2" xfId="23197" xr:uid="{00000000-0005-0000-0000-00001C6E0000}"/>
    <cellStyle name="Normal 280 3" xfId="35351" xr:uid="{00000000-0005-0000-0000-00001D6E0000}"/>
    <cellStyle name="Normal 281" xfId="23198" xr:uid="{00000000-0005-0000-0000-00001E6E0000}"/>
    <cellStyle name="Normal 281 2" xfId="23199" xr:uid="{00000000-0005-0000-0000-00001F6E0000}"/>
    <cellStyle name="Normal 281 2 2" xfId="23200" xr:uid="{00000000-0005-0000-0000-0000206E0000}"/>
    <cellStyle name="Normal 281 2 2 2" xfId="23201" xr:uid="{00000000-0005-0000-0000-0000216E0000}"/>
    <cellStyle name="Normal 281 2 3" xfId="23202" xr:uid="{00000000-0005-0000-0000-0000226E0000}"/>
    <cellStyle name="Normal 281 2 4" xfId="23203" xr:uid="{00000000-0005-0000-0000-0000236E0000}"/>
    <cellStyle name="Normal 281 2 5" xfId="39529" xr:uid="{00000000-0005-0000-0000-0000246E0000}"/>
    <cellStyle name="Normal 281 3" xfId="23204" xr:uid="{00000000-0005-0000-0000-0000256E0000}"/>
    <cellStyle name="Normal 281 4" xfId="23205" xr:uid="{00000000-0005-0000-0000-0000266E0000}"/>
    <cellStyle name="Normal 281 4 2" xfId="23206" xr:uid="{00000000-0005-0000-0000-0000276E0000}"/>
    <cellStyle name="Normal 281 5" xfId="23207" xr:uid="{00000000-0005-0000-0000-0000286E0000}"/>
    <cellStyle name="Normal 281 6" xfId="23208" xr:uid="{00000000-0005-0000-0000-0000296E0000}"/>
    <cellStyle name="Normal 281 7" xfId="39528" xr:uid="{00000000-0005-0000-0000-00002A6E0000}"/>
    <cellStyle name="Normal 282" xfId="23209" xr:uid="{00000000-0005-0000-0000-00002B6E0000}"/>
    <cellStyle name="Normal 282 2" xfId="23210" xr:uid="{00000000-0005-0000-0000-00002C6E0000}"/>
    <cellStyle name="Normal 282 2 2" xfId="23211" xr:uid="{00000000-0005-0000-0000-00002D6E0000}"/>
    <cellStyle name="Normal 282 2 2 2" xfId="23212" xr:uid="{00000000-0005-0000-0000-00002E6E0000}"/>
    <cellStyle name="Normal 282 2 3" xfId="23213" xr:uid="{00000000-0005-0000-0000-00002F6E0000}"/>
    <cellStyle name="Normal 282 2 4" xfId="23214" xr:uid="{00000000-0005-0000-0000-0000306E0000}"/>
    <cellStyle name="Normal 282 2 5" xfId="39531" xr:uid="{00000000-0005-0000-0000-0000316E0000}"/>
    <cellStyle name="Normal 282 3" xfId="23215" xr:uid="{00000000-0005-0000-0000-0000326E0000}"/>
    <cellStyle name="Normal 282 4" xfId="23216" xr:uid="{00000000-0005-0000-0000-0000336E0000}"/>
    <cellStyle name="Normal 282 4 2" xfId="23217" xr:uid="{00000000-0005-0000-0000-0000346E0000}"/>
    <cellStyle name="Normal 282 5" xfId="23218" xr:uid="{00000000-0005-0000-0000-0000356E0000}"/>
    <cellStyle name="Normal 282 6" xfId="23219" xr:uid="{00000000-0005-0000-0000-0000366E0000}"/>
    <cellStyle name="Normal 282 7" xfId="39530" xr:uid="{00000000-0005-0000-0000-0000376E0000}"/>
    <cellStyle name="Normal 283" xfId="23220" xr:uid="{00000000-0005-0000-0000-0000386E0000}"/>
    <cellStyle name="Normal 283 2" xfId="23221" xr:uid="{00000000-0005-0000-0000-0000396E0000}"/>
    <cellStyle name="Normal 283 2 2" xfId="23222" xr:uid="{00000000-0005-0000-0000-00003A6E0000}"/>
    <cellStyle name="Normal 283 2 2 2" xfId="23223" xr:uid="{00000000-0005-0000-0000-00003B6E0000}"/>
    <cellStyle name="Normal 283 2 3" xfId="23224" xr:uid="{00000000-0005-0000-0000-00003C6E0000}"/>
    <cellStyle name="Normal 283 2 4" xfId="23225" xr:uid="{00000000-0005-0000-0000-00003D6E0000}"/>
    <cellStyle name="Normal 283 2 5" xfId="39533" xr:uid="{00000000-0005-0000-0000-00003E6E0000}"/>
    <cellStyle name="Normal 283 3" xfId="23226" xr:uid="{00000000-0005-0000-0000-00003F6E0000}"/>
    <cellStyle name="Normal 283 4" xfId="23227" xr:uid="{00000000-0005-0000-0000-0000406E0000}"/>
    <cellStyle name="Normal 283 4 2" xfId="23228" xr:uid="{00000000-0005-0000-0000-0000416E0000}"/>
    <cellStyle name="Normal 283 5" xfId="23229" xr:uid="{00000000-0005-0000-0000-0000426E0000}"/>
    <cellStyle name="Normal 283 6" xfId="23230" xr:uid="{00000000-0005-0000-0000-0000436E0000}"/>
    <cellStyle name="Normal 283 7" xfId="39532" xr:uid="{00000000-0005-0000-0000-0000446E0000}"/>
    <cellStyle name="Normal 284" xfId="23231" xr:uid="{00000000-0005-0000-0000-0000456E0000}"/>
    <cellStyle name="Normal 284 2" xfId="23232" xr:uid="{00000000-0005-0000-0000-0000466E0000}"/>
    <cellStyle name="Normal 284 2 2" xfId="23233" xr:uid="{00000000-0005-0000-0000-0000476E0000}"/>
    <cellStyle name="Normal 284 2 2 2" xfId="23234" xr:uid="{00000000-0005-0000-0000-0000486E0000}"/>
    <cellStyle name="Normal 284 2 3" xfId="23235" xr:uid="{00000000-0005-0000-0000-0000496E0000}"/>
    <cellStyle name="Normal 284 2 4" xfId="23236" xr:uid="{00000000-0005-0000-0000-00004A6E0000}"/>
    <cellStyle name="Normal 284 2 5" xfId="39535" xr:uid="{00000000-0005-0000-0000-00004B6E0000}"/>
    <cellStyle name="Normal 284 3" xfId="23237" xr:uid="{00000000-0005-0000-0000-00004C6E0000}"/>
    <cellStyle name="Normal 284 4" xfId="23238" xr:uid="{00000000-0005-0000-0000-00004D6E0000}"/>
    <cellStyle name="Normal 284 4 2" xfId="23239" xr:uid="{00000000-0005-0000-0000-00004E6E0000}"/>
    <cellStyle name="Normal 284 5" xfId="23240" xr:uid="{00000000-0005-0000-0000-00004F6E0000}"/>
    <cellStyle name="Normal 284 6" xfId="23241" xr:uid="{00000000-0005-0000-0000-0000506E0000}"/>
    <cellStyle name="Normal 284 7" xfId="39534" xr:uid="{00000000-0005-0000-0000-0000516E0000}"/>
    <cellStyle name="Normal 285" xfId="23242" xr:uid="{00000000-0005-0000-0000-0000526E0000}"/>
    <cellStyle name="Normal 285 2" xfId="23243" xr:uid="{00000000-0005-0000-0000-0000536E0000}"/>
    <cellStyle name="Normal 285 2 2" xfId="23244" xr:uid="{00000000-0005-0000-0000-0000546E0000}"/>
    <cellStyle name="Normal 285 2 2 2" xfId="23245" xr:uid="{00000000-0005-0000-0000-0000556E0000}"/>
    <cellStyle name="Normal 285 2 3" xfId="23246" xr:uid="{00000000-0005-0000-0000-0000566E0000}"/>
    <cellStyle name="Normal 285 2 4" xfId="23247" xr:uid="{00000000-0005-0000-0000-0000576E0000}"/>
    <cellStyle name="Normal 285 2 5" xfId="39537" xr:uid="{00000000-0005-0000-0000-0000586E0000}"/>
    <cellStyle name="Normal 285 3" xfId="23248" xr:uid="{00000000-0005-0000-0000-0000596E0000}"/>
    <cellStyle name="Normal 285 4" xfId="23249" xr:uid="{00000000-0005-0000-0000-00005A6E0000}"/>
    <cellStyle name="Normal 285 4 2" xfId="23250" xr:uid="{00000000-0005-0000-0000-00005B6E0000}"/>
    <cellStyle name="Normal 285 5" xfId="23251" xr:uid="{00000000-0005-0000-0000-00005C6E0000}"/>
    <cellStyle name="Normal 285 6" xfId="23252" xr:uid="{00000000-0005-0000-0000-00005D6E0000}"/>
    <cellStyle name="Normal 285 7" xfId="39536" xr:uid="{00000000-0005-0000-0000-00005E6E0000}"/>
    <cellStyle name="Normal 286" xfId="23253" xr:uid="{00000000-0005-0000-0000-00005F6E0000}"/>
    <cellStyle name="Normal 286 2" xfId="23254" xr:uid="{00000000-0005-0000-0000-0000606E0000}"/>
    <cellStyle name="Normal 286 2 2" xfId="23255" xr:uid="{00000000-0005-0000-0000-0000616E0000}"/>
    <cellStyle name="Normal 286 2 2 2" xfId="23256" xr:uid="{00000000-0005-0000-0000-0000626E0000}"/>
    <cellStyle name="Normal 286 2 3" xfId="23257" xr:uid="{00000000-0005-0000-0000-0000636E0000}"/>
    <cellStyle name="Normal 286 2 4" xfId="23258" xr:uid="{00000000-0005-0000-0000-0000646E0000}"/>
    <cellStyle name="Normal 286 2 5" xfId="39539" xr:uid="{00000000-0005-0000-0000-0000656E0000}"/>
    <cellStyle name="Normal 286 3" xfId="23259" xr:uid="{00000000-0005-0000-0000-0000666E0000}"/>
    <cellStyle name="Normal 286 3 2" xfId="23260" xr:uid="{00000000-0005-0000-0000-0000676E0000}"/>
    <cellStyle name="Normal 286 4" xfId="23261" xr:uid="{00000000-0005-0000-0000-0000686E0000}"/>
    <cellStyle name="Normal 286 5" xfId="23262" xr:uid="{00000000-0005-0000-0000-0000696E0000}"/>
    <cellStyle name="Normal 286 6" xfId="39538" xr:uid="{00000000-0005-0000-0000-00006A6E0000}"/>
    <cellStyle name="Normal 287" xfId="23263" xr:uid="{00000000-0005-0000-0000-00006B6E0000}"/>
    <cellStyle name="Normal 287 2" xfId="23264" xr:uid="{00000000-0005-0000-0000-00006C6E0000}"/>
    <cellStyle name="Normal 287 2 2" xfId="23265" xr:uid="{00000000-0005-0000-0000-00006D6E0000}"/>
    <cellStyle name="Normal 287 2 2 2" xfId="23266" xr:uid="{00000000-0005-0000-0000-00006E6E0000}"/>
    <cellStyle name="Normal 287 2 3" xfId="23267" xr:uid="{00000000-0005-0000-0000-00006F6E0000}"/>
    <cellStyle name="Normal 287 2 4" xfId="23268" xr:uid="{00000000-0005-0000-0000-0000706E0000}"/>
    <cellStyle name="Normal 287 2 5" xfId="39541" xr:uid="{00000000-0005-0000-0000-0000716E0000}"/>
    <cellStyle name="Normal 287 3" xfId="23269" xr:uid="{00000000-0005-0000-0000-0000726E0000}"/>
    <cellStyle name="Normal 287 3 2" xfId="23270" xr:uid="{00000000-0005-0000-0000-0000736E0000}"/>
    <cellStyle name="Normal 287 4" xfId="23271" xr:uid="{00000000-0005-0000-0000-0000746E0000}"/>
    <cellStyle name="Normal 287 5" xfId="23272" xr:uid="{00000000-0005-0000-0000-0000756E0000}"/>
    <cellStyle name="Normal 287 6" xfId="39540" xr:uid="{00000000-0005-0000-0000-0000766E0000}"/>
    <cellStyle name="Normal 288" xfId="23273" xr:uid="{00000000-0005-0000-0000-0000776E0000}"/>
    <cellStyle name="Normal 288 2" xfId="23274" xr:uid="{00000000-0005-0000-0000-0000786E0000}"/>
    <cellStyle name="Normal 288 2 2" xfId="23275" xr:uid="{00000000-0005-0000-0000-0000796E0000}"/>
    <cellStyle name="Normal 288 2 2 2" xfId="23276" xr:uid="{00000000-0005-0000-0000-00007A6E0000}"/>
    <cellStyle name="Normal 288 2 3" xfId="23277" xr:uid="{00000000-0005-0000-0000-00007B6E0000}"/>
    <cellStyle name="Normal 288 2 4" xfId="23278" xr:uid="{00000000-0005-0000-0000-00007C6E0000}"/>
    <cellStyle name="Normal 288 2 5" xfId="39543" xr:uid="{00000000-0005-0000-0000-00007D6E0000}"/>
    <cellStyle name="Normal 288 3" xfId="23279" xr:uid="{00000000-0005-0000-0000-00007E6E0000}"/>
    <cellStyle name="Normal 288 3 2" xfId="23280" xr:uid="{00000000-0005-0000-0000-00007F6E0000}"/>
    <cellStyle name="Normal 288 4" xfId="23281" xr:uid="{00000000-0005-0000-0000-0000806E0000}"/>
    <cellStyle name="Normal 288 5" xfId="23282" xr:uid="{00000000-0005-0000-0000-0000816E0000}"/>
    <cellStyle name="Normal 288 6" xfId="39542" xr:uid="{00000000-0005-0000-0000-0000826E0000}"/>
    <cellStyle name="Normal 289" xfId="23283" xr:uid="{00000000-0005-0000-0000-0000836E0000}"/>
    <cellStyle name="Normal 289 2" xfId="23284" xr:uid="{00000000-0005-0000-0000-0000846E0000}"/>
    <cellStyle name="Normal 289 2 2" xfId="23285" xr:uid="{00000000-0005-0000-0000-0000856E0000}"/>
    <cellStyle name="Normal 289 2 2 2" xfId="23286" xr:uid="{00000000-0005-0000-0000-0000866E0000}"/>
    <cellStyle name="Normal 289 2 3" xfId="23287" xr:uid="{00000000-0005-0000-0000-0000876E0000}"/>
    <cellStyle name="Normal 289 2 4" xfId="23288" xr:uid="{00000000-0005-0000-0000-0000886E0000}"/>
    <cellStyle name="Normal 289 2 5" xfId="39545" xr:uid="{00000000-0005-0000-0000-0000896E0000}"/>
    <cellStyle name="Normal 289 3" xfId="23289" xr:uid="{00000000-0005-0000-0000-00008A6E0000}"/>
    <cellStyle name="Normal 289 3 2" xfId="23290" xr:uid="{00000000-0005-0000-0000-00008B6E0000}"/>
    <cellStyle name="Normal 289 4" xfId="23291" xr:uid="{00000000-0005-0000-0000-00008C6E0000}"/>
    <cellStyle name="Normal 289 5" xfId="23292" xr:uid="{00000000-0005-0000-0000-00008D6E0000}"/>
    <cellStyle name="Normal 289 6" xfId="39544" xr:uid="{00000000-0005-0000-0000-00008E6E0000}"/>
    <cellStyle name="Normal 29" xfId="23293" xr:uid="{00000000-0005-0000-0000-00008F6E0000}"/>
    <cellStyle name="Normal 29 2" xfId="42082" xr:uid="{A5F7043D-BEC3-467E-BCDB-BF4B09C7B5AA}"/>
    <cellStyle name="Normal 290" xfId="23294" xr:uid="{00000000-0005-0000-0000-0000906E0000}"/>
    <cellStyle name="Normal 291" xfId="23295" xr:uid="{00000000-0005-0000-0000-0000916E0000}"/>
    <cellStyle name="Normal 292" xfId="23296" xr:uid="{00000000-0005-0000-0000-0000926E0000}"/>
    <cellStyle name="Normal 293" xfId="23297" xr:uid="{00000000-0005-0000-0000-0000936E0000}"/>
    <cellStyle name="Normal 294" xfId="23298" xr:uid="{00000000-0005-0000-0000-0000946E0000}"/>
    <cellStyle name="Normal 295" xfId="23299" xr:uid="{00000000-0005-0000-0000-0000956E0000}"/>
    <cellStyle name="Normal 296" xfId="23300" xr:uid="{00000000-0005-0000-0000-0000966E0000}"/>
    <cellStyle name="Normal 297" xfId="23301" xr:uid="{00000000-0005-0000-0000-0000976E0000}"/>
    <cellStyle name="Normal 298" xfId="23302" xr:uid="{00000000-0005-0000-0000-0000986E0000}"/>
    <cellStyle name="Normal 299" xfId="23303" xr:uid="{00000000-0005-0000-0000-0000996E0000}"/>
    <cellStyle name="Normal 299 10" xfId="39546" xr:uid="{00000000-0005-0000-0000-00009A6E0000}"/>
    <cellStyle name="Normal 299 2" xfId="23304" xr:uid="{00000000-0005-0000-0000-00009B6E0000}"/>
    <cellStyle name="Normal 299 2 2" xfId="23305" xr:uid="{00000000-0005-0000-0000-00009C6E0000}"/>
    <cellStyle name="Normal 299 2 2 2" xfId="23306" xr:uid="{00000000-0005-0000-0000-00009D6E0000}"/>
    <cellStyle name="Normal 299 2 3" xfId="23307" xr:uid="{00000000-0005-0000-0000-00009E6E0000}"/>
    <cellStyle name="Normal 299 2 4" xfId="23308" xr:uid="{00000000-0005-0000-0000-00009F6E0000}"/>
    <cellStyle name="Normal 299 2 5" xfId="39547" xr:uid="{00000000-0005-0000-0000-0000A06E0000}"/>
    <cellStyle name="Normal 299 3" xfId="23309" xr:uid="{00000000-0005-0000-0000-0000A16E0000}"/>
    <cellStyle name="Normal 299 3 2" xfId="23310" xr:uid="{00000000-0005-0000-0000-0000A26E0000}"/>
    <cellStyle name="Normal 299 3 2 2" xfId="23311" xr:uid="{00000000-0005-0000-0000-0000A36E0000}"/>
    <cellStyle name="Normal 299 3 3" xfId="23312" xr:uid="{00000000-0005-0000-0000-0000A46E0000}"/>
    <cellStyle name="Normal 299 3 4" xfId="23313" xr:uid="{00000000-0005-0000-0000-0000A56E0000}"/>
    <cellStyle name="Normal 299 4" xfId="23314" xr:uid="{00000000-0005-0000-0000-0000A66E0000}"/>
    <cellStyle name="Normal 299 4 2" xfId="23315" xr:uid="{00000000-0005-0000-0000-0000A76E0000}"/>
    <cellStyle name="Normal 299 4 2 2" xfId="23316" xr:uid="{00000000-0005-0000-0000-0000A86E0000}"/>
    <cellStyle name="Normal 299 4 3" xfId="23317" xr:uid="{00000000-0005-0000-0000-0000A96E0000}"/>
    <cellStyle name="Normal 299 4 4" xfId="23318" xr:uid="{00000000-0005-0000-0000-0000AA6E0000}"/>
    <cellStyle name="Normal 299 5" xfId="23319" xr:uid="{00000000-0005-0000-0000-0000AB6E0000}"/>
    <cellStyle name="Normal 299 5 2" xfId="23320" xr:uid="{00000000-0005-0000-0000-0000AC6E0000}"/>
    <cellStyle name="Normal 299 5 2 2" xfId="23321" xr:uid="{00000000-0005-0000-0000-0000AD6E0000}"/>
    <cellStyle name="Normal 299 5 3" xfId="23322" xr:uid="{00000000-0005-0000-0000-0000AE6E0000}"/>
    <cellStyle name="Normal 299 5 4" xfId="23323" xr:uid="{00000000-0005-0000-0000-0000AF6E0000}"/>
    <cellStyle name="Normal 299 6" xfId="23324" xr:uid="{00000000-0005-0000-0000-0000B06E0000}"/>
    <cellStyle name="Normal 299 6 2" xfId="23325" xr:uid="{00000000-0005-0000-0000-0000B16E0000}"/>
    <cellStyle name="Normal 299 6 2 2" xfId="23326" xr:uid="{00000000-0005-0000-0000-0000B26E0000}"/>
    <cellStyle name="Normal 299 6 3" xfId="23327" xr:uid="{00000000-0005-0000-0000-0000B36E0000}"/>
    <cellStyle name="Normal 299 6 4" xfId="23328" xr:uid="{00000000-0005-0000-0000-0000B46E0000}"/>
    <cellStyle name="Normal 299 7" xfId="23329" xr:uid="{00000000-0005-0000-0000-0000B56E0000}"/>
    <cellStyle name="Normal 299 7 2" xfId="23330" xr:uid="{00000000-0005-0000-0000-0000B66E0000}"/>
    <cellStyle name="Normal 299 8" xfId="23331" xr:uid="{00000000-0005-0000-0000-0000B76E0000}"/>
    <cellStyle name="Normal 299 9" xfId="23332" xr:uid="{00000000-0005-0000-0000-0000B86E0000}"/>
    <cellStyle name="Normal 3" xfId="4" xr:uid="{00000000-0005-0000-0000-0000B96E0000}"/>
    <cellStyle name="Normal 3 10" xfId="23333" xr:uid="{00000000-0005-0000-0000-0000BA6E0000}"/>
    <cellStyle name="Normal 3 10 2" xfId="23334" xr:uid="{00000000-0005-0000-0000-0000BB6E0000}"/>
    <cellStyle name="Normal 3 10 3" xfId="35352" xr:uid="{00000000-0005-0000-0000-0000BC6E0000}"/>
    <cellStyle name="Normal 3 11" xfId="23335" xr:uid="{00000000-0005-0000-0000-0000BD6E0000}"/>
    <cellStyle name="Normal 3 12" xfId="23336" xr:uid="{00000000-0005-0000-0000-0000BE6E0000}"/>
    <cellStyle name="Normal 3 12 2" xfId="23337" xr:uid="{00000000-0005-0000-0000-0000BF6E0000}"/>
    <cellStyle name="Normal 3 13" xfId="23338" xr:uid="{00000000-0005-0000-0000-0000C06E0000}"/>
    <cellStyle name="Normal 3 14" xfId="23339" xr:uid="{00000000-0005-0000-0000-0000C16E0000}"/>
    <cellStyle name="Normal 3 15" xfId="41814" xr:uid="{B224A932-E4C5-494B-9451-49BB02D5F4BC}"/>
    <cellStyle name="Normal 3 2" xfId="23340" xr:uid="{00000000-0005-0000-0000-0000C26E0000}"/>
    <cellStyle name="Normal 3 2 10" xfId="23341" xr:uid="{00000000-0005-0000-0000-0000C36E0000}"/>
    <cellStyle name="Normal 3 2 10 2" xfId="23342" xr:uid="{00000000-0005-0000-0000-0000C46E0000}"/>
    <cellStyle name="Normal 3 2 10 2 2" xfId="23343" xr:uid="{00000000-0005-0000-0000-0000C56E0000}"/>
    <cellStyle name="Normal 3 2 10 3" xfId="23344" xr:uid="{00000000-0005-0000-0000-0000C66E0000}"/>
    <cellStyle name="Normal 3 2 10 4" xfId="23345" xr:uid="{00000000-0005-0000-0000-0000C76E0000}"/>
    <cellStyle name="Normal 3 2 11" xfId="23346" xr:uid="{00000000-0005-0000-0000-0000C86E0000}"/>
    <cellStyle name="Normal 3 2 11 2" xfId="23347" xr:uid="{00000000-0005-0000-0000-0000C96E0000}"/>
    <cellStyle name="Normal 3 2 11 2 2" xfId="23348" xr:uid="{00000000-0005-0000-0000-0000CA6E0000}"/>
    <cellStyle name="Normal 3 2 11 3" xfId="23349" xr:uid="{00000000-0005-0000-0000-0000CB6E0000}"/>
    <cellStyle name="Normal 3 2 11 4" xfId="23350" xr:uid="{00000000-0005-0000-0000-0000CC6E0000}"/>
    <cellStyle name="Normal 3 2 12" xfId="23351" xr:uid="{00000000-0005-0000-0000-0000CD6E0000}"/>
    <cellStyle name="Normal 3 2 12 2" xfId="23352" xr:uid="{00000000-0005-0000-0000-0000CE6E0000}"/>
    <cellStyle name="Normal 3 2 13" xfId="23353" xr:uid="{00000000-0005-0000-0000-0000CF6E0000}"/>
    <cellStyle name="Normal 3 2 14" xfId="23354" xr:uid="{00000000-0005-0000-0000-0000D06E0000}"/>
    <cellStyle name="Normal 3 2 15" xfId="35353" xr:uid="{00000000-0005-0000-0000-0000D16E0000}"/>
    <cellStyle name="Normal 3 2 2" xfId="23355" xr:uid="{00000000-0005-0000-0000-0000D26E0000}"/>
    <cellStyle name="Normal 3 2 2 10" xfId="23356" xr:uid="{00000000-0005-0000-0000-0000D36E0000}"/>
    <cellStyle name="Normal 3 2 2 10 2" xfId="23357" xr:uid="{00000000-0005-0000-0000-0000D46E0000}"/>
    <cellStyle name="Normal 3 2 2 11" xfId="23358" xr:uid="{00000000-0005-0000-0000-0000D56E0000}"/>
    <cellStyle name="Normal 3 2 2 12" xfId="23359" xr:uid="{00000000-0005-0000-0000-0000D66E0000}"/>
    <cellStyle name="Normal 3 2 2 13" xfId="35354" xr:uid="{00000000-0005-0000-0000-0000D76E0000}"/>
    <cellStyle name="Normal 3 2 2 2" xfId="23360" xr:uid="{00000000-0005-0000-0000-0000D86E0000}"/>
    <cellStyle name="Normal 3 2 2 2 10" xfId="23361" xr:uid="{00000000-0005-0000-0000-0000D96E0000}"/>
    <cellStyle name="Normal 3 2 2 2 11" xfId="23362" xr:uid="{00000000-0005-0000-0000-0000DA6E0000}"/>
    <cellStyle name="Normal 3 2 2 2 12" xfId="35355" xr:uid="{00000000-0005-0000-0000-0000DB6E0000}"/>
    <cellStyle name="Normal 3 2 2 2 2" xfId="23363" xr:uid="{00000000-0005-0000-0000-0000DC6E0000}"/>
    <cellStyle name="Normal 3 2 2 2 2 10" xfId="23364" xr:uid="{00000000-0005-0000-0000-0000DD6E0000}"/>
    <cellStyle name="Normal 3 2 2 2 2 11" xfId="35356" xr:uid="{00000000-0005-0000-0000-0000DE6E0000}"/>
    <cellStyle name="Normal 3 2 2 2 2 2" xfId="23365" xr:uid="{00000000-0005-0000-0000-0000DF6E0000}"/>
    <cellStyle name="Normal 3 2 2 2 2 2 10" xfId="35357" xr:uid="{00000000-0005-0000-0000-0000E06E0000}"/>
    <cellStyle name="Normal 3 2 2 2 2 2 2" xfId="23366" xr:uid="{00000000-0005-0000-0000-0000E16E0000}"/>
    <cellStyle name="Normal 3 2 2 2 2 2 2 2" xfId="23367" xr:uid="{00000000-0005-0000-0000-0000E26E0000}"/>
    <cellStyle name="Normal 3 2 2 2 2 2 2 2 2" xfId="23368" xr:uid="{00000000-0005-0000-0000-0000E36E0000}"/>
    <cellStyle name="Normal 3 2 2 2 2 2 2 2 2 2" xfId="23369" xr:uid="{00000000-0005-0000-0000-0000E46E0000}"/>
    <cellStyle name="Normal 3 2 2 2 2 2 2 2 3" xfId="23370" xr:uid="{00000000-0005-0000-0000-0000E56E0000}"/>
    <cellStyle name="Normal 3 2 2 2 2 2 2 2 4" xfId="23371" xr:uid="{00000000-0005-0000-0000-0000E66E0000}"/>
    <cellStyle name="Normal 3 2 2 2 2 2 2 2 5" xfId="39549" xr:uid="{00000000-0005-0000-0000-0000E76E0000}"/>
    <cellStyle name="Normal 3 2 2 2 2 2 2 3" xfId="23372" xr:uid="{00000000-0005-0000-0000-0000E86E0000}"/>
    <cellStyle name="Normal 3 2 2 2 2 2 2 3 2" xfId="23373" xr:uid="{00000000-0005-0000-0000-0000E96E0000}"/>
    <cellStyle name="Normal 3 2 2 2 2 2 2 4" xfId="23374" xr:uid="{00000000-0005-0000-0000-0000EA6E0000}"/>
    <cellStyle name="Normal 3 2 2 2 2 2 2 5" xfId="23375" xr:uid="{00000000-0005-0000-0000-0000EB6E0000}"/>
    <cellStyle name="Normal 3 2 2 2 2 2 2 6" xfId="39548" xr:uid="{00000000-0005-0000-0000-0000EC6E0000}"/>
    <cellStyle name="Normal 3 2 2 2 2 2 3" xfId="23376" xr:uid="{00000000-0005-0000-0000-0000ED6E0000}"/>
    <cellStyle name="Normal 3 2 2 2 2 2 3 2" xfId="23377" xr:uid="{00000000-0005-0000-0000-0000EE6E0000}"/>
    <cellStyle name="Normal 3 2 2 2 2 2 3 2 2" xfId="23378" xr:uid="{00000000-0005-0000-0000-0000EF6E0000}"/>
    <cellStyle name="Normal 3 2 2 2 2 2 3 2 2 2" xfId="23379" xr:uid="{00000000-0005-0000-0000-0000F06E0000}"/>
    <cellStyle name="Normal 3 2 2 2 2 2 3 2 3" xfId="23380" xr:uid="{00000000-0005-0000-0000-0000F16E0000}"/>
    <cellStyle name="Normal 3 2 2 2 2 2 3 2 4" xfId="23381" xr:uid="{00000000-0005-0000-0000-0000F26E0000}"/>
    <cellStyle name="Normal 3 2 2 2 2 2 3 2 5" xfId="39551" xr:uid="{00000000-0005-0000-0000-0000F36E0000}"/>
    <cellStyle name="Normal 3 2 2 2 2 2 3 3" xfId="23382" xr:uid="{00000000-0005-0000-0000-0000F46E0000}"/>
    <cellStyle name="Normal 3 2 2 2 2 2 3 3 2" xfId="23383" xr:uid="{00000000-0005-0000-0000-0000F56E0000}"/>
    <cellStyle name="Normal 3 2 2 2 2 2 3 4" xfId="23384" xr:uid="{00000000-0005-0000-0000-0000F66E0000}"/>
    <cellStyle name="Normal 3 2 2 2 2 2 3 5" xfId="23385" xr:uid="{00000000-0005-0000-0000-0000F76E0000}"/>
    <cellStyle name="Normal 3 2 2 2 2 2 3 6" xfId="39550" xr:uid="{00000000-0005-0000-0000-0000F86E0000}"/>
    <cellStyle name="Normal 3 2 2 2 2 2 4" xfId="23386" xr:uid="{00000000-0005-0000-0000-0000F96E0000}"/>
    <cellStyle name="Normal 3 2 2 2 2 2 4 2" xfId="23387" xr:uid="{00000000-0005-0000-0000-0000FA6E0000}"/>
    <cellStyle name="Normal 3 2 2 2 2 2 4 2 2" xfId="23388" xr:uid="{00000000-0005-0000-0000-0000FB6E0000}"/>
    <cellStyle name="Normal 3 2 2 2 2 2 4 3" xfId="23389" xr:uid="{00000000-0005-0000-0000-0000FC6E0000}"/>
    <cellStyle name="Normal 3 2 2 2 2 2 4 4" xfId="23390" xr:uid="{00000000-0005-0000-0000-0000FD6E0000}"/>
    <cellStyle name="Normal 3 2 2 2 2 2 4 5" xfId="39552" xr:uid="{00000000-0005-0000-0000-0000FE6E0000}"/>
    <cellStyle name="Normal 3 2 2 2 2 2 5" xfId="23391" xr:uid="{00000000-0005-0000-0000-0000FF6E0000}"/>
    <cellStyle name="Normal 3 2 2 2 2 2 5 2" xfId="23392" xr:uid="{00000000-0005-0000-0000-0000006F0000}"/>
    <cellStyle name="Normal 3 2 2 2 2 2 5 2 2" xfId="23393" xr:uid="{00000000-0005-0000-0000-0000016F0000}"/>
    <cellStyle name="Normal 3 2 2 2 2 2 5 3" xfId="23394" xr:uid="{00000000-0005-0000-0000-0000026F0000}"/>
    <cellStyle name="Normal 3 2 2 2 2 2 5 4" xfId="23395" xr:uid="{00000000-0005-0000-0000-0000036F0000}"/>
    <cellStyle name="Normal 3 2 2 2 2 2 6" xfId="23396" xr:uid="{00000000-0005-0000-0000-0000046F0000}"/>
    <cellStyle name="Normal 3 2 2 2 2 2 6 2" xfId="23397" xr:uid="{00000000-0005-0000-0000-0000056F0000}"/>
    <cellStyle name="Normal 3 2 2 2 2 2 6 2 2" xfId="23398" xr:uid="{00000000-0005-0000-0000-0000066F0000}"/>
    <cellStyle name="Normal 3 2 2 2 2 2 6 3" xfId="23399" xr:uid="{00000000-0005-0000-0000-0000076F0000}"/>
    <cellStyle name="Normal 3 2 2 2 2 2 6 4" xfId="23400" xr:uid="{00000000-0005-0000-0000-0000086F0000}"/>
    <cellStyle name="Normal 3 2 2 2 2 2 7" xfId="23401" xr:uid="{00000000-0005-0000-0000-0000096F0000}"/>
    <cellStyle name="Normal 3 2 2 2 2 2 7 2" xfId="23402" xr:uid="{00000000-0005-0000-0000-00000A6F0000}"/>
    <cellStyle name="Normal 3 2 2 2 2 2 8" xfId="23403" xr:uid="{00000000-0005-0000-0000-00000B6F0000}"/>
    <cellStyle name="Normal 3 2 2 2 2 2 9" xfId="23404" xr:uid="{00000000-0005-0000-0000-00000C6F0000}"/>
    <cellStyle name="Normal 3 2 2 2 2 3" xfId="23405" xr:uid="{00000000-0005-0000-0000-00000D6F0000}"/>
    <cellStyle name="Normal 3 2 2 2 2 3 2" xfId="23406" xr:uid="{00000000-0005-0000-0000-00000E6F0000}"/>
    <cellStyle name="Normal 3 2 2 2 2 3 2 2" xfId="23407" xr:uid="{00000000-0005-0000-0000-00000F6F0000}"/>
    <cellStyle name="Normal 3 2 2 2 2 3 2 2 2" xfId="23408" xr:uid="{00000000-0005-0000-0000-0000106F0000}"/>
    <cellStyle name="Normal 3 2 2 2 2 3 2 3" xfId="23409" xr:uid="{00000000-0005-0000-0000-0000116F0000}"/>
    <cellStyle name="Normal 3 2 2 2 2 3 2 4" xfId="23410" xr:uid="{00000000-0005-0000-0000-0000126F0000}"/>
    <cellStyle name="Normal 3 2 2 2 2 3 2 5" xfId="39554" xr:uid="{00000000-0005-0000-0000-0000136F0000}"/>
    <cellStyle name="Normal 3 2 2 2 2 3 3" xfId="23411" xr:uid="{00000000-0005-0000-0000-0000146F0000}"/>
    <cellStyle name="Normal 3 2 2 2 2 3 3 2" xfId="23412" xr:uid="{00000000-0005-0000-0000-0000156F0000}"/>
    <cellStyle name="Normal 3 2 2 2 2 3 4" xfId="23413" xr:uid="{00000000-0005-0000-0000-0000166F0000}"/>
    <cellStyle name="Normal 3 2 2 2 2 3 5" xfId="23414" xr:uid="{00000000-0005-0000-0000-0000176F0000}"/>
    <cellStyle name="Normal 3 2 2 2 2 3 6" xfId="39553" xr:uid="{00000000-0005-0000-0000-0000186F0000}"/>
    <cellStyle name="Normal 3 2 2 2 2 4" xfId="23415" xr:uid="{00000000-0005-0000-0000-0000196F0000}"/>
    <cellStyle name="Normal 3 2 2 2 2 4 2" xfId="23416" xr:uid="{00000000-0005-0000-0000-00001A6F0000}"/>
    <cellStyle name="Normal 3 2 2 2 2 4 2 2" xfId="23417" xr:uid="{00000000-0005-0000-0000-00001B6F0000}"/>
    <cellStyle name="Normal 3 2 2 2 2 4 2 2 2" xfId="23418" xr:uid="{00000000-0005-0000-0000-00001C6F0000}"/>
    <cellStyle name="Normal 3 2 2 2 2 4 2 3" xfId="23419" xr:uid="{00000000-0005-0000-0000-00001D6F0000}"/>
    <cellStyle name="Normal 3 2 2 2 2 4 2 4" xfId="23420" xr:uid="{00000000-0005-0000-0000-00001E6F0000}"/>
    <cellStyle name="Normal 3 2 2 2 2 4 2 5" xfId="39556" xr:uid="{00000000-0005-0000-0000-00001F6F0000}"/>
    <cellStyle name="Normal 3 2 2 2 2 4 3" xfId="23421" xr:uid="{00000000-0005-0000-0000-0000206F0000}"/>
    <cellStyle name="Normal 3 2 2 2 2 4 3 2" xfId="23422" xr:uid="{00000000-0005-0000-0000-0000216F0000}"/>
    <cellStyle name="Normal 3 2 2 2 2 4 4" xfId="23423" xr:uid="{00000000-0005-0000-0000-0000226F0000}"/>
    <cellStyle name="Normal 3 2 2 2 2 4 5" xfId="23424" xr:uid="{00000000-0005-0000-0000-0000236F0000}"/>
    <cellStyle name="Normal 3 2 2 2 2 4 6" xfId="39555" xr:uid="{00000000-0005-0000-0000-0000246F0000}"/>
    <cellStyle name="Normal 3 2 2 2 2 5" xfId="23425" xr:uid="{00000000-0005-0000-0000-0000256F0000}"/>
    <cellStyle name="Normal 3 2 2 2 2 5 2" xfId="23426" xr:uid="{00000000-0005-0000-0000-0000266F0000}"/>
    <cellStyle name="Normal 3 2 2 2 2 5 2 2" xfId="23427" xr:uid="{00000000-0005-0000-0000-0000276F0000}"/>
    <cellStyle name="Normal 3 2 2 2 2 5 3" xfId="23428" xr:uid="{00000000-0005-0000-0000-0000286F0000}"/>
    <cellStyle name="Normal 3 2 2 2 2 5 4" xfId="23429" xr:uid="{00000000-0005-0000-0000-0000296F0000}"/>
    <cellStyle name="Normal 3 2 2 2 2 5 5" xfId="39557" xr:uid="{00000000-0005-0000-0000-00002A6F0000}"/>
    <cellStyle name="Normal 3 2 2 2 2 6" xfId="23430" xr:uid="{00000000-0005-0000-0000-00002B6F0000}"/>
    <cellStyle name="Normal 3 2 2 2 2 6 2" xfId="23431" xr:uid="{00000000-0005-0000-0000-00002C6F0000}"/>
    <cellStyle name="Normal 3 2 2 2 2 6 2 2" xfId="23432" xr:uid="{00000000-0005-0000-0000-00002D6F0000}"/>
    <cellStyle name="Normal 3 2 2 2 2 6 3" xfId="23433" xr:uid="{00000000-0005-0000-0000-00002E6F0000}"/>
    <cellStyle name="Normal 3 2 2 2 2 6 4" xfId="23434" xr:uid="{00000000-0005-0000-0000-00002F6F0000}"/>
    <cellStyle name="Normal 3 2 2 2 2 7" xfId="23435" xr:uid="{00000000-0005-0000-0000-0000306F0000}"/>
    <cellStyle name="Normal 3 2 2 2 2 7 2" xfId="23436" xr:uid="{00000000-0005-0000-0000-0000316F0000}"/>
    <cellStyle name="Normal 3 2 2 2 2 7 2 2" xfId="23437" xr:uid="{00000000-0005-0000-0000-0000326F0000}"/>
    <cellStyle name="Normal 3 2 2 2 2 7 3" xfId="23438" xr:uid="{00000000-0005-0000-0000-0000336F0000}"/>
    <cellStyle name="Normal 3 2 2 2 2 7 4" xfId="23439" xr:uid="{00000000-0005-0000-0000-0000346F0000}"/>
    <cellStyle name="Normal 3 2 2 2 2 8" xfId="23440" xr:uid="{00000000-0005-0000-0000-0000356F0000}"/>
    <cellStyle name="Normal 3 2 2 2 2 8 2" xfId="23441" xr:uid="{00000000-0005-0000-0000-0000366F0000}"/>
    <cellStyle name="Normal 3 2 2 2 2 9" xfId="23442" xr:uid="{00000000-0005-0000-0000-0000376F0000}"/>
    <cellStyle name="Normal 3 2 2 2 3" xfId="23443" xr:uid="{00000000-0005-0000-0000-0000386F0000}"/>
    <cellStyle name="Normal 3 2 2 2 3 10" xfId="35358" xr:uid="{00000000-0005-0000-0000-0000396F0000}"/>
    <cellStyle name="Normal 3 2 2 2 3 2" xfId="23444" xr:uid="{00000000-0005-0000-0000-00003A6F0000}"/>
    <cellStyle name="Normal 3 2 2 2 3 2 2" xfId="23445" xr:uid="{00000000-0005-0000-0000-00003B6F0000}"/>
    <cellStyle name="Normal 3 2 2 2 3 2 2 2" xfId="23446" xr:uid="{00000000-0005-0000-0000-00003C6F0000}"/>
    <cellStyle name="Normal 3 2 2 2 3 2 2 2 2" xfId="23447" xr:uid="{00000000-0005-0000-0000-00003D6F0000}"/>
    <cellStyle name="Normal 3 2 2 2 3 2 2 3" xfId="23448" xr:uid="{00000000-0005-0000-0000-00003E6F0000}"/>
    <cellStyle name="Normal 3 2 2 2 3 2 2 4" xfId="23449" xr:uid="{00000000-0005-0000-0000-00003F6F0000}"/>
    <cellStyle name="Normal 3 2 2 2 3 2 2 5" xfId="39559" xr:uid="{00000000-0005-0000-0000-0000406F0000}"/>
    <cellStyle name="Normal 3 2 2 2 3 2 3" xfId="23450" xr:uid="{00000000-0005-0000-0000-0000416F0000}"/>
    <cellStyle name="Normal 3 2 2 2 3 2 3 2" xfId="23451" xr:uid="{00000000-0005-0000-0000-0000426F0000}"/>
    <cellStyle name="Normal 3 2 2 2 3 2 4" xfId="23452" xr:uid="{00000000-0005-0000-0000-0000436F0000}"/>
    <cellStyle name="Normal 3 2 2 2 3 2 5" xfId="23453" xr:uid="{00000000-0005-0000-0000-0000446F0000}"/>
    <cellStyle name="Normal 3 2 2 2 3 2 6" xfId="39558" xr:uid="{00000000-0005-0000-0000-0000456F0000}"/>
    <cellStyle name="Normal 3 2 2 2 3 3" xfId="23454" xr:uid="{00000000-0005-0000-0000-0000466F0000}"/>
    <cellStyle name="Normal 3 2 2 2 3 3 2" xfId="23455" xr:uid="{00000000-0005-0000-0000-0000476F0000}"/>
    <cellStyle name="Normal 3 2 2 2 3 3 2 2" xfId="23456" xr:uid="{00000000-0005-0000-0000-0000486F0000}"/>
    <cellStyle name="Normal 3 2 2 2 3 3 2 2 2" xfId="23457" xr:uid="{00000000-0005-0000-0000-0000496F0000}"/>
    <cellStyle name="Normal 3 2 2 2 3 3 2 3" xfId="23458" xr:uid="{00000000-0005-0000-0000-00004A6F0000}"/>
    <cellStyle name="Normal 3 2 2 2 3 3 2 4" xfId="23459" xr:uid="{00000000-0005-0000-0000-00004B6F0000}"/>
    <cellStyle name="Normal 3 2 2 2 3 3 2 5" xfId="39561" xr:uid="{00000000-0005-0000-0000-00004C6F0000}"/>
    <cellStyle name="Normal 3 2 2 2 3 3 3" xfId="23460" xr:uid="{00000000-0005-0000-0000-00004D6F0000}"/>
    <cellStyle name="Normal 3 2 2 2 3 3 3 2" xfId="23461" xr:uid="{00000000-0005-0000-0000-00004E6F0000}"/>
    <cellStyle name="Normal 3 2 2 2 3 3 4" xfId="23462" xr:uid="{00000000-0005-0000-0000-00004F6F0000}"/>
    <cellStyle name="Normal 3 2 2 2 3 3 5" xfId="23463" xr:uid="{00000000-0005-0000-0000-0000506F0000}"/>
    <cellStyle name="Normal 3 2 2 2 3 3 6" xfId="39560" xr:uid="{00000000-0005-0000-0000-0000516F0000}"/>
    <cellStyle name="Normal 3 2 2 2 3 4" xfId="23464" xr:uid="{00000000-0005-0000-0000-0000526F0000}"/>
    <cellStyle name="Normal 3 2 2 2 3 4 2" xfId="23465" xr:uid="{00000000-0005-0000-0000-0000536F0000}"/>
    <cellStyle name="Normal 3 2 2 2 3 4 2 2" xfId="23466" xr:uid="{00000000-0005-0000-0000-0000546F0000}"/>
    <cellStyle name="Normal 3 2 2 2 3 4 3" xfId="23467" xr:uid="{00000000-0005-0000-0000-0000556F0000}"/>
    <cellStyle name="Normal 3 2 2 2 3 4 4" xfId="23468" xr:uid="{00000000-0005-0000-0000-0000566F0000}"/>
    <cellStyle name="Normal 3 2 2 2 3 4 5" xfId="39562" xr:uid="{00000000-0005-0000-0000-0000576F0000}"/>
    <cellStyle name="Normal 3 2 2 2 3 5" xfId="23469" xr:uid="{00000000-0005-0000-0000-0000586F0000}"/>
    <cellStyle name="Normal 3 2 2 2 3 5 2" xfId="23470" xr:uid="{00000000-0005-0000-0000-0000596F0000}"/>
    <cellStyle name="Normal 3 2 2 2 3 5 2 2" xfId="23471" xr:uid="{00000000-0005-0000-0000-00005A6F0000}"/>
    <cellStyle name="Normal 3 2 2 2 3 5 3" xfId="23472" xr:uid="{00000000-0005-0000-0000-00005B6F0000}"/>
    <cellStyle name="Normal 3 2 2 2 3 5 4" xfId="23473" xr:uid="{00000000-0005-0000-0000-00005C6F0000}"/>
    <cellStyle name="Normal 3 2 2 2 3 6" xfId="23474" xr:uid="{00000000-0005-0000-0000-00005D6F0000}"/>
    <cellStyle name="Normal 3 2 2 2 3 6 2" xfId="23475" xr:uid="{00000000-0005-0000-0000-00005E6F0000}"/>
    <cellStyle name="Normal 3 2 2 2 3 6 2 2" xfId="23476" xr:uid="{00000000-0005-0000-0000-00005F6F0000}"/>
    <cellStyle name="Normal 3 2 2 2 3 6 3" xfId="23477" xr:uid="{00000000-0005-0000-0000-0000606F0000}"/>
    <cellStyle name="Normal 3 2 2 2 3 6 4" xfId="23478" xr:uid="{00000000-0005-0000-0000-0000616F0000}"/>
    <cellStyle name="Normal 3 2 2 2 3 7" xfId="23479" xr:uid="{00000000-0005-0000-0000-0000626F0000}"/>
    <cellStyle name="Normal 3 2 2 2 3 7 2" xfId="23480" xr:uid="{00000000-0005-0000-0000-0000636F0000}"/>
    <cellStyle name="Normal 3 2 2 2 3 8" xfId="23481" xr:uid="{00000000-0005-0000-0000-0000646F0000}"/>
    <cellStyle name="Normal 3 2 2 2 3 9" xfId="23482" xr:uid="{00000000-0005-0000-0000-0000656F0000}"/>
    <cellStyle name="Normal 3 2 2 2 4" xfId="23483" xr:uid="{00000000-0005-0000-0000-0000666F0000}"/>
    <cellStyle name="Normal 3 2 2 2 4 2" xfId="23484" xr:uid="{00000000-0005-0000-0000-0000676F0000}"/>
    <cellStyle name="Normal 3 2 2 2 4 2 2" xfId="23485" xr:uid="{00000000-0005-0000-0000-0000686F0000}"/>
    <cellStyle name="Normal 3 2 2 2 4 2 2 2" xfId="23486" xr:uid="{00000000-0005-0000-0000-0000696F0000}"/>
    <cellStyle name="Normal 3 2 2 2 4 2 3" xfId="23487" xr:uid="{00000000-0005-0000-0000-00006A6F0000}"/>
    <cellStyle name="Normal 3 2 2 2 4 2 4" xfId="23488" xr:uid="{00000000-0005-0000-0000-00006B6F0000}"/>
    <cellStyle name="Normal 3 2 2 2 4 2 5" xfId="39564" xr:uid="{00000000-0005-0000-0000-00006C6F0000}"/>
    <cellStyle name="Normal 3 2 2 2 4 3" xfId="23489" xr:uid="{00000000-0005-0000-0000-00006D6F0000}"/>
    <cellStyle name="Normal 3 2 2 2 4 3 2" xfId="23490" xr:uid="{00000000-0005-0000-0000-00006E6F0000}"/>
    <cellStyle name="Normal 3 2 2 2 4 4" xfId="23491" xr:uid="{00000000-0005-0000-0000-00006F6F0000}"/>
    <cellStyle name="Normal 3 2 2 2 4 5" xfId="23492" xr:uid="{00000000-0005-0000-0000-0000706F0000}"/>
    <cellStyle name="Normal 3 2 2 2 4 6" xfId="39563" xr:uid="{00000000-0005-0000-0000-0000716F0000}"/>
    <cellStyle name="Normal 3 2 2 2 5" xfId="23493" xr:uid="{00000000-0005-0000-0000-0000726F0000}"/>
    <cellStyle name="Normal 3 2 2 2 5 2" xfId="23494" xr:uid="{00000000-0005-0000-0000-0000736F0000}"/>
    <cellStyle name="Normal 3 2 2 2 5 2 2" xfId="23495" xr:uid="{00000000-0005-0000-0000-0000746F0000}"/>
    <cellStyle name="Normal 3 2 2 2 5 2 2 2" xfId="23496" xr:uid="{00000000-0005-0000-0000-0000756F0000}"/>
    <cellStyle name="Normal 3 2 2 2 5 2 3" xfId="23497" xr:uid="{00000000-0005-0000-0000-0000766F0000}"/>
    <cellStyle name="Normal 3 2 2 2 5 2 4" xfId="23498" xr:uid="{00000000-0005-0000-0000-0000776F0000}"/>
    <cellStyle name="Normal 3 2 2 2 5 2 5" xfId="39566" xr:uid="{00000000-0005-0000-0000-0000786F0000}"/>
    <cellStyle name="Normal 3 2 2 2 5 3" xfId="23499" xr:uid="{00000000-0005-0000-0000-0000796F0000}"/>
    <cellStyle name="Normal 3 2 2 2 5 3 2" xfId="23500" xr:uid="{00000000-0005-0000-0000-00007A6F0000}"/>
    <cellStyle name="Normal 3 2 2 2 5 4" xfId="23501" xr:uid="{00000000-0005-0000-0000-00007B6F0000}"/>
    <cellStyle name="Normal 3 2 2 2 5 5" xfId="23502" xr:uid="{00000000-0005-0000-0000-00007C6F0000}"/>
    <cellStyle name="Normal 3 2 2 2 5 6" xfId="39565" xr:uid="{00000000-0005-0000-0000-00007D6F0000}"/>
    <cellStyle name="Normal 3 2 2 2 6" xfId="23503" xr:uid="{00000000-0005-0000-0000-00007E6F0000}"/>
    <cellStyle name="Normal 3 2 2 2 6 2" xfId="23504" xr:uid="{00000000-0005-0000-0000-00007F6F0000}"/>
    <cellStyle name="Normal 3 2 2 2 6 2 2" xfId="23505" xr:uid="{00000000-0005-0000-0000-0000806F0000}"/>
    <cellStyle name="Normal 3 2 2 2 6 3" xfId="23506" xr:uid="{00000000-0005-0000-0000-0000816F0000}"/>
    <cellStyle name="Normal 3 2 2 2 6 4" xfId="23507" xr:uid="{00000000-0005-0000-0000-0000826F0000}"/>
    <cellStyle name="Normal 3 2 2 2 6 5" xfId="39567" xr:uid="{00000000-0005-0000-0000-0000836F0000}"/>
    <cellStyle name="Normal 3 2 2 2 7" xfId="23508" xr:uid="{00000000-0005-0000-0000-0000846F0000}"/>
    <cellStyle name="Normal 3 2 2 2 7 2" xfId="23509" xr:uid="{00000000-0005-0000-0000-0000856F0000}"/>
    <cellStyle name="Normal 3 2 2 2 7 2 2" xfId="23510" xr:uid="{00000000-0005-0000-0000-0000866F0000}"/>
    <cellStyle name="Normal 3 2 2 2 7 3" xfId="23511" xr:uid="{00000000-0005-0000-0000-0000876F0000}"/>
    <cellStyle name="Normal 3 2 2 2 7 4" xfId="23512" xr:uid="{00000000-0005-0000-0000-0000886F0000}"/>
    <cellStyle name="Normal 3 2 2 2 8" xfId="23513" xr:uid="{00000000-0005-0000-0000-0000896F0000}"/>
    <cellStyle name="Normal 3 2 2 2 8 2" xfId="23514" xr:uid="{00000000-0005-0000-0000-00008A6F0000}"/>
    <cellStyle name="Normal 3 2 2 2 8 2 2" xfId="23515" xr:uid="{00000000-0005-0000-0000-00008B6F0000}"/>
    <cellStyle name="Normal 3 2 2 2 8 3" xfId="23516" xr:uid="{00000000-0005-0000-0000-00008C6F0000}"/>
    <cellStyle name="Normal 3 2 2 2 8 4" xfId="23517" xr:uid="{00000000-0005-0000-0000-00008D6F0000}"/>
    <cellStyle name="Normal 3 2 2 2 9" xfId="23518" xr:uid="{00000000-0005-0000-0000-00008E6F0000}"/>
    <cellStyle name="Normal 3 2 2 2 9 2" xfId="23519" xr:uid="{00000000-0005-0000-0000-00008F6F0000}"/>
    <cellStyle name="Normal 3 2 2 3" xfId="23520" xr:uid="{00000000-0005-0000-0000-0000906F0000}"/>
    <cellStyle name="Normal 3 2 2 3 10" xfId="23521" xr:uid="{00000000-0005-0000-0000-0000916F0000}"/>
    <cellStyle name="Normal 3 2 2 3 11" xfId="35359" xr:uid="{00000000-0005-0000-0000-0000926F0000}"/>
    <cellStyle name="Normal 3 2 2 3 2" xfId="23522" xr:uid="{00000000-0005-0000-0000-0000936F0000}"/>
    <cellStyle name="Normal 3 2 2 3 2 10" xfId="35360" xr:uid="{00000000-0005-0000-0000-0000946F0000}"/>
    <cellStyle name="Normal 3 2 2 3 2 2" xfId="23523" xr:uid="{00000000-0005-0000-0000-0000956F0000}"/>
    <cellStyle name="Normal 3 2 2 3 2 2 2" xfId="23524" xr:uid="{00000000-0005-0000-0000-0000966F0000}"/>
    <cellStyle name="Normal 3 2 2 3 2 2 2 2" xfId="23525" xr:uid="{00000000-0005-0000-0000-0000976F0000}"/>
    <cellStyle name="Normal 3 2 2 3 2 2 2 2 2" xfId="23526" xr:uid="{00000000-0005-0000-0000-0000986F0000}"/>
    <cellStyle name="Normal 3 2 2 3 2 2 2 3" xfId="23527" xr:uid="{00000000-0005-0000-0000-0000996F0000}"/>
    <cellStyle name="Normal 3 2 2 3 2 2 2 4" xfId="23528" xr:uid="{00000000-0005-0000-0000-00009A6F0000}"/>
    <cellStyle name="Normal 3 2 2 3 2 2 2 5" xfId="39569" xr:uid="{00000000-0005-0000-0000-00009B6F0000}"/>
    <cellStyle name="Normal 3 2 2 3 2 2 3" xfId="23529" xr:uid="{00000000-0005-0000-0000-00009C6F0000}"/>
    <cellStyle name="Normal 3 2 2 3 2 2 3 2" xfId="23530" xr:uid="{00000000-0005-0000-0000-00009D6F0000}"/>
    <cellStyle name="Normal 3 2 2 3 2 2 4" xfId="23531" xr:uid="{00000000-0005-0000-0000-00009E6F0000}"/>
    <cellStyle name="Normal 3 2 2 3 2 2 5" xfId="23532" xr:uid="{00000000-0005-0000-0000-00009F6F0000}"/>
    <cellStyle name="Normal 3 2 2 3 2 2 6" xfId="39568" xr:uid="{00000000-0005-0000-0000-0000A06F0000}"/>
    <cellStyle name="Normal 3 2 2 3 2 3" xfId="23533" xr:uid="{00000000-0005-0000-0000-0000A16F0000}"/>
    <cellStyle name="Normal 3 2 2 3 2 3 2" xfId="23534" xr:uid="{00000000-0005-0000-0000-0000A26F0000}"/>
    <cellStyle name="Normal 3 2 2 3 2 3 2 2" xfId="23535" xr:uid="{00000000-0005-0000-0000-0000A36F0000}"/>
    <cellStyle name="Normal 3 2 2 3 2 3 2 2 2" xfId="23536" xr:uid="{00000000-0005-0000-0000-0000A46F0000}"/>
    <cellStyle name="Normal 3 2 2 3 2 3 2 3" xfId="23537" xr:uid="{00000000-0005-0000-0000-0000A56F0000}"/>
    <cellStyle name="Normal 3 2 2 3 2 3 2 4" xfId="23538" xr:uid="{00000000-0005-0000-0000-0000A66F0000}"/>
    <cellStyle name="Normal 3 2 2 3 2 3 2 5" xfId="39571" xr:uid="{00000000-0005-0000-0000-0000A76F0000}"/>
    <cellStyle name="Normal 3 2 2 3 2 3 3" xfId="23539" xr:uid="{00000000-0005-0000-0000-0000A86F0000}"/>
    <cellStyle name="Normal 3 2 2 3 2 3 3 2" xfId="23540" xr:uid="{00000000-0005-0000-0000-0000A96F0000}"/>
    <cellStyle name="Normal 3 2 2 3 2 3 4" xfId="23541" xr:uid="{00000000-0005-0000-0000-0000AA6F0000}"/>
    <cellStyle name="Normal 3 2 2 3 2 3 5" xfId="23542" xr:uid="{00000000-0005-0000-0000-0000AB6F0000}"/>
    <cellStyle name="Normal 3 2 2 3 2 3 6" xfId="39570" xr:uid="{00000000-0005-0000-0000-0000AC6F0000}"/>
    <cellStyle name="Normal 3 2 2 3 2 4" xfId="23543" xr:uid="{00000000-0005-0000-0000-0000AD6F0000}"/>
    <cellStyle name="Normal 3 2 2 3 2 4 2" xfId="23544" xr:uid="{00000000-0005-0000-0000-0000AE6F0000}"/>
    <cellStyle name="Normal 3 2 2 3 2 4 2 2" xfId="23545" xr:uid="{00000000-0005-0000-0000-0000AF6F0000}"/>
    <cellStyle name="Normal 3 2 2 3 2 4 3" xfId="23546" xr:uid="{00000000-0005-0000-0000-0000B06F0000}"/>
    <cellStyle name="Normal 3 2 2 3 2 4 4" xfId="23547" xr:uid="{00000000-0005-0000-0000-0000B16F0000}"/>
    <cellStyle name="Normal 3 2 2 3 2 4 5" xfId="39572" xr:uid="{00000000-0005-0000-0000-0000B26F0000}"/>
    <cellStyle name="Normal 3 2 2 3 2 5" xfId="23548" xr:uid="{00000000-0005-0000-0000-0000B36F0000}"/>
    <cellStyle name="Normal 3 2 2 3 2 5 2" xfId="23549" xr:uid="{00000000-0005-0000-0000-0000B46F0000}"/>
    <cellStyle name="Normal 3 2 2 3 2 5 2 2" xfId="23550" xr:uid="{00000000-0005-0000-0000-0000B56F0000}"/>
    <cellStyle name="Normal 3 2 2 3 2 5 3" xfId="23551" xr:uid="{00000000-0005-0000-0000-0000B66F0000}"/>
    <cellStyle name="Normal 3 2 2 3 2 5 4" xfId="23552" xr:uid="{00000000-0005-0000-0000-0000B76F0000}"/>
    <cellStyle name="Normal 3 2 2 3 2 6" xfId="23553" xr:uid="{00000000-0005-0000-0000-0000B86F0000}"/>
    <cellStyle name="Normal 3 2 2 3 2 6 2" xfId="23554" xr:uid="{00000000-0005-0000-0000-0000B96F0000}"/>
    <cellStyle name="Normal 3 2 2 3 2 6 2 2" xfId="23555" xr:uid="{00000000-0005-0000-0000-0000BA6F0000}"/>
    <cellStyle name="Normal 3 2 2 3 2 6 3" xfId="23556" xr:uid="{00000000-0005-0000-0000-0000BB6F0000}"/>
    <cellStyle name="Normal 3 2 2 3 2 6 4" xfId="23557" xr:uid="{00000000-0005-0000-0000-0000BC6F0000}"/>
    <cellStyle name="Normal 3 2 2 3 2 7" xfId="23558" xr:uid="{00000000-0005-0000-0000-0000BD6F0000}"/>
    <cellStyle name="Normal 3 2 2 3 2 7 2" xfId="23559" xr:uid="{00000000-0005-0000-0000-0000BE6F0000}"/>
    <cellStyle name="Normal 3 2 2 3 2 8" xfId="23560" xr:uid="{00000000-0005-0000-0000-0000BF6F0000}"/>
    <cellStyle name="Normal 3 2 2 3 2 9" xfId="23561" xr:uid="{00000000-0005-0000-0000-0000C06F0000}"/>
    <cellStyle name="Normal 3 2 2 3 3" xfId="23562" xr:uid="{00000000-0005-0000-0000-0000C16F0000}"/>
    <cellStyle name="Normal 3 2 2 3 3 2" xfId="23563" xr:uid="{00000000-0005-0000-0000-0000C26F0000}"/>
    <cellStyle name="Normal 3 2 2 3 3 2 2" xfId="23564" xr:uid="{00000000-0005-0000-0000-0000C36F0000}"/>
    <cellStyle name="Normal 3 2 2 3 3 2 2 2" xfId="23565" xr:uid="{00000000-0005-0000-0000-0000C46F0000}"/>
    <cellStyle name="Normal 3 2 2 3 3 2 3" xfId="23566" xr:uid="{00000000-0005-0000-0000-0000C56F0000}"/>
    <cellStyle name="Normal 3 2 2 3 3 2 4" xfId="23567" xr:uid="{00000000-0005-0000-0000-0000C66F0000}"/>
    <cellStyle name="Normal 3 2 2 3 3 2 5" xfId="39574" xr:uid="{00000000-0005-0000-0000-0000C76F0000}"/>
    <cellStyle name="Normal 3 2 2 3 3 3" xfId="23568" xr:uid="{00000000-0005-0000-0000-0000C86F0000}"/>
    <cellStyle name="Normal 3 2 2 3 3 3 2" xfId="23569" xr:uid="{00000000-0005-0000-0000-0000C96F0000}"/>
    <cellStyle name="Normal 3 2 2 3 3 4" xfId="23570" xr:uid="{00000000-0005-0000-0000-0000CA6F0000}"/>
    <cellStyle name="Normal 3 2 2 3 3 5" xfId="23571" xr:uid="{00000000-0005-0000-0000-0000CB6F0000}"/>
    <cellStyle name="Normal 3 2 2 3 3 6" xfId="39573" xr:uid="{00000000-0005-0000-0000-0000CC6F0000}"/>
    <cellStyle name="Normal 3 2 2 3 4" xfId="23572" xr:uid="{00000000-0005-0000-0000-0000CD6F0000}"/>
    <cellStyle name="Normal 3 2 2 3 4 2" xfId="23573" xr:uid="{00000000-0005-0000-0000-0000CE6F0000}"/>
    <cellStyle name="Normal 3 2 2 3 4 2 2" xfId="23574" xr:uid="{00000000-0005-0000-0000-0000CF6F0000}"/>
    <cellStyle name="Normal 3 2 2 3 4 2 2 2" xfId="23575" xr:uid="{00000000-0005-0000-0000-0000D06F0000}"/>
    <cellStyle name="Normal 3 2 2 3 4 2 3" xfId="23576" xr:uid="{00000000-0005-0000-0000-0000D16F0000}"/>
    <cellStyle name="Normal 3 2 2 3 4 2 4" xfId="23577" xr:uid="{00000000-0005-0000-0000-0000D26F0000}"/>
    <cellStyle name="Normal 3 2 2 3 4 2 5" xfId="39576" xr:uid="{00000000-0005-0000-0000-0000D36F0000}"/>
    <cellStyle name="Normal 3 2 2 3 4 3" xfId="23578" xr:uid="{00000000-0005-0000-0000-0000D46F0000}"/>
    <cellStyle name="Normal 3 2 2 3 4 3 2" xfId="23579" xr:uid="{00000000-0005-0000-0000-0000D56F0000}"/>
    <cellStyle name="Normal 3 2 2 3 4 4" xfId="23580" xr:uid="{00000000-0005-0000-0000-0000D66F0000}"/>
    <cellStyle name="Normal 3 2 2 3 4 5" xfId="23581" xr:uid="{00000000-0005-0000-0000-0000D76F0000}"/>
    <cellStyle name="Normal 3 2 2 3 4 6" xfId="39575" xr:uid="{00000000-0005-0000-0000-0000D86F0000}"/>
    <cellStyle name="Normal 3 2 2 3 5" xfId="23582" xr:uid="{00000000-0005-0000-0000-0000D96F0000}"/>
    <cellStyle name="Normal 3 2 2 3 5 2" xfId="23583" xr:uid="{00000000-0005-0000-0000-0000DA6F0000}"/>
    <cellStyle name="Normal 3 2 2 3 5 2 2" xfId="23584" xr:uid="{00000000-0005-0000-0000-0000DB6F0000}"/>
    <cellStyle name="Normal 3 2 2 3 5 3" xfId="23585" xr:uid="{00000000-0005-0000-0000-0000DC6F0000}"/>
    <cellStyle name="Normal 3 2 2 3 5 4" xfId="23586" xr:uid="{00000000-0005-0000-0000-0000DD6F0000}"/>
    <cellStyle name="Normal 3 2 2 3 5 5" xfId="39577" xr:uid="{00000000-0005-0000-0000-0000DE6F0000}"/>
    <cellStyle name="Normal 3 2 2 3 6" xfId="23587" xr:uid="{00000000-0005-0000-0000-0000DF6F0000}"/>
    <cellStyle name="Normal 3 2 2 3 6 2" xfId="23588" xr:uid="{00000000-0005-0000-0000-0000E06F0000}"/>
    <cellStyle name="Normal 3 2 2 3 6 2 2" xfId="23589" xr:uid="{00000000-0005-0000-0000-0000E16F0000}"/>
    <cellStyle name="Normal 3 2 2 3 6 3" xfId="23590" xr:uid="{00000000-0005-0000-0000-0000E26F0000}"/>
    <cellStyle name="Normal 3 2 2 3 6 4" xfId="23591" xr:uid="{00000000-0005-0000-0000-0000E36F0000}"/>
    <cellStyle name="Normal 3 2 2 3 7" xfId="23592" xr:uid="{00000000-0005-0000-0000-0000E46F0000}"/>
    <cellStyle name="Normal 3 2 2 3 7 2" xfId="23593" xr:uid="{00000000-0005-0000-0000-0000E56F0000}"/>
    <cellStyle name="Normal 3 2 2 3 7 2 2" xfId="23594" xr:uid="{00000000-0005-0000-0000-0000E66F0000}"/>
    <cellStyle name="Normal 3 2 2 3 7 3" xfId="23595" xr:uid="{00000000-0005-0000-0000-0000E76F0000}"/>
    <cellStyle name="Normal 3 2 2 3 7 4" xfId="23596" xr:uid="{00000000-0005-0000-0000-0000E86F0000}"/>
    <cellStyle name="Normal 3 2 2 3 8" xfId="23597" xr:uid="{00000000-0005-0000-0000-0000E96F0000}"/>
    <cellStyle name="Normal 3 2 2 3 8 2" xfId="23598" xr:uid="{00000000-0005-0000-0000-0000EA6F0000}"/>
    <cellStyle name="Normal 3 2 2 3 9" xfId="23599" xr:uid="{00000000-0005-0000-0000-0000EB6F0000}"/>
    <cellStyle name="Normal 3 2 2 4" xfId="23600" xr:uid="{00000000-0005-0000-0000-0000EC6F0000}"/>
    <cellStyle name="Normal 3 2 2 4 10" xfId="35361" xr:uid="{00000000-0005-0000-0000-0000ED6F0000}"/>
    <cellStyle name="Normal 3 2 2 4 2" xfId="23601" xr:uid="{00000000-0005-0000-0000-0000EE6F0000}"/>
    <cellStyle name="Normal 3 2 2 4 2 2" xfId="23602" xr:uid="{00000000-0005-0000-0000-0000EF6F0000}"/>
    <cellStyle name="Normal 3 2 2 4 2 2 2" xfId="23603" xr:uid="{00000000-0005-0000-0000-0000F06F0000}"/>
    <cellStyle name="Normal 3 2 2 4 2 2 2 2" xfId="23604" xr:uid="{00000000-0005-0000-0000-0000F16F0000}"/>
    <cellStyle name="Normal 3 2 2 4 2 2 3" xfId="23605" xr:uid="{00000000-0005-0000-0000-0000F26F0000}"/>
    <cellStyle name="Normal 3 2 2 4 2 2 4" xfId="23606" xr:uid="{00000000-0005-0000-0000-0000F36F0000}"/>
    <cellStyle name="Normal 3 2 2 4 2 2 5" xfId="39579" xr:uid="{00000000-0005-0000-0000-0000F46F0000}"/>
    <cellStyle name="Normal 3 2 2 4 2 3" xfId="23607" xr:uid="{00000000-0005-0000-0000-0000F56F0000}"/>
    <cellStyle name="Normal 3 2 2 4 2 3 2" xfId="23608" xr:uid="{00000000-0005-0000-0000-0000F66F0000}"/>
    <cellStyle name="Normal 3 2 2 4 2 4" xfId="23609" xr:uid="{00000000-0005-0000-0000-0000F76F0000}"/>
    <cellStyle name="Normal 3 2 2 4 2 5" xfId="23610" xr:uid="{00000000-0005-0000-0000-0000F86F0000}"/>
    <cellStyle name="Normal 3 2 2 4 2 6" xfId="39578" xr:uid="{00000000-0005-0000-0000-0000F96F0000}"/>
    <cellStyle name="Normal 3 2 2 4 3" xfId="23611" xr:uid="{00000000-0005-0000-0000-0000FA6F0000}"/>
    <cellStyle name="Normal 3 2 2 4 3 2" xfId="23612" xr:uid="{00000000-0005-0000-0000-0000FB6F0000}"/>
    <cellStyle name="Normal 3 2 2 4 3 2 2" xfId="23613" xr:uid="{00000000-0005-0000-0000-0000FC6F0000}"/>
    <cellStyle name="Normal 3 2 2 4 3 2 2 2" xfId="23614" xr:uid="{00000000-0005-0000-0000-0000FD6F0000}"/>
    <cellStyle name="Normal 3 2 2 4 3 2 3" xfId="23615" xr:uid="{00000000-0005-0000-0000-0000FE6F0000}"/>
    <cellStyle name="Normal 3 2 2 4 3 2 4" xfId="23616" xr:uid="{00000000-0005-0000-0000-0000FF6F0000}"/>
    <cellStyle name="Normal 3 2 2 4 3 2 5" xfId="39581" xr:uid="{00000000-0005-0000-0000-000000700000}"/>
    <cellStyle name="Normal 3 2 2 4 3 3" xfId="23617" xr:uid="{00000000-0005-0000-0000-000001700000}"/>
    <cellStyle name="Normal 3 2 2 4 3 3 2" xfId="23618" xr:uid="{00000000-0005-0000-0000-000002700000}"/>
    <cellStyle name="Normal 3 2 2 4 3 4" xfId="23619" xr:uid="{00000000-0005-0000-0000-000003700000}"/>
    <cellStyle name="Normal 3 2 2 4 3 5" xfId="23620" xr:uid="{00000000-0005-0000-0000-000004700000}"/>
    <cellStyle name="Normal 3 2 2 4 3 6" xfId="39580" xr:uid="{00000000-0005-0000-0000-000005700000}"/>
    <cellStyle name="Normal 3 2 2 4 4" xfId="23621" xr:uid="{00000000-0005-0000-0000-000006700000}"/>
    <cellStyle name="Normal 3 2 2 4 4 2" xfId="23622" xr:uid="{00000000-0005-0000-0000-000007700000}"/>
    <cellStyle name="Normal 3 2 2 4 4 2 2" xfId="23623" xr:uid="{00000000-0005-0000-0000-000008700000}"/>
    <cellStyle name="Normal 3 2 2 4 4 3" xfId="23624" xr:uid="{00000000-0005-0000-0000-000009700000}"/>
    <cellStyle name="Normal 3 2 2 4 4 4" xfId="23625" xr:uid="{00000000-0005-0000-0000-00000A700000}"/>
    <cellStyle name="Normal 3 2 2 4 4 5" xfId="39582" xr:uid="{00000000-0005-0000-0000-00000B700000}"/>
    <cellStyle name="Normal 3 2 2 4 5" xfId="23626" xr:uid="{00000000-0005-0000-0000-00000C700000}"/>
    <cellStyle name="Normal 3 2 2 4 5 2" xfId="23627" xr:uid="{00000000-0005-0000-0000-00000D700000}"/>
    <cellStyle name="Normal 3 2 2 4 5 2 2" xfId="23628" xr:uid="{00000000-0005-0000-0000-00000E700000}"/>
    <cellStyle name="Normal 3 2 2 4 5 3" xfId="23629" xr:uid="{00000000-0005-0000-0000-00000F700000}"/>
    <cellStyle name="Normal 3 2 2 4 5 4" xfId="23630" xr:uid="{00000000-0005-0000-0000-000010700000}"/>
    <cellStyle name="Normal 3 2 2 4 6" xfId="23631" xr:uid="{00000000-0005-0000-0000-000011700000}"/>
    <cellStyle name="Normal 3 2 2 4 6 2" xfId="23632" xr:uid="{00000000-0005-0000-0000-000012700000}"/>
    <cellStyle name="Normal 3 2 2 4 6 2 2" xfId="23633" xr:uid="{00000000-0005-0000-0000-000013700000}"/>
    <cellStyle name="Normal 3 2 2 4 6 3" xfId="23634" xr:uid="{00000000-0005-0000-0000-000014700000}"/>
    <cellStyle name="Normal 3 2 2 4 6 4" xfId="23635" xr:uid="{00000000-0005-0000-0000-000015700000}"/>
    <cellStyle name="Normal 3 2 2 4 7" xfId="23636" xr:uid="{00000000-0005-0000-0000-000016700000}"/>
    <cellStyle name="Normal 3 2 2 4 7 2" xfId="23637" xr:uid="{00000000-0005-0000-0000-000017700000}"/>
    <cellStyle name="Normal 3 2 2 4 8" xfId="23638" xr:uid="{00000000-0005-0000-0000-000018700000}"/>
    <cellStyle name="Normal 3 2 2 4 9" xfId="23639" xr:uid="{00000000-0005-0000-0000-000019700000}"/>
    <cellStyle name="Normal 3 2 2 5" xfId="23640" xr:uid="{00000000-0005-0000-0000-00001A700000}"/>
    <cellStyle name="Normal 3 2 2 5 2" xfId="23641" xr:uid="{00000000-0005-0000-0000-00001B700000}"/>
    <cellStyle name="Normal 3 2 2 5 2 2" xfId="23642" xr:uid="{00000000-0005-0000-0000-00001C700000}"/>
    <cellStyle name="Normal 3 2 2 5 2 2 2" xfId="23643" xr:uid="{00000000-0005-0000-0000-00001D700000}"/>
    <cellStyle name="Normal 3 2 2 5 2 3" xfId="23644" xr:uid="{00000000-0005-0000-0000-00001E700000}"/>
    <cellStyle name="Normal 3 2 2 5 2 4" xfId="23645" xr:uid="{00000000-0005-0000-0000-00001F700000}"/>
    <cellStyle name="Normal 3 2 2 5 2 5" xfId="39584" xr:uid="{00000000-0005-0000-0000-000020700000}"/>
    <cellStyle name="Normal 3 2 2 5 3" xfId="23646" xr:uid="{00000000-0005-0000-0000-000021700000}"/>
    <cellStyle name="Normal 3 2 2 5 4" xfId="23647" xr:uid="{00000000-0005-0000-0000-000022700000}"/>
    <cellStyle name="Normal 3 2 2 5 4 2" xfId="23648" xr:uid="{00000000-0005-0000-0000-000023700000}"/>
    <cellStyle name="Normal 3 2 2 5 5" xfId="23649" xr:uid="{00000000-0005-0000-0000-000024700000}"/>
    <cellStyle name="Normal 3 2 2 5 6" xfId="23650" xr:uid="{00000000-0005-0000-0000-000025700000}"/>
    <cellStyle name="Normal 3 2 2 5 7" xfId="39583" xr:uid="{00000000-0005-0000-0000-000026700000}"/>
    <cellStyle name="Normal 3 2 2 6" xfId="23651" xr:uid="{00000000-0005-0000-0000-000027700000}"/>
    <cellStyle name="Normal 3 2 2 6 2" xfId="23652" xr:uid="{00000000-0005-0000-0000-000028700000}"/>
    <cellStyle name="Normal 3 2 2 6 2 2" xfId="23653" xr:uid="{00000000-0005-0000-0000-000029700000}"/>
    <cellStyle name="Normal 3 2 2 6 2 2 2" xfId="23654" xr:uid="{00000000-0005-0000-0000-00002A700000}"/>
    <cellStyle name="Normal 3 2 2 6 2 3" xfId="23655" xr:uid="{00000000-0005-0000-0000-00002B700000}"/>
    <cellStyle name="Normal 3 2 2 6 2 4" xfId="23656" xr:uid="{00000000-0005-0000-0000-00002C700000}"/>
    <cellStyle name="Normal 3 2 2 6 2 5" xfId="39586" xr:uid="{00000000-0005-0000-0000-00002D700000}"/>
    <cellStyle name="Normal 3 2 2 6 3" xfId="23657" xr:uid="{00000000-0005-0000-0000-00002E700000}"/>
    <cellStyle name="Normal 3 2 2 6 3 2" xfId="23658" xr:uid="{00000000-0005-0000-0000-00002F700000}"/>
    <cellStyle name="Normal 3 2 2 6 4" xfId="23659" xr:uid="{00000000-0005-0000-0000-000030700000}"/>
    <cellStyle name="Normal 3 2 2 6 5" xfId="23660" xr:uid="{00000000-0005-0000-0000-000031700000}"/>
    <cellStyle name="Normal 3 2 2 6 6" xfId="39585" xr:uid="{00000000-0005-0000-0000-000032700000}"/>
    <cellStyle name="Normal 3 2 2 7" xfId="23661" xr:uid="{00000000-0005-0000-0000-000033700000}"/>
    <cellStyle name="Normal 3 2 2 7 2" xfId="23662" xr:uid="{00000000-0005-0000-0000-000034700000}"/>
    <cellStyle name="Normal 3 2 2 7 2 2" xfId="23663" xr:uid="{00000000-0005-0000-0000-000035700000}"/>
    <cellStyle name="Normal 3 2 2 7 3" xfId="23664" xr:uid="{00000000-0005-0000-0000-000036700000}"/>
    <cellStyle name="Normal 3 2 2 7 4" xfId="23665" xr:uid="{00000000-0005-0000-0000-000037700000}"/>
    <cellStyle name="Normal 3 2 2 7 5" xfId="39587" xr:uid="{00000000-0005-0000-0000-000038700000}"/>
    <cellStyle name="Normal 3 2 2 8" xfId="23666" xr:uid="{00000000-0005-0000-0000-000039700000}"/>
    <cellStyle name="Normal 3 2 2 8 2" xfId="23667" xr:uid="{00000000-0005-0000-0000-00003A700000}"/>
    <cellStyle name="Normal 3 2 2 8 2 2" xfId="23668" xr:uid="{00000000-0005-0000-0000-00003B700000}"/>
    <cellStyle name="Normal 3 2 2 8 3" xfId="23669" xr:uid="{00000000-0005-0000-0000-00003C700000}"/>
    <cellStyle name="Normal 3 2 2 8 4" xfId="23670" xr:uid="{00000000-0005-0000-0000-00003D700000}"/>
    <cellStyle name="Normal 3 2 2 9" xfId="23671" xr:uid="{00000000-0005-0000-0000-00003E700000}"/>
    <cellStyle name="Normal 3 2 2 9 2" xfId="23672" xr:uid="{00000000-0005-0000-0000-00003F700000}"/>
    <cellStyle name="Normal 3 2 2 9 2 2" xfId="23673" xr:uid="{00000000-0005-0000-0000-000040700000}"/>
    <cellStyle name="Normal 3 2 2 9 3" xfId="23674" xr:uid="{00000000-0005-0000-0000-000041700000}"/>
    <cellStyle name="Normal 3 2 2 9 4" xfId="23675" xr:uid="{00000000-0005-0000-0000-000042700000}"/>
    <cellStyle name="Normal 3 2 3" xfId="23676" xr:uid="{00000000-0005-0000-0000-000043700000}"/>
    <cellStyle name="Normal 3 2 3 10" xfId="23677" xr:uid="{00000000-0005-0000-0000-000044700000}"/>
    <cellStyle name="Normal 3 2 3 10 2" xfId="23678" xr:uid="{00000000-0005-0000-0000-000045700000}"/>
    <cellStyle name="Normal 3 2 3 11" xfId="23679" xr:uid="{00000000-0005-0000-0000-000046700000}"/>
    <cellStyle name="Normal 3 2 3 12" xfId="23680" xr:uid="{00000000-0005-0000-0000-000047700000}"/>
    <cellStyle name="Normal 3 2 3 13" xfId="35362" xr:uid="{00000000-0005-0000-0000-000048700000}"/>
    <cellStyle name="Normal 3 2 3 2" xfId="23681" xr:uid="{00000000-0005-0000-0000-000049700000}"/>
    <cellStyle name="Normal 3 2 3 2 10" xfId="23682" xr:uid="{00000000-0005-0000-0000-00004A700000}"/>
    <cellStyle name="Normal 3 2 3 2 11" xfId="23683" xr:uid="{00000000-0005-0000-0000-00004B700000}"/>
    <cellStyle name="Normal 3 2 3 2 12" xfId="35363" xr:uid="{00000000-0005-0000-0000-00004C700000}"/>
    <cellStyle name="Normal 3 2 3 2 2" xfId="23684" xr:uid="{00000000-0005-0000-0000-00004D700000}"/>
    <cellStyle name="Normal 3 2 3 2 2 10" xfId="23685" xr:uid="{00000000-0005-0000-0000-00004E700000}"/>
    <cellStyle name="Normal 3 2 3 2 2 11" xfId="35364" xr:uid="{00000000-0005-0000-0000-00004F700000}"/>
    <cellStyle name="Normal 3 2 3 2 2 2" xfId="23686" xr:uid="{00000000-0005-0000-0000-000050700000}"/>
    <cellStyle name="Normal 3 2 3 2 2 2 10" xfId="35365" xr:uid="{00000000-0005-0000-0000-000051700000}"/>
    <cellStyle name="Normal 3 2 3 2 2 2 2" xfId="23687" xr:uid="{00000000-0005-0000-0000-000052700000}"/>
    <cellStyle name="Normal 3 2 3 2 2 2 2 2" xfId="23688" xr:uid="{00000000-0005-0000-0000-000053700000}"/>
    <cellStyle name="Normal 3 2 3 2 2 2 2 2 2" xfId="23689" xr:uid="{00000000-0005-0000-0000-000054700000}"/>
    <cellStyle name="Normal 3 2 3 2 2 2 2 2 2 2" xfId="23690" xr:uid="{00000000-0005-0000-0000-000055700000}"/>
    <cellStyle name="Normal 3 2 3 2 2 2 2 2 3" xfId="23691" xr:uid="{00000000-0005-0000-0000-000056700000}"/>
    <cellStyle name="Normal 3 2 3 2 2 2 2 2 4" xfId="23692" xr:uid="{00000000-0005-0000-0000-000057700000}"/>
    <cellStyle name="Normal 3 2 3 2 2 2 2 2 5" xfId="39589" xr:uid="{00000000-0005-0000-0000-000058700000}"/>
    <cellStyle name="Normal 3 2 3 2 2 2 2 3" xfId="23693" xr:uid="{00000000-0005-0000-0000-000059700000}"/>
    <cellStyle name="Normal 3 2 3 2 2 2 2 3 2" xfId="23694" xr:uid="{00000000-0005-0000-0000-00005A700000}"/>
    <cellStyle name="Normal 3 2 3 2 2 2 2 4" xfId="23695" xr:uid="{00000000-0005-0000-0000-00005B700000}"/>
    <cellStyle name="Normal 3 2 3 2 2 2 2 5" xfId="23696" xr:uid="{00000000-0005-0000-0000-00005C700000}"/>
    <cellStyle name="Normal 3 2 3 2 2 2 2 6" xfId="39588" xr:uid="{00000000-0005-0000-0000-00005D700000}"/>
    <cellStyle name="Normal 3 2 3 2 2 2 3" xfId="23697" xr:uid="{00000000-0005-0000-0000-00005E700000}"/>
    <cellStyle name="Normal 3 2 3 2 2 2 3 2" xfId="23698" xr:uid="{00000000-0005-0000-0000-00005F700000}"/>
    <cellStyle name="Normal 3 2 3 2 2 2 3 2 2" xfId="23699" xr:uid="{00000000-0005-0000-0000-000060700000}"/>
    <cellStyle name="Normal 3 2 3 2 2 2 3 2 2 2" xfId="23700" xr:uid="{00000000-0005-0000-0000-000061700000}"/>
    <cellStyle name="Normal 3 2 3 2 2 2 3 2 3" xfId="23701" xr:uid="{00000000-0005-0000-0000-000062700000}"/>
    <cellStyle name="Normal 3 2 3 2 2 2 3 2 4" xfId="23702" xr:uid="{00000000-0005-0000-0000-000063700000}"/>
    <cellStyle name="Normal 3 2 3 2 2 2 3 2 5" xfId="39591" xr:uid="{00000000-0005-0000-0000-000064700000}"/>
    <cellStyle name="Normal 3 2 3 2 2 2 3 3" xfId="23703" xr:uid="{00000000-0005-0000-0000-000065700000}"/>
    <cellStyle name="Normal 3 2 3 2 2 2 3 3 2" xfId="23704" xr:uid="{00000000-0005-0000-0000-000066700000}"/>
    <cellStyle name="Normal 3 2 3 2 2 2 3 4" xfId="23705" xr:uid="{00000000-0005-0000-0000-000067700000}"/>
    <cellStyle name="Normal 3 2 3 2 2 2 3 5" xfId="23706" xr:uid="{00000000-0005-0000-0000-000068700000}"/>
    <cellStyle name="Normal 3 2 3 2 2 2 3 6" xfId="39590" xr:uid="{00000000-0005-0000-0000-000069700000}"/>
    <cellStyle name="Normal 3 2 3 2 2 2 4" xfId="23707" xr:uid="{00000000-0005-0000-0000-00006A700000}"/>
    <cellStyle name="Normal 3 2 3 2 2 2 4 2" xfId="23708" xr:uid="{00000000-0005-0000-0000-00006B700000}"/>
    <cellStyle name="Normal 3 2 3 2 2 2 4 2 2" xfId="23709" xr:uid="{00000000-0005-0000-0000-00006C700000}"/>
    <cellStyle name="Normal 3 2 3 2 2 2 4 3" xfId="23710" xr:uid="{00000000-0005-0000-0000-00006D700000}"/>
    <cellStyle name="Normal 3 2 3 2 2 2 4 4" xfId="23711" xr:uid="{00000000-0005-0000-0000-00006E700000}"/>
    <cellStyle name="Normal 3 2 3 2 2 2 4 5" xfId="39592" xr:uid="{00000000-0005-0000-0000-00006F700000}"/>
    <cellStyle name="Normal 3 2 3 2 2 2 5" xfId="23712" xr:uid="{00000000-0005-0000-0000-000070700000}"/>
    <cellStyle name="Normal 3 2 3 2 2 2 5 2" xfId="23713" xr:uid="{00000000-0005-0000-0000-000071700000}"/>
    <cellStyle name="Normal 3 2 3 2 2 2 5 2 2" xfId="23714" xr:uid="{00000000-0005-0000-0000-000072700000}"/>
    <cellStyle name="Normal 3 2 3 2 2 2 5 3" xfId="23715" xr:uid="{00000000-0005-0000-0000-000073700000}"/>
    <cellStyle name="Normal 3 2 3 2 2 2 5 4" xfId="23716" xr:uid="{00000000-0005-0000-0000-000074700000}"/>
    <cellStyle name="Normal 3 2 3 2 2 2 6" xfId="23717" xr:uid="{00000000-0005-0000-0000-000075700000}"/>
    <cellStyle name="Normal 3 2 3 2 2 2 6 2" xfId="23718" xr:uid="{00000000-0005-0000-0000-000076700000}"/>
    <cellStyle name="Normal 3 2 3 2 2 2 6 2 2" xfId="23719" xr:uid="{00000000-0005-0000-0000-000077700000}"/>
    <cellStyle name="Normal 3 2 3 2 2 2 6 3" xfId="23720" xr:uid="{00000000-0005-0000-0000-000078700000}"/>
    <cellStyle name="Normal 3 2 3 2 2 2 6 4" xfId="23721" xr:uid="{00000000-0005-0000-0000-000079700000}"/>
    <cellStyle name="Normal 3 2 3 2 2 2 7" xfId="23722" xr:uid="{00000000-0005-0000-0000-00007A700000}"/>
    <cellStyle name="Normal 3 2 3 2 2 2 7 2" xfId="23723" xr:uid="{00000000-0005-0000-0000-00007B700000}"/>
    <cellStyle name="Normal 3 2 3 2 2 2 8" xfId="23724" xr:uid="{00000000-0005-0000-0000-00007C700000}"/>
    <cellStyle name="Normal 3 2 3 2 2 2 9" xfId="23725" xr:uid="{00000000-0005-0000-0000-00007D700000}"/>
    <cellStyle name="Normal 3 2 3 2 2 3" xfId="23726" xr:uid="{00000000-0005-0000-0000-00007E700000}"/>
    <cellStyle name="Normal 3 2 3 2 2 3 2" xfId="23727" xr:uid="{00000000-0005-0000-0000-00007F700000}"/>
    <cellStyle name="Normal 3 2 3 2 2 3 2 2" xfId="23728" xr:uid="{00000000-0005-0000-0000-000080700000}"/>
    <cellStyle name="Normal 3 2 3 2 2 3 2 2 2" xfId="23729" xr:uid="{00000000-0005-0000-0000-000081700000}"/>
    <cellStyle name="Normal 3 2 3 2 2 3 2 3" xfId="23730" xr:uid="{00000000-0005-0000-0000-000082700000}"/>
    <cellStyle name="Normal 3 2 3 2 2 3 2 4" xfId="23731" xr:uid="{00000000-0005-0000-0000-000083700000}"/>
    <cellStyle name="Normal 3 2 3 2 2 3 2 5" xfId="39594" xr:uid="{00000000-0005-0000-0000-000084700000}"/>
    <cellStyle name="Normal 3 2 3 2 2 3 3" xfId="23732" xr:uid="{00000000-0005-0000-0000-000085700000}"/>
    <cellStyle name="Normal 3 2 3 2 2 3 3 2" xfId="23733" xr:uid="{00000000-0005-0000-0000-000086700000}"/>
    <cellStyle name="Normal 3 2 3 2 2 3 4" xfId="23734" xr:uid="{00000000-0005-0000-0000-000087700000}"/>
    <cellStyle name="Normal 3 2 3 2 2 3 5" xfId="23735" xr:uid="{00000000-0005-0000-0000-000088700000}"/>
    <cellStyle name="Normal 3 2 3 2 2 3 6" xfId="39593" xr:uid="{00000000-0005-0000-0000-000089700000}"/>
    <cellStyle name="Normal 3 2 3 2 2 4" xfId="23736" xr:uid="{00000000-0005-0000-0000-00008A700000}"/>
    <cellStyle name="Normal 3 2 3 2 2 4 2" xfId="23737" xr:uid="{00000000-0005-0000-0000-00008B700000}"/>
    <cellStyle name="Normal 3 2 3 2 2 4 2 2" xfId="23738" xr:uid="{00000000-0005-0000-0000-00008C700000}"/>
    <cellStyle name="Normal 3 2 3 2 2 4 2 2 2" xfId="23739" xr:uid="{00000000-0005-0000-0000-00008D700000}"/>
    <cellStyle name="Normal 3 2 3 2 2 4 2 3" xfId="23740" xr:uid="{00000000-0005-0000-0000-00008E700000}"/>
    <cellStyle name="Normal 3 2 3 2 2 4 2 4" xfId="23741" xr:uid="{00000000-0005-0000-0000-00008F700000}"/>
    <cellStyle name="Normal 3 2 3 2 2 4 2 5" xfId="39596" xr:uid="{00000000-0005-0000-0000-000090700000}"/>
    <cellStyle name="Normal 3 2 3 2 2 4 3" xfId="23742" xr:uid="{00000000-0005-0000-0000-000091700000}"/>
    <cellStyle name="Normal 3 2 3 2 2 4 3 2" xfId="23743" xr:uid="{00000000-0005-0000-0000-000092700000}"/>
    <cellStyle name="Normal 3 2 3 2 2 4 4" xfId="23744" xr:uid="{00000000-0005-0000-0000-000093700000}"/>
    <cellStyle name="Normal 3 2 3 2 2 4 5" xfId="23745" xr:uid="{00000000-0005-0000-0000-000094700000}"/>
    <cellStyle name="Normal 3 2 3 2 2 4 6" xfId="39595" xr:uid="{00000000-0005-0000-0000-000095700000}"/>
    <cellStyle name="Normal 3 2 3 2 2 5" xfId="23746" xr:uid="{00000000-0005-0000-0000-000096700000}"/>
    <cellStyle name="Normal 3 2 3 2 2 5 2" xfId="23747" xr:uid="{00000000-0005-0000-0000-000097700000}"/>
    <cellStyle name="Normal 3 2 3 2 2 5 2 2" xfId="23748" xr:uid="{00000000-0005-0000-0000-000098700000}"/>
    <cellStyle name="Normal 3 2 3 2 2 5 3" xfId="23749" xr:uid="{00000000-0005-0000-0000-000099700000}"/>
    <cellStyle name="Normal 3 2 3 2 2 5 4" xfId="23750" xr:uid="{00000000-0005-0000-0000-00009A700000}"/>
    <cellStyle name="Normal 3 2 3 2 2 5 5" xfId="39597" xr:uid="{00000000-0005-0000-0000-00009B700000}"/>
    <cellStyle name="Normal 3 2 3 2 2 6" xfId="23751" xr:uid="{00000000-0005-0000-0000-00009C700000}"/>
    <cellStyle name="Normal 3 2 3 2 2 6 2" xfId="23752" xr:uid="{00000000-0005-0000-0000-00009D700000}"/>
    <cellStyle name="Normal 3 2 3 2 2 6 2 2" xfId="23753" xr:uid="{00000000-0005-0000-0000-00009E700000}"/>
    <cellStyle name="Normal 3 2 3 2 2 6 3" xfId="23754" xr:uid="{00000000-0005-0000-0000-00009F700000}"/>
    <cellStyle name="Normal 3 2 3 2 2 6 4" xfId="23755" xr:uid="{00000000-0005-0000-0000-0000A0700000}"/>
    <cellStyle name="Normal 3 2 3 2 2 7" xfId="23756" xr:uid="{00000000-0005-0000-0000-0000A1700000}"/>
    <cellStyle name="Normal 3 2 3 2 2 7 2" xfId="23757" xr:uid="{00000000-0005-0000-0000-0000A2700000}"/>
    <cellStyle name="Normal 3 2 3 2 2 7 2 2" xfId="23758" xr:uid="{00000000-0005-0000-0000-0000A3700000}"/>
    <cellStyle name="Normal 3 2 3 2 2 7 3" xfId="23759" xr:uid="{00000000-0005-0000-0000-0000A4700000}"/>
    <cellStyle name="Normal 3 2 3 2 2 7 4" xfId="23760" xr:uid="{00000000-0005-0000-0000-0000A5700000}"/>
    <cellStyle name="Normal 3 2 3 2 2 8" xfId="23761" xr:uid="{00000000-0005-0000-0000-0000A6700000}"/>
    <cellStyle name="Normal 3 2 3 2 2 8 2" xfId="23762" xr:uid="{00000000-0005-0000-0000-0000A7700000}"/>
    <cellStyle name="Normal 3 2 3 2 2 9" xfId="23763" xr:uid="{00000000-0005-0000-0000-0000A8700000}"/>
    <cellStyle name="Normal 3 2 3 2 3" xfId="23764" xr:uid="{00000000-0005-0000-0000-0000A9700000}"/>
    <cellStyle name="Normal 3 2 3 2 3 10" xfId="35366" xr:uid="{00000000-0005-0000-0000-0000AA700000}"/>
    <cellStyle name="Normal 3 2 3 2 3 2" xfId="23765" xr:uid="{00000000-0005-0000-0000-0000AB700000}"/>
    <cellStyle name="Normal 3 2 3 2 3 2 2" xfId="23766" xr:uid="{00000000-0005-0000-0000-0000AC700000}"/>
    <cellStyle name="Normal 3 2 3 2 3 2 2 2" xfId="23767" xr:uid="{00000000-0005-0000-0000-0000AD700000}"/>
    <cellStyle name="Normal 3 2 3 2 3 2 2 2 2" xfId="23768" xr:uid="{00000000-0005-0000-0000-0000AE700000}"/>
    <cellStyle name="Normal 3 2 3 2 3 2 2 3" xfId="23769" xr:uid="{00000000-0005-0000-0000-0000AF700000}"/>
    <cellStyle name="Normal 3 2 3 2 3 2 2 4" xfId="23770" xr:uid="{00000000-0005-0000-0000-0000B0700000}"/>
    <cellStyle name="Normal 3 2 3 2 3 2 2 5" xfId="39599" xr:uid="{00000000-0005-0000-0000-0000B1700000}"/>
    <cellStyle name="Normal 3 2 3 2 3 2 3" xfId="23771" xr:uid="{00000000-0005-0000-0000-0000B2700000}"/>
    <cellStyle name="Normal 3 2 3 2 3 2 3 2" xfId="23772" xr:uid="{00000000-0005-0000-0000-0000B3700000}"/>
    <cellStyle name="Normal 3 2 3 2 3 2 4" xfId="23773" xr:uid="{00000000-0005-0000-0000-0000B4700000}"/>
    <cellStyle name="Normal 3 2 3 2 3 2 5" xfId="23774" xr:uid="{00000000-0005-0000-0000-0000B5700000}"/>
    <cellStyle name="Normal 3 2 3 2 3 2 6" xfId="39598" xr:uid="{00000000-0005-0000-0000-0000B6700000}"/>
    <cellStyle name="Normal 3 2 3 2 3 3" xfId="23775" xr:uid="{00000000-0005-0000-0000-0000B7700000}"/>
    <cellStyle name="Normal 3 2 3 2 3 3 2" xfId="23776" xr:uid="{00000000-0005-0000-0000-0000B8700000}"/>
    <cellStyle name="Normal 3 2 3 2 3 3 2 2" xfId="23777" xr:uid="{00000000-0005-0000-0000-0000B9700000}"/>
    <cellStyle name="Normal 3 2 3 2 3 3 2 2 2" xfId="23778" xr:uid="{00000000-0005-0000-0000-0000BA700000}"/>
    <cellStyle name="Normal 3 2 3 2 3 3 2 3" xfId="23779" xr:uid="{00000000-0005-0000-0000-0000BB700000}"/>
    <cellStyle name="Normal 3 2 3 2 3 3 2 4" xfId="23780" xr:uid="{00000000-0005-0000-0000-0000BC700000}"/>
    <cellStyle name="Normal 3 2 3 2 3 3 2 5" xfId="39601" xr:uid="{00000000-0005-0000-0000-0000BD700000}"/>
    <cellStyle name="Normal 3 2 3 2 3 3 3" xfId="23781" xr:uid="{00000000-0005-0000-0000-0000BE700000}"/>
    <cellStyle name="Normal 3 2 3 2 3 3 3 2" xfId="23782" xr:uid="{00000000-0005-0000-0000-0000BF700000}"/>
    <cellStyle name="Normal 3 2 3 2 3 3 4" xfId="23783" xr:uid="{00000000-0005-0000-0000-0000C0700000}"/>
    <cellStyle name="Normal 3 2 3 2 3 3 5" xfId="23784" xr:uid="{00000000-0005-0000-0000-0000C1700000}"/>
    <cellStyle name="Normal 3 2 3 2 3 3 6" xfId="39600" xr:uid="{00000000-0005-0000-0000-0000C2700000}"/>
    <cellStyle name="Normal 3 2 3 2 3 4" xfId="23785" xr:uid="{00000000-0005-0000-0000-0000C3700000}"/>
    <cellStyle name="Normal 3 2 3 2 3 4 2" xfId="23786" xr:uid="{00000000-0005-0000-0000-0000C4700000}"/>
    <cellStyle name="Normal 3 2 3 2 3 4 2 2" xfId="23787" xr:uid="{00000000-0005-0000-0000-0000C5700000}"/>
    <cellStyle name="Normal 3 2 3 2 3 4 3" xfId="23788" xr:uid="{00000000-0005-0000-0000-0000C6700000}"/>
    <cellStyle name="Normal 3 2 3 2 3 4 4" xfId="23789" xr:uid="{00000000-0005-0000-0000-0000C7700000}"/>
    <cellStyle name="Normal 3 2 3 2 3 4 5" xfId="39602" xr:uid="{00000000-0005-0000-0000-0000C8700000}"/>
    <cellStyle name="Normal 3 2 3 2 3 5" xfId="23790" xr:uid="{00000000-0005-0000-0000-0000C9700000}"/>
    <cellStyle name="Normal 3 2 3 2 3 5 2" xfId="23791" xr:uid="{00000000-0005-0000-0000-0000CA700000}"/>
    <cellStyle name="Normal 3 2 3 2 3 5 2 2" xfId="23792" xr:uid="{00000000-0005-0000-0000-0000CB700000}"/>
    <cellStyle name="Normal 3 2 3 2 3 5 3" xfId="23793" xr:uid="{00000000-0005-0000-0000-0000CC700000}"/>
    <cellStyle name="Normal 3 2 3 2 3 5 4" xfId="23794" xr:uid="{00000000-0005-0000-0000-0000CD700000}"/>
    <cellStyle name="Normal 3 2 3 2 3 6" xfId="23795" xr:uid="{00000000-0005-0000-0000-0000CE700000}"/>
    <cellStyle name="Normal 3 2 3 2 3 6 2" xfId="23796" xr:uid="{00000000-0005-0000-0000-0000CF700000}"/>
    <cellStyle name="Normal 3 2 3 2 3 6 2 2" xfId="23797" xr:uid="{00000000-0005-0000-0000-0000D0700000}"/>
    <cellStyle name="Normal 3 2 3 2 3 6 3" xfId="23798" xr:uid="{00000000-0005-0000-0000-0000D1700000}"/>
    <cellStyle name="Normal 3 2 3 2 3 6 4" xfId="23799" xr:uid="{00000000-0005-0000-0000-0000D2700000}"/>
    <cellStyle name="Normal 3 2 3 2 3 7" xfId="23800" xr:uid="{00000000-0005-0000-0000-0000D3700000}"/>
    <cellStyle name="Normal 3 2 3 2 3 7 2" xfId="23801" xr:uid="{00000000-0005-0000-0000-0000D4700000}"/>
    <cellStyle name="Normal 3 2 3 2 3 8" xfId="23802" xr:uid="{00000000-0005-0000-0000-0000D5700000}"/>
    <cellStyle name="Normal 3 2 3 2 3 9" xfId="23803" xr:uid="{00000000-0005-0000-0000-0000D6700000}"/>
    <cellStyle name="Normal 3 2 3 2 4" xfId="23804" xr:uid="{00000000-0005-0000-0000-0000D7700000}"/>
    <cellStyle name="Normal 3 2 3 2 4 2" xfId="23805" xr:uid="{00000000-0005-0000-0000-0000D8700000}"/>
    <cellStyle name="Normal 3 2 3 2 4 2 2" xfId="23806" xr:uid="{00000000-0005-0000-0000-0000D9700000}"/>
    <cellStyle name="Normal 3 2 3 2 4 2 2 2" xfId="23807" xr:uid="{00000000-0005-0000-0000-0000DA700000}"/>
    <cellStyle name="Normal 3 2 3 2 4 2 3" xfId="23808" xr:uid="{00000000-0005-0000-0000-0000DB700000}"/>
    <cellStyle name="Normal 3 2 3 2 4 2 4" xfId="23809" xr:uid="{00000000-0005-0000-0000-0000DC700000}"/>
    <cellStyle name="Normal 3 2 3 2 4 2 5" xfId="39604" xr:uid="{00000000-0005-0000-0000-0000DD700000}"/>
    <cellStyle name="Normal 3 2 3 2 4 3" xfId="23810" xr:uid="{00000000-0005-0000-0000-0000DE700000}"/>
    <cellStyle name="Normal 3 2 3 2 4 3 2" xfId="23811" xr:uid="{00000000-0005-0000-0000-0000DF700000}"/>
    <cellStyle name="Normal 3 2 3 2 4 4" xfId="23812" xr:uid="{00000000-0005-0000-0000-0000E0700000}"/>
    <cellStyle name="Normal 3 2 3 2 4 5" xfId="23813" xr:uid="{00000000-0005-0000-0000-0000E1700000}"/>
    <cellStyle name="Normal 3 2 3 2 4 6" xfId="39603" xr:uid="{00000000-0005-0000-0000-0000E2700000}"/>
    <cellStyle name="Normal 3 2 3 2 5" xfId="23814" xr:uid="{00000000-0005-0000-0000-0000E3700000}"/>
    <cellStyle name="Normal 3 2 3 2 5 2" xfId="23815" xr:uid="{00000000-0005-0000-0000-0000E4700000}"/>
    <cellStyle name="Normal 3 2 3 2 5 2 2" xfId="23816" xr:uid="{00000000-0005-0000-0000-0000E5700000}"/>
    <cellStyle name="Normal 3 2 3 2 5 2 2 2" xfId="23817" xr:uid="{00000000-0005-0000-0000-0000E6700000}"/>
    <cellStyle name="Normal 3 2 3 2 5 2 3" xfId="23818" xr:uid="{00000000-0005-0000-0000-0000E7700000}"/>
    <cellStyle name="Normal 3 2 3 2 5 2 4" xfId="23819" xr:uid="{00000000-0005-0000-0000-0000E8700000}"/>
    <cellStyle name="Normal 3 2 3 2 5 2 5" xfId="39606" xr:uid="{00000000-0005-0000-0000-0000E9700000}"/>
    <cellStyle name="Normal 3 2 3 2 5 3" xfId="23820" xr:uid="{00000000-0005-0000-0000-0000EA700000}"/>
    <cellStyle name="Normal 3 2 3 2 5 3 2" xfId="23821" xr:uid="{00000000-0005-0000-0000-0000EB700000}"/>
    <cellStyle name="Normal 3 2 3 2 5 4" xfId="23822" xr:uid="{00000000-0005-0000-0000-0000EC700000}"/>
    <cellStyle name="Normal 3 2 3 2 5 5" xfId="23823" xr:uid="{00000000-0005-0000-0000-0000ED700000}"/>
    <cellStyle name="Normal 3 2 3 2 5 6" xfId="39605" xr:uid="{00000000-0005-0000-0000-0000EE700000}"/>
    <cellStyle name="Normal 3 2 3 2 6" xfId="23824" xr:uid="{00000000-0005-0000-0000-0000EF700000}"/>
    <cellStyle name="Normal 3 2 3 2 6 2" xfId="23825" xr:uid="{00000000-0005-0000-0000-0000F0700000}"/>
    <cellStyle name="Normal 3 2 3 2 6 2 2" xfId="23826" xr:uid="{00000000-0005-0000-0000-0000F1700000}"/>
    <cellStyle name="Normal 3 2 3 2 6 3" xfId="23827" xr:uid="{00000000-0005-0000-0000-0000F2700000}"/>
    <cellStyle name="Normal 3 2 3 2 6 4" xfId="23828" xr:uid="{00000000-0005-0000-0000-0000F3700000}"/>
    <cellStyle name="Normal 3 2 3 2 6 5" xfId="39607" xr:uid="{00000000-0005-0000-0000-0000F4700000}"/>
    <cellStyle name="Normal 3 2 3 2 7" xfId="23829" xr:uid="{00000000-0005-0000-0000-0000F5700000}"/>
    <cellStyle name="Normal 3 2 3 2 7 2" xfId="23830" xr:uid="{00000000-0005-0000-0000-0000F6700000}"/>
    <cellStyle name="Normal 3 2 3 2 7 2 2" xfId="23831" xr:uid="{00000000-0005-0000-0000-0000F7700000}"/>
    <cellStyle name="Normal 3 2 3 2 7 3" xfId="23832" xr:uid="{00000000-0005-0000-0000-0000F8700000}"/>
    <cellStyle name="Normal 3 2 3 2 7 4" xfId="23833" xr:uid="{00000000-0005-0000-0000-0000F9700000}"/>
    <cellStyle name="Normal 3 2 3 2 8" xfId="23834" xr:uid="{00000000-0005-0000-0000-0000FA700000}"/>
    <cellStyle name="Normal 3 2 3 2 8 2" xfId="23835" xr:uid="{00000000-0005-0000-0000-0000FB700000}"/>
    <cellStyle name="Normal 3 2 3 2 8 2 2" xfId="23836" xr:uid="{00000000-0005-0000-0000-0000FC700000}"/>
    <cellStyle name="Normal 3 2 3 2 8 3" xfId="23837" xr:uid="{00000000-0005-0000-0000-0000FD700000}"/>
    <cellStyle name="Normal 3 2 3 2 8 4" xfId="23838" xr:uid="{00000000-0005-0000-0000-0000FE700000}"/>
    <cellStyle name="Normal 3 2 3 2 9" xfId="23839" xr:uid="{00000000-0005-0000-0000-0000FF700000}"/>
    <cellStyle name="Normal 3 2 3 2 9 2" xfId="23840" xr:uid="{00000000-0005-0000-0000-000000710000}"/>
    <cellStyle name="Normal 3 2 3 3" xfId="23841" xr:uid="{00000000-0005-0000-0000-000001710000}"/>
    <cellStyle name="Normal 3 2 3 3 10" xfId="23842" xr:uid="{00000000-0005-0000-0000-000002710000}"/>
    <cellStyle name="Normal 3 2 3 3 11" xfId="35367" xr:uid="{00000000-0005-0000-0000-000003710000}"/>
    <cellStyle name="Normal 3 2 3 3 2" xfId="23843" xr:uid="{00000000-0005-0000-0000-000004710000}"/>
    <cellStyle name="Normal 3 2 3 3 2 10" xfId="35368" xr:uid="{00000000-0005-0000-0000-000005710000}"/>
    <cellStyle name="Normal 3 2 3 3 2 2" xfId="23844" xr:uid="{00000000-0005-0000-0000-000006710000}"/>
    <cellStyle name="Normal 3 2 3 3 2 2 2" xfId="23845" xr:uid="{00000000-0005-0000-0000-000007710000}"/>
    <cellStyle name="Normal 3 2 3 3 2 2 2 2" xfId="23846" xr:uid="{00000000-0005-0000-0000-000008710000}"/>
    <cellStyle name="Normal 3 2 3 3 2 2 2 2 2" xfId="23847" xr:uid="{00000000-0005-0000-0000-000009710000}"/>
    <cellStyle name="Normal 3 2 3 3 2 2 2 3" xfId="23848" xr:uid="{00000000-0005-0000-0000-00000A710000}"/>
    <cellStyle name="Normal 3 2 3 3 2 2 2 4" xfId="23849" xr:uid="{00000000-0005-0000-0000-00000B710000}"/>
    <cellStyle name="Normal 3 2 3 3 2 2 2 5" xfId="39609" xr:uid="{00000000-0005-0000-0000-00000C710000}"/>
    <cellStyle name="Normal 3 2 3 3 2 2 3" xfId="23850" xr:uid="{00000000-0005-0000-0000-00000D710000}"/>
    <cellStyle name="Normal 3 2 3 3 2 2 3 2" xfId="23851" xr:uid="{00000000-0005-0000-0000-00000E710000}"/>
    <cellStyle name="Normal 3 2 3 3 2 2 4" xfId="23852" xr:uid="{00000000-0005-0000-0000-00000F710000}"/>
    <cellStyle name="Normal 3 2 3 3 2 2 5" xfId="23853" xr:uid="{00000000-0005-0000-0000-000010710000}"/>
    <cellStyle name="Normal 3 2 3 3 2 2 6" xfId="39608" xr:uid="{00000000-0005-0000-0000-000011710000}"/>
    <cellStyle name="Normal 3 2 3 3 2 3" xfId="23854" xr:uid="{00000000-0005-0000-0000-000012710000}"/>
    <cellStyle name="Normal 3 2 3 3 2 3 2" xfId="23855" xr:uid="{00000000-0005-0000-0000-000013710000}"/>
    <cellStyle name="Normal 3 2 3 3 2 3 2 2" xfId="23856" xr:uid="{00000000-0005-0000-0000-000014710000}"/>
    <cellStyle name="Normal 3 2 3 3 2 3 2 2 2" xfId="23857" xr:uid="{00000000-0005-0000-0000-000015710000}"/>
    <cellStyle name="Normal 3 2 3 3 2 3 2 3" xfId="23858" xr:uid="{00000000-0005-0000-0000-000016710000}"/>
    <cellStyle name="Normal 3 2 3 3 2 3 2 4" xfId="23859" xr:uid="{00000000-0005-0000-0000-000017710000}"/>
    <cellStyle name="Normal 3 2 3 3 2 3 2 5" xfId="39611" xr:uid="{00000000-0005-0000-0000-000018710000}"/>
    <cellStyle name="Normal 3 2 3 3 2 3 3" xfId="23860" xr:uid="{00000000-0005-0000-0000-000019710000}"/>
    <cellStyle name="Normal 3 2 3 3 2 3 3 2" xfId="23861" xr:uid="{00000000-0005-0000-0000-00001A710000}"/>
    <cellStyle name="Normal 3 2 3 3 2 3 4" xfId="23862" xr:uid="{00000000-0005-0000-0000-00001B710000}"/>
    <cellStyle name="Normal 3 2 3 3 2 3 5" xfId="23863" xr:uid="{00000000-0005-0000-0000-00001C710000}"/>
    <cellStyle name="Normal 3 2 3 3 2 3 6" xfId="39610" xr:uid="{00000000-0005-0000-0000-00001D710000}"/>
    <cellStyle name="Normal 3 2 3 3 2 4" xfId="23864" xr:uid="{00000000-0005-0000-0000-00001E710000}"/>
    <cellStyle name="Normal 3 2 3 3 2 4 2" xfId="23865" xr:uid="{00000000-0005-0000-0000-00001F710000}"/>
    <cellStyle name="Normal 3 2 3 3 2 4 2 2" xfId="23866" xr:uid="{00000000-0005-0000-0000-000020710000}"/>
    <cellStyle name="Normal 3 2 3 3 2 4 3" xfId="23867" xr:uid="{00000000-0005-0000-0000-000021710000}"/>
    <cellStyle name="Normal 3 2 3 3 2 4 4" xfId="23868" xr:uid="{00000000-0005-0000-0000-000022710000}"/>
    <cellStyle name="Normal 3 2 3 3 2 4 5" xfId="39612" xr:uid="{00000000-0005-0000-0000-000023710000}"/>
    <cellStyle name="Normal 3 2 3 3 2 5" xfId="23869" xr:uid="{00000000-0005-0000-0000-000024710000}"/>
    <cellStyle name="Normal 3 2 3 3 2 5 2" xfId="23870" xr:uid="{00000000-0005-0000-0000-000025710000}"/>
    <cellStyle name="Normal 3 2 3 3 2 5 2 2" xfId="23871" xr:uid="{00000000-0005-0000-0000-000026710000}"/>
    <cellStyle name="Normal 3 2 3 3 2 5 3" xfId="23872" xr:uid="{00000000-0005-0000-0000-000027710000}"/>
    <cellStyle name="Normal 3 2 3 3 2 5 4" xfId="23873" xr:uid="{00000000-0005-0000-0000-000028710000}"/>
    <cellStyle name="Normal 3 2 3 3 2 6" xfId="23874" xr:uid="{00000000-0005-0000-0000-000029710000}"/>
    <cellStyle name="Normal 3 2 3 3 2 6 2" xfId="23875" xr:uid="{00000000-0005-0000-0000-00002A710000}"/>
    <cellStyle name="Normal 3 2 3 3 2 6 2 2" xfId="23876" xr:uid="{00000000-0005-0000-0000-00002B710000}"/>
    <cellStyle name="Normal 3 2 3 3 2 6 3" xfId="23877" xr:uid="{00000000-0005-0000-0000-00002C710000}"/>
    <cellStyle name="Normal 3 2 3 3 2 6 4" xfId="23878" xr:uid="{00000000-0005-0000-0000-00002D710000}"/>
    <cellStyle name="Normal 3 2 3 3 2 7" xfId="23879" xr:uid="{00000000-0005-0000-0000-00002E710000}"/>
    <cellStyle name="Normal 3 2 3 3 2 7 2" xfId="23880" xr:uid="{00000000-0005-0000-0000-00002F710000}"/>
    <cellStyle name="Normal 3 2 3 3 2 8" xfId="23881" xr:uid="{00000000-0005-0000-0000-000030710000}"/>
    <cellStyle name="Normal 3 2 3 3 2 9" xfId="23882" xr:uid="{00000000-0005-0000-0000-000031710000}"/>
    <cellStyle name="Normal 3 2 3 3 3" xfId="23883" xr:uid="{00000000-0005-0000-0000-000032710000}"/>
    <cellStyle name="Normal 3 2 3 3 3 2" xfId="23884" xr:uid="{00000000-0005-0000-0000-000033710000}"/>
    <cellStyle name="Normal 3 2 3 3 3 2 2" xfId="23885" xr:uid="{00000000-0005-0000-0000-000034710000}"/>
    <cellStyle name="Normal 3 2 3 3 3 2 2 2" xfId="23886" xr:uid="{00000000-0005-0000-0000-000035710000}"/>
    <cellStyle name="Normal 3 2 3 3 3 2 3" xfId="23887" xr:uid="{00000000-0005-0000-0000-000036710000}"/>
    <cellStyle name="Normal 3 2 3 3 3 2 4" xfId="23888" xr:uid="{00000000-0005-0000-0000-000037710000}"/>
    <cellStyle name="Normal 3 2 3 3 3 2 5" xfId="39614" xr:uid="{00000000-0005-0000-0000-000038710000}"/>
    <cellStyle name="Normal 3 2 3 3 3 3" xfId="23889" xr:uid="{00000000-0005-0000-0000-000039710000}"/>
    <cellStyle name="Normal 3 2 3 3 3 3 2" xfId="23890" xr:uid="{00000000-0005-0000-0000-00003A710000}"/>
    <cellStyle name="Normal 3 2 3 3 3 4" xfId="23891" xr:uid="{00000000-0005-0000-0000-00003B710000}"/>
    <cellStyle name="Normal 3 2 3 3 3 5" xfId="23892" xr:uid="{00000000-0005-0000-0000-00003C710000}"/>
    <cellStyle name="Normal 3 2 3 3 3 6" xfId="39613" xr:uid="{00000000-0005-0000-0000-00003D710000}"/>
    <cellStyle name="Normal 3 2 3 3 4" xfId="23893" xr:uid="{00000000-0005-0000-0000-00003E710000}"/>
    <cellStyle name="Normal 3 2 3 3 4 2" xfId="23894" xr:uid="{00000000-0005-0000-0000-00003F710000}"/>
    <cellStyle name="Normal 3 2 3 3 4 2 2" xfId="23895" xr:uid="{00000000-0005-0000-0000-000040710000}"/>
    <cellStyle name="Normal 3 2 3 3 4 2 2 2" xfId="23896" xr:uid="{00000000-0005-0000-0000-000041710000}"/>
    <cellStyle name="Normal 3 2 3 3 4 2 3" xfId="23897" xr:uid="{00000000-0005-0000-0000-000042710000}"/>
    <cellStyle name="Normal 3 2 3 3 4 2 4" xfId="23898" xr:uid="{00000000-0005-0000-0000-000043710000}"/>
    <cellStyle name="Normal 3 2 3 3 4 2 5" xfId="39616" xr:uid="{00000000-0005-0000-0000-000044710000}"/>
    <cellStyle name="Normal 3 2 3 3 4 3" xfId="23899" xr:uid="{00000000-0005-0000-0000-000045710000}"/>
    <cellStyle name="Normal 3 2 3 3 4 3 2" xfId="23900" xr:uid="{00000000-0005-0000-0000-000046710000}"/>
    <cellStyle name="Normal 3 2 3 3 4 4" xfId="23901" xr:uid="{00000000-0005-0000-0000-000047710000}"/>
    <cellStyle name="Normal 3 2 3 3 4 5" xfId="23902" xr:uid="{00000000-0005-0000-0000-000048710000}"/>
    <cellStyle name="Normal 3 2 3 3 4 6" xfId="39615" xr:uid="{00000000-0005-0000-0000-000049710000}"/>
    <cellStyle name="Normal 3 2 3 3 5" xfId="23903" xr:uid="{00000000-0005-0000-0000-00004A710000}"/>
    <cellStyle name="Normal 3 2 3 3 5 2" xfId="23904" xr:uid="{00000000-0005-0000-0000-00004B710000}"/>
    <cellStyle name="Normal 3 2 3 3 5 2 2" xfId="23905" xr:uid="{00000000-0005-0000-0000-00004C710000}"/>
    <cellStyle name="Normal 3 2 3 3 5 3" xfId="23906" xr:uid="{00000000-0005-0000-0000-00004D710000}"/>
    <cellStyle name="Normal 3 2 3 3 5 4" xfId="23907" xr:uid="{00000000-0005-0000-0000-00004E710000}"/>
    <cellStyle name="Normal 3 2 3 3 5 5" xfId="39617" xr:uid="{00000000-0005-0000-0000-00004F710000}"/>
    <cellStyle name="Normal 3 2 3 3 6" xfId="23908" xr:uid="{00000000-0005-0000-0000-000050710000}"/>
    <cellStyle name="Normal 3 2 3 3 6 2" xfId="23909" xr:uid="{00000000-0005-0000-0000-000051710000}"/>
    <cellStyle name="Normal 3 2 3 3 6 2 2" xfId="23910" xr:uid="{00000000-0005-0000-0000-000052710000}"/>
    <cellStyle name="Normal 3 2 3 3 6 3" xfId="23911" xr:uid="{00000000-0005-0000-0000-000053710000}"/>
    <cellStyle name="Normal 3 2 3 3 6 4" xfId="23912" xr:uid="{00000000-0005-0000-0000-000054710000}"/>
    <cellStyle name="Normal 3 2 3 3 7" xfId="23913" xr:uid="{00000000-0005-0000-0000-000055710000}"/>
    <cellStyle name="Normal 3 2 3 3 7 2" xfId="23914" xr:uid="{00000000-0005-0000-0000-000056710000}"/>
    <cellStyle name="Normal 3 2 3 3 7 2 2" xfId="23915" xr:uid="{00000000-0005-0000-0000-000057710000}"/>
    <cellStyle name="Normal 3 2 3 3 7 3" xfId="23916" xr:uid="{00000000-0005-0000-0000-000058710000}"/>
    <cellStyle name="Normal 3 2 3 3 7 4" xfId="23917" xr:uid="{00000000-0005-0000-0000-000059710000}"/>
    <cellStyle name="Normal 3 2 3 3 8" xfId="23918" xr:uid="{00000000-0005-0000-0000-00005A710000}"/>
    <cellStyle name="Normal 3 2 3 3 8 2" xfId="23919" xr:uid="{00000000-0005-0000-0000-00005B710000}"/>
    <cellStyle name="Normal 3 2 3 3 9" xfId="23920" xr:uid="{00000000-0005-0000-0000-00005C710000}"/>
    <cellStyle name="Normal 3 2 3 4" xfId="23921" xr:uid="{00000000-0005-0000-0000-00005D710000}"/>
    <cellStyle name="Normal 3 2 3 4 10" xfId="35369" xr:uid="{00000000-0005-0000-0000-00005E710000}"/>
    <cellStyle name="Normal 3 2 3 4 2" xfId="23922" xr:uid="{00000000-0005-0000-0000-00005F710000}"/>
    <cellStyle name="Normal 3 2 3 4 2 2" xfId="23923" xr:uid="{00000000-0005-0000-0000-000060710000}"/>
    <cellStyle name="Normal 3 2 3 4 2 2 2" xfId="23924" xr:uid="{00000000-0005-0000-0000-000061710000}"/>
    <cellStyle name="Normal 3 2 3 4 2 2 2 2" xfId="23925" xr:uid="{00000000-0005-0000-0000-000062710000}"/>
    <cellStyle name="Normal 3 2 3 4 2 2 3" xfId="23926" xr:uid="{00000000-0005-0000-0000-000063710000}"/>
    <cellStyle name="Normal 3 2 3 4 2 2 4" xfId="23927" xr:uid="{00000000-0005-0000-0000-000064710000}"/>
    <cellStyle name="Normal 3 2 3 4 2 2 5" xfId="39619" xr:uid="{00000000-0005-0000-0000-000065710000}"/>
    <cellStyle name="Normal 3 2 3 4 2 3" xfId="23928" xr:uid="{00000000-0005-0000-0000-000066710000}"/>
    <cellStyle name="Normal 3 2 3 4 2 3 2" xfId="23929" xr:uid="{00000000-0005-0000-0000-000067710000}"/>
    <cellStyle name="Normal 3 2 3 4 2 4" xfId="23930" xr:uid="{00000000-0005-0000-0000-000068710000}"/>
    <cellStyle name="Normal 3 2 3 4 2 5" xfId="23931" xr:uid="{00000000-0005-0000-0000-000069710000}"/>
    <cellStyle name="Normal 3 2 3 4 2 6" xfId="39618" xr:uid="{00000000-0005-0000-0000-00006A710000}"/>
    <cellStyle name="Normal 3 2 3 4 3" xfId="23932" xr:uid="{00000000-0005-0000-0000-00006B710000}"/>
    <cellStyle name="Normal 3 2 3 4 3 2" xfId="23933" xr:uid="{00000000-0005-0000-0000-00006C710000}"/>
    <cellStyle name="Normal 3 2 3 4 3 2 2" xfId="23934" xr:uid="{00000000-0005-0000-0000-00006D710000}"/>
    <cellStyle name="Normal 3 2 3 4 3 2 2 2" xfId="23935" xr:uid="{00000000-0005-0000-0000-00006E710000}"/>
    <cellStyle name="Normal 3 2 3 4 3 2 3" xfId="23936" xr:uid="{00000000-0005-0000-0000-00006F710000}"/>
    <cellStyle name="Normal 3 2 3 4 3 2 4" xfId="23937" xr:uid="{00000000-0005-0000-0000-000070710000}"/>
    <cellStyle name="Normal 3 2 3 4 3 2 5" xfId="39621" xr:uid="{00000000-0005-0000-0000-000071710000}"/>
    <cellStyle name="Normal 3 2 3 4 3 3" xfId="23938" xr:uid="{00000000-0005-0000-0000-000072710000}"/>
    <cellStyle name="Normal 3 2 3 4 3 3 2" xfId="23939" xr:uid="{00000000-0005-0000-0000-000073710000}"/>
    <cellStyle name="Normal 3 2 3 4 3 4" xfId="23940" xr:uid="{00000000-0005-0000-0000-000074710000}"/>
    <cellStyle name="Normal 3 2 3 4 3 5" xfId="23941" xr:uid="{00000000-0005-0000-0000-000075710000}"/>
    <cellStyle name="Normal 3 2 3 4 3 6" xfId="39620" xr:uid="{00000000-0005-0000-0000-000076710000}"/>
    <cellStyle name="Normal 3 2 3 4 4" xfId="23942" xr:uid="{00000000-0005-0000-0000-000077710000}"/>
    <cellStyle name="Normal 3 2 3 4 4 2" xfId="23943" xr:uid="{00000000-0005-0000-0000-000078710000}"/>
    <cellStyle name="Normal 3 2 3 4 4 2 2" xfId="23944" xr:uid="{00000000-0005-0000-0000-000079710000}"/>
    <cellStyle name="Normal 3 2 3 4 4 3" xfId="23945" xr:uid="{00000000-0005-0000-0000-00007A710000}"/>
    <cellStyle name="Normal 3 2 3 4 4 4" xfId="23946" xr:uid="{00000000-0005-0000-0000-00007B710000}"/>
    <cellStyle name="Normal 3 2 3 4 4 5" xfId="39622" xr:uid="{00000000-0005-0000-0000-00007C710000}"/>
    <cellStyle name="Normal 3 2 3 4 5" xfId="23947" xr:uid="{00000000-0005-0000-0000-00007D710000}"/>
    <cellStyle name="Normal 3 2 3 4 5 2" xfId="23948" xr:uid="{00000000-0005-0000-0000-00007E710000}"/>
    <cellStyle name="Normal 3 2 3 4 5 2 2" xfId="23949" xr:uid="{00000000-0005-0000-0000-00007F710000}"/>
    <cellStyle name="Normal 3 2 3 4 5 3" xfId="23950" xr:uid="{00000000-0005-0000-0000-000080710000}"/>
    <cellStyle name="Normal 3 2 3 4 5 4" xfId="23951" xr:uid="{00000000-0005-0000-0000-000081710000}"/>
    <cellStyle name="Normal 3 2 3 4 6" xfId="23952" xr:uid="{00000000-0005-0000-0000-000082710000}"/>
    <cellStyle name="Normal 3 2 3 4 6 2" xfId="23953" xr:uid="{00000000-0005-0000-0000-000083710000}"/>
    <cellStyle name="Normal 3 2 3 4 6 2 2" xfId="23954" xr:uid="{00000000-0005-0000-0000-000084710000}"/>
    <cellStyle name="Normal 3 2 3 4 6 3" xfId="23955" xr:uid="{00000000-0005-0000-0000-000085710000}"/>
    <cellStyle name="Normal 3 2 3 4 6 4" xfId="23956" xr:uid="{00000000-0005-0000-0000-000086710000}"/>
    <cellStyle name="Normal 3 2 3 4 7" xfId="23957" xr:uid="{00000000-0005-0000-0000-000087710000}"/>
    <cellStyle name="Normal 3 2 3 4 7 2" xfId="23958" xr:uid="{00000000-0005-0000-0000-000088710000}"/>
    <cellStyle name="Normal 3 2 3 4 8" xfId="23959" xr:uid="{00000000-0005-0000-0000-000089710000}"/>
    <cellStyle name="Normal 3 2 3 4 9" xfId="23960" xr:uid="{00000000-0005-0000-0000-00008A710000}"/>
    <cellStyle name="Normal 3 2 3 5" xfId="23961" xr:uid="{00000000-0005-0000-0000-00008B710000}"/>
    <cellStyle name="Normal 3 2 3 5 2" xfId="23962" xr:uid="{00000000-0005-0000-0000-00008C710000}"/>
    <cellStyle name="Normal 3 2 3 5 2 2" xfId="23963" xr:uid="{00000000-0005-0000-0000-00008D710000}"/>
    <cellStyle name="Normal 3 2 3 5 2 2 2" xfId="23964" xr:uid="{00000000-0005-0000-0000-00008E710000}"/>
    <cellStyle name="Normal 3 2 3 5 2 3" xfId="23965" xr:uid="{00000000-0005-0000-0000-00008F710000}"/>
    <cellStyle name="Normal 3 2 3 5 2 4" xfId="23966" xr:uid="{00000000-0005-0000-0000-000090710000}"/>
    <cellStyle name="Normal 3 2 3 5 2 5" xfId="39624" xr:uid="{00000000-0005-0000-0000-000091710000}"/>
    <cellStyle name="Normal 3 2 3 5 3" xfId="23967" xr:uid="{00000000-0005-0000-0000-000092710000}"/>
    <cellStyle name="Normal 3 2 3 5 4" xfId="23968" xr:uid="{00000000-0005-0000-0000-000093710000}"/>
    <cellStyle name="Normal 3 2 3 5 4 2" xfId="23969" xr:uid="{00000000-0005-0000-0000-000094710000}"/>
    <cellStyle name="Normal 3 2 3 5 5" xfId="23970" xr:uid="{00000000-0005-0000-0000-000095710000}"/>
    <cellStyle name="Normal 3 2 3 5 6" xfId="23971" xr:uid="{00000000-0005-0000-0000-000096710000}"/>
    <cellStyle name="Normal 3 2 3 5 7" xfId="39623" xr:uid="{00000000-0005-0000-0000-000097710000}"/>
    <cellStyle name="Normal 3 2 3 6" xfId="23972" xr:uid="{00000000-0005-0000-0000-000098710000}"/>
    <cellStyle name="Normal 3 2 3 6 2" xfId="23973" xr:uid="{00000000-0005-0000-0000-000099710000}"/>
    <cellStyle name="Normal 3 2 3 6 2 2" xfId="23974" xr:uid="{00000000-0005-0000-0000-00009A710000}"/>
    <cellStyle name="Normal 3 2 3 6 2 2 2" xfId="23975" xr:uid="{00000000-0005-0000-0000-00009B710000}"/>
    <cellStyle name="Normal 3 2 3 6 2 3" xfId="23976" xr:uid="{00000000-0005-0000-0000-00009C710000}"/>
    <cellStyle name="Normal 3 2 3 6 2 4" xfId="23977" xr:uid="{00000000-0005-0000-0000-00009D710000}"/>
    <cellStyle name="Normal 3 2 3 6 2 5" xfId="39626" xr:uid="{00000000-0005-0000-0000-00009E710000}"/>
    <cellStyle name="Normal 3 2 3 6 3" xfId="23978" xr:uid="{00000000-0005-0000-0000-00009F710000}"/>
    <cellStyle name="Normal 3 2 3 6 3 2" xfId="23979" xr:uid="{00000000-0005-0000-0000-0000A0710000}"/>
    <cellStyle name="Normal 3 2 3 6 4" xfId="23980" xr:uid="{00000000-0005-0000-0000-0000A1710000}"/>
    <cellStyle name="Normal 3 2 3 6 5" xfId="23981" xr:uid="{00000000-0005-0000-0000-0000A2710000}"/>
    <cellStyle name="Normal 3 2 3 6 6" xfId="39625" xr:uid="{00000000-0005-0000-0000-0000A3710000}"/>
    <cellStyle name="Normal 3 2 3 7" xfId="23982" xr:uid="{00000000-0005-0000-0000-0000A4710000}"/>
    <cellStyle name="Normal 3 2 3 7 2" xfId="23983" xr:uid="{00000000-0005-0000-0000-0000A5710000}"/>
    <cellStyle name="Normal 3 2 3 7 2 2" xfId="23984" xr:uid="{00000000-0005-0000-0000-0000A6710000}"/>
    <cellStyle name="Normal 3 2 3 7 3" xfId="23985" xr:uid="{00000000-0005-0000-0000-0000A7710000}"/>
    <cellStyle name="Normal 3 2 3 7 4" xfId="23986" xr:uid="{00000000-0005-0000-0000-0000A8710000}"/>
    <cellStyle name="Normal 3 2 3 7 5" xfId="39627" xr:uid="{00000000-0005-0000-0000-0000A9710000}"/>
    <cellStyle name="Normal 3 2 3 8" xfId="23987" xr:uid="{00000000-0005-0000-0000-0000AA710000}"/>
    <cellStyle name="Normal 3 2 3 8 2" xfId="23988" xr:uid="{00000000-0005-0000-0000-0000AB710000}"/>
    <cellStyle name="Normal 3 2 3 8 2 2" xfId="23989" xr:uid="{00000000-0005-0000-0000-0000AC710000}"/>
    <cellStyle name="Normal 3 2 3 8 3" xfId="23990" xr:uid="{00000000-0005-0000-0000-0000AD710000}"/>
    <cellStyle name="Normal 3 2 3 8 4" xfId="23991" xr:uid="{00000000-0005-0000-0000-0000AE710000}"/>
    <cellStyle name="Normal 3 2 3 9" xfId="23992" xr:uid="{00000000-0005-0000-0000-0000AF710000}"/>
    <cellStyle name="Normal 3 2 3 9 2" xfId="23993" xr:uid="{00000000-0005-0000-0000-0000B0710000}"/>
    <cellStyle name="Normal 3 2 3 9 2 2" xfId="23994" xr:uid="{00000000-0005-0000-0000-0000B1710000}"/>
    <cellStyle name="Normal 3 2 3 9 3" xfId="23995" xr:uid="{00000000-0005-0000-0000-0000B2710000}"/>
    <cellStyle name="Normal 3 2 3 9 4" xfId="23996" xr:uid="{00000000-0005-0000-0000-0000B3710000}"/>
    <cellStyle name="Normal 3 2 4" xfId="23997" xr:uid="{00000000-0005-0000-0000-0000B4710000}"/>
    <cellStyle name="Normal 3 2 4 10" xfId="23998" xr:uid="{00000000-0005-0000-0000-0000B5710000}"/>
    <cellStyle name="Normal 3 2 4 11" xfId="23999" xr:uid="{00000000-0005-0000-0000-0000B6710000}"/>
    <cellStyle name="Normal 3 2 4 12" xfId="35370" xr:uid="{00000000-0005-0000-0000-0000B7710000}"/>
    <cellStyle name="Normal 3 2 4 2" xfId="24000" xr:uid="{00000000-0005-0000-0000-0000B8710000}"/>
    <cellStyle name="Normal 3 2 4 2 10" xfId="24001" xr:uid="{00000000-0005-0000-0000-0000B9710000}"/>
    <cellStyle name="Normal 3 2 4 2 11" xfId="35371" xr:uid="{00000000-0005-0000-0000-0000BA710000}"/>
    <cellStyle name="Normal 3 2 4 2 2" xfId="24002" xr:uid="{00000000-0005-0000-0000-0000BB710000}"/>
    <cellStyle name="Normal 3 2 4 2 2 10" xfId="35372" xr:uid="{00000000-0005-0000-0000-0000BC710000}"/>
    <cellStyle name="Normal 3 2 4 2 2 2" xfId="24003" xr:uid="{00000000-0005-0000-0000-0000BD710000}"/>
    <cellStyle name="Normal 3 2 4 2 2 2 2" xfId="24004" xr:uid="{00000000-0005-0000-0000-0000BE710000}"/>
    <cellStyle name="Normal 3 2 4 2 2 2 2 2" xfId="24005" xr:uid="{00000000-0005-0000-0000-0000BF710000}"/>
    <cellStyle name="Normal 3 2 4 2 2 2 2 2 2" xfId="24006" xr:uid="{00000000-0005-0000-0000-0000C0710000}"/>
    <cellStyle name="Normal 3 2 4 2 2 2 2 3" xfId="24007" xr:uid="{00000000-0005-0000-0000-0000C1710000}"/>
    <cellStyle name="Normal 3 2 4 2 2 2 2 4" xfId="24008" xr:uid="{00000000-0005-0000-0000-0000C2710000}"/>
    <cellStyle name="Normal 3 2 4 2 2 2 2 5" xfId="39629" xr:uid="{00000000-0005-0000-0000-0000C3710000}"/>
    <cellStyle name="Normal 3 2 4 2 2 2 3" xfId="24009" xr:uid="{00000000-0005-0000-0000-0000C4710000}"/>
    <cellStyle name="Normal 3 2 4 2 2 2 3 2" xfId="24010" xr:uid="{00000000-0005-0000-0000-0000C5710000}"/>
    <cellStyle name="Normal 3 2 4 2 2 2 4" xfId="24011" xr:uid="{00000000-0005-0000-0000-0000C6710000}"/>
    <cellStyle name="Normal 3 2 4 2 2 2 5" xfId="24012" xr:uid="{00000000-0005-0000-0000-0000C7710000}"/>
    <cellStyle name="Normal 3 2 4 2 2 2 6" xfId="39628" xr:uid="{00000000-0005-0000-0000-0000C8710000}"/>
    <cellStyle name="Normal 3 2 4 2 2 3" xfId="24013" xr:uid="{00000000-0005-0000-0000-0000C9710000}"/>
    <cellStyle name="Normal 3 2 4 2 2 3 2" xfId="24014" xr:uid="{00000000-0005-0000-0000-0000CA710000}"/>
    <cellStyle name="Normal 3 2 4 2 2 3 2 2" xfId="24015" xr:uid="{00000000-0005-0000-0000-0000CB710000}"/>
    <cellStyle name="Normal 3 2 4 2 2 3 2 2 2" xfId="24016" xr:uid="{00000000-0005-0000-0000-0000CC710000}"/>
    <cellStyle name="Normal 3 2 4 2 2 3 2 3" xfId="24017" xr:uid="{00000000-0005-0000-0000-0000CD710000}"/>
    <cellStyle name="Normal 3 2 4 2 2 3 2 4" xfId="24018" xr:uid="{00000000-0005-0000-0000-0000CE710000}"/>
    <cellStyle name="Normal 3 2 4 2 2 3 2 5" xfId="39631" xr:uid="{00000000-0005-0000-0000-0000CF710000}"/>
    <cellStyle name="Normal 3 2 4 2 2 3 3" xfId="24019" xr:uid="{00000000-0005-0000-0000-0000D0710000}"/>
    <cellStyle name="Normal 3 2 4 2 2 3 3 2" xfId="24020" xr:uid="{00000000-0005-0000-0000-0000D1710000}"/>
    <cellStyle name="Normal 3 2 4 2 2 3 4" xfId="24021" xr:uid="{00000000-0005-0000-0000-0000D2710000}"/>
    <cellStyle name="Normal 3 2 4 2 2 3 5" xfId="24022" xr:uid="{00000000-0005-0000-0000-0000D3710000}"/>
    <cellStyle name="Normal 3 2 4 2 2 3 6" xfId="39630" xr:uid="{00000000-0005-0000-0000-0000D4710000}"/>
    <cellStyle name="Normal 3 2 4 2 2 4" xfId="24023" xr:uid="{00000000-0005-0000-0000-0000D5710000}"/>
    <cellStyle name="Normal 3 2 4 2 2 4 2" xfId="24024" xr:uid="{00000000-0005-0000-0000-0000D6710000}"/>
    <cellStyle name="Normal 3 2 4 2 2 4 2 2" xfId="24025" xr:uid="{00000000-0005-0000-0000-0000D7710000}"/>
    <cellStyle name="Normal 3 2 4 2 2 4 3" xfId="24026" xr:uid="{00000000-0005-0000-0000-0000D8710000}"/>
    <cellStyle name="Normal 3 2 4 2 2 4 4" xfId="24027" xr:uid="{00000000-0005-0000-0000-0000D9710000}"/>
    <cellStyle name="Normal 3 2 4 2 2 4 5" xfId="39632" xr:uid="{00000000-0005-0000-0000-0000DA710000}"/>
    <cellStyle name="Normal 3 2 4 2 2 5" xfId="24028" xr:uid="{00000000-0005-0000-0000-0000DB710000}"/>
    <cellStyle name="Normal 3 2 4 2 2 5 2" xfId="24029" xr:uid="{00000000-0005-0000-0000-0000DC710000}"/>
    <cellStyle name="Normal 3 2 4 2 2 5 2 2" xfId="24030" xr:uid="{00000000-0005-0000-0000-0000DD710000}"/>
    <cellStyle name="Normal 3 2 4 2 2 5 3" xfId="24031" xr:uid="{00000000-0005-0000-0000-0000DE710000}"/>
    <cellStyle name="Normal 3 2 4 2 2 5 4" xfId="24032" xr:uid="{00000000-0005-0000-0000-0000DF710000}"/>
    <cellStyle name="Normal 3 2 4 2 2 6" xfId="24033" xr:uid="{00000000-0005-0000-0000-0000E0710000}"/>
    <cellStyle name="Normal 3 2 4 2 2 6 2" xfId="24034" xr:uid="{00000000-0005-0000-0000-0000E1710000}"/>
    <cellStyle name="Normal 3 2 4 2 2 6 2 2" xfId="24035" xr:uid="{00000000-0005-0000-0000-0000E2710000}"/>
    <cellStyle name="Normal 3 2 4 2 2 6 3" xfId="24036" xr:uid="{00000000-0005-0000-0000-0000E3710000}"/>
    <cellStyle name="Normal 3 2 4 2 2 6 4" xfId="24037" xr:uid="{00000000-0005-0000-0000-0000E4710000}"/>
    <cellStyle name="Normal 3 2 4 2 2 7" xfId="24038" xr:uid="{00000000-0005-0000-0000-0000E5710000}"/>
    <cellStyle name="Normal 3 2 4 2 2 7 2" xfId="24039" xr:uid="{00000000-0005-0000-0000-0000E6710000}"/>
    <cellStyle name="Normal 3 2 4 2 2 8" xfId="24040" xr:uid="{00000000-0005-0000-0000-0000E7710000}"/>
    <cellStyle name="Normal 3 2 4 2 2 9" xfId="24041" xr:uid="{00000000-0005-0000-0000-0000E8710000}"/>
    <cellStyle name="Normal 3 2 4 2 3" xfId="24042" xr:uid="{00000000-0005-0000-0000-0000E9710000}"/>
    <cellStyle name="Normal 3 2 4 2 3 2" xfId="24043" xr:uid="{00000000-0005-0000-0000-0000EA710000}"/>
    <cellStyle name="Normal 3 2 4 2 3 2 2" xfId="24044" xr:uid="{00000000-0005-0000-0000-0000EB710000}"/>
    <cellStyle name="Normal 3 2 4 2 3 2 2 2" xfId="24045" xr:uid="{00000000-0005-0000-0000-0000EC710000}"/>
    <cellStyle name="Normal 3 2 4 2 3 2 3" xfId="24046" xr:uid="{00000000-0005-0000-0000-0000ED710000}"/>
    <cellStyle name="Normal 3 2 4 2 3 2 4" xfId="24047" xr:uid="{00000000-0005-0000-0000-0000EE710000}"/>
    <cellStyle name="Normal 3 2 4 2 3 2 5" xfId="39634" xr:uid="{00000000-0005-0000-0000-0000EF710000}"/>
    <cellStyle name="Normal 3 2 4 2 3 3" xfId="24048" xr:uid="{00000000-0005-0000-0000-0000F0710000}"/>
    <cellStyle name="Normal 3 2 4 2 3 3 2" xfId="24049" xr:uid="{00000000-0005-0000-0000-0000F1710000}"/>
    <cellStyle name="Normal 3 2 4 2 3 4" xfId="24050" xr:uid="{00000000-0005-0000-0000-0000F2710000}"/>
    <cellStyle name="Normal 3 2 4 2 3 5" xfId="24051" xr:uid="{00000000-0005-0000-0000-0000F3710000}"/>
    <cellStyle name="Normal 3 2 4 2 3 6" xfId="39633" xr:uid="{00000000-0005-0000-0000-0000F4710000}"/>
    <cellStyle name="Normal 3 2 4 2 4" xfId="24052" xr:uid="{00000000-0005-0000-0000-0000F5710000}"/>
    <cellStyle name="Normal 3 2 4 2 4 2" xfId="24053" xr:uid="{00000000-0005-0000-0000-0000F6710000}"/>
    <cellStyle name="Normal 3 2 4 2 4 2 2" xfId="24054" xr:uid="{00000000-0005-0000-0000-0000F7710000}"/>
    <cellStyle name="Normal 3 2 4 2 4 2 2 2" xfId="24055" xr:uid="{00000000-0005-0000-0000-0000F8710000}"/>
    <cellStyle name="Normal 3 2 4 2 4 2 3" xfId="24056" xr:uid="{00000000-0005-0000-0000-0000F9710000}"/>
    <cellStyle name="Normal 3 2 4 2 4 2 4" xfId="24057" xr:uid="{00000000-0005-0000-0000-0000FA710000}"/>
    <cellStyle name="Normal 3 2 4 2 4 2 5" xfId="39636" xr:uid="{00000000-0005-0000-0000-0000FB710000}"/>
    <cellStyle name="Normal 3 2 4 2 4 3" xfId="24058" xr:uid="{00000000-0005-0000-0000-0000FC710000}"/>
    <cellStyle name="Normal 3 2 4 2 4 3 2" xfId="24059" xr:uid="{00000000-0005-0000-0000-0000FD710000}"/>
    <cellStyle name="Normal 3 2 4 2 4 4" xfId="24060" xr:uid="{00000000-0005-0000-0000-0000FE710000}"/>
    <cellStyle name="Normal 3 2 4 2 4 5" xfId="24061" xr:uid="{00000000-0005-0000-0000-0000FF710000}"/>
    <cellStyle name="Normal 3 2 4 2 4 6" xfId="39635" xr:uid="{00000000-0005-0000-0000-000000720000}"/>
    <cellStyle name="Normal 3 2 4 2 5" xfId="24062" xr:uid="{00000000-0005-0000-0000-000001720000}"/>
    <cellStyle name="Normal 3 2 4 2 5 2" xfId="24063" xr:uid="{00000000-0005-0000-0000-000002720000}"/>
    <cellStyle name="Normal 3 2 4 2 5 2 2" xfId="24064" xr:uid="{00000000-0005-0000-0000-000003720000}"/>
    <cellStyle name="Normal 3 2 4 2 5 3" xfId="24065" xr:uid="{00000000-0005-0000-0000-000004720000}"/>
    <cellStyle name="Normal 3 2 4 2 5 4" xfId="24066" xr:uid="{00000000-0005-0000-0000-000005720000}"/>
    <cellStyle name="Normal 3 2 4 2 5 5" xfId="39637" xr:uid="{00000000-0005-0000-0000-000006720000}"/>
    <cellStyle name="Normal 3 2 4 2 6" xfId="24067" xr:uid="{00000000-0005-0000-0000-000007720000}"/>
    <cellStyle name="Normal 3 2 4 2 6 2" xfId="24068" xr:uid="{00000000-0005-0000-0000-000008720000}"/>
    <cellStyle name="Normal 3 2 4 2 6 2 2" xfId="24069" xr:uid="{00000000-0005-0000-0000-000009720000}"/>
    <cellStyle name="Normal 3 2 4 2 6 3" xfId="24070" xr:uid="{00000000-0005-0000-0000-00000A720000}"/>
    <cellStyle name="Normal 3 2 4 2 6 4" xfId="24071" xr:uid="{00000000-0005-0000-0000-00000B720000}"/>
    <cellStyle name="Normal 3 2 4 2 7" xfId="24072" xr:uid="{00000000-0005-0000-0000-00000C720000}"/>
    <cellStyle name="Normal 3 2 4 2 7 2" xfId="24073" xr:uid="{00000000-0005-0000-0000-00000D720000}"/>
    <cellStyle name="Normal 3 2 4 2 7 2 2" xfId="24074" xr:uid="{00000000-0005-0000-0000-00000E720000}"/>
    <cellStyle name="Normal 3 2 4 2 7 3" xfId="24075" xr:uid="{00000000-0005-0000-0000-00000F720000}"/>
    <cellStyle name="Normal 3 2 4 2 7 4" xfId="24076" xr:uid="{00000000-0005-0000-0000-000010720000}"/>
    <cellStyle name="Normal 3 2 4 2 8" xfId="24077" xr:uid="{00000000-0005-0000-0000-000011720000}"/>
    <cellStyle name="Normal 3 2 4 2 8 2" xfId="24078" xr:uid="{00000000-0005-0000-0000-000012720000}"/>
    <cellStyle name="Normal 3 2 4 2 9" xfId="24079" xr:uid="{00000000-0005-0000-0000-000013720000}"/>
    <cellStyle name="Normal 3 2 4 3" xfId="24080" xr:uid="{00000000-0005-0000-0000-000014720000}"/>
    <cellStyle name="Normal 3 2 4 3 10" xfId="35373" xr:uid="{00000000-0005-0000-0000-000015720000}"/>
    <cellStyle name="Normal 3 2 4 3 2" xfId="24081" xr:uid="{00000000-0005-0000-0000-000016720000}"/>
    <cellStyle name="Normal 3 2 4 3 2 2" xfId="24082" xr:uid="{00000000-0005-0000-0000-000017720000}"/>
    <cellStyle name="Normal 3 2 4 3 2 2 2" xfId="24083" xr:uid="{00000000-0005-0000-0000-000018720000}"/>
    <cellStyle name="Normal 3 2 4 3 2 2 2 2" xfId="24084" xr:uid="{00000000-0005-0000-0000-000019720000}"/>
    <cellStyle name="Normal 3 2 4 3 2 2 3" xfId="24085" xr:uid="{00000000-0005-0000-0000-00001A720000}"/>
    <cellStyle name="Normal 3 2 4 3 2 2 4" xfId="24086" xr:uid="{00000000-0005-0000-0000-00001B720000}"/>
    <cellStyle name="Normal 3 2 4 3 2 2 5" xfId="39639" xr:uid="{00000000-0005-0000-0000-00001C720000}"/>
    <cellStyle name="Normal 3 2 4 3 2 3" xfId="24087" xr:uid="{00000000-0005-0000-0000-00001D720000}"/>
    <cellStyle name="Normal 3 2 4 3 2 3 2" xfId="24088" xr:uid="{00000000-0005-0000-0000-00001E720000}"/>
    <cellStyle name="Normal 3 2 4 3 2 4" xfId="24089" xr:uid="{00000000-0005-0000-0000-00001F720000}"/>
    <cellStyle name="Normal 3 2 4 3 2 5" xfId="24090" xr:uid="{00000000-0005-0000-0000-000020720000}"/>
    <cellStyle name="Normal 3 2 4 3 2 6" xfId="39638" xr:uid="{00000000-0005-0000-0000-000021720000}"/>
    <cellStyle name="Normal 3 2 4 3 3" xfId="24091" xr:uid="{00000000-0005-0000-0000-000022720000}"/>
    <cellStyle name="Normal 3 2 4 3 3 2" xfId="24092" xr:uid="{00000000-0005-0000-0000-000023720000}"/>
    <cellStyle name="Normal 3 2 4 3 3 2 2" xfId="24093" xr:uid="{00000000-0005-0000-0000-000024720000}"/>
    <cellStyle name="Normal 3 2 4 3 3 2 2 2" xfId="24094" xr:uid="{00000000-0005-0000-0000-000025720000}"/>
    <cellStyle name="Normal 3 2 4 3 3 2 3" xfId="24095" xr:uid="{00000000-0005-0000-0000-000026720000}"/>
    <cellStyle name="Normal 3 2 4 3 3 2 4" xfId="24096" xr:uid="{00000000-0005-0000-0000-000027720000}"/>
    <cellStyle name="Normal 3 2 4 3 3 2 5" xfId="39641" xr:uid="{00000000-0005-0000-0000-000028720000}"/>
    <cellStyle name="Normal 3 2 4 3 3 3" xfId="24097" xr:uid="{00000000-0005-0000-0000-000029720000}"/>
    <cellStyle name="Normal 3 2 4 3 3 3 2" xfId="24098" xr:uid="{00000000-0005-0000-0000-00002A720000}"/>
    <cellStyle name="Normal 3 2 4 3 3 4" xfId="24099" xr:uid="{00000000-0005-0000-0000-00002B720000}"/>
    <cellStyle name="Normal 3 2 4 3 3 5" xfId="24100" xr:uid="{00000000-0005-0000-0000-00002C720000}"/>
    <cellStyle name="Normal 3 2 4 3 3 6" xfId="39640" xr:uid="{00000000-0005-0000-0000-00002D720000}"/>
    <cellStyle name="Normal 3 2 4 3 4" xfId="24101" xr:uid="{00000000-0005-0000-0000-00002E720000}"/>
    <cellStyle name="Normal 3 2 4 3 4 2" xfId="24102" xr:uid="{00000000-0005-0000-0000-00002F720000}"/>
    <cellStyle name="Normal 3 2 4 3 4 2 2" xfId="24103" xr:uid="{00000000-0005-0000-0000-000030720000}"/>
    <cellStyle name="Normal 3 2 4 3 4 3" xfId="24104" xr:uid="{00000000-0005-0000-0000-000031720000}"/>
    <cellStyle name="Normal 3 2 4 3 4 4" xfId="24105" xr:uid="{00000000-0005-0000-0000-000032720000}"/>
    <cellStyle name="Normal 3 2 4 3 4 5" xfId="39642" xr:uid="{00000000-0005-0000-0000-000033720000}"/>
    <cellStyle name="Normal 3 2 4 3 5" xfId="24106" xr:uid="{00000000-0005-0000-0000-000034720000}"/>
    <cellStyle name="Normal 3 2 4 3 5 2" xfId="24107" xr:uid="{00000000-0005-0000-0000-000035720000}"/>
    <cellStyle name="Normal 3 2 4 3 5 2 2" xfId="24108" xr:uid="{00000000-0005-0000-0000-000036720000}"/>
    <cellStyle name="Normal 3 2 4 3 5 3" xfId="24109" xr:uid="{00000000-0005-0000-0000-000037720000}"/>
    <cellStyle name="Normal 3 2 4 3 5 4" xfId="24110" xr:uid="{00000000-0005-0000-0000-000038720000}"/>
    <cellStyle name="Normal 3 2 4 3 6" xfId="24111" xr:uid="{00000000-0005-0000-0000-000039720000}"/>
    <cellStyle name="Normal 3 2 4 3 6 2" xfId="24112" xr:uid="{00000000-0005-0000-0000-00003A720000}"/>
    <cellStyle name="Normal 3 2 4 3 6 2 2" xfId="24113" xr:uid="{00000000-0005-0000-0000-00003B720000}"/>
    <cellStyle name="Normal 3 2 4 3 6 3" xfId="24114" xr:uid="{00000000-0005-0000-0000-00003C720000}"/>
    <cellStyle name="Normal 3 2 4 3 6 4" xfId="24115" xr:uid="{00000000-0005-0000-0000-00003D720000}"/>
    <cellStyle name="Normal 3 2 4 3 7" xfId="24116" xr:uid="{00000000-0005-0000-0000-00003E720000}"/>
    <cellStyle name="Normal 3 2 4 3 7 2" xfId="24117" xr:uid="{00000000-0005-0000-0000-00003F720000}"/>
    <cellStyle name="Normal 3 2 4 3 8" xfId="24118" xr:uid="{00000000-0005-0000-0000-000040720000}"/>
    <cellStyle name="Normal 3 2 4 3 9" xfId="24119" xr:uid="{00000000-0005-0000-0000-000041720000}"/>
    <cellStyle name="Normal 3 2 4 4" xfId="24120" xr:uid="{00000000-0005-0000-0000-000042720000}"/>
    <cellStyle name="Normal 3 2 4 4 2" xfId="24121" xr:uid="{00000000-0005-0000-0000-000043720000}"/>
    <cellStyle name="Normal 3 2 4 4 2 2" xfId="24122" xr:uid="{00000000-0005-0000-0000-000044720000}"/>
    <cellStyle name="Normal 3 2 4 4 2 2 2" xfId="24123" xr:uid="{00000000-0005-0000-0000-000045720000}"/>
    <cellStyle name="Normal 3 2 4 4 2 3" xfId="24124" xr:uid="{00000000-0005-0000-0000-000046720000}"/>
    <cellStyle name="Normal 3 2 4 4 2 4" xfId="24125" xr:uid="{00000000-0005-0000-0000-000047720000}"/>
    <cellStyle name="Normal 3 2 4 4 2 5" xfId="39644" xr:uid="{00000000-0005-0000-0000-000048720000}"/>
    <cellStyle name="Normal 3 2 4 4 3" xfId="24126" xr:uid="{00000000-0005-0000-0000-000049720000}"/>
    <cellStyle name="Normal 3 2 4 4 3 2" xfId="24127" xr:uid="{00000000-0005-0000-0000-00004A720000}"/>
    <cellStyle name="Normal 3 2 4 4 4" xfId="24128" xr:uid="{00000000-0005-0000-0000-00004B720000}"/>
    <cellStyle name="Normal 3 2 4 4 5" xfId="24129" xr:uid="{00000000-0005-0000-0000-00004C720000}"/>
    <cellStyle name="Normal 3 2 4 4 6" xfId="39643" xr:uid="{00000000-0005-0000-0000-00004D720000}"/>
    <cellStyle name="Normal 3 2 4 5" xfId="24130" xr:uid="{00000000-0005-0000-0000-00004E720000}"/>
    <cellStyle name="Normal 3 2 4 5 2" xfId="24131" xr:uid="{00000000-0005-0000-0000-00004F720000}"/>
    <cellStyle name="Normal 3 2 4 5 2 2" xfId="24132" xr:uid="{00000000-0005-0000-0000-000050720000}"/>
    <cellStyle name="Normal 3 2 4 5 2 2 2" xfId="24133" xr:uid="{00000000-0005-0000-0000-000051720000}"/>
    <cellStyle name="Normal 3 2 4 5 2 3" xfId="24134" xr:uid="{00000000-0005-0000-0000-000052720000}"/>
    <cellStyle name="Normal 3 2 4 5 2 4" xfId="24135" xr:uid="{00000000-0005-0000-0000-000053720000}"/>
    <cellStyle name="Normal 3 2 4 5 2 5" xfId="39646" xr:uid="{00000000-0005-0000-0000-000054720000}"/>
    <cellStyle name="Normal 3 2 4 5 3" xfId="24136" xr:uid="{00000000-0005-0000-0000-000055720000}"/>
    <cellStyle name="Normal 3 2 4 5 3 2" xfId="24137" xr:uid="{00000000-0005-0000-0000-000056720000}"/>
    <cellStyle name="Normal 3 2 4 5 4" xfId="24138" xr:uid="{00000000-0005-0000-0000-000057720000}"/>
    <cellStyle name="Normal 3 2 4 5 5" xfId="24139" xr:uid="{00000000-0005-0000-0000-000058720000}"/>
    <cellStyle name="Normal 3 2 4 5 6" xfId="39645" xr:uid="{00000000-0005-0000-0000-000059720000}"/>
    <cellStyle name="Normal 3 2 4 6" xfId="24140" xr:uid="{00000000-0005-0000-0000-00005A720000}"/>
    <cellStyle name="Normal 3 2 4 6 2" xfId="24141" xr:uid="{00000000-0005-0000-0000-00005B720000}"/>
    <cellStyle name="Normal 3 2 4 6 2 2" xfId="24142" xr:uid="{00000000-0005-0000-0000-00005C720000}"/>
    <cellStyle name="Normal 3 2 4 6 3" xfId="24143" xr:uid="{00000000-0005-0000-0000-00005D720000}"/>
    <cellStyle name="Normal 3 2 4 6 4" xfId="24144" xr:uid="{00000000-0005-0000-0000-00005E720000}"/>
    <cellStyle name="Normal 3 2 4 6 5" xfId="39647" xr:uid="{00000000-0005-0000-0000-00005F720000}"/>
    <cellStyle name="Normal 3 2 4 7" xfId="24145" xr:uid="{00000000-0005-0000-0000-000060720000}"/>
    <cellStyle name="Normal 3 2 4 7 2" xfId="24146" xr:uid="{00000000-0005-0000-0000-000061720000}"/>
    <cellStyle name="Normal 3 2 4 7 2 2" xfId="24147" xr:uid="{00000000-0005-0000-0000-000062720000}"/>
    <cellStyle name="Normal 3 2 4 7 3" xfId="24148" xr:uid="{00000000-0005-0000-0000-000063720000}"/>
    <cellStyle name="Normal 3 2 4 7 4" xfId="24149" xr:uid="{00000000-0005-0000-0000-000064720000}"/>
    <cellStyle name="Normal 3 2 4 8" xfId="24150" xr:uid="{00000000-0005-0000-0000-000065720000}"/>
    <cellStyle name="Normal 3 2 4 8 2" xfId="24151" xr:uid="{00000000-0005-0000-0000-000066720000}"/>
    <cellStyle name="Normal 3 2 4 8 2 2" xfId="24152" xr:uid="{00000000-0005-0000-0000-000067720000}"/>
    <cellStyle name="Normal 3 2 4 8 3" xfId="24153" xr:uid="{00000000-0005-0000-0000-000068720000}"/>
    <cellStyle name="Normal 3 2 4 8 4" xfId="24154" xr:uid="{00000000-0005-0000-0000-000069720000}"/>
    <cellStyle name="Normal 3 2 4 9" xfId="24155" xr:uid="{00000000-0005-0000-0000-00006A720000}"/>
    <cellStyle name="Normal 3 2 4 9 2" xfId="24156" xr:uid="{00000000-0005-0000-0000-00006B720000}"/>
    <cellStyle name="Normal 3 2 5" xfId="24157" xr:uid="{00000000-0005-0000-0000-00006C720000}"/>
    <cellStyle name="Normal 3 2 5 10" xfId="24158" xr:uid="{00000000-0005-0000-0000-00006D720000}"/>
    <cellStyle name="Normal 3 2 5 11" xfId="35374" xr:uid="{00000000-0005-0000-0000-00006E720000}"/>
    <cellStyle name="Normal 3 2 5 2" xfId="24159" xr:uid="{00000000-0005-0000-0000-00006F720000}"/>
    <cellStyle name="Normal 3 2 5 2 10" xfId="35375" xr:uid="{00000000-0005-0000-0000-000070720000}"/>
    <cellStyle name="Normal 3 2 5 2 2" xfId="24160" xr:uid="{00000000-0005-0000-0000-000071720000}"/>
    <cellStyle name="Normal 3 2 5 2 2 2" xfId="24161" xr:uid="{00000000-0005-0000-0000-000072720000}"/>
    <cellStyle name="Normal 3 2 5 2 2 2 2" xfId="24162" xr:uid="{00000000-0005-0000-0000-000073720000}"/>
    <cellStyle name="Normal 3 2 5 2 2 2 2 2" xfId="24163" xr:uid="{00000000-0005-0000-0000-000074720000}"/>
    <cellStyle name="Normal 3 2 5 2 2 2 3" xfId="24164" xr:uid="{00000000-0005-0000-0000-000075720000}"/>
    <cellStyle name="Normal 3 2 5 2 2 2 4" xfId="24165" xr:uid="{00000000-0005-0000-0000-000076720000}"/>
    <cellStyle name="Normal 3 2 5 2 2 2 5" xfId="39649" xr:uid="{00000000-0005-0000-0000-000077720000}"/>
    <cellStyle name="Normal 3 2 5 2 2 3" xfId="24166" xr:uid="{00000000-0005-0000-0000-000078720000}"/>
    <cellStyle name="Normal 3 2 5 2 2 3 2" xfId="24167" xr:uid="{00000000-0005-0000-0000-000079720000}"/>
    <cellStyle name="Normal 3 2 5 2 2 4" xfId="24168" xr:uid="{00000000-0005-0000-0000-00007A720000}"/>
    <cellStyle name="Normal 3 2 5 2 2 5" xfId="24169" xr:uid="{00000000-0005-0000-0000-00007B720000}"/>
    <cellStyle name="Normal 3 2 5 2 2 6" xfId="39648" xr:uid="{00000000-0005-0000-0000-00007C720000}"/>
    <cellStyle name="Normal 3 2 5 2 3" xfId="24170" xr:uid="{00000000-0005-0000-0000-00007D720000}"/>
    <cellStyle name="Normal 3 2 5 2 3 2" xfId="24171" xr:uid="{00000000-0005-0000-0000-00007E720000}"/>
    <cellStyle name="Normal 3 2 5 2 3 2 2" xfId="24172" xr:uid="{00000000-0005-0000-0000-00007F720000}"/>
    <cellStyle name="Normal 3 2 5 2 3 2 2 2" xfId="24173" xr:uid="{00000000-0005-0000-0000-000080720000}"/>
    <cellStyle name="Normal 3 2 5 2 3 2 3" xfId="24174" xr:uid="{00000000-0005-0000-0000-000081720000}"/>
    <cellStyle name="Normal 3 2 5 2 3 2 4" xfId="24175" xr:uid="{00000000-0005-0000-0000-000082720000}"/>
    <cellStyle name="Normal 3 2 5 2 3 2 5" xfId="39651" xr:uid="{00000000-0005-0000-0000-000083720000}"/>
    <cellStyle name="Normal 3 2 5 2 3 3" xfId="24176" xr:uid="{00000000-0005-0000-0000-000084720000}"/>
    <cellStyle name="Normal 3 2 5 2 3 3 2" xfId="24177" xr:uid="{00000000-0005-0000-0000-000085720000}"/>
    <cellStyle name="Normal 3 2 5 2 3 4" xfId="24178" xr:uid="{00000000-0005-0000-0000-000086720000}"/>
    <cellStyle name="Normal 3 2 5 2 3 5" xfId="24179" xr:uid="{00000000-0005-0000-0000-000087720000}"/>
    <cellStyle name="Normal 3 2 5 2 3 6" xfId="39650" xr:uid="{00000000-0005-0000-0000-000088720000}"/>
    <cellStyle name="Normal 3 2 5 2 4" xfId="24180" xr:uid="{00000000-0005-0000-0000-000089720000}"/>
    <cellStyle name="Normal 3 2 5 2 4 2" xfId="24181" xr:uid="{00000000-0005-0000-0000-00008A720000}"/>
    <cellStyle name="Normal 3 2 5 2 4 2 2" xfId="24182" xr:uid="{00000000-0005-0000-0000-00008B720000}"/>
    <cellStyle name="Normal 3 2 5 2 4 3" xfId="24183" xr:uid="{00000000-0005-0000-0000-00008C720000}"/>
    <cellStyle name="Normal 3 2 5 2 4 4" xfId="24184" xr:uid="{00000000-0005-0000-0000-00008D720000}"/>
    <cellStyle name="Normal 3 2 5 2 4 5" xfId="39652" xr:uid="{00000000-0005-0000-0000-00008E720000}"/>
    <cellStyle name="Normal 3 2 5 2 5" xfId="24185" xr:uid="{00000000-0005-0000-0000-00008F720000}"/>
    <cellStyle name="Normal 3 2 5 2 5 2" xfId="24186" xr:uid="{00000000-0005-0000-0000-000090720000}"/>
    <cellStyle name="Normal 3 2 5 2 5 2 2" xfId="24187" xr:uid="{00000000-0005-0000-0000-000091720000}"/>
    <cellStyle name="Normal 3 2 5 2 5 3" xfId="24188" xr:uid="{00000000-0005-0000-0000-000092720000}"/>
    <cellStyle name="Normal 3 2 5 2 5 4" xfId="24189" xr:uid="{00000000-0005-0000-0000-000093720000}"/>
    <cellStyle name="Normal 3 2 5 2 6" xfId="24190" xr:uid="{00000000-0005-0000-0000-000094720000}"/>
    <cellStyle name="Normal 3 2 5 2 6 2" xfId="24191" xr:uid="{00000000-0005-0000-0000-000095720000}"/>
    <cellStyle name="Normal 3 2 5 2 6 2 2" xfId="24192" xr:uid="{00000000-0005-0000-0000-000096720000}"/>
    <cellStyle name="Normal 3 2 5 2 6 3" xfId="24193" xr:uid="{00000000-0005-0000-0000-000097720000}"/>
    <cellStyle name="Normal 3 2 5 2 6 4" xfId="24194" xr:uid="{00000000-0005-0000-0000-000098720000}"/>
    <cellStyle name="Normal 3 2 5 2 7" xfId="24195" xr:uid="{00000000-0005-0000-0000-000099720000}"/>
    <cellStyle name="Normal 3 2 5 2 7 2" xfId="24196" xr:uid="{00000000-0005-0000-0000-00009A720000}"/>
    <cellStyle name="Normal 3 2 5 2 8" xfId="24197" xr:uid="{00000000-0005-0000-0000-00009B720000}"/>
    <cellStyle name="Normal 3 2 5 2 9" xfId="24198" xr:uid="{00000000-0005-0000-0000-00009C720000}"/>
    <cellStyle name="Normal 3 2 5 3" xfId="24199" xr:uid="{00000000-0005-0000-0000-00009D720000}"/>
    <cellStyle name="Normal 3 2 5 3 2" xfId="24200" xr:uid="{00000000-0005-0000-0000-00009E720000}"/>
    <cellStyle name="Normal 3 2 5 3 2 2" xfId="24201" xr:uid="{00000000-0005-0000-0000-00009F720000}"/>
    <cellStyle name="Normal 3 2 5 3 2 2 2" xfId="24202" xr:uid="{00000000-0005-0000-0000-0000A0720000}"/>
    <cellStyle name="Normal 3 2 5 3 2 3" xfId="24203" xr:uid="{00000000-0005-0000-0000-0000A1720000}"/>
    <cellStyle name="Normal 3 2 5 3 2 4" xfId="24204" xr:uid="{00000000-0005-0000-0000-0000A2720000}"/>
    <cellStyle name="Normal 3 2 5 3 2 5" xfId="39654" xr:uid="{00000000-0005-0000-0000-0000A3720000}"/>
    <cellStyle name="Normal 3 2 5 3 3" xfId="24205" xr:uid="{00000000-0005-0000-0000-0000A4720000}"/>
    <cellStyle name="Normal 3 2 5 3 3 2" xfId="24206" xr:uid="{00000000-0005-0000-0000-0000A5720000}"/>
    <cellStyle name="Normal 3 2 5 3 4" xfId="24207" xr:uid="{00000000-0005-0000-0000-0000A6720000}"/>
    <cellStyle name="Normal 3 2 5 3 5" xfId="24208" xr:uid="{00000000-0005-0000-0000-0000A7720000}"/>
    <cellStyle name="Normal 3 2 5 3 6" xfId="39653" xr:uid="{00000000-0005-0000-0000-0000A8720000}"/>
    <cellStyle name="Normal 3 2 5 4" xfId="24209" xr:uid="{00000000-0005-0000-0000-0000A9720000}"/>
    <cellStyle name="Normal 3 2 5 4 2" xfId="24210" xr:uid="{00000000-0005-0000-0000-0000AA720000}"/>
    <cellStyle name="Normal 3 2 5 4 2 2" xfId="24211" xr:uid="{00000000-0005-0000-0000-0000AB720000}"/>
    <cellStyle name="Normal 3 2 5 4 2 2 2" xfId="24212" xr:uid="{00000000-0005-0000-0000-0000AC720000}"/>
    <cellStyle name="Normal 3 2 5 4 2 3" xfId="24213" xr:uid="{00000000-0005-0000-0000-0000AD720000}"/>
    <cellStyle name="Normal 3 2 5 4 2 4" xfId="24214" xr:uid="{00000000-0005-0000-0000-0000AE720000}"/>
    <cellStyle name="Normal 3 2 5 4 2 5" xfId="39656" xr:uid="{00000000-0005-0000-0000-0000AF720000}"/>
    <cellStyle name="Normal 3 2 5 4 3" xfId="24215" xr:uid="{00000000-0005-0000-0000-0000B0720000}"/>
    <cellStyle name="Normal 3 2 5 4 3 2" xfId="24216" xr:uid="{00000000-0005-0000-0000-0000B1720000}"/>
    <cellStyle name="Normal 3 2 5 4 4" xfId="24217" xr:uid="{00000000-0005-0000-0000-0000B2720000}"/>
    <cellStyle name="Normal 3 2 5 4 5" xfId="24218" xr:uid="{00000000-0005-0000-0000-0000B3720000}"/>
    <cellStyle name="Normal 3 2 5 4 6" xfId="39655" xr:uid="{00000000-0005-0000-0000-0000B4720000}"/>
    <cellStyle name="Normal 3 2 5 5" xfId="24219" xr:uid="{00000000-0005-0000-0000-0000B5720000}"/>
    <cellStyle name="Normal 3 2 5 5 2" xfId="24220" xr:uid="{00000000-0005-0000-0000-0000B6720000}"/>
    <cellStyle name="Normal 3 2 5 5 2 2" xfId="24221" xr:uid="{00000000-0005-0000-0000-0000B7720000}"/>
    <cellStyle name="Normal 3 2 5 5 3" xfId="24222" xr:uid="{00000000-0005-0000-0000-0000B8720000}"/>
    <cellStyle name="Normal 3 2 5 5 4" xfId="24223" xr:uid="{00000000-0005-0000-0000-0000B9720000}"/>
    <cellStyle name="Normal 3 2 5 5 5" xfId="39657" xr:uid="{00000000-0005-0000-0000-0000BA720000}"/>
    <cellStyle name="Normal 3 2 5 6" xfId="24224" xr:uid="{00000000-0005-0000-0000-0000BB720000}"/>
    <cellStyle name="Normal 3 2 5 6 2" xfId="24225" xr:uid="{00000000-0005-0000-0000-0000BC720000}"/>
    <cellStyle name="Normal 3 2 5 6 2 2" xfId="24226" xr:uid="{00000000-0005-0000-0000-0000BD720000}"/>
    <cellStyle name="Normal 3 2 5 6 3" xfId="24227" xr:uid="{00000000-0005-0000-0000-0000BE720000}"/>
    <cellStyle name="Normal 3 2 5 6 4" xfId="24228" xr:uid="{00000000-0005-0000-0000-0000BF720000}"/>
    <cellStyle name="Normal 3 2 5 7" xfId="24229" xr:uid="{00000000-0005-0000-0000-0000C0720000}"/>
    <cellStyle name="Normal 3 2 5 7 2" xfId="24230" xr:uid="{00000000-0005-0000-0000-0000C1720000}"/>
    <cellStyle name="Normal 3 2 5 7 2 2" xfId="24231" xr:uid="{00000000-0005-0000-0000-0000C2720000}"/>
    <cellStyle name="Normal 3 2 5 7 3" xfId="24232" xr:uid="{00000000-0005-0000-0000-0000C3720000}"/>
    <cellStyle name="Normal 3 2 5 7 4" xfId="24233" xr:uid="{00000000-0005-0000-0000-0000C4720000}"/>
    <cellStyle name="Normal 3 2 5 8" xfId="24234" xr:uid="{00000000-0005-0000-0000-0000C5720000}"/>
    <cellStyle name="Normal 3 2 5 8 2" xfId="24235" xr:uid="{00000000-0005-0000-0000-0000C6720000}"/>
    <cellStyle name="Normal 3 2 5 9" xfId="24236" xr:uid="{00000000-0005-0000-0000-0000C7720000}"/>
    <cellStyle name="Normal 3 2 6" xfId="24237" xr:uid="{00000000-0005-0000-0000-0000C8720000}"/>
    <cellStyle name="Normal 3 2 6 10" xfId="35376" xr:uid="{00000000-0005-0000-0000-0000C9720000}"/>
    <cellStyle name="Normal 3 2 6 2" xfId="24238" xr:uid="{00000000-0005-0000-0000-0000CA720000}"/>
    <cellStyle name="Normal 3 2 6 2 2" xfId="24239" xr:uid="{00000000-0005-0000-0000-0000CB720000}"/>
    <cellStyle name="Normal 3 2 6 2 2 2" xfId="24240" xr:uid="{00000000-0005-0000-0000-0000CC720000}"/>
    <cellStyle name="Normal 3 2 6 2 2 2 2" xfId="24241" xr:uid="{00000000-0005-0000-0000-0000CD720000}"/>
    <cellStyle name="Normal 3 2 6 2 2 3" xfId="24242" xr:uid="{00000000-0005-0000-0000-0000CE720000}"/>
    <cellStyle name="Normal 3 2 6 2 2 4" xfId="24243" xr:uid="{00000000-0005-0000-0000-0000CF720000}"/>
    <cellStyle name="Normal 3 2 6 2 2 5" xfId="39659" xr:uid="{00000000-0005-0000-0000-0000D0720000}"/>
    <cellStyle name="Normal 3 2 6 2 3" xfId="24244" xr:uid="{00000000-0005-0000-0000-0000D1720000}"/>
    <cellStyle name="Normal 3 2 6 2 3 2" xfId="24245" xr:uid="{00000000-0005-0000-0000-0000D2720000}"/>
    <cellStyle name="Normal 3 2 6 2 4" xfId="24246" xr:uid="{00000000-0005-0000-0000-0000D3720000}"/>
    <cellStyle name="Normal 3 2 6 2 5" xfId="24247" xr:uid="{00000000-0005-0000-0000-0000D4720000}"/>
    <cellStyle name="Normal 3 2 6 2 6" xfId="39658" xr:uid="{00000000-0005-0000-0000-0000D5720000}"/>
    <cellStyle name="Normal 3 2 6 3" xfId="24248" xr:uid="{00000000-0005-0000-0000-0000D6720000}"/>
    <cellStyle name="Normal 3 2 6 3 2" xfId="24249" xr:uid="{00000000-0005-0000-0000-0000D7720000}"/>
    <cellStyle name="Normal 3 2 6 3 2 2" xfId="24250" xr:uid="{00000000-0005-0000-0000-0000D8720000}"/>
    <cellStyle name="Normal 3 2 6 3 2 2 2" xfId="24251" xr:uid="{00000000-0005-0000-0000-0000D9720000}"/>
    <cellStyle name="Normal 3 2 6 3 2 3" xfId="24252" xr:uid="{00000000-0005-0000-0000-0000DA720000}"/>
    <cellStyle name="Normal 3 2 6 3 2 4" xfId="24253" xr:uid="{00000000-0005-0000-0000-0000DB720000}"/>
    <cellStyle name="Normal 3 2 6 3 2 5" xfId="39661" xr:uid="{00000000-0005-0000-0000-0000DC720000}"/>
    <cellStyle name="Normal 3 2 6 3 3" xfId="24254" xr:uid="{00000000-0005-0000-0000-0000DD720000}"/>
    <cellStyle name="Normal 3 2 6 3 3 2" xfId="24255" xr:uid="{00000000-0005-0000-0000-0000DE720000}"/>
    <cellStyle name="Normal 3 2 6 3 4" xfId="24256" xr:uid="{00000000-0005-0000-0000-0000DF720000}"/>
    <cellStyle name="Normal 3 2 6 3 5" xfId="24257" xr:uid="{00000000-0005-0000-0000-0000E0720000}"/>
    <cellStyle name="Normal 3 2 6 3 6" xfId="39660" xr:uid="{00000000-0005-0000-0000-0000E1720000}"/>
    <cellStyle name="Normal 3 2 6 4" xfId="24258" xr:uid="{00000000-0005-0000-0000-0000E2720000}"/>
    <cellStyle name="Normal 3 2 6 4 2" xfId="24259" xr:uid="{00000000-0005-0000-0000-0000E3720000}"/>
    <cellStyle name="Normal 3 2 6 4 2 2" xfId="24260" xr:uid="{00000000-0005-0000-0000-0000E4720000}"/>
    <cellStyle name="Normal 3 2 6 4 3" xfId="24261" xr:uid="{00000000-0005-0000-0000-0000E5720000}"/>
    <cellStyle name="Normal 3 2 6 4 4" xfId="24262" xr:uid="{00000000-0005-0000-0000-0000E6720000}"/>
    <cellStyle name="Normal 3 2 6 4 5" xfId="39662" xr:uid="{00000000-0005-0000-0000-0000E7720000}"/>
    <cellStyle name="Normal 3 2 6 5" xfId="24263" xr:uid="{00000000-0005-0000-0000-0000E8720000}"/>
    <cellStyle name="Normal 3 2 6 5 2" xfId="24264" xr:uid="{00000000-0005-0000-0000-0000E9720000}"/>
    <cellStyle name="Normal 3 2 6 5 2 2" xfId="24265" xr:uid="{00000000-0005-0000-0000-0000EA720000}"/>
    <cellStyle name="Normal 3 2 6 5 3" xfId="24266" xr:uid="{00000000-0005-0000-0000-0000EB720000}"/>
    <cellStyle name="Normal 3 2 6 5 4" xfId="24267" xr:uid="{00000000-0005-0000-0000-0000EC720000}"/>
    <cellStyle name="Normal 3 2 6 6" xfId="24268" xr:uid="{00000000-0005-0000-0000-0000ED720000}"/>
    <cellStyle name="Normal 3 2 6 6 2" xfId="24269" xr:uid="{00000000-0005-0000-0000-0000EE720000}"/>
    <cellStyle name="Normal 3 2 6 6 2 2" xfId="24270" xr:uid="{00000000-0005-0000-0000-0000EF720000}"/>
    <cellStyle name="Normal 3 2 6 6 3" xfId="24271" xr:uid="{00000000-0005-0000-0000-0000F0720000}"/>
    <cellStyle name="Normal 3 2 6 6 4" xfId="24272" xr:uid="{00000000-0005-0000-0000-0000F1720000}"/>
    <cellStyle name="Normal 3 2 6 7" xfId="24273" xr:uid="{00000000-0005-0000-0000-0000F2720000}"/>
    <cellStyle name="Normal 3 2 6 7 2" xfId="24274" xr:uid="{00000000-0005-0000-0000-0000F3720000}"/>
    <cellStyle name="Normal 3 2 6 8" xfId="24275" xr:uid="{00000000-0005-0000-0000-0000F4720000}"/>
    <cellStyle name="Normal 3 2 6 9" xfId="24276" xr:uid="{00000000-0005-0000-0000-0000F5720000}"/>
    <cellStyle name="Normal 3 2 7" xfId="24277" xr:uid="{00000000-0005-0000-0000-0000F6720000}"/>
    <cellStyle name="Normal 3 2 7 2" xfId="24278" xr:uid="{00000000-0005-0000-0000-0000F7720000}"/>
    <cellStyle name="Normal 3 2 7 2 2" xfId="24279" xr:uid="{00000000-0005-0000-0000-0000F8720000}"/>
    <cellStyle name="Normal 3 2 7 2 2 2" xfId="24280" xr:uid="{00000000-0005-0000-0000-0000F9720000}"/>
    <cellStyle name="Normal 3 2 7 2 3" xfId="24281" xr:uid="{00000000-0005-0000-0000-0000FA720000}"/>
    <cellStyle name="Normal 3 2 7 2 4" xfId="24282" xr:uid="{00000000-0005-0000-0000-0000FB720000}"/>
    <cellStyle name="Normal 3 2 7 2 5" xfId="39664" xr:uid="{00000000-0005-0000-0000-0000FC720000}"/>
    <cellStyle name="Normal 3 2 7 3" xfId="24283" xr:uid="{00000000-0005-0000-0000-0000FD720000}"/>
    <cellStyle name="Normal 3 2 7 4" xfId="24284" xr:uid="{00000000-0005-0000-0000-0000FE720000}"/>
    <cellStyle name="Normal 3 2 7 4 2" xfId="24285" xr:uid="{00000000-0005-0000-0000-0000FF720000}"/>
    <cellStyle name="Normal 3 2 7 5" xfId="24286" xr:uid="{00000000-0005-0000-0000-000000730000}"/>
    <cellStyle name="Normal 3 2 7 6" xfId="24287" xr:uid="{00000000-0005-0000-0000-000001730000}"/>
    <cellStyle name="Normal 3 2 7 7" xfId="39663" xr:uid="{00000000-0005-0000-0000-000002730000}"/>
    <cellStyle name="Normal 3 2 8" xfId="24288" xr:uid="{00000000-0005-0000-0000-000003730000}"/>
    <cellStyle name="Normal 3 2 8 2" xfId="24289" xr:uid="{00000000-0005-0000-0000-000004730000}"/>
    <cellStyle name="Normal 3 2 8 2 2" xfId="24290" xr:uid="{00000000-0005-0000-0000-000005730000}"/>
    <cellStyle name="Normal 3 2 8 2 2 2" xfId="24291" xr:uid="{00000000-0005-0000-0000-000006730000}"/>
    <cellStyle name="Normal 3 2 8 2 3" xfId="24292" xr:uid="{00000000-0005-0000-0000-000007730000}"/>
    <cellStyle name="Normal 3 2 8 2 4" xfId="24293" xr:uid="{00000000-0005-0000-0000-000008730000}"/>
    <cellStyle name="Normal 3 2 8 2 5" xfId="39666" xr:uid="{00000000-0005-0000-0000-000009730000}"/>
    <cellStyle name="Normal 3 2 8 3" xfId="24294" xr:uid="{00000000-0005-0000-0000-00000A730000}"/>
    <cellStyle name="Normal 3 2 8 4" xfId="24295" xr:uid="{00000000-0005-0000-0000-00000B730000}"/>
    <cellStyle name="Normal 3 2 8 4 2" xfId="24296" xr:uid="{00000000-0005-0000-0000-00000C730000}"/>
    <cellStyle name="Normal 3 2 8 5" xfId="24297" xr:uid="{00000000-0005-0000-0000-00000D730000}"/>
    <cellStyle name="Normal 3 2 8 6" xfId="24298" xr:uid="{00000000-0005-0000-0000-00000E730000}"/>
    <cellStyle name="Normal 3 2 8 7" xfId="39665" xr:uid="{00000000-0005-0000-0000-00000F730000}"/>
    <cellStyle name="Normal 3 2 9" xfId="24299" xr:uid="{00000000-0005-0000-0000-000010730000}"/>
    <cellStyle name="Normal 3 2 9 2" xfId="24300" xr:uid="{00000000-0005-0000-0000-000011730000}"/>
    <cellStyle name="Normal 3 2 9 2 2" xfId="24301" xr:uid="{00000000-0005-0000-0000-000012730000}"/>
    <cellStyle name="Normal 3 2 9 3" xfId="24302" xr:uid="{00000000-0005-0000-0000-000013730000}"/>
    <cellStyle name="Normal 3 2 9 4" xfId="24303" xr:uid="{00000000-0005-0000-0000-000014730000}"/>
    <cellStyle name="Normal 3 2 9 5" xfId="39667" xr:uid="{00000000-0005-0000-0000-000015730000}"/>
    <cellStyle name="Normal 3 3" xfId="24304" xr:uid="{00000000-0005-0000-0000-000016730000}"/>
    <cellStyle name="Normal 3 3 2" xfId="24305" xr:uid="{00000000-0005-0000-0000-000017730000}"/>
    <cellStyle name="Normal 3 3 2 2" xfId="41843" xr:uid="{B93C8ECD-18A1-433D-9734-8DFDC4645D8A}"/>
    <cellStyle name="Normal 3 3 3" xfId="24306" xr:uid="{00000000-0005-0000-0000-000018730000}"/>
    <cellStyle name="Normal 3 3 3 2" xfId="42012" xr:uid="{BC031F8E-133E-4B0C-A1D7-FB66986CA422}"/>
    <cellStyle name="Normal 3 3 4" xfId="24307" xr:uid="{00000000-0005-0000-0000-000019730000}"/>
    <cellStyle name="Normal 3 3 5" xfId="41898" xr:uid="{6BFA9B2A-4D55-47B7-8D75-3BCCA70E4438}"/>
    <cellStyle name="Normal 3 4" xfId="24308" xr:uid="{00000000-0005-0000-0000-00001A730000}"/>
    <cellStyle name="Normal 3 4 10" xfId="24309" xr:uid="{00000000-0005-0000-0000-00001B730000}"/>
    <cellStyle name="Normal 3 4 10 2" xfId="24310" xr:uid="{00000000-0005-0000-0000-00001C730000}"/>
    <cellStyle name="Normal 3 4 11" xfId="24311" xr:uid="{00000000-0005-0000-0000-00001D730000}"/>
    <cellStyle name="Normal 3 4 12" xfId="24312" xr:uid="{00000000-0005-0000-0000-00001E730000}"/>
    <cellStyle name="Normal 3 4 13" xfId="35377" xr:uid="{00000000-0005-0000-0000-00001F730000}"/>
    <cellStyle name="Normal 3 4 14" xfId="41816" xr:uid="{6574C316-6045-4B22-8937-197F51F4ABC1}"/>
    <cellStyle name="Normal 3 4 2" xfId="24313" xr:uid="{00000000-0005-0000-0000-000020730000}"/>
    <cellStyle name="Normal 3 4 2 10" xfId="24314" xr:uid="{00000000-0005-0000-0000-000021730000}"/>
    <cellStyle name="Normal 3 4 2 11" xfId="24315" xr:uid="{00000000-0005-0000-0000-000022730000}"/>
    <cellStyle name="Normal 3 4 2 12" xfId="35378" xr:uid="{00000000-0005-0000-0000-000023730000}"/>
    <cellStyle name="Normal 3 4 2 2" xfId="24316" xr:uid="{00000000-0005-0000-0000-000024730000}"/>
    <cellStyle name="Normal 3 4 2 2 10" xfId="24317" xr:uid="{00000000-0005-0000-0000-000025730000}"/>
    <cellStyle name="Normal 3 4 2 2 11" xfId="35379" xr:uid="{00000000-0005-0000-0000-000026730000}"/>
    <cellStyle name="Normal 3 4 2 2 2" xfId="24318" xr:uid="{00000000-0005-0000-0000-000027730000}"/>
    <cellStyle name="Normal 3 4 2 2 2 10" xfId="35380" xr:uid="{00000000-0005-0000-0000-000028730000}"/>
    <cellStyle name="Normal 3 4 2 2 2 2" xfId="24319" xr:uid="{00000000-0005-0000-0000-000029730000}"/>
    <cellStyle name="Normal 3 4 2 2 2 2 2" xfId="24320" xr:uid="{00000000-0005-0000-0000-00002A730000}"/>
    <cellStyle name="Normal 3 4 2 2 2 2 2 2" xfId="24321" xr:uid="{00000000-0005-0000-0000-00002B730000}"/>
    <cellStyle name="Normal 3 4 2 2 2 2 2 2 2" xfId="24322" xr:uid="{00000000-0005-0000-0000-00002C730000}"/>
    <cellStyle name="Normal 3 4 2 2 2 2 2 3" xfId="24323" xr:uid="{00000000-0005-0000-0000-00002D730000}"/>
    <cellStyle name="Normal 3 4 2 2 2 2 2 4" xfId="24324" xr:uid="{00000000-0005-0000-0000-00002E730000}"/>
    <cellStyle name="Normal 3 4 2 2 2 2 2 5" xfId="39669" xr:uid="{00000000-0005-0000-0000-00002F730000}"/>
    <cellStyle name="Normal 3 4 2 2 2 2 3" xfId="24325" xr:uid="{00000000-0005-0000-0000-000030730000}"/>
    <cellStyle name="Normal 3 4 2 2 2 2 3 2" xfId="24326" xr:uid="{00000000-0005-0000-0000-000031730000}"/>
    <cellStyle name="Normal 3 4 2 2 2 2 4" xfId="24327" xr:uid="{00000000-0005-0000-0000-000032730000}"/>
    <cellStyle name="Normal 3 4 2 2 2 2 5" xfId="24328" xr:uid="{00000000-0005-0000-0000-000033730000}"/>
    <cellStyle name="Normal 3 4 2 2 2 2 6" xfId="39668" xr:uid="{00000000-0005-0000-0000-000034730000}"/>
    <cellStyle name="Normal 3 4 2 2 2 3" xfId="24329" xr:uid="{00000000-0005-0000-0000-000035730000}"/>
    <cellStyle name="Normal 3 4 2 2 2 3 2" xfId="24330" xr:uid="{00000000-0005-0000-0000-000036730000}"/>
    <cellStyle name="Normal 3 4 2 2 2 3 2 2" xfId="24331" xr:uid="{00000000-0005-0000-0000-000037730000}"/>
    <cellStyle name="Normal 3 4 2 2 2 3 2 2 2" xfId="24332" xr:uid="{00000000-0005-0000-0000-000038730000}"/>
    <cellStyle name="Normal 3 4 2 2 2 3 2 3" xfId="24333" xr:uid="{00000000-0005-0000-0000-000039730000}"/>
    <cellStyle name="Normal 3 4 2 2 2 3 2 4" xfId="24334" xr:uid="{00000000-0005-0000-0000-00003A730000}"/>
    <cellStyle name="Normal 3 4 2 2 2 3 2 5" xfId="39671" xr:uid="{00000000-0005-0000-0000-00003B730000}"/>
    <cellStyle name="Normal 3 4 2 2 2 3 3" xfId="24335" xr:uid="{00000000-0005-0000-0000-00003C730000}"/>
    <cellStyle name="Normal 3 4 2 2 2 3 3 2" xfId="24336" xr:uid="{00000000-0005-0000-0000-00003D730000}"/>
    <cellStyle name="Normal 3 4 2 2 2 3 4" xfId="24337" xr:uid="{00000000-0005-0000-0000-00003E730000}"/>
    <cellStyle name="Normal 3 4 2 2 2 3 5" xfId="24338" xr:uid="{00000000-0005-0000-0000-00003F730000}"/>
    <cellStyle name="Normal 3 4 2 2 2 3 6" xfId="39670" xr:uid="{00000000-0005-0000-0000-000040730000}"/>
    <cellStyle name="Normal 3 4 2 2 2 4" xfId="24339" xr:uid="{00000000-0005-0000-0000-000041730000}"/>
    <cellStyle name="Normal 3 4 2 2 2 4 2" xfId="24340" xr:uid="{00000000-0005-0000-0000-000042730000}"/>
    <cellStyle name="Normal 3 4 2 2 2 4 2 2" xfId="24341" xr:uid="{00000000-0005-0000-0000-000043730000}"/>
    <cellStyle name="Normal 3 4 2 2 2 4 3" xfId="24342" xr:uid="{00000000-0005-0000-0000-000044730000}"/>
    <cellStyle name="Normal 3 4 2 2 2 4 4" xfId="24343" xr:uid="{00000000-0005-0000-0000-000045730000}"/>
    <cellStyle name="Normal 3 4 2 2 2 4 5" xfId="39672" xr:uid="{00000000-0005-0000-0000-000046730000}"/>
    <cellStyle name="Normal 3 4 2 2 2 5" xfId="24344" xr:uid="{00000000-0005-0000-0000-000047730000}"/>
    <cellStyle name="Normal 3 4 2 2 2 5 2" xfId="24345" xr:uid="{00000000-0005-0000-0000-000048730000}"/>
    <cellStyle name="Normal 3 4 2 2 2 5 2 2" xfId="24346" xr:uid="{00000000-0005-0000-0000-000049730000}"/>
    <cellStyle name="Normal 3 4 2 2 2 5 3" xfId="24347" xr:uid="{00000000-0005-0000-0000-00004A730000}"/>
    <cellStyle name="Normal 3 4 2 2 2 5 4" xfId="24348" xr:uid="{00000000-0005-0000-0000-00004B730000}"/>
    <cellStyle name="Normal 3 4 2 2 2 6" xfId="24349" xr:uid="{00000000-0005-0000-0000-00004C730000}"/>
    <cellStyle name="Normal 3 4 2 2 2 6 2" xfId="24350" xr:uid="{00000000-0005-0000-0000-00004D730000}"/>
    <cellStyle name="Normal 3 4 2 2 2 6 2 2" xfId="24351" xr:uid="{00000000-0005-0000-0000-00004E730000}"/>
    <cellStyle name="Normal 3 4 2 2 2 6 3" xfId="24352" xr:uid="{00000000-0005-0000-0000-00004F730000}"/>
    <cellStyle name="Normal 3 4 2 2 2 6 4" xfId="24353" xr:uid="{00000000-0005-0000-0000-000050730000}"/>
    <cellStyle name="Normal 3 4 2 2 2 7" xfId="24354" xr:uid="{00000000-0005-0000-0000-000051730000}"/>
    <cellStyle name="Normal 3 4 2 2 2 7 2" xfId="24355" xr:uid="{00000000-0005-0000-0000-000052730000}"/>
    <cellStyle name="Normal 3 4 2 2 2 8" xfId="24356" xr:uid="{00000000-0005-0000-0000-000053730000}"/>
    <cellStyle name="Normal 3 4 2 2 2 9" xfId="24357" xr:uid="{00000000-0005-0000-0000-000054730000}"/>
    <cellStyle name="Normal 3 4 2 2 3" xfId="24358" xr:uid="{00000000-0005-0000-0000-000055730000}"/>
    <cellStyle name="Normal 3 4 2 2 3 2" xfId="24359" xr:uid="{00000000-0005-0000-0000-000056730000}"/>
    <cellStyle name="Normal 3 4 2 2 3 2 2" xfId="24360" xr:uid="{00000000-0005-0000-0000-000057730000}"/>
    <cellStyle name="Normal 3 4 2 2 3 2 2 2" xfId="24361" xr:uid="{00000000-0005-0000-0000-000058730000}"/>
    <cellStyle name="Normal 3 4 2 2 3 2 3" xfId="24362" xr:uid="{00000000-0005-0000-0000-000059730000}"/>
    <cellStyle name="Normal 3 4 2 2 3 2 4" xfId="24363" xr:uid="{00000000-0005-0000-0000-00005A730000}"/>
    <cellStyle name="Normal 3 4 2 2 3 2 5" xfId="39674" xr:uid="{00000000-0005-0000-0000-00005B730000}"/>
    <cellStyle name="Normal 3 4 2 2 3 3" xfId="24364" xr:uid="{00000000-0005-0000-0000-00005C730000}"/>
    <cellStyle name="Normal 3 4 2 2 3 3 2" xfId="24365" xr:uid="{00000000-0005-0000-0000-00005D730000}"/>
    <cellStyle name="Normal 3 4 2 2 3 4" xfId="24366" xr:uid="{00000000-0005-0000-0000-00005E730000}"/>
    <cellStyle name="Normal 3 4 2 2 3 5" xfId="24367" xr:uid="{00000000-0005-0000-0000-00005F730000}"/>
    <cellStyle name="Normal 3 4 2 2 3 6" xfId="39673" xr:uid="{00000000-0005-0000-0000-000060730000}"/>
    <cellStyle name="Normal 3 4 2 2 4" xfId="24368" xr:uid="{00000000-0005-0000-0000-000061730000}"/>
    <cellStyle name="Normal 3 4 2 2 4 2" xfId="24369" xr:uid="{00000000-0005-0000-0000-000062730000}"/>
    <cellStyle name="Normal 3 4 2 2 4 2 2" xfId="24370" xr:uid="{00000000-0005-0000-0000-000063730000}"/>
    <cellStyle name="Normal 3 4 2 2 4 2 2 2" xfId="24371" xr:uid="{00000000-0005-0000-0000-000064730000}"/>
    <cellStyle name="Normal 3 4 2 2 4 2 3" xfId="24372" xr:uid="{00000000-0005-0000-0000-000065730000}"/>
    <cellStyle name="Normal 3 4 2 2 4 2 4" xfId="24373" xr:uid="{00000000-0005-0000-0000-000066730000}"/>
    <cellStyle name="Normal 3 4 2 2 4 2 5" xfId="39676" xr:uid="{00000000-0005-0000-0000-000067730000}"/>
    <cellStyle name="Normal 3 4 2 2 4 3" xfId="24374" xr:uid="{00000000-0005-0000-0000-000068730000}"/>
    <cellStyle name="Normal 3 4 2 2 4 3 2" xfId="24375" xr:uid="{00000000-0005-0000-0000-000069730000}"/>
    <cellStyle name="Normal 3 4 2 2 4 4" xfId="24376" xr:uid="{00000000-0005-0000-0000-00006A730000}"/>
    <cellStyle name="Normal 3 4 2 2 4 5" xfId="24377" xr:uid="{00000000-0005-0000-0000-00006B730000}"/>
    <cellStyle name="Normal 3 4 2 2 4 6" xfId="39675" xr:uid="{00000000-0005-0000-0000-00006C730000}"/>
    <cellStyle name="Normal 3 4 2 2 5" xfId="24378" xr:uid="{00000000-0005-0000-0000-00006D730000}"/>
    <cellStyle name="Normal 3 4 2 2 5 2" xfId="24379" xr:uid="{00000000-0005-0000-0000-00006E730000}"/>
    <cellStyle name="Normal 3 4 2 2 5 2 2" xfId="24380" xr:uid="{00000000-0005-0000-0000-00006F730000}"/>
    <cellStyle name="Normal 3 4 2 2 5 3" xfId="24381" xr:uid="{00000000-0005-0000-0000-000070730000}"/>
    <cellStyle name="Normal 3 4 2 2 5 4" xfId="24382" xr:uid="{00000000-0005-0000-0000-000071730000}"/>
    <cellStyle name="Normal 3 4 2 2 5 5" xfId="39677" xr:uid="{00000000-0005-0000-0000-000072730000}"/>
    <cellStyle name="Normal 3 4 2 2 6" xfId="24383" xr:uid="{00000000-0005-0000-0000-000073730000}"/>
    <cellStyle name="Normal 3 4 2 2 6 2" xfId="24384" xr:uid="{00000000-0005-0000-0000-000074730000}"/>
    <cellStyle name="Normal 3 4 2 2 6 2 2" xfId="24385" xr:uid="{00000000-0005-0000-0000-000075730000}"/>
    <cellStyle name="Normal 3 4 2 2 6 3" xfId="24386" xr:uid="{00000000-0005-0000-0000-000076730000}"/>
    <cellStyle name="Normal 3 4 2 2 6 4" xfId="24387" xr:uid="{00000000-0005-0000-0000-000077730000}"/>
    <cellStyle name="Normal 3 4 2 2 7" xfId="24388" xr:uid="{00000000-0005-0000-0000-000078730000}"/>
    <cellStyle name="Normal 3 4 2 2 7 2" xfId="24389" xr:uid="{00000000-0005-0000-0000-000079730000}"/>
    <cellStyle name="Normal 3 4 2 2 7 2 2" xfId="24390" xr:uid="{00000000-0005-0000-0000-00007A730000}"/>
    <cellStyle name="Normal 3 4 2 2 7 3" xfId="24391" xr:uid="{00000000-0005-0000-0000-00007B730000}"/>
    <cellStyle name="Normal 3 4 2 2 7 4" xfId="24392" xr:uid="{00000000-0005-0000-0000-00007C730000}"/>
    <cellStyle name="Normal 3 4 2 2 8" xfId="24393" xr:uid="{00000000-0005-0000-0000-00007D730000}"/>
    <cellStyle name="Normal 3 4 2 2 8 2" xfId="24394" xr:uid="{00000000-0005-0000-0000-00007E730000}"/>
    <cellStyle name="Normal 3 4 2 2 9" xfId="24395" xr:uid="{00000000-0005-0000-0000-00007F730000}"/>
    <cellStyle name="Normal 3 4 2 3" xfId="24396" xr:uid="{00000000-0005-0000-0000-000080730000}"/>
    <cellStyle name="Normal 3 4 2 3 10" xfId="35381" xr:uid="{00000000-0005-0000-0000-000081730000}"/>
    <cellStyle name="Normal 3 4 2 3 2" xfId="24397" xr:uid="{00000000-0005-0000-0000-000082730000}"/>
    <cellStyle name="Normal 3 4 2 3 2 2" xfId="24398" xr:uid="{00000000-0005-0000-0000-000083730000}"/>
    <cellStyle name="Normal 3 4 2 3 2 2 2" xfId="24399" xr:uid="{00000000-0005-0000-0000-000084730000}"/>
    <cellStyle name="Normal 3 4 2 3 2 2 2 2" xfId="24400" xr:uid="{00000000-0005-0000-0000-000085730000}"/>
    <cellStyle name="Normal 3 4 2 3 2 2 3" xfId="24401" xr:uid="{00000000-0005-0000-0000-000086730000}"/>
    <cellStyle name="Normal 3 4 2 3 2 2 4" xfId="24402" xr:uid="{00000000-0005-0000-0000-000087730000}"/>
    <cellStyle name="Normal 3 4 2 3 2 2 5" xfId="39679" xr:uid="{00000000-0005-0000-0000-000088730000}"/>
    <cellStyle name="Normal 3 4 2 3 2 3" xfId="24403" xr:uid="{00000000-0005-0000-0000-000089730000}"/>
    <cellStyle name="Normal 3 4 2 3 2 3 2" xfId="24404" xr:uid="{00000000-0005-0000-0000-00008A730000}"/>
    <cellStyle name="Normal 3 4 2 3 2 4" xfId="24405" xr:uid="{00000000-0005-0000-0000-00008B730000}"/>
    <cellStyle name="Normal 3 4 2 3 2 5" xfId="24406" xr:uid="{00000000-0005-0000-0000-00008C730000}"/>
    <cellStyle name="Normal 3 4 2 3 2 6" xfId="39678" xr:uid="{00000000-0005-0000-0000-00008D730000}"/>
    <cellStyle name="Normal 3 4 2 3 3" xfId="24407" xr:uid="{00000000-0005-0000-0000-00008E730000}"/>
    <cellStyle name="Normal 3 4 2 3 3 2" xfId="24408" xr:uid="{00000000-0005-0000-0000-00008F730000}"/>
    <cellStyle name="Normal 3 4 2 3 3 2 2" xfId="24409" xr:uid="{00000000-0005-0000-0000-000090730000}"/>
    <cellStyle name="Normal 3 4 2 3 3 2 2 2" xfId="24410" xr:uid="{00000000-0005-0000-0000-000091730000}"/>
    <cellStyle name="Normal 3 4 2 3 3 2 3" xfId="24411" xr:uid="{00000000-0005-0000-0000-000092730000}"/>
    <cellStyle name="Normal 3 4 2 3 3 2 4" xfId="24412" xr:uid="{00000000-0005-0000-0000-000093730000}"/>
    <cellStyle name="Normal 3 4 2 3 3 2 5" xfId="39681" xr:uid="{00000000-0005-0000-0000-000094730000}"/>
    <cellStyle name="Normal 3 4 2 3 3 3" xfId="24413" xr:uid="{00000000-0005-0000-0000-000095730000}"/>
    <cellStyle name="Normal 3 4 2 3 3 3 2" xfId="24414" xr:uid="{00000000-0005-0000-0000-000096730000}"/>
    <cellStyle name="Normal 3 4 2 3 3 4" xfId="24415" xr:uid="{00000000-0005-0000-0000-000097730000}"/>
    <cellStyle name="Normal 3 4 2 3 3 5" xfId="24416" xr:uid="{00000000-0005-0000-0000-000098730000}"/>
    <cellStyle name="Normal 3 4 2 3 3 6" xfId="39680" xr:uid="{00000000-0005-0000-0000-000099730000}"/>
    <cellStyle name="Normal 3 4 2 3 4" xfId="24417" xr:uid="{00000000-0005-0000-0000-00009A730000}"/>
    <cellStyle name="Normal 3 4 2 3 4 2" xfId="24418" xr:uid="{00000000-0005-0000-0000-00009B730000}"/>
    <cellStyle name="Normal 3 4 2 3 4 2 2" xfId="24419" xr:uid="{00000000-0005-0000-0000-00009C730000}"/>
    <cellStyle name="Normal 3 4 2 3 4 3" xfId="24420" xr:uid="{00000000-0005-0000-0000-00009D730000}"/>
    <cellStyle name="Normal 3 4 2 3 4 4" xfId="24421" xr:uid="{00000000-0005-0000-0000-00009E730000}"/>
    <cellStyle name="Normal 3 4 2 3 4 5" xfId="39682" xr:uid="{00000000-0005-0000-0000-00009F730000}"/>
    <cellStyle name="Normal 3 4 2 3 5" xfId="24422" xr:uid="{00000000-0005-0000-0000-0000A0730000}"/>
    <cellStyle name="Normal 3 4 2 3 5 2" xfId="24423" xr:uid="{00000000-0005-0000-0000-0000A1730000}"/>
    <cellStyle name="Normal 3 4 2 3 5 2 2" xfId="24424" xr:uid="{00000000-0005-0000-0000-0000A2730000}"/>
    <cellStyle name="Normal 3 4 2 3 5 3" xfId="24425" xr:uid="{00000000-0005-0000-0000-0000A3730000}"/>
    <cellStyle name="Normal 3 4 2 3 5 4" xfId="24426" xr:uid="{00000000-0005-0000-0000-0000A4730000}"/>
    <cellStyle name="Normal 3 4 2 3 6" xfId="24427" xr:uid="{00000000-0005-0000-0000-0000A5730000}"/>
    <cellStyle name="Normal 3 4 2 3 6 2" xfId="24428" xr:uid="{00000000-0005-0000-0000-0000A6730000}"/>
    <cellStyle name="Normal 3 4 2 3 6 2 2" xfId="24429" xr:uid="{00000000-0005-0000-0000-0000A7730000}"/>
    <cellStyle name="Normal 3 4 2 3 6 3" xfId="24430" xr:uid="{00000000-0005-0000-0000-0000A8730000}"/>
    <cellStyle name="Normal 3 4 2 3 6 4" xfId="24431" xr:uid="{00000000-0005-0000-0000-0000A9730000}"/>
    <cellStyle name="Normal 3 4 2 3 7" xfId="24432" xr:uid="{00000000-0005-0000-0000-0000AA730000}"/>
    <cellStyle name="Normal 3 4 2 3 7 2" xfId="24433" xr:uid="{00000000-0005-0000-0000-0000AB730000}"/>
    <cellStyle name="Normal 3 4 2 3 8" xfId="24434" xr:uid="{00000000-0005-0000-0000-0000AC730000}"/>
    <cellStyle name="Normal 3 4 2 3 9" xfId="24435" xr:uid="{00000000-0005-0000-0000-0000AD730000}"/>
    <cellStyle name="Normal 3 4 2 4" xfId="24436" xr:uid="{00000000-0005-0000-0000-0000AE730000}"/>
    <cellStyle name="Normal 3 4 2 4 2" xfId="24437" xr:uid="{00000000-0005-0000-0000-0000AF730000}"/>
    <cellStyle name="Normal 3 4 2 4 2 2" xfId="24438" xr:uid="{00000000-0005-0000-0000-0000B0730000}"/>
    <cellStyle name="Normal 3 4 2 4 2 2 2" xfId="24439" xr:uid="{00000000-0005-0000-0000-0000B1730000}"/>
    <cellStyle name="Normal 3 4 2 4 2 3" xfId="24440" xr:uid="{00000000-0005-0000-0000-0000B2730000}"/>
    <cellStyle name="Normal 3 4 2 4 2 4" xfId="24441" xr:uid="{00000000-0005-0000-0000-0000B3730000}"/>
    <cellStyle name="Normal 3 4 2 4 2 5" xfId="39684" xr:uid="{00000000-0005-0000-0000-0000B4730000}"/>
    <cellStyle name="Normal 3 4 2 4 3" xfId="24442" xr:uid="{00000000-0005-0000-0000-0000B5730000}"/>
    <cellStyle name="Normal 3 4 2 4 3 2" xfId="24443" xr:uid="{00000000-0005-0000-0000-0000B6730000}"/>
    <cellStyle name="Normal 3 4 2 4 4" xfId="24444" xr:uid="{00000000-0005-0000-0000-0000B7730000}"/>
    <cellStyle name="Normal 3 4 2 4 5" xfId="24445" xr:uid="{00000000-0005-0000-0000-0000B8730000}"/>
    <cellStyle name="Normal 3 4 2 4 6" xfId="39683" xr:uid="{00000000-0005-0000-0000-0000B9730000}"/>
    <cellStyle name="Normal 3 4 2 5" xfId="24446" xr:uid="{00000000-0005-0000-0000-0000BA730000}"/>
    <cellStyle name="Normal 3 4 2 5 2" xfId="24447" xr:uid="{00000000-0005-0000-0000-0000BB730000}"/>
    <cellStyle name="Normal 3 4 2 5 2 2" xfId="24448" xr:uid="{00000000-0005-0000-0000-0000BC730000}"/>
    <cellStyle name="Normal 3 4 2 5 2 2 2" xfId="24449" xr:uid="{00000000-0005-0000-0000-0000BD730000}"/>
    <cellStyle name="Normal 3 4 2 5 2 3" xfId="24450" xr:uid="{00000000-0005-0000-0000-0000BE730000}"/>
    <cellStyle name="Normal 3 4 2 5 2 4" xfId="24451" xr:uid="{00000000-0005-0000-0000-0000BF730000}"/>
    <cellStyle name="Normal 3 4 2 5 2 5" xfId="39686" xr:uid="{00000000-0005-0000-0000-0000C0730000}"/>
    <cellStyle name="Normal 3 4 2 5 3" xfId="24452" xr:uid="{00000000-0005-0000-0000-0000C1730000}"/>
    <cellStyle name="Normal 3 4 2 5 3 2" xfId="24453" xr:uid="{00000000-0005-0000-0000-0000C2730000}"/>
    <cellStyle name="Normal 3 4 2 5 4" xfId="24454" xr:uid="{00000000-0005-0000-0000-0000C3730000}"/>
    <cellStyle name="Normal 3 4 2 5 5" xfId="24455" xr:uid="{00000000-0005-0000-0000-0000C4730000}"/>
    <cellStyle name="Normal 3 4 2 5 6" xfId="39685" xr:uid="{00000000-0005-0000-0000-0000C5730000}"/>
    <cellStyle name="Normal 3 4 2 6" xfId="24456" xr:uid="{00000000-0005-0000-0000-0000C6730000}"/>
    <cellStyle name="Normal 3 4 2 6 2" xfId="24457" xr:uid="{00000000-0005-0000-0000-0000C7730000}"/>
    <cellStyle name="Normal 3 4 2 6 2 2" xfId="24458" xr:uid="{00000000-0005-0000-0000-0000C8730000}"/>
    <cellStyle name="Normal 3 4 2 6 3" xfId="24459" xr:uid="{00000000-0005-0000-0000-0000C9730000}"/>
    <cellStyle name="Normal 3 4 2 6 4" xfId="24460" xr:uid="{00000000-0005-0000-0000-0000CA730000}"/>
    <cellStyle name="Normal 3 4 2 6 5" xfId="39687" xr:uid="{00000000-0005-0000-0000-0000CB730000}"/>
    <cellStyle name="Normal 3 4 2 7" xfId="24461" xr:uid="{00000000-0005-0000-0000-0000CC730000}"/>
    <cellStyle name="Normal 3 4 2 7 2" xfId="24462" xr:uid="{00000000-0005-0000-0000-0000CD730000}"/>
    <cellStyle name="Normal 3 4 2 7 2 2" xfId="24463" xr:uid="{00000000-0005-0000-0000-0000CE730000}"/>
    <cellStyle name="Normal 3 4 2 7 3" xfId="24464" xr:uid="{00000000-0005-0000-0000-0000CF730000}"/>
    <cellStyle name="Normal 3 4 2 7 4" xfId="24465" xr:uid="{00000000-0005-0000-0000-0000D0730000}"/>
    <cellStyle name="Normal 3 4 2 8" xfId="24466" xr:uid="{00000000-0005-0000-0000-0000D1730000}"/>
    <cellStyle name="Normal 3 4 2 8 2" xfId="24467" xr:uid="{00000000-0005-0000-0000-0000D2730000}"/>
    <cellStyle name="Normal 3 4 2 8 2 2" xfId="24468" xr:uid="{00000000-0005-0000-0000-0000D3730000}"/>
    <cellStyle name="Normal 3 4 2 8 3" xfId="24469" xr:uid="{00000000-0005-0000-0000-0000D4730000}"/>
    <cellStyle name="Normal 3 4 2 8 4" xfId="24470" xr:uid="{00000000-0005-0000-0000-0000D5730000}"/>
    <cellStyle name="Normal 3 4 2 9" xfId="24471" xr:uid="{00000000-0005-0000-0000-0000D6730000}"/>
    <cellStyle name="Normal 3 4 2 9 2" xfId="24472" xr:uid="{00000000-0005-0000-0000-0000D7730000}"/>
    <cellStyle name="Normal 3 4 3" xfId="24473" xr:uid="{00000000-0005-0000-0000-0000D8730000}"/>
    <cellStyle name="Normal 3 4 3 10" xfId="24474" xr:uid="{00000000-0005-0000-0000-0000D9730000}"/>
    <cellStyle name="Normal 3 4 3 11" xfId="35382" xr:uid="{00000000-0005-0000-0000-0000DA730000}"/>
    <cellStyle name="Normal 3 4 3 2" xfId="24475" xr:uid="{00000000-0005-0000-0000-0000DB730000}"/>
    <cellStyle name="Normal 3 4 3 2 10" xfId="35383" xr:uid="{00000000-0005-0000-0000-0000DC730000}"/>
    <cellStyle name="Normal 3 4 3 2 2" xfId="24476" xr:uid="{00000000-0005-0000-0000-0000DD730000}"/>
    <cellStyle name="Normal 3 4 3 2 2 2" xfId="24477" xr:uid="{00000000-0005-0000-0000-0000DE730000}"/>
    <cellStyle name="Normal 3 4 3 2 2 2 2" xfId="24478" xr:uid="{00000000-0005-0000-0000-0000DF730000}"/>
    <cellStyle name="Normal 3 4 3 2 2 2 2 2" xfId="24479" xr:uid="{00000000-0005-0000-0000-0000E0730000}"/>
    <cellStyle name="Normal 3 4 3 2 2 2 3" xfId="24480" xr:uid="{00000000-0005-0000-0000-0000E1730000}"/>
    <cellStyle name="Normal 3 4 3 2 2 2 4" xfId="24481" xr:uid="{00000000-0005-0000-0000-0000E2730000}"/>
    <cellStyle name="Normal 3 4 3 2 2 2 5" xfId="39689" xr:uid="{00000000-0005-0000-0000-0000E3730000}"/>
    <cellStyle name="Normal 3 4 3 2 2 3" xfId="24482" xr:uid="{00000000-0005-0000-0000-0000E4730000}"/>
    <cellStyle name="Normal 3 4 3 2 2 3 2" xfId="24483" xr:uid="{00000000-0005-0000-0000-0000E5730000}"/>
    <cellStyle name="Normal 3 4 3 2 2 4" xfId="24484" xr:uid="{00000000-0005-0000-0000-0000E6730000}"/>
    <cellStyle name="Normal 3 4 3 2 2 5" xfId="24485" xr:uid="{00000000-0005-0000-0000-0000E7730000}"/>
    <cellStyle name="Normal 3 4 3 2 2 6" xfId="39688" xr:uid="{00000000-0005-0000-0000-0000E8730000}"/>
    <cellStyle name="Normal 3 4 3 2 3" xfId="24486" xr:uid="{00000000-0005-0000-0000-0000E9730000}"/>
    <cellStyle name="Normal 3 4 3 2 3 2" xfId="24487" xr:uid="{00000000-0005-0000-0000-0000EA730000}"/>
    <cellStyle name="Normal 3 4 3 2 3 2 2" xfId="24488" xr:uid="{00000000-0005-0000-0000-0000EB730000}"/>
    <cellStyle name="Normal 3 4 3 2 3 2 2 2" xfId="24489" xr:uid="{00000000-0005-0000-0000-0000EC730000}"/>
    <cellStyle name="Normal 3 4 3 2 3 2 3" xfId="24490" xr:uid="{00000000-0005-0000-0000-0000ED730000}"/>
    <cellStyle name="Normal 3 4 3 2 3 2 4" xfId="24491" xr:uid="{00000000-0005-0000-0000-0000EE730000}"/>
    <cellStyle name="Normal 3 4 3 2 3 2 5" xfId="39691" xr:uid="{00000000-0005-0000-0000-0000EF730000}"/>
    <cellStyle name="Normal 3 4 3 2 3 3" xfId="24492" xr:uid="{00000000-0005-0000-0000-0000F0730000}"/>
    <cellStyle name="Normal 3 4 3 2 3 3 2" xfId="24493" xr:uid="{00000000-0005-0000-0000-0000F1730000}"/>
    <cellStyle name="Normal 3 4 3 2 3 4" xfId="24494" xr:uid="{00000000-0005-0000-0000-0000F2730000}"/>
    <cellStyle name="Normal 3 4 3 2 3 5" xfId="24495" xr:uid="{00000000-0005-0000-0000-0000F3730000}"/>
    <cellStyle name="Normal 3 4 3 2 3 6" xfId="39690" xr:uid="{00000000-0005-0000-0000-0000F4730000}"/>
    <cellStyle name="Normal 3 4 3 2 4" xfId="24496" xr:uid="{00000000-0005-0000-0000-0000F5730000}"/>
    <cellStyle name="Normal 3 4 3 2 4 2" xfId="24497" xr:uid="{00000000-0005-0000-0000-0000F6730000}"/>
    <cellStyle name="Normal 3 4 3 2 4 2 2" xfId="24498" xr:uid="{00000000-0005-0000-0000-0000F7730000}"/>
    <cellStyle name="Normal 3 4 3 2 4 3" xfId="24499" xr:uid="{00000000-0005-0000-0000-0000F8730000}"/>
    <cellStyle name="Normal 3 4 3 2 4 4" xfId="24500" xr:uid="{00000000-0005-0000-0000-0000F9730000}"/>
    <cellStyle name="Normal 3 4 3 2 4 5" xfId="39692" xr:uid="{00000000-0005-0000-0000-0000FA730000}"/>
    <cellStyle name="Normal 3 4 3 2 5" xfId="24501" xr:uid="{00000000-0005-0000-0000-0000FB730000}"/>
    <cellStyle name="Normal 3 4 3 2 5 2" xfId="24502" xr:uid="{00000000-0005-0000-0000-0000FC730000}"/>
    <cellStyle name="Normal 3 4 3 2 5 2 2" xfId="24503" xr:uid="{00000000-0005-0000-0000-0000FD730000}"/>
    <cellStyle name="Normal 3 4 3 2 5 3" xfId="24504" xr:uid="{00000000-0005-0000-0000-0000FE730000}"/>
    <cellStyle name="Normal 3 4 3 2 5 4" xfId="24505" xr:uid="{00000000-0005-0000-0000-0000FF730000}"/>
    <cellStyle name="Normal 3 4 3 2 6" xfId="24506" xr:uid="{00000000-0005-0000-0000-000000740000}"/>
    <cellStyle name="Normal 3 4 3 2 6 2" xfId="24507" xr:uid="{00000000-0005-0000-0000-000001740000}"/>
    <cellStyle name="Normal 3 4 3 2 6 2 2" xfId="24508" xr:uid="{00000000-0005-0000-0000-000002740000}"/>
    <cellStyle name="Normal 3 4 3 2 6 3" xfId="24509" xr:uid="{00000000-0005-0000-0000-000003740000}"/>
    <cellStyle name="Normal 3 4 3 2 6 4" xfId="24510" xr:uid="{00000000-0005-0000-0000-000004740000}"/>
    <cellStyle name="Normal 3 4 3 2 7" xfId="24511" xr:uid="{00000000-0005-0000-0000-000005740000}"/>
    <cellStyle name="Normal 3 4 3 2 7 2" xfId="24512" xr:uid="{00000000-0005-0000-0000-000006740000}"/>
    <cellStyle name="Normal 3 4 3 2 8" xfId="24513" xr:uid="{00000000-0005-0000-0000-000007740000}"/>
    <cellStyle name="Normal 3 4 3 2 9" xfId="24514" xr:uid="{00000000-0005-0000-0000-000008740000}"/>
    <cellStyle name="Normal 3 4 3 3" xfId="24515" xr:uid="{00000000-0005-0000-0000-000009740000}"/>
    <cellStyle name="Normal 3 4 3 3 2" xfId="24516" xr:uid="{00000000-0005-0000-0000-00000A740000}"/>
    <cellStyle name="Normal 3 4 3 3 2 2" xfId="24517" xr:uid="{00000000-0005-0000-0000-00000B740000}"/>
    <cellStyle name="Normal 3 4 3 3 2 2 2" xfId="24518" xr:uid="{00000000-0005-0000-0000-00000C740000}"/>
    <cellStyle name="Normal 3 4 3 3 2 3" xfId="24519" xr:uid="{00000000-0005-0000-0000-00000D740000}"/>
    <cellStyle name="Normal 3 4 3 3 2 4" xfId="24520" xr:uid="{00000000-0005-0000-0000-00000E740000}"/>
    <cellStyle name="Normal 3 4 3 3 2 5" xfId="39694" xr:uid="{00000000-0005-0000-0000-00000F740000}"/>
    <cellStyle name="Normal 3 4 3 3 3" xfId="24521" xr:uid="{00000000-0005-0000-0000-000010740000}"/>
    <cellStyle name="Normal 3 4 3 3 3 2" xfId="24522" xr:uid="{00000000-0005-0000-0000-000011740000}"/>
    <cellStyle name="Normal 3 4 3 3 4" xfId="24523" xr:uid="{00000000-0005-0000-0000-000012740000}"/>
    <cellStyle name="Normal 3 4 3 3 5" xfId="24524" xr:uid="{00000000-0005-0000-0000-000013740000}"/>
    <cellStyle name="Normal 3 4 3 3 6" xfId="39693" xr:uid="{00000000-0005-0000-0000-000014740000}"/>
    <cellStyle name="Normal 3 4 3 4" xfId="24525" xr:uid="{00000000-0005-0000-0000-000015740000}"/>
    <cellStyle name="Normal 3 4 3 4 2" xfId="24526" xr:uid="{00000000-0005-0000-0000-000016740000}"/>
    <cellStyle name="Normal 3 4 3 4 2 2" xfId="24527" xr:uid="{00000000-0005-0000-0000-000017740000}"/>
    <cellStyle name="Normal 3 4 3 4 2 2 2" xfId="24528" xr:uid="{00000000-0005-0000-0000-000018740000}"/>
    <cellStyle name="Normal 3 4 3 4 2 3" xfId="24529" xr:uid="{00000000-0005-0000-0000-000019740000}"/>
    <cellStyle name="Normal 3 4 3 4 2 4" xfId="24530" xr:uid="{00000000-0005-0000-0000-00001A740000}"/>
    <cellStyle name="Normal 3 4 3 4 2 5" xfId="39696" xr:uid="{00000000-0005-0000-0000-00001B740000}"/>
    <cellStyle name="Normal 3 4 3 4 3" xfId="24531" xr:uid="{00000000-0005-0000-0000-00001C740000}"/>
    <cellStyle name="Normal 3 4 3 4 3 2" xfId="24532" xr:uid="{00000000-0005-0000-0000-00001D740000}"/>
    <cellStyle name="Normal 3 4 3 4 4" xfId="24533" xr:uid="{00000000-0005-0000-0000-00001E740000}"/>
    <cellStyle name="Normal 3 4 3 4 5" xfId="24534" xr:uid="{00000000-0005-0000-0000-00001F740000}"/>
    <cellStyle name="Normal 3 4 3 4 6" xfId="39695" xr:uid="{00000000-0005-0000-0000-000020740000}"/>
    <cellStyle name="Normal 3 4 3 5" xfId="24535" xr:uid="{00000000-0005-0000-0000-000021740000}"/>
    <cellStyle name="Normal 3 4 3 5 2" xfId="24536" xr:uid="{00000000-0005-0000-0000-000022740000}"/>
    <cellStyle name="Normal 3 4 3 5 2 2" xfId="24537" xr:uid="{00000000-0005-0000-0000-000023740000}"/>
    <cellStyle name="Normal 3 4 3 5 3" xfId="24538" xr:uid="{00000000-0005-0000-0000-000024740000}"/>
    <cellStyle name="Normal 3 4 3 5 4" xfId="24539" xr:uid="{00000000-0005-0000-0000-000025740000}"/>
    <cellStyle name="Normal 3 4 3 5 5" xfId="39697" xr:uid="{00000000-0005-0000-0000-000026740000}"/>
    <cellStyle name="Normal 3 4 3 6" xfId="24540" xr:uid="{00000000-0005-0000-0000-000027740000}"/>
    <cellStyle name="Normal 3 4 3 6 2" xfId="24541" xr:uid="{00000000-0005-0000-0000-000028740000}"/>
    <cellStyle name="Normal 3 4 3 6 2 2" xfId="24542" xr:uid="{00000000-0005-0000-0000-000029740000}"/>
    <cellStyle name="Normal 3 4 3 6 3" xfId="24543" xr:uid="{00000000-0005-0000-0000-00002A740000}"/>
    <cellStyle name="Normal 3 4 3 6 4" xfId="24544" xr:uid="{00000000-0005-0000-0000-00002B740000}"/>
    <cellStyle name="Normal 3 4 3 7" xfId="24545" xr:uid="{00000000-0005-0000-0000-00002C740000}"/>
    <cellStyle name="Normal 3 4 3 7 2" xfId="24546" xr:uid="{00000000-0005-0000-0000-00002D740000}"/>
    <cellStyle name="Normal 3 4 3 7 2 2" xfId="24547" xr:uid="{00000000-0005-0000-0000-00002E740000}"/>
    <cellStyle name="Normal 3 4 3 7 3" xfId="24548" xr:uid="{00000000-0005-0000-0000-00002F740000}"/>
    <cellStyle name="Normal 3 4 3 7 4" xfId="24549" xr:uid="{00000000-0005-0000-0000-000030740000}"/>
    <cellStyle name="Normal 3 4 3 8" xfId="24550" xr:uid="{00000000-0005-0000-0000-000031740000}"/>
    <cellStyle name="Normal 3 4 3 8 2" xfId="24551" xr:uid="{00000000-0005-0000-0000-000032740000}"/>
    <cellStyle name="Normal 3 4 3 9" xfId="24552" xr:uid="{00000000-0005-0000-0000-000033740000}"/>
    <cellStyle name="Normal 3 4 4" xfId="24553" xr:uid="{00000000-0005-0000-0000-000034740000}"/>
    <cellStyle name="Normal 3 4 4 10" xfId="35384" xr:uid="{00000000-0005-0000-0000-000035740000}"/>
    <cellStyle name="Normal 3 4 4 2" xfId="24554" xr:uid="{00000000-0005-0000-0000-000036740000}"/>
    <cellStyle name="Normal 3 4 4 2 2" xfId="24555" xr:uid="{00000000-0005-0000-0000-000037740000}"/>
    <cellStyle name="Normal 3 4 4 2 2 2" xfId="24556" xr:uid="{00000000-0005-0000-0000-000038740000}"/>
    <cellStyle name="Normal 3 4 4 2 2 2 2" xfId="24557" xr:uid="{00000000-0005-0000-0000-000039740000}"/>
    <cellStyle name="Normal 3 4 4 2 2 3" xfId="24558" xr:uid="{00000000-0005-0000-0000-00003A740000}"/>
    <cellStyle name="Normal 3 4 4 2 2 4" xfId="24559" xr:uid="{00000000-0005-0000-0000-00003B740000}"/>
    <cellStyle name="Normal 3 4 4 2 2 5" xfId="39699" xr:uid="{00000000-0005-0000-0000-00003C740000}"/>
    <cellStyle name="Normal 3 4 4 2 3" xfId="24560" xr:uid="{00000000-0005-0000-0000-00003D740000}"/>
    <cellStyle name="Normal 3 4 4 2 3 2" xfId="24561" xr:uid="{00000000-0005-0000-0000-00003E740000}"/>
    <cellStyle name="Normal 3 4 4 2 4" xfId="24562" xr:uid="{00000000-0005-0000-0000-00003F740000}"/>
    <cellStyle name="Normal 3 4 4 2 5" xfId="24563" xr:uid="{00000000-0005-0000-0000-000040740000}"/>
    <cellStyle name="Normal 3 4 4 2 6" xfId="39698" xr:uid="{00000000-0005-0000-0000-000041740000}"/>
    <cellStyle name="Normal 3 4 4 3" xfId="24564" xr:uid="{00000000-0005-0000-0000-000042740000}"/>
    <cellStyle name="Normal 3 4 4 3 2" xfId="24565" xr:uid="{00000000-0005-0000-0000-000043740000}"/>
    <cellStyle name="Normal 3 4 4 3 2 2" xfId="24566" xr:uid="{00000000-0005-0000-0000-000044740000}"/>
    <cellStyle name="Normal 3 4 4 3 2 2 2" xfId="24567" xr:uid="{00000000-0005-0000-0000-000045740000}"/>
    <cellStyle name="Normal 3 4 4 3 2 3" xfId="24568" xr:uid="{00000000-0005-0000-0000-000046740000}"/>
    <cellStyle name="Normal 3 4 4 3 2 4" xfId="24569" xr:uid="{00000000-0005-0000-0000-000047740000}"/>
    <cellStyle name="Normal 3 4 4 3 2 5" xfId="39701" xr:uid="{00000000-0005-0000-0000-000048740000}"/>
    <cellStyle name="Normal 3 4 4 3 3" xfId="24570" xr:uid="{00000000-0005-0000-0000-000049740000}"/>
    <cellStyle name="Normal 3 4 4 3 3 2" xfId="24571" xr:uid="{00000000-0005-0000-0000-00004A740000}"/>
    <cellStyle name="Normal 3 4 4 3 4" xfId="24572" xr:uid="{00000000-0005-0000-0000-00004B740000}"/>
    <cellStyle name="Normal 3 4 4 3 5" xfId="24573" xr:uid="{00000000-0005-0000-0000-00004C740000}"/>
    <cellStyle name="Normal 3 4 4 3 6" xfId="39700" xr:uid="{00000000-0005-0000-0000-00004D740000}"/>
    <cellStyle name="Normal 3 4 4 4" xfId="24574" xr:uid="{00000000-0005-0000-0000-00004E740000}"/>
    <cellStyle name="Normal 3 4 4 4 2" xfId="24575" xr:uid="{00000000-0005-0000-0000-00004F740000}"/>
    <cellStyle name="Normal 3 4 4 4 2 2" xfId="24576" xr:uid="{00000000-0005-0000-0000-000050740000}"/>
    <cellStyle name="Normal 3 4 4 4 3" xfId="24577" xr:uid="{00000000-0005-0000-0000-000051740000}"/>
    <cellStyle name="Normal 3 4 4 4 4" xfId="24578" xr:uid="{00000000-0005-0000-0000-000052740000}"/>
    <cellStyle name="Normal 3 4 4 4 5" xfId="39702" xr:uid="{00000000-0005-0000-0000-000053740000}"/>
    <cellStyle name="Normal 3 4 4 5" xfId="24579" xr:uid="{00000000-0005-0000-0000-000054740000}"/>
    <cellStyle name="Normal 3 4 4 5 2" xfId="24580" xr:uid="{00000000-0005-0000-0000-000055740000}"/>
    <cellStyle name="Normal 3 4 4 5 2 2" xfId="24581" xr:uid="{00000000-0005-0000-0000-000056740000}"/>
    <cellStyle name="Normal 3 4 4 5 3" xfId="24582" xr:uid="{00000000-0005-0000-0000-000057740000}"/>
    <cellStyle name="Normal 3 4 4 5 4" xfId="24583" xr:uid="{00000000-0005-0000-0000-000058740000}"/>
    <cellStyle name="Normal 3 4 4 6" xfId="24584" xr:uid="{00000000-0005-0000-0000-000059740000}"/>
    <cellStyle name="Normal 3 4 4 6 2" xfId="24585" xr:uid="{00000000-0005-0000-0000-00005A740000}"/>
    <cellStyle name="Normal 3 4 4 6 2 2" xfId="24586" xr:uid="{00000000-0005-0000-0000-00005B740000}"/>
    <cellStyle name="Normal 3 4 4 6 3" xfId="24587" xr:uid="{00000000-0005-0000-0000-00005C740000}"/>
    <cellStyle name="Normal 3 4 4 6 4" xfId="24588" xr:uid="{00000000-0005-0000-0000-00005D740000}"/>
    <cellStyle name="Normal 3 4 4 7" xfId="24589" xr:uid="{00000000-0005-0000-0000-00005E740000}"/>
    <cellStyle name="Normal 3 4 4 7 2" xfId="24590" xr:uid="{00000000-0005-0000-0000-00005F740000}"/>
    <cellStyle name="Normal 3 4 4 8" xfId="24591" xr:uid="{00000000-0005-0000-0000-000060740000}"/>
    <cellStyle name="Normal 3 4 4 9" xfId="24592" xr:uid="{00000000-0005-0000-0000-000061740000}"/>
    <cellStyle name="Normal 3 4 5" xfId="24593" xr:uid="{00000000-0005-0000-0000-000062740000}"/>
    <cellStyle name="Normal 3 4 5 2" xfId="24594" xr:uid="{00000000-0005-0000-0000-000063740000}"/>
    <cellStyle name="Normal 3 4 5 2 2" xfId="24595" xr:uid="{00000000-0005-0000-0000-000064740000}"/>
    <cellStyle name="Normal 3 4 5 2 2 2" xfId="24596" xr:uid="{00000000-0005-0000-0000-000065740000}"/>
    <cellStyle name="Normal 3 4 5 2 3" xfId="24597" xr:uid="{00000000-0005-0000-0000-000066740000}"/>
    <cellStyle name="Normal 3 4 5 2 4" xfId="24598" xr:uid="{00000000-0005-0000-0000-000067740000}"/>
    <cellStyle name="Normal 3 4 5 2 5" xfId="39704" xr:uid="{00000000-0005-0000-0000-000068740000}"/>
    <cellStyle name="Normal 3 4 5 3" xfId="24599" xr:uid="{00000000-0005-0000-0000-000069740000}"/>
    <cellStyle name="Normal 3 4 5 4" xfId="24600" xr:uid="{00000000-0005-0000-0000-00006A740000}"/>
    <cellStyle name="Normal 3 4 5 4 2" xfId="24601" xr:uid="{00000000-0005-0000-0000-00006B740000}"/>
    <cellStyle name="Normal 3 4 5 5" xfId="24602" xr:uid="{00000000-0005-0000-0000-00006C740000}"/>
    <cellStyle name="Normal 3 4 5 6" xfId="24603" xr:uid="{00000000-0005-0000-0000-00006D740000}"/>
    <cellStyle name="Normal 3 4 5 7" xfId="39703" xr:uid="{00000000-0005-0000-0000-00006E740000}"/>
    <cellStyle name="Normal 3 4 6" xfId="24604" xr:uid="{00000000-0005-0000-0000-00006F740000}"/>
    <cellStyle name="Normal 3 4 6 2" xfId="24605" xr:uid="{00000000-0005-0000-0000-000070740000}"/>
    <cellStyle name="Normal 3 4 6 2 2" xfId="24606" xr:uid="{00000000-0005-0000-0000-000071740000}"/>
    <cellStyle name="Normal 3 4 6 2 2 2" xfId="24607" xr:uid="{00000000-0005-0000-0000-000072740000}"/>
    <cellStyle name="Normal 3 4 6 2 3" xfId="24608" xr:uid="{00000000-0005-0000-0000-000073740000}"/>
    <cellStyle name="Normal 3 4 6 2 4" xfId="24609" xr:uid="{00000000-0005-0000-0000-000074740000}"/>
    <cellStyle name="Normal 3 4 6 2 5" xfId="39706" xr:uid="{00000000-0005-0000-0000-000075740000}"/>
    <cellStyle name="Normal 3 4 6 3" xfId="24610" xr:uid="{00000000-0005-0000-0000-000076740000}"/>
    <cellStyle name="Normal 3 4 6 3 2" xfId="24611" xr:uid="{00000000-0005-0000-0000-000077740000}"/>
    <cellStyle name="Normal 3 4 6 4" xfId="24612" xr:uid="{00000000-0005-0000-0000-000078740000}"/>
    <cellStyle name="Normal 3 4 6 5" xfId="24613" xr:uid="{00000000-0005-0000-0000-000079740000}"/>
    <cellStyle name="Normal 3 4 6 6" xfId="39705" xr:uid="{00000000-0005-0000-0000-00007A740000}"/>
    <cellStyle name="Normal 3 4 7" xfId="24614" xr:uid="{00000000-0005-0000-0000-00007B740000}"/>
    <cellStyle name="Normal 3 4 7 2" xfId="24615" xr:uid="{00000000-0005-0000-0000-00007C740000}"/>
    <cellStyle name="Normal 3 4 7 2 2" xfId="24616" xr:uid="{00000000-0005-0000-0000-00007D740000}"/>
    <cellStyle name="Normal 3 4 7 3" xfId="24617" xr:uid="{00000000-0005-0000-0000-00007E740000}"/>
    <cellStyle name="Normal 3 4 7 4" xfId="24618" xr:uid="{00000000-0005-0000-0000-00007F740000}"/>
    <cellStyle name="Normal 3 4 7 5" xfId="39707" xr:uid="{00000000-0005-0000-0000-000080740000}"/>
    <cellStyle name="Normal 3 4 8" xfId="24619" xr:uid="{00000000-0005-0000-0000-000081740000}"/>
    <cellStyle name="Normal 3 4 8 2" xfId="24620" xr:uid="{00000000-0005-0000-0000-000082740000}"/>
    <cellStyle name="Normal 3 4 8 2 2" xfId="24621" xr:uid="{00000000-0005-0000-0000-000083740000}"/>
    <cellStyle name="Normal 3 4 8 3" xfId="24622" xr:uid="{00000000-0005-0000-0000-000084740000}"/>
    <cellStyle name="Normal 3 4 8 4" xfId="24623" xr:uid="{00000000-0005-0000-0000-000085740000}"/>
    <cellStyle name="Normal 3 4 9" xfId="24624" xr:uid="{00000000-0005-0000-0000-000086740000}"/>
    <cellStyle name="Normal 3 4 9 2" xfId="24625" xr:uid="{00000000-0005-0000-0000-000087740000}"/>
    <cellStyle name="Normal 3 4 9 2 2" xfId="24626" xr:uid="{00000000-0005-0000-0000-000088740000}"/>
    <cellStyle name="Normal 3 4 9 3" xfId="24627" xr:uid="{00000000-0005-0000-0000-000089740000}"/>
    <cellStyle name="Normal 3 4 9 4" xfId="24628" xr:uid="{00000000-0005-0000-0000-00008A740000}"/>
    <cellStyle name="Normal 3 5" xfId="24629" xr:uid="{00000000-0005-0000-0000-00008B740000}"/>
    <cellStyle name="Normal 3 5 10" xfId="24630" xr:uid="{00000000-0005-0000-0000-00008C740000}"/>
    <cellStyle name="Normal 3 5 10 2" xfId="24631" xr:uid="{00000000-0005-0000-0000-00008D740000}"/>
    <cellStyle name="Normal 3 5 11" xfId="24632" xr:uid="{00000000-0005-0000-0000-00008E740000}"/>
    <cellStyle name="Normal 3 5 12" xfId="24633" xr:uid="{00000000-0005-0000-0000-00008F740000}"/>
    <cellStyle name="Normal 3 5 13" xfId="35385" xr:uid="{00000000-0005-0000-0000-000090740000}"/>
    <cellStyle name="Normal 3 5 14" xfId="42065" xr:uid="{8A42F7D7-DBDF-457F-AE22-40F6E6D40B01}"/>
    <cellStyle name="Normal 3 5 2" xfId="24634" xr:uid="{00000000-0005-0000-0000-000091740000}"/>
    <cellStyle name="Normal 3 5 2 10" xfId="24635" xr:uid="{00000000-0005-0000-0000-000092740000}"/>
    <cellStyle name="Normal 3 5 2 11" xfId="24636" xr:uid="{00000000-0005-0000-0000-000093740000}"/>
    <cellStyle name="Normal 3 5 2 12" xfId="35386" xr:uid="{00000000-0005-0000-0000-000094740000}"/>
    <cellStyle name="Normal 3 5 2 13" xfId="42154" xr:uid="{8FE7AFBC-43AD-4AF5-A1BA-1638E9C7606B}"/>
    <cellStyle name="Normal 3 5 2 2" xfId="24637" xr:uid="{00000000-0005-0000-0000-000095740000}"/>
    <cellStyle name="Normal 3 5 2 2 10" xfId="24638" xr:uid="{00000000-0005-0000-0000-000096740000}"/>
    <cellStyle name="Normal 3 5 2 2 11" xfId="35387" xr:uid="{00000000-0005-0000-0000-000097740000}"/>
    <cellStyle name="Normal 3 5 2 2 2" xfId="24639" xr:uid="{00000000-0005-0000-0000-000098740000}"/>
    <cellStyle name="Normal 3 5 2 2 2 10" xfId="35388" xr:uid="{00000000-0005-0000-0000-000099740000}"/>
    <cellStyle name="Normal 3 5 2 2 2 2" xfId="24640" xr:uid="{00000000-0005-0000-0000-00009A740000}"/>
    <cellStyle name="Normal 3 5 2 2 2 2 2" xfId="24641" xr:uid="{00000000-0005-0000-0000-00009B740000}"/>
    <cellStyle name="Normal 3 5 2 2 2 2 2 2" xfId="24642" xr:uid="{00000000-0005-0000-0000-00009C740000}"/>
    <cellStyle name="Normal 3 5 2 2 2 2 2 2 2" xfId="24643" xr:uid="{00000000-0005-0000-0000-00009D740000}"/>
    <cellStyle name="Normal 3 5 2 2 2 2 2 3" xfId="24644" xr:uid="{00000000-0005-0000-0000-00009E740000}"/>
    <cellStyle name="Normal 3 5 2 2 2 2 2 4" xfId="24645" xr:uid="{00000000-0005-0000-0000-00009F740000}"/>
    <cellStyle name="Normal 3 5 2 2 2 2 2 5" xfId="39709" xr:uid="{00000000-0005-0000-0000-0000A0740000}"/>
    <cellStyle name="Normal 3 5 2 2 2 2 3" xfId="24646" xr:uid="{00000000-0005-0000-0000-0000A1740000}"/>
    <cellStyle name="Normal 3 5 2 2 2 2 3 2" xfId="24647" xr:uid="{00000000-0005-0000-0000-0000A2740000}"/>
    <cellStyle name="Normal 3 5 2 2 2 2 4" xfId="24648" xr:uid="{00000000-0005-0000-0000-0000A3740000}"/>
    <cellStyle name="Normal 3 5 2 2 2 2 5" xfId="24649" xr:uid="{00000000-0005-0000-0000-0000A4740000}"/>
    <cellStyle name="Normal 3 5 2 2 2 2 6" xfId="39708" xr:uid="{00000000-0005-0000-0000-0000A5740000}"/>
    <cellStyle name="Normal 3 5 2 2 2 3" xfId="24650" xr:uid="{00000000-0005-0000-0000-0000A6740000}"/>
    <cellStyle name="Normal 3 5 2 2 2 3 2" xfId="24651" xr:uid="{00000000-0005-0000-0000-0000A7740000}"/>
    <cellStyle name="Normal 3 5 2 2 2 3 2 2" xfId="24652" xr:uid="{00000000-0005-0000-0000-0000A8740000}"/>
    <cellStyle name="Normal 3 5 2 2 2 3 2 2 2" xfId="24653" xr:uid="{00000000-0005-0000-0000-0000A9740000}"/>
    <cellStyle name="Normal 3 5 2 2 2 3 2 3" xfId="24654" xr:uid="{00000000-0005-0000-0000-0000AA740000}"/>
    <cellStyle name="Normal 3 5 2 2 2 3 2 4" xfId="24655" xr:uid="{00000000-0005-0000-0000-0000AB740000}"/>
    <cellStyle name="Normal 3 5 2 2 2 3 2 5" xfId="39711" xr:uid="{00000000-0005-0000-0000-0000AC740000}"/>
    <cellStyle name="Normal 3 5 2 2 2 3 3" xfId="24656" xr:uid="{00000000-0005-0000-0000-0000AD740000}"/>
    <cellStyle name="Normal 3 5 2 2 2 3 3 2" xfId="24657" xr:uid="{00000000-0005-0000-0000-0000AE740000}"/>
    <cellStyle name="Normal 3 5 2 2 2 3 4" xfId="24658" xr:uid="{00000000-0005-0000-0000-0000AF740000}"/>
    <cellStyle name="Normal 3 5 2 2 2 3 5" xfId="24659" xr:uid="{00000000-0005-0000-0000-0000B0740000}"/>
    <cellStyle name="Normal 3 5 2 2 2 3 6" xfId="39710" xr:uid="{00000000-0005-0000-0000-0000B1740000}"/>
    <cellStyle name="Normal 3 5 2 2 2 4" xfId="24660" xr:uid="{00000000-0005-0000-0000-0000B2740000}"/>
    <cellStyle name="Normal 3 5 2 2 2 4 2" xfId="24661" xr:uid="{00000000-0005-0000-0000-0000B3740000}"/>
    <cellStyle name="Normal 3 5 2 2 2 4 2 2" xfId="24662" xr:uid="{00000000-0005-0000-0000-0000B4740000}"/>
    <cellStyle name="Normal 3 5 2 2 2 4 3" xfId="24663" xr:uid="{00000000-0005-0000-0000-0000B5740000}"/>
    <cellStyle name="Normal 3 5 2 2 2 4 4" xfId="24664" xr:uid="{00000000-0005-0000-0000-0000B6740000}"/>
    <cellStyle name="Normal 3 5 2 2 2 4 5" xfId="39712" xr:uid="{00000000-0005-0000-0000-0000B7740000}"/>
    <cellStyle name="Normal 3 5 2 2 2 5" xfId="24665" xr:uid="{00000000-0005-0000-0000-0000B8740000}"/>
    <cellStyle name="Normal 3 5 2 2 2 5 2" xfId="24666" xr:uid="{00000000-0005-0000-0000-0000B9740000}"/>
    <cellStyle name="Normal 3 5 2 2 2 5 2 2" xfId="24667" xr:uid="{00000000-0005-0000-0000-0000BA740000}"/>
    <cellStyle name="Normal 3 5 2 2 2 5 3" xfId="24668" xr:uid="{00000000-0005-0000-0000-0000BB740000}"/>
    <cellStyle name="Normal 3 5 2 2 2 5 4" xfId="24669" xr:uid="{00000000-0005-0000-0000-0000BC740000}"/>
    <cellStyle name="Normal 3 5 2 2 2 6" xfId="24670" xr:uid="{00000000-0005-0000-0000-0000BD740000}"/>
    <cellStyle name="Normal 3 5 2 2 2 6 2" xfId="24671" xr:uid="{00000000-0005-0000-0000-0000BE740000}"/>
    <cellStyle name="Normal 3 5 2 2 2 6 2 2" xfId="24672" xr:uid="{00000000-0005-0000-0000-0000BF740000}"/>
    <cellStyle name="Normal 3 5 2 2 2 6 3" xfId="24673" xr:uid="{00000000-0005-0000-0000-0000C0740000}"/>
    <cellStyle name="Normal 3 5 2 2 2 6 4" xfId="24674" xr:uid="{00000000-0005-0000-0000-0000C1740000}"/>
    <cellStyle name="Normal 3 5 2 2 2 7" xfId="24675" xr:uid="{00000000-0005-0000-0000-0000C2740000}"/>
    <cellStyle name="Normal 3 5 2 2 2 7 2" xfId="24676" xr:uid="{00000000-0005-0000-0000-0000C3740000}"/>
    <cellStyle name="Normal 3 5 2 2 2 8" xfId="24677" xr:uid="{00000000-0005-0000-0000-0000C4740000}"/>
    <cellStyle name="Normal 3 5 2 2 2 9" xfId="24678" xr:uid="{00000000-0005-0000-0000-0000C5740000}"/>
    <cellStyle name="Normal 3 5 2 2 3" xfId="24679" xr:uid="{00000000-0005-0000-0000-0000C6740000}"/>
    <cellStyle name="Normal 3 5 2 2 3 2" xfId="24680" xr:uid="{00000000-0005-0000-0000-0000C7740000}"/>
    <cellStyle name="Normal 3 5 2 2 3 2 2" xfId="24681" xr:uid="{00000000-0005-0000-0000-0000C8740000}"/>
    <cellStyle name="Normal 3 5 2 2 3 2 2 2" xfId="24682" xr:uid="{00000000-0005-0000-0000-0000C9740000}"/>
    <cellStyle name="Normal 3 5 2 2 3 2 3" xfId="24683" xr:uid="{00000000-0005-0000-0000-0000CA740000}"/>
    <cellStyle name="Normal 3 5 2 2 3 2 4" xfId="24684" xr:uid="{00000000-0005-0000-0000-0000CB740000}"/>
    <cellStyle name="Normal 3 5 2 2 3 2 5" xfId="39714" xr:uid="{00000000-0005-0000-0000-0000CC740000}"/>
    <cellStyle name="Normal 3 5 2 2 3 3" xfId="24685" xr:uid="{00000000-0005-0000-0000-0000CD740000}"/>
    <cellStyle name="Normal 3 5 2 2 3 3 2" xfId="24686" xr:uid="{00000000-0005-0000-0000-0000CE740000}"/>
    <cellStyle name="Normal 3 5 2 2 3 4" xfId="24687" xr:uid="{00000000-0005-0000-0000-0000CF740000}"/>
    <cellStyle name="Normal 3 5 2 2 3 5" xfId="24688" xr:uid="{00000000-0005-0000-0000-0000D0740000}"/>
    <cellStyle name="Normal 3 5 2 2 3 6" xfId="39713" xr:uid="{00000000-0005-0000-0000-0000D1740000}"/>
    <cellStyle name="Normal 3 5 2 2 4" xfId="24689" xr:uid="{00000000-0005-0000-0000-0000D2740000}"/>
    <cellStyle name="Normal 3 5 2 2 4 2" xfId="24690" xr:uid="{00000000-0005-0000-0000-0000D3740000}"/>
    <cellStyle name="Normal 3 5 2 2 4 2 2" xfId="24691" xr:uid="{00000000-0005-0000-0000-0000D4740000}"/>
    <cellStyle name="Normal 3 5 2 2 4 2 2 2" xfId="24692" xr:uid="{00000000-0005-0000-0000-0000D5740000}"/>
    <cellStyle name="Normal 3 5 2 2 4 2 3" xfId="24693" xr:uid="{00000000-0005-0000-0000-0000D6740000}"/>
    <cellStyle name="Normal 3 5 2 2 4 2 4" xfId="24694" xr:uid="{00000000-0005-0000-0000-0000D7740000}"/>
    <cellStyle name="Normal 3 5 2 2 4 2 5" xfId="39716" xr:uid="{00000000-0005-0000-0000-0000D8740000}"/>
    <cellStyle name="Normal 3 5 2 2 4 3" xfId="24695" xr:uid="{00000000-0005-0000-0000-0000D9740000}"/>
    <cellStyle name="Normal 3 5 2 2 4 3 2" xfId="24696" xr:uid="{00000000-0005-0000-0000-0000DA740000}"/>
    <cellStyle name="Normal 3 5 2 2 4 4" xfId="24697" xr:uid="{00000000-0005-0000-0000-0000DB740000}"/>
    <cellStyle name="Normal 3 5 2 2 4 5" xfId="24698" xr:uid="{00000000-0005-0000-0000-0000DC740000}"/>
    <cellStyle name="Normal 3 5 2 2 4 6" xfId="39715" xr:uid="{00000000-0005-0000-0000-0000DD740000}"/>
    <cellStyle name="Normal 3 5 2 2 5" xfId="24699" xr:uid="{00000000-0005-0000-0000-0000DE740000}"/>
    <cellStyle name="Normal 3 5 2 2 5 2" xfId="24700" xr:uid="{00000000-0005-0000-0000-0000DF740000}"/>
    <cellStyle name="Normal 3 5 2 2 5 2 2" xfId="24701" xr:uid="{00000000-0005-0000-0000-0000E0740000}"/>
    <cellStyle name="Normal 3 5 2 2 5 3" xfId="24702" xr:uid="{00000000-0005-0000-0000-0000E1740000}"/>
    <cellStyle name="Normal 3 5 2 2 5 4" xfId="24703" xr:uid="{00000000-0005-0000-0000-0000E2740000}"/>
    <cellStyle name="Normal 3 5 2 2 5 5" xfId="39717" xr:uid="{00000000-0005-0000-0000-0000E3740000}"/>
    <cellStyle name="Normal 3 5 2 2 6" xfId="24704" xr:uid="{00000000-0005-0000-0000-0000E4740000}"/>
    <cellStyle name="Normal 3 5 2 2 6 2" xfId="24705" xr:uid="{00000000-0005-0000-0000-0000E5740000}"/>
    <cellStyle name="Normal 3 5 2 2 6 2 2" xfId="24706" xr:uid="{00000000-0005-0000-0000-0000E6740000}"/>
    <cellStyle name="Normal 3 5 2 2 6 3" xfId="24707" xr:uid="{00000000-0005-0000-0000-0000E7740000}"/>
    <cellStyle name="Normal 3 5 2 2 6 4" xfId="24708" xr:uid="{00000000-0005-0000-0000-0000E8740000}"/>
    <cellStyle name="Normal 3 5 2 2 7" xfId="24709" xr:uid="{00000000-0005-0000-0000-0000E9740000}"/>
    <cellStyle name="Normal 3 5 2 2 7 2" xfId="24710" xr:uid="{00000000-0005-0000-0000-0000EA740000}"/>
    <cellStyle name="Normal 3 5 2 2 7 2 2" xfId="24711" xr:uid="{00000000-0005-0000-0000-0000EB740000}"/>
    <cellStyle name="Normal 3 5 2 2 7 3" xfId="24712" xr:uid="{00000000-0005-0000-0000-0000EC740000}"/>
    <cellStyle name="Normal 3 5 2 2 7 4" xfId="24713" xr:uid="{00000000-0005-0000-0000-0000ED740000}"/>
    <cellStyle name="Normal 3 5 2 2 8" xfId="24714" xr:uid="{00000000-0005-0000-0000-0000EE740000}"/>
    <cellStyle name="Normal 3 5 2 2 8 2" xfId="24715" xr:uid="{00000000-0005-0000-0000-0000EF740000}"/>
    <cellStyle name="Normal 3 5 2 2 9" xfId="24716" xr:uid="{00000000-0005-0000-0000-0000F0740000}"/>
    <cellStyle name="Normal 3 5 2 3" xfId="24717" xr:uid="{00000000-0005-0000-0000-0000F1740000}"/>
    <cellStyle name="Normal 3 5 2 3 10" xfId="35389" xr:uid="{00000000-0005-0000-0000-0000F2740000}"/>
    <cellStyle name="Normal 3 5 2 3 2" xfId="24718" xr:uid="{00000000-0005-0000-0000-0000F3740000}"/>
    <cellStyle name="Normal 3 5 2 3 2 2" xfId="24719" xr:uid="{00000000-0005-0000-0000-0000F4740000}"/>
    <cellStyle name="Normal 3 5 2 3 2 2 2" xfId="24720" xr:uid="{00000000-0005-0000-0000-0000F5740000}"/>
    <cellStyle name="Normal 3 5 2 3 2 2 2 2" xfId="24721" xr:uid="{00000000-0005-0000-0000-0000F6740000}"/>
    <cellStyle name="Normal 3 5 2 3 2 2 3" xfId="24722" xr:uid="{00000000-0005-0000-0000-0000F7740000}"/>
    <cellStyle name="Normal 3 5 2 3 2 2 4" xfId="24723" xr:uid="{00000000-0005-0000-0000-0000F8740000}"/>
    <cellStyle name="Normal 3 5 2 3 2 2 5" xfId="39719" xr:uid="{00000000-0005-0000-0000-0000F9740000}"/>
    <cellStyle name="Normal 3 5 2 3 2 3" xfId="24724" xr:uid="{00000000-0005-0000-0000-0000FA740000}"/>
    <cellStyle name="Normal 3 5 2 3 2 3 2" xfId="24725" xr:uid="{00000000-0005-0000-0000-0000FB740000}"/>
    <cellStyle name="Normal 3 5 2 3 2 4" xfId="24726" xr:uid="{00000000-0005-0000-0000-0000FC740000}"/>
    <cellStyle name="Normal 3 5 2 3 2 5" xfId="24727" xr:uid="{00000000-0005-0000-0000-0000FD740000}"/>
    <cellStyle name="Normal 3 5 2 3 2 6" xfId="39718" xr:uid="{00000000-0005-0000-0000-0000FE740000}"/>
    <cellStyle name="Normal 3 5 2 3 3" xfId="24728" xr:uid="{00000000-0005-0000-0000-0000FF740000}"/>
    <cellStyle name="Normal 3 5 2 3 3 2" xfId="24729" xr:uid="{00000000-0005-0000-0000-000000750000}"/>
    <cellStyle name="Normal 3 5 2 3 3 2 2" xfId="24730" xr:uid="{00000000-0005-0000-0000-000001750000}"/>
    <cellStyle name="Normal 3 5 2 3 3 2 2 2" xfId="24731" xr:uid="{00000000-0005-0000-0000-000002750000}"/>
    <cellStyle name="Normal 3 5 2 3 3 2 3" xfId="24732" xr:uid="{00000000-0005-0000-0000-000003750000}"/>
    <cellStyle name="Normal 3 5 2 3 3 2 4" xfId="24733" xr:uid="{00000000-0005-0000-0000-000004750000}"/>
    <cellStyle name="Normal 3 5 2 3 3 2 5" xfId="39721" xr:uid="{00000000-0005-0000-0000-000005750000}"/>
    <cellStyle name="Normal 3 5 2 3 3 3" xfId="24734" xr:uid="{00000000-0005-0000-0000-000006750000}"/>
    <cellStyle name="Normal 3 5 2 3 3 3 2" xfId="24735" xr:uid="{00000000-0005-0000-0000-000007750000}"/>
    <cellStyle name="Normal 3 5 2 3 3 4" xfId="24736" xr:uid="{00000000-0005-0000-0000-000008750000}"/>
    <cellStyle name="Normal 3 5 2 3 3 5" xfId="24737" xr:uid="{00000000-0005-0000-0000-000009750000}"/>
    <cellStyle name="Normal 3 5 2 3 3 6" xfId="39720" xr:uid="{00000000-0005-0000-0000-00000A750000}"/>
    <cellStyle name="Normal 3 5 2 3 4" xfId="24738" xr:uid="{00000000-0005-0000-0000-00000B750000}"/>
    <cellStyle name="Normal 3 5 2 3 4 2" xfId="24739" xr:uid="{00000000-0005-0000-0000-00000C750000}"/>
    <cellStyle name="Normal 3 5 2 3 4 2 2" xfId="24740" xr:uid="{00000000-0005-0000-0000-00000D750000}"/>
    <cellStyle name="Normal 3 5 2 3 4 3" xfId="24741" xr:uid="{00000000-0005-0000-0000-00000E750000}"/>
    <cellStyle name="Normal 3 5 2 3 4 4" xfId="24742" xr:uid="{00000000-0005-0000-0000-00000F750000}"/>
    <cellStyle name="Normal 3 5 2 3 4 5" xfId="39722" xr:uid="{00000000-0005-0000-0000-000010750000}"/>
    <cellStyle name="Normal 3 5 2 3 5" xfId="24743" xr:uid="{00000000-0005-0000-0000-000011750000}"/>
    <cellStyle name="Normal 3 5 2 3 5 2" xfId="24744" xr:uid="{00000000-0005-0000-0000-000012750000}"/>
    <cellStyle name="Normal 3 5 2 3 5 2 2" xfId="24745" xr:uid="{00000000-0005-0000-0000-000013750000}"/>
    <cellStyle name="Normal 3 5 2 3 5 3" xfId="24746" xr:uid="{00000000-0005-0000-0000-000014750000}"/>
    <cellStyle name="Normal 3 5 2 3 5 4" xfId="24747" xr:uid="{00000000-0005-0000-0000-000015750000}"/>
    <cellStyle name="Normal 3 5 2 3 6" xfId="24748" xr:uid="{00000000-0005-0000-0000-000016750000}"/>
    <cellStyle name="Normal 3 5 2 3 6 2" xfId="24749" xr:uid="{00000000-0005-0000-0000-000017750000}"/>
    <cellStyle name="Normal 3 5 2 3 6 2 2" xfId="24750" xr:uid="{00000000-0005-0000-0000-000018750000}"/>
    <cellStyle name="Normal 3 5 2 3 6 3" xfId="24751" xr:uid="{00000000-0005-0000-0000-000019750000}"/>
    <cellStyle name="Normal 3 5 2 3 6 4" xfId="24752" xr:uid="{00000000-0005-0000-0000-00001A750000}"/>
    <cellStyle name="Normal 3 5 2 3 7" xfId="24753" xr:uid="{00000000-0005-0000-0000-00001B750000}"/>
    <cellStyle name="Normal 3 5 2 3 7 2" xfId="24754" xr:uid="{00000000-0005-0000-0000-00001C750000}"/>
    <cellStyle name="Normal 3 5 2 3 8" xfId="24755" xr:uid="{00000000-0005-0000-0000-00001D750000}"/>
    <cellStyle name="Normal 3 5 2 3 9" xfId="24756" xr:uid="{00000000-0005-0000-0000-00001E750000}"/>
    <cellStyle name="Normal 3 5 2 4" xfId="24757" xr:uid="{00000000-0005-0000-0000-00001F750000}"/>
    <cellStyle name="Normal 3 5 2 4 2" xfId="24758" xr:uid="{00000000-0005-0000-0000-000020750000}"/>
    <cellStyle name="Normal 3 5 2 4 2 2" xfId="24759" xr:uid="{00000000-0005-0000-0000-000021750000}"/>
    <cellStyle name="Normal 3 5 2 4 2 2 2" xfId="24760" xr:uid="{00000000-0005-0000-0000-000022750000}"/>
    <cellStyle name="Normal 3 5 2 4 2 3" xfId="24761" xr:uid="{00000000-0005-0000-0000-000023750000}"/>
    <cellStyle name="Normal 3 5 2 4 2 4" xfId="24762" xr:uid="{00000000-0005-0000-0000-000024750000}"/>
    <cellStyle name="Normal 3 5 2 4 2 5" xfId="39724" xr:uid="{00000000-0005-0000-0000-000025750000}"/>
    <cellStyle name="Normal 3 5 2 4 3" xfId="24763" xr:uid="{00000000-0005-0000-0000-000026750000}"/>
    <cellStyle name="Normal 3 5 2 4 3 2" xfId="24764" xr:uid="{00000000-0005-0000-0000-000027750000}"/>
    <cellStyle name="Normal 3 5 2 4 4" xfId="24765" xr:uid="{00000000-0005-0000-0000-000028750000}"/>
    <cellStyle name="Normal 3 5 2 4 5" xfId="24766" xr:uid="{00000000-0005-0000-0000-000029750000}"/>
    <cellStyle name="Normal 3 5 2 4 6" xfId="39723" xr:uid="{00000000-0005-0000-0000-00002A750000}"/>
    <cellStyle name="Normal 3 5 2 5" xfId="24767" xr:uid="{00000000-0005-0000-0000-00002B750000}"/>
    <cellStyle name="Normal 3 5 2 5 2" xfId="24768" xr:uid="{00000000-0005-0000-0000-00002C750000}"/>
    <cellStyle name="Normal 3 5 2 5 2 2" xfId="24769" xr:uid="{00000000-0005-0000-0000-00002D750000}"/>
    <cellStyle name="Normal 3 5 2 5 2 2 2" xfId="24770" xr:uid="{00000000-0005-0000-0000-00002E750000}"/>
    <cellStyle name="Normal 3 5 2 5 2 3" xfId="24771" xr:uid="{00000000-0005-0000-0000-00002F750000}"/>
    <cellStyle name="Normal 3 5 2 5 2 4" xfId="24772" xr:uid="{00000000-0005-0000-0000-000030750000}"/>
    <cellStyle name="Normal 3 5 2 5 2 5" xfId="39726" xr:uid="{00000000-0005-0000-0000-000031750000}"/>
    <cellStyle name="Normal 3 5 2 5 3" xfId="24773" xr:uid="{00000000-0005-0000-0000-000032750000}"/>
    <cellStyle name="Normal 3 5 2 5 3 2" xfId="24774" xr:uid="{00000000-0005-0000-0000-000033750000}"/>
    <cellStyle name="Normal 3 5 2 5 4" xfId="24775" xr:uid="{00000000-0005-0000-0000-000034750000}"/>
    <cellStyle name="Normal 3 5 2 5 5" xfId="24776" xr:uid="{00000000-0005-0000-0000-000035750000}"/>
    <cellStyle name="Normal 3 5 2 5 6" xfId="39725" xr:uid="{00000000-0005-0000-0000-000036750000}"/>
    <cellStyle name="Normal 3 5 2 6" xfId="24777" xr:uid="{00000000-0005-0000-0000-000037750000}"/>
    <cellStyle name="Normal 3 5 2 6 2" xfId="24778" xr:uid="{00000000-0005-0000-0000-000038750000}"/>
    <cellStyle name="Normal 3 5 2 6 2 2" xfId="24779" xr:uid="{00000000-0005-0000-0000-000039750000}"/>
    <cellStyle name="Normal 3 5 2 6 3" xfId="24780" xr:uid="{00000000-0005-0000-0000-00003A750000}"/>
    <cellStyle name="Normal 3 5 2 6 4" xfId="24781" xr:uid="{00000000-0005-0000-0000-00003B750000}"/>
    <cellStyle name="Normal 3 5 2 6 5" xfId="39727" xr:uid="{00000000-0005-0000-0000-00003C750000}"/>
    <cellStyle name="Normal 3 5 2 7" xfId="24782" xr:uid="{00000000-0005-0000-0000-00003D750000}"/>
    <cellStyle name="Normal 3 5 2 7 2" xfId="24783" xr:uid="{00000000-0005-0000-0000-00003E750000}"/>
    <cellStyle name="Normal 3 5 2 7 2 2" xfId="24784" xr:uid="{00000000-0005-0000-0000-00003F750000}"/>
    <cellStyle name="Normal 3 5 2 7 3" xfId="24785" xr:uid="{00000000-0005-0000-0000-000040750000}"/>
    <cellStyle name="Normal 3 5 2 7 4" xfId="24786" xr:uid="{00000000-0005-0000-0000-000041750000}"/>
    <cellStyle name="Normal 3 5 2 8" xfId="24787" xr:uid="{00000000-0005-0000-0000-000042750000}"/>
    <cellStyle name="Normal 3 5 2 8 2" xfId="24788" xr:uid="{00000000-0005-0000-0000-000043750000}"/>
    <cellStyle name="Normal 3 5 2 8 2 2" xfId="24789" xr:uid="{00000000-0005-0000-0000-000044750000}"/>
    <cellStyle name="Normal 3 5 2 8 3" xfId="24790" xr:uid="{00000000-0005-0000-0000-000045750000}"/>
    <cellStyle name="Normal 3 5 2 8 4" xfId="24791" xr:uid="{00000000-0005-0000-0000-000046750000}"/>
    <cellStyle name="Normal 3 5 2 9" xfId="24792" xr:uid="{00000000-0005-0000-0000-000047750000}"/>
    <cellStyle name="Normal 3 5 2 9 2" xfId="24793" xr:uid="{00000000-0005-0000-0000-000048750000}"/>
    <cellStyle name="Normal 3 5 3" xfId="24794" xr:uid="{00000000-0005-0000-0000-000049750000}"/>
    <cellStyle name="Normal 3 5 3 10" xfId="24795" xr:uid="{00000000-0005-0000-0000-00004A750000}"/>
    <cellStyle name="Normal 3 5 3 11" xfId="35390" xr:uid="{00000000-0005-0000-0000-00004B750000}"/>
    <cellStyle name="Normal 3 5 3 12" xfId="42122" xr:uid="{45FD5922-A443-4FB3-82EF-9BB8D1617283}"/>
    <cellStyle name="Normal 3 5 3 2" xfId="24796" xr:uid="{00000000-0005-0000-0000-00004C750000}"/>
    <cellStyle name="Normal 3 5 3 2 10" xfId="35391" xr:uid="{00000000-0005-0000-0000-00004D750000}"/>
    <cellStyle name="Normal 3 5 3 2 2" xfId="24797" xr:uid="{00000000-0005-0000-0000-00004E750000}"/>
    <cellStyle name="Normal 3 5 3 2 2 2" xfId="24798" xr:uid="{00000000-0005-0000-0000-00004F750000}"/>
    <cellStyle name="Normal 3 5 3 2 2 2 2" xfId="24799" xr:uid="{00000000-0005-0000-0000-000050750000}"/>
    <cellStyle name="Normal 3 5 3 2 2 2 2 2" xfId="24800" xr:uid="{00000000-0005-0000-0000-000051750000}"/>
    <cellStyle name="Normal 3 5 3 2 2 2 3" xfId="24801" xr:uid="{00000000-0005-0000-0000-000052750000}"/>
    <cellStyle name="Normal 3 5 3 2 2 2 4" xfId="24802" xr:uid="{00000000-0005-0000-0000-000053750000}"/>
    <cellStyle name="Normal 3 5 3 2 2 2 5" xfId="39729" xr:uid="{00000000-0005-0000-0000-000054750000}"/>
    <cellStyle name="Normal 3 5 3 2 2 3" xfId="24803" xr:uid="{00000000-0005-0000-0000-000055750000}"/>
    <cellStyle name="Normal 3 5 3 2 2 3 2" xfId="24804" xr:uid="{00000000-0005-0000-0000-000056750000}"/>
    <cellStyle name="Normal 3 5 3 2 2 4" xfId="24805" xr:uid="{00000000-0005-0000-0000-000057750000}"/>
    <cellStyle name="Normal 3 5 3 2 2 5" xfId="24806" xr:uid="{00000000-0005-0000-0000-000058750000}"/>
    <cellStyle name="Normal 3 5 3 2 2 6" xfId="39728" xr:uid="{00000000-0005-0000-0000-000059750000}"/>
    <cellStyle name="Normal 3 5 3 2 3" xfId="24807" xr:uid="{00000000-0005-0000-0000-00005A750000}"/>
    <cellStyle name="Normal 3 5 3 2 3 2" xfId="24808" xr:uid="{00000000-0005-0000-0000-00005B750000}"/>
    <cellStyle name="Normal 3 5 3 2 3 2 2" xfId="24809" xr:uid="{00000000-0005-0000-0000-00005C750000}"/>
    <cellStyle name="Normal 3 5 3 2 3 2 2 2" xfId="24810" xr:uid="{00000000-0005-0000-0000-00005D750000}"/>
    <cellStyle name="Normal 3 5 3 2 3 2 3" xfId="24811" xr:uid="{00000000-0005-0000-0000-00005E750000}"/>
    <cellStyle name="Normal 3 5 3 2 3 2 4" xfId="24812" xr:uid="{00000000-0005-0000-0000-00005F750000}"/>
    <cellStyle name="Normal 3 5 3 2 3 2 5" xfId="39731" xr:uid="{00000000-0005-0000-0000-000060750000}"/>
    <cellStyle name="Normal 3 5 3 2 3 3" xfId="24813" xr:uid="{00000000-0005-0000-0000-000061750000}"/>
    <cellStyle name="Normal 3 5 3 2 3 3 2" xfId="24814" xr:uid="{00000000-0005-0000-0000-000062750000}"/>
    <cellStyle name="Normal 3 5 3 2 3 4" xfId="24815" xr:uid="{00000000-0005-0000-0000-000063750000}"/>
    <cellStyle name="Normal 3 5 3 2 3 5" xfId="24816" xr:uid="{00000000-0005-0000-0000-000064750000}"/>
    <cellStyle name="Normal 3 5 3 2 3 6" xfId="39730" xr:uid="{00000000-0005-0000-0000-000065750000}"/>
    <cellStyle name="Normal 3 5 3 2 4" xfId="24817" xr:uid="{00000000-0005-0000-0000-000066750000}"/>
    <cellStyle name="Normal 3 5 3 2 4 2" xfId="24818" xr:uid="{00000000-0005-0000-0000-000067750000}"/>
    <cellStyle name="Normal 3 5 3 2 4 2 2" xfId="24819" xr:uid="{00000000-0005-0000-0000-000068750000}"/>
    <cellStyle name="Normal 3 5 3 2 4 3" xfId="24820" xr:uid="{00000000-0005-0000-0000-000069750000}"/>
    <cellStyle name="Normal 3 5 3 2 4 4" xfId="24821" xr:uid="{00000000-0005-0000-0000-00006A750000}"/>
    <cellStyle name="Normal 3 5 3 2 4 5" xfId="39732" xr:uid="{00000000-0005-0000-0000-00006B750000}"/>
    <cellStyle name="Normal 3 5 3 2 5" xfId="24822" xr:uid="{00000000-0005-0000-0000-00006C750000}"/>
    <cellStyle name="Normal 3 5 3 2 5 2" xfId="24823" xr:uid="{00000000-0005-0000-0000-00006D750000}"/>
    <cellStyle name="Normal 3 5 3 2 5 2 2" xfId="24824" xr:uid="{00000000-0005-0000-0000-00006E750000}"/>
    <cellStyle name="Normal 3 5 3 2 5 3" xfId="24825" xr:uid="{00000000-0005-0000-0000-00006F750000}"/>
    <cellStyle name="Normal 3 5 3 2 5 4" xfId="24826" xr:uid="{00000000-0005-0000-0000-000070750000}"/>
    <cellStyle name="Normal 3 5 3 2 6" xfId="24827" xr:uid="{00000000-0005-0000-0000-000071750000}"/>
    <cellStyle name="Normal 3 5 3 2 6 2" xfId="24828" xr:uid="{00000000-0005-0000-0000-000072750000}"/>
    <cellStyle name="Normal 3 5 3 2 6 2 2" xfId="24829" xr:uid="{00000000-0005-0000-0000-000073750000}"/>
    <cellStyle name="Normal 3 5 3 2 6 3" xfId="24830" xr:uid="{00000000-0005-0000-0000-000074750000}"/>
    <cellStyle name="Normal 3 5 3 2 6 4" xfId="24831" xr:uid="{00000000-0005-0000-0000-000075750000}"/>
    <cellStyle name="Normal 3 5 3 2 7" xfId="24832" xr:uid="{00000000-0005-0000-0000-000076750000}"/>
    <cellStyle name="Normal 3 5 3 2 7 2" xfId="24833" xr:uid="{00000000-0005-0000-0000-000077750000}"/>
    <cellStyle name="Normal 3 5 3 2 8" xfId="24834" xr:uid="{00000000-0005-0000-0000-000078750000}"/>
    <cellStyle name="Normal 3 5 3 2 9" xfId="24835" xr:uid="{00000000-0005-0000-0000-000079750000}"/>
    <cellStyle name="Normal 3 5 3 3" xfId="24836" xr:uid="{00000000-0005-0000-0000-00007A750000}"/>
    <cellStyle name="Normal 3 5 3 3 2" xfId="24837" xr:uid="{00000000-0005-0000-0000-00007B750000}"/>
    <cellStyle name="Normal 3 5 3 3 2 2" xfId="24838" xr:uid="{00000000-0005-0000-0000-00007C750000}"/>
    <cellStyle name="Normal 3 5 3 3 2 2 2" xfId="24839" xr:uid="{00000000-0005-0000-0000-00007D750000}"/>
    <cellStyle name="Normal 3 5 3 3 2 3" xfId="24840" xr:uid="{00000000-0005-0000-0000-00007E750000}"/>
    <cellStyle name="Normal 3 5 3 3 2 4" xfId="24841" xr:uid="{00000000-0005-0000-0000-00007F750000}"/>
    <cellStyle name="Normal 3 5 3 3 2 5" xfId="39734" xr:uid="{00000000-0005-0000-0000-000080750000}"/>
    <cellStyle name="Normal 3 5 3 3 3" xfId="24842" xr:uid="{00000000-0005-0000-0000-000081750000}"/>
    <cellStyle name="Normal 3 5 3 3 3 2" xfId="24843" xr:uid="{00000000-0005-0000-0000-000082750000}"/>
    <cellStyle name="Normal 3 5 3 3 4" xfId="24844" xr:uid="{00000000-0005-0000-0000-000083750000}"/>
    <cellStyle name="Normal 3 5 3 3 5" xfId="24845" xr:uid="{00000000-0005-0000-0000-000084750000}"/>
    <cellStyle name="Normal 3 5 3 3 6" xfId="39733" xr:uid="{00000000-0005-0000-0000-000085750000}"/>
    <cellStyle name="Normal 3 5 3 4" xfId="24846" xr:uid="{00000000-0005-0000-0000-000086750000}"/>
    <cellStyle name="Normal 3 5 3 4 2" xfId="24847" xr:uid="{00000000-0005-0000-0000-000087750000}"/>
    <cellStyle name="Normal 3 5 3 4 2 2" xfId="24848" xr:uid="{00000000-0005-0000-0000-000088750000}"/>
    <cellStyle name="Normal 3 5 3 4 2 2 2" xfId="24849" xr:uid="{00000000-0005-0000-0000-000089750000}"/>
    <cellStyle name="Normal 3 5 3 4 2 3" xfId="24850" xr:uid="{00000000-0005-0000-0000-00008A750000}"/>
    <cellStyle name="Normal 3 5 3 4 2 4" xfId="24851" xr:uid="{00000000-0005-0000-0000-00008B750000}"/>
    <cellStyle name="Normal 3 5 3 4 2 5" xfId="39736" xr:uid="{00000000-0005-0000-0000-00008C750000}"/>
    <cellStyle name="Normal 3 5 3 4 3" xfId="24852" xr:uid="{00000000-0005-0000-0000-00008D750000}"/>
    <cellStyle name="Normal 3 5 3 4 3 2" xfId="24853" xr:uid="{00000000-0005-0000-0000-00008E750000}"/>
    <cellStyle name="Normal 3 5 3 4 4" xfId="24854" xr:uid="{00000000-0005-0000-0000-00008F750000}"/>
    <cellStyle name="Normal 3 5 3 4 5" xfId="24855" xr:uid="{00000000-0005-0000-0000-000090750000}"/>
    <cellStyle name="Normal 3 5 3 4 6" xfId="39735" xr:uid="{00000000-0005-0000-0000-000091750000}"/>
    <cellStyle name="Normal 3 5 3 5" xfId="24856" xr:uid="{00000000-0005-0000-0000-000092750000}"/>
    <cellStyle name="Normal 3 5 3 5 2" xfId="24857" xr:uid="{00000000-0005-0000-0000-000093750000}"/>
    <cellStyle name="Normal 3 5 3 5 2 2" xfId="24858" xr:uid="{00000000-0005-0000-0000-000094750000}"/>
    <cellStyle name="Normal 3 5 3 5 3" xfId="24859" xr:uid="{00000000-0005-0000-0000-000095750000}"/>
    <cellStyle name="Normal 3 5 3 5 4" xfId="24860" xr:uid="{00000000-0005-0000-0000-000096750000}"/>
    <cellStyle name="Normal 3 5 3 5 5" xfId="39737" xr:uid="{00000000-0005-0000-0000-000097750000}"/>
    <cellStyle name="Normal 3 5 3 6" xfId="24861" xr:uid="{00000000-0005-0000-0000-000098750000}"/>
    <cellStyle name="Normal 3 5 3 6 2" xfId="24862" xr:uid="{00000000-0005-0000-0000-000099750000}"/>
    <cellStyle name="Normal 3 5 3 6 2 2" xfId="24863" xr:uid="{00000000-0005-0000-0000-00009A750000}"/>
    <cellStyle name="Normal 3 5 3 6 3" xfId="24864" xr:uid="{00000000-0005-0000-0000-00009B750000}"/>
    <cellStyle name="Normal 3 5 3 6 4" xfId="24865" xr:uid="{00000000-0005-0000-0000-00009C750000}"/>
    <cellStyle name="Normal 3 5 3 7" xfId="24866" xr:uid="{00000000-0005-0000-0000-00009D750000}"/>
    <cellStyle name="Normal 3 5 3 7 2" xfId="24867" xr:uid="{00000000-0005-0000-0000-00009E750000}"/>
    <cellStyle name="Normal 3 5 3 7 2 2" xfId="24868" xr:uid="{00000000-0005-0000-0000-00009F750000}"/>
    <cellStyle name="Normal 3 5 3 7 3" xfId="24869" xr:uid="{00000000-0005-0000-0000-0000A0750000}"/>
    <cellStyle name="Normal 3 5 3 7 4" xfId="24870" xr:uid="{00000000-0005-0000-0000-0000A1750000}"/>
    <cellStyle name="Normal 3 5 3 8" xfId="24871" xr:uid="{00000000-0005-0000-0000-0000A2750000}"/>
    <cellStyle name="Normal 3 5 3 8 2" xfId="24872" xr:uid="{00000000-0005-0000-0000-0000A3750000}"/>
    <cellStyle name="Normal 3 5 3 9" xfId="24873" xr:uid="{00000000-0005-0000-0000-0000A4750000}"/>
    <cellStyle name="Normal 3 5 4" xfId="24874" xr:uid="{00000000-0005-0000-0000-0000A5750000}"/>
    <cellStyle name="Normal 3 5 4 10" xfId="35392" xr:uid="{00000000-0005-0000-0000-0000A6750000}"/>
    <cellStyle name="Normal 3 5 4 2" xfId="24875" xr:uid="{00000000-0005-0000-0000-0000A7750000}"/>
    <cellStyle name="Normal 3 5 4 2 2" xfId="24876" xr:uid="{00000000-0005-0000-0000-0000A8750000}"/>
    <cellStyle name="Normal 3 5 4 2 2 2" xfId="24877" xr:uid="{00000000-0005-0000-0000-0000A9750000}"/>
    <cellStyle name="Normal 3 5 4 2 2 2 2" xfId="24878" xr:uid="{00000000-0005-0000-0000-0000AA750000}"/>
    <cellStyle name="Normal 3 5 4 2 2 3" xfId="24879" xr:uid="{00000000-0005-0000-0000-0000AB750000}"/>
    <cellStyle name="Normal 3 5 4 2 2 4" xfId="24880" xr:uid="{00000000-0005-0000-0000-0000AC750000}"/>
    <cellStyle name="Normal 3 5 4 2 2 5" xfId="39739" xr:uid="{00000000-0005-0000-0000-0000AD750000}"/>
    <cellStyle name="Normal 3 5 4 2 3" xfId="24881" xr:uid="{00000000-0005-0000-0000-0000AE750000}"/>
    <cellStyle name="Normal 3 5 4 2 3 2" xfId="24882" xr:uid="{00000000-0005-0000-0000-0000AF750000}"/>
    <cellStyle name="Normal 3 5 4 2 4" xfId="24883" xr:uid="{00000000-0005-0000-0000-0000B0750000}"/>
    <cellStyle name="Normal 3 5 4 2 5" xfId="24884" xr:uid="{00000000-0005-0000-0000-0000B1750000}"/>
    <cellStyle name="Normal 3 5 4 2 6" xfId="39738" xr:uid="{00000000-0005-0000-0000-0000B2750000}"/>
    <cellStyle name="Normal 3 5 4 3" xfId="24885" xr:uid="{00000000-0005-0000-0000-0000B3750000}"/>
    <cellStyle name="Normal 3 5 4 3 2" xfId="24886" xr:uid="{00000000-0005-0000-0000-0000B4750000}"/>
    <cellStyle name="Normal 3 5 4 3 2 2" xfId="24887" xr:uid="{00000000-0005-0000-0000-0000B5750000}"/>
    <cellStyle name="Normal 3 5 4 3 2 2 2" xfId="24888" xr:uid="{00000000-0005-0000-0000-0000B6750000}"/>
    <cellStyle name="Normal 3 5 4 3 2 3" xfId="24889" xr:uid="{00000000-0005-0000-0000-0000B7750000}"/>
    <cellStyle name="Normal 3 5 4 3 2 4" xfId="24890" xr:uid="{00000000-0005-0000-0000-0000B8750000}"/>
    <cellStyle name="Normal 3 5 4 3 2 5" xfId="39741" xr:uid="{00000000-0005-0000-0000-0000B9750000}"/>
    <cellStyle name="Normal 3 5 4 3 3" xfId="24891" xr:uid="{00000000-0005-0000-0000-0000BA750000}"/>
    <cellStyle name="Normal 3 5 4 3 3 2" xfId="24892" xr:uid="{00000000-0005-0000-0000-0000BB750000}"/>
    <cellStyle name="Normal 3 5 4 3 4" xfId="24893" xr:uid="{00000000-0005-0000-0000-0000BC750000}"/>
    <cellStyle name="Normal 3 5 4 3 5" xfId="24894" xr:uid="{00000000-0005-0000-0000-0000BD750000}"/>
    <cellStyle name="Normal 3 5 4 3 6" xfId="39740" xr:uid="{00000000-0005-0000-0000-0000BE750000}"/>
    <cellStyle name="Normal 3 5 4 4" xfId="24895" xr:uid="{00000000-0005-0000-0000-0000BF750000}"/>
    <cellStyle name="Normal 3 5 4 4 2" xfId="24896" xr:uid="{00000000-0005-0000-0000-0000C0750000}"/>
    <cellStyle name="Normal 3 5 4 4 2 2" xfId="24897" xr:uid="{00000000-0005-0000-0000-0000C1750000}"/>
    <cellStyle name="Normal 3 5 4 4 3" xfId="24898" xr:uid="{00000000-0005-0000-0000-0000C2750000}"/>
    <cellStyle name="Normal 3 5 4 4 4" xfId="24899" xr:uid="{00000000-0005-0000-0000-0000C3750000}"/>
    <cellStyle name="Normal 3 5 4 4 5" xfId="39742" xr:uid="{00000000-0005-0000-0000-0000C4750000}"/>
    <cellStyle name="Normal 3 5 4 5" xfId="24900" xr:uid="{00000000-0005-0000-0000-0000C5750000}"/>
    <cellStyle name="Normal 3 5 4 5 2" xfId="24901" xr:uid="{00000000-0005-0000-0000-0000C6750000}"/>
    <cellStyle name="Normal 3 5 4 5 2 2" xfId="24902" xr:uid="{00000000-0005-0000-0000-0000C7750000}"/>
    <cellStyle name="Normal 3 5 4 5 3" xfId="24903" xr:uid="{00000000-0005-0000-0000-0000C8750000}"/>
    <cellStyle name="Normal 3 5 4 5 4" xfId="24904" xr:uid="{00000000-0005-0000-0000-0000C9750000}"/>
    <cellStyle name="Normal 3 5 4 6" xfId="24905" xr:uid="{00000000-0005-0000-0000-0000CA750000}"/>
    <cellStyle name="Normal 3 5 4 6 2" xfId="24906" xr:uid="{00000000-0005-0000-0000-0000CB750000}"/>
    <cellStyle name="Normal 3 5 4 6 2 2" xfId="24907" xr:uid="{00000000-0005-0000-0000-0000CC750000}"/>
    <cellStyle name="Normal 3 5 4 6 3" xfId="24908" xr:uid="{00000000-0005-0000-0000-0000CD750000}"/>
    <cellStyle name="Normal 3 5 4 6 4" xfId="24909" xr:uid="{00000000-0005-0000-0000-0000CE750000}"/>
    <cellStyle name="Normal 3 5 4 7" xfId="24910" xr:uid="{00000000-0005-0000-0000-0000CF750000}"/>
    <cellStyle name="Normal 3 5 4 7 2" xfId="24911" xr:uid="{00000000-0005-0000-0000-0000D0750000}"/>
    <cellStyle name="Normal 3 5 4 8" xfId="24912" xr:uid="{00000000-0005-0000-0000-0000D1750000}"/>
    <cellStyle name="Normal 3 5 4 9" xfId="24913" xr:uid="{00000000-0005-0000-0000-0000D2750000}"/>
    <cellStyle name="Normal 3 5 5" xfId="24914" xr:uid="{00000000-0005-0000-0000-0000D3750000}"/>
    <cellStyle name="Normal 3 5 5 2" xfId="24915" xr:uid="{00000000-0005-0000-0000-0000D4750000}"/>
    <cellStyle name="Normal 3 5 5 2 2" xfId="24916" xr:uid="{00000000-0005-0000-0000-0000D5750000}"/>
    <cellStyle name="Normal 3 5 5 2 2 2" xfId="24917" xr:uid="{00000000-0005-0000-0000-0000D6750000}"/>
    <cellStyle name="Normal 3 5 5 2 3" xfId="24918" xr:uid="{00000000-0005-0000-0000-0000D7750000}"/>
    <cellStyle name="Normal 3 5 5 2 4" xfId="24919" xr:uid="{00000000-0005-0000-0000-0000D8750000}"/>
    <cellStyle name="Normal 3 5 5 2 5" xfId="39744" xr:uid="{00000000-0005-0000-0000-0000D9750000}"/>
    <cellStyle name="Normal 3 5 5 3" xfId="24920" xr:uid="{00000000-0005-0000-0000-0000DA750000}"/>
    <cellStyle name="Normal 3 5 5 3 2" xfId="24921" xr:uid="{00000000-0005-0000-0000-0000DB750000}"/>
    <cellStyle name="Normal 3 5 5 4" xfId="24922" xr:uid="{00000000-0005-0000-0000-0000DC750000}"/>
    <cellStyle name="Normal 3 5 5 5" xfId="24923" xr:uid="{00000000-0005-0000-0000-0000DD750000}"/>
    <cellStyle name="Normal 3 5 5 6" xfId="39743" xr:uid="{00000000-0005-0000-0000-0000DE750000}"/>
    <cellStyle name="Normal 3 5 6" xfId="24924" xr:uid="{00000000-0005-0000-0000-0000DF750000}"/>
    <cellStyle name="Normal 3 5 6 2" xfId="24925" xr:uid="{00000000-0005-0000-0000-0000E0750000}"/>
    <cellStyle name="Normal 3 5 6 2 2" xfId="24926" xr:uid="{00000000-0005-0000-0000-0000E1750000}"/>
    <cellStyle name="Normal 3 5 6 2 2 2" xfId="24927" xr:uid="{00000000-0005-0000-0000-0000E2750000}"/>
    <cellStyle name="Normal 3 5 6 2 3" xfId="24928" xr:uid="{00000000-0005-0000-0000-0000E3750000}"/>
    <cellStyle name="Normal 3 5 6 2 4" xfId="24929" xr:uid="{00000000-0005-0000-0000-0000E4750000}"/>
    <cellStyle name="Normal 3 5 6 2 5" xfId="39746" xr:uid="{00000000-0005-0000-0000-0000E5750000}"/>
    <cellStyle name="Normal 3 5 6 3" xfId="24930" xr:uid="{00000000-0005-0000-0000-0000E6750000}"/>
    <cellStyle name="Normal 3 5 6 3 2" xfId="24931" xr:uid="{00000000-0005-0000-0000-0000E7750000}"/>
    <cellStyle name="Normal 3 5 6 4" xfId="24932" xr:uid="{00000000-0005-0000-0000-0000E8750000}"/>
    <cellStyle name="Normal 3 5 6 5" xfId="24933" xr:uid="{00000000-0005-0000-0000-0000E9750000}"/>
    <cellStyle name="Normal 3 5 6 6" xfId="39745" xr:uid="{00000000-0005-0000-0000-0000EA750000}"/>
    <cellStyle name="Normal 3 5 7" xfId="24934" xr:uid="{00000000-0005-0000-0000-0000EB750000}"/>
    <cellStyle name="Normal 3 5 7 2" xfId="24935" xr:uid="{00000000-0005-0000-0000-0000EC750000}"/>
    <cellStyle name="Normal 3 5 7 2 2" xfId="24936" xr:uid="{00000000-0005-0000-0000-0000ED750000}"/>
    <cellStyle name="Normal 3 5 7 3" xfId="24937" xr:uid="{00000000-0005-0000-0000-0000EE750000}"/>
    <cellStyle name="Normal 3 5 7 4" xfId="24938" xr:uid="{00000000-0005-0000-0000-0000EF750000}"/>
    <cellStyle name="Normal 3 5 7 5" xfId="39747" xr:uid="{00000000-0005-0000-0000-0000F0750000}"/>
    <cellStyle name="Normal 3 5 8" xfId="24939" xr:uid="{00000000-0005-0000-0000-0000F1750000}"/>
    <cellStyle name="Normal 3 5 8 2" xfId="24940" xr:uid="{00000000-0005-0000-0000-0000F2750000}"/>
    <cellStyle name="Normal 3 5 8 2 2" xfId="24941" xr:uid="{00000000-0005-0000-0000-0000F3750000}"/>
    <cellStyle name="Normal 3 5 8 3" xfId="24942" xr:uid="{00000000-0005-0000-0000-0000F4750000}"/>
    <cellStyle name="Normal 3 5 8 4" xfId="24943" xr:uid="{00000000-0005-0000-0000-0000F5750000}"/>
    <cellStyle name="Normal 3 5 9" xfId="24944" xr:uid="{00000000-0005-0000-0000-0000F6750000}"/>
    <cellStyle name="Normal 3 5 9 2" xfId="24945" xr:uid="{00000000-0005-0000-0000-0000F7750000}"/>
    <cellStyle name="Normal 3 5 9 2 2" xfId="24946" xr:uid="{00000000-0005-0000-0000-0000F8750000}"/>
    <cellStyle name="Normal 3 5 9 3" xfId="24947" xr:uid="{00000000-0005-0000-0000-0000F9750000}"/>
    <cellStyle name="Normal 3 5 9 4" xfId="24948" xr:uid="{00000000-0005-0000-0000-0000FA750000}"/>
    <cellStyle name="Normal 3 6" xfId="24949" xr:uid="{00000000-0005-0000-0000-0000FB750000}"/>
    <cellStyle name="Normal 3 6 10" xfId="24950" xr:uid="{00000000-0005-0000-0000-0000FC750000}"/>
    <cellStyle name="Normal 3 6 11" xfId="24951" xr:uid="{00000000-0005-0000-0000-0000FD750000}"/>
    <cellStyle name="Normal 3 6 12" xfId="35393" xr:uid="{00000000-0005-0000-0000-0000FE750000}"/>
    <cellStyle name="Normal 3 6 2" xfId="24952" xr:uid="{00000000-0005-0000-0000-0000FF750000}"/>
    <cellStyle name="Normal 3 6 2 10" xfId="24953" xr:uid="{00000000-0005-0000-0000-000000760000}"/>
    <cellStyle name="Normal 3 6 2 11" xfId="35394" xr:uid="{00000000-0005-0000-0000-000001760000}"/>
    <cellStyle name="Normal 3 6 2 2" xfId="24954" xr:uid="{00000000-0005-0000-0000-000002760000}"/>
    <cellStyle name="Normal 3 6 2 2 10" xfId="35395" xr:uid="{00000000-0005-0000-0000-000003760000}"/>
    <cellStyle name="Normal 3 6 2 2 2" xfId="24955" xr:uid="{00000000-0005-0000-0000-000004760000}"/>
    <cellStyle name="Normal 3 6 2 2 2 2" xfId="24956" xr:uid="{00000000-0005-0000-0000-000005760000}"/>
    <cellStyle name="Normal 3 6 2 2 2 2 2" xfId="24957" xr:uid="{00000000-0005-0000-0000-000006760000}"/>
    <cellStyle name="Normal 3 6 2 2 2 2 2 2" xfId="24958" xr:uid="{00000000-0005-0000-0000-000007760000}"/>
    <cellStyle name="Normal 3 6 2 2 2 2 3" xfId="24959" xr:uid="{00000000-0005-0000-0000-000008760000}"/>
    <cellStyle name="Normal 3 6 2 2 2 2 4" xfId="24960" xr:uid="{00000000-0005-0000-0000-000009760000}"/>
    <cellStyle name="Normal 3 6 2 2 2 2 5" xfId="39749" xr:uid="{00000000-0005-0000-0000-00000A760000}"/>
    <cellStyle name="Normal 3 6 2 2 2 3" xfId="24961" xr:uid="{00000000-0005-0000-0000-00000B760000}"/>
    <cellStyle name="Normal 3 6 2 2 2 3 2" xfId="24962" xr:uid="{00000000-0005-0000-0000-00000C760000}"/>
    <cellStyle name="Normal 3 6 2 2 2 4" xfId="24963" xr:uid="{00000000-0005-0000-0000-00000D760000}"/>
    <cellStyle name="Normal 3 6 2 2 2 5" xfId="24964" xr:uid="{00000000-0005-0000-0000-00000E760000}"/>
    <cellStyle name="Normal 3 6 2 2 2 6" xfId="39748" xr:uid="{00000000-0005-0000-0000-00000F760000}"/>
    <cellStyle name="Normal 3 6 2 2 3" xfId="24965" xr:uid="{00000000-0005-0000-0000-000010760000}"/>
    <cellStyle name="Normal 3 6 2 2 3 2" xfId="24966" xr:uid="{00000000-0005-0000-0000-000011760000}"/>
    <cellStyle name="Normal 3 6 2 2 3 2 2" xfId="24967" xr:uid="{00000000-0005-0000-0000-000012760000}"/>
    <cellStyle name="Normal 3 6 2 2 3 2 2 2" xfId="24968" xr:uid="{00000000-0005-0000-0000-000013760000}"/>
    <cellStyle name="Normal 3 6 2 2 3 2 3" xfId="24969" xr:uid="{00000000-0005-0000-0000-000014760000}"/>
    <cellStyle name="Normal 3 6 2 2 3 2 4" xfId="24970" xr:uid="{00000000-0005-0000-0000-000015760000}"/>
    <cellStyle name="Normal 3 6 2 2 3 2 5" xfId="39751" xr:uid="{00000000-0005-0000-0000-000016760000}"/>
    <cellStyle name="Normal 3 6 2 2 3 3" xfId="24971" xr:uid="{00000000-0005-0000-0000-000017760000}"/>
    <cellStyle name="Normal 3 6 2 2 3 3 2" xfId="24972" xr:uid="{00000000-0005-0000-0000-000018760000}"/>
    <cellStyle name="Normal 3 6 2 2 3 4" xfId="24973" xr:uid="{00000000-0005-0000-0000-000019760000}"/>
    <cellStyle name="Normal 3 6 2 2 3 5" xfId="24974" xr:uid="{00000000-0005-0000-0000-00001A760000}"/>
    <cellStyle name="Normal 3 6 2 2 3 6" xfId="39750" xr:uid="{00000000-0005-0000-0000-00001B760000}"/>
    <cellStyle name="Normal 3 6 2 2 4" xfId="24975" xr:uid="{00000000-0005-0000-0000-00001C760000}"/>
    <cellStyle name="Normal 3 6 2 2 4 2" xfId="24976" xr:uid="{00000000-0005-0000-0000-00001D760000}"/>
    <cellStyle name="Normal 3 6 2 2 4 2 2" xfId="24977" xr:uid="{00000000-0005-0000-0000-00001E760000}"/>
    <cellStyle name="Normal 3 6 2 2 4 3" xfId="24978" xr:uid="{00000000-0005-0000-0000-00001F760000}"/>
    <cellStyle name="Normal 3 6 2 2 4 4" xfId="24979" xr:uid="{00000000-0005-0000-0000-000020760000}"/>
    <cellStyle name="Normal 3 6 2 2 4 5" xfId="39752" xr:uid="{00000000-0005-0000-0000-000021760000}"/>
    <cellStyle name="Normal 3 6 2 2 5" xfId="24980" xr:uid="{00000000-0005-0000-0000-000022760000}"/>
    <cellStyle name="Normal 3 6 2 2 5 2" xfId="24981" xr:uid="{00000000-0005-0000-0000-000023760000}"/>
    <cellStyle name="Normal 3 6 2 2 5 2 2" xfId="24982" xr:uid="{00000000-0005-0000-0000-000024760000}"/>
    <cellStyle name="Normal 3 6 2 2 5 3" xfId="24983" xr:uid="{00000000-0005-0000-0000-000025760000}"/>
    <cellStyle name="Normal 3 6 2 2 5 4" xfId="24984" xr:uid="{00000000-0005-0000-0000-000026760000}"/>
    <cellStyle name="Normal 3 6 2 2 6" xfId="24985" xr:uid="{00000000-0005-0000-0000-000027760000}"/>
    <cellStyle name="Normal 3 6 2 2 6 2" xfId="24986" xr:uid="{00000000-0005-0000-0000-000028760000}"/>
    <cellStyle name="Normal 3 6 2 2 6 2 2" xfId="24987" xr:uid="{00000000-0005-0000-0000-000029760000}"/>
    <cellStyle name="Normal 3 6 2 2 6 3" xfId="24988" xr:uid="{00000000-0005-0000-0000-00002A760000}"/>
    <cellStyle name="Normal 3 6 2 2 6 4" xfId="24989" xr:uid="{00000000-0005-0000-0000-00002B760000}"/>
    <cellStyle name="Normal 3 6 2 2 7" xfId="24990" xr:uid="{00000000-0005-0000-0000-00002C760000}"/>
    <cellStyle name="Normal 3 6 2 2 7 2" xfId="24991" xr:uid="{00000000-0005-0000-0000-00002D760000}"/>
    <cellStyle name="Normal 3 6 2 2 8" xfId="24992" xr:uid="{00000000-0005-0000-0000-00002E760000}"/>
    <cellStyle name="Normal 3 6 2 2 9" xfId="24993" xr:uid="{00000000-0005-0000-0000-00002F760000}"/>
    <cellStyle name="Normal 3 6 2 3" xfId="24994" xr:uid="{00000000-0005-0000-0000-000030760000}"/>
    <cellStyle name="Normal 3 6 2 3 2" xfId="24995" xr:uid="{00000000-0005-0000-0000-000031760000}"/>
    <cellStyle name="Normal 3 6 2 3 2 2" xfId="24996" xr:uid="{00000000-0005-0000-0000-000032760000}"/>
    <cellStyle name="Normal 3 6 2 3 2 2 2" xfId="24997" xr:uid="{00000000-0005-0000-0000-000033760000}"/>
    <cellStyle name="Normal 3 6 2 3 2 3" xfId="24998" xr:uid="{00000000-0005-0000-0000-000034760000}"/>
    <cellStyle name="Normal 3 6 2 3 2 4" xfId="24999" xr:uid="{00000000-0005-0000-0000-000035760000}"/>
    <cellStyle name="Normal 3 6 2 3 2 5" xfId="39754" xr:uid="{00000000-0005-0000-0000-000036760000}"/>
    <cellStyle name="Normal 3 6 2 3 3" xfId="25000" xr:uid="{00000000-0005-0000-0000-000037760000}"/>
    <cellStyle name="Normal 3 6 2 3 3 2" xfId="25001" xr:uid="{00000000-0005-0000-0000-000038760000}"/>
    <cellStyle name="Normal 3 6 2 3 4" xfId="25002" xr:uid="{00000000-0005-0000-0000-000039760000}"/>
    <cellStyle name="Normal 3 6 2 3 5" xfId="25003" xr:uid="{00000000-0005-0000-0000-00003A760000}"/>
    <cellStyle name="Normal 3 6 2 3 6" xfId="39753" xr:uid="{00000000-0005-0000-0000-00003B760000}"/>
    <cellStyle name="Normal 3 6 2 4" xfId="25004" xr:uid="{00000000-0005-0000-0000-00003C760000}"/>
    <cellStyle name="Normal 3 6 2 4 2" xfId="25005" xr:uid="{00000000-0005-0000-0000-00003D760000}"/>
    <cellStyle name="Normal 3 6 2 4 2 2" xfId="25006" xr:uid="{00000000-0005-0000-0000-00003E760000}"/>
    <cellStyle name="Normal 3 6 2 4 2 2 2" xfId="25007" xr:uid="{00000000-0005-0000-0000-00003F760000}"/>
    <cellStyle name="Normal 3 6 2 4 2 3" xfId="25008" xr:uid="{00000000-0005-0000-0000-000040760000}"/>
    <cellStyle name="Normal 3 6 2 4 2 4" xfId="25009" xr:uid="{00000000-0005-0000-0000-000041760000}"/>
    <cellStyle name="Normal 3 6 2 4 2 5" xfId="39756" xr:uid="{00000000-0005-0000-0000-000042760000}"/>
    <cellStyle name="Normal 3 6 2 4 3" xfId="25010" xr:uid="{00000000-0005-0000-0000-000043760000}"/>
    <cellStyle name="Normal 3 6 2 4 3 2" xfId="25011" xr:uid="{00000000-0005-0000-0000-000044760000}"/>
    <cellStyle name="Normal 3 6 2 4 4" xfId="25012" xr:uid="{00000000-0005-0000-0000-000045760000}"/>
    <cellStyle name="Normal 3 6 2 4 5" xfId="25013" xr:uid="{00000000-0005-0000-0000-000046760000}"/>
    <cellStyle name="Normal 3 6 2 4 6" xfId="39755" xr:uid="{00000000-0005-0000-0000-000047760000}"/>
    <cellStyle name="Normal 3 6 2 5" xfId="25014" xr:uid="{00000000-0005-0000-0000-000048760000}"/>
    <cellStyle name="Normal 3 6 2 5 2" xfId="25015" xr:uid="{00000000-0005-0000-0000-000049760000}"/>
    <cellStyle name="Normal 3 6 2 5 2 2" xfId="25016" xr:uid="{00000000-0005-0000-0000-00004A760000}"/>
    <cellStyle name="Normal 3 6 2 5 3" xfId="25017" xr:uid="{00000000-0005-0000-0000-00004B760000}"/>
    <cellStyle name="Normal 3 6 2 5 4" xfId="25018" xr:uid="{00000000-0005-0000-0000-00004C760000}"/>
    <cellStyle name="Normal 3 6 2 5 5" xfId="39757" xr:uid="{00000000-0005-0000-0000-00004D760000}"/>
    <cellStyle name="Normal 3 6 2 6" xfId="25019" xr:uid="{00000000-0005-0000-0000-00004E760000}"/>
    <cellStyle name="Normal 3 6 2 6 2" xfId="25020" xr:uid="{00000000-0005-0000-0000-00004F760000}"/>
    <cellStyle name="Normal 3 6 2 6 2 2" xfId="25021" xr:uid="{00000000-0005-0000-0000-000050760000}"/>
    <cellStyle name="Normal 3 6 2 6 3" xfId="25022" xr:uid="{00000000-0005-0000-0000-000051760000}"/>
    <cellStyle name="Normal 3 6 2 6 4" xfId="25023" xr:uid="{00000000-0005-0000-0000-000052760000}"/>
    <cellStyle name="Normal 3 6 2 7" xfId="25024" xr:uid="{00000000-0005-0000-0000-000053760000}"/>
    <cellStyle name="Normal 3 6 2 7 2" xfId="25025" xr:uid="{00000000-0005-0000-0000-000054760000}"/>
    <cellStyle name="Normal 3 6 2 7 2 2" xfId="25026" xr:uid="{00000000-0005-0000-0000-000055760000}"/>
    <cellStyle name="Normal 3 6 2 7 3" xfId="25027" xr:uid="{00000000-0005-0000-0000-000056760000}"/>
    <cellStyle name="Normal 3 6 2 7 4" xfId="25028" xr:uid="{00000000-0005-0000-0000-000057760000}"/>
    <cellStyle name="Normal 3 6 2 8" xfId="25029" xr:uid="{00000000-0005-0000-0000-000058760000}"/>
    <cellStyle name="Normal 3 6 2 8 2" xfId="25030" xr:uid="{00000000-0005-0000-0000-000059760000}"/>
    <cellStyle name="Normal 3 6 2 9" xfId="25031" xr:uid="{00000000-0005-0000-0000-00005A760000}"/>
    <cellStyle name="Normal 3 6 3" xfId="25032" xr:uid="{00000000-0005-0000-0000-00005B760000}"/>
    <cellStyle name="Normal 3 6 3 10" xfId="35396" xr:uid="{00000000-0005-0000-0000-00005C760000}"/>
    <cellStyle name="Normal 3 6 3 2" xfId="25033" xr:uid="{00000000-0005-0000-0000-00005D760000}"/>
    <cellStyle name="Normal 3 6 3 2 2" xfId="25034" xr:uid="{00000000-0005-0000-0000-00005E760000}"/>
    <cellStyle name="Normal 3 6 3 2 2 2" xfId="25035" xr:uid="{00000000-0005-0000-0000-00005F760000}"/>
    <cellStyle name="Normal 3 6 3 2 2 2 2" xfId="25036" xr:uid="{00000000-0005-0000-0000-000060760000}"/>
    <cellStyle name="Normal 3 6 3 2 2 3" xfId="25037" xr:uid="{00000000-0005-0000-0000-000061760000}"/>
    <cellStyle name="Normal 3 6 3 2 2 4" xfId="25038" xr:uid="{00000000-0005-0000-0000-000062760000}"/>
    <cellStyle name="Normal 3 6 3 2 2 5" xfId="39759" xr:uid="{00000000-0005-0000-0000-000063760000}"/>
    <cellStyle name="Normal 3 6 3 2 3" xfId="25039" xr:uid="{00000000-0005-0000-0000-000064760000}"/>
    <cellStyle name="Normal 3 6 3 2 3 2" xfId="25040" xr:uid="{00000000-0005-0000-0000-000065760000}"/>
    <cellStyle name="Normal 3 6 3 2 4" xfId="25041" xr:uid="{00000000-0005-0000-0000-000066760000}"/>
    <cellStyle name="Normal 3 6 3 2 5" xfId="25042" xr:uid="{00000000-0005-0000-0000-000067760000}"/>
    <cellStyle name="Normal 3 6 3 2 6" xfId="39758" xr:uid="{00000000-0005-0000-0000-000068760000}"/>
    <cellStyle name="Normal 3 6 3 3" xfId="25043" xr:uid="{00000000-0005-0000-0000-000069760000}"/>
    <cellStyle name="Normal 3 6 3 3 2" xfId="25044" xr:uid="{00000000-0005-0000-0000-00006A760000}"/>
    <cellStyle name="Normal 3 6 3 3 2 2" xfId="25045" xr:uid="{00000000-0005-0000-0000-00006B760000}"/>
    <cellStyle name="Normal 3 6 3 3 2 2 2" xfId="25046" xr:uid="{00000000-0005-0000-0000-00006C760000}"/>
    <cellStyle name="Normal 3 6 3 3 2 3" xfId="25047" xr:uid="{00000000-0005-0000-0000-00006D760000}"/>
    <cellStyle name="Normal 3 6 3 3 2 4" xfId="25048" xr:uid="{00000000-0005-0000-0000-00006E760000}"/>
    <cellStyle name="Normal 3 6 3 3 2 5" xfId="39761" xr:uid="{00000000-0005-0000-0000-00006F760000}"/>
    <cellStyle name="Normal 3 6 3 3 3" xfId="25049" xr:uid="{00000000-0005-0000-0000-000070760000}"/>
    <cellStyle name="Normal 3 6 3 3 3 2" xfId="25050" xr:uid="{00000000-0005-0000-0000-000071760000}"/>
    <cellStyle name="Normal 3 6 3 3 4" xfId="25051" xr:uid="{00000000-0005-0000-0000-000072760000}"/>
    <cellStyle name="Normal 3 6 3 3 5" xfId="25052" xr:uid="{00000000-0005-0000-0000-000073760000}"/>
    <cellStyle name="Normal 3 6 3 3 6" xfId="39760" xr:uid="{00000000-0005-0000-0000-000074760000}"/>
    <cellStyle name="Normal 3 6 3 4" xfId="25053" xr:uid="{00000000-0005-0000-0000-000075760000}"/>
    <cellStyle name="Normal 3 6 3 4 2" xfId="25054" xr:uid="{00000000-0005-0000-0000-000076760000}"/>
    <cellStyle name="Normal 3 6 3 4 2 2" xfId="25055" xr:uid="{00000000-0005-0000-0000-000077760000}"/>
    <cellStyle name="Normal 3 6 3 4 3" xfId="25056" xr:uid="{00000000-0005-0000-0000-000078760000}"/>
    <cellStyle name="Normal 3 6 3 4 4" xfId="25057" xr:uid="{00000000-0005-0000-0000-000079760000}"/>
    <cellStyle name="Normal 3 6 3 4 5" xfId="39762" xr:uid="{00000000-0005-0000-0000-00007A760000}"/>
    <cellStyle name="Normal 3 6 3 5" xfId="25058" xr:uid="{00000000-0005-0000-0000-00007B760000}"/>
    <cellStyle name="Normal 3 6 3 5 2" xfId="25059" xr:uid="{00000000-0005-0000-0000-00007C760000}"/>
    <cellStyle name="Normal 3 6 3 5 2 2" xfId="25060" xr:uid="{00000000-0005-0000-0000-00007D760000}"/>
    <cellStyle name="Normal 3 6 3 5 3" xfId="25061" xr:uid="{00000000-0005-0000-0000-00007E760000}"/>
    <cellStyle name="Normal 3 6 3 5 4" xfId="25062" xr:uid="{00000000-0005-0000-0000-00007F760000}"/>
    <cellStyle name="Normal 3 6 3 6" xfId="25063" xr:uid="{00000000-0005-0000-0000-000080760000}"/>
    <cellStyle name="Normal 3 6 3 6 2" xfId="25064" xr:uid="{00000000-0005-0000-0000-000081760000}"/>
    <cellStyle name="Normal 3 6 3 6 2 2" xfId="25065" xr:uid="{00000000-0005-0000-0000-000082760000}"/>
    <cellStyle name="Normal 3 6 3 6 3" xfId="25066" xr:uid="{00000000-0005-0000-0000-000083760000}"/>
    <cellStyle name="Normal 3 6 3 6 4" xfId="25067" xr:uid="{00000000-0005-0000-0000-000084760000}"/>
    <cellStyle name="Normal 3 6 3 7" xfId="25068" xr:uid="{00000000-0005-0000-0000-000085760000}"/>
    <cellStyle name="Normal 3 6 3 7 2" xfId="25069" xr:uid="{00000000-0005-0000-0000-000086760000}"/>
    <cellStyle name="Normal 3 6 3 8" xfId="25070" xr:uid="{00000000-0005-0000-0000-000087760000}"/>
    <cellStyle name="Normal 3 6 3 9" xfId="25071" xr:uid="{00000000-0005-0000-0000-000088760000}"/>
    <cellStyle name="Normal 3 6 4" xfId="25072" xr:uid="{00000000-0005-0000-0000-000089760000}"/>
    <cellStyle name="Normal 3 6 4 2" xfId="25073" xr:uid="{00000000-0005-0000-0000-00008A760000}"/>
    <cellStyle name="Normal 3 6 4 2 2" xfId="25074" xr:uid="{00000000-0005-0000-0000-00008B760000}"/>
    <cellStyle name="Normal 3 6 4 2 2 2" xfId="25075" xr:uid="{00000000-0005-0000-0000-00008C760000}"/>
    <cellStyle name="Normal 3 6 4 2 3" xfId="25076" xr:uid="{00000000-0005-0000-0000-00008D760000}"/>
    <cellStyle name="Normal 3 6 4 2 4" xfId="25077" xr:uid="{00000000-0005-0000-0000-00008E760000}"/>
    <cellStyle name="Normal 3 6 4 2 5" xfId="39764" xr:uid="{00000000-0005-0000-0000-00008F760000}"/>
    <cellStyle name="Normal 3 6 4 3" xfId="25078" xr:uid="{00000000-0005-0000-0000-000090760000}"/>
    <cellStyle name="Normal 3 6 4 3 2" xfId="25079" xr:uid="{00000000-0005-0000-0000-000091760000}"/>
    <cellStyle name="Normal 3 6 4 4" xfId="25080" xr:uid="{00000000-0005-0000-0000-000092760000}"/>
    <cellStyle name="Normal 3 6 4 5" xfId="25081" xr:uid="{00000000-0005-0000-0000-000093760000}"/>
    <cellStyle name="Normal 3 6 4 6" xfId="39763" xr:uid="{00000000-0005-0000-0000-000094760000}"/>
    <cellStyle name="Normal 3 6 5" xfId="25082" xr:uid="{00000000-0005-0000-0000-000095760000}"/>
    <cellStyle name="Normal 3 6 5 2" xfId="25083" xr:uid="{00000000-0005-0000-0000-000096760000}"/>
    <cellStyle name="Normal 3 6 5 2 2" xfId="25084" xr:uid="{00000000-0005-0000-0000-000097760000}"/>
    <cellStyle name="Normal 3 6 5 2 2 2" xfId="25085" xr:uid="{00000000-0005-0000-0000-000098760000}"/>
    <cellStyle name="Normal 3 6 5 2 3" xfId="25086" xr:uid="{00000000-0005-0000-0000-000099760000}"/>
    <cellStyle name="Normal 3 6 5 2 4" xfId="25087" xr:uid="{00000000-0005-0000-0000-00009A760000}"/>
    <cellStyle name="Normal 3 6 5 2 5" xfId="39766" xr:uid="{00000000-0005-0000-0000-00009B760000}"/>
    <cellStyle name="Normal 3 6 5 3" xfId="25088" xr:uid="{00000000-0005-0000-0000-00009C760000}"/>
    <cellStyle name="Normal 3 6 5 3 2" xfId="25089" xr:uid="{00000000-0005-0000-0000-00009D760000}"/>
    <cellStyle name="Normal 3 6 5 4" xfId="25090" xr:uid="{00000000-0005-0000-0000-00009E760000}"/>
    <cellStyle name="Normal 3 6 5 5" xfId="25091" xr:uid="{00000000-0005-0000-0000-00009F760000}"/>
    <cellStyle name="Normal 3 6 5 6" xfId="39765" xr:uid="{00000000-0005-0000-0000-0000A0760000}"/>
    <cellStyle name="Normal 3 6 6" xfId="25092" xr:uid="{00000000-0005-0000-0000-0000A1760000}"/>
    <cellStyle name="Normal 3 6 6 2" xfId="25093" xr:uid="{00000000-0005-0000-0000-0000A2760000}"/>
    <cellStyle name="Normal 3 6 6 2 2" xfId="25094" xr:uid="{00000000-0005-0000-0000-0000A3760000}"/>
    <cellStyle name="Normal 3 6 6 3" xfId="25095" xr:uid="{00000000-0005-0000-0000-0000A4760000}"/>
    <cellStyle name="Normal 3 6 6 4" xfId="25096" xr:uid="{00000000-0005-0000-0000-0000A5760000}"/>
    <cellStyle name="Normal 3 6 6 5" xfId="39767" xr:uid="{00000000-0005-0000-0000-0000A6760000}"/>
    <cellStyle name="Normal 3 6 7" xfId="25097" xr:uid="{00000000-0005-0000-0000-0000A7760000}"/>
    <cellStyle name="Normal 3 6 7 2" xfId="25098" xr:uid="{00000000-0005-0000-0000-0000A8760000}"/>
    <cellStyle name="Normal 3 6 7 2 2" xfId="25099" xr:uid="{00000000-0005-0000-0000-0000A9760000}"/>
    <cellStyle name="Normal 3 6 7 3" xfId="25100" xr:uid="{00000000-0005-0000-0000-0000AA760000}"/>
    <cellStyle name="Normal 3 6 7 4" xfId="25101" xr:uid="{00000000-0005-0000-0000-0000AB760000}"/>
    <cellStyle name="Normal 3 6 8" xfId="25102" xr:uid="{00000000-0005-0000-0000-0000AC760000}"/>
    <cellStyle name="Normal 3 6 8 2" xfId="25103" xr:uid="{00000000-0005-0000-0000-0000AD760000}"/>
    <cellStyle name="Normal 3 6 8 2 2" xfId="25104" xr:uid="{00000000-0005-0000-0000-0000AE760000}"/>
    <cellStyle name="Normal 3 6 8 3" xfId="25105" xr:uid="{00000000-0005-0000-0000-0000AF760000}"/>
    <cellStyle name="Normal 3 6 8 4" xfId="25106" xr:uid="{00000000-0005-0000-0000-0000B0760000}"/>
    <cellStyle name="Normal 3 6 9" xfId="25107" xr:uid="{00000000-0005-0000-0000-0000B1760000}"/>
    <cellStyle name="Normal 3 6 9 2" xfId="25108" xr:uid="{00000000-0005-0000-0000-0000B2760000}"/>
    <cellStyle name="Normal 3 7" xfId="25109" xr:uid="{00000000-0005-0000-0000-0000B3760000}"/>
    <cellStyle name="Normal 3 7 10" xfId="25110" xr:uid="{00000000-0005-0000-0000-0000B4760000}"/>
    <cellStyle name="Normal 3 7 11" xfId="35397" xr:uid="{00000000-0005-0000-0000-0000B5760000}"/>
    <cellStyle name="Normal 3 7 2" xfId="25111" xr:uid="{00000000-0005-0000-0000-0000B6760000}"/>
    <cellStyle name="Normal 3 7 2 10" xfId="35398" xr:uid="{00000000-0005-0000-0000-0000B7760000}"/>
    <cellStyle name="Normal 3 7 2 2" xfId="25112" xr:uid="{00000000-0005-0000-0000-0000B8760000}"/>
    <cellStyle name="Normal 3 7 2 2 2" xfId="25113" xr:uid="{00000000-0005-0000-0000-0000B9760000}"/>
    <cellStyle name="Normal 3 7 2 2 2 2" xfId="25114" xr:uid="{00000000-0005-0000-0000-0000BA760000}"/>
    <cellStyle name="Normal 3 7 2 2 2 2 2" xfId="25115" xr:uid="{00000000-0005-0000-0000-0000BB760000}"/>
    <cellStyle name="Normal 3 7 2 2 2 3" xfId="25116" xr:uid="{00000000-0005-0000-0000-0000BC760000}"/>
    <cellStyle name="Normal 3 7 2 2 2 4" xfId="25117" xr:uid="{00000000-0005-0000-0000-0000BD760000}"/>
    <cellStyle name="Normal 3 7 2 2 2 5" xfId="39769" xr:uid="{00000000-0005-0000-0000-0000BE760000}"/>
    <cellStyle name="Normal 3 7 2 2 3" xfId="25118" xr:uid="{00000000-0005-0000-0000-0000BF760000}"/>
    <cellStyle name="Normal 3 7 2 2 3 2" xfId="25119" xr:uid="{00000000-0005-0000-0000-0000C0760000}"/>
    <cellStyle name="Normal 3 7 2 2 4" xfId="25120" xr:uid="{00000000-0005-0000-0000-0000C1760000}"/>
    <cellStyle name="Normal 3 7 2 2 5" xfId="25121" xr:uid="{00000000-0005-0000-0000-0000C2760000}"/>
    <cellStyle name="Normal 3 7 2 2 6" xfId="39768" xr:uid="{00000000-0005-0000-0000-0000C3760000}"/>
    <cellStyle name="Normal 3 7 2 3" xfId="25122" xr:uid="{00000000-0005-0000-0000-0000C4760000}"/>
    <cellStyle name="Normal 3 7 2 3 2" xfId="25123" xr:uid="{00000000-0005-0000-0000-0000C5760000}"/>
    <cellStyle name="Normal 3 7 2 3 2 2" xfId="25124" xr:uid="{00000000-0005-0000-0000-0000C6760000}"/>
    <cellStyle name="Normal 3 7 2 3 2 2 2" xfId="25125" xr:uid="{00000000-0005-0000-0000-0000C7760000}"/>
    <cellStyle name="Normal 3 7 2 3 2 3" xfId="25126" xr:uid="{00000000-0005-0000-0000-0000C8760000}"/>
    <cellStyle name="Normal 3 7 2 3 2 4" xfId="25127" xr:uid="{00000000-0005-0000-0000-0000C9760000}"/>
    <cellStyle name="Normal 3 7 2 3 2 5" xfId="39771" xr:uid="{00000000-0005-0000-0000-0000CA760000}"/>
    <cellStyle name="Normal 3 7 2 3 3" xfId="25128" xr:uid="{00000000-0005-0000-0000-0000CB760000}"/>
    <cellStyle name="Normal 3 7 2 3 3 2" xfId="25129" xr:uid="{00000000-0005-0000-0000-0000CC760000}"/>
    <cellStyle name="Normal 3 7 2 3 4" xfId="25130" xr:uid="{00000000-0005-0000-0000-0000CD760000}"/>
    <cellStyle name="Normal 3 7 2 3 5" xfId="25131" xr:uid="{00000000-0005-0000-0000-0000CE760000}"/>
    <cellStyle name="Normal 3 7 2 3 6" xfId="39770" xr:uid="{00000000-0005-0000-0000-0000CF760000}"/>
    <cellStyle name="Normal 3 7 2 4" xfId="25132" xr:uid="{00000000-0005-0000-0000-0000D0760000}"/>
    <cellStyle name="Normal 3 7 2 4 2" xfId="25133" xr:uid="{00000000-0005-0000-0000-0000D1760000}"/>
    <cellStyle name="Normal 3 7 2 4 2 2" xfId="25134" xr:uid="{00000000-0005-0000-0000-0000D2760000}"/>
    <cellStyle name="Normal 3 7 2 4 3" xfId="25135" xr:uid="{00000000-0005-0000-0000-0000D3760000}"/>
    <cellStyle name="Normal 3 7 2 4 4" xfId="25136" xr:uid="{00000000-0005-0000-0000-0000D4760000}"/>
    <cellStyle name="Normal 3 7 2 4 5" xfId="39772" xr:uid="{00000000-0005-0000-0000-0000D5760000}"/>
    <cellStyle name="Normal 3 7 2 5" xfId="25137" xr:uid="{00000000-0005-0000-0000-0000D6760000}"/>
    <cellStyle name="Normal 3 7 2 5 2" xfId="25138" xr:uid="{00000000-0005-0000-0000-0000D7760000}"/>
    <cellStyle name="Normal 3 7 2 5 2 2" xfId="25139" xr:uid="{00000000-0005-0000-0000-0000D8760000}"/>
    <cellStyle name="Normal 3 7 2 5 3" xfId="25140" xr:uid="{00000000-0005-0000-0000-0000D9760000}"/>
    <cellStyle name="Normal 3 7 2 5 4" xfId="25141" xr:uid="{00000000-0005-0000-0000-0000DA760000}"/>
    <cellStyle name="Normal 3 7 2 6" xfId="25142" xr:uid="{00000000-0005-0000-0000-0000DB760000}"/>
    <cellStyle name="Normal 3 7 2 6 2" xfId="25143" xr:uid="{00000000-0005-0000-0000-0000DC760000}"/>
    <cellStyle name="Normal 3 7 2 6 2 2" xfId="25144" xr:uid="{00000000-0005-0000-0000-0000DD760000}"/>
    <cellStyle name="Normal 3 7 2 6 3" xfId="25145" xr:uid="{00000000-0005-0000-0000-0000DE760000}"/>
    <cellStyle name="Normal 3 7 2 6 4" xfId="25146" xr:uid="{00000000-0005-0000-0000-0000DF760000}"/>
    <cellStyle name="Normal 3 7 2 7" xfId="25147" xr:uid="{00000000-0005-0000-0000-0000E0760000}"/>
    <cellStyle name="Normal 3 7 2 7 2" xfId="25148" xr:uid="{00000000-0005-0000-0000-0000E1760000}"/>
    <cellStyle name="Normal 3 7 2 8" xfId="25149" xr:uid="{00000000-0005-0000-0000-0000E2760000}"/>
    <cellStyle name="Normal 3 7 2 9" xfId="25150" xr:uid="{00000000-0005-0000-0000-0000E3760000}"/>
    <cellStyle name="Normal 3 7 3" xfId="25151" xr:uid="{00000000-0005-0000-0000-0000E4760000}"/>
    <cellStyle name="Normal 3 7 3 2" xfId="25152" xr:uid="{00000000-0005-0000-0000-0000E5760000}"/>
    <cellStyle name="Normal 3 7 3 2 2" xfId="25153" xr:uid="{00000000-0005-0000-0000-0000E6760000}"/>
    <cellStyle name="Normal 3 7 3 2 2 2" xfId="25154" xr:uid="{00000000-0005-0000-0000-0000E7760000}"/>
    <cellStyle name="Normal 3 7 3 2 3" xfId="25155" xr:uid="{00000000-0005-0000-0000-0000E8760000}"/>
    <cellStyle name="Normal 3 7 3 2 4" xfId="25156" xr:uid="{00000000-0005-0000-0000-0000E9760000}"/>
    <cellStyle name="Normal 3 7 3 2 5" xfId="39774" xr:uid="{00000000-0005-0000-0000-0000EA760000}"/>
    <cellStyle name="Normal 3 7 3 3" xfId="25157" xr:uid="{00000000-0005-0000-0000-0000EB760000}"/>
    <cellStyle name="Normal 3 7 3 3 2" xfId="25158" xr:uid="{00000000-0005-0000-0000-0000EC760000}"/>
    <cellStyle name="Normal 3 7 3 4" xfId="25159" xr:uid="{00000000-0005-0000-0000-0000ED760000}"/>
    <cellStyle name="Normal 3 7 3 5" xfId="25160" xr:uid="{00000000-0005-0000-0000-0000EE760000}"/>
    <cellStyle name="Normal 3 7 3 6" xfId="39773" xr:uid="{00000000-0005-0000-0000-0000EF760000}"/>
    <cellStyle name="Normal 3 7 4" xfId="25161" xr:uid="{00000000-0005-0000-0000-0000F0760000}"/>
    <cellStyle name="Normal 3 7 4 2" xfId="25162" xr:uid="{00000000-0005-0000-0000-0000F1760000}"/>
    <cellStyle name="Normal 3 7 4 2 2" xfId="25163" xr:uid="{00000000-0005-0000-0000-0000F2760000}"/>
    <cellStyle name="Normal 3 7 4 2 2 2" xfId="25164" xr:uid="{00000000-0005-0000-0000-0000F3760000}"/>
    <cellStyle name="Normal 3 7 4 2 3" xfId="25165" xr:uid="{00000000-0005-0000-0000-0000F4760000}"/>
    <cellStyle name="Normal 3 7 4 2 4" xfId="25166" xr:uid="{00000000-0005-0000-0000-0000F5760000}"/>
    <cellStyle name="Normal 3 7 4 2 5" xfId="39776" xr:uid="{00000000-0005-0000-0000-0000F6760000}"/>
    <cellStyle name="Normal 3 7 4 3" xfId="25167" xr:uid="{00000000-0005-0000-0000-0000F7760000}"/>
    <cellStyle name="Normal 3 7 4 3 2" xfId="25168" xr:uid="{00000000-0005-0000-0000-0000F8760000}"/>
    <cellStyle name="Normal 3 7 4 4" xfId="25169" xr:uid="{00000000-0005-0000-0000-0000F9760000}"/>
    <cellStyle name="Normal 3 7 4 5" xfId="25170" xr:uid="{00000000-0005-0000-0000-0000FA760000}"/>
    <cellStyle name="Normal 3 7 4 6" xfId="39775" xr:uid="{00000000-0005-0000-0000-0000FB760000}"/>
    <cellStyle name="Normal 3 7 5" xfId="25171" xr:uid="{00000000-0005-0000-0000-0000FC760000}"/>
    <cellStyle name="Normal 3 7 5 2" xfId="25172" xr:uid="{00000000-0005-0000-0000-0000FD760000}"/>
    <cellStyle name="Normal 3 7 5 2 2" xfId="25173" xr:uid="{00000000-0005-0000-0000-0000FE760000}"/>
    <cellStyle name="Normal 3 7 5 3" xfId="25174" xr:uid="{00000000-0005-0000-0000-0000FF760000}"/>
    <cellStyle name="Normal 3 7 5 4" xfId="25175" xr:uid="{00000000-0005-0000-0000-000000770000}"/>
    <cellStyle name="Normal 3 7 5 5" xfId="39777" xr:uid="{00000000-0005-0000-0000-000001770000}"/>
    <cellStyle name="Normal 3 7 6" xfId="25176" xr:uid="{00000000-0005-0000-0000-000002770000}"/>
    <cellStyle name="Normal 3 7 6 2" xfId="25177" xr:uid="{00000000-0005-0000-0000-000003770000}"/>
    <cellStyle name="Normal 3 7 6 2 2" xfId="25178" xr:uid="{00000000-0005-0000-0000-000004770000}"/>
    <cellStyle name="Normal 3 7 6 3" xfId="25179" xr:uid="{00000000-0005-0000-0000-000005770000}"/>
    <cellStyle name="Normal 3 7 6 4" xfId="25180" xr:uid="{00000000-0005-0000-0000-000006770000}"/>
    <cellStyle name="Normal 3 7 7" xfId="25181" xr:uid="{00000000-0005-0000-0000-000007770000}"/>
    <cellStyle name="Normal 3 7 7 2" xfId="25182" xr:uid="{00000000-0005-0000-0000-000008770000}"/>
    <cellStyle name="Normal 3 7 7 2 2" xfId="25183" xr:uid="{00000000-0005-0000-0000-000009770000}"/>
    <cellStyle name="Normal 3 7 7 3" xfId="25184" xr:uid="{00000000-0005-0000-0000-00000A770000}"/>
    <cellStyle name="Normal 3 7 7 4" xfId="25185" xr:uid="{00000000-0005-0000-0000-00000B770000}"/>
    <cellStyle name="Normal 3 7 8" xfId="25186" xr:uid="{00000000-0005-0000-0000-00000C770000}"/>
    <cellStyle name="Normal 3 7 8 2" xfId="25187" xr:uid="{00000000-0005-0000-0000-00000D770000}"/>
    <cellStyle name="Normal 3 7 9" xfId="25188" xr:uid="{00000000-0005-0000-0000-00000E770000}"/>
    <cellStyle name="Normal 3 8" xfId="25189" xr:uid="{00000000-0005-0000-0000-00000F770000}"/>
    <cellStyle name="Normal 3 8 10" xfId="35399" xr:uid="{00000000-0005-0000-0000-000010770000}"/>
    <cellStyle name="Normal 3 8 2" xfId="25190" xr:uid="{00000000-0005-0000-0000-000011770000}"/>
    <cellStyle name="Normal 3 8 2 2" xfId="25191" xr:uid="{00000000-0005-0000-0000-000012770000}"/>
    <cellStyle name="Normal 3 8 2 2 2" xfId="25192" xr:uid="{00000000-0005-0000-0000-000013770000}"/>
    <cellStyle name="Normal 3 8 2 2 2 2" xfId="25193" xr:uid="{00000000-0005-0000-0000-000014770000}"/>
    <cellStyle name="Normal 3 8 2 2 3" xfId="25194" xr:uid="{00000000-0005-0000-0000-000015770000}"/>
    <cellStyle name="Normal 3 8 2 2 4" xfId="25195" xr:uid="{00000000-0005-0000-0000-000016770000}"/>
    <cellStyle name="Normal 3 8 2 2 5" xfId="39779" xr:uid="{00000000-0005-0000-0000-000017770000}"/>
    <cellStyle name="Normal 3 8 2 3" xfId="25196" xr:uid="{00000000-0005-0000-0000-000018770000}"/>
    <cellStyle name="Normal 3 8 2 3 2" xfId="25197" xr:uid="{00000000-0005-0000-0000-000019770000}"/>
    <cellStyle name="Normal 3 8 2 4" xfId="25198" xr:uid="{00000000-0005-0000-0000-00001A770000}"/>
    <cellStyle name="Normal 3 8 2 5" xfId="25199" xr:uid="{00000000-0005-0000-0000-00001B770000}"/>
    <cellStyle name="Normal 3 8 2 6" xfId="39778" xr:uid="{00000000-0005-0000-0000-00001C770000}"/>
    <cellStyle name="Normal 3 8 3" xfId="25200" xr:uid="{00000000-0005-0000-0000-00001D770000}"/>
    <cellStyle name="Normal 3 8 3 2" xfId="25201" xr:uid="{00000000-0005-0000-0000-00001E770000}"/>
    <cellStyle name="Normal 3 8 3 2 2" xfId="25202" xr:uid="{00000000-0005-0000-0000-00001F770000}"/>
    <cellStyle name="Normal 3 8 3 2 2 2" xfId="25203" xr:uid="{00000000-0005-0000-0000-000020770000}"/>
    <cellStyle name="Normal 3 8 3 2 3" xfId="25204" xr:uid="{00000000-0005-0000-0000-000021770000}"/>
    <cellStyle name="Normal 3 8 3 2 4" xfId="25205" xr:uid="{00000000-0005-0000-0000-000022770000}"/>
    <cellStyle name="Normal 3 8 3 2 5" xfId="39781" xr:uid="{00000000-0005-0000-0000-000023770000}"/>
    <cellStyle name="Normal 3 8 3 3" xfId="25206" xr:uid="{00000000-0005-0000-0000-000024770000}"/>
    <cellStyle name="Normal 3 8 3 3 2" xfId="25207" xr:uid="{00000000-0005-0000-0000-000025770000}"/>
    <cellStyle name="Normal 3 8 3 4" xfId="25208" xr:uid="{00000000-0005-0000-0000-000026770000}"/>
    <cellStyle name="Normal 3 8 3 5" xfId="25209" xr:uid="{00000000-0005-0000-0000-000027770000}"/>
    <cellStyle name="Normal 3 8 3 6" xfId="39780" xr:uid="{00000000-0005-0000-0000-000028770000}"/>
    <cellStyle name="Normal 3 8 4" xfId="25210" xr:uid="{00000000-0005-0000-0000-000029770000}"/>
    <cellStyle name="Normal 3 8 4 2" xfId="25211" xr:uid="{00000000-0005-0000-0000-00002A770000}"/>
    <cellStyle name="Normal 3 8 4 2 2" xfId="25212" xr:uid="{00000000-0005-0000-0000-00002B770000}"/>
    <cellStyle name="Normal 3 8 4 3" xfId="25213" xr:uid="{00000000-0005-0000-0000-00002C770000}"/>
    <cellStyle name="Normal 3 8 4 4" xfId="25214" xr:uid="{00000000-0005-0000-0000-00002D770000}"/>
    <cellStyle name="Normal 3 8 4 5" xfId="39782" xr:uid="{00000000-0005-0000-0000-00002E770000}"/>
    <cellStyle name="Normal 3 8 5" xfId="25215" xr:uid="{00000000-0005-0000-0000-00002F770000}"/>
    <cellStyle name="Normal 3 8 5 2" xfId="25216" xr:uid="{00000000-0005-0000-0000-000030770000}"/>
    <cellStyle name="Normal 3 8 5 2 2" xfId="25217" xr:uid="{00000000-0005-0000-0000-000031770000}"/>
    <cellStyle name="Normal 3 8 5 3" xfId="25218" xr:uid="{00000000-0005-0000-0000-000032770000}"/>
    <cellStyle name="Normal 3 8 5 4" xfId="25219" xr:uid="{00000000-0005-0000-0000-000033770000}"/>
    <cellStyle name="Normal 3 8 6" xfId="25220" xr:uid="{00000000-0005-0000-0000-000034770000}"/>
    <cellStyle name="Normal 3 8 6 2" xfId="25221" xr:uid="{00000000-0005-0000-0000-000035770000}"/>
    <cellStyle name="Normal 3 8 6 2 2" xfId="25222" xr:uid="{00000000-0005-0000-0000-000036770000}"/>
    <cellStyle name="Normal 3 8 6 3" xfId="25223" xr:uid="{00000000-0005-0000-0000-000037770000}"/>
    <cellStyle name="Normal 3 8 6 4" xfId="25224" xr:uid="{00000000-0005-0000-0000-000038770000}"/>
    <cellStyle name="Normal 3 8 7" xfId="25225" xr:uid="{00000000-0005-0000-0000-000039770000}"/>
    <cellStyle name="Normal 3 8 7 2" xfId="25226" xr:uid="{00000000-0005-0000-0000-00003A770000}"/>
    <cellStyle name="Normal 3 8 8" xfId="25227" xr:uid="{00000000-0005-0000-0000-00003B770000}"/>
    <cellStyle name="Normal 3 8 9" xfId="25228" xr:uid="{00000000-0005-0000-0000-00003C770000}"/>
    <cellStyle name="Normal 3 9" xfId="25229" xr:uid="{00000000-0005-0000-0000-00003D770000}"/>
    <cellStyle name="Normal 3 9 2" xfId="25230" xr:uid="{00000000-0005-0000-0000-00003E770000}"/>
    <cellStyle name="Normal 3_29(d) - Gas extensions -tariffs" xfId="41964" xr:uid="{6FD06B93-4C3C-4E32-A4FE-E0CCBCFE7A29}"/>
    <cellStyle name="Normal 30" xfId="25231" xr:uid="{00000000-0005-0000-0000-00003F770000}"/>
    <cellStyle name="Normal 30 2" xfId="42085" xr:uid="{AC618D8F-17E0-496F-8EA9-A0688B572713}"/>
    <cellStyle name="Normal 300" xfId="25232" xr:uid="{00000000-0005-0000-0000-000040770000}"/>
    <cellStyle name="Normal 301" xfId="25233" xr:uid="{00000000-0005-0000-0000-000041770000}"/>
    <cellStyle name="Normal 302" xfId="25234" xr:uid="{00000000-0005-0000-0000-000042770000}"/>
    <cellStyle name="Normal 303" xfId="25235" xr:uid="{00000000-0005-0000-0000-000043770000}"/>
    <cellStyle name="Normal 304" xfId="25236" xr:uid="{00000000-0005-0000-0000-000044770000}"/>
    <cellStyle name="Normal 304 2" xfId="25237" xr:uid="{00000000-0005-0000-0000-000045770000}"/>
    <cellStyle name="Normal 304 2 2" xfId="25238" xr:uid="{00000000-0005-0000-0000-000046770000}"/>
    <cellStyle name="Normal 304 2 2 2" xfId="25239" xr:uid="{00000000-0005-0000-0000-000047770000}"/>
    <cellStyle name="Normal 304 2 3" xfId="25240" xr:uid="{00000000-0005-0000-0000-000048770000}"/>
    <cellStyle name="Normal 304 2 4" xfId="25241" xr:uid="{00000000-0005-0000-0000-000049770000}"/>
    <cellStyle name="Normal 304 2 5" xfId="39784" xr:uid="{00000000-0005-0000-0000-00004A770000}"/>
    <cellStyle name="Normal 304 3" xfId="25242" xr:uid="{00000000-0005-0000-0000-00004B770000}"/>
    <cellStyle name="Normal 304 3 2" xfId="25243" xr:uid="{00000000-0005-0000-0000-00004C770000}"/>
    <cellStyle name="Normal 304 4" xfId="25244" xr:uid="{00000000-0005-0000-0000-00004D770000}"/>
    <cellStyle name="Normal 304 5" xfId="25245" xr:uid="{00000000-0005-0000-0000-00004E770000}"/>
    <cellStyle name="Normal 304 6" xfId="39783" xr:uid="{00000000-0005-0000-0000-00004F770000}"/>
    <cellStyle name="Normal 305" xfId="25246" xr:uid="{00000000-0005-0000-0000-000050770000}"/>
    <cellStyle name="Normal 305 2" xfId="25247" xr:uid="{00000000-0005-0000-0000-000051770000}"/>
    <cellStyle name="Normal 305 2 2" xfId="25248" xr:uid="{00000000-0005-0000-0000-000052770000}"/>
    <cellStyle name="Normal 305 2 2 2" xfId="25249" xr:uid="{00000000-0005-0000-0000-000053770000}"/>
    <cellStyle name="Normal 305 2 3" xfId="25250" xr:uid="{00000000-0005-0000-0000-000054770000}"/>
    <cellStyle name="Normal 305 2 4" xfId="25251" xr:uid="{00000000-0005-0000-0000-000055770000}"/>
    <cellStyle name="Normal 305 2 5" xfId="39786" xr:uid="{00000000-0005-0000-0000-000056770000}"/>
    <cellStyle name="Normal 305 3" xfId="25252" xr:uid="{00000000-0005-0000-0000-000057770000}"/>
    <cellStyle name="Normal 305 3 2" xfId="25253" xr:uid="{00000000-0005-0000-0000-000058770000}"/>
    <cellStyle name="Normal 305 4" xfId="25254" xr:uid="{00000000-0005-0000-0000-000059770000}"/>
    <cellStyle name="Normal 305 5" xfId="25255" xr:uid="{00000000-0005-0000-0000-00005A770000}"/>
    <cellStyle name="Normal 305 6" xfId="39785" xr:uid="{00000000-0005-0000-0000-00005B770000}"/>
    <cellStyle name="Normal 306" xfId="25256" xr:uid="{00000000-0005-0000-0000-00005C770000}"/>
    <cellStyle name="Normal 306 2" xfId="25257" xr:uid="{00000000-0005-0000-0000-00005D770000}"/>
    <cellStyle name="Normal 306 2 2" xfId="25258" xr:uid="{00000000-0005-0000-0000-00005E770000}"/>
    <cellStyle name="Normal 306 2 2 2" xfId="25259" xr:uid="{00000000-0005-0000-0000-00005F770000}"/>
    <cellStyle name="Normal 306 2 3" xfId="25260" xr:uid="{00000000-0005-0000-0000-000060770000}"/>
    <cellStyle name="Normal 306 2 4" xfId="25261" xr:uid="{00000000-0005-0000-0000-000061770000}"/>
    <cellStyle name="Normal 306 2 5" xfId="39788" xr:uid="{00000000-0005-0000-0000-000062770000}"/>
    <cellStyle name="Normal 306 3" xfId="25262" xr:uid="{00000000-0005-0000-0000-000063770000}"/>
    <cellStyle name="Normal 306 3 2" xfId="25263" xr:uid="{00000000-0005-0000-0000-000064770000}"/>
    <cellStyle name="Normal 306 4" xfId="25264" xr:uid="{00000000-0005-0000-0000-000065770000}"/>
    <cellStyle name="Normal 306 5" xfId="25265" xr:uid="{00000000-0005-0000-0000-000066770000}"/>
    <cellStyle name="Normal 306 6" xfId="39787" xr:uid="{00000000-0005-0000-0000-000067770000}"/>
    <cellStyle name="Normal 307" xfId="25266" xr:uid="{00000000-0005-0000-0000-000068770000}"/>
    <cellStyle name="Normal 308" xfId="25267" xr:uid="{00000000-0005-0000-0000-000069770000}"/>
    <cellStyle name="Normal 309" xfId="25268" xr:uid="{00000000-0005-0000-0000-00006A770000}"/>
    <cellStyle name="Normal 31" xfId="25269" xr:uid="{00000000-0005-0000-0000-00006B770000}"/>
    <cellStyle name="Normal 31 2" xfId="42086" xr:uid="{7F726E2E-DBD9-4AD8-A71A-39F4B2017B47}"/>
    <cellStyle name="Normal 310" xfId="25270" xr:uid="{00000000-0005-0000-0000-00006C770000}"/>
    <cellStyle name="Normal 311" xfId="25271" xr:uid="{00000000-0005-0000-0000-00006D770000}"/>
    <cellStyle name="Normal 312" xfId="25272" xr:uid="{00000000-0005-0000-0000-00006E770000}"/>
    <cellStyle name="Normal 313" xfId="25273" xr:uid="{00000000-0005-0000-0000-00006F770000}"/>
    <cellStyle name="Normal 314" xfId="25274" xr:uid="{00000000-0005-0000-0000-000070770000}"/>
    <cellStyle name="Normal 315" xfId="25275" xr:uid="{00000000-0005-0000-0000-000071770000}"/>
    <cellStyle name="Normal 315 2" xfId="25276" xr:uid="{00000000-0005-0000-0000-000072770000}"/>
    <cellStyle name="Normal 315 2 2" xfId="25277" xr:uid="{00000000-0005-0000-0000-000073770000}"/>
    <cellStyle name="Normal 315 2 3" xfId="25278" xr:uid="{00000000-0005-0000-0000-000074770000}"/>
    <cellStyle name="Normal 315 3" xfId="25279" xr:uid="{00000000-0005-0000-0000-000075770000}"/>
    <cellStyle name="Normal 315 4" xfId="25280" xr:uid="{00000000-0005-0000-0000-000076770000}"/>
    <cellStyle name="Normal 316" xfId="25281" xr:uid="{00000000-0005-0000-0000-000077770000}"/>
    <cellStyle name="Normal 316 2" xfId="25282" xr:uid="{00000000-0005-0000-0000-000078770000}"/>
    <cellStyle name="Normal 316 2 2" xfId="25283" xr:uid="{00000000-0005-0000-0000-000079770000}"/>
    <cellStyle name="Normal 316 2 3" xfId="25284" xr:uid="{00000000-0005-0000-0000-00007A770000}"/>
    <cellStyle name="Normal 316 3" xfId="25285" xr:uid="{00000000-0005-0000-0000-00007B770000}"/>
    <cellStyle name="Normal 316 4" xfId="25286" xr:uid="{00000000-0005-0000-0000-00007C770000}"/>
    <cellStyle name="Normal 317" xfId="25287" xr:uid="{00000000-0005-0000-0000-00007D770000}"/>
    <cellStyle name="Normal 317 2" xfId="25288" xr:uid="{00000000-0005-0000-0000-00007E770000}"/>
    <cellStyle name="Normal 317 2 2" xfId="25289" xr:uid="{00000000-0005-0000-0000-00007F770000}"/>
    <cellStyle name="Normal 317 2 3" xfId="25290" xr:uid="{00000000-0005-0000-0000-000080770000}"/>
    <cellStyle name="Normal 317 3" xfId="25291" xr:uid="{00000000-0005-0000-0000-000081770000}"/>
    <cellStyle name="Normal 317 4" xfId="25292" xr:uid="{00000000-0005-0000-0000-000082770000}"/>
    <cellStyle name="Normal 318" xfId="25293" xr:uid="{00000000-0005-0000-0000-000083770000}"/>
    <cellStyle name="Normal 319" xfId="25294" xr:uid="{00000000-0005-0000-0000-000084770000}"/>
    <cellStyle name="Normal 32" xfId="25295" xr:uid="{00000000-0005-0000-0000-000085770000}"/>
    <cellStyle name="Normal 32 2" xfId="42214" xr:uid="{1E1FE6AA-8AE2-40BA-AF6F-96C4198BBAFE}"/>
    <cellStyle name="Normal 32 3" xfId="42255" xr:uid="{F7C79B63-46F9-4C9F-AD4E-5A618DA24763}"/>
    <cellStyle name="Normal 32 3 2" xfId="42363" xr:uid="{8CE90412-4631-4E49-AFFF-D98C9FA81AA1}"/>
    <cellStyle name="Normal 32 3 3" xfId="42368" xr:uid="{E2E6FABF-D835-4078-B06B-732D8595CA8A}"/>
    <cellStyle name="Normal 32 3 4" xfId="42372" xr:uid="{D36E4A9F-6CBC-46D3-8D0B-546FDBCB63A4}"/>
    <cellStyle name="Normal 32 3 5" xfId="42376" xr:uid="{AAB0A81B-B8BF-40C0-881E-9ADDF8A6F8CA}"/>
    <cellStyle name="Normal 32 4" xfId="42208" xr:uid="{49EE844B-CAC9-4C2F-AA63-D1F18DAF4D4E}"/>
    <cellStyle name="Normal 320" xfId="25296" xr:uid="{00000000-0005-0000-0000-000086770000}"/>
    <cellStyle name="Normal 321" xfId="25297" xr:uid="{00000000-0005-0000-0000-000087770000}"/>
    <cellStyle name="Normal 322" xfId="25298" xr:uid="{00000000-0005-0000-0000-000088770000}"/>
    <cellStyle name="Normal 323" xfId="25299" xr:uid="{00000000-0005-0000-0000-000089770000}"/>
    <cellStyle name="Normal 324" xfId="25300" xr:uid="{00000000-0005-0000-0000-00008A770000}"/>
    <cellStyle name="Normal 325" xfId="25301" xr:uid="{00000000-0005-0000-0000-00008B770000}"/>
    <cellStyle name="Normal 326" xfId="25302" xr:uid="{00000000-0005-0000-0000-00008C770000}"/>
    <cellStyle name="Normal 327" xfId="25303" xr:uid="{00000000-0005-0000-0000-00008D770000}"/>
    <cellStyle name="Normal 328" xfId="25304" xr:uid="{00000000-0005-0000-0000-00008E770000}"/>
    <cellStyle name="Normal 328 2" xfId="25305" xr:uid="{00000000-0005-0000-0000-00008F770000}"/>
    <cellStyle name="Normal 328 2 2" xfId="25306" xr:uid="{00000000-0005-0000-0000-000090770000}"/>
    <cellStyle name="Normal 328 3" xfId="25307" xr:uid="{00000000-0005-0000-0000-000091770000}"/>
    <cellStyle name="Normal 328 4" xfId="25308" xr:uid="{00000000-0005-0000-0000-000092770000}"/>
    <cellStyle name="Normal 329" xfId="25309" xr:uid="{00000000-0005-0000-0000-000093770000}"/>
    <cellStyle name="Normal 329 2" xfId="25310" xr:uid="{00000000-0005-0000-0000-000094770000}"/>
    <cellStyle name="Normal 329 2 2" xfId="25311" xr:uid="{00000000-0005-0000-0000-000095770000}"/>
    <cellStyle name="Normal 329 3" xfId="25312" xr:uid="{00000000-0005-0000-0000-000096770000}"/>
    <cellStyle name="Normal 329 4" xfId="25313" xr:uid="{00000000-0005-0000-0000-000097770000}"/>
    <cellStyle name="Normal 33" xfId="25314" xr:uid="{00000000-0005-0000-0000-000098770000}"/>
    <cellStyle name="Normal 33 2" xfId="25315" xr:uid="{00000000-0005-0000-0000-000099770000}"/>
    <cellStyle name="Normal 33 3" xfId="42213" xr:uid="{80413AC7-4FEE-47F5-A42B-58B5E51D90FA}"/>
    <cellStyle name="Normal 330" xfId="25316" xr:uid="{00000000-0005-0000-0000-00009A770000}"/>
    <cellStyle name="Normal 331" xfId="25317" xr:uid="{00000000-0005-0000-0000-00009B770000}"/>
    <cellStyle name="Normal 332" xfId="25318" xr:uid="{00000000-0005-0000-0000-00009C770000}"/>
    <cellStyle name="Normal 333" xfId="25319" xr:uid="{00000000-0005-0000-0000-00009D770000}"/>
    <cellStyle name="Normal 334" xfId="25320" xr:uid="{00000000-0005-0000-0000-00009E770000}"/>
    <cellStyle name="Normal 335" xfId="25321" xr:uid="{00000000-0005-0000-0000-00009F770000}"/>
    <cellStyle name="Normal 336" xfId="25322" xr:uid="{00000000-0005-0000-0000-0000A0770000}"/>
    <cellStyle name="Normal 336 2" xfId="25323" xr:uid="{00000000-0005-0000-0000-0000A1770000}"/>
    <cellStyle name="Normal 336 2 2" xfId="25324" xr:uid="{00000000-0005-0000-0000-0000A2770000}"/>
    <cellStyle name="Normal 336 3" xfId="25325" xr:uid="{00000000-0005-0000-0000-0000A3770000}"/>
    <cellStyle name="Normal 337" xfId="25326" xr:uid="{00000000-0005-0000-0000-0000A4770000}"/>
    <cellStyle name="Normal 337 2" xfId="25327" xr:uid="{00000000-0005-0000-0000-0000A5770000}"/>
    <cellStyle name="Normal 338" xfId="25328" xr:uid="{00000000-0005-0000-0000-0000A6770000}"/>
    <cellStyle name="Normal 339" xfId="25329" xr:uid="{00000000-0005-0000-0000-0000A7770000}"/>
    <cellStyle name="Normal 34" xfId="25330" xr:uid="{00000000-0005-0000-0000-0000A8770000}"/>
    <cellStyle name="Normal 34 2" xfId="25331" xr:uid="{00000000-0005-0000-0000-0000A9770000}"/>
    <cellStyle name="Normal 340" xfId="25332" xr:uid="{00000000-0005-0000-0000-0000AA770000}"/>
    <cellStyle name="Normal 341" xfId="25333" xr:uid="{00000000-0005-0000-0000-0000AB770000}"/>
    <cellStyle name="Normal 342" xfId="25334" xr:uid="{00000000-0005-0000-0000-0000AC770000}"/>
    <cellStyle name="Normal 343" xfId="25335" xr:uid="{00000000-0005-0000-0000-0000AD770000}"/>
    <cellStyle name="Normal 344" xfId="25336" xr:uid="{00000000-0005-0000-0000-0000AE770000}"/>
    <cellStyle name="Normal 345" xfId="25337" xr:uid="{00000000-0005-0000-0000-0000AF770000}"/>
    <cellStyle name="Normal 346" xfId="25338" xr:uid="{00000000-0005-0000-0000-0000B0770000}"/>
    <cellStyle name="Normal 347" xfId="25339" xr:uid="{00000000-0005-0000-0000-0000B1770000}"/>
    <cellStyle name="Normal 348" xfId="25340" xr:uid="{00000000-0005-0000-0000-0000B2770000}"/>
    <cellStyle name="Normal 349" xfId="25341" xr:uid="{00000000-0005-0000-0000-0000B3770000}"/>
    <cellStyle name="Normal 35" xfId="25342" xr:uid="{00000000-0005-0000-0000-0000B4770000}"/>
    <cellStyle name="Normal 35 2" xfId="25343" xr:uid="{00000000-0005-0000-0000-0000B5770000}"/>
    <cellStyle name="Normal 35 3" xfId="42235" xr:uid="{91C00337-9D4B-42E7-9374-9D0F3A39929E}"/>
    <cellStyle name="Normal 350" xfId="25344" xr:uid="{00000000-0005-0000-0000-0000B6770000}"/>
    <cellStyle name="Normal 351" xfId="25345" xr:uid="{00000000-0005-0000-0000-0000B7770000}"/>
    <cellStyle name="Normal 352" xfId="25346" xr:uid="{00000000-0005-0000-0000-0000B8770000}"/>
    <cellStyle name="Normal 353" xfId="25347" xr:uid="{00000000-0005-0000-0000-0000B9770000}"/>
    <cellStyle name="Normal 354" xfId="25348" xr:uid="{00000000-0005-0000-0000-0000BA770000}"/>
    <cellStyle name="Normal 355" xfId="34349" xr:uid="{00000000-0005-0000-0000-0000BB770000}"/>
    <cellStyle name="Normal 356" xfId="34381" xr:uid="{00000000-0005-0000-0000-0000BC770000}"/>
    <cellStyle name="Normal 357" xfId="34382" xr:uid="{00000000-0005-0000-0000-0000BD770000}"/>
    <cellStyle name="Normal 358" xfId="34383" xr:uid="{00000000-0005-0000-0000-0000BE770000}"/>
    <cellStyle name="Normal 359" xfId="34384" xr:uid="{00000000-0005-0000-0000-0000BF770000}"/>
    <cellStyle name="Normal 36" xfId="25349" xr:uid="{00000000-0005-0000-0000-0000C0770000}"/>
    <cellStyle name="Normal 36 2" xfId="25350" xr:uid="{00000000-0005-0000-0000-0000C1770000}"/>
    <cellStyle name="Normal 36 2 2" xfId="25351" xr:uid="{00000000-0005-0000-0000-0000C2770000}"/>
    <cellStyle name="Normal 36 3" xfId="25352" xr:uid="{00000000-0005-0000-0000-0000C3770000}"/>
    <cellStyle name="Normal 36 4" xfId="42236" xr:uid="{ACAF0BA0-8BA8-483B-BBAF-50E698A8A6B5}"/>
    <cellStyle name="Normal 360" xfId="34385" xr:uid="{00000000-0005-0000-0000-0000C4770000}"/>
    <cellStyle name="Normal 361" xfId="34387" xr:uid="{00000000-0005-0000-0000-0000C5770000}"/>
    <cellStyle name="Normal 362" xfId="41097" xr:uid="{00000000-0005-0000-0000-0000C6770000}"/>
    <cellStyle name="Normal 363" xfId="41805" xr:uid="{00000000-0005-0000-0000-0000C7770000}"/>
    <cellStyle name="Normal 364" xfId="41810" xr:uid="{36D7DC50-E275-4E07-BEF1-6597D48B1B79}"/>
    <cellStyle name="Normal 365" xfId="41811" xr:uid="{2449FD7B-2210-4641-B57F-ADF59FDAD9B8}"/>
    <cellStyle name="Normal 366" xfId="41902" xr:uid="{F8BF5ACA-7797-41D5-AC69-6184153749C9}"/>
    <cellStyle name="Normal 367" xfId="42387" xr:uid="{B4DCB650-5F81-42EE-B9AE-1B715271D5AC}"/>
    <cellStyle name="Normal 368" xfId="42395" xr:uid="{D75EDF50-27A8-4C4C-B872-E4155A1F32D6}"/>
    <cellStyle name="Normal 369" xfId="42397" xr:uid="{74A6BEC5-8F75-4C19-84B9-D711C75FEECA}"/>
    <cellStyle name="Normal 37" xfId="25353" xr:uid="{00000000-0005-0000-0000-0000C8770000}"/>
    <cellStyle name="Normal 37 2" xfId="25354" xr:uid="{00000000-0005-0000-0000-0000C9770000}"/>
    <cellStyle name="Normal 37 2 2" xfId="25355" xr:uid="{00000000-0005-0000-0000-0000CA770000}"/>
    <cellStyle name="Normal 37 2 3" xfId="42345" xr:uid="{C4D8905B-B82C-487E-8C51-0232E3BDA6AE}"/>
    <cellStyle name="Normal 37 3" xfId="25356" xr:uid="{00000000-0005-0000-0000-0000CB770000}"/>
    <cellStyle name="Normal 37 3 2" xfId="35400" xr:uid="{00000000-0005-0000-0000-0000CC770000}"/>
    <cellStyle name="Normal 37 4" xfId="42237" xr:uid="{2F0A0AE6-6EA8-4045-A390-CF6EF2081A2C}"/>
    <cellStyle name="Normal 38" xfId="25357" xr:uid="{00000000-0005-0000-0000-0000CD770000}"/>
    <cellStyle name="Normal 38 2" xfId="25358" xr:uid="{00000000-0005-0000-0000-0000CE770000}"/>
    <cellStyle name="Normal 38 2 2" xfId="25359" xr:uid="{00000000-0005-0000-0000-0000CF770000}"/>
    <cellStyle name="Normal 38 3" xfId="25360" xr:uid="{00000000-0005-0000-0000-0000D0770000}"/>
    <cellStyle name="Normal 38 3 2" xfId="35401" xr:uid="{00000000-0005-0000-0000-0000D1770000}"/>
    <cellStyle name="Normal 38_29(d) - Gas extensions -tariffs" xfId="41965" xr:uid="{DCF378C1-9D9A-4E7A-A5A1-A3D8D1246014}"/>
    <cellStyle name="Normal 39" xfId="25361" xr:uid="{00000000-0005-0000-0000-0000D2770000}"/>
    <cellStyle name="Normal 39 2" xfId="25362" xr:uid="{00000000-0005-0000-0000-0000D3770000}"/>
    <cellStyle name="Normal 39 2 2" xfId="25363" xr:uid="{00000000-0005-0000-0000-0000D4770000}"/>
    <cellStyle name="Normal 39 3" xfId="25364" xr:uid="{00000000-0005-0000-0000-0000D5770000}"/>
    <cellStyle name="Normal 39 3 2" xfId="35402" xr:uid="{00000000-0005-0000-0000-0000D6770000}"/>
    <cellStyle name="Normal 39 4" xfId="42254" xr:uid="{5908DA1B-96E0-46F5-8F57-50C6DF3B5D6B}"/>
    <cellStyle name="Normal 4" xfId="18" xr:uid="{00000000-0005-0000-0000-0000D7770000}"/>
    <cellStyle name="Normal 4 10" xfId="25365" xr:uid="{00000000-0005-0000-0000-0000D8770000}"/>
    <cellStyle name="Normal 4 11" xfId="25366" xr:uid="{00000000-0005-0000-0000-0000D9770000}"/>
    <cellStyle name="Normal 4 12" xfId="34370" xr:uid="{00000000-0005-0000-0000-0000DA770000}"/>
    <cellStyle name="Normal 4 13" xfId="35403" xr:uid="{00000000-0005-0000-0000-0000DB770000}"/>
    <cellStyle name="Normal 4 14" xfId="41899" xr:uid="{24E4B714-9729-40F4-8550-887089F6F83C}"/>
    <cellStyle name="Normal 4 2" xfId="25367" xr:uid="{00000000-0005-0000-0000-0000DC770000}"/>
    <cellStyle name="Normal 4 2 10" xfId="35404" xr:uid="{00000000-0005-0000-0000-0000DD770000}"/>
    <cellStyle name="Normal 4 2 2" xfId="25368" xr:uid="{00000000-0005-0000-0000-0000DE770000}"/>
    <cellStyle name="Normal 4 2 2 10" xfId="25369" xr:uid="{00000000-0005-0000-0000-0000DF770000}"/>
    <cellStyle name="Normal 4 2 2 10 2" xfId="25370" xr:uid="{00000000-0005-0000-0000-0000E0770000}"/>
    <cellStyle name="Normal 4 2 2 11" xfId="25371" xr:uid="{00000000-0005-0000-0000-0000E1770000}"/>
    <cellStyle name="Normal 4 2 2 12" xfId="25372" xr:uid="{00000000-0005-0000-0000-0000E2770000}"/>
    <cellStyle name="Normal 4 2 2 13" xfId="35405" xr:uid="{00000000-0005-0000-0000-0000E3770000}"/>
    <cellStyle name="Normal 4 2 2 14" xfId="42013" xr:uid="{243FD413-82E4-448E-9C21-5F8886A7EB87}"/>
    <cellStyle name="Normal 4 2 2 2" xfId="25373" xr:uid="{00000000-0005-0000-0000-0000E4770000}"/>
    <cellStyle name="Normal 4 2 2 2 10" xfId="25374" xr:uid="{00000000-0005-0000-0000-0000E5770000}"/>
    <cellStyle name="Normal 4 2 2 2 11" xfId="25375" xr:uid="{00000000-0005-0000-0000-0000E6770000}"/>
    <cellStyle name="Normal 4 2 2 2 12" xfId="35406" xr:uid="{00000000-0005-0000-0000-0000E7770000}"/>
    <cellStyle name="Normal 4 2 2 2 13" xfId="42039" xr:uid="{49B69AF1-939A-4361-892D-2C3BF8DDAE47}"/>
    <cellStyle name="Normal 4 2 2 2 2" xfId="25376" xr:uid="{00000000-0005-0000-0000-0000E8770000}"/>
    <cellStyle name="Normal 4 2 2 2 2 10" xfId="25377" xr:uid="{00000000-0005-0000-0000-0000E9770000}"/>
    <cellStyle name="Normal 4 2 2 2 2 11" xfId="35407" xr:uid="{00000000-0005-0000-0000-0000EA770000}"/>
    <cellStyle name="Normal 4 2 2 2 2 12" xfId="42177" xr:uid="{34A4C0DE-120E-49BF-AFA2-ECFDBF6725A4}"/>
    <cellStyle name="Normal 4 2 2 2 2 2" xfId="25378" xr:uid="{00000000-0005-0000-0000-0000EB770000}"/>
    <cellStyle name="Normal 4 2 2 2 2 2 10" xfId="35408" xr:uid="{00000000-0005-0000-0000-0000EC770000}"/>
    <cellStyle name="Normal 4 2 2 2 2 2 2" xfId="25379" xr:uid="{00000000-0005-0000-0000-0000ED770000}"/>
    <cellStyle name="Normal 4 2 2 2 2 2 2 2" xfId="25380" xr:uid="{00000000-0005-0000-0000-0000EE770000}"/>
    <cellStyle name="Normal 4 2 2 2 2 2 2 2 2" xfId="25381" xr:uid="{00000000-0005-0000-0000-0000EF770000}"/>
    <cellStyle name="Normal 4 2 2 2 2 2 2 2 2 2" xfId="25382" xr:uid="{00000000-0005-0000-0000-0000F0770000}"/>
    <cellStyle name="Normal 4 2 2 2 2 2 2 2 3" xfId="25383" xr:uid="{00000000-0005-0000-0000-0000F1770000}"/>
    <cellStyle name="Normal 4 2 2 2 2 2 2 2 4" xfId="25384" xr:uid="{00000000-0005-0000-0000-0000F2770000}"/>
    <cellStyle name="Normal 4 2 2 2 2 2 2 2 5" xfId="39790" xr:uid="{00000000-0005-0000-0000-0000F3770000}"/>
    <cellStyle name="Normal 4 2 2 2 2 2 2 3" xfId="25385" xr:uid="{00000000-0005-0000-0000-0000F4770000}"/>
    <cellStyle name="Normal 4 2 2 2 2 2 2 3 2" xfId="25386" xr:uid="{00000000-0005-0000-0000-0000F5770000}"/>
    <cellStyle name="Normal 4 2 2 2 2 2 2 4" xfId="25387" xr:uid="{00000000-0005-0000-0000-0000F6770000}"/>
    <cellStyle name="Normal 4 2 2 2 2 2 2 5" xfId="25388" xr:uid="{00000000-0005-0000-0000-0000F7770000}"/>
    <cellStyle name="Normal 4 2 2 2 2 2 2 6" xfId="39789" xr:uid="{00000000-0005-0000-0000-0000F8770000}"/>
    <cellStyle name="Normal 4 2 2 2 2 2 3" xfId="25389" xr:uid="{00000000-0005-0000-0000-0000F9770000}"/>
    <cellStyle name="Normal 4 2 2 2 2 2 3 2" xfId="25390" xr:uid="{00000000-0005-0000-0000-0000FA770000}"/>
    <cellStyle name="Normal 4 2 2 2 2 2 3 2 2" xfId="25391" xr:uid="{00000000-0005-0000-0000-0000FB770000}"/>
    <cellStyle name="Normal 4 2 2 2 2 2 3 2 2 2" xfId="25392" xr:uid="{00000000-0005-0000-0000-0000FC770000}"/>
    <cellStyle name="Normal 4 2 2 2 2 2 3 2 3" xfId="25393" xr:uid="{00000000-0005-0000-0000-0000FD770000}"/>
    <cellStyle name="Normal 4 2 2 2 2 2 3 2 4" xfId="25394" xr:uid="{00000000-0005-0000-0000-0000FE770000}"/>
    <cellStyle name="Normal 4 2 2 2 2 2 3 2 5" xfId="39792" xr:uid="{00000000-0005-0000-0000-0000FF770000}"/>
    <cellStyle name="Normal 4 2 2 2 2 2 3 3" xfId="25395" xr:uid="{00000000-0005-0000-0000-000000780000}"/>
    <cellStyle name="Normal 4 2 2 2 2 2 3 3 2" xfId="25396" xr:uid="{00000000-0005-0000-0000-000001780000}"/>
    <cellStyle name="Normal 4 2 2 2 2 2 3 4" xfId="25397" xr:uid="{00000000-0005-0000-0000-000002780000}"/>
    <cellStyle name="Normal 4 2 2 2 2 2 3 5" xfId="25398" xr:uid="{00000000-0005-0000-0000-000003780000}"/>
    <cellStyle name="Normal 4 2 2 2 2 2 3 6" xfId="39791" xr:uid="{00000000-0005-0000-0000-000004780000}"/>
    <cellStyle name="Normal 4 2 2 2 2 2 4" xfId="25399" xr:uid="{00000000-0005-0000-0000-000005780000}"/>
    <cellStyle name="Normal 4 2 2 2 2 2 4 2" xfId="25400" xr:uid="{00000000-0005-0000-0000-000006780000}"/>
    <cellStyle name="Normal 4 2 2 2 2 2 4 2 2" xfId="25401" xr:uid="{00000000-0005-0000-0000-000007780000}"/>
    <cellStyle name="Normal 4 2 2 2 2 2 4 3" xfId="25402" xr:uid="{00000000-0005-0000-0000-000008780000}"/>
    <cellStyle name="Normal 4 2 2 2 2 2 4 4" xfId="25403" xr:uid="{00000000-0005-0000-0000-000009780000}"/>
    <cellStyle name="Normal 4 2 2 2 2 2 4 5" xfId="39793" xr:uid="{00000000-0005-0000-0000-00000A780000}"/>
    <cellStyle name="Normal 4 2 2 2 2 2 5" xfId="25404" xr:uid="{00000000-0005-0000-0000-00000B780000}"/>
    <cellStyle name="Normal 4 2 2 2 2 2 5 2" xfId="25405" xr:uid="{00000000-0005-0000-0000-00000C780000}"/>
    <cellStyle name="Normal 4 2 2 2 2 2 5 2 2" xfId="25406" xr:uid="{00000000-0005-0000-0000-00000D780000}"/>
    <cellStyle name="Normal 4 2 2 2 2 2 5 3" xfId="25407" xr:uid="{00000000-0005-0000-0000-00000E780000}"/>
    <cellStyle name="Normal 4 2 2 2 2 2 5 4" xfId="25408" xr:uid="{00000000-0005-0000-0000-00000F780000}"/>
    <cellStyle name="Normal 4 2 2 2 2 2 6" xfId="25409" xr:uid="{00000000-0005-0000-0000-000010780000}"/>
    <cellStyle name="Normal 4 2 2 2 2 2 6 2" xfId="25410" xr:uid="{00000000-0005-0000-0000-000011780000}"/>
    <cellStyle name="Normal 4 2 2 2 2 2 6 2 2" xfId="25411" xr:uid="{00000000-0005-0000-0000-000012780000}"/>
    <cellStyle name="Normal 4 2 2 2 2 2 6 3" xfId="25412" xr:uid="{00000000-0005-0000-0000-000013780000}"/>
    <cellStyle name="Normal 4 2 2 2 2 2 6 4" xfId="25413" xr:uid="{00000000-0005-0000-0000-000014780000}"/>
    <cellStyle name="Normal 4 2 2 2 2 2 7" xfId="25414" xr:uid="{00000000-0005-0000-0000-000015780000}"/>
    <cellStyle name="Normal 4 2 2 2 2 2 7 2" xfId="25415" xr:uid="{00000000-0005-0000-0000-000016780000}"/>
    <cellStyle name="Normal 4 2 2 2 2 2 8" xfId="25416" xr:uid="{00000000-0005-0000-0000-000017780000}"/>
    <cellStyle name="Normal 4 2 2 2 2 2 9" xfId="25417" xr:uid="{00000000-0005-0000-0000-000018780000}"/>
    <cellStyle name="Normal 4 2 2 2 2 3" xfId="25418" xr:uid="{00000000-0005-0000-0000-000019780000}"/>
    <cellStyle name="Normal 4 2 2 2 2 3 2" xfId="25419" xr:uid="{00000000-0005-0000-0000-00001A780000}"/>
    <cellStyle name="Normal 4 2 2 2 2 3 2 2" xfId="25420" xr:uid="{00000000-0005-0000-0000-00001B780000}"/>
    <cellStyle name="Normal 4 2 2 2 2 3 2 2 2" xfId="25421" xr:uid="{00000000-0005-0000-0000-00001C780000}"/>
    <cellStyle name="Normal 4 2 2 2 2 3 2 3" xfId="25422" xr:uid="{00000000-0005-0000-0000-00001D780000}"/>
    <cellStyle name="Normal 4 2 2 2 2 3 2 4" xfId="25423" xr:uid="{00000000-0005-0000-0000-00001E780000}"/>
    <cellStyle name="Normal 4 2 2 2 2 3 2 5" xfId="39795" xr:uid="{00000000-0005-0000-0000-00001F780000}"/>
    <cellStyle name="Normal 4 2 2 2 2 3 3" xfId="25424" xr:uid="{00000000-0005-0000-0000-000020780000}"/>
    <cellStyle name="Normal 4 2 2 2 2 3 3 2" xfId="25425" xr:uid="{00000000-0005-0000-0000-000021780000}"/>
    <cellStyle name="Normal 4 2 2 2 2 3 4" xfId="25426" xr:uid="{00000000-0005-0000-0000-000022780000}"/>
    <cellStyle name="Normal 4 2 2 2 2 3 5" xfId="25427" xr:uid="{00000000-0005-0000-0000-000023780000}"/>
    <cellStyle name="Normal 4 2 2 2 2 3 6" xfId="39794" xr:uid="{00000000-0005-0000-0000-000024780000}"/>
    <cellStyle name="Normal 4 2 2 2 2 4" xfId="25428" xr:uid="{00000000-0005-0000-0000-000025780000}"/>
    <cellStyle name="Normal 4 2 2 2 2 4 2" xfId="25429" xr:uid="{00000000-0005-0000-0000-000026780000}"/>
    <cellStyle name="Normal 4 2 2 2 2 4 2 2" xfId="25430" xr:uid="{00000000-0005-0000-0000-000027780000}"/>
    <cellStyle name="Normal 4 2 2 2 2 4 2 2 2" xfId="25431" xr:uid="{00000000-0005-0000-0000-000028780000}"/>
    <cellStyle name="Normal 4 2 2 2 2 4 2 3" xfId="25432" xr:uid="{00000000-0005-0000-0000-000029780000}"/>
    <cellStyle name="Normal 4 2 2 2 2 4 2 4" xfId="25433" xr:uid="{00000000-0005-0000-0000-00002A780000}"/>
    <cellStyle name="Normal 4 2 2 2 2 4 2 5" xfId="39797" xr:uid="{00000000-0005-0000-0000-00002B780000}"/>
    <cellStyle name="Normal 4 2 2 2 2 4 3" xfId="25434" xr:uid="{00000000-0005-0000-0000-00002C780000}"/>
    <cellStyle name="Normal 4 2 2 2 2 4 3 2" xfId="25435" xr:uid="{00000000-0005-0000-0000-00002D780000}"/>
    <cellStyle name="Normal 4 2 2 2 2 4 4" xfId="25436" xr:uid="{00000000-0005-0000-0000-00002E780000}"/>
    <cellStyle name="Normal 4 2 2 2 2 4 5" xfId="25437" xr:uid="{00000000-0005-0000-0000-00002F780000}"/>
    <cellStyle name="Normal 4 2 2 2 2 4 6" xfId="39796" xr:uid="{00000000-0005-0000-0000-000030780000}"/>
    <cellStyle name="Normal 4 2 2 2 2 5" xfId="25438" xr:uid="{00000000-0005-0000-0000-000031780000}"/>
    <cellStyle name="Normal 4 2 2 2 2 5 2" xfId="25439" xr:uid="{00000000-0005-0000-0000-000032780000}"/>
    <cellStyle name="Normal 4 2 2 2 2 5 2 2" xfId="25440" xr:uid="{00000000-0005-0000-0000-000033780000}"/>
    <cellStyle name="Normal 4 2 2 2 2 5 3" xfId="25441" xr:uid="{00000000-0005-0000-0000-000034780000}"/>
    <cellStyle name="Normal 4 2 2 2 2 5 4" xfId="25442" xr:uid="{00000000-0005-0000-0000-000035780000}"/>
    <cellStyle name="Normal 4 2 2 2 2 5 5" xfId="39798" xr:uid="{00000000-0005-0000-0000-000036780000}"/>
    <cellStyle name="Normal 4 2 2 2 2 6" xfId="25443" xr:uid="{00000000-0005-0000-0000-000037780000}"/>
    <cellStyle name="Normal 4 2 2 2 2 6 2" xfId="25444" xr:uid="{00000000-0005-0000-0000-000038780000}"/>
    <cellStyle name="Normal 4 2 2 2 2 6 2 2" xfId="25445" xr:uid="{00000000-0005-0000-0000-000039780000}"/>
    <cellStyle name="Normal 4 2 2 2 2 6 3" xfId="25446" xr:uid="{00000000-0005-0000-0000-00003A780000}"/>
    <cellStyle name="Normal 4 2 2 2 2 6 4" xfId="25447" xr:uid="{00000000-0005-0000-0000-00003B780000}"/>
    <cellStyle name="Normal 4 2 2 2 2 7" xfId="25448" xr:uid="{00000000-0005-0000-0000-00003C780000}"/>
    <cellStyle name="Normal 4 2 2 2 2 7 2" xfId="25449" xr:uid="{00000000-0005-0000-0000-00003D780000}"/>
    <cellStyle name="Normal 4 2 2 2 2 7 2 2" xfId="25450" xr:uid="{00000000-0005-0000-0000-00003E780000}"/>
    <cellStyle name="Normal 4 2 2 2 2 7 3" xfId="25451" xr:uid="{00000000-0005-0000-0000-00003F780000}"/>
    <cellStyle name="Normal 4 2 2 2 2 7 4" xfId="25452" xr:uid="{00000000-0005-0000-0000-000040780000}"/>
    <cellStyle name="Normal 4 2 2 2 2 8" xfId="25453" xr:uid="{00000000-0005-0000-0000-000041780000}"/>
    <cellStyle name="Normal 4 2 2 2 2 8 2" xfId="25454" xr:uid="{00000000-0005-0000-0000-000042780000}"/>
    <cellStyle name="Normal 4 2 2 2 2 9" xfId="25455" xr:uid="{00000000-0005-0000-0000-000043780000}"/>
    <cellStyle name="Normal 4 2 2 2 3" xfId="25456" xr:uid="{00000000-0005-0000-0000-000044780000}"/>
    <cellStyle name="Normal 4 2 2 2 3 10" xfId="35409" xr:uid="{00000000-0005-0000-0000-000045780000}"/>
    <cellStyle name="Normal 4 2 2 2 3 11" xfId="42110" xr:uid="{4226DEF1-E40D-4D58-87D1-E617B32B0EAE}"/>
    <cellStyle name="Normal 4 2 2 2 3 2" xfId="25457" xr:uid="{00000000-0005-0000-0000-000046780000}"/>
    <cellStyle name="Normal 4 2 2 2 3 2 2" xfId="25458" xr:uid="{00000000-0005-0000-0000-000047780000}"/>
    <cellStyle name="Normal 4 2 2 2 3 2 2 2" xfId="25459" xr:uid="{00000000-0005-0000-0000-000048780000}"/>
    <cellStyle name="Normal 4 2 2 2 3 2 2 2 2" xfId="25460" xr:uid="{00000000-0005-0000-0000-000049780000}"/>
    <cellStyle name="Normal 4 2 2 2 3 2 2 3" xfId="25461" xr:uid="{00000000-0005-0000-0000-00004A780000}"/>
    <cellStyle name="Normal 4 2 2 2 3 2 2 4" xfId="25462" xr:uid="{00000000-0005-0000-0000-00004B780000}"/>
    <cellStyle name="Normal 4 2 2 2 3 2 2 5" xfId="39800" xr:uid="{00000000-0005-0000-0000-00004C780000}"/>
    <cellStyle name="Normal 4 2 2 2 3 2 3" xfId="25463" xr:uid="{00000000-0005-0000-0000-00004D780000}"/>
    <cellStyle name="Normal 4 2 2 2 3 2 3 2" xfId="25464" xr:uid="{00000000-0005-0000-0000-00004E780000}"/>
    <cellStyle name="Normal 4 2 2 2 3 2 4" xfId="25465" xr:uid="{00000000-0005-0000-0000-00004F780000}"/>
    <cellStyle name="Normal 4 2 2 2 3 2 5" xfId="25466" xr:uid="{00000000-0005-0000-0000-000050780000}"/>
    <cellStyle name="Normal 4 2 2 2 3 2 6" xfId="39799" xr:uid="{00000000-0005-0000-0000-000051780000}"/>
    <cellStyle name="Normal 4 2 2 2 3 3" xfId="25467" xr:uid="{00000000-0005-0000-0000-000052780000}"/>
    <cellStyle name="Normal 4 2 2 2 3 3 2" xfId="25468" xr:uid="{00000000-0005-0000-0000-000053780000}"/>
    <cellStyle name="Normal 4 2 2 2 3 3 2 2" xfId="25469" xr:uid="{00000000-0005-0000-0000-000054780000}"/>
    <cellStyle name="Normal 4 2 2 2 3 3 2 2 2" xfId="25470" xr:uid="{00000000-0005-0000-0000-000055780000}"/>
    <cellStyle name="Normal 4 2 2 2 3 3 2 3" xfId="25471" xr:uid="{00000000-0005-0000-0000-000056780000}"/>
    <cellStyle name="Normal 4 2 2 2 3 3 2 4" xfId="25472" xr:uid="{00000000-0005-0000-0000-000057780000}"/>
    <cellStyle name="Normal 4 2 2 2 3 3 2 5" xfId="39802" xr:uid="{00000000-0005-0000-0000-000058780000}"/>
    <cellStyle name="Normal 4 2 2 2 3 3 3" xfId="25473" xr:uid="{00000000-0005-0000-0000-000059780000}"/>
    <cellStyle name="Normal 4 2 2 2 3 3 3 2" xfId="25474" xr:uid="{00000000-0005-0000-0000-00005A780000}"/>
    <cellStyle name="Normal 4 2 2 2 3 3 4" xfId="25475" xr:uid="{00000000-0005-0000-0000-00005B780000}"/>
    <cellStyle name="Normal 4 2 2 2 3 3 5" xfId="25476" xr:uid="{00000000-0005-0000-0000-00005C780000}"/>
    <cellStyle name="Normal 4 2 2 2 3 3 6" xfId="39801" xr:uid="{00000000-0005-0000-0000-00005D780000}"/>
    <cellStyle name="Normal 4 2 2 2 3 4" xfId="25477" xr:uid="{00000000-0005-0000-0000-00005E780000}"/>
    <cellStyle name="Normal 4 2 2 2 3 4 2" xfId="25478" xr:uid="{00000000-0005-0000-0000-00005F780000}"/>
    <cellStyle name="Normal 4 2 2 2 3 4 2 2" xfId="25479" xr:uid="{00000000-0005-0000-0000-000060780000}"/>
    <cellStyle name="Normal 4 2 2 2 3 4 3" xfId="25480" xr:uid="{00000000-0005-0000-0000-000061780000}"/>
    <cellStyle name="Normal 4 2 2 2 3 4 4" xfId="25481" xr:uid="{00000000-0005-0000-0000-000062780000}"/>
    <cellStyle name="Normal 4 2 2 2 3 4 5" xfId="39803" xr:uid="{00000000-0005-0000-0000-000063780000}"/>
    <cellStyle name="Normal 4 2 2 2 3 5" xfId="25482" xr:uid="{00000000-0005-0000-0000-000064780000}"/>
    <cellStyle name="Normal 4 2 2 2 3 5 2" xfId="25483" xr:uid="{00000000-0005-0000-0000-000065780000}"/>
    <cellStyle name="Normal 4 2 2 2 3 5 2 2" xfId="25484" xr:uid="{00000000-0005-0000-0000-000066780000}"/>
    <cellStyle name="Normal 4 2 2 2 3 5 3" xfId="25485" xr:uid="{00000000-0005-0000-0000-000067780000}"/>
    <cellStyle name="Normal 4 2 2 2 3 5 4" xfId="25486" xr:uid="{00000000-0005-0000-0000-000068780000}"/>
    <cellStyle name="Normal 4 2 2 2 3 6" xfId="25487" xr:uid="{00000000-0005-0000-0000-000069780000}"/>
    <cellStyle name="Normal 4 2 2 2 3 6 2" xfId="25488" xr:uid="{00000000-0005-0000-0000-00006A780000}"/>
    <cellStyle name="Normal 4 2 2 2 3 6 2 2" xfId="25489" xr:uid="{00000000-0005-0000-0000-00006B780000}"/>
    <cellStyle name="Normal 4 2 2 2 3 6 3" xfId="25490" xr:uid="{00000000-0005-0000-0000-00006C780000}"/>
    <cellStyle name="Normal 4 2 2 2 3 6 4" xfId="25491" xr:uid="{00000000-0005-0000-0000-00006D780000}"/>
    <cellStyle name="Normal 4 2 2 2 3 7" xfId="25492" xr:uid="{00000000-0005-0000-0000-00006E780000}"/>
    <cellStyle name="Normal 4 2 2 2 3 7 2" xfId="25493" xr:uid="{00000000-0005-0000-0000-00006F780000}"/>
    <cellStyle name="Normal 4 2 2 2 3 8" xfId="25494" xr:uid="{00000000-0005-0000-0000-000070780000}"/>
    <cellStyle name="Normal 4 2 2 2 3 9" xfId="25495" xr:uid="{00000000-0005-0000-0000-000071780000}"/>
    <cellStyle name="Normal 4 2 2 2 4" xfId="25496" xr:uid="{00000000-0005-0000-0000-000072780000}"/>
    <cellStyle name="Normal 4 2 2 2 4 2" xfId="25497" xr:uid="{00000000-0005-0000-0000-000073780000}"/>
    <cellStyle name="Normal 4 2 2 2 4 2 2" xfId="25498" xr:uid="{00000000-0005-0000-0000-000074780000}"/>
    <cellStyle name="Normal 4 2 2 2 4 2 2 2" xfId="25499" xr:uid="{00000000-0005-0000-0000-000075780000}"/>
    <cellStyle name="Normal 4 2 2 2 4 2 3" xfId="25500" xr:uid="{00000000-0005-0000-0000-000076780000}"/>
    <cellStyle name="Normal 4 2 2 2 4 2 4" xfId="25501" xr:uid="{00000000-0005-0000-0000-000077780000}"/>
    <cellStyle name="Normal 4 2 2 2 4 2 5" xfId="39805" xr:uid="{00000000-0005-0000-0000-000078780000}"/>
    <cellStyle name="Normal 4 2 2 2 4 3" xfId="25502" xr:uid="{00000000-0005-0000-0000-000079780000}"/>
    <cellStyle name="Normal 4 2 2 2 4 3 2" xfId="25503" xr:uid="{00000000-0005-0000-0000-00007A780000}"/>
    <cellStyle name="Normal 4 2 2 2 4 4" xfId="25504" xr:uid="{00000000-0005-0000-0000-00007B780000}"/>
    <cellStyle name="Normal 4 2 2 2 4 5" xfId="25505" xr:uid="{00000000-0005-0000-0000-00007C780000}"/>
    <cellStyle name="Normal 4 2 2 2 4 6" xfId="39804" xr:uid="{00000000-0005-0000-0000-00007D780000}"/>
    <cellStyle name="Normal 4 2 2 2 5" xfId="25506" xr:uid="{00000000-0005-0000-0000-00007E780000}"/>
    <cellStyle name="Normal 4 2 2 2 5 2" xfId="25507" xr:uid="{00000000-0005-0000-0000-00007F780000}"/>
    <cellStyle name="Normal 4 2 2 2 5 2 2" xfId="25508" xr:uid="{00000000-0005-0000-0000-000080780000}"/>
    <cellStyle name="Normal 4 2 2 2 5 2 2 2" xfId="25509" xr:uid="{00000000-0005-0000-0000-000081780000}"/>
    <cellStyle name="Normal 4 2 2 2 5 2 3" xfId="25510" xr:uid="{00000000-0005-0000-0000-000082780000}"/>
    <cellStyle name="Normal 4 2 2 2 5 2 4" xfId="25511" xr:uid="{00000000-0005-0000-0000-000083780000}"/>
    <cellStyle name="Normal 4 2 2 2 5 2 5" xfId="39807" xr:uid="{00000000-0005-0000-0000-000084780000}"/>
    <cellStyle name="Normal 4 2 2 2 5 3" xfId="25512" xr:uid="{00000000-0005-0000-0000-000085780000}"/>
    <cellStyle name="Normal 4 2 2 2 5 3 2" xfId="25513" xr:uid="{00000000-0005-0000-0000-000086780000}"/>
    <cellStyle name="Normal 4 2 2 2 5 4" xfId="25514" xr:uid="{00000000-0005-0000-0000-000087780000}"/>
    <cellStyle name="Normal 4 2 2 2 5 5" xfId="25515" xr:uid="{00000000-0005-0000-0000-000088780000}"/>
    <cellStyle name="Normal 4 2 2 2 5 6" xfId="39806" xr:uid="{00000000-0005-0000-0000-000089780000}"/>
    <cellStyle name="Normal 4 2 2 2 6" xfId="25516" xr:uid="{00000000-0005-0000-0000-00008A780000}"/>
    <cellStyle name="Normal 4 2 2 2 6 2" xfId="25517" xr:uid="{00000000-0005-0000-0000-00008B780000}"/>
    <cellStyle name="Normal 4 2 2 2 6 2 2" xfId="25518" xr:uid="{00000000-0005-0000-0000-00008C780000}"/>
    <cellStyle name="Normal 4 2 2 2 6 3" xfId="25519" xr:uid="{00000000-0005-0000-0000-00008D780000}"/>
    <cellStyle name="Normal 4 2 2 2 6 4" xfId="25520" xr:uid="{00000000-0005-0000-0000-00008E780000}"/>
    <cellStyle name="Normal 4 2 2 2 6 5" xfId="39808" xr:uid="{00000000-0005-0000-0000-00008F780000}"/>
    <cellStyle name="Normal 4 2 2 2 7" xfId="25521" xr:uid="{00000000-0005-0000-0000-000090780000}"/>
    <cellStyle name="Normal 4 2 2 2 7 2" xfId="25522" xr:uid="{00000000-0005-0000-0000-000091780000}"/>
    <cellStyle name="Normal 4 2 2 2 7 2 2" xfId="25523" xr:uid="{00000000-0005-0000-0000-000092780000}"/>
    <cellStyle name="Normal 4 2 2 2 7 3" xfId="25524" xr:uid="{00000000-0005-0000-0000-000093780000}"/>
    <cellStyle name="Normal 4 2 2 2 7 4" xfId="25525" xr:uid="{00000000-0005-0000-0000-000094780000}"/>
    <cellStyle name="Normal 4 2 2 2 8" xfId="25526" xr:uid="{00000000-0005-0000-0000-000095780000}"/>
    <cellStyle name="Normal 4 2 2 2 8 2" xfId="25527" xr:uid="{00000000-0005-0000-0000-000096780000}"/>
    <cellStyle name="Normal 4 2 2 2 8 2 2" xfId="25528" xr:uid="{00000000-0005-0000-0000-000097780000}"/>
    <cellStyle name="Normal 4 2 2 2 8 3" xfId="25529" xr:uid="{00000000-0005-0000-0000-000098780000}"/>
    <cellStyle name="Normal 4 2 2 2 8 4" xfId="25530" xr:uid="{00000000-0005-0000-0000-000099780000}"/>
    <cellStyle name="Normal 4 2 2 2 9" xfId="25531" xr:uid="{00000000-0005-0000-0000-00009A780000}"/>
    <cellStyle name="Normal 4 2 2 2 9 2" xfId="25532" xr:uid="{00000000-0005-0000-0000-00009B780000}"/>
    <cellStyle name="Normal 4 2 2 3" xfId="25533" xr:uid="{00000000-0005-0000-0000-00009C780000}"/>
    <cellStyle name="Normal 4 2 2 3 10" xfId="25534" xr:uid="{00000000-0005-0000-0000-00009D780000}"/>
    <cellStyle name="Normal 4 2 2 3 11" xfId="35410" xr:uid="{00000000-0005-0000-0000-00009E780000}"/>
    <cellStyle name="Normal 4 2 2 3 12" xfId="42138" xr:uid="{0F96DBFA-CCAA-4157-BBF1-09F07C7CA045}"/>
    <cellStyle name="Normal 4 2 2 3 2" xfId="25535" xr:uid="{00000000-0005-0000-0000-00009F780000}"/>
    <cellStyle name="Normal 4 2 2 3 2 10" xfId="35411" xr:uid="{00000000-0005-0000-0000-0000A0780000}"/>
    <cellStyle name="Normal 4 2 2 3 2 2" xfId="25536" xr:uid="{00000000-0005-0000-0000-0000A1780000}"/>
    <cellStyle name="Normal 4 2 2 3 2 2 2" xfId="25537" xr:uid="{00000000-0005-0000-0000-0000A2780000}"/>
    <cellStyle name="Normal 4 2 2 3 2 2 2 2" xfId="25538" xr:uid="{00000000-0005-0000-0000-0000A3780000}"/>
    <cellStyle name="Normal 4 2 2 3 2 2 2 2 2" xfId="25539" xr:uid="{00000000-0005-0000-0000-0000A4780000}"/>
    <cellStyle name="Normal 4 2 2 3 2 2 2 3" xfId="25540" xr:uid="{00000000-0005-0000-0000-0000A5780000}"/>
    <cellStyle name="Normal 4 2 2 3 2 2 2 4" xfId="25541" xr:uid="{00000000-0005-0000-0000-0000A6780000}"/>
    <cellStyle name="Normal 4 2 2 3 2 2 2 5" xfId="39810" xr:uid="{00000000-0005-0000-0000-0000A7780000}"/>
    <cellStyle name="Normal 4 2 2 3 2 2 3" xfId="25542" xr:uid="{00000000-0005-0000-0000-0000A8780000}"/>
    <cellStyle name="Normal 4 2 2 3 2 2 3 2" xfId="25543" xr:uid="{00000000-0005-0000-0000-0000A9780000}"/>
    <cellStyle name="Normal 4 2 2 3 2 2 4" xfId="25544" xr:uid="{00000000-0005-0000-0000-0000AA780000}"/>
    <cellStyle name="Normal 4 2 2 3 2 2 5" xfId="25545" xr:uid="{00000000-0005-0000-0000-0000AB780000}"/>
    <cellStyle name="Normal 4 2 2 3 2 2 6" xfId="39809" xr:uid="{00000000-0005-0000-0000-0000AC780000}"/>
    <cellStyle name="Normal 4 2 2 3 2 3" xfId="25546" xr:uid="{00000000-0005-0000-0000-0000AD780000}"/>
    <cellStyle name="Normal 4 2 2 3 2 3 2" xfId="25547" xr:uid="{00000000-0005-0000-0000-0000AE780000}"/>
    <cellStyle name="Normal 4 2 2 3 2 3 2 2" xfId="25548" xr:uid="{00000000-0005-0000-0000-0000AF780000}"/>
    <cellStyle name="Normal 4 2 2 3 2 3 2 2 2" xfId="25549" xr:uid="{00000000-0005-0000-0000-0000B0780000}"/>
    <cellStyle name="Normal 4 2 2 3 2 3 2 3" xfId="25550" xr:uid="{00000000-0005-0000-0000-0000B1780000}"/>
    <cellStyle name="Normal 4 2 2 3 2 3 2 4" xfId="25551" xr:uid="{00000000-0005-0000-0000-0000B2780000}"/>
    <cellStyle name="Normal 4 2 2 3 2 3 2 5" xfId="39812" xr:uid="{00000000-0005-0000-0000-0000B3780000}"/>
    <cellStyle name="Normal 4 2 2 3 2 3 3" xfId="25552" xr:uid="{00000000-0005-0000-0000-0000B4780000}"/>
    <cellStyle name="Normal 4 2 2 3 2 3 3 2" xfId="25553" xr:uid="{00000000-0005-0000-0000-0000B5780000}"/>
    <cellStyle name="Normal 4 2 2 3 2 3 4" xfId="25554" xr:uid="{00000000-0005-0000-0000-0000B6780000}"/>
    <cellStyle name="Normal 4 2 2 3 2 3 5" xfId="25555" xr:uid="{00000000-0005-0000-0000-0000B7780000}"/>
    <cellStyle name="Normal 4 2 2 3 2 3 6" xfId="39811" xr:uid="{00000000-0005-0000-0000-0000B8780000}"/>
    <cellStyle name="Normal 4 2 2 3 2 4" xfId="25556" xr:uid="{00000000-0005-0000-0000-0000B9780000}"/>
    <cellStyle name="Normal 4 2 2 3 2 4 2" xfId="25557" xr:uid="{00000000-0005-0000-0000-0000BA780000}"/>
    <cellStyle name="Normal 4 2 2 3 2 4 2 2" xfId="25558" xr:uid="{00000000-0005-0000-0000-0000BB780000}"/>
    <cellStyle name="Normal 4 2 2 3 2 4 3" xfId="25559" xr:uid="{00000000-0005-0000-0000-0000BC780000}"/>
    <cellStyle name="Normal 4 2 2 3 2 4 4" xfId="25560" xr:uid="{00000000-0005-0000-0000-0000BD780000}"/>
    <cellStyle name="Normal 4 2 2 3 2 4 5" xfId="39813" xr:uid="{00000000-0005-0000-0000-0000BE780000}"/>
    <cellStyle name="Normal 4 2 2 3 2 5" xfId="25561" xr:uid="{00000000-0005-0000-0000-0000BF780000}"/>
    <cellStyle name="Normal 4 2 2 3 2 5 2" xfId="25562" xr:uid="{00000000-0005-0000-0000-0000C0780000}"/>
    <cellStyle name="Normal 4 2 2 3 2 5 2 2" xfId="25563" xr:uid="{00000000-0005-0000-0000-0000C1780000}"/>
    <cellStyle name="Normal 4 2 2 3 2 5 3" xfId="25564" xr:uid="{00000000-0005-0000-0000-0000C2780000}"/>
    <cellStyle name="Normal 4 2 2 3 2 5 4" xfId="25565" xr:uid="{00000000-0005-0000-0000-0000C3780000}"/>
    <cellStyle name="Normal 4 2 2 3 2 6" xfId="25566" xr:uid="{00000000-0005-0000-0000-0000C4780000}"/>
    <cellStyle name="Normal 4 2 2 3 2 6 2" xfId="25567" xr:uid="{00000000-0005-0000-0000-0000C5780000}"/>
    <cellStyle name="Normal 4 2 2 3 2 6 2 2" xfId="25568" xr:uid="{00000000-0005-0000-0000-0000C6780000}"/>
    <cellStyle name="Normal 4 2 2 3 2 6 3" xfId="25569" xr:uid="{00000000-0005-0000-0000-0000C7780000}"/>
    <cellStyle name="Normal 4 2 2 3 2 6 4" xfId="25570" xr:uid="{00000000-0005-0000-0000-0000C8780000}"/>
    <cellStyle name="Normal 4 2 2 3 2 7" xfId="25571" xr:uid="{00000000-0005-0000-0000-0000C9780000}"/>
    <cellStyle name="Normal 4 2 2 3 2 7 2" xfId="25572" xr:uid="{00000000-0005-0000-0000-0000CA780000}"/>
    <cellStyle name="Normal 4 2 2 3 2 8" xfId="25573" xr:uid="{00000000-0005-0000-0000-0000CB780000}"/>
    <cellStyle name="Normal 4 2 2 3 2 9" xfId="25574" xr:uid="{00000000-0005-0000-0000-0000CC780000}"/>
    <cellStyle name="Normal 4 2 2 3 3" xfId="25575" xr:uid="{00000000-0005-0000-0000-0000CD780000}"/>
    <cellStyle name="Normal 4 2 2 3 3 2" xfId="25576" xr:uid="{00000000-0005-0000-0000-0000CE780000}"/>
    <cellStyle name="Normal 4 2 2 3 3 2 2" xfId="25577" xr:uid="{00000000-0005-0000-0000-0000CF780000}"/>
    <cellStyle name="Normal 4 2 2 3 3 2 2 2" xfId="25578" xr:uid="{00000000-0005-0000-0000-0000D0780000}"/>
    <cellStyle name="Normal 4 2 2 3 3 2 3" xfId="25579" xr:uid="{00000000-0005-0000-0000-0000D1780000}"/>
    <cellStyle name="Normal 4 2 2 3 3 2 4" xfId="25580" xr:uid="{00000000-0005-0000-0000-0000D2780000}"/>
    <cellStyle name="Normal 4 2 2 3 3 2 5" xfId="39815" xr:uid="{00000000-0005-0000-0000-0000D3780000}"/>
    <cellStyle name="Normal 4 2 2 3 3 3" xfId="25581" xr:uid="{00000000-0005-0000-0000-0000D4780000}"/>
    <cellStyle name="Normal 4 2 2 3 3 3 2" xfId="25582" xr:uid="{00000000-0005-0000-0000-0000D5780000}"/>
    <cellStyle name="Normal 4 2 2 3 3 4" xfId="25583" xr:uid="{00000000-0005-0000-0000-0000D6780000}"/>
    <cellStyle name="Normal 4 2 2 3 3 5" xfId="25584" xr:uid="{00000000-0005-0000-0000-0000D7780000}"/>
    <cellStyle name="Normal 4 2 2 3 3 6" xfId="39814" xr:uid="{00000000-0005-0000-0000-0000D8780000}"/>
    <cellStyle name="Normal 4 2 2 3 4" xfId="25585" xr:uid="{00000000-0005-0000-0000-0000D9780000}"/>
    <cellStyle name="Normal 4 2 2 3 4 2" xfId="25586" xr:uid="{00000000-0005-0000-0000-0000DA780000}"/>
    <cellStyle name="Normal 4 2 2 3 4 2 2" xfId="25587" xr:uid="{00000000-0005-0000-0000-0000DB780000}"/>
    <cellStyle name="Normal 4 2 2 3 4 2 2 2" xfId="25588" xr:uid="{00000000-0005-0000-0000-0000DC780000}"/>
    <cellStyle name="Normal 4 2 2 3 4 2 3" xfId="25589" xr:uid="{00000000-0005-0000-0000-0000DD780000}"/>
    <cellStyle name="Normal 4 2 2 3 4 2 4" xfId="25590" xr:uid="{00000000-0005-0000-0000-0000DE780000}"/>
    <cellStyle name="Normal 4 2 2 3 4 2 5" xfId="39817" xr:uid="{00000000-0005-0000-0000-0000DF780000}"/>
    <cellStyle name="Normal 4 2 2 3 4 3" xfId="25591" xr:uid="{00000000-0005-0000-0000-0000E0780000}"/>
    <cellStyle name="Normal 4 2 2 3 4 3 2" xfId="25592" xr:uid="{00000000-0005-0000-0000-0000E1780000}"/>
    <cellStyle name="Normal 4 2 2 3 4 4" xfId="25593" xr:uid="{00000000-0005-0000-0000-0000E2780000}"/>
    <cellStyle name="Normal 4 2 2 3 4 5" xfId="25594" xr:uid="{00000000-0005-0000-0000-0000E3780000}"/>
    <cellStyle name="Normal 4 2 2 3 4 6" xfId="39816" xr:uid="{00000000-0005-0000-0000-0000E4780000}"/>
    <cellStyle name="Normal 4 2 2 3 5" xfId="25595" xr:uid="{00000000-0005-0000-0000-0000E5780000}"/>
    <cellStyle name="Normal 4 2 2 3 5 2" xfId="25596" xr:uid="{00000000-0005-0000-0000-0000E6780000}"/>
    <cellStyle name="Normal 4 2 2 3 5 2 2" xfId="25597" xr:uid="{00000000-0005-0000-0000-0000E7780000}"/>
    <cellStyle name="Normal 4 2 2 3 5 3" xfId="25598" xr:uid="{00000000-0005-0000-0000-0000E8780000}"/>
    <cellStyle name="Normal 4 2 2 3 5 4" xfId="25599" xr:uid="{00000000-0005-0000-0000-0000E9780000}"/>
    <cellStyle name="Normal 4 2 2 3 5 5" xfId="39818" xr:uid="{00000000-0005-0000-0000-0000EA780000}"/>
    <cellStyle name="Normal 4 2 2 3 6" xfId="25600" xr:uid="{00000000-0005-0000-0000-0000EB780000}"/>
    <cellStyle name="Normal 4 2 2 3 6 2" xfId="25601" xr:uid="{00000000-0005-0000-0000-0000EC780000}"/>
    <cellStyle name="Normal 4 2 2 3 6 2 2" xfId="25602" xr:uid="{00000000-0005-0000-0000-0000ED780000}"/>
    <cellStyle name="Normal 4 2 2 3 6 3" xfId="25603" xr:uid="{00000000-0005-0000-0000-0000EE780000}"/>
    <cellStyle name="Normal 4 2 2 3 6 4" xfId="25604" xr:uid="{00000000-0005-0000-0000-0000EF780000}"/>
    <cellStyle name="Normal 4 2 2 3 7" xfId="25605" xr:uid="{00000000-0005-0000-0000-0000F0780000}"/>
    <cellStyle name="Normal 4 2 2 3 7 2" xfId="25606" xr:uid="{00000000-0005-0000-0000-0000F1780000}"/>
    <cellStyle name="Normal 4 2 2 3 7 2 2" xfId="25607" xr:uid="{00000000-0005-0000-0000-0000F2780000}"/>
    <cellStyle name="Normal 4 2 2 3 7 3" xfId="25608" xr:uid="{00000000-0005-0000-0000-0000F3780000}"/>
    <cellStyle name="Normal 4 2 2 3 7 4" xfId="25609" xr:uid="{00000000-0005-0000-0000-0000F4780000}"/>
    <cellStyle name="Normal 4 2 2 3 8" xfId="25610" xr:uid="{00000000-0005-0000-0000-0000F5780000}"/>
    <cellStyle name="Normal 4 2 2 3 8 2" xfId="25611" xr:uid="{00000000-0005-0000-0000-0000F6780000}"/>
    <cellStyle name="Normal 4 2 2 3 9" xfId="25612" xr:uid="{00000000-0005-0000-0000-0000F7780000}"/>
    <cellStyle name="Normal 4 2 2 4" xfId="25613" xr:uid="{00000000-0005-0000-0000-0000F8780000}"/>
    <cellStyle name="Normal 4 2 2 4 10" xfId="35412" xr:uid="{00000000-0005-0000-0000-0000F9780000}"/>
    <cellStyle name="Normal 4 2 2 4 11" xfId="42090" xr:uid="{B79D5FAE-0155-4513-99CC-BA2D49D64794}"/>
    <cellStyle name="Normal 4 2 2 4 2" xfId="25614" xr:uid="{00000000-0005-0000-0000-0000FA780000}"/>
    <cellStyle name="Normal 4 2 2 4 2 2" xfId="25615" xr:uid="{00000000-0005-0000-0000-0000FB780000}"/>
    <cellStyle name="Normal 4 2 2 4 2 2 2" xfId="25616" xr:uid="{00000000-0005-0000-0000-0000FC780000}"/>
    <cellStyle name="Normal 4 2 2 4 2 2 2 2" xfId="25617" xr:uid="{00000000-0005-0000-0000-0000FD780000}"/>
    <cellStyle name="Normal 4 2 2 4 2 2 3" xfId="25618" xr:uid="{00000000-0005-0000-0000-0000FE780000}"/>
    <cellStyle name="Normal 4 2 2 4 2 2 4" xfId="25619" xr:uid="{00000000-0005-0000-0000-0000FF780000}"/>
    <cellStyle name="Normal 4 2 2 4 2 2 5" xfId="39820" xr:uid="{00000000-0005-0000-0000-000000790000}"/>
    <cellStyle name="Normal 4 2 2 4 2 3" xfId="25620" xr:uid="{00000000-0005-0000-0000-000001790000}"/>
    <cellStyle name="Normal 4 2 2 4 2 3 2" xfId="25621" xr:uid="{00000000-0005-0000-0000-000002790000}"/>
    <cellStyle name="Normal 4 2 2 4 2 4" xfId="25622" xr:uid="{00000000-0005-0000-0000-000003790000}"/>
    <cellStyle name="Normal 4 2 2 4 2 5" xfId="25623" xr:uid="{00000000-0005-0000-0000-000004790000}"/>
    <cellStyle name="Normal 4 2 2 4 2 6" xfId="39819" xr:uid="{00000000-0005-0000-0000-000005790000}"/>
    <cellStyle name="Normal 4 2 2 4 3" xfId="25624" xr:uid="{00000000-0005-0000-0000-000006790000}"/>
    <cellStyle name="Normal 4 2 2 4 3 2" xfId="25625" xr:uid="{00000000-0005-0000-0000-000007790000}"/>
    <cellStyle name="Normal 4 2 2 4 3 2 2" xfId="25626" xr:uid="{00000000-0005-0000-0000-000008790000}"/>
    <cellStyle name="Normal 4 2 2 4 3 2 2 2" xfId="25627" xr:uid="{00000000-0005-0000-0000-000009790000}"/>
    <cellStyle name="Normal 4 2 2 4 3 2 3" xfId="25628" xr:uid="{00000000-0005-0000-0000-00000A790000}"/>
    <cellStyle name="Normal 4 2 2 4 3 2 4" xfId="25629" xr:uid="{00000000-0005-0000-0000-00000B790000}"/>
    <cellStyle name="Normal 4 2 2 4 3 2 5" xfId="39822" xr:uid="{00000000-0005-0000-0000-00000C790000}"/>
    <cellStyle name="Normal 4 2 2 4 3 3" xfId="25630" xr:uid="{00000000-0005-0000-0000-00000D790000}"/>
    <cellStyle name="Normal 4 2 2 4 3 3 2" xfId="25631" xr:uid="{00000000-0005-0000-0000-00000E790000}"/>
    <cellStyle name="Normal 4 2 2 4 3 4" xfId="25632" xr:uid="{00000000-0005-0000-0000-00000F790000}"/>
    <cellStyle name="Normal 4 2 2 4 3 5" xfId="25633" xr:uid="{00000000-0005-0000-0000-000010790000}"/>
    <cellStyle name="Normal 4 2 2 4 3 6" xfId="39821" xr:uid="{00000000-0005-0000-0000-000011790000}"/>
    <cellStyle name="Normal 4 2 2 4 4" xfId="25634" xr:uid="{00000000-0005-0000-0000-000012790000}"/>
    <cellStyle name="Normal 4 2 2 4 4 2" xfId="25635" xr:uid="{00000000-0005-0000-0000-000013790000}"/>
    <cellStyle name="Normal 4 2 2 4 4 2 2" xfId="25636" xr:uid="{00000000-0005-0000-0000-000014790000}"/>
    <cellStyle name="Normal 4 2 2 4 4 3" xfId="25637" xr:uid="{00000000-0005-0000-0000-000015790000}"/>
    <cellStyle name="Normal 4 2 2 4 4 4" xfId="25638" xr:uid="{00000000-0005-0000-0000-000016790000}"/>
    <cellStyle name="Normal 4 2 2 4 4 5" xfId="39823" xr:uid="{00000000-0005-0000-0000-000017790000}"/>
    <cellStyle name="Normal 4 2 2 4 5" xfId="25639" xr:uid="{00000000-0005-0000-0000-000018790000}"/>
    <cellStyle name="Normal 4 2 2 4 5 2" xfId="25640" xr:uid="{00000000-0005-0000-0000-000019790000}"/>
    <cellStyle name="Normal 4 2 2 4 5 2 2" xfId="25641" xr:uid="{00000000-0005-0000-0000-00001A790000}"/>
    <cellStyle name="Normal 4 2 2 4 5 3" xfId="25642" xr:uid="{00000000-0005-0000-0000-00001B790000}"/>
    <cellStyle name="Normal 4 2 2 4 5 4" xfId="25643" xr:uid="{00000000-0005-0000-0000-00001C790000}"/>
    <cellStyle name="Normal 4 2 2 4 6" xfId="25644" xr:uid="{00000000-0005-0000-0000-00001D790000}"/>
    <cellStyle name="Normal 4 2 2 4 6 2" xfId="25645" xr:uid="{00000000-0005-0000-0000-00001E790000}"/>
    <cellStyle name="Normal 4 2 2 4 6 2 2" xfId="25646" xr:uid="{00000000-0005-0000-0000-00001F790000}"/>
    <cellStyle name="Normal 4 2 2 4 6 3" xfId="25647" xr:uid="{00000000-0005-0000-0000-000020790000}"/>
    <cellStyle name="Normal 4 2 2 4 6 4" xfId="25648" xr:uid="{00000000-0005-0000-0000-000021790000}"/>
    <cellStyle name="Normal 4 2 2 4 7" xfId="25649" xr:uid="{00000000-0005-0000-0000-000022790000}"/>
    <cellStyle name="Normal 4 2 2 4 7 2" xfId="25650" xr:uid="{00000000-0005-0000-0000-000023790000}"/>
    <cellStyle name="Normal 4 2 2 4 8" xfId="25651" xr:uid="{00000000-0005-0000-0000-000024790000}"/>
    <cellStyle name="Normal 4 2 2 4 9" xfId="25652" xr:uid="{00000000-0005-0000-0000-000025790000}"/>
    <cellStyle name="Normal 4 2 2 5" xfId="25653" xr:uid="{00000000-0005-0000-0000-000026790000}"/>
    <cellStyle name="Normal 4 2 2 5 2" xfId="25654" xr:uid="{00000000-0005-0000-0000-000027790000}"/>
    <cellStyle name="Normal 4 2 2 5 2 2" xfId="25655" xr:uid="{00000000-0005-0000-0000-000028790000}"/>
    <cellStyle name="Normal 4 2 2 5 2 2 2" xfId="25656" xr:uid="{00000000-0005-0000-0000-000029790000}"/>
    <cellStyle name="Normal 4 2 2 5 2 3" xfId="25657" xr:uid="{00000000-0005-0000-0000-00002A790000}"/>
    <cellStyle name="Normal 4 2 2 5 2 4" xfId="25658" xr:uid="{00000000-0005-0000-0000-00002B790000}"/>
    <cellStyle name="Normal 4 2 2 5 2 5" xfId="39824" xr:uid="{00000000-0005-0000-0000-00002C790000}"/>
    <cellStyle name="Normal 4 2 2 5 3" xfId="25659" xr:uid="{00000000-0005-0000-0000-00002D790000}"/>
    <cellStyle name="Normal 4 2 2 5 3 2" xfId="25660" xr:uid="{00000000-0005-0000-0000-00002E790000}"/>
    <cellStyle name="Normal 4 2 2 5 3 2 2" xfId="25661" xr:uid="{00000000-0005-0000-0000-00002F790000}"/>
    <cellStyle name="Normal 4 2 2 5 3 3" xfId="25662" xr:uid="{00000000-0005-0000-0000-000030790000}"/>
    <cellStyle name="Normal 4 2 2 5 3 4" xfId="25663" xr:uid="{00000000-0005-0000-0000-000031790000}"/>
    <cellStyle name="Normal 4 2 2 5 3 5" xfId="39825" xr:uid="{00000000-0005-0000-0000-000032790000}"/>
    <cellStyle name="Normal 4 2 2 5 4" xfId="25664" xr:uid="{00000000-0005-0000-0000-000033790000}"/>
    <cellStyle name="Normal 4 2 2 5 4 2" xfId="25665" xr:uid="{00000000-0005-0000-0000-000034790000}"/>
    <cellStyle name="Normal 4 2 2 5 5" xfId="25666" xr:uid="{00000000-0005-0000-0000-000035790000}"/>
    <cellStyle name="Normal 4 2 2 5 6" xfId="25667" xr:uid="{00000000-0005-0000-0000-000036790000}"/>
    <cellStyle name="Normal 4 2 2 5 7" xfId="35413" xr:uid="{00000000-0005-0000-0000-000037790000}"/>
    <cellStyle name="Normal 4 2 2 6" xfId="25668" xr:uid="{00000000-0005-0000-0000-000038790000}"/>
    <cellStyle name="Normal 4 2 2 6 2" xfId="25669" xr:uid="{00000000-0005-0000-0000-000039790000}"/>
    <cellStyle name="Normal 4 2 2 6 2 2" xfId="25670" xr:uid="{00000000-0005-0000-0000-00003A790000}"/>
    <cellStyle name="Normal 4 2 2 6 2 2 2" xfId="25671" xr:uid="{00000000-0005-0000-0000-00003B790000}"/>
    <cellStyle name="Normal 4 2 2 6 2 3" xfId="25672" xr:uid="{00000000-0005-0000-0000-00003C790000}"/>
    <cellStyle name="Normal 4 2 2 6 2 4" xfId="25673" xr:uid="{00000000-0005-0000-0000-00003D790000}"/>
    <cellStyle name="Normal 4 2 2 6 2 5" xfId="39827" xr:uid="{00000000-0005-0000-0000-00003E790000}"/>
    <cellStyle name="Normal 4 2 2 6 3" xfId="25674" xr:uid="{00000000-0005-0000-0000-00003F790000}"/>
    <cellStyle name="Normal 4 2 2 6 3 2" xfId="25675" xr:uid="{00000000-0005-0000-0000-000040790000}"/>
    <cellStyle name="Normal 4 2 2 6 4" xfId="25676" xr:uid="{00000000-0005-0000-0000-000041790000}"/>
    <cellStyle name="Normal 4 2 2 6 5" xfId="25677" xr:uid="{00000000-0005-0000-0000-000042790000}"/>
    <cellStyle name="Normal 4 2 2 6 6" xfId="39826" xr:uid="{00000000-0005-0000-0000-000043790000}"/>
    <cellStyle name="Normal 4 2 2 7" xfId="25678" xr:uid="{00000000-0005-0000-0000-000044790000}"/>
    <cellStyle name="Normal 4 2 2 7 2" xfId="25679" xr:uid="{00000000-0005-0000-0000-000045790000}"/>
    <cellStyle name="Normal 4 2 2 7 2 2" xfId="25680" xr:uid="{00000000-0005-0000-0000-000046790000}"/>
    <cellStyle name="Normal 4 2 2 7 3" xfId="25681" xr:uid="{00000000-0005-0000-0000-000047790000}"/>
    <cellStyle name="Normal 4 2 2 7 4" xfId="25682" xr:uid="{00000000-0005-0000-0000-000048790000}"/>
    <cellStyle name="Normal 4 2 2 7 5" xfId="39828" xr:uid="{00000000-0005-0000-0000-000049790000}"/>
    <cellStyle name="Normal 4 2 2 8" xfId="25683" xr:uid="{00000000-0005-0000-0000-00004A790000}"/>
    <cellStyle name="Normal 4 2 2 8 2" xfId="25684" xr:uid="{00000000-0005-0000-0000-00004B790000}"/>
    <cellStyle name="Normal 4 2 2 8 2 2" xfId="25685" xr:uid="{00000000-0005-0000-0000-00004C790000}"/>
    <cellStyle name="Normal 4 2 2 8 3" xfId="25686" xr:uid="{00000000-0005-0000-0000-00004D790000}"/>
    <cellStyle name="Normal 4 2 2 8 4" xfId="25687" xr:uid="{00000000-0005-0000-0000-00004E790000}"/>
    <cellStyle name="Normal 4 2 2 9" xfId="25688" xr:uid="{00000000-0005-0000-0000-00004F790000}"/>
    <cellStyle name="Normal 4 2 2 9 2" xfId="25689" xr:uid="{00000000-0005-0000-0000-000050790000}"/>
    <cellStyle name="Normal 4 2 2 9 2 2" xfId="25690" xr:uid="{00000000-0005-0000-0000-000051790000}"/>
    <cellStyle name="Normal 4 2 2 9 3" xfId="25691" xr:uid="{00000000-0005-0000-0000-000052790000}"/>
    <cellStyle name="Normal 4 2 2 9 4" xfId="25692" xr:uid="{00000000-0005-0000-0000-000053790000}"/>
    <cellStyle name="Normal 4 2 3" xfId="25693" xr:uid="{00000000-0005-0000-0000-000054790000}"/>
    <cellStyle name="Normal 4 2 3 10" xfId="25694" xr:uid="{00000000-0005-0000-0000-000055790000}"/>
    <cellStyle name="Normal 4 2 3 11" xfId="25695" xr:uid="{00000000-0005-0000-0000-000056790000}"/>
    <cellStyle name="Normal 4 2 3 12" xfId="35414" xr:uid="{00000000-0005-0000-0000-000057790000}"/>
    <cellStyle name="Normal 4 2 3 13" xfId="42014" xr:uid="{B97D4AA7-D056-4AFB-A386-A2801F9205A7}"/>
    <cellStyle name="Normal 4 2 3 2" xfId="25696" xr:uid="{00000000-0005-0000-0000-000058790000}"/>
    <cellStyle name="Normal 4 2 3 2 10" xfId="25697" xr:uid="{00000000-0005-0000-0000-000059790000}"/>
    <cellStyle name="Normal 4 2 3 2 11" xfId="35415" xr:uid="{00000000-0005-0000-0000-00005A790000}"/>
    <cellStyle name="Normal 4 2 3 2 12" xfId="42040" xr:uid="{8F1E316B-9B09-41D6-B860-8C88BB2A58A2}"/>
    <cellStyle name="Normal 4 2 3 2 2" xfId="25698" xr:uid="{00000000-0005-0000-0000-00005B790000}"/>
    <cellStyle name="Normal 4 2 3 2 2 10" xfId="35416" xr:uid="{00000000-0005-0000-0000-00005C790000}"/>
    <cellStyle name="Normal 4 2 3 2 2 11" xfId="42178" xr:uid="{ABCB6732-02D1-4765-BCB7-6BB935887363}"/>
    <cellStyle name="Normal 4 2 3 2 2 2" xfId="25699" xr:uid="{00000000-0005-0000-0000-00005D790000}"/>
    <cellStyle name="Normal 4 2 3 2 2 2 2" xfId="25700" xr:uid="{00000000-0005-0000-0000-00005E790000}"/>
    <cellStyle name="Normal 4 2 3 2 2 2 2 2" xfId="25701" xr:uid="{00000000-0005-0000-0000-00005F790000}"/>
    <cellStyle name="Normal 4 2 3 2 2 2 2 2 2" xfId="25702" xr:uid="{00000000-0005-0000-0000-000060790000}"/>
    <cellStyle name="Normal 4 2 3 2 2 2 2 3" xfId="25703" xr:uid="{00000000-0005-0000-0000-000061790000}"/>
    <cellStyle name="Normal 4 2 3 2 2 2 2 4" xfId="25704" xr:uid="{00000000-0005-0000-0000-000062790000}"/>
    <cellStyle name="Normal 4 2 3 2 2 2 2 5" xfId="39830" xr:uid="{00000000-0005-0000-0000-000063790000}"/>
    <cellStyle name="Normal 4 2 3 2 2 2 3" xfId="25705" xr:uid="{00000000-0005-0000-0000-000064790000}"/>
    <cellStyle name="Normal 4 2 3 2 2 2 3 2" xfId="25706" xr:uid="{00000000-0005-0000-0000-000065790000}"/>
    <cellStyle name="Normal 4 2 3 2 2 2 4" xfId="25707" xr:uid="{00000000-0005-0000-0000-000066790000}"/>
    <cellStyle name="Normal 4 2 3 2 2 2 5" xfId="25708" xr:uid="{00000000-0005-0000-0000-000067790000}"/>
    <cellStyle name="Normal 4 2 3 2 2 2 6" xfId="39829" xr:uid="{00000000-0005-0000-0000-000068790000}"/>
    <cellStyle name="Normal 4 2 3 2 2 3" xfId="25709" xr:uid="{00000000-0005-0000-0000-000069790000}"/>
    <cellStyle name="Normal 4 2 3 2 2 3 2" xfId="25710" xr:uid="{00000000-0005-0000-0000-00006A790000}"/>
    <cellStyle name="Normal 4 2 3 2 2 3 2 2" xfId="25711" xr:uid="{00000000-0005-0000-0000-00006B790000}"/>
    <cellStyle name="Normal 4 2 3 2 2 3 2 2 2" xfId="25712" xr:uid="{00000000-0005-0000-0000-00006C790000}"/>
    <cellStyle name="Normal 4 2 3 2 2 3 2 3" xfId="25713" xr:uid="{00000000-0005-0000-0000-00006D790000}"/>
    <cellStyle name="Normal 4 2 3 2 2 3 2 4" xfId="25714" xr:uid="{00000000-0005-0000-0000-00006E790000}"/>
    <cellStyle name="Normal 4 2 3 2 2 3 2 5" xfId="39832" xr:uid="{00000000-0005-0000-0000-00006F790000}"/>
    <cellStyle name="Normal 4 2 3 2 2 3 3" xfId="25715" xr:uid="{00000000-0005-0000-0000-000070790000}"/>
    <cellStyle name="Normal 4 2 3 2 2 3 3 2" xfId="25716" xr:uid="{00000000-0005-0000-0000-000071790000}"/>
    <cellStyle name="Normal 4 2 3 2 2 3 4" xfId="25717" xr:uid="{00000000-0005-0000-0000-000072790000}"/>
    <cellStyle name="Normal 4 2 3 2 2 3 5" xfId="25718" xr:uid="{00000000-0005-0000-0000-000073790000}"/>
    <cellStyle name="Normal 4 2 3 2 2 3 6" xfId="39831" xr:uid="{00000000-0005-0000-0000-000074790000}"/>
    <cellStyle name="Normal 4 2 3 2 2 4" xfId="25719" xr:uid="{00000000-0005-0000-0000-000075790000}"/>
    <cellStyle name="Normal 4 2 3 2 2 4 2" xfId="25720" xr:uid="{00000000-0005-0000-0000-000076790000}"/>
    <cellStyle name="Normal 4 2 3 2 2 4 2 2" xfId="25721" xr:uid="{00000000-0005-0000-0000-000077790000}"/>
    <cellStyle name="Normal 4 2 3 2 2 4 3" xfId="25722" xr:uid="{00000000-0005-0000-0000-000078790000}"/>
    <cellStyle name="Normal 4 2 3 2 2 4 4" xfId="25723" xr:uid="{00000000-0005-0000-0000-000079790000}"/>
    <cellStyle name="Normal 4 2 3 2 2 4 5" xfId="39833" xr:uid="{00000000-0005-0000-0000-00007A790000}"/>
    <cellStyle name="Normal 4 2 3 2 2 5" xfId="25724" xr:uid="{00000000-0005-0000-0000-00007B790000}"/>
    <cellStyle name="Normal 4 2 3 2 2 5 2" xfId="25725" xr:uid="{00000000-0005-0000-0000-00007C790000}"/>
    <cellStyle name="Normal 4 2 3 2 2 5 2 2" xfId="25726" xr:uid="{00000000-0005-0000-0000-00007D790000}"/>
    <cellStyle name="Normal 4 2 3 2 2 5 3" xfId="25727" xr:uid="{00000000-0005-0000-0000-00007E790000}"/>
    <cellStyle name="Normal 4 2 3 2 2 5 4" xfId="25728" xr:uid="{00000000-0005-0000-0000-00007F790000}"/>
    <cellStyle name="Normal 4 2 3 2 2 6" xfId="25729" xr:uid="{00000000-0005-0000-0000-000080790000}"/>
    <cellStyle name="Normal 4 2 3 2 2 6 2" xfId="25730" xr:uid="{00000000-0005-0000-0000-000081790000}"/>
    <cellStyle name="Normal 4 2 3 2 2 6 2 2" xfId="25731" xr:uid="{00000000-0005-0000-0000-000082790000}"/>
    <cellStyle name="Normal 4 2 3 2 2 6 3" xfId="25732" xr:uid="{00000000-0005-0000-0000-000083790000}"/>
    <cellStyle name="Normal 4 2 3 2 2 6 4" xfId="25733" xr:uid="{00000000-0005-0000-0000-000084790000}"/>
    <cellStyle name="Normal 4 2 3 2 2 7" xfId="25734" xr:uid="{00000000-0005-0000-0000-000085790000}"/>
    <cellStyle name="Normal 4 2 3 2 2 7 2" xfId="25735" xr:uid="{00000000-0005-0000-0000-000086790000}"/>
    <cellStyle name="Normal 4 2 3 2 2 8" xfId="25736" xr:uid="{00000000-0005-0000-0000-000087790000}"/>
    <cellStyle name="Normal 4 2 3 2 2 9" xfId="25737" xr:uid="{00000000-0005-0000-0000-000088790000}"/>
    <cellStyle name="Normal 4 2 3 2 3" xfId="25738" xr:uid="{00000000-0005-0000-0000-000089790000}"/>
    <cellStyle name="Normal 4 2 3 2 3 2" xfId="25739" xr:uid="{00000000-0005-0000-0000-00008A790000}"/>
    <cellStyle name="Normal 4 2 3 2 3 2 2" xfId="25740" xr:uid="{00000000-0005-0000-0000-00008B790000}"/>
    <cellStyle name="Normal 4 2 3 2 3 2 2 2" xfId="25741" xr:uid="{00000000-0005-0000-0000-00008C790000}"/>
    <cellStyle name="Normal 4 2 3 2 3 2 3" xfId="25742" xr:uid="{00000000-0005-0000-0000-00008D790000}"/>
    <cellStyle name="Normal 4 2 3 2 3 2 4" xfId="25743" xr:uid="{00000000-0005-0000-0000-00008E790000}"/>
    <cellStyle name="Normal 4 2 3 2 3 2 5" xfId="39835" xr:uid="{00000000-0005-0000-0000-00008F790000}"/>
    <cellStyle name="Normal 4 2 3 2 3 3" xfId="25744" xr:uid="{00000000-0005-0000-0000-000090790000}"/>
    <cellStyle name="Normal 4 2 3 2 3 3 2" xfId="25745" xr:uid="{00000000-0005-0000-0000-000091790000}"/>
    <cellStyle name="Normal 4 2 3 2 3 4" xfId="25746" xr:uid="{00000000-0005-0000-0000-000092790000}"/>
    <cellStyle name="Normal 4 2 3 2 3 5" xfId="25747" xr:uid="{00000000-0005-0000-0000-000093790000}"/>
    <cellStyle name="Normal 4 2 3 2 3 6" xfId="39834" xr:uid="{00000000-0005-0000-0000-000094790000}"/>
    <cellStyle name="Normal 4 2 3 2 3 7" xfId="42111" xr:uid="{F3AA0CAC-64DC-4FEE-9000-0E20B089AAB8}"/>
    <cellStyle name="Normal 4 2 3 2 4" xfId="25748" xr:uid="{00000000-0005-0000-0000-000095790000}"/>
    <cellStyle name="Normal 4 2 3 2 4 2" xfId="25749" xr:uid="{00000000-0005-0000-0000-000096790000}"/>
    <cellStyle name="Normal 4 2 3 2 4 2 2" xfId="25750" xr:uid="{00000000-0005-0000-0000-000097790000}"/>
    <cellStyle name="Normal 4 2 3 2 4 2 2 2" xfId="25751" xr:uid="{00000000-0005-0000-0000-000098790000}"/>
    <cellStyle name="Normal 4 2 3 2 4 2 3" xfId="25752" xr:uid="{00000000-0005-0000-0000-000099790000}"/>
    <cellStyle name="Normal 4 2 3 2 4 2 4" xfId="25753" xr:uid="{00000000-0005-0000-0000-00009A790000}"/>
    <cellStyle name="Normal 4 2 3 2 4 2 5" xfId="39837" xr:uid="{00000000-0005-0000-0000-00009B790000}"/>
    <cellStyle name="Normal 4 2 3 2 4 3" xfId="25754" xr:uid="{00000000-0005-0000-0000-00009C790000}"/>
    <cellStyle name="Normal 4 2 3 2 4 3 2" xfId="25755" xr:uid="{00000000-0005-0000-0000-00009D790000}"/>
    <cellStyle name="Normal 4 2 3 2 4 4" xfId="25756" xr:uid="{00000000-0005-0000-0000-00009E790000}"/>
    <cellStyle name="Normal 4 2 3 2 4 5" xfId="25757" xr:uid="{00000000-0005-0000-0000-00009F790000}"/>
    <cellStyle name="Normal 4 2 3 2 4 6" xfId="39836" xr:uid="{00000000-0005-0000-0000-0000A0790000}"/>
    <cellStyle name="Normal 4 2 3 2 5" xfId="25758" xr:uid="{00000000-0005-0000-0000-0000A1790000}"/>
    <cellStyle name="Normal 4 2 3 2 5 2" xfId="25759" xr:uid="{00000000-0005-0000-0000-0000A2790000}"/>
    <cellStyle name="Normal 4 2 3 2 5 2 2" xfId="25760" xr:uid="{00000000-0005-0000-0000-0000A3790000}"/>
    <cellStyle name="Normal 4 2 3 2 5 3" xfId="25761" xr:uid="{00000000-0005-0000-0000-0000A4790000}"/>
    <cellStyle name="Normal 4 2 3 2 5 4" xfId="25762" xr:uid="{00000000-0005-0000-0000-0000A5790000}"/>
    <cellStyle name="Normal 4 2 3 2 5 5" xfId="39838" xr:uid="{00000000-0005-0000-0000-0000A6790000}"/>
    <cellStyle name="Normal 4 2 3 2 6" xfId="25763" xr:uid="{00000000-0005-0000-0000-0000A7790000}"/>
    <cellStyle name="Normal 4 2 3 2 6 2" xfId="25764" xr:uid="{00000000-0005-0000-0000-0000A8790000}"/>
    <cellStyle name="Normal 4 2 3 2 6 2 2" xfId="25765" xr:uid="{00000000-0005-0000-0000-0000A9790000}"/>
    <cellStyle name="Normal 4 2 3 2 6 3" xfId="25766" xr:uid="{00000000-0005-0000-0000-0000AA790000}"/>
    <cellStyle name="Normal 4 2 3 2 6 4" xfId="25767" xr:uid="{00000000-0005-0000-0000-0000AB790000}"/>
    <cellStyle name="Normal 4 2 3 2 7" xfId="25768" xr:uid="{00000000-0005-0000-0000-0000AC790000}"/>
    <cellStyle name="Normal 4 2 3 2 7 2" xfId="25769" xr:uid="{00000000-0005-0000-0000-0000AD790000}"/>
    <cellStyle name="Normal 4 2 3 2 7 2 2" xfId="25770" xr:uid="{00000000-0005-0000-0000-0000AE790000}"/>
    <cellStyle name="Normal 4 2 3 2 7 3" xfId="25771" xr:uid="{00000000-0005-0000-0000-0000AF790000}"/>
    <cellStyle name="Normal 4 2 3 2 7 4" xfId="25772" xr:uid="{00000000-0005-0000-0000-0000B0790000}"/>
    <cellStyle name="Normal 4 2 3 2 8" xfId="25773" xr:uid="{00000000-0005-0000-0000-0000B1790000}"/>
    <cellStyle name="Normal 4 2 3 2 8 2" xfId="25774" xr:uid="{00000000-0005-0000-0000-0000B2790000}"/>
    <cellStyle name="Normal 4 2 3 2 9" xfId="25775" xr:uid="{00000000-0005-0000-0000-0000B3790000}"/>
    <cellStyle name="Normal 4 2 3 3" xfId="25776" xr:uid="{00000000-0005-0000-0000-0000B4790000}"/>
    <cellStyle name="Normal 4 2 3 3 10" xfId="35417" xr:uid="{00000000-0005-0000-0000-0000B5790000}"/>
    <cellStyle name="Normal 4 2 3 3 11" xfId="42139" xr:uid="{CA3B64B0-163D-4BAB-A5DD-612BD1F36FCD}"/>
    <cellStyle name="Normal 4 2 3 3 2" xfId="25777" xr:uid="{00000000-0005-0000-0000-0000B6790000}"/>
    <cellStyle name="Normal 4 2 3 3 2 2" xfId="25778" xr:uid="{00000000-0005-0000-0000-0000B7790000}"/>
    <cellStyle name="Normal 4 2 3 3 2 2 2" xfId="25779" xr:uid="{00000000-0005-0000-0000-0000B8790000}"/>
    <cellStyle name="Normal 4 2 3 3 2 2 2 2" xfId="25780" xr:uid="{00000000-0005-0000-0000-0000B9790000}"/>
    <cellStyle name="Normal 4 2 3 3 2 2 3" xfId="25781" xr:uid="{00000000-0005-0000-0000-0000BA790000}"/>
    <cellStyle name="Normal 4 2 3 3 2 2 4" xfId="25782" xr:uid="{00000000-0005-0000-0000-0000BB790000}"/>
    <cellStyle name="Normal 4 2 3 3 2 2 5" xfId="39840" xr:uid="{00000000-0005-0000-0000-0000BC790000}"/>
    <cellStyle name="Normal 4 2 3 3 2 3" xfId="25783" xr:uid="{00000000-0005-0000-0000-0000BD790000}"/>
    <cellStyle name="Normal 4 2 3 3 2 3 2" xfId="25784" xr:uid="{00000000-0005-0000-0000-0000BE790000}"/>
    <cellStyle name="Normal 4 2 3 3 2 4" xfId="25785" xr:uid="{00000000-0005-0000-0000-0000BF790000}"/>
    <cellStyle name="Normal 4 2 3 3 2 5" xfId="25786" xr:uid="{00000000-0005-0000-0000-0000C0790000}"/>
    <cellStyle name="Normal 4 2 3 3 2 6" xfId="39839" xr:uid="{00000000-0005-0000-0000-0000C1790000}"/>
    <cellStyle name="Normal 4 2 3 3 3" xfId="25787" xr:uid="{00000000-0005-0000-0000-0000C2790000}"/>
    <cellStyle name="Normal 4 2 3 3 3 2" xfId="25788" xr:uid="{00000000-0005-0000-0000-0000C3790000}"/>
    <cellStyle name="Normal 4 2 3 3 3 2 2" xfId="25789" xr:uid="{00000000-0005-0000-0000-0000C4790000}"/>
    <cellStyle name="Normal 4 2 3 3 3 2 2 2" xfId="25790" xr:uid="{00000000-0005-0000-0000-0000C5790000}"/>
    <cellStyle name="Normal 4 2 3 3 3 2 3" xfId="25791" xr:uid="{00000000-0005-0000-0000-0000C6790000}"/>
    <cellStyle name="Normal 4 2 3 3 3 2 4" xfId="25792" xr:uid="{00000000-0005-0000-0000-0000C7790000}"/>
    <cellStyle name="Normal 4 2 3 3 3 2 5" xfId="39842" xr:uid="{00000000-0005-0000-0000-0000C8790000}"/>
    <cellStyle name="Normal 4 2 3 3 3 3" xfId="25793" xr:uid="{00000000-0005-0000-0000-0000C9790000}"/>
    <cellStyle name="Normal 4 2 3 3 3 3 2" xfId="25794" xr:uid="{00000000-0005-0000-0000-0000CA790000}"/>
    <cellStyle name="Normal 4 2 3 3 3 4" xfId="25795" xr:uid="{00000000-0005-0000-0000-0000CB790000}"/>
    <cellStyle name="Normal 4 2 3 3 3 5" xfId="25796" xr:uid="{00000000-0005-0000-0000-0000CC790000}"/>
    <cellStyle name="Normal 4 2 3 3 3 6" xfId="39841" xr:uid="{00000000-0005-0000-0000-0000CD790000}"/>
    <cellStyle name="Normal 4 2 3 3 4" xfId="25797" xr:uid="{00000000-0005-0000-0000-0000CE790000}"/>
    <cellStyle name="Normal 4 2 3 3 4 2" xfId="25798" xr:uid="{00000000-0005-0000-0000-0000CF790000}"/>
    <cellStyle name="Normal 4 2 3 3 4 2 2" xfId="25799" xr:uid="{00000000-0005-0000-0000-0000D0790000}"/>
    <cellStyle name="Normal 4 2 3 3 4 3" xfId="25800" xr:uid="{00000000-0005-0000-0000-0000D1790000}"/>
    <cellStyle name="Normal 4 2 3 3 4 4" xfId="25801" xr:uid="{00000000-0005-0000-0000-0000D2790000}"/>
    <cellStyle name="Normal 4 2 3 3 4 5" xfId="39843" xr:uid="{00000000-0005-0000-0000-0000D3790000}"/>
    <cellStyle name="Normal 4 2 3 3 5" xfId="25802" xr:uid="{00000000-0005-0000-0000-0000D4790000}"/>
    <cellStyle name="Normal 4 2 3 3 5 2" xfId="25803" xr:uid="{00000000-0005-0000-0000-0000D5790000}"/>
    <cellStyle name="Normal 4 2 3 3 5 2 2" xfId="25804" xr:uid="{00000000-0005-0000-0000-0000D6790000}"/>
    <cellStyle name="Normal 4 2 3 3 5 3" xfId="25805" xr:uid="{00000000-0005-0000-0000-0000D7790000}"/>
    <cellStyle name="Normal 4 2 3 3 5 4" xfId="25806" xr:uid="{00000000-0005-0000-0000-0000D8790000}"/>
    <cellStyle name="Normal 4 2 3 3 6" xfId="25807" xr:uid="{00000000-0005-0000-0000-0000D9790000}"/>
    <cellStyle name="Normal 4 2 3 3 6 2" xfId="25808" xr:uid="{00000000-0005-0000-0000-0000DA790000}"/>
    <cellStyle name="Normal 4 2 3 3 6 2 2" xfId="25809" xr:uid="{00000000-0005-0000-0000-0000DB790000}"/>
    <cellStyle name="Normal 4 2 3 3 6 3" xfId="25810" xr:uid="{00000000-0005-0000-0000-0000DC790000}"/>
    <cellStyle name="Normal 4 2 3 3 6 4" xfId="25811" xr:uid="{00000000-0005-0000-0000-0000DD790000}"/>
    <cellStyle name="Normal 4 2 3 3 7" xfId="25812" xr:uid="{00000000-0005-0000-0000-0000DE790000}"/>
    <cellStyle name="Normal 4 2 3 3 7 2" xfId="25813" xr:uid="{00000000-0005-0000-0000-0000DF790000}"/>
    <cellStyle name="Normal 4 2 3 3 8" xfId="25814" xr:uid="{00000000-0005-0000-0000-0000E0790000}"/>
    <cellStyle name="Normal 4 2 3 3 9" xfId="25815" xr:uid="{00000000-0005-0000-0000-0000E1790000}"/>
    <cellStyle name="Normal 4 2 3 4" xfId="25816" xr:uid="{00000000-0005-0000-0000-0000E2790000}"/>
    <cellStyle name="Normal 4 2 3 4 2" xfId="25817" xr:uid="{00000000-0005-0000-0000-0000E3790000}"/>
    <cellStyle name="Normal 4 2 3 4 2 2" xfId="25818" xr:uid="{00000000-0005-0000-0000-0000E4790000}"/>
    <cellStyle name="Normal 4 2 3 4 2 2 2" xfId="25819" xr:uid="{00000000-0005-0000-0000-0000E5790000}"/>
    <cellStyle name="Normal 4 2 3 4 2 3" xfId="25820" xr:uid="{00000000-0005-0000-0000-0000E6790000}"/>
    <cellStyle name="Normal 4 2 3 4 2 4" xfId="25821" xr:uid="{00000000-0005-0000-0000-0000E7790000}"/>
    <cellStyle name="Normal 4 2 3 4 2 5" xfId="39845" xr:uid="{00000000-0005-0000-0000-0000E8790000}"/>
    <cellStyle name="Normal 4 2 3 4 3" xfId="25822" xr:uid="{00000000-0005-0000-0000-0000E9790000}"/>
    <cellStyle name="Normal 4 2 3 4 3 2" xfId="25823" xr:uid="{00000000-0005-0000-0000-0000EA790000}"/>
    <cellStyle name="Normal 4 2 3 4 3 2 2" xfId="25824" xr:uid="{00000000-0005-0000-0000-0000EB790000}"/>
    <cellStyle name="Normal 4 2 3 4 3 3" xfId="25825" xr:uid="{00000000-0005-0000-0000-0000EC790000}"/>
    <cellStyle name="Normal 4 2 3 4 3 4" xfId="25826" xr:uid="{00000000-0005-0000-0000-0000ED790000}"/>
    <cellStyle name="Normal 4 2 3 4 3 5" xfId="39846" xr:uid="{00000000-0005-0000-0000-0000EE790000}"/>
    <cellStyle name="Normal 4 2 3 4 4" xfId="25827" xr:uid="{00000000-0005-0000-0000-0000EF790000}"/>
    <cellStyle name="Normal 4 2 3 4 4 2" xfId="25828" xr:uid="{00000000-0005-0000-0000-0000F0790000}"/>
    <cellStyle name="Normal 4 2 3 4 5" xfId="25829" xr:uid="{00000000-0005-0000-0000-0000F1790000}"/>
    <cellStyle name="Normal 4 2 3 4 6" xfId="25830" xr:uid="{00000000-0005-0000-0000-0000F2790000}"/>
    <cellStyle name="Normal 4 2 3 4 7" xfId="39844" xr:uid="{00000000-0005-0000-0000-0000F3790000}"/>
    <cellStyle name="Normal 4 2 3 4 8" xfId="42091" xr:uid="{19318394-B7F6-4A56-A311-D68643A9FEF8}"/>
    <cellStyle name="Normal 4 2 3 5" xfId="25831" xr:uid="{00000000-0005-0000-0000-0000F4790000}"/>
    <cellStyle name="Normal 4 2 3 5 2" xfId="25832" xr:uid="{00000000-0005-0000-0000-0000F5790000}"/>
    <cellStyle name="Normal 4 2 3 5 2 2" xfId="25833" xr:uid="{00000000-0005-0000-0000-0000F6790000}"/>
    <cellStyle name="Normal 4 2 3 5 2 2 2" xfId="25834" xr:uid="{00000000-0005-0000-0000-0000F7790000}"/>
    <cellStyle name="Normal 4 2 3 5 2 3" xfId="25835" xr:uid="{00000000-0005-0000-0000-0000F8790000}"/>
    <cellStyle name="Normal 4 2 3 5 2 4" xfId="25836" xr:uid="{00000000-0005-0000-0000-0000F9790000}"/>
    <cellStyle name="Normal 4 2 3 5 2 5" xfId="39848" xr:uid="{00000000-0005-0000-0000-0000FA790000}"/>
    <cellStyle name="Normal 4 2 3 5 3" xfId="25837" xr:uid="{00000000-0005-0000-0000-0000FB790000}"/>
    <cellStyle name="Normal 4 2 3 5 3 2" xfId="25838" xr:uid="{00000000-0005-0000-0000-0000FC790000}"/>
    <cellStyle name="Normal 4 2 3 5 4" xfId="25839" xr:uid="{00000000-0005-0000-0000-0000FD790000}"/>
    <cellStyle name="Normal 4 2 3 5 5" xfId="25840" xr:uid="{00000000-0005-0000-0000-0000FE790000}"/>
    <cellStyle name="Normal 4 2 3 5 6" xfId="39847" xr:uid="{00000000-0005-0000-0000-0000FF790000}"/>
    <cellStyle name="Normal 4 2 3 6" xfId="25841" xr:uid="{00000000-0005-0000-0000-0000007A0000}"/>
    <cellStyle name="Normal 4 2 3 6 2" xfId="25842" xr:uid="{00000000-0005-0000-0000-0000017A0000}"/>
    <cellStyle name="Normal 4 2 3 6 2 2" xfId="25843" xr:uid="{00000000-0005-0000-0000-0000027A0000}"/>
    <cellStyle name="Normal 4 2 3 6 3" xfId="25844" xr:uid="{00000000-0005-0000-0000-0000037A0000}"/>
    <cellStyle name="Normal 4 2 3 6 4" xfId="25845" xr:uid="{00000000-0005-0000-0000-0000047A0000}"/>
    <cellStyle name="Normal 4 2 3 6 5" xfId="39849" xr:uid="{00000000-0005-0000-0000-0000057A0000}"/>
    <cellStyle name="Normal 4 2 3 7" xfId="25846" xr:uid="{00000000-0005-0000-0000-0000067A0000}"/>
    <cellStyle name="Normal 4 2 3 7 2" xfId="25847" xr:uid="{00000000-0005-0000-0000-0000077A0000}"/>
    <cellStyle name="Normal 4 2 3 7 2 2" xfId="25848" xr:uid="{00000000-0005-0000-0000-0000087A0000}"/>
    <cellStyle name="Normal 4 2 3 7 3" xfId="25849" xr:uid="{00000000-0005-0000-0000-0000097A0000}"/>
    <cellStyle name="Normal 4 2 3 7 4" xfId="25850" xr:uid="{00000000-0005-0000-0000-00000A7A0000}"/>
    <cellStyle name="Normal 4 2 3 8" xfId="25851" xr:uid="{00000000-0005-0000-0000-00000B7A0000}"/>
    <cellStyle name="Normal 4 2 3 8 2" xfId="25852" xr:uid="{00000000-0005-0000-0000-00000C7A0000}"/>
    <cellStyle name="Normal 4 2 3 8 2 2" xfId="25853" xr:uid="{00000000-0005-0000-0000-00000D7A0000}"/>
    <cellStyle name="Normal 4 2 3 8 3" xfId="25854" xr:uid="{00000000-0005-0000-0000-00000E7A0000}"/>
    <cellStyle name="Normal 4 2 3 8 4" xfId="25855" xr:uid="{00000000-0005-0000-0000-00000F7A0000}"/>
    <cellStyle name="Normal 4 2 3 9" xfId="25856" xr:uid="{00000000-0005-0000-0000-0000107A0000}"/>
    <cellStyle name="Normal 4 2 3 9 2" xfId="25857" xr:uid="{00000000-0005-0000-0000-0000117A0000}"/>
    <cellStyle name="Normal 4 2 4" xfId="25858" xr:uid="{00000000-0005-0000-0000-0000127A0000}"/>
    <cellStyle name="Normal 4 2 4 10" xfId="25859" xr:uid="{00000000-0005-0000-0000-0000137A0000}"/>
    <cellStyle name="Normal 4 2 4 11" xfId="35418" xr:uid="{00000000-0005-0000-0000-0000147A0000}"/>
    <cellStyle name="Normal 4 2 4 2" xfId="25860" xr:uid="{00000000-0005-0000-0000-0000157A0000}"/>
    <cellStyle name="Normal 4 2 4 2 10" xfId="35419" xr:uid="{00000000-0005-0000-0000-0000167A0000}"/>
    <cellStyle name="Normal 4 2 4 2 2" xfId="25861" xr:uid="{00000000-0005-0000-0000-0000177A0000}"/>
    <cellStyle name="Normal 4 2 4 2 2 2" xfId="25862" xr:uid="{00000000-0005-0000-0000-0000187A0000}"/>
    <cellStyle name="Normal 4 2 4 2 2 2 2" xfId="25863" xr:uid="{00000000-0005-0000-0000-0000197A0000}"/>
    <cellStyle name="Normal 4 2 4 2 2 2 2 2" xfId="25864" xr:uid="{00000000-0005-0000-0000-00001A7A0000}"/>
    <cellStyle name="Normal 4 2 4 2 2 2 3" xfId="25865" xr:uid="{00000000-0005-0000-0000-00001B7A0000}"/>
    <cellStyle name="Normal 4 2 4 2 2 2 4" xfId="25866" xr:uid="{00000000-0005-0000-0000-00001C7A0000}"/>
    <cellStyle name="Normal 4 2 4 2 2 2 5" xfId="39851" xr:uid="{00000000-0005-0000-0000-00001D7A0000}"/>
    <cellStyle name="Normal 4 2 4 2 2 3" xfId="25867" xr:uid="{00000000-0005-0000-0000-00001E7A0000}"/>
    <cellStyle name="Normal 4 2 4 2 2 3 2" xfId="25868" xr:uid="{00000000-0005-0000-0000-00001F7A0000}"/>
    <cellStyle name="Normal 4 2 4 2 2 4" xfId="25869" xr:uid="{00000000-0005-0000-0000-0000207A0000}"/>
    <cellStyle name="Normal 4 2 4 2 2 5" xfId="25870" xr:uid="{00000000-0005-0000-0000-0000217A0000}"/>
    <cellStyle name="Normal 4 2 4 2 2 6" xfId="39850" xr:uid="{00000000-0005-0000-0000-0000227A0000}"/>
    <cellStyle name="Normal 4 2 4 2 3" xfId="25871" xr:uid="{00000000-0005-0000-0000-0000237A0000}"/>
    <cellStyle name="Normal 4 2 4 2 3 2" xfId="25872" xr:uid="{00000000-0005-0000-0000-0000247A0000}"/>
    <cellStyle name="Normal 4 2 4 2 3 2 2" xfId="25873" xr:uid="{00000000-0005-0000-0000-0000257A0000}"/>
    <cellStyle name="Normal 4 2 4 2 3 2 2 2" xfId="25874" xr:uid="{00000000-0005-0000-0000-0000267A0000}"/>
    <cellStyle name="Normal 4 2 4 2 3 2 3" xfId="25875" xr:uid="{00000000-0005-0000-0000-0000277A0000}"/>
    <cellStyle name="Normal 4 2 4 2 3 2 4" xfId="25876" xr:uid="{00000000-0005-0000-0000-0000287A0000}"/>
    <cellStyle name="Normal 4 2 4 2 3 2 5" xfId="39853" xr:uid="{00000000-0005-0000-0000-0000297A0000}"/>
    <cellStyle name="Normal 4 2 4 2 3 3" xfId="25877" xr:uid="{00000000-0005-0000-0000-00002A7A0000}"/>
    <cellStyle name="Normal 4 2 4 2 3 3 2" xfId="25878" xr:uid="{00000000-0005-0000-0000-00002B7A0000}"/>
    <cellStyle name="Normal 4 2 4 2 3 4" xfId="25879" xr:uid="{00000000-0005-0000-0000-00002C7A0000}"/>
    <cellStyle name="Normal 4 2 4 2 3 5" xfId="25880" xr:uid="{00000000-0005-0000-0000-00002D7A0000}"/>
    <cellStyle name="Normal 4 2 4 2 3 6" xfId="39852" xr:uid="{00000000-0005-0000-0000-00002E7A0000}"/>
    <cellStyle name="Normal 4 2 4 2 4" xfId="25881" xr:uid="{00000000-0005-0000-0000-00002F7A0000}"/>
    <cellStyle name="Normal 4 2 4 2 4 2" xfId="25882" xr:uid="{00000000-0005-0000-0000-0000307A0000}"/>
    <cellStyle name="Normal 4 2 4 2 4 2 2" xfId="25883" xr:uid="{00000000-0005-0000-0000-0000317A0000}"/>
    <cellStyle name="Normal 4 2 4 2 4 3" xfId="25884" xr:uid="{00000000-0005-0000-0000-0000327A0000}"/>
    <cellStyle name="Normal 4 2 4 2 4 4" xfId="25885" xr:uid="{00000000-0005-0000-0000-0000337A0000}"/>
    <cellStyle name="Normal 4 2 4 2 4 5" xfId="39854" xr:uid="{00000000-0005-0000-0000-0000347A0000}"/>
    <cellStyle name="Normal 4 2 4 2 5" xfId="25886" xr:uid="{00000000-0005-0000-0000-0000357A0000}"/>
    <cellStyle name="Normal 4 2 4 2 5 2" xfId="25887" xr:uid="{00000000-0005-0000-0000-0000367A0000}"/>
    <cellStyle name="Normal 4 2 4 2 5 2 2" xfId="25888" xr:uid="{00000000-0005-0000-0000-0000377A0000}"/>
    <cellStyle name="Normal 4 2 4 2 5 3" xfId="25889" xr:uid="{00000000-0005-0000-0000-0000387A0000}"/>
    <cellStyle name="Normal 4 2 4 2 5 4" xfId="25890" xr:uid="{00000000-0005-0000-0000-0000397A0000}"/>
    <cellStyle name="Normal 4 2 4 2 6" xfId="25891" xr:uid="{00000000-0005-0000-0000-00003A7A0000}"/>
    <cellStyle name="Normal 4 2 4 2 6 2" xfId="25892" xr:uid="{00000000-0005-0000-0000-00003B7A0000}"/>
    <cellStyle name="Normal 4 2 4 2 6 2 2" xfId="25893" xr:uid="{00000000-0005-0000-0000-00003C7A0000}"/>
    <cellStyle name="Normal 4 2 4 2 6 3" xfId="25894" xr:uid="{00000000-0005-0000-0000-00003D7A0000}"/>
    <cellStyle name="Normal 4 2 4 2 6 4" xfId="25895" xr:uid="{00000000-0005-0000-0000-00003E7A0000}"/>
    <cellStyle name="Normal 4 2 4 2 7" xfId="25896" xr:uid="{00000000-0005-0000-0000-00003F7A0000}"/>
    <cellStyle name="Normal 4 2 4 2 7 2" xfId="25897" xr:uid="{00000000-0005-0000-0000-0000407A0000}"/>
    <cellStyle name="Normal 4 2 4 2 8" xfId="25898" xr:uid="{00000000-0005-0000-0000-0000417A0000}"/>
    <cellStyle name="Normal 4 2 4 2 9" xfId="25899" xr:uid="{00000000-0005-0000-0000-0000427A0000}"/>
    <cellStyle name="Normal 4 2 4 3" xfId="25900" xr:uid="{00000000-0005-0000-0000-0000437A0000}"/>
    <cellStyle name="Normal 4 2 4 3 2" xfId="25901" xr:uid="{00000000-0005-0000-0000-0000447A0000}"/>
    <cellStyle name="Normal 4 2 4 3 2 2" xfId="25902" xr:uid="{00000000-0005-0000-0000-0000457A0000}"/>
    <cellStyle name="Normal 4 2 4 3 2 2 2" xfId="25903" xr:uid="{00000000-0005-0000-0000-0000467A0000}"/>
    <cellStyle name="Normal 4 2 4 3 2 3" xfId="25904" xr:uid="{00000000-0005-0000-0000-0000477A0000}"/>
    <cellStyle name="Normal 4 2 4 3 2 4" xfId="25905" xr:uid="{00000000-0005-0000-0000-0000487A0000}"/>
    <cellStyle name="Normal 4 2 4 3 2 5" xfId="39856" xr:uid="{00000000-0005-0000-0000-0000497A0000}"/>
    <cellStyle name="Normal 4 2 4 3 3" xfId="25906" xr:uid="{00000000-0005-0000-0000-00004A7A0000}"/>
    <cellStyle name="Normal 4 2 4 3 3 2" xfId="25907" xr:uid="{00000000-0005-0000-0000-00004B7A0000}"/>
    <cellStyle name="Normal 4 2 4 3 4" xfId="25908" xr:uid="{00000000-0005-0000-0000-00004C7A0000}"/>
    <cellStyle name="Normal 4 2 4 3 5" xfId="25909" xr:uid="{00000000-0005-0000-0000-00004D7A0000}"/>
    <cellStyle name="Normal 4 2 4 3 6" xfId="39855" xr:uid="{00000000-0005-0000-0000-00004E7A0000}"/>
    <cellStyle name="Normal 4 2 4 4" xfId="25910" xr:uid="{00000000-0005-0000-0000-00004F7A0000}"/>
    <cellStyle name="Normal 4 2 4 4 2" xfId="25911" xr:uid="{00000000-0005-0000-0000-0000507A0000}"/>
    <cellStyle name="Normal 4 2 4 4 2 2" xfId="25912" xr:uid="{00000000-0005-0000-0000-0000517A0000}"/>
    <cellStyle name="Normal 4 2 4 4 2 2 2" xfId="25913" xr:uid="{00000000-0005-0000-0000-0000527A0000}"/>
    <cellStyle name="Normal 4 2 4 4 2 3" xfId="25914" xr:uid="{00000000-0005-0000-0000-0000537A0000}"/>
    <cellStyle name="Normal 4 2 4 4 2 4" xfId="25915" xr:uid="{00000000-0005-0000-0000-0000547A0000}"/>
    <cellStyle name="Normal 4 2 4 4 2 5" xfId="39858" xr:uid="{00000000-0005-0000-0000-0000557A0000}"/>
    <cellStyle name="Normal 4 2 4 4 3" xfId="25916" xr:uid="{00000000-0005-0000-0000-0000567A0000}"/>
    <cellStyle name="Normal 4 2 4 4 3 2" xfId="25917" xr:uid="{00000000-0005-0000-0000-0000577A0000}"/>
    <cellStyle name="Normal 4 2 4 4 4" xfId="25918" xr:uid="{00000000-0005-0000-0000-0000587A0000}"/>
    <cellStyle name="Normal 4 2 4 4 5" xfId="25919" xr:uid="{00000000-0005-0000-0000-0000597A0000}"/>
    <cellStyle name="Normal 4 2 4 4 6" xfId="39857" xr:uid="{00000000-0005-0000-0000-00005A7A0000}"/>
    <cellStyle name="Normal 4 2 4 5" xfId="25920" xr:uid="{00000000-0005-0000-0000-00005B7A0000}"/>
    <cellStyle name="Normal 4 2 4 5 2" xfId="25921" xr:uid="{00000000-0005-0000-0000-00005C7A0000}"/>
    <cellStyle name="Normal 4 2 4 5 2 2" xfId="25922" xr:uid="{00000000-0005-0000-0000-00005D7A0000}"/>
    <cellStyle name="Normal 4 2 4 5 3" xfId="25923" xr:uid="{00000000-0005-0000-0000-00005E7A0000}"/>
    <cellStyle name="Normal 4 2 4 5 4" xfId="25924" xr:uid="{00000000-0005-0000-0000-00005F7A0000}"/>
    <cellStyle name="Normal 4 2 4 5 5" xfId="39859" xr:uid="{00000000-0005-0000-0000-0000607A0000}"/>
    <cellStyle name="Normal 4 2 4 6" xfId="25925" xr:uid="{00000000-0005-0000-0000-0000617A0000}"/>
    <cellStyle name="Normal 4 2 4 6 2" xfId="25926" xr:uid="{00000000-0005-0000-0000-0000627A0000}"/>
    <cellStyle name="Normal 4 2 4 6 2 2" xfId="25927" xr:uid="{00000000-0005-0000-0000-0000637A0000}"/>
    <cellStyle name="Normal 4 2 4 6 3" xfId="25928" xr:uid="{00000000-0005-0000-0000-0000647A0000}"/>
    <cellStyle name="Normal 4 2 4 6 4" xfId="25929" xr:uid="{00000000-0005-0000-0000-0000657A0000}"/>
    <cellStyle name="Normal 4 2 4 7" xfId="25930" xr:uid="{00000000-0005-0000-0000-0000667A0000}"/>
    <cellStyle name="Normal 4 2 4 7 2" xfId="25931" xr:uid="{00000000-0005-0000-0000-0000677A0000}"/>
    <cellStyle name="Normal 4 2 4 7 2 2" xfId="25932" xr:uid="{00000000-0005-0000-0000-0000687A0000}"/>
    <cellStyle name="Normal 4 2 4 7 3" xfId="25933" xr:uid="{00000000-0005-0000-0000-0000697A0000}"/>
    <cellStyle name="Normal 4 2 4 7 4" xfId="25934" xr:uid="{00000000-0005-0000-0000-00006A7A0000}"/>
    <cellStyle name="Normal 4 2 4 8" xfId="25935" xr:uid="{00000000-0005-0000-0000-00006B7A0000}"/>
    <cellStyle name="Normal 4 2 4 8 2" xfId="25936" xr:uid="{00000000-0005-0000-0000-00006C7A0000}"/>
    <cellStyle name="Normal 4 2 4 9" xfId="25937" xr:uid="{00000000-0005-0000-0000-00006D7A0000}"/>
    <cellStyle name="Normal 4 2 5" xfId="25938" xr:uid="{00000000-0005-0000-0000-00006E7A0000}"/>
    <cellStyle name="Normal 4 2 5 10" xfId="35420" xr:uid="{00000000-0005-0000-0000-00006F7A0000}"/>
    <cellStyle name="Normal 4 2 5 2" xfId="25939" xr:uid="{00000000-0005-0000-0000-0000707A0000}"/>
    <cellStyle name="Normal 4 2 5 2 2" xfId="25940" xr:uid="{00000000-0005-0000-0000-0000717A0000}"/>
    <cellStyle name="Normal 4 2 5 2 2 2" xfId="25941" xr:uid="{00000000-0005-0000-0000-0000727A0000}"/>
    <cellStyle name="Normal 4 2 5 2 2 2 2" xfId="25942" xr:uid="{00000000-0005-0000-0000-0000737A0000}"/>
    <cellStyle name="Normal 4 2 5 2 2 3" xfId="25943" xr:uid="{00000000-0005-0000-0000-0000747A0000}"/>
    <cellStyle name="Normal 4 2 5 2 2 4" xfId="25944" xr:uid="{00000000-0005-0000-0000-0000757A0000}"/>
    <cellStyle name="Normal 4 2 5 2 2 5" xfId="39861" xr:uid="{00000000-0005-0000-0000-0000767A0000}"/>
    <cellStyle name="Normal 4 2 5 2 3" xfId="25945" xr:uid="{00000000-0005-0000-0000-0000777A0000}"/>
    <cellStyle name="Normal 4 2 5 2 3 2" xfId="25946" xr:uid="{00000000-0005-0000-0000-0000787A0000}"/>
    <cellStyle name="Normal 4 2 5 2 4" xfId="25947" xr:uid="{00000000-0005-0000-0000-0000797A0000}"/>
    <cellStyle name="Normal 4 2 5 2 5" xfId="25948" xr:uid="{00000000-0005-0000-0000-00007A7A0000}"/>
    <cellStyle name="Normal 4 2 5 2 6" xfId="39860" xr:uid="{00000000-0005-0000-0000-00007B7A0000}"/>
    <cellStyle name="Normal 4 2 5 3" xfId="25949" xr:uid="{00000000-0005-0000-0000-00007C7A0000}"/>
    <cellStyle name="Normal 4 2 5 3 2" xfId="25950" xr:uid="{00000000-0005-0000-0000-00007D7A0000}"/>
    <cellStyle name="Normal 4 2 5 3 2 2" xfId="25951" xr:uid="{00000000-0005-0000-0000-00007E7A0000}"/>
    <cellStyle name="Normal 4 2 5 3 2 2 2" xfId="25952" xr:uid="{00000000-0005-0000-0000-00007F7A0000}"/>
    <cellStyle name="Normal 4 2 5 3 2 3" xfId="25953" xr:uid="{00000000-0005-0000-0000-0000807A0000}"/>
    <cellStyle name="Normal 4 2 5 3 2 4" xfId="25954" xr:uid="{00000000-0005-0000-0000-0000817A0000}"/>
    <cellStyle name="Normal 4 2 5 3 2 5" xfId="39863" xr:uid="{00000000-0005-0000-0000-0000827A0000}"/>
    <cellStyle name="Normal 4 2 5 3 3" xfId="25955" xr:uid="{00000000-0005-0000-0000-0000837A0000}"/>
    <cellStyle name="Normal 4 2 5 3 3 2" xfId="25956" xr:uid="{00000000-0005-0000-0000-0000847A0000}"/>
    <cellStyle name="Normal 4 2 5 3 4" xfId="25957" xr:uid="{00000000-0005-0000-0000-0000857A0000}"/>
    <cellStyle name="Normal 4 2 5 3 5" xfId="25958" xr:uid="{00000000-0005-0000-0000-0000867A0000}"/>
    <cellStyle name="Normal 4 2 5 3 6" xfId="39862" xr:uid="{00000000-0005-0000-0000-0000877A0000}"/>
    <cellStyle name="Normal 4 2 5 4" xfId="25959" xr:uid="{00000000-0005-0000-0000-0000887A0000}"/>
    <cellStyle name="Normal 4 2 5 4 2" xfId="25960" xr:uid="{00000000-0005-0000-0000-0000897A0000}"/>
    <cellStyle name="Normal 4 2 5 4 2 2" xfId="25961" xr:uid="{00000000-0005-0000-0000-00008A7A0000}"/>
    <cellStyle name="Normal 4 2 5 4 3" xfId="25962" xr:uid="{00000000-0005-0000-0000-00008B7A0000}"/>
    <cellStyle name="Normal 4 2 5 4 4" xfId="25963" xr:uid="{00000000-0005-0000-0000-00008C7A0000}"/>
    <cellStyle name="Normal 4 2 5 4 5" xfId="39864" xr:uid="{00000000-0005-0000-0000-00008D7A0000}"/>
    <cellStyle name="Normal 4 2 5 5" xfId="25964" xr:uid="{00000000-0005-0000-0000-00008E7A0000}"/>
    <cellStyle name="Normal 4 2 5 5 2" xfId="25965" xr:uid="{00000000-0005-0000-0000-00008F7A0000}"/>
    <cellStyle name="Normal 4 2 5 5 2 2" xfId="25966" xr:uid="{00000000-0005-0000-0000-0000907A0000}"/>
    <cellStyle name="Normal 4 2 5 5 3" xfId="25967" xr:uid="{00000000-0005-0000-0000-0000917A0000}"/>
    <cellStyle name="Normal 4 2 5 5 4" xfId="25968" xr:uid="{00000000-0005-0000-0000-0000927A0000}"/>
    <cellStyle name="Normal 4 2 5 6" xfId="25969" xr:uid="{00000000-0005-0000-0000-0000937A0000}"/>
    <cellStyle name="Normal 4 2 5 6 2" xfId="25970" xr:uid="{00000000-0005-0000-0000-0000947A0000}"/>
    <cellStyle name="Normal 4 2 5 6 2 2" xfId="25971" xr:uid="{00000000-0005-0000-0000-0000957A0000}"/>
    <cellStyle name="Normal 4 2 5 6 3" xfId="25972" xr:uid="{00000000-0005-0000-0000-0000967A0000}"/>
    <cellStyle name="Normal 4 2 5 6 4" xfId="25973" xr:uid="{00000000-0005-0000-0000-0000977A0000}"/>
    <cellStyle name="Normal 4 2 5 7" xfId="25974" xr:uid="{00000000-0005-0000-0000-0000987A0000}"/>
    <cellStyle name="Normal 4 2 5 7 2" xfId="25975" xr:uid="{00000000-0005-0000-0000-0000997A0000}"/>
    <cellStyle name="Normal 4 2 5 8" xfId="25976" xr:uid="{00000000-0005-0000-0000-00009A7A0000}"/>
    <cellStyle name="Normal 4 2 5 9" xfId="25977" xr:uid="{00000000-0005-0000-0000-00009B7A0000}"/>
    <cellStyle name="Normal 4 2 6" xfId="25978" xr:uid="{00000000-0005-0000-0000-00009C7A0000}"/>
    <cellStyle name="Normal 4 2 6 2" xfId="25979" xr:uid="{00000000-0005-0000-0000-00009D7A0000}"/>
    <cellStyle name="Normal 4 2 6 2 2" xfId="25980" xr:uid="{00000000-0005-0000-0000-00009E7A0000}"/>
    <cellStyle name="Normal 4 2 6 2 2 2" xfId="25981" xr:uid="{00000000-0005-0000-0000-00009F7A0000}"/>
    <cellStyle name="Normal 4 2 6 2 2 2 2" xfId="25982" xr:uid="{00000000-0005-0000-0000-0000A07A0000}"/>
    <cellStyle name="Normal 4 2 6 2 2 3" xfId="25983" xr:uid="{00000000-0005-0000-0000-0000A17A0000}"/>
    <cellStyle name="Normal 4 2 6 2 2 4" xfId="25984" xr:uid="{00000000-0005-0000-0000-0000A27A0000}"/>
    <cellStyle name="Normal 4 2 6 2 2 5" xfId="39866" xr:uid="{00000000-0005-0000-0000-0000A37A0000}"/>
    <cellStyle name="Normal 4 2 6 2 3" xfId="25985" xr:uid="{00000000-0005-0000-0000-0000A47A0000}"/>
    <cellStyle name="Normal 4 2 6 2 3 2" xfId="25986" xr:uid="{00000000-0005-0000-0000-0000A57A0000}"/>
    <cellStyle name="Normal 4 2 6 2 4" xfId="25987" xr:uid="{00000000-0005-0000-0000-0000A67A0000}"/>
    <cellStyle name="Normal 4 2 6 2 5" xfId="25988" xr:uid="{00000000-0005-0000-0000-0000A77A0000}"/>
    <cellStyle name="Normal 4 2 6 2 6" xfId="39865" xr:uid="{00000000-0005-0000-0000-0000A87A0000}"/>
    <cellStyle name="Normal 4 2 6 3" xfId="25989" xr:uid="{00000000-0005-0000-0000-0000A97A0000}"/>
    <cellStyle name="Normal 4 2 6 3 2" xfId="25990" xr:uid="{00000000-0005-0000-0000-0000AA7A0000}"/>
    <cellStyle name="Normal 4 2 6 3 2 2" xfId="25991" xr:uid="{00000000-0005-0000-0000-0000AB7A0000}"/>
    <cellStyle name="Normal 4 2 6 3 3" xfId="25992" xr:uid="{00000000-0005-0000-0000-0000AC7A0000}"/>
    <cellStyle name="Normal 4 2 6 3 4" xfId="25993" xr:uid="{00000000-0005-0000-0000-0000AD7A0000}"/>
    <cellStyle name="Normal 4 2 6 3 5" xfId="39867" xr:uid="{00000000-0005-0000-0000-0000AE7A0000}"/>
    <cellStyle name="Normal 4 2 6 4" xfId="25994" xr:uid="{00000000-0005-0000-0000-0000AF7A0000}"/>
    <cellStyle name="Normal 4 2 6 4 2" xfId="25995" xr:uid="{00000000-0005-0000-0000-0000B07A0000}"/>
    <cellStyle name="Normal 4 2 6 4 2 2" xfId="25996" xr:uid="{00000000-0005-0000-0000-0000B17A0000}"/>
    <cellStyle name="Normal 4 2 6 4 3" xfId="25997" xr:uid="{00000000-0005-0000-0000-0000B27A0000}"/>
    <cellStyle name="Normal 4 2 6 4 4" xfId="25998" xr:uid="{00000000-0005-0000-0000-0000B37A0000}"/>
    <cellStyle name="Normal 4 2 6 5" xfId="25999" xr:uid="{00000000-0005-0000-0000-0000B47A0000}"/>
    <cellStyle name="Normal 4 2 6 5 2" xfId="26000" xr:uid="{00000000-0005-0000-0000-0000B57A0000}"/>
    <cellStyle name="Normal 4 2 6 6" xfId="26001" xr:uid="{00000000-0005-0000-0000-0000B67A0000}"/>
    <cellStyle name="Normal 4 2 6 7" xfId="26002" xr:uid="{00000000-0005-0000-0000-0000B77A0000}"/>
    <cellStyle name="Normal 4 2 6 8" xfId="35421" xr:uid="{00000000-0005-0000-0000-0000B87A0000}"/>
    <cellStyle name="Normal 4 2 7" xfId="26003" xr:uid="{00000000-0005-0000-0000-0000B97A0000}"/>
    <cellStyle name="Normal 4 2 7 2" xfId="26004" xr:uid="{00000000-0005-0000-0000-0000BA7A0000}"/>
    <cellStyle name="Normal 4 2 7 2 2" xfId="26005" xr:uid="{00000000-0005-0000-0000-0000BB7A0000}"/>
    <cellStyle name="Normal 4 2 7 2 2 2" xfId="26006" xr:uid="{00000000-0005-0000-0000-0000BC7A0000}"/>
    <cellStyle name="Normal 4 2 7 2 3" xfId="26007" xr:uid="{00000000-0005-0000-0000-0000BD7A0000}"/>
    <cellStyle name="Normal 4 2 7 2 4" xfId="26008" xr:uid="{00000000-0005-0000-0000-0000BE7A0000}"/>
    <cellStyle name="Normal 4 2 7 2 5" xfId="39868" xr:uid="{00000000-0005-0000-0000-0000BF7A0000}"/>
    <cellStyle name="Normal 4 2 8" xfId="26009" xr:uid="{00000000-0005-0000-0000-0000C07A0000}"/>
    <cellStyle name="Normal 4 2 8 2" xfId="26010" xr:uid="{00000000-0005-0000-0000-0000C17A0000}"/>
    <cellStyle name="Normal 4 2 8 2 2" xfId="26011" xr:uid="{00000000-0005-0000-0000-0000C27A0000}"/>
    <cellStyle name="Normal 4 2 8 2 2 2" xfId="26012" xr:uid="{00000000-0005-0000-0000-0000C37A0000}"/>
    <cellStyle name="Normal 4 2 8 2 3" xfId="26013" xr:uid="{00000000-0005-0000-0000-0000C47A0000}"/>
    <cellStyle name="Normal 4 2 8 2 4" xfId="26014" xr:uid="{00000000-0005-0000-0000-0000C57A0000}"/>
    <cellStyle name="Normal 4 2 8 2 5" xfId="39870" xr:uid="{00000000-0005-0000-0000-0000C67A0000}"/>
    <cellStyle name="Normal 4 2 8 3" xfId="26015" xr:uid="{00000000-0005-0000-0000-0000C77A0000}"/>
    <cellStyle name="Normal 4 2 8 4" xfId="26016" xr:uid="{00000000-0005-0000-0000-0000C87A0000}"/>
    <cellStyle name="Normal 4 2 8 4 2" xfId="26017" xr:uid="{00000000-0005-0000-0000-0000C97A0000}"/>
    <cellStyle name="Normal 4 2 8 5" xfId="26018" xr:uid="{00000000-0005-0000-0000-0000CA7A0000}"/>
    <cellStyle name="Normal 4 2 8 6" xfId="26019" xr:uid="{00000000-0005-0000-0000-0000CB7A0000}"/>
    <cellStyle name="Normal 4 2 8 7" xfId="39869" xr:uid="{00000000-0005-0000-0000-0000CC7A0000}"/>
    <cellStyle name="Normal 4 2 9" xfId="26020" xr:uid="{00000000-0005-0000-0000-0000CD7A0000}"/>
    <cellStyle name="Normal 4 2 9 2" xfId="26021" xr:uid="{00000000-0005-0000-0000-0000CE7A0000}"/>
    <cellStyle name="Normal 4 2 9 3" xfId="26022" xr:uid="{00000000-0005-0000-0000-0000CF7A0000}"/>
    <cellStyle name="Normal 4 2 9 3 2" xfId="26023" xr:uid="{00000000-0005-0000-0000-0000D07A0000}"/>
    <cellStyle name="Normal 4 2 9 4" xfId="26024" xr:uid="{00000000-0005-0000-0000-0000D17A0000}"/>
    <cellStyle name="Normal 4 2 9 5" xfId="26025" xr:uid="{00000000-0005-0000-0000-0000D27A0000}"/>
    <cellStyle name="Normal 4 3" xfId="26026" xr:uid="{00000000-0005-0000-0000-0000D37A0000}"/>
    <cellStyle name="Normal 4 3 2" xfId="26027" xr:uid="{00000000-0005-0000-0000-0000D47A0000}"/>
    <cellStyle name="Normal 4 3 2 2" xfId="26028" xr:uid="{00000000-0005-0000-0000-0000D57A0000}"/>
    <cellStyle name="Normal 4 3 2 2 2" xfId="26029" xr:uid="{00000000-0005-0000-0000-0000D67A0000}"/>
    <cellStyle name="Normal 4 3 2 2 2 2" xfId="26030" xr:uid="{00000000-0005-0000-0000-0000D77A0000}"/>
    <cellStyle name="Normal 4 3 2 2 3" xfId="26031" xr:uid="{00000000-0005-0000-0000-0000D87A0000}"/>
    <cellStyle name="Normal 4 3 2 2 4" xfId="26032" xr:uid="{00000000-0005-0000-0000-0000D97A0000}"/>
    <cellStyle name="Normal 4 3 2 2 5" xfId="39871" xr:uid="{00000000-0005-0000-0000-0000DA7A0000}"/>
    <cellStyle name="Normal 4 3 2 2 6" xfId="42171" xr:uid="{522424CB-D9FF-4E27-996C-96950F07FE57}"/>
    <cellStyle name="Normal 4 3 2 3" xfId="42102" xr:uid="{847B6CDC-B0F8-48EB-A524-2FE6EA4B4D3B}"/>
    <cellStyle name="Normal 4 3 2 4" xfId="42030" xr:uid="{15143309-A05A-4F10-9DF5-C7D26C08AF9F}"/>
    <cellStyle name="Normal 4 3 3" xfId="26033" xr:uid="{00000000-0005-0000-0000-0000DB7A0000}"/>
    <cellStyle name="Normal 4 3 3 2" xfId="26034" xr:uid="{00000000-0005-0000-0000-0000DC7A0000}"/>
    <cellStyle name="Normal 4 3 3 2 2" xfId="26035" xr:uid="{00000000-0005-0000-0000-0000DD7A0000}"/>
    <cellStyle name="Normal 4 3 3 2 2 2" xfId="26036" xr:uid="{00000000-0005-0000-0000-0000DE7A0000}"/>
    <cellStyle name="Normal 4 3 3 2 3" xfId="26037" xr:uid="{00000000-0005-0000-0000-0000DF7A0000}"/>
    <cellStyle name="Normal 4 3 3 2 4" xfId="26038" xr:uid="{00000000-0005-0000-0000-0000E07A0000}"/>
    <cellStyle name="Normal 4 3 3 2 5" xfId="39872" xr:uid="{00000000-0005-0000-0000-0000E17A0000}"/>
    <cellStyle name="Normal 4 3 3 2 6" xfId="42130" xr:uid="{725E77CB-42E5-4DC7-BD62-8F969B94D12D}"/>
    <cellStyle name="Normal 4 3 3 3" xfId="41966" xr:uid="{5B1CE3DF-D84F-416F-9E8D-DAE5F66C1D0A}"/>
    <cellStyle name="Normal 4 3 4" xfId="26039" xr:uid="{00000000-0005-0000-0000-0000E27A0000}"/>
    <cellStyle name="Normal 4 3 4 2" xfId="26040" xr:uid="{00000000-0005-0000-0000-0000E37A0000}"/>
    <cellStyle name="Normal 4 3 4 2 2" xfId="26041" xr:uid="{00000000-0005-0000-0000-0000E47A0000}"/>
    <cellStyle name="Normal 4 3 4 2 3" xfId="39874" xr:uid="{00000000-0005-0000-0000-0000E57A0000}"/>
    <cellStyle name="Normal 4 3 4 3" xfId="26042" xr:uid="{00000000-0005-0000-0000-0000E67A0000}"/>
    <cellStyle name="Normal 4 3 4 4" xfId="26043" xr:uid="{00000000-0005-0000-0000-0000E77A0000}"/>
    <cellStyle name="Normal 4 3 4 5" xfId="39873" xr:uid="{00000000-0005-0000-0000-0000E87A0000}"/>
    <cellStyle name="Normal 4 3 4 6" xfId="42083" xr:uid="{F3DB5FE9-CF18-4BB7-9656-D67B203EFCE4}"/>
    <cellStyle name="Normal 4 3 5" xfId="26044" xr:uid="{00000000-0005-0000-0000-0000E97A0000}"/>
    <cellStyle name="Normal 4 3 5 2" xfId="26045" xr:uid="{00000000-0005-0000-0000-0000EA7A0000}"/>
    <cellStyle name="Normal 4 3 5 2 2" xfId="26046" xr:uid="{00000000-0005-0000-0000-0000EB7A0000}"/>
    <cellStyle name="Normal 4 3 5 3" xfId="26047" xr:uid="{00000000-0005-0000-0000-0000EC7A0000}"/>
    <cellStyle name="Normal 4 3 5 4" xfId="26048" xr:uid="{00000000-0005-0000-0000-0000ED7A0000}"/>
    <cellStyle name="Normal 4 3 5 5" xfId="42346" xr:uid="{D416D635-A419-48F8-8269-014C0723D8BB}"/>
    <cellStyle name="Normal 4 3 6" xfId="41911" xr:uid="{6A45497F-19B8-42B3-9740-8FC2075F3C45}"/>
    <cellStyle name="Normal 4 4" xfId="26049" xr:uid="{00000000-0005-0000-0000-0000EE7A0000}"/>
    <cellStyle name="Normal 4 4 10" xfId="26050" xr:uid="{00000000-0005-0000-0000-0000EF7A0000}"/>
    <cellStyle name="Normal 4 4 10 2" xfId="26051" xr:uid="{00000000-0005-0000-0000-0000F07A0000}"/>
    <cellStyle name="Normal 4 4 11" xfId="26052" xr:uid="{00000000-0005-0000-0000-0000F17A0000}"/>
    <cellStyle name="Normal 4 4 12" xfId="26053" xr:uid="{00000000-0005-0000-0000-0000F27A0000}"/>
    <cellStyle name="Normal 4 4 13" xfId="35422" xr:uid="{00000000-0005-0000-0000-0000F37A0000}"/>
    <cellStyle name="Normal 4 4 14" xfId="42025" xr:uid="{60225E6D-83D7-4950-A0DB-514F37962D04}"/>
    <cellStyle name="Normal 4 4 2" xfId="26054" xr:uid="{00000000-0005-0000-0000-0000F47A0000}"/>
    <cellStyle name="Normal 4 4 2 10" xfId="26055" xr:uid="{00000000-0005-0000-0000-0000F57A0000}"/>
    <cellStyle name="Normal 4 4 2 11" xfId="26056" xr:uid="{00000000-0005-0000-0000-0000F67A0000}"/>
    <cellStyle name="Normal 4 4 2 12" xfId="35423" xr:uid="{00000000-0005-0000-0000-0000F77A0000}"/>
    <cellStyle name="Normal 4 4 2 2" xfId="26057" xr:uid="{00000000-0005-0000-0000-0000F87A0000}"/>
    <cellStyle name="Normal 4 4 2 2 10" xfId="26058" xr:uid="{00000000-0005-0000-0000-0000F97A0000}"/>
    <cellStyle name="Normal 4 4 2 2 11" xfId="35424" xr:uid="{00000000-0005-0000-0000-0000FA7A0000}"/>
    <cellStyle name="Normal 4 4 2 2 2" xfId="26059" xr:uid="{00000000-0005-0000-0000-0000FB7A0000}"/>
    <cellStyle name="Normal 4 4 2 2 2 10" xfId="35425" xr:uid="{00000000-0005-0000-0000-0000FC7A0000}"/>
    <cellStyle name="Normal 4 4 2 2 2 2" xfId="26060" xr:uid="{00000000-0005-0000-0000-0000FD7A0000}"/>
    <cellStyle name="Normal 4 4 2 2 2 2 2" xfId="26061" xr:uid="{00000000-0005-0000-0000-0000FE7A0000}"/>
    <cellStyle name="Normal 4 4 2 2 2 2 2 2" xfId="26062" xr:uid="{00000000-0005-0000-0000-0000FF7A0000}"/>
    <cellStyle name="Normal 4 4 2 2 2 2 2 2 2" xfId="26063" xr:uid="{00000000-0005-0000-0000-0000007B0000}"/>
    <cellStyle name="Normal 4 4 2 2 2 2 2 3" xfId="26064" xr:uid="{00000000-0005-0000-0000-0000017B0000}"/>
    <cellStyle name="Normal 4 4 2 2 2 2 2 4" xfId="26065" xr:uid="{00000000-0005-0000-0000-0000027B0000}"/>
    <cellStyle name="Normal 4 4 2 2 2 2 2 5" xfId="39876" xr:uid="{00000000-0005-0000-0000-0000037B0000}"/>
    <cellStyle name="Normal 4 4 2 2 2 2 3" xfId="26066" xr:uid="{00000000-0005-0000-0000-0000047B0000}"/>
    <cellStyle name="Normal 4 4 2 2 2 2 3 2" xfId="26067" xr:uid="{00000000-0005-0000-0000-0000057B0000}"/>
    <cellStyle name="Normal 4 4 2 2 2 2 4" xfId="26068" xr:uid="{00000000-0005-0000-0000-0000067B0000}"/>
    <cellStyle name="Normal 4 4 2 2 2 2 5" xfId="26069" xr:uid="{00000000-0005-0000-0000-0000077B0000}"/>
    <cellStyle name="Normal 4 4 2 2 2 2 6" xfId="39875" xr:uid="{00000000-0005-0000-0000-0000087B0000}"/>
    <cellStyle name="Normal 4 4 2 2 2 3" xfId="26070" xr:uid="{00000000-0005-0000-0000-0000097B0000}"/>
    <cellStyle name="Normal 4 4 2 2 2 3 2" xfId="26071" xr:uid="{00000000-0005-0000-0000-00000A7B0000}"/>
    <cellStyle name="Normal 4 4 2 2 2 3 2 2" xfId="26072" xr:uid="{00000000-0005-0000-0000-00000B7B0000}"/>
    <cellStyle name="Normal 4 4 2 2 2 3 2 2 2" xfId="26073" xr:uid="{00000000-0005-0000-0000-00000C7B0000}"/>
    <cellStyle name="Normal 4 4 2 2 2 3 2 3" xfId="26074" xr:uid="{00000000-0005-0000-0000-00000D7B0000}"/>
    <cellStyle name="Normal 4 4 2 2 2 3 2 4" xfId="26075" xr:uid="{00000000-0005-0000-0000-00000E7B0000}"/>
    <cellStyle name="Normal 4 4 2 2 2 3 2 5" xfId="39878" xr:uid="{00000000-0005-0000-0000-00000F7B0000}"/>
    <cellStyle name="Normal 4 4 2 2 2 3 3" xfId="26076" xr:uid="{00000000-0005-0000-0000-0000107B0000}"/>
    <cellStyle name="Normal 4 4 2 2 2 3 3 2" xfId="26077" xr:uid="{00000000-0005-0000-0000-0000117B0000}"/>
    <cellStyle name="Normal 4 4 2 2 2 3 4" xfId="26078" xr:uid="{00000000-0005-0000-0000-0000127B0000}"/>
    <cellStyle name="Normal 4 4 2 2 2 3 5" xfId="26079" xr:uid="{00000000-0005-0000-0000-0000137B0000}"/>
    <cellStyle name="Normal 4 4 2 2 2 3 6" xfId="39877" xr:uid="{00000000-0005-0000-0000-0000147B0000}"/>
    <cellStyle name="Normal 4 4 2 2 2 4" xfId="26080" xr:uid="{00000000-0005-0000-0000-0000157B0000}"/>
    <cellStyle name="Normal 4 4 2 2 2 4 2" xfId="26081" xr:uid="{00000000-0005-0000-0000-0000167B0000}"/>
    <cellStyle name="Normal 4 4 2 2 2 4 2 2" xfId="26082" xr:uid="{00000000-0005-0000-0000-0000177B0000}"/>
    <cellStyle name="Normal 4 4 2 2 2 4 3" xfId="26083" xr:uid="{00000000-0005-0000-0000-0000187B0000}"/>
    <cellStyle name="Normal 4 4 2 2 2 4 4" xfId="26084" xr:uid="{00000000-0005-0000-0000-0000197B0000}"/>
    <cellStyle name="Normal 4 4 2 2 2 4 5" xfId="39879" xr:uid="{00000000-0005-0000-0000-00001A7B0000}"/>
    <cellStyle name="Normal 4 4 2 2 2 5" xfId="26085" xr:uid="{00000000-0005-0000-0000-00001B7B0000}"/>
    <cellStyle name="Normal 4 4 2 2 2 5 2" xfId="26086" xr:uid="{00000000-0005-0000-0000-00001C7B0000}"/>
    <cellStyle name="Normal 4 4 2 2 2 5 2 2" xfId="26087" xr:uid="{00000000-0005-0000-0000-00001D7B0000}"/>
    <cellStyle name="Normal 4 4 2 2 2 5 3" xfId="26088" xr:uid="{00000000-0005-0000-0000-00001E7B0000}"/>
    <cellStyle name="Normal 4 4 2 2 2 5 4" xfId="26089" xr:uid="{00000000-0005-0000-0000-00001F7B0000}"/>
    <cellStyle name="Normal 4 4 2 2 2 6" xfId="26090" xr:uid="{00000000-0005-0000-0000-0000207B0000}"/>
    <cellStyle name="Normal 4 4 2 2 2 6 2" xfId="26091" xr:uid="{00000000-0005-0000-0000-0000217B0000}"/>
    <cellStyle name="Normal 4 4 2 2 2 6 2 2" xfId="26092" xr:uid="{00000000-0005-0000-0000-0000227B0000}"/>
    <cellStyle name="Normal 4 4 2 2 2 6 3" xfId="26093" xr:uid="{00000000-0005-0000-0000-0000237B0000}"/>
    <cellStyle name="Normal 4 4 2 2 2 6 4" xfId="26094" xr:uid="{00000000-0005-0000-0000-0000247B0000}"/>
    <cellStyle name="Normal 4 4 2 2 2 7" xfId="26095" xr:uid="{00000000-0005-0000-0000-0000257B0000}"/>
    <cellStyle name="Normal 4 4 2 2 2 7 2" xfId="26096" xr:uid="{00000000-0005-0000-0000-0000267B0000}"/>
    <cellStyle name="Normal 4 4 2 2 2 8" xfId="26097" xr:uid="{00000000-0005-0000-0000-0000277B0000}"/>
    <cellStyle name="Normal 4 4 2 2 2 9" xfId="26098" xr:uid="{00000000-0005-0000-0000-0000287B0000}"/>
    <cellStyle name="Normal 4 4 2 2 3" xfId="26099" xr:uid="{00000000-0005-0000-0000-0000297B0000}"/>
    <cellStyle name="Normal 4 4 2 2 3 2" xfId="26100" xr:uid="{00000000-0005-0000-0000-00002A7B0000}"/>
    <cellStyle name="Normal 4 4 2 2 3 2 2" xfId="26101" xr:uid="{00000000-0005-0000-0000-00002B7B0000}"/>
    <cellStyle name="Normal 4 4 2 2 3 2 2 2" xfId="26102" xr:uid="{00000000-0005-0000-0000-00002C7B0000}"/>
    <cellStyle name="Normal 4 4 2 2 3 2 3" xfId="26103" xr:uid="{00000000-0005-0000-0000-00002D7B0000}"/>
    <cellStyle name="Normal 4 4 2 2 3 2 4" xfId="26104" xr:uid="{00000000-0005-0000-0000-00002E7B0000}"/>
    <cellStyle name="Normal 4 4 2 2 3 2 5" xfId="39881" xr:uid="{00000000-0005-0000-0000-00002F7B0000}"/>
    <cellStyle name="Normal 4 4 2 2 3 3" xfId="26105" xr:uid="{00000000-0005-0000-0000-0000307B0000}"/>
    <cellStyle name="Normal 4 4 2 2 3 3 2" xfId="26106" xr:uid="{00000000-0005-0000-0000-0000317B0000}"/>
    <cellStyle name="Normal 4 4 2 2 3 4" xfId="26107" xr:uid="{00000000-0005-0000-0000-0000327B0000}"/>
    <cellStyle name="Normal 4 4 2 2 3 5" xfId="26108" xr:uid="{00000000-0005-0000-0000-0000337B0000}"/>
    <cellStyle name="Normal 4 4 2 2 3 6" xfId="39880" xr:uid="{00000000-0005-0000-0000-0000347B0000}"/>
    <cellStyle name="Normal 4 4 2 2 4" xfId="26109" xr:uid="{00000000-0005-0000-0000-0000357B0000}"/>
    <cellStyle name="Normal 4 4 2 2 4 2" xfId="26110" xr:uid="{00000000-0005-0000-0000-0000367B0000}"/>
    <cellStyle name="Normal 4 4 2 2 4 2 2" xfId="26111" xr:uid="{00000000-0005-0000-0000-0000377B0000}"/>
    <cellStyle name="Normal 4 4 2 2 4 2 2 2" xfId="26112" xr:uid="{00000000-0005-0000-0000-0000387B0000}"/>
    <cellStyle name="Normal 4 4 2 2 4 2 3" xfId="26113" xr:uid="{00000000-0005-0000-0000-0000397B0000}"/>
    <cellStyle name="Normal 4 4 2 2 4 2 4" xfId="26114" xr:uid="{00000000-0005-0000-0000-00003A7B0000}"/>
    <cellStyle name="Normal 4 4 2 2 4 2 5" xfId="39883" xr:uid="{00000000-0005-0000-0000-00003B7B0000}"/>
    <cellStyle name="Normal 4 4 2 2 4 3" xfId="26115" xr:uid="{00000000-0005-0000-0000-00003C7B0000}"/>
    <cellStyle name="Normal 4 4 2 2 4 3 2" xfId="26116" xr:uid="{00000000-0005-0000-0000-00003D7B0000}"/>
    <cellStyle name="Normal 4 4 2 2 4 4" xfId="26117" xr:uid="{00000000-0005-0000-0000-00003E7B0000}"/>
    <cellStyle name="Normal 4 4 2 2 4 5" xfId="26118" xr:uid="{00000000-0005-0000-0000-00003F7B0000}"/>
    <cellStyle name="Normal 4 4 2 2 4 6" xfId="39882" xr:uid="{00000000-0005-0000-0000-0000407B0000}"/>
    <cellStyle name="Normal 4 4 2 2 5" xfId="26119" xr:uid="{00000000-0005-0000-0000-0000417B0000}"/>
    <cellStyle name="Normal 4 4 2 2 5 2" xfId="26120" xr:uid="{00000000-0005-0000-0000-0000427B0000}"/>
    <cellStyle name="Normal 4 4 2 2 5 2 2" xfId="26121" xr:uid="{00000000-0005-0000-0000-0000437B0000}"/>
    <cellStyle name="Normal 4 4 2 2 5 3" xfId="26122" xr:uid="{00000000-0005-0000-0000-0000447B0000}"/>
    <cellStyle name="Normal 4 4 2 2 5 4" xfId="26123" xr:uid="{00000000-0005-0000-0000-0000457B0000}"/>
    <cellStyle name="Normal 4 4 2 2 5 5" xfId="39884" xr:uid="{00000000-0005-0000-0000-0000467B0000}"/>
    <cellStyle name="Normal 4 4 2 2 6" xfId="26124" xr:uid="{00000000-0005-0000-0000-0000477B0000}"/>
    <cellStyle name="Normal 4 4 2 2 6 2" xfId="26125" xr:uid="{00000000-0005-0000-0000-0000487B0000}"/>
    <cellStyle name="Normal 4 4 2 2 6 2 2" xfId="26126" xr:uid="{00000000-0005-0000-0000-0000497B0000}"/>
    <cellStyle name="Normal 4 4 2 2 6 3" xfId="26127" xr:uid="{00000000-0005-0000-0000-00004A7B0000}"/>
    <cellStyle name="Normal 4 4 2 2 6 4" xfId="26128" xr:uid="{00000000-0005-0000-0000-00004B7B0000}"/>
    <cellStyle name="Normal 4 4 2 2 7" xfId="26129" xr:uid="{00000000-0005-0000-0000-00004C7B0000}"/>
    <cellStyle name="Normal 4 4 2 2 7 2" xfId="26130" xr:uid="{00000000-0005-0000-0000-00004D7B0000}"/>
    <cellStyle name="Normal 4 4 2 2 7 2 2" xfId="26131" xr:uid="{00000000-0005-0000-0000-00004E7B0000}"/>
    <cellStyle name="Normal 4 4 2 2 7 3" xfId="26132" xr:uid="{00000000-0005-0000-0000-00004F7B0000}"/>
    <cellStyle name="Normal 4 4 2 2 7 4" xfId="26133" xr:uid="{00000000-0005-0000-0000-0000507B0000}"/>
    <cellStyle name="Normal 4 4 2 2 8" xfId="26134" xr:uid="{00000000-0005-0000-0000-0000517B0000}"/>
    <cellStyle name="Normal 4 4 2 2 8 2" xfId="26135" xr:uid="{00000000-0005-0000-0000-0000527B0000}"/>
    <cellStyle name="Normal 4 4 2 2 9" xfId="26136" xr:uid="{00000000-0005-0000-0000-0000537B0000}"/>
    <cellStyle name="Normal 4 4 2 3" xfId="26137" xr:uid="{00000000-0005-0000-0000-0000547B0000}"/>
    <cellStyle name="Normal 4 4 2 3 10" xfId="35426" xr:uid="{00000000-0005-0000-0000-0000557B0000}"/>
    <cellStyle name="Normal 4 4 2 3 2" xfId="26138" xr:uid="{00000000-0005-0000-0000-0000567B0000}"/>
    <cellStyle name="Normal 4 4 2 3 2 2" xfId="26139" xr:uid="{00000000-0005-0000-0000-0000577B0000}"/>
    <cellStyle name="Normal 4 4 2 3 2 2 2" xfId="26140" xr:uid="{00000000-0005-0000-0000-0000587B0000}"/>
    <cellStyle name="Normal 4 4 2 3 2 2 2 2" xfId="26141" xr:uid="{00000000-0005-0000-0000-0000597B0000}"/>
    <cellStyle name="Normal 4 4 2 3 2 2 3" xfId="26142" xr:uid="{00000000-0005-0000-0000-00005A7B0000}"/>
    <cellStyle name="Normal 4 4 2 3 2 2 4" xfId="26143" xr:uid="{00000000-0005-0000-0000-00005B7B0000}"/>
    <cellStyle name="Normal 4 4 2 3 2 2 5" xfId="39886" xr:uid="{00000000-0005-0000-0000-00005C7B0000}"/>
    <cellStyle name="Normal 4 4 2 3 2 3" xfId="26144" xr:uid="{00000000-0005-0000-0000-00005D7B0000}"/>
    <cellStyle name="Normal 4 4 2 3 2 3 2" xfId="26145" xr:uid="{00000000-0005-0000-0000-00005E7B0000}"/>
    <cellStyle name="Normal 4 4 2 3 2 4" xfId="26146" xr:uid="{00000000-0005-0000-0000-00005F7B0000}"/>
    <cellStyle name="Normal 4 4 2 3 2 5" xfId="26147" xr:uid="{00000000-0005-0000-0000-0000607B0000}"/>
    <cellStyle name="Normal 4 4 2 3 2 6" xfId="39885" xr:uid="{00000000-0005-0000-0000-0000617B0000}"/>
    <cellStyle name="Normal 4 4 2 3 3" xfId="26148" xr:uid="{00000000-0005-0000-0000-0000627B0000}"/>
    <cellStyle name="Normal 4 4 2 3 3 2" xfId="26149" xr:uid="{00000000-0005-0000-0000-0000637B0000}"/>
    <cellStyle name="Normal 4 4 2 3 3 2 2" xfId="26150" xr:uid="{00000000-0005-0000-0000-0000647B0000}"/>
    <cellStyle name="Normal 4 4 2 3 3 2 2 2" xfId="26151" xr:uid="{00000000-0005-0000-0000-0000657B0000}"/>
    <cellStyle name="Normal 4 4 2 3 3 2 3" xfId="26152" xr:uid="{00000000-0005-0000-0000-0000667B0000}"/>
    <cellStyle name="Normal 4 4 2 3 3 2 4" xfId="26153" xr:uid="{00000000-0005-0000-0000-0000677B0000}"/>
    <cellStyle name="Normal 4 4 2 3 3 2 5" xfId="39888" xr:uid="{00000000-0005-0000-0000-0000687B0000}"/>
    <cellStyle name="Normal 4 4 2 3 3 3" xfId="26154" xr:uid="{00000000-0005-0000-0000-0000697B0000}"/>
    <cellStyle name="Normal 4 4 2 3 3 3 2" xfId="26155" xr:uid="{00000000-0005-0000-0000-00006A7B0000}"/>
    <cellStyle name="Normal 4 4 2 3 3 4" xfId="26156" xr:uid="{00000000-0005-0000-0000-00006B7B0000}"/>
    <cellStyle name="Normal 4 4 2 3 3 5" xfId="26157" xr:uid="{00000000-0005-0000-0000-00006C7B0000}"/>
    <cellStyle name="Normal 4 4 2 3 3 6" xfId="39887" xr:uid="{00000000-0005-0000-0000-00006D7B0000}"/>
    <cellStyle name="Normal 4 4 2 3 4" xfId="26158" xr:uid="{00000000-0005-0000-0000-00006E7B0000}"/>
    <cellStyle name="Normal 4 4 2 3 4 2" xfId="26159" xr:uid="{00000000-0005-0000-0000-00006F7B0000}"/>
    <cellStyle name="Normal 4 4 2 3 4 2 2" xfId="26160" xr:uid="{00000000-0005-0000-0000-0000707B0000}"/>
    <cellStyle name="Normal 4 4 2 3 4 3" xfId="26161" xr:uid="{00000000-0005-0000-0000-0000717B0000}"/>
    <cellStyle name="Normal 4 4 2 3 4 4" xfId="26162" xr:uid="{00000000-0005-0000-0000-0000727B0000}"/>
    <cellStyle name="Normal 4 4 2 3 4 5" xfId="39889" xr:uid="{00000000-0005-0000-0000-0000737B0000}"/>
    <cellStyle name="Normal 4 4 2 3 5" xfId="26163" xr:uid="{00000000-0005-0000-0000-0000747B0000}"/>
    <cellStyle name="Normal 4 4 2 3 5 2" xfId="26164" xr:uid="{00000000-0005-0000-0000-0000757B0000}"/>
    <cellStyle name="Normal 4 4 2 3 5 2 2" xfId="26165" xr:uid="{00000000-0005-0000-0000-0000767B0000}"/>
    <cellStyle name="Normal 4 4 2 3 5 3" xfId="26166" xr:uid="{00000000-0005-0000-0000-0000777B0000}"/>
    <cellStyle name="Normal 4 4 2 3 5 4" xfId="26167" xr:uid="{00000000-0005-0000-0000-0000787B0000}"/>
    <cellStyle name="Normal 4 4 2 3 6" xfId="26168" xr:uid="{00000000-0005-0000-0000-0000797B0000}"/>
    <cellStyle name="Normal 4 4 2 3 6 2" xfId="26169" xr:uid="{00000000-0005-0000-0000-00007A7B0000}"/>
    <cellStyle name="Normal 4 4 2 3 6 2 2" xfId="26170" xr:uid="{00000000-0005-0000-0000-00007B7B0000}"/>
    <cellStyle name="Normal 4 4 2 3 6 3" xfId="26171" xr:uid="{00000000-0005-0000-0000-00007C7B0000}"/>
    <cellStyle name="Normal 4 4 2 3 6 4" xfId="26172" xr:uid="{00000000-0005-0000-0000-00007D7B0000}"/>
    <cellStyle name="Normal 4 4 2 3 7" xfId="26173" xr:uid="{00000000-0005-0000-0000-00007E7B0000}"/>
    <cellStyle name="Normal 4 4 2 3 7 2" xfId="26174" xr:uid="{00000000-0005-0000-0000-00007F7B0000}"/>
    <cellStyle name="Normal 4 4 2 3 8" xfId="26175" xr:uid="{00000000-0005-0000-0000-0000807B0000}"/>
    <cellStyle name="Normal 4 4 2 3 9" xfId="26176" xr:uid="{00000000-0005-0000-0000-0000817B0000}"/>
    <cellStyle name="Normal 4 4 2 4" xfId="26177" xr:uid="{00000000-0005-0000-0000-0000827B0000}"/>
    <cellStyle name="Normal 4 4 2 4 2" xfId="26178" xr:uid="{00000000-0005-0000-0000-0000837B0000}"/>
    <cellStyle name="Normal 4 4 2 4 2 2" xfId="26179" xr:uid="{00000000-0005-0000-0000-0000847B0000}"/>
    <cellStyle name="Normal 4 4 2 4 2 2 2" xfId="26180" xr:uid="{00000000-0005-0000-0000-0000857B0000}"/>
    <cellStyle name="Normal 4 4 2 4 2 3" xfId="26181" xr:uid="{00000000-0005-0000-0000-0000867B0000}"/>
    <cellStyle name="Normal 4 4 2 4 2 4" xfId="26182" xr:uid="{00000000-0005-0000-0000-0000877B0000}"/>
    <cellStyle name="Normal 4 4 2 4 2 5" xfId="39891" xr:uid="{00000000-0005-0000-0000-0000887B0000}"/>
    <cellStyle name="Normal 4 4 2 4 3" xfId="26183" xr:uid="{00000000-0005-0000-0000-0000897B0000}"/>
    <cellStyle name="Normal 4 4 2 4 3 2" xfId="26184" xr:uid="{00000000-0005-0000-0000-00008A7B0000}"/>
    <cellStyle name="Normal 4 4 2 4 3 2 2" xfId="26185" xr:uid="{00000000-0005-0000-0000-00008B7B0000}"/>
    <cellStyle name="Normal 4 4 2 4 3 3" xfId="26186" xr:uid="{00000000-0005-0000-0000-00008C7B0000}"/>
    <cellStyle name="Normal 4 4 2 4 3 4" xfId="26187" xr:uid="{00000000-0005-0000-0000-00008D7B0000}"/>
    <cellStyle name="Normal 4 4 2 4 3 5" xfId="39892" xr:uid="{00000000-0005-0000-0000-00008E7B0000}"/>
    <cellStyle name="Normal 4 4 2 4 4" xfId="26188" xr:uid="{00000000-0005-0000-0000-00008F7B0000}"/>
    <cellStyle name="Normal 4 4 2 4 4 2" xfId="26189" xr:uid="{00000000-0005-0000-0000-0000907B0000}"/>
    <cellStyle name="Normal 4 4 2 4 5" xfId="26190" xr:uid="{00000000-0005-0000-0000-0000917B0000}"/>
    <cellStyle name="Normal 4 4 2 4 6" xfId="26191" xr:uid="{00000000-0005-0000-0000-0000927B0000}"/>
    <cellStyle name="Normal 4 4 2 4 7" xfId="39890" xr:uid="{00000000-0005-0000-0000-0000937B0000}"/>
    <cellStyle name="Normal 4 4 2 5" xfId="26192" xr:uid="{00000000-0005-0000-0000-0000947B0000}"/>
    <cellStyle name="Normal 4 4 2 5 2" xfId="26193" xr:uid="{00000000-0005-0000-0000-0000957B0000}"/>
    <cellStyle name="Normal 4 4 2 5 2 2" xfId="26194" xr:uid="{00000000-0005-0000-0000-0000967B0000}"/>
    <cellStyle name="Normal 4 4 2 5 2 2 2" xfId="26195" xr:uid="{00000000-0005-0000-0000-0000977B0000}"/>
    <cellStyle name="Normal 4 4 2 5 2 3" xfId="26196" xr:uid="{00000000-0005-0000-0000-0000987B0000}"/>
    <cellStyle name="Normal 4 4 2 5 2 4" xfId="26197" xr:uid="{00000000-0005-0000-0000-0000997B0000}"/>
    <cellStyle name="Normal 4 4 2 5 2 5" xfId="39894" xr:uid="{00000000-0005-0000-0000-00009A7B0000}"/>
    <cellStyle name="Normal 4 4 2 5 3" xfId="26198" xr:uid="{00000000-0005-0000-0000-00009B7B0000}"/>
    <cellStyle name="Normal 4 4 2 5 3 2" xfId="26199" xr:uid="{00000000-0005-0000-0000-00009C7B0000}"/>
    <cellStyle name="Normal 4 4 2 5 4" xfId="26200" xr:uid="{00000000-0005-0000-0000-00009D7B0000}"/>
    <cellStyle name="Normal 4 4 2 5 5" xfId="26201" xr:uid="{00000000-0005-0000-0000-00009E7B0000}"/>
    <cellStyle name="Normal 4 4 2 5 6" xfId="39893" xr:uid="{00000000-0005-0000-0000-00009F7B0000}"/>
    <cellStyle name="Normal 4 4 2 6" xfId="26202" xr:uid="{00000000-0005-0000-0000-0000A07B0000}"/>
    <cellStyle name="Normal 4 4 2 6 2" xfId="26203" xr:uid="{00000000-0005-0000-0000-0000A17B0000}"/>
    <cellStyle name="Normal 4 4 2 6 2 2" xfId="26204" xr:uid="{00000000-0005-0000-0000-0000A27B0000}"/>
    <cellStyle name="Normal 4 4 2 6 3" xfId="26205" xr:uid="{00000000-0005-0000-0000-0000A37B0000}"/>
    <cellStyle name="Normal 4 4 2 6 4" xfId="26206" xr:uid="{00000000-0005-0000-0000-0000A47B0000}"/>
    <cellStyle name="Normal 4 4 2 6 5" xfId="39895" xr:uid="{00000000-0005-0000-0000-0000A57B0000}"/>
    <cellStyle name="Normal 4 4 2 7" xfId="26207" xr:uid="{00000000-0005-0000-0000-0000A67B0000}"/>
    <cellStyle name="Normal 4 4 2 7 2" xfId="26208" xr:uid="{00000000-0005-0000-0000-0000A77B0000}"/>
    <cellStyle name="Normal 4 4 2 7 2 2" xfId="26209" xr:uid="{00000000-0005-0000-0000-0000A87B0000}"/>
    <cellStyle name="Normal 4 4 2 7 3" xfId="26210" xr:uid="{00000000-0005-0000-0000-0000A97B0000}"/>
    <cellStyle name="Normal 4 4 2 7 4" xfId="26211" xr:uid="{00000000-0005-0000-0000-0000AA7B0000}"/>
    <cellStyle name="Normal 4 4 2 8" xfId="26212" xr:uid="{00000000-0005-0000-0000-0000AB7B0000}"/>
    <cellStyle name="Normal 4 4 2 8 2" xfId="26213" xr:uid="{00000000-0005-0000-0000-0000AC7B0000}"/>
    <cellStyle name="Normal 4 4 2 8 2 2" xfId="26214" xr:uid="{00000000-0005-0000-0000-0000AD7B0000}"/>
    <cellStyle name="Normal 4 4 2 8 3" xfId="26215" xr:uid="{00000000-0005-0000-0000-0000AE7B0000}"/>
    <cellStyle name="Normal 4 4 2 8 4" xfId="26216" xr:uid="{00000000-0005-0000-0000-0000AF7B0000}"/>
    <cellStyle name="Normal 4 4 2 9" xfId="26217" xr:uid="{00000000-0005-0000-0000-0000B07B0000}"/>
    <cellStyle name="Normal 4 4 2 9 2" xfId="26218" xr:uid="{00000000-0005-0000-0000-0000B17B0000}"/>
    <cellStyle name="Normal 4 4 3" xfId="26219" xr:uid="{00000000-0005-0000-0000-0000B27B0000}"/>
    <cellStyle name="Normal 4 4 3 10" xfId="26220" xr:uid="{00000000-0005-0000-0000-0000B37B0000}"/>
    <cellStyle name="Normal 4 4 3 11" xfId="35427" xr:uid="{00000000-0005-0000-0000-0000B47B0000}"/>
    <cellStyle name="Normal 4 4 3 2" xfId="26221" xr:uid="{00000000-0005-0000-0000-0000B57B0000}"/>
    <cellStyle name="Normal 4 4 3 2 10" xfId="35428" xr:uid="{00000000-0005-0000-0000-0000B67B0000}"/>
    <cellStyle name="Normal 4 4 3 2 2" xfId="26222" xr:uid="{00000000-0005-0000-0000-0000B77B0000}"/>
    <cellStyle name="Normal 4 4 3 2 2 2" xfId="26223" xr:uid="{00000000-0005-0000-0000-0000B87B0000}"/>
    <cellStyle name="Normal 4 4 3 2 2 2 2" xfId="26224" xr:uid="{00000000-0005-0000-0000-0000B97B0000}"/>
    <cellStyle name="Normal 4 4 3 2 2 2 2 2" xfId="26225" xr:uid="{00000000-0005-0000-0000-0000BA7B0000}"/>
    <cellStyle name="Normal 4 4 3 2 2 2 3" xfId="26226" xr:uid="{00000000-0005-0000-0000-0000BB7B0000}"/>
    <cellStyle name="Normal 4 4 3 2 2 2 4" xfId="26227" xr:uid="{00000000-0005-0000-0000-0000BC7B0000}"/>
    <cellStyle name="Normal 4 4 3 2 2 2 5" xfId="39897" xr:uid="{00000000-0005-0000-0000-0000BD7B0000}"/>
    <cellStyle name="Normal 4 4 3 2 2 3" xfId="26228" xr:uid="{00000000-0005-0000-0000-0000BE7B0000}"/>
    <cellStyle name="Normal 4 4 3 2 2 3 2" xfId="26229" xr:uid="{00000000-0005-0000-0000-0000BF7B0000}"/>
    <cellStyle name="Normal 4 4 3 2 2 4" xfId="26230" xr:uid="{00000000-0005-0000-0000-0000C07B0000}"/>
    <cellStyle name="Normal 4 4 3 2 2 5" xfId="26231" xr:uid="{00000000-0005-0000-0000-0000C17B0000}"/>
    <cellStyle name="Normal 4 4 3 2 2 6" xfId="39896" xr:uid="{00000000-0005-0000-0000-0000C27B0000}"/>
    <cellStyle name="Normal 4 4 3 2 3" xfId="26232" xr:uid="{00000000-0005-0000-0000-0000C37B0000}"/>
    <cellStyle name="Normal 4 4 3 2 3 2" xfId="26233" xr:uid="{00000000-0005-0000-0000-0000C47B0000}"/>
    <cellStyle name="Normal 4 4 3 2 3 2 2" xfId="26234" xr:uid="{00000000-0005-0000-0000-0000C57B0000}"/>
    <cellStyle name="Normal 4 4 3 2 3 2 2 2" xfId="26235" xr:uid="{00000000-0005-0000-0000-0000C67B0000}"/>
    <cellStyle name="Normal 4 4 3 2 3 2 3" xfId="26236" xr:uid="{00000000-0005-0000-0000-0000C77B0000}"/>
    <cellStyle name="Normal 4 4 3 2 3 2 4" xfId="26237" xr:uid="{00000000-0005-0000-0000-0000C87B0000}"/>
    <cellStyle name="Normal 4 4 3 2 3 2 5" xfId="39899" xr:uid="{00000000-0005-0000-0000-0000C97B0000}"/>
    <cellStyle name="Normal 4 4 3 2 3 3" xfId="26238" xr:uid="{00000000-0005-0000-0000-0000CA7B0000}"/>
    <cellStyle name="Normal 4 4 3 2 3 3 2" xfId="26239" xr:uid="{00000000-0005-0000-0000-0000CB7B0000}"/>
    <cellStyle name="Normal 4 4 3 2 3 4" xfId="26240" xr:uid="{00000000-0005-0000-0000-0000CC7B0000}"/>
    <cellStyle name="Normal 4 4 3 2 3 5" xfId="26241" xr:uid="{00000000-0005-0000-0000-0000CD7B0000}"/>
    <cellStyle name="Normal 4 4 3 2 3 6" xfId="39898" xr:uid="{00000000-0005-0000-0000-0000CE7B0000}"/>
    <cellStyle name="Normal 4 4 3 2 4" xfId="26242" xr:uid="{00000000-0005-0000-0000-0000CF7B0000}"/>
    <cellStyle name="Normal 4 4 3 2 4 2" xfId="26243" xr:uid="{00000000-0005-0000-0000-0000D07B0000}"/>
    <cellStyle name="Normal 4 4 3 2 4 2 2" xfId="26244" xr:uid="{00000000-0005-0000-0000-0000D17B0000}"/>
    <cellStyle name="Normal 4 4 3 2 4 3" xfId="26245" xr:uid="{00000000-0005-0000-0000-0000D27B0000}"/>
    <cellStyle name="Normal 4 4 3 2 4 4" xfId="26246" xr:uid="{00000000-0005-0000-0000-0000D37B0000}"/>
    <cellStyle name="Normal 4 4 3 2 4 5" xfId="39900" xr:uid="{00000000-0005-0000-0000-0000D47B0000}"/>
    <cellStyle name="Normal 4 4 3 2 5" xfId="26247" xr:uid="{00000000-0005-0000-0000-0000D57B0000}"/>
    <cellStyle name="Normal 4 4 3 2 5 2" xfId="26248" xr:uid="{00000000-0005-0000-0000-0000D67B0000}"/>
    <cellStyle name="Normal 4 4 3 2 5 2 2" xfId="26249" xr:uid="{00000000-0005-0000-0000-0000D77B0000}"/>
    <cellStyle name="Normal 4 4 3 2 5 3" xfId="26250" xr:uid="{00000000-0005-0000-0000-0000D87B0000}"/>
    <cellStyle name="Normal 4 4 3 2 5 4" xfId="26251" xr:uid="{00000000-0005-0000-0000-0000D97B0000}"/>
    <cellStyle name="Normal 4 4 3 2 6" xfId="26252" xr:uid="{00000000-0005-0000-0000-0000DA7B0000}"/>
    <cellStyle name="Normal 4 4 3 2 6 2" xfId="26253" xr:uid="{00000000-0005-0000-0000-0000DB7B0000}"/>
    <cellStyle name="Normal 4 4 3 2 6 2 2" xfId="26254" xr:uid="{00000000-0005-0000-0000-0000DC7B0000}"/>
    <cellStyle name="Normal 4 4 3 2 6 3" xfId="26255" xr:uid="{00000000-0005-0000-0000-0000DD7B0000}"/>
    <cellStyle name="Normal 4 4 3 2 6 4" xfId="26256" xr:uid="{00000000-0005-0000-0000-0000DE7B0000}"/>
    <cellStyle name="Normal 4 4 3 2 7" xfId="26257" xr:uid="{00000000-0005-0000-0000-0000DF7B0000}"/>
    <cellStyle name="Normal 4 4 3 2 7 2" xfId="26258" xr:uid="{00000000-0005-0000-0000-0000E07B0000}"/>
    <cellStyle name="Normal 4 4 3 2 8" xfId="26259" xr:uid="{00000000-0005-0000-0000-0000E17B0000}"/>
    <cellStyle name="Normal 4 4 3 2 9" xfId="26260" xr:uid="{00000000-0005-0000-0000-0000E27B0000}"/>
    <cellStyle name="Normal 4 4 3 3" xfId="26261" xr:uid="{00000000-0005-0000-0000-0000E37B0000}"/>
    <cellStyle name="Normal 4 4 3 3 2" xfId="26262" xr:uid="{00000000-0005-0000-0000-0000E47B0000}"/>
    <cellStyle name="Normal 4 4 3 3 2 2" xfId="26263" xr:uid="{00000000-0005-0000-0000-0000E57B0000}"/>
    <cellStyle name="Normal 4 4 3 3 2 2 2" xfId="26264" xr:uid="{00000000-0005-0000-0000-0000E67B0000}"/>
    <cellStyle name="Normal 4 4 3 3 2 3" xfId="26265" xr:uid="{00000000-0005-0000-0000-0000E77B0000}"/>
    <cellStyle name="Normal 4 4 3 3 2 4" xfId="26266" xr:uid="{00000000-0005-0000-0000-0000E87B0000}"/>
    <cellStyle name="Normal 4 4 3 3 2 5" xfId="39902" xr:uid="{00000000-0005-0000-0000-0000E97B0000}"/>
    <cellStyle name="Normal 4 4 3 3 3" xfId="26267" xr:uid="{00000000-0005-0000-0000-0000EA7B0000}"/>
    <cellStyle name="Normal 4 4 3 3 3 2" xfId="26268" xr:uid="{00000000-0005-0000-0000-0000EB7B0000}"/>
    <cellStyle name="Normal 4 4 3 3 3 2 2" xfId="26269" xr:uid="{00000000-0005-0000-0000-0000EC7B0000}"/>
    <cellStyle name="Normal 4 4 3 3 3 3" xfId="26270" xr:uid="{00000000-0005-0000-0000-0000ED7B0000}"/>
    <cellStyle name="Normal 4 4 3 3 3 4" xfId="26271" xr:uid="{00000000-0005-0000-0000-0000EE7B0000}"/>
    <cellStyle name="Normal 4 4 3 3 3 5" xfId="39903" xr:uid="{00000000-0005-0000-0000-0000EF7B0000}"/>
    <cellStyle name="Normal 4 4 3 3 4" xfId="26272" xr:uid="{00000000-0005-0000-0000-0000F07B0000}"/>
    <cellStyle name="Normal 4 4 3 3 4 2" xfId="26273" xr:uid="{00000000-0005-0000-0000-0000F17B0000}"/>
    <cellStyle name="Normal 4 4 3 3 5" xfId="26274" xr:uid="{00000000-0005-0000-0000-0000F27B0000}"/>
    <cellStyle name="Normal 4 4 3 3 6" xfId="26275" xr:uid="{00000000-0005-0000-0000-0000F37B0000}"/>
    <cellStyle name="Normal 4 4 3 3 7" xfId="39901" xr:uid="{00000000-0005-0000-0000-0000F47B0000}"/>
    <cellStyle name="Normal 4 4 3 4" xfId="26276" xr:uid="{00000000-0005-0000-0000-0000F57B0000}"/>
    <cellStyle name="Normal 4 4 3 4 2" xfId="26277" xr:uid="{00000000-0005-0000-0000-0000F67B0000}"/>
    <cellStyle name="Normal 4 4 3 4 2 2" xfId="26278" xr:uid="{00000000-0005-0000-0000-0000F77B0000}"/>
    <cellStyle name="Normal 4 4 3 4 2 2 2" xfId="26279" xr:uid="{00000000-0005-0000-0000-0000F87B0000}"/>
    <cellStyle name="Normal 4 4 3 4 2 3" xfId="26280" xr:uid="{00000000-0005-0000-0000-0000F97B0000}"/>
    <cellStyle name="Normal 4 4 3 4 2 4" xfId="26281" xr:uid="{00000000-0005-0000-0000-0000FA7B0000}"/>
    <cellStyle name="Normal 4 4 3 4 2 5" xfId="39905" xr:uid="{00000000-0005-0000-0000-0000FB7B0000}"/>
    <cellStyle name="Normal 4 4 3 4 3" xfId="26282" xr:uid="{00000000-0005-0000-0000-0000FC7B0000}"/>
    <cellStyle name="Normal 4 4 3 4 3 2" xfId="26283" xr:uid="{00000000-0005-0000-0000-0000FD7B0000}"/>
    <cellStyle name="Normal 4 4 3 4 4" xfId="26284" xr:uid="{00000000-0005-0000-0000-0000FE7B0000}"/>
    <cellStyle name="Normal 4 4 3 4 5" xfId="26285" xr:uid="{00000000-0005-0000-0000-0000FF7B0000}"/>
    <cellStyle name="Normal 4 4 3 4 6" xfId="39904" xr:uid="{00000000-0005-0000-0000-0000007C0000}"/>
    <cellStyle name="Normal 4 4 3 5" xfId="26286" xr:uid="{00000000-0005-0000-0000-0000017C0000}"/>
    <cellStyle name="Normal 4 4 3 5 2" xfId="26287" xr:uid="{00000000-0005-0000-0000-0000027C0000}"/>
    <cellStyle name="Normal 4 4 3 5 2 2" xfId="26288" xr:uid="{00000000-0005-0000-0000-0000037C0000}"/>
    <cellStyle name="Normal 4 4 3 5 3" xfId="26289" xr:uid="{00000000-0005-0000-0000-0000047C0000}"/>
    <cellStyle name="Normal 4 4 3 5 4" xfId="26290" xr:uid="{00000000-0005-0000-0000-0000057C0000}"/>
    <cellStyle name="Normal 4 4 3 5 5" xfId="39906" xr:uid="{00000000-0005-0000-0000-0000067C0000}"/>
    <cellStyle name="Normal 4 4 3 6" xfId="26291" xr:uid="{00000000-0005-0000-0000-0000077C0000}"/>
    <cellStyle name="Normal 4 4 3 6 2" xfId="26292" xr:uid="{00000000-0005-0000-0000-0000087C0000}"/>
    <cellStyle name="Normal 4 4 3 6 2 2" xfId="26293" xr:uid="{00000000-0005-0000-0000-0000097C0000}"/>
    <cellStyle name="Normal 4 4 3 6 3" xfId="26294" xr:uid="{00000000-0005-0000-0000-00000A7C0000}"/>
    <cellStyle name="Normal 4 4 3 6 4" xfId="26295" xr:uid="{00000000-0005-0000-0000-00000B7C0000}"/>
    <cellStyle name="Normal 4 4 3 7" xfId="26296" xr:uid="{00000000-0005-0000-0000-00000C7C0000}"/>
    <cellStyle name="Normal 4 4 3 7 2" xfId="26297" xr:uid="{00000000-0005-0000-0000-00000D7C0000}"/>
    <cellStyle name="Normal 4 4 3 7 2 2" xfId="26298" xr:uid="{00000000-0005-0000-0000-00000E7C0000}"/>
    <cellStyle name="Normal 4 4 3 7 3" xfId="26299" xr:uid="{00000000-0005-0000-0000-00000F7C0000}"/>
    <cellStyle name="Normal 4 4 3 7 4" xfId="26300" xr:uid="{00000000-0005-0000-0000-0000107C0000}"/>
    <cellStyle name="Normal 4 4 3 8" xfId="26301" xr:uid="{00000000-0005-0000-0000-0000117C0000}"/>
    <cellStyle name="Normal 4 4 3 8 2" xfId="26302" xr:uid="{00000000-0005-0000-0000-0000127C0000}"/>
    <cellStyle name="Normal 4 4 3 9" xfId="26303" xr:uid="{00000000-0005-0000-0000-0000137C0000}"/>
    <cellStyle name="Normal 4 4 4" xfId="26304" xr:uid="{00000000-0005-0000-0000-0000147C0000}"/>
    <cellStyle name="Normal 4 4 4 10" xfId="35429" xr:uid="{00000000-0005-0000-0000-0000157C0000}"/>
    <cellStyle name="Normal 4 4 4 2" xfId="26305" xr:uid="{00000000-0005-0000-0000-0000167C0000}"/>
    <cellStyle name="Normal 4 4 4 2 2" xfId="26306" xr:uid="{00000000-0005-0000-0000-0000177C0000}"/>
    <cellStyle name="Normal 4 4 4 2 2 2" xfId="26307" xr:uid="{00000000-0005-0000-0000-0000187C0000}"/>
    <cellStyle name="Normal 4 4 4 2 2 2 2" xfId="26308" xr:uid="{00000000-0005-0000-0000-0000197C0000}"/>
    <cellStyle name="Normal 4 4 4 2 2 3" xfId="26309" xr:uid="{00000000-0005-0000-0000-00001A7C0000}"/>
    <cellStyle name="Normal 4 4 4 2 2 4" xfId="26310" xr:uid="{00000000-0005-0000-0000-00001B7C0000}"/>
    <cellStyle name="Normal 4 4 4 2 2 5" xfId="39908" xr:uid="{00000000-0005-0000-0000-00001C7C0000}"/>
    <cellStyle name="Normal 4 4 4 2 3" xfId="26311" xr:uid="{00000000-0005-0000-0000-00001D7C0000}"/>
    <cellStyle name="Normal 4 4 4 2 3 2" xfId="26312" xr:uid="{00000000-0005-0000-0000-00001E7C0000}"/>
    <cellStyle name="Normal 4 4 4 2 4" xfId="26313" xr:uid="{00000000-0005-0000-0000-00001F7C0000}"/>
    <cellStyle name="Normal 4 4 4 2 5" xfId="26314" xr:uid="{00000000-0005-0000-0000-0000207C0000}"/>
    <cellStyle name="Normal 4 4 4 2 6" xfId="39907" xr:uid="{00000000-0005-0000-0000-0000217C0000}"/>
    <cellStyle name="Normal 4 4 4 3" xfId="26315" xr:uid="{00000000-0005-0000-0000-0000227C0000}"/>
    <cellStyle name="Normal 4 4 4 3 2" xfId="26316" xr:uid="{00000000-0005-0000-0000-0000237C0000}"/>
    <cellStyle name="Normal 4 4 4 3 2 2" xfId="26317" xr:uid="{00000000-0005-0000-0000-0000247C0000}"/>
    <cellStyle name="Normal 4 4 4 3 2 2 2" xfId="26318" xr:uid="{00000000-0005-0000-0000-0000257C0000}"/>
    <cellStyle name="Normal 4 4 4 3 2 3" xfId="26319" xr:uid="{00000000-0005-0000-0000-0000267C0000}"/>
    <cellStyle name="Normal 4 4 4 3 2 4" xfId="26320" xr:uid="{00000000-0005-0000-0000-0000277C0000}"/>
    <cellStyle name="Normal 4 4 4 3 2 5" xfId="39910" xr:uid="{00000000-0005-0000-0000-0000287C0000}"/>
    <cellStyle name="Normal 4 4 4 3 3" xfId="26321" xr:uid="{00000000-0005-0000-0000-0000297C0000}"/>
    <cellStyle name="Normal 4 4 4 3 3 2" xfId="26322" xr:uid="{00000000-0005-0000-0000-00002A7C0000}"/>
    <cellStyle name="Normal 4 4 4 3 4" xfId="26323" xr:uid="{00000000-0005-0000-0000-00002B7C0000}"/>
    <cellStyle name="Normal 4 4 4 3 5" xfId="26324" xr:uid="{00000000-0005-0000-0000-00002C7C0000}"/>
    <cellStyle name="Normal 4 4 4 3 6" xfId="39909" xr:uid="{00000000-0005-0000-0000-00002D7C0000}"/>
    <cellStyle name="Normal 4 4 4 4" xfId="26325" xr:uid="{00000000-0005-0000-0000-00002E7C0000}"/>
    <cellStyle name="Normal 4 4 4 4 2" xfId="26326" xr:uid="{00000000-0005-0000-0000-00002F7C0000}"/>
    <cellStyle name="Normal 4 4 4 4 2 2" xfId="26327" xr:uid="{00000000-0005-0000-0000-0000307C0000}"/>
    <cellStyle name="Normal 4 4 4 4 3" xfId="26328" xr:uid="{00000000-0005-0000-0000-0000317C0000}"/>
    <cellStyle name="Normal 4 4 4 4 4" xfId="26329" xr:uid="{00000000-0005-0000-0000-0000327C0000}"/>
    <cellStyle name="Normal 4 4 4 4 5" xfId="39911" xr:uid="{00000000-0005-0000-0000-0000337C0000}"/>
    <cellStyle name="Normal 4 4 4 5" xfId="26330" xr:uid="{00000000-0005-0000-0000-0000347C0000}"/>
    <cellStyle name="Normal 4 4 4 5 2" xfId="26331" xr:uid="{00000000-0005-0000-0000-0000357C0000}"/>
    <cellStyle name="Normal 4 4 4 5 2 2" xfId="26332" xr:uid="{00000000-0005-0000-0000-0000367C0000}"/>
    <cellStyle name="Normal 4 4 4 5 3" xfId="26333" xr:uid="{00000000-0005-0000-0000-0000377C0000}"/>
    <cellStyle name="Normal 4 4 4 5 4" xfId="26334" xr:uid="{00000000-0005-0000-0000-0000387C0000}"/>
    <cellStyle name="Normal 4 4 4 6" xfId="26335" xr:uid="{00000000-0005-0000-0000-0000397C0000}"/>
    <cellStyle name="Normal 4 4 4 6 2" xfId="26336" xr:uid="{00000000-0005-0000-0000-00003A7C0000}"/>
    <cellStyle name="Normal 4 4 4 6 2 2" xfId="26337" xr:uid="{00000000-0005-0000-0000-00003B7C0000}"/>
    <cellStyle name="Normal 4 4 4 6 3" xfId="26338" xr:uid="{00000000-0005-0000-0000-00003C7C0000}"/>
    <cellStyle name="Normal 4 4 4 6 4" xfId="26339" xr:uid="{00000000-0005-0000-0000-00003D7C0000}"/>
    <cellStyle name="Normal 4 4 4 7" xfId="26340" xr:uid="{00000000-0005-0000-0000-00003E7C0000}"/>
    <cellStyle name="Normal 4 4 4 7 2" xfId="26341" xr:uid="{00000000-0005-0000-0000-00003F7C0000}"/>
    <cellStyle name="Normal 4 4 4 8" xfId="26342" xr:uid="{00000000-0005-0000-0000-0000407C0000}"/>
    <cellStyle name="Normal 4 4 4 9" xfId="26343" xr:uid="{00000000-0005-0000-0000-0000417C0000}"/>
    <cellStyle name="Normal 4 4 5" xfId="26344" xr:uid="{00000000-0005-0000-0000-0000427C0000}"/>
    <cellStyle name="Normal 4 4 5 2" xfId="26345" xr:uid="{00000000-0005-0000-0000-0000437C0000}"/>
    <cellStyle name="Normal 4 4 5 2 2" xfId="26346" xr:uid="{00000000-0005-0000-0000-0000447C0000}"/>
    <cellStyle name="Normal 4 4 5 2 2 2" xfId="26347" xr:uid="{00000000-0005-0000-0000-0000457C0000}"/>
    <cellStyle name="Normal 4 4 5 2 3" xfId="26348" xr:uid="{00000000-0005-0000-0000-0000467C0000}"/>
    <cellStyle name="Normal 4 4 5 2 4" xfId="26349" xr:uid="{00000000-0005-0000-0000-0000477C0000}"/>
    <cellStyle name="Normal 4 4 5 2 5" xfId="39913" xr:uid="{00000000-0005-0000-0000-0000487C0000}"/>
    <cellStyle name="Normal 4 4 5 3" xfId="26350" xr:uid="{00000000-0005-0000-0000-0000497C0000}"/>
    <cellStyle name="Normal 4 4 5 3 2" xfId="26351" xr:uid="{00000000-0005-0000-0000-00004A7C0000}"/>
    <cellStyle name="Normal 4 4 5 3 2 2" xfId="26352" xr:uid="{00000000-0005-0000-0000-00004B7C0000}"/>
    <cellStyle name="Normal 4 4 5 3 3" xfId="26353" xr:uid="{00000000-0005-0000-0000-00004C7C0000}"/>
    <cellStyle name="Normal 4 4 5 3 4" xfId="26354" xr:uid="{00000000-0005-0000-0000-00004D7C0000}"/>
    <cellStyle name="Normal 4 4 5 3 5" xfId="39914" xr:uid="{00000000-0005-0000-0000-00004E7C0000}"/>
    <cellStyle name="Normal 4 4 5 4" xfId="26355" xr:uid="{00000000-0005-0000-0000-00004F7C0000}"/>
    <cellStyle name="Normal 4 4 5 4 2" xfId="26356" xr:uid="{00000000-0005-0000-0000-0000507C0000}"/>
    <cellStyle name="Normal 4 4 5 5" xfId="26357" xr:uid="{00000000-0005-0000-0000-0000517C0000}"/>
    <cellStyle name="Normal 4 4 5 6" xfId="26358" xr:uid="{00000000-0005-0000-0000-0000527C0000}"/>
    <cellStyle name="Normal 4 4 5 7" xfId="39912" xr:uid="{00000000-0005-0000-0000-0000537C0000}"/>
    <cellStyle name="Normal 4 4 6" xfId="26359" xr:uid="{00000000-0005-0000-0000-0000547C0000}"/>
    <cellStyle name="Normal 4 4 6 2" xfId="26360" xr:uid="{00000000-0005-0000-0000-0000557C0000}"/>
    <cellStyle name="Normal 4 4 6 2 2" xfId="26361" xr:uid="{00000000-0005-0000-0000-0000567C0000}"/>
    <cellStyle name="Normal 4 4 6 2 2 2" xfId="26362" xr:uid="{00000000-0005-0000-0000-0000577C0000}"/>
    <cellStyle name="Normal 4 4 6 2 3" xfId="26363" xr:uid="{00000000-0005-0000-0000-0000587C0000}"/>
    <cellStyle name="Normal 4 4 6 2 4" xfId="26364" xr:uid="{00000000-0005-0000-0000-0000597C0000}"/>
    <cellStyle name="Normal 4 4 6 2 5" xfId="39916" xr:uid="{00000000-0005-0000-0000-00005A7C0000}"/>
    <cellStyle name="Normal 4 4 6 3" xfId="26365" xr:uid="{00000000-0005-0000-0000-00005B7C0000}"/>
    <cellStyle name="Normal 4 4 6 3 2" xfId="26366" xr:uid="{00000000-0005-0000-0000-00005C7C0000}"/>
    <cellStyle name="Normal 4 4 6 4" xfId="26367" xr:uid="{00000000-0005-0000-0000-00005D7C0000}"/>
    <cellStyle name="Normal 4 4 6 5" xfId="26368" xr:uid="{00000000-0005-0000-0000-00005E7C0000}"/>
    <cellStyle name="Normal 4 4 6 6" xfId="39915" xr:uid="{00000000-0005-0000-0000-00005F7C0000}"/>
    <cellStyle name="Normal 4 4 7" xfId="26369" xr:uid="{00000000-0005-0000-0000-0000607C0000}"/>
    <cellStyle name="Normal 4 4 7 2" xfId="26370" xr:uid="{00000000-0005-0000-0000-0000617C0000}"/>
    <cellStyle name="Normal 4 4 7 2 2" xfId="26371" xr:uid="{00000000-0005-0000-0000-0000627C0000}"/>
    <cellStyle name="Normal 4 4 7 3" xfId="26372" xr:uid="{00000000-0005-0000-0000-0000637C0000}"/>
    <cellStyle name="Normal 4 4 7 4" xfId="26373" xr:uid="{00000000-0005-0000-0000-0000647C0000}"/>
    <cellStyle name="Normal 4 4 7 5" xfId="39917" xr:uid="{00000000-0005-0000-0000-0000657C0000}"/>
    <cellStyle name="Normal 4 4 8" xfId="26374" xr:uid="{00000000-0005-0000-0000-0000667C0000}"/>
    <cellStyle name="Normal 4 4 8 2" xfId="26375" xr:uid="{00000000-0005-0000-0000-0000677C0000}"/>
    <cellStyle name="Normal 4 4 8 2 2" xfId="26376" xr:uid="{00000000-0005-0000-0000-0000687C0000}"/>
    <cellStyle name="Normal 4 4 8 3" xfId="26377" xr:uid="{00000000-0005-0000-0000-0000697C0000}"/>
    <cellStyle name="Normal 4 4 8 4" xfId="26378" xr:uid="{00000000-0005-0000-0000-00006A7C0000}"/>
    <cellStyle name="Normal 4 4 9" xfId="26379" xr:uid="{00000000-0005-0000-0000-00006B7C0000}"/>
    <cellStyle name="Normal 4 4 9 2" xfId="26380" xr:uid="{00000000-0005-0000-0000-00006C7C0000}"/>
    <cellStyle name="Normal 4 4 9 2 2" xfId="26381" xr:uid="{00000000-0005-0000-0000-00006D7C0000}"/>
    <cellStyle name="Normal 4 4 9 3" xfId="26382" xr:uid="{00000000-0005-0000-0000-00006E7C0000}"/>
    <cellStyle name="Normal 4 4 9 4" xfId="26383" xr:uid="{00000000-0005-0000-0000-00006F7C0000}"/>
    <cellStyle name="Normal 4 5" xfId="26384" xr:uid="{00000000-0005-0000-0000-0000707C0000}"/>
    <cellStyle name="Normal 4 5 10" xfId="26385" xr:uid="{00000000-0005-0000-0000-0000717C0000}"/>
    <cellStyle name="Normal 4 5 10 2" xfId="26386" xr:uid="{00000000-0005-0000-0000-0000727C0000}"/>
    <cellStyle name="Normal 4 5 11" xfId="26387" xr:uid="{00000000-0005-0000-0000-0000737C0000}"/>
    <cellStyle name="Normal 4 5 12" xfId="26388" xr:uid="{00000000-0005-0000-0000-0000747C0000}"/>
    <cellStyle name="Normal 4 5 13" xfId="35430" xr:uid="{00000000-0005-0000-0000-0000757C0000}"/>
    <cellStyle name="Normal 4 5 14" xfId="42238" xr:uid="{5CB0C70D-D2F6-42D6-A922-C685779D4F06}"/>
    <cellStyle name="Normal 4 5 2" xfId="26389" xr:uid="{00000000-0005-0000-0000-0000767C0000}"/>
    <cellStyle name="Normal 4 5 2 10" xfId="26390" xr:uid="{00000000-0005-0000-0000-0000777C0000}"/>
    <cellStyle name="Normal 4 5 2 11" xfId="26391" xr:uid="{00000000-0005-0000-0000-0000787C0000}"/>
    <cellStyle name="Normal 4 5 2 12" xfId="35431" xr:uid="{00000000-0005-0000-0000-0000797C0000}"/>
    <cellStyle name="Normal 4 5 2 2" xfId="26392" xr:uid="{00000000-0005-0000-0000-00007A7C0000}"/>
    <cellStyle name="Normal 4 5 2 2 10" xfId="26393" xr:uid="{00000000-0005-0000-0000-00007B7C0000}"/>
    <cellStyle name="Normal 4 5 2 2 11" xfId="35432" xr:uid="{00000000-0005-0000-0000-00007C7C0000}"/>
    <cellStyle name="Normal 4 5 2 2 2" xfId="26394" xr:uid="{00000000-0005-0000-0000-00007D7C0000}"/>
    <cellStyle name="Normal 4 5 2 2 2 10" xfId="35433" xr:uid="{00000000-0005-0000-0000-00007E7C0000}"/>
    <cellStyle name="Normal 4 5 2 2 2 2" xfId="26395" xr:uid="{00000000-0005-0000-0000-00007F7C0000}"/>
    <cellStyle name="Normal 4 5 2 2 2 2 2" xfId="26396" xr:uid="{00000000-0005-0000-0000-0000807C0000}"/>
    <cellStyle name="Normal 4 5 2 2 2 2 2 2" xfId="26397" xr:uid="{00000000-0005-0000-0000-0000817C0000}"/>
    <cellStyle name="Normal 4 5 2 2 2 2 2 2 2" xfId="26398" xr:uid="{00000000-0005-0000-0000-0000827C0000}"/>
    <cellStyle name="Normal 4 5 2 2 2 2 2 3" xfId="26399" xr:uid="{00000000-0005-0000-0000-0000837C0000}"/>
    <cellStyle name="Normal 4 5 2 2 2 2 2 4" xfId="26400" xr:uid="{00000000-0005-0000-0000-0000847C0000}"/>
    <cellStyle name="Normal 4 5 2 2 2 2 2 5" xfId="39919" xr:uid="{00000000-0005-0000-0000-0000857C0000}"/>
    <cellStyle name="Normal 4 5 2 2 2 2 3" xfId="26401" xr:uid="{00000000-0005-0000-0000-0000867C0000}"/>
    <cellStyle name="Normal 4 5 2 2 2 2 3 2" xfId="26402" xr:uid="{00000000-0005-0000-0000-0000877C0000}"/>
    <cellStyle name="Normal 4 5 2 2 2 2 4" xfId="26403" xr:uid="{00000000-0005-0000-0000-0000887C0000}"/>
    <cellStyle name="Normal 4 5 2 2 2 2 5" xfId="26404" xr:uid="{00000000-0005-0000-0000-0000897C0000}"/>
    <cellStyle name="Normal 4 5 2 2 2 2 6" xfId="39918" xr:uid="{00000000-0005-0000-0000-00008A7C0000}"/>
    <cellStyle name="Normal 4 5 2 2 2 3" xfId="26405" xr:uid="{00000000-0005-0000-0000-00008B7C0000}"/>
    <cellStyle name="Normal 4 5 2 2 2 3 2" xfId="26406" xr:uid="{00000000-0005-0000-0000-00008C7C0000}"/>
    <cellStyle name="Normal 4 5 2 2 2 3 2 2" xfId="26407" xr:uid="{00000000-0005-0000-0000-00008D7C0000}"/>
    <cellStyle name="Normal 4 5 2 2 2 3 2 2 2" xfId="26408" xr:uid="{00000000-0005-0000-0000-00008E7C0000}"/>
    <cellStyle name="Normal 4 5 2 2 2 3 2 3" xfId="26409" xr:uid="{00000000-0005-0000-0000-00008F7C0000}"/>
    <cellStyle name="Normal 4 5 2 2 2 3 2 4" xfId="26410" xr:uid="{00000000-0005-0000-0000-0000907C0000}"/>
    <cellStyle name="Normal 4 5 2 2 2 3 2 5" xfId="39921" xr:uid="{00000000-0005-0000-0000-0000917C0000}"/>
    <cellStyle name="Normal 4 5 2 2 2 3 3" xfId="26411" xr:uid="{00000000-0005-0000-0000-0000927C0000}"/>
    <cellStyle name="Normal 4 5 2 2 2 3 3 2" xfId="26412" xr:uid="{00000000-0005-0000-0000-0000937C0000}"/>
    <cellStyle name="Normal 4 5 2 2 2 3 4" xfId="26413" xr:uid="{00000000-0005-0000-0000-0000947C0000}"/>
    <cellStyle name="Normal 4 5 2 2 2 3 5" xfId="26414" xr:uid="{00000000-0005-0000-0000-0000957C0000}"/>
    <cellStyle name="Normal 4 5 2 2 2 3 6" xfId="39920" xr:uid="{00000000-0005-0000-0000-0000967C0000}"/>
    <cellStyle name="Normal 4 5 2 2 2 4" xfId="26415" xr:uid="{00000000-0005-0000-0000-0000977C0000}"/>
    <cellStyle name="Normal 4 5 2 2 2 4 2" xfId="26416" xr:uid="{00000000-0005-0000-0000-0000987C0000}"/>
    <cellStyle name="Normal 4 5 2 2 2 4 2 2" xfId="26417" xr:uid="{00000000-0005-0000-0000-0000997C0000}"/>
    <cellStyle name="Normal 4 5 2 2 2 4 3" xfId="26418" xr:uid="{00000000-0005-0000-0000-00009A7C0000}"/>
    <cellStyle name="Normal 4 5 2 2 2 4 4" xfId="26419" xr:uid="{00000000-0005-0000-0000-00009B7C0000}"/>
    <cellStyle name="Normal 4 5 2 2 2 4 5" xfId="39922" xr:uid="{00000000-0005-0000-0000-00009C7C0000}"/>
    <cellStyle name="Normal 4 5 2 2 2 5" xfId="26420" xr:uid="{00000000-0005-0000-0000-00009D7C0000}"/>
    <cellStyle name="Normal 4 5 2 2 2 5 2" xfId="26421" xr:uid="{00000000-0005-0000-0000-00009E7C0000}"/>
    <cellStyle name="Normal 4 5 2 2 2 5 2 2" xfId="26422" xr:uid="{00000000-0005-0000-0000-00009F7C0000}"/>
    <cellStyle name="Normal 4 5 2 2 2 5 3" xfId="26423" xr:uid="{00000000-0005-0000-0000-0000A07C0000}"/>
    <cellStyle name="Normal 4 5 2 2 2 5 4" xfId="26424" xr:uid="{00000000-0005-0000-0000-0000A17C0000}"/>
    <cellStyle name="Normal 4 5 2 2 2 6" xfId="26425" xr:uid="{00000000-0005-0000-0000-0000A27C0000}"/>
    <cellStyle name="Normal 4 5 2 2 2 6 2" xfId="26426" xr:uid="{00000000-0005-0000-0000-0000A37C0000}"/>
    <cellStyle name="Normal 4 5 2 2 2 6 2 2" xfId="26427" xr:uid="{00000000-0005-0000-0000-0000A47C0000}"/>
    <cellStyle name="Normal 4 5 2 2 2 6 3" xfId="26428" xr:uid="{00000000-0005-0000-0000-0000A57C0000}"/>
    <cellStyle name="Normal 4 5 2 2 2 6 4" xfId="26429" xr:uid="{00000000-0005-0000-0000-0000A67C0000}"/>
    <cellStyle name="Normal 4 5 2 2 2 7" xfId="26430" xr:uid="{00000000-0005-0000-0000-0000A77C0000}"/>
    <cellStyle name="Normal 4 5 2 2 2 7 2" xfId="26431" xr:uid="{00000000-0005-0000-0000-0000A87C0000}"/>
    <cellStyle name="Normal 4 5 2 2 2 8" xfId="26432" xr:uid="{00000000-0005-0000-0000-0000A97C0000}"/>
    <cellStyle name="Normal 4 5 2 2 2 9" xfId="26433" xr:uid="{00000000-0005-0000-0000-0000AA7C0000}"/>
    <cellStyle name="Normal 4 5 2 2 3" xfId="26434" xr:uid="{00000000-0005-0000-0000-0000AB7C0000}"/>
    <cellStyle name="Normal 4 5 2 2 3 2" xfId="26435" xr:uid="{00000000-0005-0000-0000-0000AC7C0000}"/>
    <cellStyle name="Normal 4 5 2 2 3 2 2" xfId="26436" xr:uid="{00000000-0005-0000-0000-0000AD7C0000}"/>
    <cellStyle name="Normal 4 5 2 2 3 2 2 2" xfId="26437" xr:uid="{00000000-0005-0000-0000-0000AE7C0000}"/>
    <cellStyle name="Normal 4 5 2 2 3 2 3" xfId="26438" xr:uid="{00000000-0005-0000-0000-0000AF7C0000}"/>
    <cellStyle name="Normal 4 5 2 2 3 2 4" xfId="26439" xr:uid="{00000000-0005-0000-0000-0000B07C0000}"/>
    <cellStyle name="Normal 4 5 2 2 3 2 5" xfId="39924" xr:uid="{00000000-0005-0000-0000-0000B17C0000}"/>
    <cellStyle name="Normal 4 5 2 2 3 3" xfId="26440" xr:uid="{00000000-0005-0000-0000-0000B27C0000}"/>
    <cellStyle name="Normal 4 5 2 2 3 3 2" xfId="26441" xr:uid="{00000000-0005-0000-0000-0000B37C0000}"/>
    <cellStyle name="Normal 4 5 2 2 3 4" xfId="26442" xr:uid="{00000000-0005-0000-0000-0000B47C0000}"/>
    <cellStyle name="Normal 4 5 2 2 3 5" xfId="26443" xr:uid="{00000000-0005-0000-0000-0000B57C0000}"/>
    <cellStyle name="Normal 4 5 2 2 3 6" xfId="39923" xr:uid="{00000000-0005-0000-0000-0000B67C0000}"/>
    <cellStyle name="Normal 4 5 2 2 4" xfId="26444" xr:uid="{00000000-0005-0000-0000-0000B77C0000}"/>
    <cellStyle name="Normal 4 5 2 2 4 2" xfId="26445" xr:uid="{00000000-0005-0000-0000-0000B87C0000}"/>
    <cellStyle name="Normal 4 5 2 2 4 2 2" xfId="26446" xr:uid="{00000000-0005-0000-0000-0000B97C0000}"/>
    <cellStyle name="Normal 4 5 2 2 4 2 2 2" xfId="26447" xr:uid="{00000000-0005-0000-0000-0000BA7C0000}"/>
    <cellStyle name="Normal 4 5 2 2 4 2 3" xfId="26448" xr:uid="{00000000-0005-0000-0000-0000BB7C0000}"/>
    <cellStyle name="Normal 4 5 2 2 4 2 4" xfId="26449" xr:uid="{00000000-0005-0000-0000-0000BC7C0000}"/>
    <cellStyle name="Normal 4 5 2 2 4 2 5" xfId="39926" xr:uid="{00000000-0005-0000-0000-0000BD7C0000}"/>
    <cellStyle name="Normal 4 5 2 2 4 3" xfId="26450" xr:uid="{00000000-0005-0000-0000-0000BE7C0000}"/>
    <cellStyle name="Normal 4 5 2 2 4 3 2" xfId="26451" xr:uid="{00000000-0005-0000-0000-0000BF7C0000}"/>
    <cellStyle name="Normal 4 5 2 2 4 4" xfId="26452" xr:uid="{00000000-0005-0000-0000-0000C07C0000}"/>
    <cellStyle name="Normal 4 5 2 2 4 5" xfId="26453" xr:uid="{00000000-0005-0000-0000-0000C17C0000}"/>
    <cellStyle name="Normal 4 5 2 2 4 6" xfId="39925" xr:uid="{00000000-0005-0000-0000-0000C27C0000}"/>
    <cellStyle name="Normal 4 5 2 2 5" xfId="26454" xr:uid="{00000000-0005-0000-0000-0000C37C0000}"/>
    <cellStyle name="Normal 4 5 2 2 5 2" xfId="26455" xr:uid="{00000000-0005-0000-0000-0000C47C0000}"/>
    <cellStyle name="Normal 4 5 2 2 5 2 2" xfId="26456" xr:uid="{00000000-0005-0000-0000-0000C57C0000}"/>
    <cellStyle name="Normal 4 5 2 2 5 3" xfId="26457" xr:uid="{00000000-0005-0000-0000-0000C67C0000}"/>
    <cellStyle name="Normal 4 5 2 2 5 4" xfId="26458" xr:uid="{00000000-0005-0000-0000-0000C77C0000}"/>
    <cellStyle name="Normal 4 5 2 2 5 5" xfId="39927" xr:uid="{00000000-0005-0000-0000-0000C87C0000}"/>
    <cellStyle name="Normal 4 5 2 2 6" xfId="26459" xr:uid="{00000000-0005-0000-0000-0000C97C0000}"/>
    <cellStyle name="Normal 4 5 2 2 6 2" xfId="26460" xr:uid="{00000000-0005-0000-0000-0000CA7C0000}"/>
    <cellStyle name="Normal 4 5 2 2 6 2 2" xfId="26461" xr:uid="{00000000-0005-0000-0000-0000CB7C0000}"/>
    <cellStyle name="Normal 4 5 2 2 6 3" xfId="26462" xr:uid="{00000000-0005-0000-0000-0000CC7C0000}"/>
    <cellStyle name="Normal 4 5 2 2 6 4" xfId="26463" xr:uid="{00000000-0005-0000-0000-0000CD7C0000}"/>
    <cellStyle name="Normal 4 5 2 2 7" xfId="26464" xr:uid="{00000000-0005-0000-0000-0000CE7C0000}"/>
    <cellStyle name="Normal 4 5 2 2 7 2" xfId="26465" xr:uid="{00000000-0005-0000-0000-0000CF7C0000}"/>
    <cellStyle name="Normal 4 5 2 2 7 2 2" xfId="26466" xr:uid="{00000000-0005-0000-0000-0000D07C0000}"/>
    <cellStyle name="Normal 4 5 2 2 7 3" xfId="26467" xr:uid="{00000000-0005-0000-0000-0000D17C0000}"/>
    <cellStyle name="Normal 4 5 2 2 7 4" xfId="26468" xr:uid="{00000000-0005-0000-0000-0000D27C0000}"/>
    <cellStyle name="Normal 4 5 2 2 8" xfId="26469" xr:uid="{00000000-0005-0000-0000-0000D37C0000}"/>
    <cellStyle name="Normal 4 5 2 2 8 2" xfId="26470" xr:uid="{00000000-0005-0000-0000-0000D47C0000}"/>
    <cellStyle name="Normal 4 5 2 2 9" xfId="26471" xr:uid="{00000000-0005-0000-0000-0000D57C0000}"/>
    <cellStyle name="Normal 4 5 2 3" xfId="26472" xr:uid="{00000000-0005-0000-0000-0000D67C0000}"/>
    <cellStyle name="Normal 4 5 2 3 10" xfId="35434" xr:uid="{00000000-0005-0000-0000-0000D77C0000}"/>
    <cellStyle name="Normal 4 5 2 3 2" xfId="26473" xr:uid="{00000000-0005-0000-0000-0000D87C0000}"/>
    <cellStyle name="Normal 4 5 2 3 2 2" xfId="26474" xr:uid="{00000000-0005-0000-0000-0000D97C0000}"/>
    <cellStyle name="Normal 4 5 2 3 2 2 2" xfId="26475" xr:uid="{00000000-0005-0000-0000-0000DA7C0000}"/>
    <cellStyle name="Normal 4 5 2 3 2 2 2 2" xfId="26476" xr:uid="{00000000-0005-0000-0000-0000DB7C0000}"/>
    <cellStyle name="Normal 4 5 2 3 2 2 3" xfId="26477" xr:uid="{00000000-0005-0000-0000-0000DC7C0000}"/>
    <cellStyle name="Normal 4 5 2 3 2 2 4" xfId="26478" xr:uid="{00000000-0005-0000-0000-0000DD7C0000}"/>
    <cellStyle name="Normal 4 5 2 3 2 2 5" xfId="39929" xr:uid="{00000000-0005-0000-0000-0000DE7C0000}"/>
    <cellStyle name="Normal 4 5 2 3 2 3" xfId="26479" xr:uid="{00000000-0005-0000-0000-0000DF7C0000}"/>
    <cellStyle name="Normal 4 5 2 3 2 3 2" xfId="26480" xr:uid="{00000000-0005-0000-0000-0000E07C0000}"/>
    <cellStyle name="Normal 4 5 2 3 2 4" xfId="26481" xr:uid="{00000000-0005-0000-0000-0000E17C0000}"/>
    <cellStyle name="Normal 4 5 2 3 2 5" xfId="26482" xr:uid="{00000000-0005-0000-0000-0000E27C0000}"/>
    <cellStyle name="Normal 4 5 2 3 2 6" xfId="39928" xr:uid="{00000000-0005-0000-0000-0000E37C0000}"/>
    <cellStyle name="Normal 4 5 2 3 3" xfId="26483" xr:uid="{00000000-0005-0000-0000-0000E47C0000}"/>
    <cellStyle name="Normal 4 5 2 3 3 2" xfId="26484" xr:uid="{00000000-0005-0000-0000-0000E57C0000}"/>
    <cellStyle name="Normal 4 5 2 3 3 2 2" xfId="26485" xr:uid="{00000000-0005-0000-0000-0000E67C0000}"/>
    <cellStyle name="Normal 4 5 2 3 3 2 2 2" xfId="26486" xr:uid="{00000000-0005-0000-0000-0000E77C0000}"/>
    <cellStyle name="Normal 4 5 2 3 3 2 3" xfId="26487" xr:uid="{00000000-0005-0000-0000-0000E87C0000}"/>
    <cellStyle name="Normal 4 5 2 3 3 2 4" xfId="26488" xr:uid="{00000000-0005-0000-0000-0000E97C0000}"/>
    <cellStyle name="Normal 4 5 2 3 3 2 5" xfId="39931" xr:uid="{00000000-0005-0000-0000-0000EA7C0000}"/>
    <cellStyle name="Normal 4 5 2 3 3 3" xfId="26489" xr:uid="{00000000-0005-0000-0000-0000EB7C0000}"/>
    <cellStyle name="Normal 4 5 2 3 3 3 2" xfId="26490" xr:uid="{00000000-0005-0000-0000-0000EC7C0000}"/>
    <cellStyle name="Normal 4 5 2 3 3 4" xfId="26491" xr:uid="{00000000-0005-0000-0000-0000ED7C0000}"/>
    <cellStyle name="Normal 4 5 2 3 3 5" xfId="26492" xr:uid="{00000000-0005-0000-0000-0000EE7C0000}"/>
    <cellStyle name="Normal 4 5 2 3 3 6" xfId="39930" xr:uid="{00000000-0005-0000-0000-0000EF7C0000}"/>
    <cellStyle name="Normal 4 5 2 3 4" xfId="26493" xr:uid="{00000000-0005-0000-0000-0000F07C0000}"/>
    <cellStyle name="Normal 4 5 2 3 4 2" xfId="26494" xr:uid="{00000000-0005-0000-0000-0000F17C0000}"/>
    <cellStyle name="Normal 4 5 2 3 4 2 2" xfId="26495" xr:uid="{00000000-0005-0000-0000-0000F27C0000}"/>
    <cellStyle name="Normal 4 5 2 3 4 3" xfId="26496" xr:uid="{00000000-0005-0000-0000-0000F37C0000}"/>
    <cellStyle name="Normal 4 5 2 3 4 4" xfId="26497" xr:uid="{00000000-0005-0000-0000-0000F47C0000}"/>
    <cellStyle name="Normal 4 5 2 3 4 5" xfId="39932" xr:uid="{00000000-0005-0000-0000-0000F57C0000}"/>
    <cellStyle name="Normal 4 5 2 3 5" xfId="26498" xr:uid="{00000000-0005-0000-0000-0000F67C0000}"/>
    <cellStyle name="Normal 4 5 2 3 5 2" xfId="26499" xr:uid="{00000000-0005-0000-0000-0000F77C0000}"/>
    <cellStyle name="Normal 4 5 2 3 5 2 2" xfId="26500" xr:uid="{00000000-0005-0000-0000-0000F87C0000}"/>
    <cellStyle name="Normal 4 5 2 3 5 3" xfId="26501" xr:uid="{00000000-0005-0000-0000-0000F97C0000}"/>
    <cellStyle name="Normal 4 5 2 3 5 4" xfId="26502" xr:uid="{00000000-0005-0000-0000-0000FA7C0000}"/>
    <cellStyle name="Normal 4 5 2 3 6" xfId="26503" xr:uid="{00000000-0005-0000-0000-0000FB7C0000}"/>
    <cellStyle name="Normal 4 5 2 3 6 2" xfId="26504" xr:uid="{00000000-0005-0000-0000-0000FC7C0000}"/>
    <cellStyle name="Normal 4 5 2 3 6 2 2" xfId="26505" xr:uid="{00000000-0005-0000-0000-0000FD7C0000}"/>
    <cellStyle name="Normal 4 5 2 3 6 3" xfId="26506" xr:uid="{00000000-0005-0000-0000-0000FE7C0000}"/>
    <cellStyle name="Normal 4 5 2 3 6 4" xfId="26507" xr:uid="{00000000-0005-0000-0000-0000FF7C0000}"/>
    <cellStyle name="Normal 4 5 2 3 7" xfId="26508" xr:uid="{00000000-0005-0000-0000-0000007D0000}"/>
    <cellStyle name="Normal 4 5 2 3 7 2" xfId="26509" xr:uid="{00000000-0005-0000-0000-0000017D0000}"/>
    <cellStyle name="Normal 4 5 2 3 8" xfId="26510" xr:uid="{00000000-0005-0000-0000-0000027D0000}"/>
    <cellStyle name="Normal 4 5 2 3 9" xfId="26511" xr:uid="{00000000-0005-0000-0000-0000037D0000}"/>
    <cellStyle name="Normal 4 5 2 4" xfId="26512" xr:uid="{00000000-0005-0000-0000-0000047D0000}"/>
    <cellStyle name="Normal 4 5 2 4 2" xfId="26513" xr:uid="{00000000-0005-0000-0000-0000057D0000}"/>
    <cellStyle name="Normal 4 5 2 4 2 2" xfId="26514" xr:uid="{00000000-0005-0000-0000-0000067D0000}"/>
    <cellStyle name="Normal 4 5 2 4 2 2 2" xfId="26515" xr:uid="{00000000-0005-0000-0000-0000077D0000}"/>
    <cellStyle name="Normal 4 5 2 4 2 3" xfId="26516" xr:uid="{00000000-0005-0000-0000-0000087D0000}"/>
    <cellStyle name="Normal 4 5 2 4 2 4" xfId="26517" xr:uid="{00000000-0005-0000-0000-0000097D0000}"/>
    <cellStyle name="Normal 4 5 2 4 2 5" xfId="39934" xr:uid="{00000000-0005-0000-0000-00000A7D0000}"/>
    <cellStyle name="Normal 4 5 2 4 3" xfId="26518" xr:uid="{00000000-0005-0000-0000-00000B7D0000}"/>
    <cellStyle name="Normal 4 5 2 4 3 2" xfId="26519" xr:uid="{00000000-0005-0000-0000-00000C7D0000}"/>
    <cellStyle name="Normal 4 5 2 4 4" xfId="26520" xr:uid="{00000000-0005-0000-0000-00000D7D0000}"/>
    <cellStyle name="Normal 4 5 2 4 5" xfId="26521" xr:uid="{00000000-0005-0000-0000-00000E7D0000}"/>
    <cellStyle name="Normal 4 5 2 4 6" xfId="39933" xr:uid="{00000000-0005-0000-0000-00000F7D0000}"/>
    <cellStyle name="Normal 4 5 2 5" xfId="26522" xr:uid="{00000000-0005-0000-0000-0000107D0000}"/>
    <cellStyle name="Normal 4 5 2 5 2" xfId="26523" xr:uid="{00000000-0005-0000-0000-0000117D0000}"/>
    <cellStyle name="Normal 4 5 2 5 2 2" xfId="26524" xr:uid="{00000000-0005-0000-0000-0000127D0000}"/>
    <cellStyle name="Normal 4 5 2 5 2 2 2" xfId="26525" xr:uid="{00000000-0005-0000-0000-0000137D0000}"/>
    <cellStyle name="Normal 4 5 2 5 2 3" xfId="26526" xr:uid="{00000000-0005-0000-0000-0000147D0000}"/>
    <cellStyle name="Normal 4 5 2 5 2 4" xfId="26527" xr:uid="{00000000-0005-0000-0000-0000157D0000}"/>
    <cellStyle name="Normal 4 5 2 5 2 5" xfId="39936" xr:uid="{00000000-0005-0000-0000-0000167D0000}"/>
    <cellStyle name="Normal 4 5 2 5 3" xfId="26528" xr:uid="{00000000-0005-0000-0000-0000177D0000}"/>
    <cellStyle name="Normal 4 5 2 5 3 2" xfId="26529" xr:uid="{00000000-0005-0000-0000-0000187D0000}"/>
    <cellStyle name="Normal 4 5 2 5 4" xfId="26530" xr:uid="{00000000-0005-0000-0000-0000197D0000}"/>
    <cellStyle name="Normal 4 5 2 5 5" xfId="26531" xr:uid="{00000000-0005-0000-0000-00001A7D0000}"/>
    <cellStyle name="Normal 4 5 2 5 6" xfId="39935" xr:uid="{00000000-0005-0000-0000-00001B7D0000}"/>
    <cellStyle name="Normal 4 5 2 6" xfId="26532" xr:uid="{00000000-0005-0000-0000-00001C7D0000}"/>
    <cellStyle name="Normal 4 5 2 6 2" xfId="26533" xr:uid="{00000000-0005-0000-0000-00001D7D0000}"/>
    <cellStyle name="Normal 4 5 2 6 2 2" xfId="26534" xr:uid="{00000000-0005-0000-0000-00001E7D0000}"/>
    <cellStyle name="Normal 4 5 2 6 3" xfId="26535" xr:uid="{00000000-0005-0000-0000-00001F7D0000}"/>
    <cellStyle name="Normal 4 5 2 6 4" xfId="26536" xr:uid="{00000000-0005-0000-0000-0000207D0000}"/>
    <cellStyle name="Normal 4 5 2 6 5" xfId="39937" xr:uid="{00000000-0005-0000-0000-0000217D0000}"/>
    <cellStyle name="Normal 4 5 2 7" xfId="26537" xr:uid="{00000000-0005-0000-0000-0000227D0000}"/>
    <cellStyle name="Normal 4 5 2 7 2" xfId="26538" xr:uid="{00000000-0005-0000-0000-0000237D0000}"/>
    <cellStyle name="Normal 4 5 2 7 2 2" xfId="26539" xr:uid="{00000000-0005-0000-0000-0000247D0000}"/>
    <cellStyle name="Normal 4 5 2 7 3" xfId="26540" xr:uid="{00000000-0005-0000-0000-0000257D0000}"/>
    <cellStyle name="Normal 4 5 2 7 4" xfId="26541" xr:uid="{00000000-0005-0000-0000-0000267D0000}"/>
    <cellStyle name="Normal 4 5 2 8" xfId="26542" xr:uid="{00000000-0005-0000-0000-0000277D0000}"/>
    <cellStyle name="Normal 4 5 2 8 2" xfId="26543" xr:uid="{00000000-0005-0000-0000-0000287D0000}"/>
    <cellStyle name="Normal 4 5 2 8 2 2" xfId="26544" xr:uid="{00000000-0005-0000-0000-0000297D0000}"/>
    <cellStyle name="Normal 4 5 2 8 3" xfId="26545" xr:uid="{00000000-0005-0000-0000-00002A7D0000}"/>
    <cellStyle name="Normal 4 5 2 8 4" xfId="26546" xr:uid="{00000000-0005-0000-0000-00002B7D0000}"/>
    <cellStyle name="Normal 4 5 2 9" xfId="26547" xr:uid="{00000000-0005-0000-0000-00002C7D0000}"/>
    <cellStyle name="Normal 4 5 2 9 2" xfId="26548" xr:uid="{00000000-0005-0000-0000-00002D7D0000}"/>
    <cellStyle name="Normal 4 5 3" xfId="26549" xr:uid="{00000000-0005-0000-0000-00002E7D0000}"/>
    <cellStyle name="Normal 4 5 3 10" xfId="26550" xr:uid="{00000000-0005-0000-0000-00002F7D0000}"/>
    <cellStyle name="Normal 4 5 3 11" xfId="35435" xr:uid="{00000000-0005-0000-0000-0000307D0000}"/>
    <cellStyle name="Normal 4 5 3 2" xfId="26551" xr:uid="{00000000-0005-0000-0000-0000317D0000}"/>
    <cellStyle name="Normal 4 5 3 2 10" xfId="35436" xr:uid="{00000000-0005-0000-0000-0000327D0000}"/>
    <cellStyle name="Normal 4 5 3 2 2" xfId="26552" xr:uid="{00000000-0005-0000-0000-0000337D0000}"/>
    <cellStyle name="Normal 4 5 3 2 2 2" xfId="26553" xr:uid="{00000000-0005-0000-0000-0000347D0000}"/>
    <cellStyle name="Normal 4 5 3 2 2 2 2" xfId="26554" xr:uid="{00000000-0005-0000-0000-0000357D0000}"/>
    <cellStyle name="Normal 4 5 3 2 2 2 2 2" xfId="26555" xr:uid="{00000000-0005-0000-0000-0000367D0000}"/>
    <cellStyle name="Normal 4 5 3 2 2 2 3" xfId="26556" xr:uid="{00000000-0005-0000-0000-0000377D0000}"/>
    <cellStyle name="Normal 4 5 3 2 2 2 4" xfId="26557" xr:uid="{00000000-0005-0000-0000-0000387D0000}"/>
    <cellStyle name="Normal 4 5 3 2 2 2 5" xfId="39939" xr:uid="{00000000-0005-0000-0000-0000397D0000}"/>
    <cellStyle name="Normal 4 5 3 2 2 3" xfId="26558" xr:uid="{00000000-0005-0000-0000-00003A7D0000}"/>
    <cellStyle name="Normal 4 5 3 2 2 3 2" xfId="26559" xr:uid="{00000000-0005-0000-0000-00003B7D0000}"/>
    <cellStyle name="Normal 4 5 3 2 2 4" xfId="26560" xr:uid="{00000000-0005-0000-0000-00003C7D0000}"/>
    <cellStyle name="Normal 4 5 3 2 2 5" xfId="26561" xr:uid="{00000000-0005-0000-0000-00003D7D0000}"/>
    <cellStyle name="Normal 4 5 3 2 2 6" xfId="39938" xr:uid="{00000000-0005-0000-0000-00003E7D0000}"/>
    <cellStyle name="Normal 4 5 3 2 3" xfId="26562" xr:uid="{00000000-0005-0000-0000-00003F7D0000}"/>
    <cellStyle name="Normal 4 5 3 2 3 2" xfId="26563" xr:uid="{00000000-0005-0000-0000-0000407D0000}"/>
    <cellStyle name="Normal 4 5 3 2 3 2 2" xfId="26564" xr:uid="{00000000-0005-0000-0000-0000417D0000}"/>
    <cellStyle name="Normal 4 5 3 2 3 2 2 2" xfId="26565" xr:uid="{00000000-0005-0000-0000-0000427D0000}"/>
    <cellStyle name="Normal 4 5 3 2 3 2 3" xfId="26566" xr:uid="{00000000-0005-0000-0000-0000437D0000}"/>
    <cellStyle name="Normal 4 5 3 2 3 2 4" xfId="26567" xr:uid="{00000000-0005-0000-0000-0000447D0000}"/>
    <cellStyle name="Normal 4 5 3 2 3 2 5" xfId="39941" xr:uid="{00000000-0005-0000-0000-0000457D0000}"/>
    <cellStyle name="Normal 4 5 3 2 3 3" xfId="26568" xr:uid="{00000000-0005-0000-0000-0000467D0000}"/>
    <cellStyle name="Normal 4 5 3 2 3 3 2" xfId="26569" xr:uid="{00000000-0005-0000-0000-0000477D0000}"/>
    <cellStyle name="Normal 4 5 3 2 3 4" xfId="26570" xr:uid="{00000000-0005-0000-0000-0000487D0000}"/>
    <cellStyle name="Normal 4 5 3 2 3 5" xfId="26571" xr:uid="{00000000-0005-0000-0000-0000497D0000}"/>
    <cellStyle name="Normal 4 5 3 2 3 6" xfId="39940" xr:uid="{00000000-0005-0000-0000-00004A7D0000}"/>
    <cellStyle name="Normal 4 5 3 2 4" xfId="26572" xr:uid="{00000000-0005-0000-0000-00004B7D0000}"/>
    <cellStyle name="Normal 4 5 3 2 4 2" xfId="26573" xr:uid="{00000000-0005-0000-0000-00004C7D0000}"/>
    <cellStyle name="Normal 4 5 3 2 4 2 2" xfId="26574" xr:uid="{00000000-0005-0000-0000-00004D7D0000}"/>
    <cellStyle name="Normal 4 5 3 2 4 3" xfId="26575" xr:uid="{00000000-0005-0000-0000-00004E7D0000}"/>
    <cellStyle name="Normal 4 5 3 2 4 4" xfId="26576" xr:uid="{00000000-0005-0000-0000-00004F7D0000}"/>
    <cellStyle name="Normal 4 5 3 2 4 5" xfId="39942" xr:uid="{00000000-0005-0000-0000-0000507D0000}"/>
    <cellStyle name="Normal 4 5 3 2 5" xfId="26577" xr:uid="{00000000-0005-0000-0000-0000517D0000}"/>
    <cellStyle name="Normal 4 5 3 2 5 2" xfId="26578" xr:uid="{00000000-0005-0000-0000-0000527D0000}"/>
    <cellStyle name="Normal 4 5 3 2 5 2 2" xfId="26579" xr:uid="{00000000-0005-0000-0000-0000537D0000}"/>
    <cellStyle name="Normal 4 5 3 2 5 3" xfId="26580" xr:uid="{00000000-0005-0000-0000-0000547D0000}"/>
    <cellStyle name="Normal 4 5 3 2 5 4" xfId="26581" xr:uid="{00000000-0005-0000-0000-0000557D0000}"/>
    <cellStyle name="Normal 4 5 3 2 6" xfId="26582" xr:uid="{00000000-0005-0000-0000-0000567D0000}"/>
    <cellStyle name="Normal 4 5 3 2 6 2" xfId="26583" xr:uid="{00000000-0005-0000-0000-0000577D0000}"/>
    <cellStyle name="Normal 4 5 3 2 6 2 2" xfId="26584" xr:uid="{00000000-0005-0000-0000-0000587D0000}"/>
    <cellStyle name="Normal 4 5 3 2 6 3" xfId="26585" xr:uid="{00000000-0005-0000-0000-0000597D0000}"/>
    <cellStyle name="Normal 4 5 3 2 6 4" xfId="26586" xr:uid="{00000000-0005-0000-0000-00005A7D0000}"/>
    <cellStyle name="Normal 4 5 3 2 7" xfId="26587" xr:uid="{00000000-0005-0000-0000-00005B7D0000}"/>
    <cellStyle name="Normal 4 5 3 2 7 2" xfId="26588" xr:uid="{00000000-0005-0000-0000-00005C7D0000}"/>
    <cellStyle name="Normal 4 5 3 2 8" xfId="26589" xr:uid="{00000000-0005-0000-0000-00005D7D0000}"/>
    <cellStyle name="Normal 4 5 3 2 9" xfId="26590" xr:uid="{00000000-0005-0000-0000-00005E7D0000}"/>
    <cellStyle name="Normal 4 5 3 3" xfId="26591" xr:uid="{00000000-0005-0000-0000-00005F7D0000}"/>
    <cellStyle name="Normal 4 5 3 3 2" xfId="26592" xr:uid="{00000000-0005-0000-0000-0000607D0000}"/>
    <cellStyle name="Normal 4 5 3 3 2 2" xfId="26593" xr:uid="{00000000-0005-0000-0000-0000617D0000}"/>
    <cellStyle name="Normal 4 5 3 3 2 2 2" xfId="26594" xr:uid="{00000000-0005-0000-0000-0000627D0000}"/>
    <cellStyle name="Normal 4 5 3 3 2 3" xfId="26595" xr:uid="{00000000-0005-0000-0000-0000637D0000}"/>
    <cellStyle name="Normal 4 5 3 3 2 4" xfId="26596" xr:uid="{00000000-0005-0000-0000-0000647D0000}"/>
    <cellStyle name="Normal 4 5 3 3 2 5" xfId="39944" xr:uid="{00000000-0005-0000-0000-0000657D0000}"/>
    <cellStyle name="Normal 4 5 3 3 3" xfId="26597" xr:uid="{00000000-0005-0000-0000-0000667D0000}"/>
    <cellStyle name="Normal 4 5 3 3 3 2" xfId="26598" xr:uid="{00000000-0005-0000-0000-0000677D0000}"/>
    <cellStyle name="Normal 4 5 3 3 4" xfId="26599" xr:uid="{00000000-0005-0000-0000-0000687D0000}"/>
    <cellStyle name="Normal 4 5 3 3 5" xfId="26600" xr:uid="{00000000-0005-0000-0000-0000697D0000}"/>
    <cellStyle name="Normal 4 5 3 3 6" xfId="39943" xr:uid="{00000000-0005-0000-0000-00006A7D0000}"/>
    <cellStyle name="Normal 4 5 3 4" xfId="26601" xr:uid="{00000000-0005-0000-0000-00006B7D0000}"/>
    <cellStyle name="Normal 4 5 3 4 2" xfId="26602" xr:uid="{00000000-0005-0000-0000-00006C7D0000}"/>
    <cellStyle name="Normal 4 5 3 4 2 2" xfId="26603" xr:uid="{00000000-0005-0000-0000-00006D7D0000}"/>
    <cellStyle name="Normal 4 5 3 4 2 2 2" xfId="26604" xr:uid="{00000000-0005-0000-0000-00006E7D0000}"/>
    <cellStyle name="Normal 4 5 3 4 2 3" xfId="26605" xr:uid="{00000000-0005-0000-0000-00006F7D0000}"/>
    <cellStyle name="Normal 4 5 3 4 2 4" xfId="26606" xr:uid="{00000000-0005-0000-0000-0000707D0000}"/>
    <cellStyle name="Normal 4 5 3 4 2 5" xfId="39946" xr:uid="{00000000-0005-0000-0000-0000717D0000}"/>
    <cellStyle name="Normal 4 5 3 4 3" xfId="26607" xr:uid="{00000000-0005-0000-0000-0000727D0000}"/>
    <cellStyle name="Normal 4 5 3 4 3 2" xfId="26608" xr:uid="{00000000-0005-0000-0000-0000737D0000}"/>
    <cellStyle name="Normal 4 5 3 4 4" xfId="26609" xr:uid="{00000000-0005-0000-0000-0000747D0000}"/>
    <cellStyle name="Normal 4 5 3 4 5" xfId="26610" xr:uid="{00000000-0005-0000-0000-0000757D0000}"/>
    <cellStyle name="Normal 4 5 3 4 6" xfId="39945" xr:uid="{00000000-0005-0000-0000-0000767D0000}"/>
    <cellStyle name="Normal 4 5 3 5" xfId="26611" xr:uid="{00000000-0005-0000-0000-0000777D0000}"/>
    <cellStyle name="Normal 4 5 3 5 2" xfId="26612" xr:uid="{00000000-0005-0000-0000-0000787D0000}"/>
    <cellStyle name="Normal 4 5 3 5 2 2" xfId="26613" xr:uid="{00000000-0005-0000-0000-0000797D0000}"/>
    <cellStyle name="Normal 4 5 3 5 3" xfId="26614" xr:uid="{00000000-0005-0000-0000-00007A7D0000}"/>
    <cellStyle name="Normal 4 5 3 5 4" xfId="26615" xr:uid="{00000000-0005-0000-0000-00007B7D0000}"/>
    <cellStyle name="Normal 4 5 3 5 5" xfId="39947" xr:uid="{00000000-0005-0000-0000-00007C7D0000}"/>
    <cellStyle name="Normal 4 5 3 6" xfId="26616" xr:uid="{00000000-0005-0000-0000-00007D7D0000}"/>
    <cellStyle name="Normal 4 5 3 6 2" xfId="26617" xr:uid="{00000000-0005-0000-0000-00007E7D0000}"/>
    <cellStyle name="Normal 4 5 3 6 2 2" xfId="26618" xr:uid="{00000000-0005-0000-0000-00007F7D0000}"/>
    <cellStyle name="Normal 4 5 3 6 3" xfId="26619" xr:uid="{00000000-0005-0000-0000-0000807D0000}"/>
    <cellStyle name="Normal 4 5 3 6 4" xfId="26620" xr:uid="{00000000-0005-0000-0000-0000817D0000}"/>
    <cellStyle name="Normal 4 5 3 7" xfId="26621" xr:uid="{00000000-0005-0000-0000-0000827D0000}"/>
    <cellStyle name="Normal 4 5 3 7 2" xfId="26622" xr:uid="{00000000-0005-0000-0000-0000837D0000}"/>
    <cellStyle name="Normal 4 5 3 7 2 2" xfId="26623" xr:uid="{00000000-0005-0000-0000-0000847D0000}"/>
    <cellStyle name="Normal 4 5 3 7 3" xfId="26624" xr:uid="{00000000-0005-0000-0000-0000857D0000}"/>
    <cellStyle name="Normal 4 5 3 7 4" xfId="26625" xr:uid="{00000000-0005-0000-0000-0000867D0000}"/>
    <cellStyle name="Normal 4 5 3 8" xfId="26626" xr:uid="{00000000-0005-0000-0000-0000877D0000}"/>
    <cellStyle name="Normal 4 5 3 8 2" xfId="26627" xr:uid="{00000000-0005-0000-0000-0000887D0000}"/>
    <cellStyle name="Normal 4 5 3 9" xfId="26628" xr:uid="{00000000-0005-0000-0000-0000897D0000}"/>
    <cellStyle name="Normal 4 5 4" xfId="26629" xr:uid="{00000000-0005-0000-0000-00008A7D0000}"/>
    <cellStyle name="Normal 4 5 4 10" xfId="35437" xr:uid="{00000000-0005-0000-0000-00008B7D0000}"/>
    <cellStyle name="Normal 4 5 4 2" xfId="26630" xr:uid="{00000000-0005-0000-0000-00008C7D0000}"/>
    <cellStyle name="Normal 4 5 4 2 2" xfId="26631" xr:uid="{00000000-0005-0000-0000-00008D7D0000}"/>
    <cellStyle name="Normal 4 5 4 2 2 2" xfId="26632" xr:uid="{00000000-0005-0000-0000-00008E7D0000}"/>
    <cellStyle name="Normal 4 5 4 2 2 2 2" xfId="26633" xr:uid="{00000000-0005-0000-0000-00008F7D0000}"/>
    <cellStyle name="Normal 4 5 4 2 2 3" xfId="26634" xr:uid="{00000000-0005-0000-0000-0000907D0000}"/>
    <cellStyle name="Normal 4 5 4 2 2 4" xfId="26635" xr:uid="{00000000-0005-0000-0000-0000917D0000}"/>
    <cellStyle name="Normal 4 5 4 2 2 5" xfId="39949" xr:uid="{00000000-0005-0000-0000-0000927D0000}"/>
    <cellStyle name="Normal 4 5 4 2 3" xfId="26636" xr:uid="{00000000-0005-0000-0000-0000937D0000}"/>
    <cellStyle name="Normal 4 5 4 2 3 2" xfId="26637" xr:uid="{00000000-0005-0000-0000-0000947D0000}"/>
    <cellStyle name="Normal 4 5 4 2 4" xfId="26638" xr:uid="{00000000-0005-0000-0000-0000957D0000}"/>
    <cellStyle name="Normal 4 5 4 2 5" xfId="26639" xr:uid="{00000000-0005-0000-0000-0000967D0000}"/>
    <cellStyle name="Normal 4 5 4 2 6" xfId="39948" xr:uid="{00000000-0005-0000-0000-0000977D0000}"/>
    <cellStyle name="Normal 4 5 4 3" xfId="26640" xr:uid="{00000000-0005-0000-0000-0000987D0000}"/>
    <cellStyle name="Normal 4 5 4 3 2" xfId="26641" xr:uid="{00000000-0005-0000-0000-0000997D0000}"/>
    <cellStyle name="Normal 4 5 4 3 2 2" xfId="26642" xr:uid="{00000000-0005-0000-0000-00009A7D0000}"/>
    <cellStyle name="Normal 4 5 4 3 2 2 2" xfId="26643" xr:uid="{00000000-0005-0000-0000-00009B7D0000}"/>
    <cellStyle name="Normal 4 5 4 3 2 3" xfId="26644" xr:uid="{00000000-0005-0000-0000-00009C7D0000}"/>
    <cellStyle name="Normal 4 5 4 3 2 4" xfId="26645" xr:uid="{00000000-0005-0000-0000-00009D7D0000}"/>
    <cellStyle name="Normal 4 5 4 3 2 5" xfId="39951" xr:uid="{00000000-0005-0000-0000-00009E7D0000}"/>
    <cellStyle name="Normal 4 5 4 3 3" xfId="26646" xr:uid="{00000000-0005-0000-0000-00009F7D0000}"/>
    <cellStyle name="Normal 4 5 4 3 3 2" xfId="26647" xr:uid="{00000000-0005-0000-0000-0000A07D0000}"/>
    <cellStyle name="Normal 4 5 4 3 4" xfId="26648" xr:uid="{00000000-0005-0000-0000-0000A17D0000}"/>
    <cellStyle name="Normal 4 5 4 3 5" xfId="26649" xr:uid="{00000000-0005-0000-0000-0000A27D0000}"/>
    <cellStyle name="Normal 4 5 4 3 6" xfId="39950" xr:uid="{00000000-0005-0000-0000-0000A37D0000}"/>
    <cellStyle name="Normal 4 5 4 4" xfId="26650" xr:uid="{00000000-0005-0000-0000-0000A47D0000}"/>
    <cellStyle name="Normal 4 5 4 4 2" xfId="26651" xr:uid="{00000000-0005-0000-0000-0000A57D0000}"/>
    <cellStyle name="Normal 4 5 4 4 2 2" xfId="26652" xr:uid="{00000000-0005-0000-0000-0000A67D0000}"/>
    <cellStyle name="Normal 4 5 4 4 3" xfId="26653" xr:uid="{00000000-0005-0000-0000-0000A77D0000}"/>
    <cellStyle name="Normal 4 5 4 4 4" xfId="26654" xr:uid="{00000000-0005-0000-0000-0000A87D0000}"/>
    <cellStyle name="Normal 4 5 4 4 5" xfId="39952" xr:uid="{00000000-0005-0000-0000-0000A97D0000}"/>
    <cellStyle name="Normal 4 5 4 5" xfId="26655" xr:uid="{00000000-0005-0000-0000-0000AA7D0000}"/>
    <cellStyle name="Normal 4 5 4 5 2" xfId="26656" xr:uid="{00000000-0005-0000-0000-0000AB7D0000}"/>
    <cellStyle name="Normal 4 5 4 5 2 2" xfId="26657" xr:uid="{00000000-0005-0000-0000-0000AC7D0000}"/>
    <cellStyle name="Normal 4 5 4 5 3" xfId="26658" xr:uid="{00000000-0005-0000-0000-0000AD7D0000}"/>
    <cellStyle name="Normal 4 5 4 5 4" xfId="26659" xr:uid="{00000000-0005-0000-0000-0000AE7D0000}"/>
    <cellStyle name="Normal 4 5 4 6" xfId="26660" xr:uid="{00000000-0005-0000-0000-0000AF7D0000}"/>
    <cellStyle name="Normal 4 5 4 6 2" xfId="26661" xr:uid="{00000000-0005-0000-0000-0000B07D0000}"/>
    <cellStyle name="Normal 4 5 4 6 2 2" xfId="26662" xr:uid="{00000000-0005-0000-0000-0000B17D0000}"/>
    <cellStyle name="Normal 4 5 4 6 3" xfId="26663" xr:uid="{00000000-0005-0000-0000-0000B27D0000}"/>
    <cellStyle name="Normal 4 5 4 6 4" xfId="26664" xr:uid="{00000000-0005-0000-0000-0000B37D0000}"/>
    <cellStyle name="Normal 4 5 4 7" xfId="26665" xr:uid="{00000000-0005-0000-0000-0000B47D0000}"/>
    <cellStyle name="Normal 4 5 4 7 2" xfId="26666" xr:uid="{00000000-0005-0000-0000-0000B57D0000}"/>
    <cellStyle name="Normal 4 5 4 8" xfId="26667" xr:uid="{00000000-0005-0000-0000-0000B67D0000}"/>
    <cellStyle name="Normal 4 5 4 9" xfId="26668" xr:uid="{00000000-0005-0000-0000-0000B77D0000}"/>
    <cellStyle name="Normal 4 5 5" xfId="26669" xr:uid="{00000000-0005-0000-0000-0000B87D0000}"/>
    <cellStyle name="Normal 4 5 5 2" xfId="26670" xr:uid="{00000000-0005-0000-0000-0000B97D0000}"/>
    <cellStyle name="Normal 4 5 5 2 2" xfId="26671" xr:uid="{00000000-0005-0000-0000-0000BA7D0000}"/>
    <cellStyle name="Normal 4 5 5 2 2 2" xfId="26672" xr:uid="{00000000-0005-0000-0000-0000BB7D0000}"/>
    <cellStyle name="Normal 4 5 5 2 3" xfId="26673" xr:uid="{00000000-0005-0000-0000-0000BC7D0000}"/>
    <cellStyle name="Normal 4 5 5 2 4" xfId="26674" xr:uid="{00000000-0005-0000-0000-0000BD7D0000}"/>
    <cellStyle name="Normal 4 5 5 2 5" xfId="39954" xr:uid="{00000000-0005-0000-0000-0000BE7D0000}"/>
    <cellStyle name="Normal 4 5 5 3" xfId="26675" xr:uid="{00000000-0005-0000-0000-0000BF7D0000}"/>
    <cellStyle name="Normal 4 5 5 3 2" xfId="26676" xr:uid="{00000000-0005-0000-0000-0000C07D0000}"/>
    <cellStyle name="Normal 4 5 5 3 2 2" xfId="26677" xr:uid="{00000000-0005-0000-0000-0000C17D0000}"/>
    <cellStyle name="Normal 4 5 5 3 3" xfId="26678" xr:uid="{00000000-0005-0000-0000-0000C27D0000}"/>
    <cellStyle name="Normal 4 5 5 3 4" xfId="26679" xr:uid="{00000000-0005-0000-0000-0000C37D0000}"/>
    <cellStyle name="Normal 4 5 5 3 5" xfId="39955" xr:uid="{00000000-0005-0000-0000-0000C47D0000}"/>
    <cellStyle name="Normal 4 5 5 4" xfId="26680" xr:uid="{00000000-0005-0000-0000-0000C57D0000}"/>
    <cellStyle name="Normal 4 5 5 4 2" xfId="26681" xr:uid="{00000000-0005-0000-0000-0000C67D0000}"/>
    <cellStyle name="Normal 4 5 5 5" xfId="26682" xr:uid="{00000000-0005-0000-0000-0000C77D0000}"/>
    <cellStyle name="Normal 4 5 5 6" xfId="26683" xr:uid="{00000000-0005-0000-0000-0000C87D0000}"/>
    <cellStyle name="Normal 4 5 5 7" xfId="39953" xr:uid="{00000000-0005-0000-0000-0000C97D0000}"/>
    <cellStyle name="Normal 4 5 6" xfId="26684" xr:uid="{00000000-0005-0000-0000-0000CA7D0000}"/>
    <cellStyle name="Normal 4 5 6 2" xfId="26685" xr:uid="{00000000-0005-0000-0000-0000CB7D0000}"/>
    <cellStyle name="Normal 4 5 6 2 2" xfId="26686" xr:uid="{00000000-0005-0000-0000-0000CC7D0000}"/>
    <cellStyle name="Normal 4 5 6 2 2 2" xfId="26687" xr:uid="{00000000-0005-0000-0000-0000CD7D0000}"/>
    <cellStyle name="Normal 4 5 6 2 3" xfId="26688" xr:uid="{00000000-0005-0000-0000-0000CE7D0000}"/>
    <cellStyle name="Normal 4 5 6 2 4" xfId="26689" xr:uid="{00000000-0005-0000-0000-0000CF7D0000}"/>
    <cellStyle name="Normal 4 5 6 2 5" xfId="39957" xr:uid="{00000000-0005-0000-0000-0000D07D0000}"/>
    <cellStyle name="Normal 4 5 6 3" xfId="26690" xr:uid="{00000000-0005-0000-0000-0000D17D0000}"/>
    <cellStyle name="Normal 4 5 6 3 2" xfId="26691" xr:uid="{00000000-0005-0000-0000-0000D27D0000}"/>
    <cellStyle name="Normal 4 5 6 4" xfId="26692" xr:uid="{00000000-0005-0000-0000-0000D37D0000}"/>
    <cellStyle name="Normal 4 5 6 5" xfId="26693" xr:uid="{00000000-0005-0000-0000-0000D47D0000}"/>
    <cellStyle name="Normal 4 5 6 6" xfId="39956" xr:uid="{00000000-0005-0000-0000-0000D57D0000}"/>
    <cellStyle name="Normal 4 5 7" xfId="26694" xr:uid="{00000000-0005-0000-0000-0000D67D0000}"/>
    <cellStyle name="Normal 4 5 7 2" xfId="26695" xr:uid="{00000000-0005-0000-0000-0000D77D0000}"/>
    <cellStyle name="Normal 4 5 7 2 2" xfId="26696" xr:uid="{00000000-0005-0000-0000-0000D87D0000}"/>
    <cellStyle name="Normal 4 5 7 3" xfId="26697" xr:uid="{00000000-0005-0000-0000-0000D97D0000}"/>
    <cellStyle name="Normal 4 5 7 4" xfId="26698" xr:uid="{00000000-0005-0000-0000-0000DA7D0000}"/>
    <cellStyle name="Normal 4 5 7 5" xfId="39958" xr:uid="{00000000-0005-0000-0000-0000DB7D0000}"/>
    <cellStyle name="Normal 4 5 8" xfId="26699" xr:uid="{00000000-0005-0000-0000-0000DC7D0000}"/>
    <cellStyle name="Normal 4 5 8 2" xfId="26700" xr:uid="{00000000-0005-0000-0000-0000DD7D0000}"/>
    <cellStyle name="Normal 4 5 8 2 2" xfId="26701" xr:uid="{00000000-0005-0000-0000-0000DE7D0000}"/>
    <cellStyle name="Normal 4 5 8 3" xfId="26702" xr:uid="{00000000-0005-0000-0000-0000DF7D0000}"/>
    <cellStyle name="Normal 4 5 8 4" xfId="26703" xr:uid="{00000000-0005-0000-0000-0000E07D0000}"/>
    <cellStyle name="Normal 4 5 9" xfId="26704" xr:uid="{00000000-0005-0000-0000-0000E17D0000}"/>
    <cellStyle name="Normal 4 5 9 2" xfId="26705" xr:uid="{00000000-0005-0000-0000-0000E27D0000}"/>
    <cellStyle name="Normal 4 5 9 2 2" xfId="26706" xr:uid="{00000000-0005-0000-0000-0000E37D0000}"/>
    <cellStyle name="Normal 4 5 9 3" xfId="26707" xr:uid="{00000000-0005-0000-0000-0000E47D0000}"/>
    <cellStyle name="Normal 4 5 9 4" xfId="26708" xr:uid="{00000000-0005-0000-0000-0000E57D0000}"/>
    <cellStyle name="Normal 4 6" xfId="26709" xr:uid="{00000000-0005-0000-0000-0000E67D0000}"/>
    <cellStyle name="Normal 4 6 2" xfId="26710" xr:uid="{00000000-0005-0000-0000-0000E77D0000}"/>
    <cellStyle name="Normal 4 6 2 2" xfId="26711" xr:uid="{00000000-0005-0000-0000-0000E87D0000}"/>
    <cellStyle name="Normal 4 6 2 2 2" xfId="26712" xr:uid="{00000000-0005-0000-0000-0000E97D0000}"/>
    <cellStyle name="Normal 4 6 2 2 2 2" xfId="26713" xr:uid="{00000000-0005-0000-0000-0000EA7D0000}"/>
    <cellStyle name="Normal 4 6 2 2 3" xfId="26714" xr:uid="{00000000-0005-0000-0000-0000EB7D0000}"/>
    <cellStyle name="Normal 4 6 2 2 4" xfId="26715" xr:uid="{00000000-0005-0000-0000-0000EC7D0000}"/>
    <cellStyle name="Normal 4 6 2 2 5" xfId="39959" xr:uid="{00000000-0005-0000-0000-0000ED7D0000}"/>
    <cellStyle name="Normal 4 6 3" xfId="42239" xr:uid="{9F8908CC-6529-4B31-92BF-B5B90DD6225F}"/>
    <cellStyle name="Normal 4 7" xfId="26716" xr:uid="{00000000-0005-0000-0000-0000EE7D0000}"/>
    <cellStyle name="Normal 4 7 2" xfId="26717" xr:uid="{00000000-0005-0000-0000-0000EF7D0000}"/>
    <cellStyle name="Normal 4 7 2 2" xfId="26718" xr:uid="{00000000-0005-0000-0000-0000F07D0000}"/>
    <cellStyle name="Normal 4 7 2 2 2" xfId="26719" xr:uid="{00000000-0005-0000-0000-0000F17D0000}"/>
    <cellStyle name="Normal 4 7 2 2 2 2" xfId="26720" xr:uid="{00000000-0005-0000-0000-0000F27D0000}"/>
    <cellStyle name="Normal 4 7 2 2 3" xfId="26721" xr:uid="{00000000-0005-0000-0000-0000F37D0000}"/>
    <cellStyle name="Normal 4 7 2 2 4" xfId="26722" xr:uid="{00000000-0005-0000-0000-0000F47D0000}"/>
    <cellStyle name="Normal 4 7 2 2 5" xfId="39961" xr:uid="{00000000-0005-0000-0000-0000F57D0000}"/>
    <cellStyle name="Normal 4 7 2 3" xfId="26723" xr:uid="{00000000-0005-0000-0000-0000F67D0000}"/>
    <cellStyle name="Normal 4 7 2 3 2" xfId="26724" xr:uid="{00000000-0005-0000-0000-0000F77D0000}"/>
    <cellStyle name="Normal 4 7 2 4" xfId="26725" xr:uid="{00000000-0005-0000-0000-0000F87D0000}"/>
    <cellStyle name="Normal 4 7 2 5" xfId="26726" xr:uid="{00000000-0005-0000-0000-0000F97D0000}"/>
    <cellStyle name="Normal 4 7 2 6" xfId="39960" xr:uid="{00000000-0005-0000-0000-0000FA7D0000}"/>
    <cellStyle name="Normal 4 7 3" xfId="26727" xr:uid="{00000000-0005-0000-0000-0000FB7D0000}"/>
    <cellStyle name="Normal 4 7 3 2" xfId="26728" xr:uid="{00000000-0005-0000-0000-0000FC7D0000}"/>
    <cellStyle name="Normal 4 7 3 2 2" xfId="26729" xr:uid="{00000000-0005-0000-0000-0000FD7D0000}"/>
    <cellStyle name="Normal 4 7 3 2 2 2" xfId="26730" xr:uid="{00000000-0005-0000-0000-0000FE7D0000}"/>
    <cellStyle name="Normal 4 7 3 2 3" xfId="26731" xr:uid="{00000000-0005-0000-0000-0000FF7D0000}"/>
    <cellStyle name="Normal 4 7 3 2 4" xfId="26732" xr:uid="{00000000-0005-0000-0000-0000007E0000}"/>
    <cellStyle name="Normal 4 7 3 2 5" xfId="39963" xr:uid="{00000000-0005-0000-0000-0000017E0000}"/>
    <cellStyle name="Normal 4 7 3 3" xfId="26733" xr:uid="{00000000-0005-0000-0000-0000027E0000}"/>
    <cellStyle name="Normal 4 7 3 3 2" xfId="26734" xr:uid="{00000000-0005-0000-0000-0000037E0000}"/>
    <cellStyle name="Normal 4 7 3 4" xfId="26735" xr:uid="{00000000-0005-0000-0000-0000047E0000}"/>
    <cellStyle name="Normal 4 7 3 5" xfId="26736" xr:uid="{00000000-0005-0000-0000-0000057E0000}"/>
    <cellStyle name="Normal 4 7 3 6" xfId="39962" xr:uid="{00000000-0005-0000-0000-0000067E0000}"/>
    <cellStyle name="Normal 4 7 4" xfId="26737" xr:uid="{00000000-0005-0000-0000-0000077E0000}"/>
    <cellStyle name="Normal 4 7 4 2" xfId="26738" xr:uid="{00000000-0005-0000-0000-0000087E0000}"/>
    <cellStyle name="Normal 4 7 4 2 2" xfId="26739" xr:uid="{00000000-0005-0000-0000-0000097E0000}"/>
    <cellStyle name="Normal 4 7 4 3" xfId="26740" xr:uid="{00000000-0005-0000-0000-00000A7E0000}"/>
    <cellStyle name="Normal 4 7 4 4" xfId="26741" xr:uid="{00000000-0005-0000-0000-00000B7E0000}"/>
    <cellStyle name="Normal 4 7 4 5" xfId="39964" xr:uid="{00000000-0005-0000-0000-00000C7E0000}"/>
    <cellStyle name="Normal 4 7 5" xfId="26742" xr:uid="{00000000-0005-0000-0000-00000D7E0000}"/>
    <cellStyle name="Normal 4 7 5 2" xfId="26743" xr:uid="{00000000-0005-0000-0000-00000E7E0000}"/>
    <cellStyle name="Normal 4 7 5 2 2" xfId="26744" xr:uid="{00000000-0005-0000-0000-00000F7E0000}"/>
    <cellStyle name="Normal 4 7 5 3" xfId="26745" xr:uid="{00000000-0005-0000-0000-0000107E0000}"/>
    <cellStyle name="Normal 4 7 5 4" xfId="26746" xr:uid="{00000000-0005-0000-0000-0000117E0000}"/>
    <cellStyle name="Normal 4 7 6" xfId="26747" xr:uid="{00000000-0005-0000-0000-0000127E0000}"/>
    <cellStyle name="Normal 4 7 6 2" xfId="26748" xr:uid="{00000000-0005-0000-0000-0000137E0000}"/>
    <cellStyle name="Normal 4 7 7" xfId="26749" xr:uid="{00000000-0005-0000-0000-0000147E0000}"/>
    <cellStyle name="Normal 4 7 8" xfId="26750" xr:uid="{00000000-0005-0000-0000-0000157E0000}"/>
    <cellStyle name="Normal 4 7 9" xfId="35438" xr:uid="{00000000-0005-0000-0000-0000167E0000}"/>
    <cellStyle name="Normal 4 8" xfId="26751" xr:uid="{00000000-0005-0000-0000-0000177E0000}"/>
    <cellStyle name="Normal 4 8 2" xfId="26752" xr:uid="{00000000-0005-0000-0000-0000187E0000}"/>
    <cellStyle name="Normal 4 9" xfId="26753" xr:uid="{00000000-0005-0000-0000-0000197E0000}"/>
    <cellStyle name="Normal 4 9 2" xfId="39966" xr:uid="{00000000-0005-0000-0000-00001A7E0000}"/>
    <cellStyle name="Normal 4 9 3" xfId="39965" xr:uid="{00000000-0005-0000-0000-00001B7E0000}"/>
    <cellStyle name="Normal 4_29(d) - Gas extensions -tariffs" xfId="41967" xr:uid="{81B25024-62DD-4F6D-AEB5-AEA640F40282}"/>
    <cellStyle name="Normal 40" xfId="26754" xr:uid="{00000000-0005-0000-0000-00001C7E0000}"/>
    <cellStyle name="Normal 40 2" xfId="26755" xr:uid="{00000000-0005-0000-0000-00001D7E0000}"/>
    <cellStyle name="Normal 40 2 2" xfId="26756" xr:uid="{00000000-0005-0000-0000-00001E7E0000}"/>
    <cellStyle name="Normal 40 3" xfId="26757" xr:uid="{00000000-0005-0000-0000-00001F7E0000}"/>
    <cellStyle name="Normal 40 3 2" xfId="35439" xr:uid="{00000000-0005-0000-0000-0000207E0000}"/>
    <cellStyle name="Normal 40_29(d) - Gas extensions -tariffs" xfId="41968" xr:uid="{62A2A45A-ECE6-421F-B514-B74FE7E330FF}"/>
    <cellStyle name="Normal 41" xfId="26758" xr:uid="{00000000-0005-0000-0000-0000217E0000}"/>
    <cellStyle name="Normal 41 10" xfId="26759" xr:uid="{00000000-0005-0000-0000-0000227E0000}"/>
    <cellStyle name="Normal 41 11" xfId="26760" xr:uid="{00000000-0005-0000-0000-0000237E0000}"/>
    <cellStyle name="Normal 41 12" xfId="35440" xr:uid="{00000000-0005-0000-0000-0000247E0000}"/>
    <cellStyle name="Normal 41 13" xfId="42380" xr:uid="{F7626554-D8DA-403E-BF46-8E125B6346D3}"/>
    <cellStyle name="Normal 41 2" xfId="26761" xr:uid="{00000000-0005-0000-0000-0000257E0000}"/>
    <cellStyle name="Normal 41 2 10" xfId="26762" xr:uid="{00000000-0005-0000-0000-0000267E0000}"/>
    <cellStyle name="Normal 41 2 11" xfId="35441" xr:uid="{00000000-0005-0000-0000-0000277E0000}"/>
    <cellStyle name="Normal 41 2 12" xfId="42381" xr:uid="{B3933A8C-FAEB-4E51-9445-711BC76A0052}"/>
    <cellStyle name="Normal 41 2 2" xfId="26763" xr:uid="{00000000-0005-0000-0000-0000287E0000}"/>
    <cellStyle name="Normal 41 2 2 10" xfId="35442" xr:uid="{00000000-0005-0000-0000-0000297E0000}"/>
    <cellStyle name="Normal 41 2 2 2" xfId="26764" xr:uid="{00000000-0005-0000-0000-00002A7E0000}"/>
    <cellStyle name="Normal 41 2 2 2 2" xfId="26765" xr:uid="{00000000-0005-0000-0000-00002B7E0000}"/>
    <cellStyle name="Normal 41 2 2 2 2 2" xfId="26766" xr:uid="{00000000-0005-0000-0000-00002C7E0000}"/>
    <cellStyle name="Normal 41 2 2 2 2 2 2" xfId="26767" xr:uid="{00000000-0005-0000-0000-00002D7E0000}"/>
    <cellStyle name="Normal 41 2 2 2 2 3" xfId="26768" xr:uid="{00000000-0005-0000-0000-00002E7E0000}"/>
    <cellStyle name="Normal 41 2 2 2 2 4" xfId="26769" xr:uid="{00000000-0005-0000-0000-00002F7E0000}"/>
    <cellStyle name="Normal 41 2 2 2 2 5" xfId="39968" xr:uid="{00000000-0005-0000-0000-0000307E0000}"/>
    <cellStyle name="Normal 41 2 2 2 3" xfId="26770" xr:uid="{00000000-0005-0000-0000-0000317E0000}"/>
    <cellStyle name="Normal 41 2 2 2 3 2" xfId="26771" xr:uid="{00000000-0005-0000-0000-0000327E0000}"/>
    <cellStyle name="Normal 41 2 2 2 4" xfId="26772" xr:uid="{00000000-0005-0000-0000-0000337E0000}"/>
    <cellStyle name="Normal 41 2 2 2 5" xfId="26773" xr:uid="{00000000-0005-0000-0000-0000347E0000}"/>
    <cellStyle name="Normal 41 2 2 2 6" xfId="39967" xr:uid="{00000000-0005-0000-0000-0000357E0000}"/>
    <cellStyle name="Normal 41 2 2 3" xfId="26774" xr:uid="{00000000-0005-0000-0000-0000367E0000}"/>
    <cellStyle name="Normal 41 2 2 3 2" xfId="26775" xr:uid="{00000000-0005-0000-0000-0000377E0000}"/>
    <cellStyle name="Normal 41 2 2 3 2 2" xfId="26776" xr:uid="{00000000-0005-0000-0000-0000387E0000}"/>
    <cellStyle name="Normal 41 2 2 3 2 2 2" xfId="26777" xr:uid="{00000000-0005-0000-0000-0000397E0000}"/>
    <cellStyle name="Normal 41 2 2 3 2 3" xfId="26778" xr:uid="{00000000-0005-0000-0000-00003A7E0000}"/>
    <cellStyle name="Normal 41 2 2 3 2 4" xfId="26779" xr:uid="{00000000-0005-0000-0000-00003B7E0000}"/>
    <cellStyle name="Normal 41 2 2 3 2 5" xfId="39970" xr:uid="{00000000-0005-0000-0000-00003C7E0000}"/>
    <cellStyle name="Normal 41 2 2 3 3" xfId="26780" xr:uid="{00000000-0005-0000-0000-00003D7E0000}"/>
    <cellStyle name="Normal 41 2 2 3 3 2" xfId="26781" xr:uid="{00000000-0005-0000-0000-00003E7E0000}"/>
    <cellStyle name="Normal 41 2 2 3 4" xfId="26782" xr:uid="{00000000-0005-0000-0000-00003F7E0000}"/>
    <cellStyle name="Normal 41 2 2 3 5" xfId="26783" xr:uid="{00000000-0005-0000-0000-0000407E0000}"/>
    <cellStyle name="Normal 41 2 2 3 6" xfId="39969" xr:uid="{00000000-0005-0000-0000-0000417E0000}"/>
    <cellStyle name="Normal 41 2 2 4" xfId="26784" xr:uid="{00000000-0005-0000-0000-0000427E0000}"/>
    <cellStyle name="Normal 41 2 2 4 2" xfId="26785" xr:uid="{00000000-0005-0000-0000-0000437E0000}"/>
    <cellStyle name="Normal 41 2 2 4 2 2" xfId="26786" xr:uid="{00000000-0005-0000-0000-0000447E0000}"/>
    <cellStyle name="Normal 41 2 2 4 3" xfId="26787" xr:uid="{00000000-0005-0000-0000-0000457E0000}"/>
    <cellStyle name="Normal 41 2 2 4 4" xfId="26788" xr:uid="{00000000-0005-0000-0000-0000467E0000}"/>
    <cellStyle name="Normal 41 2 2 4 5" xfId="39971" xr:uid="{00000000-0005-0000-0000-0000477E0000}"/>
    <cellStyle name="Normal 41 2 2 5" xfId="26789" xr:uid="{00000000-0005-0000-0000-0000487E0000}"/>
    <cellStyle name="Normal 41 2 2 5 2" xfId="26790" xr:uid="{00000000-0005-0000-0000-0000497E0000}"/>
    <cellStyle name="Normal 41 2 2 5 2 2" xfId="26791" xr:uid="{00000000-0005-0000-0000-00004A7E0000}"/>
    <cellStyle name="Normal 41 2 2 5 3" xfId="26792" xr:uid="{00000000-0005-0000-0000-00004B7E0000}"/>
    <cellStyle name="Normal 41 2 2 5 4" xfId="26793" xr:uid="{00000000-0005-0000-0000-00004C7E0000}"/>
    <cellStyle name="Normal 41 2 2 6" xfId="26794" xr:uid="{00000000-0005-0000-0000-00004D7E0000}"/>
    <cellStyle name="Normal 41 2 2 6 2" xfId="26795" xr:uid="{00000000-0005-0000-0000-00004E7E0000}"/>
    <cellStyle name="Normal 41 2 2 6 2 2" xfId="26796" xr:uid="{00000000-0005-0000-0000-00004F7E0000}"/>
    <cellStyle name="Normal 41 2 2 6 3" xfId="26797" xr:uid="{00000000-0005-0000-0000-0000507E0000}"/>
    <cellStyle name="Normal 41 2 2 6 4" xfId="26798" xr:uid="{00000000-0005-0000-0000-0000517E0000}"/>
    <cellStyle name="Normal 41 2 2 7" xfId="26799" xr:uid="{00000000-0005-0000-0000-0000527E0000}"/>
    <cellStyle name="Normal 41 2 2 7 2" xfId="26800" xr:uid="{00000000-0005-0000-0000-0000537E0000}"/>
    <cellStyle name="Normal 41 2 2 8" xfId="26801" xr:uid="{00000000-0005-0000-0000-0000547E0000}"/>
    <cellStyle name="Normal 41 2 2 9" xfId="26802" xr:uid="{00000000-0005-0000-0000-0000557E0000}"/>
    <cellStyle name="Normal 41 2 3" xfId="26803" xr:uid="{00000000-0005-0000-0000-0000567E0000}"/>
    <cellStyle name="Normal 41 2 3 2" xfId="26804" xr:uid="{00000000-0005-0000-0000-0000577E0000}"/>
    <cellStyle name="Normal 41 2 3 2 2" xfId="26805" xr:uid="{00000000-0005-0000-0000-0000587E0000}"/>
    <cellStyle name="Normal 41 2 3 2 2 2" xfId="26806" xr:uid="{00000000-0005-0000-0000-0000597E0000}"/>
    <cellStyle name="Normal 41 2 3 2 3" xfId="26807" xr:uid="{00000000-0005-0000-0000-00005A7E0000}"/>
    <cellStyle name="Normal 41 2 3 2 4" xfId="26808" xr:uid="{00000000-0005-0000-0000-00005B7E0000}"/>
    <cellStyle name="Normal 41 2 3 2 5" xfId="39973" xr:uid="{00000000-0005-0000-0000-00005C7E0000}"/>
    <cellStyle name="Normal 41 2 3 3" xfId="26809" xr:uid="{00000000-0005-0000-0000-00005D7E0000}"/>
    <cellStyle name="Normal 41 2 3 3 2" xfId="26810" xr:uid="{00000000-0005-0000-0000-00005E7E0000}"/>
    <cellStyle name="Normal 41 2 3 4" xfId="26811" xr:uid="{00000000-0005-0000-0000-00005F7E0000}"/>
    <cellStyle name="Normal 41 2 3 5" xfId="26812" xr:uid="{00000000-0005-0000-0000-0000607E0000}"/>
    <cellStyle name="Normal 41 2 3 6" xfId="39972" xr:uid="{00000000-0005-0000-0000-0000617E0000}"/>
    <cellStyle name="Normal 41 2 4" xfId="26813" xr:uid="{00000000-0005-0000-0000-0000627E0000}"/>
    <cellStyle name="Normal 41 2 4 2" xfId="26814" xr:uid="{00000000-0005-0000-0000-0000637E0000}"/>
    <cellStyle name="Normal 41 2 4 2 2" xfId="26815" xr:uid="{00000000-0005-0000-0000-0000647E0000}"/>
    <cellStyle name="Normal 41 2 4 2 2 2" xfId="26816" xr:uid="{00000000-0005-0000-0000-0000657E0000}"/>
    <cellStyle name="Normal 41 2 4 2 3" xfId="26817" xr:uid="{00000000-0005-0000-0000-0000667E0000}"/>
    <cellStyle name="Normal 41 2 4 2 4" xfId="26818" xr:uid="{00000000-0005-0000-0000-0000677E0000}"/>
    <cellStyle name="Normal 41 2 4 2 5" xfId="39975" xr:uid="{00000000-0005-0000-0000-0000687E0000}"/>
    <cellStyle name="Normal 41 2 4 3" xfId="26819" xr:uid="{00000000-0005-0000-0000-0000697E0000}"/>
    <cellStyle name="Normal 41 2 4 3 2" xfId="26820" xr:uid="{00000000-0005-0000-0000-00006A7E0000}"/>
    <cellStyle name="Normal 41 2 4 4" xfId="26821" xr:uid="{00000000-0005-0000-0000-00006B7E0000}"/>
    <cellStyle name="Normal 41 2 4 5" xfId="26822" xr:uid="{00000000-0005-0000-0000-00006C7E0000}"/>
    <cellStyle name="Normal 41 2 4 6" xfId="39974" xr:uid="{00000000-0005-0000-0000-00006D7E0000}"/>
    <cellStyle name="Normal 41 2 5" xfId="26823" xr:uid="{00000000-0005-0000-0000-00006E7E0000}"/>
    <cellStyle name="Normal 41 2 5 2" xfId="26824" xr:uid="{00000000-0005-0000-0000-00006F7E0000}"/>
    <cellStyle name="Normal 41 2 5 2 2" xfId="26825" xr:uid="{00000000-0005-0000-0000-0000707E0000}"/>
    <cellStyle name="Normal 41 2 5 3" xfId="26826" xr:uid="{00000000-0005-0000-0000-0000717E0000}"/>
    <cellStyle name="Normal 41 2 5 4" xfId="26827" xr:uid="{00000000-0005-0000-0000-0000727E0000}"/>
    <cellStyle name="Normal 41 2 5 5" xfId="39976" xr:uid="{00000000-0005-0000-0000-0000737E0000}"/>
    <cellStyle name="Normal 41 2 6" xfId="26828" xr:uid="{00000000-0005-0000-0000-0000747E0000}"/>
    <cellStyle name="Normal 41 2 6 2" xfId="26829" xr:uid="{00000000-0005-0000-0000-0000757E0000}"/>
    <cellStyle name="Normal 41 2 6 2 2" xfId="26830" xr:uid="{00000000-0005-0000-0000-0000767E0000}"/>
    <cellStyle name="Normal 41 2 6 3" xfId="26831" xr:uid="{00000000-0005-0000-0000-0000777E0000}"/>
    <cellStyle name="Normal 41 2 6 4" xfId="26832" xr:uid="{00000000-0005-0000-0000-0000787E0000}"/>
    <cellStyle name="Normal 41 2 7" xfId="26833" xr:uid="{00000000-0005-0000-0000-0000797E0000}"/>
    <cellStyle name="Normal 41 2 7 2" xfId="26834" xr:uid="{00000000-0005-0000-0000-00007A7E0000}"/>
    <cellStyle name="Normal 41 2 7 2 2" xfId="26835" xr:uid="{00000000-0005-0000-0000-00007B7E0000}"/>
    <cellStyle name="Normal 41 2 7 3" xfId="26836" xr:uid="{00000000-0005-0000-0000-00007C7E0000}"/>
    <cellStyle name="Normal 41 2 7 4" xfId="26837" xr:uid="{00000000-0005-0000-0000-00007D7E0000}"/>
    <cellStyle name="Normal 41 2 8" xfId="26838" xr:uid="{00000000-0005-0000-0000-00007E7E0000}"/>
    <cellStyle name="Normal 41 2 8 2" xfId="26839" xr:uid="{00000000-0005-0000-0000-00007F7E0000}"/>
    <cellStyle name="Normal 41 2 9" xfId="26840" xr:uid="{00000000-0005-0000-0000-0000807E0000}"/>
    <cellStyle name="Normal 41 3" xfId="26841" xr:uid="{00000000-0005-0000-0000-0000817E0000}"/>
    <cellStyle name="Normal 41 3 10" xfId="35443" xr:uid="{00000000-0005-0000-0000-0000827E0000}"/>
    <cellStyle name="Normal 41 3 2" xfId="26842" xr:uid="{00000000-0005-0000-0000-0000837E0000}"/>
    <cellStyle name="Normal 41 3 2 2" xfId="26843" xr:uid="{00000000-0005-0000-0000-0000847E0000}"/>
    <cellStyle name="Normal 41 3 2 2 2" xfId="26844" xr:uid="{00000000-0005-0000-0000-0000857E0000}"/>
    <cellStyle name="Normal 41 3 2 2 2 2" xfId="26845" xr:uid="{00000000-0005-0000-0000-0000867E0000}"/>
    <cellStyle name="Normal 41 3 2 2 3" xfId="26846" xr:uid="{00000000-0005-0000-0000-0000877E0000}"/>
    <cellStyle name="Normal 41 3 2 2 4" xfId="26847" xr:uid="{00000000-0005-0000-0000-0000887E0000}"/>
    <cellStyle name="Normal 41 3 2 2 5" xfId="39978" xr:uid="{00000000-0005-0000-0000-0000897E0000}"/>
    <cellStyle name="Normal 41 3 2 3" xfId="26848" xr:uid="{00000000-0005-0000-0000-00008A7E0000}"/>
    <cellStyle name="Normal 41 3 2 3 2" xfId="26849" xr:uid="{00000000-0005-0000-0000-00008B7E0000}"/>
    <cellStyle name="Normal 41 3 2 4" xfId="26850" xr:uid="{00000000-0005-0000-0000-00008C7E0000}"/>
    <cellStyle name="Normal 41 3 2 5" xfId="26851" xr:uid="{00000000-0005-0000-0000-00008D7E0000}"/>
    <cellStyle name="Normal 41 3 2 6" xfId="39977" xr:uid="{00000000-0005-0000-0000-00008E7E0000}"/>
    <cellStyle name="Normal 41 3 3" xfId="26852" xr:uid="{00000000-0005-0000-0000-00008F7E0000}"/>
    <cellStyle name="Normal 41 3 3 2" xfId="26853" xr:uid="{00000000-0005-0000-0000-0000907E0000}"/>
    <cellStyle name="Normal 41 3 3 2 2" xfId="26854" xr:uid="{00000000-0005-0000-0000-0000917E0000}"/>
    <cellStyle name="Normal 41 3 3 2 2 2" xfId="26855" xr:uid="{00000000-0005-0000-0000-0000927E0000}"/>
    <cellStyle name="Normal 41 3 3 2 3" xfId="26856" xr:uid="{00000000-0005-0000-0000-0000937E0000}"/>
    <cellStyle name="Normal 41 3 3 2 4" xfId="26857" xr:uid="{00000000-0005-0000-0000-0000947E0000}"/>
    <cellStyle name="Normal 41 3 3 2 5" xfId="39980" xr:uid="{00000000-0005-0000-0000-0000957E0000}"/>
    <cellStyle name="Normal 41 3 3 3" xfId="26858" xr:uid="{00000000-0005-0000-0000-0000967E0000}"/>
    <cellStyle name="Normal 41 3 3 3 2" xfId="26859" xr:uid="{00000000-0005-0000-0000-0000977E0000}"/>
    <cellStyle name="Normal 41 3 3 4" xfId="26860" xr:uid="{00000000-0005-0000-0000-0000987E0000}"/>
    <cellStyle name="Normal 41 3 3 5" xfId="26861" xr:uid="{00000000-0005-0000-0000-0000997E0000}"/>
    <cellStyle name="Normal 41 3 3 6" xfId="39979" xr:uid="{00000000-0005-0000-0000-00009A7E0000}"/>
    <cellStyle name="Normal 41 3 4" xfId="26862" xr:uid="{00000000-0005-0000-0000-00009B7E0000}"/>
    <cellStyle name="Normal 41 3 4 2" xfId="26863" xr:uid="{00000000-0005-0000-0000-00009C7E0000}"/>
    <cellStyle name="Normal 41 3 4 2 2" xfId="26864" xr:uid="{00000000-0005-0000-0000-00009D7E0000}"/>
    <cellStyle name="Normal 41 3 4 3" xfId="26865" xr:uid="{00000000-0005-0000-0000-00009E7E0000}"/>
    <cellStyle name="Normal 41 3 4 4" xfId="26866" xr:uid="{00000000-0005-0000-0000-00009F7E0000}"/>
    <cellStyle name="Normal 41 3 4 5" xfId="39981" xr:uid="{00000000-0005-0000-0000-0000A07E0000}"/>
    <cellStyle name="Normal 41 3 5" xfId="26867" xr:uid="{00000000-0005-0000-0000-0000A17E0000}"/>
    <cellStyle name="Normal 41 3 5 2" xfId="26868" xr:uid="{00000000-0005-0000-0000-0000A27E0000}"/>
    <cellStyle name="Normal 41 3 5 2 2" xfId="26869" xr:uid="{00000000-0005-0000-0000-0000A37E0000}"/>
    <cellStyle name="Normal 41 3 5 3" xfId="26870" xr:uid="{00000000-0005-0000-0000-0000A47E0000}"/>
    <cellStyle name="Normal 41 3 5 4" xfId="26871" xr:uid="{00000000-0005-0000-0000-0000A57E0000}"/>
    <cellStyle name="Normal 41 3 6" xfId="26872" xr:uid="{00000000-0005-0000-0000-0000A67E0000}"/>
    <cellStyle name="Normal 41 3 6 2" xfId="26873" xr:uid="{00000000-0005-0000-0000-0000A77E0000}"/>
    <cellStyle name="Normal 41 3 6 2 2" xfId="26874" xr:uid="{00000000-0005-0000-0000-0000A87E0000}"/>
    <cellStyle name="Normal 41 3 6 3" xfId="26875" xr:uid="{00000000-0005-0000-0000-0000A97E0000}"/>
    <cellStyle name="Normal 41 3 6 4" xfId="26876" xr:uid="{00000000-0005-0000-0000-0000AA7E0000}"/>
    <cellStyle name="Normal 41 3 7" xfId="26877" xr:uid="{00000000-0005-0000-0000-0000AB7E0000}"/>
    <cellStyle name="Normal 41 3 7 2" xfId="26878" xr:uid="{00000000-0005-0000-0000-0000AC7E0000}"/>
    <cellStyle name="Normal 41 3 8" xfId="26879" xr:uid="{00000000-0005-0000-0000-0000AD7E0000}"/>
    <cellStyle name="Normal 41 3 9" xfId="26880" xr:uid="{00000000-0005-0000-0000-0000AE7E0000}"/>
    <cellStyle name="Normal 41 4" xfId="26881" xr:uid="{00000000-0005-0000-0000-0000AF7E0000}"/>
    <cellStyle name="Normal 41 4 2" xfId="26882" xr:uid="{00000000-0005-0000-0000-0000B07E0000}"/>
    <cellStyle name="Normal 41 4 2 2" xfId="26883" xr:uid="{00000000-0005-0000-0000-0000B17E0000}"/>
    <cellStyle name="Normal 41 4 2 2 2" xfId="26884" xr:uid="{00000000-0005-0000-0000-0000B27E0000}"/>
    <cellStyle name="Normal 41 4 2 3" xfId="26885" xr:uid="{00000000-0005-0000-0000-0000B37E0000}"/>
    <cellStyle name="Normal 41 4 2 4" xfId="26886" xr:uid="{00000000-0005-0000-0000-0000B47E0000}"/>
    <cellStyle name="Normal 41 4 2 5" xfId="39983" xr:uid="{00000000-0005-0000-0000-0000B57E0000}"/>
    <cellStyle name="Normal 41 4 3" xfId="26887" xr:uid="{00000000-0005-0000-0000-0000B67E0000}"/>
    <cellStyle name="Normal 41 4 3 2" xfId="26888" xr:uid="{00000000-0005-0000-0000-0000B77E0000}"/>
    <cellStyle name="Normal 41 4 4" xfId="26889" xr:uid="{00000000-0005-0000-0000-0000B87E0000}"/>
    <cellStyle name="Normal 41 4 5" xfId="26890" xr:uid="{00000000-0005-0000-0000-0000B97E0000}"/>
    <cellStyle name="Normal 41 4 6" xfId="39982" xr:uid="{00000000-0005-0000-0000-0000BA7E0000}"/>
    <cellStyle name="Normal 41 5" xfId="26891" xr:uid="{00000000-0005-0000-0000-0000BB7E0000}"/>
    <cellStyle name="Normal 41 5 2" xfId="26892" xr:uid="{00000000-0005-0000-0000-0000BC7E0000}"/>
    <cellStyle name="Normal 41 5 2 2" xfId="26893" xr:uid="{00000000-0005-0000-0000-0000BD7E0000}"/>
    <cellStyle name="Normal 41 5 2 2 2" xfId="26894" xr:uid="{00000000-0005-0000-0000-0000BE7E0000}"/>
    <cellStyle name="Normal 41 5 2 3" xfId="26895" xr:uid="{00000000-0005-0000-0000-0000BF7E0000}"/>
    <cellStyle name="Normal 41 5 2 4" xfId="26896" xr:uid="{00000000-0005-0000-0000-0000C07E0000}"/>
    <cellStyle name="Normal 41 5 2 5" xfId="39985" xr:uid="{00000000-0005-0000-0000-0000C17E0000}"/>
    <cellStyle name="Normal 41 5 3" xfId="26897" xr:uid="{00000000-0005-0000-0000-0000C27E0000}"/>
    <cellStyle name="Normal 41 5 3 2" xfId="26898" xr:uid="{00000000-0005-0000-0000-0000C37E0000}"/>
    <cellStyle name="Normal 41 5 4" xfId="26899" xr:uid="{00000000-0005-0000-0000-0000C47E0000}"/>
    <cellStyle name="Normal 41 5 5" xfId="26900" xr:uid="{00000000-0005-0000-0000-0000C57E0000}"/>
    <cellStyle name="Normal 41 5 6" xfId="39984" xr:uid="{00000000-0005-0000-0000-0000C67E0000}"/>
    <cellStyle name="Normal 41 6" xfId="26901" xr:uid="{00000000-0005-0000-0000-0000C77E0000}"/>
    <cellStyle name="Normal 41 6 2" xfId="26902" xr:uid="{00000000-0005-0000-0000-0000C87E0000}"/>
    <cellStyle name="Normal 41 6 2 2" xfId="26903" xr:uid="{00000000-0005-0000-0000-0000C97E0000}"/>
    <cellStyle name="Normal 41 6 3" xfId="26904" xr:uid="{00000000-0005-0000-0000-0000CA7E0000}"/>
    <cellStyle name="Normal 41 6 4" xfId="26905" xr:uid="{00000000-0005-0000-0000-0000CB7E0000}"/>
    <cellStyle name="Normal 41 6 5" xfId="39986" xr:uid="{00000000-0005-0000-0000-0000CC7E0000}"/>
    <cellStyle name="Normal 41 7" xfId="26906" xr:uid="{00000000-0005-0000-0000-0000CD7E0000}"/>
    <cellStyle name="Normal 41 7 2" xfId="26907" xr:uid="{00000000-0005-0000-0000-0000CE7E0000}"/>
    <cellStyle name="Normal 41 7 2 2" xfId="26908" xr:uid="{00000000-0005-0000-0000-0000CF7E0000}"/>
    <cellStyle name="Normal 41 7 3" xfId="26909" xr:uid="{00000000-0005-0000-0000-0000D07E0000}"/>
    <cellStyle name="Normal 41 7 4" xfId="26910" xr:uid="{00000000-0005-0000-0000-0000D17E0000}"/>
    <cellStyle name="Normal 41 8" xfId="26911" xr:uid="{00000000-0005-0000-0000-0000D27E0000}"/>
    <cellStyle name="Normal 41 8 2" xfId="26912" xr:uid="{00000000-0005-0000-0000-0000D37E0000}"/>
    <cellStyle name="Normal 41 8 2 2" xfId="26913" xr:uid="{00000000-0005-0000-0000-0000D47E0000}"/>
    <cellStyle name="Normal 41 8 3" xfId="26914" xr:uid="{00000000-0005-0000-0000-0000D57E0000}"/>
    <cellStyle name="Normal 41 8 4" xfId="26915" xr:uid="{00000000-0005-0000-0000-0000D67E0000}"/>
    <cellStyle name="Normal 41 9" xfId="26916" xr:uid="{00000000-0005-0000-0000-0000D77E0000}"/>
    <cellStyle name="Normal 41 9 2" xfId="26917" xr:uid="{00000000-0005-0000-0000-0000D87E0000}"/>
    <cellStyle name="Normal 42" xfId="26918" xr:uid="{00000000-0005-0000-0000-0000D97E0000}"/>
    <cellStyle name="Normal 42 2" xfId="26919" xr:uid="{00000000-0005-0000-0000-0000DA7E0000}"/>
    <cellStyle name="Normal 42 2 2" xfId="26920" xr:uid="{00000000-0005-0000-0000-0000DB7E0000}"/>
    <cellStyle name="Normal 42 3" xfId="26921" xr:uid="{00000000-0005-0000-0000-0000DC7E0000}"/>
    <cellStyle name="Normal 43" xfId="26922" xr:uid="{00000000-0005-0000-0000-0000DD7E0000}"/>
    <cellStyle name="Normal 43 10" xfId="26923" xr:uid="{00000000-0005-0000-0000-0000DE7E0000}"/>
    <cellStyle name="Normal 43 11" xfId="26924" xr:uid="{00000000-0005-0000-0000-0000DF7E0000}"/>
    <cellStyle name="Normal 43 12" xfId="35444" xr:uid="{00000000-0005-0000-0000-0000E07E0000}"/>
    <cellStyle name="Normal 43 2" xfId="26925" xr:uid="{00000000-0005-0000-0000-0000E17E0000}"/>
    <cellStyle name="Normal 43 2 10" xfId="26926" xr:uid="{00000000-0005-0000-0000-0000E27E0000}"/>
    <cellStyle name="Normal 43 2 11" xfId="35445" xr:uid="{00000000-0005-0000-0000-0000E37E0000}"/>
    <cellStyle name="Normal 43 2 2" xfId="26927" xr:uid="{00000000-0005-0000-0000-0000E47E0000}"/>
    <cellStyle name="Normal 43 2 2 10" xfId="35446" xr:uid="{00000000-0005-0000-0000-0000E57E0000}"/>
    <cellStyle name="Normal 43 2 2 2" xfId="26928" xr:uid="{00000000-0005-0000-0000-0000E67E0000}"/>
    <cellStyle name="Normal 43 2 2 2 2" xfId="26929" xr:uid="{00000000-0005-0000-0000-0000E77E0000}"/>
    <cellStyle name="Normal 43 2 2 2 2 2" xfId="26930" xr:uid="{00000000-0005-0000-0000-0000E87E0000}"/>
    <cellStyle name="Normal 43 2 2 2 2 2 2" xfId="26931" xr:uid="{00000000-0005-0000-0000-0000E97E0000}"/>
    <cellStyle name="Normal 43 2 2 2 2 3" xfId="26932" xr:uid="{00000000-0005-0000-0000-0000EA7E0000}"/>
    <cellStyle name="Normal 43 2 2 2 2 4" xfId="26933" xr:uid="{00000000-0005-0000-0000-0000EB7E0000}"/>
    <cellStyle name="Normal 43 2 2 2 2 5" xfId="39988" xr:uid="{00000000-0005-0000-0000-0000EC7E0000}"/>
    <cellStyle name="Normal 43 2 2 2 3" xfId="26934" xr:uid="{00000000-0005-0000-0000-0000ED7E0000}"/>
    <cellStyle name="Normal 43 2 2 2 3 2" xfId="26935" xr:uid="{00000000-0005-0000-0000-0000EE7E0000}"/>
    <cellStyle name="Normal 43 2 2 2 4" xfId="26936" xr:uid="{00000000-0005-0000-0000-0000EF7E0000}"/>
    <cellStyle name="Normal 43 2 2 2 5" xfId="26937" xr:uid="{00000000-0005-0000-0000-0000F07E0000}"/>
    <cellStyle name="Normal 43 2 2 2 6" xfId="39987" xr:uid="{00000000-0005-0000-0000-0000F17E0000}"/>
    <cellStyle name="Normal 43 2 2 3" xfId="26938" xr:uid="{00000000-0005-0000-0000-0000F27E0000}"/>
    <cellStyle name="Normal 43 2 2 3 2" xfId="26939" xr:uid="{00000000-0005-0000-0000-0000F37E0000}"/>
    <cellStyle name="Normal 43 2 2 3 2 2" xfId="26940" xr:uid="{00000000-0005-0000-0000-0000F47E0000}"/>
    <cellStyle name="Normal 43 2 2 3 2 2 2" xfId="26941" xr:uid="{00000000-0005-0000-0000-0000F57E0000}"/>
    <cellStyle name="Normal 43 2 2 3 2 3" xfId="26942" xr:uid="{00000000-0005-0000-0000-0000F67E0000}"/>
    <cellStyle name="Normal 43 2 2 3 2 4" xfId="26943" xr:uid="{00000000-0005-0000-0000-0000F77E0000}"/>
    <cellStyle name="Normal 43 2 2 3 2 5" xfId="39990" xr:uid="{00000000-0005-0000-0000-0000F87E0000}"/>
    <cellStyle name="Normal 43 2 2 3 3" xfId="26944" xr:uid="{00000000-0005-0000-0000-0000F97E0000}"/>
    <cellStyle name="Normal 43 2 2 3 3 2" xfId="26945" xr:uid="{00000000-0005-0000-0000-0000FA7E0000}"/>
    <cellStyle name="Normal 43 2 2 3 4" xfId="26946" xr:uid="{00000000-0005-0000-0000-0000FB7E0000}"/>
    <cellStyle name="Normal 43 2 2 3 5" xfId="26947" xr:uid="{00000000-0005-0000-0000-0000FC7E0000}"/>
    <cellStyle name="Normal 43 2 2 3 6" xfId="39989" xr:uid="{00000000-0005-0000-0000-0000FD7E0000}"/>
    <cellStyle name="Normal 43 2 2 4" xfId="26948" xr:uid="{00000000-0005-0000-0000-0000FE7E0000}"/>
    <cellStyle name="Normal 43 2 2 4 2" xfId="26949" xr:uid="{00000000-0005-0000-0000-0000FF7E0000}"/>
    <cellStyle name="Normal 43 2 2 4 2 2" xfId="26950" xr:uid="{00000000-0005-0000-0000-0000007F0000}"/>
    <cellStyle name="Normal 43 2 2 4 3" xfId="26951" xr:uid="{00000000-0005-0000-0000-0000017F0000}"/>
    <cellStyle name="Normal 43 2 2 4 4" xfId="26952" xr:uid="{00000000-0005-0000-0000-0000027F0000}"/>
    <cellStyle name="Normal 43 2 2 4 5" xfId="39991" xr:uid="{00000000-0005-0000-0000-0000037F0000}"/>
    <cellStyle name="Normal 43 2 2 5" xfId="26953" xr:uid="{00000000-0005-0000-0000-0000047F0000}"/>
    <cellStyle name="Normal 43 2 2 5 2" xfId="26954" xr:uid="{00000000-0005-0000-0000-0000057F0000}"/>
    <cellStyle name="Normal 43 2 2 5 2 2" xfId="26955" xr:uid="{00000000-0005-0000-0000-0000067F0000}"/>
    <cellStyle name="Normal 43 2 2 5 3" xfId="26956" xr:uid="{00000000-0005-0000-0000-0000077F0000}"/>
    <cellStyle name="Normal 43 2 2 5 4" xfId="26957" xr:uid="{00000000-0005-0000-0000-0000087F0000}"/>
    <cellStyle name="Normal 43 2 2 6" xfId="26958" xr:uid="{00000000-0005-0000-0000-0000097F0000}"/>
    <cellStyle name="Normal 43 2 2 6 2" xfId="26959" xr:uid="{00000000-0005-0000-0000-00000A7F0000}"/>
    <cellStyle name="Normal 43 2 2 6 2 2" xfId="26960" xr:uid="{00000000-0005-0000-0000-00000B7F0000}"/>
    <cellStyle name="Normal 43 2 2 6 3" xfId="26961" xr:uid="{00000000-0005-0000-0000-00000C7F0000}"/>
    <cellStyle name="Normal 43 2 2 6 4" xfId="26962" xr:uid="{00000000-0005-0000-0000-00000D7F0000}"/>
    <cellStyle name="Normal 43 2 2 7" xfId="26963" xr:uid="{00000000-0005-0000-0000-00000E7F0000}"/>
    <cellStyle name="Normal 43 2 2 7 2" xfId="26964" xr:uid="{00000000-0005-0000-0000-00000F7F0000}"/>
    <cellStyle name="Normal 43 2 2 8" xfId="26965" xr:uid="{00000000-0005-0000-0000-0000107F0000}"/>
    <cellStyle name="Normal 43 2 2 9" xfId="26966" xr:uid="{00000000-0005-0000-0000-0000117F0000}"/>
    <cellStyle name="Normal 43 2 3" xfId="26967" xr:uid="{00000000-0005-0000-0000-0000127F0000}"/>
    <cellStyle name="Normal 43 2 3 2" xfId="26968" xr:uid="{00000000-0005-0000-0000-0000137F0000}"/>
    <cellStyle name="Normal 43 2 3 2 2" xfId="26969" xr:uid="{00000000-0005-0000-0000-0000147F0000}"/>
    <cellStyle name="Normal 43 2 3 2 2 2" xfId="26970" xr:uid="{00000000-0005-0000-0000-0000157F0000}"/>
    <cellStyle name="Normal 43 2 3 2 3" xfId="26971" xr:uid="{00000000-0005-0000-0000-0000167F0000}"/>
    <cellStyle name="Normal 43 2 3 2 4" xfId="26972" xr:uid="{00000000-0005-0000-0000-0000177F0000}"/>
    <cellStyle name="Normal 43 2 3 2 5" xfId="39993" xr:uid="{00000000-0005-0000-0000-0000187F0000}"/>
    <cellStyle name="Normal 43 2 3 3" xfId="26973" xr:uid="{00000000-0005-0000-0000-0000197F0000}"/>
    <cellStyle name="Normal 43 2 3 3 2" xfId="26974" xr:uid="{00000000-0005-0000-0000-00001A7F0000}"/>
    <cellStyle name="Normal 43 2 3 4" xfId="26975" xr:uid="{00000000-0005-0000-0000-00001B7F0000}"/>
    <cellStyle name="Normal 43 2 3 5" xfId="26976" xr:uid="{00000000-0005-0000-0000-00001C7F0000}"/>
    <cellStyle name="Normal 43 2 3 6" xfId="39992" xr:uid="{00000000-0005-0000-0000-00001D7F0000}"/>
    <cellStyle name="Normal 43 2 4" xfId="26977" xr:uid="{00000000-0005-0000-0000-00001E7F0000}"/>
    <cellStyle name="Normal 43 2 4 2" xfId="26978" xr:uid="{00000000-0005-0000-0000-00001F7F0000}"/>
    <cellStyle name="Normal 43 2 4 2 2" xfId="26979" xr:uid="{00000000-0005-0000-0000-0000207F0000}"/>
    <cellStyle name="Normal 43 2 4 2 2 2" xfId="26980" xr:uid="{00000000-0005-0000-0000-0000217F0000}"/>
    <cellStyle name="Normal 43 2 4 2 3" xfId="26981" xr:uid="{00000000-0005-0000-0000-0000227F0000}"/>
    <cellStyle name="Normal 43 2 4 2 4" xfId="26982" xr:uid="{00000000-0005-0000-0000-0000237F0000}"/>
    <cellStyle name="Normal 43 2 4 2 5" xfId="39995" xr:uid="{00000000-0005-0000-0000-0000247F0000}"/>
    <cellStyle name="Normal 43 2 4 3" xfId="26983" xr:uid="{00000000-0005-0000-0000-0000257F0000}"/>
    <cellStyle name="Normal 43 2 4 3 2" xfId="26984" xr:uid="{00000000-0005-0000-0000-0000267F0000}"/>
    <cellStyle name="Normal 43 2 4 4" xfId="26985" xr:uid="{00000000-0005-0000-0000-0000277F0000}"/>
    <cellStyle name="Normal 43 2 4 5" xfId="26986" xr:uid="{00000000-0005-0000-0000-0000287F0000}"/>
    <cellStyle name="Normal 43 2 4 6" xfId="39994" xr:uid="{00000000-0005-0000-0000-0000297F0000}"/>
    <cellStyle name="Normal 43 2 5" xfId="26987" xr:uid="{00000000-0005-0000-0000-00002A7F0000}"/>
    <cellStyle name="Normal 43 2 5 2" xfId="26988" xr:uid="{00000000-0005-0000-0000-00002B7F0000}"/>
    <cellStyle name="Normal 43 2 5 2 2" xfId="26989" xr:uid="{00000000-0005-0000-0000-00002C7F0000}"/>
    <cellStyle name="Normal 43 2 5 3" xfId="26990" xr:uid="{00000000-0005-0000-0000-00002D7F0000}"/>
    <cellStyle name="Normal 43 2 5 4" xfId="26991" xr:uid="{00000000-0005-0000-0000-00002E7F0000}"/>
    <cellStyle name="Normal 43 2 5 5" xfId="39996" xr:uid="{00000000-0005-0000-0000-00002F7F0000}"/>
    <cellStyle name="Normal 43 2 6" xfId="26992" xr:uid="{00000000-0005-0000-0000-0000307F0000}"/>
    <cellStyle name="Normal 43 2 6 2" xfId="26993" xr:uid="{00000000-0005-0000-0000-0000317F0000}"/>
    <cellStyle name="Normal 43 2 6 2 2" xfId="26994" xr:uid="{00000000-0005-0000-0000-0000327F0000}"/>
    <cellStyle name="Normal 43 2 6 3" xfId="26995" xr:uid="{00000000-0005-0000-0000-0000337F0000}"/>
    <cellStyle name="Normal 43 2 6 4" xfId="26996" xr:uid="{00000000-0005-0000-0000-0000347F0000}"/>
    <cellStyle name="Normal 43 2 7" xfId="26997" xr:uid="{00000000-0005-0000-0000-0000357F0000}"/>
    <cellStyle name="Normal 43 2 7 2" xfId="26998" xr:uid="{00000000-0005-0000-0000-0000367F0000}"/>
    <cellStyle name="Normal 43 2 7 2 2" xfId="26999" xr:uid="{00000000-0005-0000-0000-0000377F0000}"/>
    <cellStyle name="Normal 43 2 7 3" xfId="27000" xr:uid="{00000000-0005-0000-0000-0000387F0000}"/>
    <cellStyle name="Normal 43 2 7 4" xfId="27001" xr:uid="{00000000-0005-0000-0000-0000397F0000}"/>
    <cellStyle name="Normal 43 2 8" xfId="27002" xr:uid="{00000000-0005-0000-0000-00003A7F0000}"/>
    <cellStyle name="Normal 43 2 8 2" xfId="27003" xr:uid="{00000000-0005-0000-0000-00003B7F0000}"/>
    <cellStyle name="Normal 43 2 9" xfId="27004" xr:uid="{00000000-0005-0000-0000-00003C7F0000}"/>
    <cellStyle name="Normal 43 3" xfId="27005" xr:uid="{00000000-0005-0000-0000-00003D7F0000}"/>
    <cellStyle name="Normal 43 3 10" xfId="35447" xr:uid="{00000000-0005-0000-0000-00003E7F0000}"/>
    <cellStyle name="Normal 43 3 2" xfId="27006" xr:uid="{00000000-0005-0000-0000-00003F7F0000}"/>
    <cellStyle name="Normal 43 3 2 2" xfId="27007" xr:uid="{00000000-0005-0000-0000-0000407F0000}"/>
    <cellStyle name="Normal 43 3 2 2 2" xfId="27008" xr:uid="{00000000-0005-0000-0000-0000417F0000}"/>
    <cellStyle name="Normal 43 3 2 2 2 2" xfId="27009" xr:uid="{00000000-0005-0000-0000-0000427F0000}"/>
    <cellStyle name="Normal 43 3 2 2 3" xfId="27010" xr:uid="{00000000-0005-0000-0000-0000437F0000}"/>
    <cellStyle name="Normal 43 3 2 2 4" xfId="27011" xr:uid="{00000000-0005-0000-0000-0000447F0000}"/>
    <cellStyle name="Normal 43 3 2 2 5" xfId="39998" xr:uid="{00000000-0005-0000-0000-0000457F0000}"/>
    <cellStyle name="Normal 43 3 2 3" xfId="27012" xr:uid="{00000000-0005-0000-0000-0000467F0000}"/>
    <cellStyle name="Normal 43 3 2 3 2" xfId="27013" xr:uid="{00000000-0005-0000-0000-0000477F0000}"/>
    <cellStyle name="Normal 43 3 2 4" xfId="27014" xr:uid="{00000000-0005-0000-0000-0000487F0000}"/>
    <cellStyle name="Normal 43 3 2 5" xfId="27015" xr:uid="{00000000-0005-0000-0000-0000497F0000}"/>
    <cellStyle name="Normal 43 3 2 6" xfId="39997" xr:uid="{00000000-0005-0000-0000-00004A7F0000}"/>
    <cellStyle name="Normal 43 3 3" xfId="27016" xr:uid="{00000000-0005-0000-0000-00004B7F0000}"/>
    <cellStyle name="Normal 43 3 3 2" xfId="27017" xr:uid="{00000000-0005-0000-0000-00004C7F0000}"/>
    <cellStyle name="Normal 43 3 3 2 2" xfId="27018" xr:uid="{00000000-0005-0000-0000-00004D7F0000}"/>
    <cellStyle name="Normal 43 3 3 2 2 2" xfId="27019" xr:uid="{00000000-0005-0000-0000-00004E7F0000}"/>
    <cellStyle name="Normal 43 3 3 2 3" xfId="27020" xr:uid="{00000000-0005-0000-0000-00004F7F0000}"/>
    <cellStyle name="Normal 43 3 3 2 4" xfId="27021" xr:uid="{00000000-0005-0000-0000-0000507F0000}"/>
    <cellStyle name="Normal 43 3 3 2 5" xfId="40000" xr:uid="{00000000-0005-0000-0000-0000517F0000}"/>
    <cellStyle name="Normal 43 3 3 3" xfId="27022" xr:uid="{00000000-0005-0000-0000-0000527F0000}"/>
    <cellStyle name="Normal 43 3 3 3 2" xfId="27023" xr:uid="{00000000-0005-0000-0000-0000537F0000}"/>
    <cellStyle name="Normal 43 3 3 4" xfId="27024" xr:uid="{00000000-0005-0000-0000-0000547F0000}"/>
    <cellStyle name="Normal 43 3 3 5" xfId="27025" xr:uid="{00000000-0005-0000-0000-0000557F0000}"/>
    <cellStyle name="Normal 43 3 3 6" xfId="39999" xr:uid="{00000000-0005-0000-0000-0000567F0000}"/>
    <cellStyle name="Normal 43 3 4" xfId="27026" xr:uid="{00000000-0005-0000-0000-0000577F0000}"/>
    <cellStyle name="Normal 43 3 4 2" xfId="27027" xr:uid="{00000000-0005-0000-0000-0000587F0000}"/>
    <cellStyle name="Normal 43 3 4 2 2" xfId="27028" xr:uid="{00000000-0005-0000-0000-0000597F0000}"/>
    <cellStyle name="Normal 43 3 4 3" xfId="27029" xr:uid="{00000000-0005-0000-0000-00005A7F0000}"/>
    <cellStyle name="Normal 43 3 4 4" xfId="27030" xr:uid="{00000000-0005-0000-0000-00005B7F0000}"/>
    <cellStyle name="Normal 43 3 4 5" xfId="40001" xr:uid="{00000000-0005-0000-0000-00005C7F0000}"/>
    <cellStyle name="Normal 43 3 5" xfId="27031" xr:uid="{00000000-0005-0000-0000-00005D7F0000}"/>
    <cellStyle name="Normal 43 3 5 2" xfId="27032" xr:uid="{00000000-0005-0000-0000-00005E7F0000}"/>
    <cellStyle name="Normal 43 3 5 2 2" xfId="27033" xr:uid="{00000000-0005-0000-0000-00005F7F0000}"/>
    <cellStyle name="Normal 43 3 5 3" xfId="27034" xr:uid="{00000000-0005-0000-0000-0000607F0000}"/>
    <cellStyle name="Normal 43 3 5 4" xfId="27035" xr:uid="{00000000-0005-0000-0000-0000617F0000}"/>
    <cellStyle name="Normal 43 3 6" xfId="27036" xr:uid="{00000000-0005-0000-0000-0000627F0000}"/>
    <cellStyle name="Normal 43 3 6 2" xfId="27037" xr:uid="{00000000-0005-0000-0000-0000637F0000}"/>
    <cellStyle name="Normal 43 3 6 2 2" xfId="27038" xr:uid="{00000000-0005-0000-0000-0000647F0000}"/>
    <cellStyle name="Normal 43 3 6 3" xfId="27039" xr:uid="{00000000-0005-0000-0000-0000657F0000}"/>
    <cellStyle name="Normal 43 3 6 4" xfId="27040" xr:uid="{00000000-0005-0000-0000-0000667F0000}"/>
    <cellStyle name="Normal 43 3 7" xfId="27041" xr:uid="{00000000-0005-0000-0000-0000677F0000}"/>
    <cellStyle name="Normal 43 3 7 2" xfId="27042" xr:uid="{00000000-0005-0000-0000-0000687F0000}"/>
    <cellStyle name="Normal 43 3 8" xfId="27043" xr:uid="{00000000-0005-0000-0000-0000697F0000}"/>
    <cellStyle name="Normal 43 3 9" xfId="27044" xr:uid="{00000000-0005-0000-0000-00006A7F0000}"/>
    <cellStyle name="Normal 43 4" xfId="27045" xr:uid="{00000000-0005-0000-0000-00006B7F0000}"/>
    <cellStyle name="Normal 43 4 2" xfId="27046" xr:uid="{00000000-0005-0000-0000-00006C7F0000}"/>
    <cellStyle name="Normal 43 4 2 2" xfId="27047" xr:uid="{00000000-0005-0000-0000-00006D7F0000}"/>
    <cellStyle name="Normal 43 4 2 2 2" xfId="27048" xr:uid="{00000000-0005-0000-0000-00006E7F0000}"/>
    <cellStyle name="Normal 43 4 2 3" xfId="27049" xr:uid="{00000000-0005-0000-0000-00006F7F0000}"/>
    <cellStyle name="Normal 43 4 2 4" xfId="27050" xr:uid="{00000000-0005-0000-0000-0000707F0000}"/>
    <cellStyle name="Normal 43 4 2 5" xfId="40003" xr:uid="{00000000-0005-0000-0000-0000717F0000}"/>
    <cellStyle name="Normal 43 4 3" xfId="27051" xr:uid="{00000000-0005-0000-0000-0000727F0000}"/>
    <cellStyle name="Normal 43 4 3 2" xfId="27052" xr:uid="{00000000-0005-0000-0000-0000737F0000}"/>
    <cellStyle name="Normal 43 4 4" xfId="27053" xr:uid="{00000000-0005-0000-0000-0000747F0000}"/>
    <cellStyle name="Normal 43 4 5" xfId="27054" xr:uid="{00000000-0005-0000-0000-0000757F0000}"/>
    <cellStyle name="Normal 43 4 6" xfId="40002" xr:uid="{00000000-0005-0000-0000-0000767F0000}"/>
    <cellStyle name="Normal 43 5" xfId="27055" xr:uid="{00000000-0005-0000-0000-0000777F0000}"/>
    <cellStyle name="Normal 43 5 2" xfId="27056" xr:uid="{00000000-0005-0000-0000-0000787F0000}"/>
    <cellStyle name="Normal 43 5 2 2" xfId="27057" xr:uid="{00000000-0005-0000-0000-0000797F0000}"/>
    <cellStyle name="Normal 43 5 2 2 2" xfId="27058" xr:uid="{00000000-0005-0000-0000-00007A7F0000}"/>
    <cellStyle name="Normal 43 5 2 3" xfId="27059" xr:uid="{00000000-0005-0000-0000-00007B7F0000}"/>
    <cellStyle name="Normal 43 5 2 4" xfId="27060" xr:uid="{00000000-0005-0000-0000-00007C7F0000}"/>
    <cellStyle name="Normal 43 5 2 5" xfId="40005" xr:uid="{00000000-0005-0000-0000-00007D7F0000}"/>
    <cellStyle name="Normal 43 5 3" xfId="27061" xr:uid="{00000000-0005-0000-0000-00007E7F0000}"/>
    <cellStyle name="Normal 43 5 3 2" xfId="27062" xr:uid="{00000000-0005-0000-0000-00007F7F0000}"/>
    <cellStyle name="Normal 43 5 4" xfId="27063" xr:uid="{00000000-0005-0000-0000-0000807F0000}"/>
    <cellStyle name="Normal 43 5 5" xfId="27064" xr:uid="{00000000-0005-0000-0000-0000817F0000}"/>
    <cellStyle name="Normal 43 5 6" xfId="40004" xr:uid="{00000000-0005-0000-0000-0000827F0000}"/>
    <cellStyle name="Normal 43 6" xfId="27065" xr:uid="{00000000-0005-0000-0000-0000837F0000}"/>
    <cellStyle name="Normal 43 6 2" xfId="27066" xr:uid="{00000000-0005-0000-0000-0000847F0000}"/>
    <cellStyle name="Normal 43 6 2 2" xfId="27067" xr:uid="{00000000-0005-0000-0000-0000857F0000}"/>
    <cellStyle name="Normal 43 6 3" xfId="27068" xr:uid="{00000000-0005-0000-0000-0000867F0000}"/>
    <cellStyle name="Normal 43 6 4" xfId="27069" xr:uid="{00000000-0005-0000-0000-0000877F0000}"/>
    <cellStyle name="Normal 43 6 5" xfId="40006" xr:uid="{00000000-0005-0000-0000-0000887F0000}"/>
    <cellStyle name="Normal 43 7" xfId="27070" xr:uid="{00000000-0005-0000-0000-0000897F0000}"/>
    <cellStyle name="Normal 43 7 2" xfId="27071" xr:uid="{00000000-0005-0000-0000-00008A7F0000}"/>
    <cellStyle name="Normal 43 7 2 2" xfId="27072" xr:uid="{00000000-0005-0000-0000-00008B7F0000}"/>
    <cellStyle name="Normal 43 7 3" xfId="27073" xr:uid="{00000000-0005-0000-0000-00008C7F0000}"/>
    <cellStyle name="Normal 43 7 4" xfId="27074" xr:uid="{00000000-0005-0000-0000-00008D7F0000}"/>
    <cellStyle name="Normal 43 8" xfId="27075" xr:uid="{00000000-0005-0000-0000-00008E7F0000}"/>
    <cellStyle name="Normal 43 8 2" xfId="27076" xr:uid="{00000000-0005-0000-0000-00008F7F0000}"/>
    <cellStyle name="Normal 43 8 2 2" xfId="27077" xr:uid="{00000000-0005-0000-0000-0000907F0000}"/>
    <cellStyle name="Normal 43 8 3" xfId="27078" xr:uid="{00000000-0005-0000-0000-0000917F0000}"/>
    <cellStyle name="Normal 43 8 4" xfId="27079" xr:uid="{00000000-0005-0000-0000-0000927F0000}"/>
    <cellStyle name="Normal 43 9" xfId="27080" xr:uid="{00000000-0005-0000-0000-0000937F0000}"/>
    <cellStyle name="Normal 43 9 2" xfId="27081" xr:uid="{00000000-0005-0000-0000-0000947F0000}"/>
    <cellStyle name="Normal 44" xfId="27082" xr:uid="{00000000-0005-0000-0000-0000957F0000}"/>
    <cellStyle name="Normal 44 10" xfId="27083" xr:uid="{00000000-0005-0000-0000-0000967F0000}"/>
    <cellStyle name="Normal 44 11" xfId="27084" xr:uid="{00000000-0005-0000-0000-0000977F0000}"/>
    <cellStyle name="Normal 44 12" xfId="35448" xr:uid="{00000000-0005-0000-0000-0000987F0000}"/>
    <cellStyle name="Normal 44 2" xfId="27085" xr:uid="{00000000-0005-0000-0000-0000997F0000}"/>
    <cellStyle name="Normal 44 2 10" xfId="27086" xr:uid="{00000000-0005-0000-0000-00009A7F0000}"/>
    <cellStyle name="Normal 44 2 11" xfId="35449" xr:uid="{00000000-0005-0000-0000-00009B7F0000}"/>
    <cellStyle name="Normal 44 2 2" xfId="27087" xr:uid="{00000000-0005-0000-0000-00009C7F0000}"/>
    <cellStyle name="Normal 44 2 2 10" xfId="35450" xr:uid="{00000000-0005-0000-0000-00009D7F0000}"/>
    <cellStyle name="Normal 44 2 2 2" xfId="27088" xr:uid="{00000000-0005-0000-0000-00009E7F0000}"/>
    <cellStyle name="Normal 44 2 2 2 2" xfId="27089" xr:uid="{00000000-0005-0000-0000-00009F7F0000}"/>
    <cellStyle name="Normal 44 2 2 2 2 2" xfId="27090" xr:uid="{00000000-0005-0000-0000-0000A07F0000}"/>
    <cellStyle name="Normal 44 2 2 2 2 2 2" xfId="27091" xr:uid="{00000000-0005-0000-0000-0000A17F0000}"/>
    <cellStyle name="Normal 44 2 2 2 2 3" xfId="27092" xr:uid="{00000000-0005-0000-0000-0000A27F0000}"/>
    <cellStyle name="Normal 44 2 2 2 2 4" xfId="27093" xr:uid="{00000000-0005-0000-0000-0000A37F0000}"/>
    <cellStyle name="Normal 44 2 2 2 2 5" xfId="40008" xr:uid="{00000000-0005-0000-0000-0000A47F0000}"/>
    <cellStyle name="Normal 44 2 2 2 3" xfId="27094" xr:uid="{00000000-0005-0000-0000-0000A57F0000}"/>
    <cellStyle name="Normal 44 2 2 2 3 2" xfId="27095" xr:uid="{00000000-0005-0000-0000-0000A67F0000}"/>
    <cellStyle name="Normal 44 2 2 2 4" xfId="27096" xr:uid="{00000000-0005-0000-0000-0000A77F0000}"/>
    <cellStyle name="Normal 44 2 2 2 5" xfId="27097" xr:uid="{00000000-0005-0000-0000-0000A87F0000}"/>
    <cellStyle name="Normal 44 2 2 2 6" xfId="40007" xr:uid="{00000000-0005-0000-0000-0000A97F0000}"/>
    <cellStyle name="Normal 44 2 2 3" xfId="27098" xr:uid="{00000000-0005-0000-0000-0000AA7F0000}"/>
    <cellStyle name="Normal 44 2 2 3 2" xfId="27099" xr:uid="{00000000-0005-0000-0000-0000AB7F0000}"/>
    <cellStyle name="Normal 44 2 2 3 2 2" xfId="27100" xr:uid="{00000000-0005-0000-0000-0000AC7F0000}"/>
    <cellStyle name="Normal 44 2 2 3 2 2 2" xfId="27101" xr:uid="{00000000-0005-0000-0000-0000AD7F0000}"/>
    <cellStyle name="Normal 44 2 2 3 2 3" xfId="27102" xr:uid="{00000000-0005-0000-0000-0000AE7F0000}"/>
    <cellStyle name="Normal 44 2 2 3 2 4" xfId="27103" xr:uid="{00000000-0005-0000-0000-0000AF7F0000}"/>
    <cellStyle name="Normal 44 2 2 3 2 5" xfId="40010" xr:uid="{00000000-0005-0000-0000-0000B07F0000}"/>
    <cellStyle name="Normal 44 2 2 3 3" xfId="27104" xr:uid="{00000000-0005-0000-0000-0000B17F0000}"/>
    <cellStyle name="Normal 44 2 2 3 3 2" xfId="27105" xr:uid="{00000000-0005-0000-0000-0000B27F0000}"/>
    <cellStyle name="Normal 44 2 2 3 4" xfId="27106" xr:uid="{00000000-0005-0000-0000-0000B37F0000}"/>
    <cellStyle name="Normal 44 2 2 3 5" xfId="27107" xr:uid="{00000000-0005-0000-0000-0000B47F0000}"/>
    <cellStyle name="Normal 44 2 2 3 6" xfId="40009" xr:uid="{00000000-0005-0000-0000-0000B57F0000}"/>
    <cellStyle name="Normal 44 2 2 4" xfId="27108" xr:uid="{00000000-0005-0000-0000-0000B67F0000}"/>
    <cellStyle name="Normal 44 2 2 4 2" xfId="27109" xr:uid="{00000000-0005-0000-0000-0000B77F0000}"/>
    <cellStyle name="Normal 44 2 2 4 2 2" xfId="27110" xr:uid="{00000000-0005-0000-0000-0000B87F0000}"/>
    <cellStyle name="Normal 44 2 2 4 3" xfId="27111" xr:uid="{00000000-0005-0000-0000-0000B97F0000}"/>
    <cellStyle name="Normal 44 2 2 4 4" xfId="27112" xr:uid="{00000000-0005-0000-0000-0000BA7F0000}"/>
    <cellStyle name="Normal 44 2 2 4 5" xfId="40011" xr:uid="{00000000-0005-0000-0000-0000BB7F0000}"/>
    <cellStyle name="Normal 44 2 2 5" xfId="27113" xr:uid="{00000000-0005-0000-0000-0000BC7F0000}"/>
    <cellStyle name="Normal 44 2 2 5 2" xfId="27114" xr:uid="{00000000-0005-0000-0000-0000BD7F0000}"/>
    <cellStyle name="Normal 44 2 2 5 2 2" xfId="27115" xr:uid="{00000000-0005-0000-0000-0000BE7F0000}"/>
    <cellStyle name="Normal 44 2 2 5 3" xfId="27116" xr:uid="{00000000-0005-0000-0000-0000BF7F0000}"/>
    <cellStyle name="Normal 44 2 2 5 4" xfId="27117" xr:uid="{00000000-0005-0000-0000-0000C07F0000}"/>
    <cellStyle name="Normal 44 2 2 6" xfId="27118" xr:uid="{00000000-0005-0000-0000-0000C17F0000}"/>
    <cellStyle name="Normal 44 2 2 6 2" xfId="27119" xr:uid="{00000000-0005-0000-0000-0000C27F0000}"/>
    <cellStyle name="Normal 44 2 2 6 2 2" xfId="27120" xr:uid="{00000000-0005-0000-0000-0000C37F0000}"/>
    <cellStyle name="Normal 44 2 2 6 3" xfId="27121" xr:uid="{00000000-0005-0000-0000-0000C47F0000}"/>
    <cellStyle name="Normal 44 2 2 6 4" xfId="27122" xr:uid="{00000000-0005-0000-0000-0000C57F0000}"/>
    <cellStyle name="Normal 44 2 2 7" xfId="27123" xr:uid="{00000000-0005-0000-0000-0000C67F0000}"/>
    <cellStyle name="Normal 44 2 2 7 2" xfId="27124" xr:uid="{00000000-0005-0000-0000-0000C77F0000}"/>
    <cellStyle name="Normal 44 2 2 8" xfId="27125" xr:uid="{00000000-0005-0000-0000-0000C87F0000}"/>
    <cellStyle name="Normal 44 2 2 9" xfId="27126" xr:uid="{00000000-0005-0000-0000-0000C97F0000}"/>
    <cellStyle name="Normal 44 2 3" xfId="27127" xr:uid="{00000000-0005-0000-0000-0000CA7F0000}"/>
    <cellStyle name="Normal 44 2 3 2" xfId="27128" xr:uid="{00000000-0005-0000-0000-0000CB7F0000}"/>
    <cellStyle name="Normal 44 2 3 2 2" xfId="27129" xr:uid="{00000000-0005-0000-0000-0000CC7F0000}"/>
    <cellStyle name="Normal 44 2 3 2 2 2" xfId="27130" xr:uid="{00000000-0005-0000-0000-0000CD7F0000}"/>
    <cellStyle name="Normal 44 2 3 2 3" xfId="27131" xr:uid="{00000000-0005-0000-0000-0000CE7F0000}"/>
    <cellStyle name="Normal 44 2 3 2 4" xfId="27132" xr:uid="{00000000-0005-0000-0000-0000CF7F0000}"/>
    <cellStyle name="Normal 44 2 3 2 5" xfId="40013" xr:uid="{00000000-0005-0000-0000-0000D07F0000}"/>
    <cellStyle name="Normal 44 2 3 3" xfId="27133" xr:uid="{00000000-0005-0000-0000-0000D17F0000}"/>
    <cellStyle name="Normal 44 2 3 3 2" xfId="27134" xr:uid="{00000000-0005-0000-0000-0000D27F0000}"/>
    <cellStyle name="Normal 44 2 3 4" xfId="27135" xr:uid="{00000000-0005-0000-0000-0000D37F0000}"/>
    <cellStyle name="Normal 44 2 3 5" xfId="27136" xr:uid="{00000000-0005-0000-0000-0000D47F0000}"/>
    <cellStyle name="Normal 44 2 3 6" xfId="40012" xr:uid="{00000000-0005-0000-0000-0000D57F0000}"/>
    <cellStyle name="Normal 44 2 4" xfId="27137" xr:uid="{00000000-0005-0000-0000-0000D67F0000}"/>
    <cellStyle name="Normal 44 2 4 2" xfId="27138" xr:uid="{00000000-0005-0000-0000-0000D77F0000}"/>
    <cellStyle name="Normal 44 2 4 2 2" xfId="27139" xr:uid="{00000000-0005-0000-0000-0000D87F0000}"/>
    <cellStyle name="Normal 44 2 4 2 2 2" xfId="27140" xr:uid="{00000000-0005-0000-0000-0000D97F0000}"/>
    <cellStyle name="Normal 44 2 4 2 3" xfId="27141" xr:uid="{00000000-0005-0000-0000-0000DA7F0000}"/>
    <cellStyle name="Normal 44 2 4 2 4" xfId="27142" xr:uid="{00000000-0005-0000-0000-0000DB7F0000}"/>
    <cellStyle name="Normal 44 2 4 2 5" xfId="40015" xr:uid="{00000000-0005-0000-0000-0000DC7F0000}"/>
    <cellStyle name="Normal 44 2 4 3" xfId="27143" xr:uid="{00000000-0005-0000-0000-0000DD7F0000}"/>
    <cellStyle name="Normal 44 2 4 3 2" xfId="27144" xr:uid="{00000000-0005-0000-0000-0000DE7F0000}"/>
    <cellStyle name="Normal 44 2 4 4" xfId="27145" xr:uid="{00000000-0005-0000-0000-0000DF7F0000}"/>
    <cellStyle name="Normal 44 2 4 5" xfId="27146" xr:uid="{00000000-0005-0000-0000-0000E07F0000}"/>
    <cellStyle name="Normal 44 2 4 6" xfId="40014" xr:uid="{00000000-0005-0000-0000-0000E17F0000}"/>
    <cellStyle name="Normal 44 2 5" xfId="27147" xr:uid="{00000000-0005-0000-0000-0000E27F0000}"/>
    <cellStyle name="Normal 44 2 5 2" xfId="27148" xr:uid="{00000000-0005-0000-0000-0000E37F0000}"/>
    <cellStyle name="Normal 44 2 5 2 2" xfId="27149" xr:uid="{00000000-0005-0000-0000-0000E47F0000}"/>
    <cellStyle name="Normal 44 2 5 3" xfId="27150" xr:uid="{00000000-0005-0000-0000-0000E57F0000}"/>
    <cellStyle name="Normal 44 2 5 4" xfId="27151" xr:uid="{00000000-0005-0000-0000-0000E67F0000}"/>
    <cellStyle name="Normal 44 2 5 5" xfId="40016" xr:uid="{00000000-0005-0000-0000-0000E77F0000}"/>
    <cellStyle name="Normal 44 2 6" xfId="27152" xr:uid="{00000000-0005-0000-0000-0000E87F0000}"/>
    <cellStyle name="Normal 44 2 6 2" xfId="27153" xr:uid="{00000000-0005-0000-0000-0000E97F0000}"/>
    <cellStyle name="Normal 44 2 6 2 2" xfId="27154" xr:uid="{00000000-0005-0000-0000-0000EA7F0000}"/>
    <cellStyle name="Normal 44 2 6 3" xfId="27155" xr:uid="{00000000-0005-0000-0000-0000EB7F0000}"/>
    <cellStyle name="Normal 44 2 6 4" xfId="27156" xr:uid="{00000000-0005-0000-0000-0000EC7F0000}"/>
    <cellStyle name="Normal 44 2 7" xfId="27157" xr:uid="{00000000-0005-0000-0000-0000ED7F0000}"/>
    <cellStyle name="Normal 44 2 7 2" xfId="27158" xr:uid="{00000000-0005-0000-0000-0000EE7F0000}"/>
    <cellStyle name="Normal 44 2 7 2 2" xfId="27159" xr:uid="{00000000-0005-0000-0000-0000EF7F0000}"/>
    <cellStyle name="Normal 44 2 7 3" xfId="27160" xr:uid="{00000000-0005-0000-0000-0000F07F0000}"/>
    <cellStyle name="Normal 44 2 7 4" xfId="27161" xr:uid="{00000000-0005-0000-0000-0000F17F0000}"/>
    <cellStyle name="Normal 44 2 8" xfId="27162" xr:uid="{00000000-0005-0000-0000-0000F27F0000}"/>
    <cellStyle name="Normal 44 2 8 2" xfId="27163" xr:uid="{00000000-0005-0000-0000-0000F37F0000}"/>
    <cellStyle name="Normal 44 2 9" xfId="27164" xr:uid="{00000000-0005-0000-0000-0000F47F0000}"/>
    <cellStyle name="Normal 44 3" xfId="27165" xr:uid="{00000000-0005-0000-0000-0000F57F0000}"/>
    <cellStyle name="Normal 44 3 10" xfId="35451" xr:uid="{00000000-0005-0000-0000-0000F67F0000}"/>
    <cellStyle name="Normal 44 3 2" xfId="27166" xr:uid="{00000000-0005-0000-0000-0000F77F0000}"/>
    <cellStyle name="Normal 44 3 2 2" xfId="27167" xr:uid="{00000000-0005-0000-0000-0000F87F0000}"/>
    <cellStyle name="Normal 44 3 2 2 2" xfId="27168" xr:uid="{00000000-0005-0000-0000-0000F97F0000}"/>
    <cellStyle name="Normal 44 3 2 2 2 2" xfId="27169" xr:uid="{00000000-0005-0000-0000-0000FA7F0000}"/>
    <cellStyle name="Normal 44 3 2 2 3" xfId="27170" xr:uid="{00000000-0005-0000-0000-0000FB7F0000}"/>
    <cellStyle name="Normal 44 3 2 2 4" xfId="27171" xr:uid="{00000000-0005-0000-0000-0000FC7F0000}"/>
    <cellStyle name="Normal 44 3 2 2 5" xfId="40018" xr:uid="{00000000-0005-0000-0000-0000FD7F0000}"/>
    <cellStyle name="Normal 44 3 2 3" xfId="27172" xr:uid="{00000000-0005-0000-0000-0000FE7F0000}"/>
    <cellStyle name="Normal 44 3 2 3 2" xfId="27173" xr:uid="{00000000-0005-0000-0000-0000FF7F0000}"/>
    <cellStyle name="Normal 44 3 2 4" xfId="27174" xr:uid="{00000000-0005-0000-0000-000000800000}"/>
    <cellStyle name="Normal 44 3 2 5" xfId="27175" xr:uid="{00000000-0005-0000-0000-000001800000}"/>
    <cellStyle name="Normal 44 3 2 6" xfId="40017" xr:uid="{00000000-0005-0000-0000-000002800000}"/>
    <cellStyle name="Normal 44 3 3" xfId="27176" xr:uid="{00000000-0005-0000-0000-000003800000}"/>
    <cellStyle name="Normal 44 3 3 2" xfId="27177" xr:uid="{00000000-0005-0000-0000-000004800000}"/>
    <cellStyle name="Normal 44 3 3 2 2" xfId="27178" xr:uid="{00000000-0005-0000-0000-000005800000}"/>
    <cellStyle name="Normal 44 3 3 2 2 2" xfId="27179" xr:uid="{00000000-0005-0000-0000-000006800000}"/>
    <cellStyle name="Normal 44 3 3 2 3" xfId="27180" xr:uid="{00000000-0005-0000-0000-000007800000}"/>
    <cellStyle name="Normal 44 3 3 2 4" xfId="27181" xr:uid="{00000000-0005-0000-0000-000008800000}"/>
    <cellStyle name="Normal 44 3 3 2 5" xfId="40020" xr:uid="{00000000-0005-0000-0000-000009800000}"/>
    <cellStyle name="Normal 44 3 3 3" xfId="27182" xr:uid="{00000000-0005-0000-0000-00000A800000}"/>
    <cellStyle name="Normal 44 3 3 3 2" xfId="27183" xr:uid="{00000000-0005-0000-0000-00000B800000}"/>
    <cellStyle name="Normal 44 3 3 4" xfId="27184" xr:uid="{00000000-0005-0000-0000-00000C800000}"/>
    <cellStyle name="Normal 44 3 3 5" xfId="27185" xr:uid="{00000000-0005-0000-0000-00000D800000}"/>
    <cellStyle name="Normal 44 3 3 6" xfId="40019" xr:uid="{00000000-0005-0000-0000-00000E800000}"/>
    <cellStyle name="Normal 44 3 4" xfId="27186" xr:uid="{00000000-0005-0000-0000-00000F800000}"/>
    <cellStyle name="Normal 44 3 4 2" xfId="27187" xr:uid="{00000000-0005-0000-0000-000010800000}"/>
    <cellStyle name="Normal 44 3 4 2 2" xfId="27188" xr:uid="{00000000-0005-0000-0000-000011800000}"/>
    <cellStyle name="Normal 44 3 4 3" xfId="27189" xr:uid="{00000000-0005-0000-0000-000012800000}"/>
    <cellStyle name="Normal 44 3 4 4" xfId="27190" xr:uid="{00000000-0005-0000-0000-000013800000}"/>
    <cellStyle name="Normal 44 3 4 5" xfId="40021" xr:uid="{00000000-0005-0000-0000-000014800000}"/>
    <cellStyle name="Normal 44 3 5" xfId="27191" xr:uid="{00000000-0005-0000-0000-000015800000}"/>
    <cellStyle name="Normal 44 3 5 2" xfId="27192" xr:uid="{00000000-0005-0000-0000-000016800000}"/>
    <cellStyle name="Normal 44 3 5 2 2" xfId="27193" xr:uid="{00000000-0005-0000-0000-000017800000}"/>
    <cellStyle name="Normal 44 3 5 3" xfId="27194" xr:uid="{00000000-0005-0000-0000-000018800000}"/>
    <cellStyle name="Normal 44 3 5 4" xfId="27195" xr:uid="{00000000-0005-0000-0000-000019800000}"/>
    <cellStyle name="Normal 44 3 6" xfId="27196" xr:uid="{00000000-0005-0000-0000-00001A800000}"/>
    <cellStyle name="Normal 44 3 6 2" xfId="27197" xr:uid="{00000000-0005-0000-0000-00001B800000}"/>
    <cellStyle name="Normal 44 3 6 2 2" xfId="27198" xr:uid="{00000000-0005-0000-0000-00001C800000}"/>
    <cellStyle name="Normal 44 3 6 3" xfId="27199" xr:uid="{00000000-0005-0000-0000-00001D800000}"/>
    <cellStyle name="Normal 44 3 6 4" xfId="27200" xr:uid="{00000000-0005-0000-0000-00001E800000}"/>
    <cellStyle name="Normal 44 3 7" xfId="27201" xr:uid="{00000000-0005-0000-0000-00001F800000}"/>
    <cellStyle name="Normal 44 3 7 2" xfId="27202" xr:uid="{00000000-0005-0000-0000-000020800000}"/>
    <cellStyle name="Normal 44 3 8" xfId="27203" xr:uid="{00000000-0005-0000-0000-000021800000}"/>
    <cellStyle name="Normal 44 3 9" xfId="27204" xr:uid="{00000000-0005-0000-0000-000022800000}"/>
    <cellStyle name="Normal 44 4" xfId="27205" xr:uid="{00000000-0005-0000-0000-000023800000}"/>
    <cellStyle name="Normal 44 4 2" xfId="27206" xr:uid="{00000000-0005-0000-0000-000024800000}"/>
    <cellStyle name="Normal 44 4 2 2" xfId="27207" xr:uid="{00000000-0005-0000-0000-000025800000}"/>
    <cellStyle name="Normal 44 4 2 2 2" xfId="27208" xr:uid="{00000000-0005-0000-0000-000026800000}"/>
    <cellStyle name="Normal 44 4 2 3" xfId="27209" xr:uid="{00000000-0005-0000-0000-000027800000}"/>
    <cellStyle name="Normal 44 4 2 4" xfId="27210" xr:uid="{00000000-0005-0000-0000-000028800000}"/>
    <cellStyle name="Normal 44 4 2 5" xfId="40023" xr:uid="{00000000-0005-0000-0000-000029800000}"/>
    <cellStyle name="Normal 44 4 3" xfId="27211" xr:uid="{00000000-0005-0000-0000-00002A800000}"/>
    <cellStyle name="Normal 44 4 3 2" xfId="27212" xr:uid="{00000000-0005-0000-0000-00002B800000}"/>
    <cellStyle name="Normal 44 4 4" xfId="27213" xr:uid="{00000000-0005-0000-0000-00002C800000}"/>
    <cellStyle name="Normal 44 4 5" xfId="27214" xr:uid="{00000000-0005-0000-0000-00002D800000}"/>
    <cellStyle name="Normal 44 4 6" xfId="40022" xr:uid="{00000000-0005-0000-0000-00002E800000}"/>
    <cellStyle name="Normal 44 5" xfId="27215" xr:uid="{00000000-0005-0000-0000-00002F800000}"/>
    <cellStyle name="Normal 44 5 2" xfId="27216" xr:uid="{00000000-0005-0000-0000-000030800000}"/>
    <cellStyle name="Normal 44 5 2 2" xfId="27217" xr:uid="{00000000-0005-0000-0000-000031800000}"/>
    <cellStyle name="Normal 44 5 2 2 2" xfId="27218" xr:uid="{00000000-0005-0000-0000-000032800000}"/>
    <cellStyle name="Normal 44 5 2 3" xfId="27219" xr:uid="{00000000-0005-0000-0000-000033800000}"/>
    <cellStyle name="Normal 44 5 2 4" xfId="27220" xr:uid="{00000000-0005-0000-0000-000034800000}"/>
    <cellStyle name="Normal 44 5 2 5" xfId="40025" xr:uid="{00000000-0005-0000-0000-000035800000}"/>
    <cellStyle name="Normal 44 5 3" xfId="27221" xr:uid="{00000000-0005-0000-0000-000036800000}"/>
    <cellStyle name="Normal 44 5 3 2" xfId="27222" xr:uid="{00000000-0005-0000-0000-000037800000}"/>
    <cellStyle name="Normal 44 5 4" xfId="27223" xr:uid="{00000000-0005-0000-0000-000038800000}"/>
    <cellStyle name="Normal 44 5 5" xfId="27224" xr:uid="{00000000-0005-0000-0000-000039800000}"/>
    <cellStyle name="Normal 44 5 6" xfId="40024" xr:uid="{00000000-0005-0000-0000-00003A800000}"/>
    <cellStyle name="Normal 44 6" xfId="27225" xr:uid="{00000000-0005-0000-0000-00003B800000}"/>
    <cellStyle name="Normal 44 6 2" xfId="27226" xr:uid="{00000000-0005-0000-0000-00003C800000}"/>
    <cellStyle name="Normal 44 6 2 2" xfId="27227" xr:uid="{00000000-0005-0000-0000-00003D800000}"/>
    <cellStyle name="Normal 44 6 3" xfId="27228" xr:uid="{00000000-0005-0000-0000-00003E800000}"/>
    <cellStyle name="Normal 44 6 4" xfId="27229" xr:uid="{00000000-0005-0000-0000-00003F800000}"/>
    <cellStyle name="Normal 44 6 5" xfId="40026" xr:uid="{00000000-0005-0000-0000-000040800000}"/>
    <cellStyle name="Normal 44 7" xfId="27230" xr:uid="{00000000-0005-0000-0000-000041800000}"/>
    <cellStyle name="Normal 44 7 2" xfId="27231" xr:uid="{00000000-0005-0000-0000-000042800000}"/>
    <cellStyle name="Normal 44 7 2 2" xfId="27232" xr:uid="{00000000-0005-0000-0000-000043800000}"/>
    <cellStyle name="Normal 44 7 3" xfId="27233" xr:uid="{00000000-0005-0000-0000-000044800000}"/>
    <cellStyle name="Normal 44 7 4" xfId="27234" xr:uid="{00000000-0005-0000-0000-000045800000}"/>
    <cellStyle name="Normal 44 8" xfId="27235" xr:uid="{00000000-0005-0000-0000-000046800000}"/>
    <cellStyle name="Normal 44 8 2" xfId="27236" xr:uid="{00000000-0005-0000-0000-000047800000}"/>
    <cellStyle name="Normal 44 8 2 2" xfId="27237" xr:uid="{00000000-0005-0000-0000-000048800000}"/>
    <cellStyle name="Normal 44 8 3" xfId="27238" xr:uid="{00000000-0005-0000-0000-000049800000}"/>
    <cellStyle name="Normal 44 8 4" xfId="27239" xr:uid="{00000000-0005-0000-0000-00004A800000}"/>
    <cellStyle name="Normal 44 9" xfId="27240" xr:uid="{00000000-0005-0000-0000-00004B800000}"/>
    <cellStyle name="Normal 44 9 2" xfId="27241" xr:uid="{00000000-0005-0000-0000-00004C800000}"/>
    <cellStyle name="Normal 45" xfId="27242" xr:uid="{00000000-0005-0000-0000-00004D800000}"/>
    <cellStyle name="Normal 45 2" xfId="27243" xr:uid="{00000000-0005-0000-0000-00004E800000}"/>
    <cellStyle name="Normal 45 2 2" xfId="27244" xr:uid="{00000000-0005-0000-0000-00004F800000}"/>
    <cellStyle name="Normal 45 3" xfId="27245" xr:uid="{00000000-0005-0000-0000-000050800000}"/>
    <cellStyle name="Normal 46" xfId="27246" xr:uid="{00000000-0005-0000-0000-000051800000}"/>
    <cellStyle name="Normal 46 10" xfId="27247" xr:uid="{00000000-0005-0000-0000-000052800000}"/>
    <cellStyle name="Normal 46 11" xfId="27248" xr:uid="{00000000-0005-0000-0000-000053800000}"/>
    <cellStyle name="Normal 46 12" xfId="35452" xr:uid="{00000000-0005-0000-0000-000054800000}"/>
    <cellStyle name="Normal 46 2" xfId="27249" xr:uid="{00000000-0005-0000-0000-000055800000}"/>
    <cellStyle name="Normal 46 2 10" xfId="27250" xr:uid="{00000000-0005-0000-0000-000056800000}"/>
    <cellStyle name="Normal 46 2 11" xfId="35453" xr:uid="{00000000-0005-0000-0000-000057800000}"/>
    <cellStyle name="Normal 46 2 2" xfId="27251" xr:uid="{00000000-0005-0000-0000-000058800000}"/>
    <cellStyle name="Normal 46 2 2 10" xfId="35454" xr:uid="{00000000-0005-0000-0000-000059800000}"/>
    <cellStyle name="Normal 46 2 2 2" xfId="27252" xr:uid="{00000000-0005-0000-0000-00005A800000}"/>
    <cellStyle name="Normal 46 2 2 2 2" xfId="27253" xr:uid="{00000000-0005-0000-0000-00005B800000}"/>
    <cellStyle name="Normal 46 2 2 2 2 2" xfId="27254" xr:uid="{00000000-0005-0000-0000-00005C800000}"/>
    <cellStyle name="Normal 46 2 2 2 2 2 2" xfId="27255" xr:uid="{00000000-0005-0000-0000-00005D800000}"/>
    <cellStyle name="Normal 46 2 2 2 2 3" xfId="27256" xr:uid="{00000000-0005-0000-0000-00005E800000}"/>
    <cellStyle name="Normal 46 2 2 2 2 4" xfId="27257" xr:uid="{00000000-0005-0000-0000-00005F800000}"/>
    <cellStyle name="Normal 46 2 2 2 2 5" xfId="40028" xr:uid="{00000000-0005-0000-0000-000060800000}"/>
    <cellStyle name="Normal 46 2 2 2 3" xfId="27258" xr:uid="{00000000-0005-0000-0000-000061800000}"/>
    <cellStyle name="Normal 46 2 2 2 3 2" xfId="27259" xr:uid="{00000000-0005-0000-0000-000062800000}"/>
    <cellStyle name="Normal 46 2 2 2 4" xfId="27260" xr:uid="{00000000-0005-0000-0000-000063800000}"/>
    <cellStyle name="Normal 46 2 2 2 5" xfId="27261" xr:uid="{00000000-0005-0000-0000-000064800000}"/>
    <cellStyle name="Normal 46 2 2 2 6" xfId="40027" xr:uid="{00000000-0005-0000-0000-000065800000}"/>
    <cellStyle name="Normal 46 2 2 3" xfId="27262" xr:uid="{00000000-0005-0000-0000-000066800000}"/>
    <cellStyle name="Normal 46 2 2 3 2" xfId="27263" xr:uid="{00000000-0005-0000-0000-000067800000}"/>
    <cellStyle name="Normal 46 2 2 3 2 2" xfId="27264" xr:uid="{00000000-0005-0000-0000-000068800000}"/>
    <cellStyle name="Normal 46 2 2 3 2 2 2" xfId="27265" xr:uid="{00000000-0005-0000-0000-000069800000}"/>
    <cellStyle name="Normal 46 2 2 3 2 3" xfId="27266" xr:uid="{00000000-0005-0000-0000-00006A800000}"/>
    <cellStyle name="Normal 46 2 2 3 2 4" xfId="27267" xr:uid="{00000000-0005-0000-0000-00006B800000}"/>
    <cellStyle name="Normal 46 2 2 3 2 5" xfId="40030" xr:uid="{00000000-0005-0000-0000-00006C800000}"/>
    <cellStyle name="Normal 46 2 2 3 3" xfId="27268" xr:uid="{00000000-0005-0000-0000-00006D800000}"/>
    <cellStyle name="Normal 46 2 2 3 3 2" xfId="27269" xr:uid="{00000000-0005-0000-0000-00006E800000}"/>
    <cellStyle name="Normal 46 2 2 3 4" xfId="27270" xr:uid="{00000000-0005-0000-0000-00006F800000}"/>
    <cellStyle name="Normal 46 2 2 3 5" xfId="27271" xr:uid="{00000000-0005-0000-0000-000070800000}"/>
    <cellStyle name="Normal 46 2 2 3 6" xfId="40029" xr:uid="{00000000-0005-0000-0000-000071800000}"/>
    <cellStyle name="Normal 46 2 2 4" xfId="27272" xr:uid="{00000000-0005-0000-0000-000072800000}"/>
    <cellStyle name="Normal 46 2 2 4 2" xfId="27273" xr:uid="{00000000-0005-0000-0000-000073800000}"/>
    <cellStyle name="Normal 46 2 2 4 2 2" xfId="27274" xr:uid="{00000000-0005-0000-0000-000074800000}"/>
    <cellStyle name="Normal 46 2 2 4 3" xfId="27275" xr:uid="{00000000-0005-0000-0000-000075800000}"/>
    <cellStyle name="Normal 46 2 2 4 4" xfId="27276" xr:uid="{00000000-0005-0000-0000-000076800000}"/>
    <cellStyle name="Normal 46 2 2 4 5" xfId="40031" xr:uid="{00000000-0005-0000-0000-000077800000}"/>
    <cellStyle name="Normal 46 2 2 5" xfId="27277" xr:uid="{00000000-0005-0000-0000-000078800000}"/>
    <cellStyle name="Normal 46 2 2 5 2" xfId="27278" xr:uid="{00000000-0005-0000-0000-000079800000}"/>
    <cellStyle name="Normal 46 2 2 5 2 2" xfId="27279" xr:uid="{00000000-0005-0000-0000-00007A800000}"/>
    <cellStyle name="Normal 46 2 2 5 3" xfId="27280" xr:uid="{00000000-0005-0000-0000-00007B800000}"/>
    <cellStyle name="Normal 46 2 2 5 4" xfId="27281" xr:uid="{00000000-0005-0000-0000-00007C800000}"/>
    <cellStyle name="Normal 46 2 2 6" xfId="27282" xr:uid="{00000000-0005-0000-0000-00007D800000}"/>
    <cellStyle name="Normal 46 2 2 6 2" xfId="27283" xr:uid="{00000000-0005-0000-0000-00007E800000}"/>
    <cellStyle name="Normal 46 2 2 6 2 2" xfId="27284" xr:uid="{00000000-0005-0000-0000-00007F800000}"/>
    <cellStyle name="Normal 46 2 2 6 3" xfId="27285" xr:uid="{00000000-0005-0000-0000-000080800000}"/>
    <cellStyle name="Normal 46 2 2 6 4" xfId="27286" xr:uid="{00000000-0005-0000-0000-000081800000}"/>
    <cellStyle name="Normal 46 2 2 7" xfId="27287" xr:uid="{00000000-0005-0000-0000-000082800000}"/>
    <cellStyle name="Normal 46 2 2 7 2" xfId="27288" xr:uid="{00000000-0005-0000-0000-000083800000}"/>
    <cellStyle name="Normal 46 2 2 8" xfId="27289" xr:uid="{00000000-0005-0000-0000-000084800000}"/>
    <cellStyle name="Normal 46 2 2 9" xfId="27290" xr:uid="{00000000-0005-0000-0000-000085800000}"/>
    <cellStyle name="Normal 46 2 3" xfId="27291" xr:uid="{00000000-0005-0000-0000-000086800000}"/>
    <cellStyle name="Normal 46 2 3 2" xfId="27292" xr:uid="{00000000-0005-0000-0000-000087800000}"/>
    <cellStyle name="Normal 46 2 3 2 2" xfId="27293" xr:uid="{00000000-0005-0000-0000-000088800000}"/>
    <cellStyle name="Normal 46 2 3 2 2 2" xfId="27294" xr:uid="{00000000-0005-0000-0000-000089800000}"/>
    <cellStyle name="Normal 46 2 3 2 3" xfId="27295" xr:uid="{00000000-0005-0000-0000-00008A800000}"/>
    <cellStyle name="Normal 46 2 3 2 4" xfId="27296" xr:uid="{00000000-0005-0000-0000-00008B800000}"/>
    <cellStyle name="Normal 46 2 3 2 5" xfId="40033" xr:uid="{00000000-0005-0000-0000-00008C800000}"/>
    <cellStyle name="Normal 46 2 3 3" xfId="27297" xr:uid="{00000000-0005-0000-0000-00008D800000}"/>
    <cellStyle name="Normal 46 2 3 3 2" xfId="27298" xr:uid="{00000000-0005-0000-0000-00008E800000}"/>
    <cellStyle name="Normal 46 2 3 4" xfId="27299" xr:uid="{00000000-0005-0000-0000-00008F800000}"/>
    <cellStyle name="Normal 46 2 3 5" xfId="27300" xr:uid="{00000000-0005-0000-0000-000090800000}"/>
    <cellStyle name="Normal 46 2 3 6" xfId="40032" xr:uid="{00000000-0005-0000-0000-000091800000}"/>
    <cellStyle name="Normal 46 2 4" xfId="27301" xr:uid="{00000000-0005-0000-0000-000092800000}"/>
    <cellStyle name="Normal 46 2 4 2" xfId="27302" xr:uid="{00000000-0005-0000-0000-000093800000}"/>
    <cellStyle name="Normal 46 2 4 2 2" xfId="27303" xr:uid="{00000000-0005-0000-0000-000094800000}"/>
    <cellStyle name="Normal 46 2 4 2 2 2" xfId="27304" xr:uid="{00000000-0005-0000-0000-000095800000}"/>
    <cellStyle name="Normal 46 2 4 2 3" xfId="27305" xr:uid="{00000000-0005-0000-0000-000096800000}"/>
    <cellStyle name="Normal 46 2 4 2 4" xfId="27306" xr:uid="{00000000-0005-0000-0000-000097800000}"/>
    <cellStyle name="Normal 46 2 4 2 5" xfId="40035" xr:uid="{00000000-0005-0000-0000-000098800000}"/>
    <cellStyle name="Normal 46 2 4 3" xfId="27307" xr:uid="{00000000-0005-0000-0000-000099800000}"/>
    <cellStyle name="Normal 46 2 4 3 2" xfId="27308" xr:uid="{00000000-0005-0000-0000-00009A800000}"/>
    <cellStyle name="Normal 46 2 4 4" xfId="27309" xr:uid="{00000000-0005-0000-0000-00009B800000}"/>
    <cellStyle name="Normal 46 2 4 5" xfId="27310" xr:uid="{00000000-0005-0000-0000-00009C800000}"/>
    <cellStyle name="Normal 46 2 4 6" xfId="40034" xr:uid="{00000000-0005-0000-0000-00009D800000}"/>
    <cellStyle name="Normal 46 2 5" xfId="27311" xr:uid="{00000000-0005-0000-0000-00009E800000}"/>
    <cellStyle name="Normal 46 2 5 2" xfId="27312" xr:uid="{00000000-0005-0000-0000-00009F800000}"/>
    <cellStyle name="Normal 46 2 5 2 2" xfId="27313" xr:uid="{00000000-0005-0000-0000-0000A0800000}"/>
    <cellStyle name="Normal 46 2 5 3" xfId="27314" xr:uid="{00000000-0005-0000-0000-0000A1800000}"/>
    <cellStyle name="Normal 46 2 5 4" xfId="27315" xr:uid="{00000000-0005-0000-0000-0000A2800000}"/>
    <cellStyle name="Normal 46 2 5 5" xfId="40036" xr:uid="{00000000-0005-0000-0000-0000A3800000}"/>
    <cellStyle name="Normal 46 2 6" xfId="27316" xr:uid="{00000000-0005-0000-0000-0000A4800000}"/>
    <cellStyle name="Normal 46 2 6 2" xfId="27317" xr:uid="{00000000-0005-0000-0000-0000A5800000}"/>
    <cellStyle name="Normal 46 2 6 2 2" xfId="27318" xr:uid="{00000000-0005-0000-0000-0000A6800000}"/>
    <cellStyle name="Normal 46 2 6 3" xfId="27319" xr:uid="{00000000-0005-0000-0000-0000A7800000}"/>
    <cellStyle name="Normal 46 2 6 4" xfId="27320" xr:uid="{00000000-0005-0000-0000-0000A8800000}"/>
    <cellStyle name="Normal 46 2 7" xfId="27321" xr:uid="{00000000-0005-0000-0000-0000A9800000}"/>
    <cellStyle name="Normal 46 2 7 2" xfId="27322" xr:uid="{00000000-0005-0000-0000-0000AA800000}"/>
    <cellStyle name="Normal 46 2 7 2 2" xfId="27323" xr:uid="{00000000-0005-0000-0000-0000AB800000}"/>
    <cellStyle name="Normal 46 2 7 3" xfId="27324" xr:uid="{00000000-0005-0000-0000-0000AC800000}"/>
    <cellStyle name="Normal 46 2 7 4" xfId="27325" xr:uid="{00000000-0005-0000-0000-0000AD800000}"/>
    <cellStyle name="Normal 46 2 8" xfId="27326" xr:uid="{00000000-0005-0000-0000-0000AE800000}"/>
    <cellStyle name="Normal 46 2 8 2" xfId="27327" xr:uid="{00000000-0005-0000-0000-0000AF800000}"/>
    <cellStyle name="Normal 46 2 9" xfId="27328" xr:uid="{00000000-0005-0000-0000-0000B0800000}"/>
    <cellStyle name="Normal 46 3" xfId="27329" xr:uid="{00000000-0005-0000-0000-0000B1800000}"/>
    <cellStyle name="Normal 46 3 10" xfId="35455" xr:uid="{00000000-0005-0000-0000-0000B2800000}"/>
    <cellStyle name="Normal 46 3 2" xfId="27330" xr:uid="{00000000-0005-0000-0000-0000B3800000}"/>
    <cellStyle name="Normal 46 3 2 2" xfId="27331" xr:uid="{00000000-0005-0000-0000-0000B4800000}"/>
    <cellStyle name="Normal 46 3 2 2 2" xfId="27332" xr:uid="{00000000-0005-0000-0000-0000B5800000}"/>
    <cellStyle name="Normal 46 3 2 2 2 2" xfId="27333" xr:uid="{00000000-0005-0000-0000-0000B6800000}"/>
    <cellStyle name="Normal 46 3 2 2 3" xfId="27334" xr:uid="{00000000-0005-0000-0000-0000B7800000}"/>
    <cellStyle name="Normal 46 3 2 2 4" xfId="27335" xr:uid="{00000000-0005-0000-0000-0000B8800000}"/>
    <cellStyle name="Normal 46 3 2 2 5" xfId="40038" xr:uid="{00000000-0005-0000-0000-0000B9800000}"/>
    <cellStyle name="Normal 46 3 2 3" xfId="27336" xr:uid="{00000000-0005-0000-0000-0000BA800000}"/>
    <cellStyle name="Normal 46 3 2 3 2" xfId="27337" xr:uid="{00000000-0005-0000-0000-0000BB800000}"/>
    <cellStyle name="Normal 46 3 2 4" xfId="27338" xr:uid="{00000000-0005-0000-0000-0000BC800000}"/>
    <cellStyle name="Normal 46 3 2 5" xfId="27339" xr:uid="{00000000-0005-0000-0000-0000BD800000}"/>
    <cellStyle name="Normal 46 3 2 6" xfId="40037" xr:uid="{00000000-0005-0000-0000-0000BE800000}"/>
    <cellStyle name="Normal 46 3 3" xfId="27340" xr:uid="{00000000-0005-0000-0000-0000BF800000}"/>
    <cellStyle name="Normal 46 3 3 2" xfId="27341" xr:uid="{00000000-0005-0000-0000-0000C0800000}"/>
    <cellStyle name="Normal 46 3 3 2 2" xfId="27342" xr:uid="{00000000-0005-0000-0000-0000C1800000}"/>
    <cellStyle name="Normal 46 3 3 2 2 2" xfId="27343" xr:uid="{00000000-0005-0000-0000-0000C2800000}"/>
    <cellStyle name="Normal 46 3 3 2 3" xfId="27344" xr:uid="{00000000-0005-0000-0000-0000C3800000}"/>
    <cellStyle name="Normal 46 3 3 2 4" xfId="27345" xr:uid="{00000000-0005-0000-0000-0000C4800000}"/>
    <cellStyle name="Normal 46 3 3 2 5" xfId="40040" xr:uid="{00000000-0005-0000-0000-0000C5800000}"/>
    <cellStyle name="Normal 46 3 3 3" xfId="27346" xr:uid="{00000000-0005-0000-0000-0000C6800000}"/>
    <cellStyle name="Normal 46 3 3 3 2" xfId="27347" xr:uid="{00000000-0005-0000-0000-0000C7800000}"/>
    <cellStyle name="Normal 46 3 3 4" xfId="27348" xr:uid="{00000000-0005-0000-0000-0000C8800000}"/>
    <cellStyle name="Normal 46 3 3 5" xfId="27349" xr:uid="{00000000-0005-0000-0000-0000C9800000}"/>
    <cellStyle name="Normal 46 3 3 6" xfId="40039" xr:uid="{00000000-0005-0000-0000-0000CA800000}"/>
    <cellStyle name="Normal 46 3 4" xfId="27350" xr:uid="{00000000-0005-0000-0000-0000CB800000}"/>
    <cellStyle name="Normal 46 3 4 2" xfId="27351" xr:uid="{00000000-0005-0000-0000-0000CC800000}"/>
    <cellStyle name="Normal 46 3 4 2 2" xfId="27352" xr:uid="{00000000-0005-0000-0000-0000CD800000}"/>
    <cellStyle name="Normal 46 3 4 3" xfId="27353" xr:uid="{00000000-0005-0000-0000-0000CE800000}"/>
    <cellStyle name="Normal 46 3 4 4" xfId="27354" xr:uid="{00000000-0005-0000-0000-0000CF800000}"/>
    <cellStyle name="Normal 46 3 4 5" xfId="40041" xr:uid="{00000000-0005-0000-0000-0000D0800000}"/>
    <cellStyle name="Normal 46 3 5" xfId="27355" xr:uid="{00000000-0005-0000-0000-0000D1800000}"/>
    <cellStyle name="Normal 46 3 5 2" xfId="27356" xr:uid="{00000000-0005-0000-0000-0000D2800000}"/>
    <cellStyle name="Normal 46 3 5 2 2" xfId="27357" xr:uid="{00000000-0005-0000-0000-0000D3800000}"/>
    <cellStyle name="Normal 46 3 5 3" xfId="27358" xr:uid="{00000000-0005-0000-0000-0000D4800000}"/>
    <cellStyle name="Normal 46 3 5 4" xfId="27359" xr:uid="{00000000-0005-0000-0000-0000D5800000}"/>
    <cellStyle name="Normal 46 3 6" xfId="27360" xr:uid="{00000000-0005-0000-0000-0000D6800000}"/>
    <cellStyle name="Normal 46 3 6 2" xfId="27361" xr:uid="{00000000-0005-0000-0000-0000D7800000}"/>
    <cellStyle name="Normal 46 3 6 2 2" xfId="27362" xr:uid="{00000000-0005-0000-0000-0000D8800000}"/>
    <cellStyle name="Normal 46 3 6 3" xfId="27363" xr:uid="{00000000-0005-0000-0000-0000D9800000}"/>
    <cellStyle name="Normal 46 3 6 4" xfId="27364" xr:uid="{00000000-0005-0000-0000-0000DA800000}"/>
    <cellStyle name="Normal 46 3 7" xfId="27365" xr:uid="{00000000-0005-0000-0000-0000DB800000}"/>
    <cellStyle name="Normal 46 3 7 2" xfId="27366" xr:uid="{00000000-0005-0000-0000-0000DC800000}"/>
    <cellStyle name="Normal 46 3 8" xfId="27367" xr:uid="{00000000-0005-0000-0000-0000DD800000}"/>
    <cellStyle name="Normal 46 3 9" xfId="27368" xr:uid="{00000000-0005-0000-0000-0000DE800000}"/>
    <cellStyle name="Normal 46 4" xfId="27369" xr:uid="{00000000-0005-0000-0000-0000DF800000}"/>
    <cellStyle name="Normal 46 4 2" xfId="27370" xr:uid="{00000000-0005-0000-0000-0000E0800000}"/>
    <cellStyle name="Normal 46 4 2 2" xfId="27371" xr:uid="{00000000-0005-0000-0000-0000E1800000}"/>
    <cellStyle name="Normal 46 4 2 2 2" xfId="27372" xr:uid="{00000000-0005-0000-0000-0000E2800000}"/>
    <cellStyle name="Normal 46 4 2 3" xfId="27373" xr:uid="{00000000-0005-0000-0000-0000E3800000}"/>
    <cellStyle name="Normal 46 4 2 4" xfId="27374" xr:uid="{00000000-0005-0000-0000-0000E4800000}"/>
    <cellStyle name="Normal 46 4 2 5" xfId="40043" xr:uid="{00000000-0005-0000-0000-0000E5800000}"/>
    <cellStyle name="Normal 46 4 3" xfId="27375" xr:uid="{00000000-0005-0000-0000-0000E6800000}"/>
    <cellStyle name="Normal 46 4 3 2" xfId="27376" xr:uid="{00000000-0005-0000-0000-0000E7800000}"/>
    <cellStyle name="Normal 46 4 4" xfId="27377" xr:uid="{00000000-0005-0000-0000-0000E8800000}"/>
    <cellStyle name="Normal 46 4 5" xfId="27378" xr:uid="{00000000-0005-0000-0000-0000E9800000}"/>
    <cellStyle name="Normal 46 4 6" xfId="40042" xr:uid="{00000000-0005-0000-0000-0000EA800000}"/>
    <cellStyle name="Normal 46 5" xfId="27379" xr:uid="{00000000-0005-0000-0000-0000EB800000}"/>
    <cellStyle name="Normal 46 5 2" xfId="27380" xr:uid="{00000000-0005-0000-0000-0000EC800000}"/>
    <cellStyle name="Normal 46 5 2 2" xfId="27381" xr:uid="{00000000-0005-0000-0000-0000ED800000}"/>
    <cellStyle name="Normal 46 5 2 2 2" xfId="27382" xr:uid="{00000000-0005-0000-0000-0000EE800000}"/>
    <cellStyle name="Normal 46 5 2 3" xfId="27383" xr:uid="{00000000-0005-0000-0000-0000EF800000}"/>
    <cellStyle name="Normal 46 5 2 4" xfId="27384" xr:uid="{00000000-0005-0000-0000-0000F0800000}"/>
    <cellStyle name="Normal 46 5 2 5" xfId="40045" xr:uid="{00000000-0005-0000-0000-0000F1800000}"/>
    <cellStyle name="Normal 46 5 3" xfId="27385" xr:uid="{00000000-0005-0000-0000-0000F2800000}"/>
    <cellStyle name="Normal 46 5 3 2" xfId="27386" xr:uid="{00000000-0005-0000-0000-0000F3800000}"/>
    <cellStyle name="Normal 46 5 4" xfId="27387" xr:uid="{00000000-0005-0000-0000-0000F4800000}"/>
    <cellStyle name="Normal 46 5 5" xfId="27388" xr:uid="{00000000-0005-0000-0000-0000F5800000}"/>
    <cellStyle name="Normal 46 5 6" xfId="40044" xr:uid="{00000000-0005-0000-0000-0000F6800000}"/>
    <cellStyle name="Normal 46 6" xfId="27389" xr:uid="{00000000-0005-0000-0000-0000F7800000}"/>
    <cellStyle name="Normal 46 6 2" xfId="27390" xr:uid="{00000000-0005-0000-0000-0000F8800000}"/>
    <cellStyle name="Normal 46 6 2 2" xfId="27391" xr:uid="{00000000-0005-0000-0000-0000F9800000}"/>
    <cellStyle name="Normal 46 6 3" xfId="27392" xr:uid="{00000000-0005-0000-0000-0000FA800000}"/>
    <cellStyle name="Normal 46 6 4" xfId="27393" xr:uid="{00000000-0005-0000-0000-0000FB800000}"/>
    <cellStyle name="Normal 46 6 5" xfId="40046" xr:uid="{00000000-0005-0000-0000-0000FC800000}"/>
    <cellStyle name="Normal 46 7" xfId="27394" xr:uid="{00000000-0005-0000-0000-0000FD800000}"/>
    <cellStyle name="Normal 46 7 2" xfId="27395" xr:uid="{00000000-0005-0000-0000-0000FE800000}"/>
    <cellStyle name="Normal 46 7 2 2" xfId="27396" xr:uid="{00000000-0005-0000-0000-0000FF800000}"/>
    <cellStyle name="Normal 46 7 3" xfId="27397" xr:uid="{00000000-0005-0000-0000-000000810000}"/>
    <cellStyle name="Normal 46 7 4" xfId="27398" xr:uid="{00000000-0005-0000-0000-000001810000}"/>
    <cellStyle name="Normal 46 8" xfId="27399" xr:uid="{00000000-0005-0000-0000-000002810000}"/>
    <cellStyle name="Normal 46 8 2" xfId="27400" xr:uid="{00000000-0005-0000-0000-000003810000}"/>
    <cellStyle name="Normal 46 8 2 2" xfId="27401" xr:uid="{00000000-0005-0000-0000-000004810000}"/>
    <cellStyle name="Normal 46 8 3" xfId="27402" xr:uid="{00000000-0005-0000-0000-000005810000}"/>
    <cellStyle name="Normal 46 8 4" xfId="27403" xr:uid="{00000000-0005-0000-0000-000006810000}"/>
    <cellStyle name="Normal 46 9" xfId="27404" xr:uid="{00000000-0005-0000-0000-000007810000}"/>
    <cellStyle name="Normal 46 9 2" xfId="27405" xr:uid="{00000000-0005-0000-0000-000008810000}"/>
    <cellStyle name="Normal 47" xfId="27406" xr:uid="{00000000-0005-0000-0000-000009810000}"/>
    <cellStyle name="Normal 47 10" xfId="27407" xr:uid="{00000000-0005-0000-0000-00000A810000}"/>
    <cellStyle name="Normal 47 11" xfId="27408" xr:uid="{00000000-0005-0000-0000-00000B810000}"/>
    <cellStyle name="Normal 47 12" xfId="35456" xr:uid="{00000000-0005-0000-0000-00000C810000}"/>
    <cellStyle name="Normal 47 2" xfId="27409" xr:uid="{00000000-0005-0000-0000-00000D810000}"/>
    <cellStyle name="Normal 47 2 10" xfId="27410" xr:uid="{00000000-0005-0000-0000-00000E810000}"/>
    <cellStyle name="Normal 47 2 11" xfId="35457" xr:uid="{00000000-0005-0000-0000-00000F810000}"/>
    <cellStyle name="Normal 47 2 2" xfId="27411" xr:uid="{00000000-0005-0000-0000-000010810000}"/>
    <cellStyle name="Normal 47 2 2 10" xfId="35458" xr:uid="{00000000-0005-0000-0000-000011810000}"/>
    <cellStyle name="Normal 47 2 2 2" xfId="27412" xr:uid="{00000000-0005-0000-0000-000012810000}"/>
    <cellStyle name="Normal 47 2 2 2 2" xfId="27413" xr:uid="{00000000-0005-0000-0000-000013810000}"/>
    <cellStyle name="Normal 47 2 2 2 2 2" xfId="27414" xr:uid="{00000000-0005-0000-0000-000014810000}"/>
    <cellStyle name="Normal 47 2 2 2 2 2 2" xfId="27415" xr:uid="{00000000-0005-0000-0000-000015810000}"/>
    <cellStyle name="Normal 47 2 2 2 2 3" xfId="27416" xr:uid="{00000000-0005-0000-0000-000016810000}"/>
    <cellStyle name="Normal 47 2 2 2 2 4" xfId="27417" xr:uid="{00000000-0005-0000-0000-000017810000}"/>
    <cellStyle name="Normal 47 2 2 2 2 5" xfId="40048" xr:uid="{00000000-0005-0000-0000-000018810000}"/>
    <cellStyle name="Normal 47 2 2 2 3" xfId="27418" xr:uid="{00000000-0005-0000-0000-000019810000}"/>
    <cellStyle name="Normal 47 2 2 2 3 2" xfId="27419" xr:uid="{00000000-0005-0000-0000-00001A810000}"/>
    <cellStyle name="Normal 47 2 2 2 4" xfId="27420" xr:uid="{00000000-0005-0000-0000-00001B810000}"/>
    <cellStyle name="Normal 47 2 2 2 5" xfId="27421" xr:uid="{00000000-0005-0000-0000-00001C810000}"/>
    <cellStyle name="Normal 47 2 2 2 6" xfId="40047" xr:uid="{00000000-0005-0000-0000-00001D810000}"/>
    <cellStyle name="Normal 47 2 2 3" xfId="27422" xr:uid="{00000000-0005-0000-0000-00001E810000}"/>
    <cellStyle name="Normal 47 2 2 3 2" xfId="27423" xr:uid="{00000000-0005-0000-0000-00001F810000}"/>
    <cellStyle name="Normal 47 2 2 3 2 2" xfId="27424" xr:uid="{00000000-0005-0000-0000-000020810000}"/>
    <cellStyle name="Normal 47 2 2 3 2 2 2" xfId="27425" xr:uid="{00000000-0005-0000-0000-000021810000}"/>
    <cellStyle name="Normal 47 2 2 3 2 3" xfId="27426" xr:uid="{00000000-0005-0000-0000-000022810000}"/>
    <cellStyle name="Normal 47 2 2 3 2 4" xfId="27427" xr:uid="{00000000-0005-0000-0000-000023810000}"/>
    <cellStyle name="Normal 47 2 2 3 2 5" xfId="40050" xr:uid="{00000000-0005-0000-0000-000024810000}"/>
    <cellStyle name="Normal 47 2 2 3 3" xfId="27428" xr:uid="{00000000-0005-0000-0000-000025810000}"/>
    <cellStyle name="Normal 47 2 2 3 3 2" xfId="27429" xr:uid="{00000000-0005-0000-0000-000026810000}"/>
    <cellStyle name="Normal 47 2 2 3 4" xfId="27430" xr:uid="{00000000-0005-0000-0000-000027810000}"/>
    <cellStyle name="Normal 47 2 2 3 5" xfId="27431" xr:uid="{00000000-0005-0000-0000-000028810000}"/>
    <cellStyle name="Normal 47 2 2 3 6" xfId="40049" xr:uid="{00000000-0005-0000-0000-000029810000}"/>
    <cellStyle name="Normal 47 2 2 4" xfId="27432" xr:uid="{00000000-0005-0000-0000-00002A810000}"/>
    <cellStyle name="Normal 47 2 2 4 2" xfId="27433" xr:uid="{00000000-0005-0000-0000-00002B810000}"/>
    <cellStyle name="Normal 47 2 2 4 2 2" xfId="27434" xr:uid="{00000000-0005-0000-0000-00002C810000}"/>
    <cellStyle name="Normal 47 2 2 4 3" xfId="27435" xr:uid="{00000000-0005-0000-0000-00002D810000}"/>
    <cellStyle name="Normal 47 2 2 4 4" xfId="27436" xr:uid="{00000000-0005-0000-0000-00002E810000}"/>
    <cellStyle name="Normal 47 2 2 4 5" xfId="40051" xr:uid="{00000000-0005-0000-0000-00002F810000}"/>
    <cellStyle name="Normal 47 2 2 5" xfId="27437" xr:uid="{00000000-0005-0000-0000-000030810000}"/>
    <cellStyle name="Normal 47 2 2 5 2" xfId="27438" xr:uid="{00000000-0005-0000-0000-000031810000}"/>
    <cellStyle name="Normal 47 2 2 5 2 2" xfId="27439" xr:uid="{00000000-0005-0000-0000-000032810000}"/>
    <cellStyle name="Normal 47 2 2 5 3" xfId="27440" xr:uid="{00000000-0005-0000-0000-000033810000}"/>
    <cellStyle name="Normal 47 2 2 5 4" xfId="27441" xr:uid="{00000000-0005-0000-0000-000034810000}"/>
    <cellStyle name="Normal 47 2 2 6" xfId="27442" xr:uid="{00000000-0005-0000-0000-000035810000}"/>
    <cellStyle name="Normal 47 2 2 6 2" xfId="27443" xr:uid="{00000000-0005-0000-0000-000036810000}"/>
    <cellStyle name="Normal 47 2 2 6 2 2" xfId="27444" xr:uid="{00000000-0005-0000-0000-000037810000}"/>
    <cellStyle name="Normal 47 2 2 6 3" xfId="27445" xr:uid="{00000000-0005-0000-0000-000038810000}"/>
    <cellStyle name="Normal 47 2 2 6 4" xfId="27446" xr:uid="{00000000-0005-0000-0000-000039810000}"/>
    <cellStyle name="Normal 47 2 2 7" xfId="27447" xr:uid="{00000000-0005-0000-0000-00003A810000}"/>
    <cellStyle name="Normal 47 2 2 7 2" xfId="27448" xr:uid="{00000000-0005-0000-0000-00003B810000}"/>
    <cellStyle name="Normal 47 2 2 8" xfId="27449" xr:uid="{00000000-0005-0000-0000-00003C810000}"/>
    <cellStyle name="Normal 47 2 2 9" xfId="27450" xr:uid="{00000000-0005-0000-0000-00003D810000}"/>
    <cellStyle name="Normal 47 2 3" xfId="27451" xr:uid="{00000000-0005-0000-0000-00003E810000}"/>
    <cellStyle name="Normal 47 2 3 2" xfId="27452" xr:uid="{00000000-0005-0000-0000-00003F810000}"/>
    <cellStyle name="Normal 47 2 3 2 2" xfId="27453" xr:uid="{00000000-0005-0000-0000-000040810000}"/>
    <cellStyle name="Normal 47 2 3 2 2 2" xfId="27454" xr:uid="{00000000-0005-0000-0000-000041810000}"/>
    <cellStyle name="Normal 47 2 3 2 3" xfId="27455" xr:uid="{00000000-0005-0000-0000-000042810000}"/>
    <cellStyle name="Normal 47 2 3 2 4" xfId="27456" xr:uid="{00000000-0005-0000-0000-000043810000}"/>
    <cellStyle name="Normal 47 2 3 2 5" xfId="40053" xr:uid="{00000000-0005-0000-0000-000044810000}"/>
    <cellStyle name="Normal 47 2 3 3" xfId="27457" xr:uid="{00000000-0005-0000-0000-000045810000}"/>
    <cellStyle name="Normal 47 2 3 3 2" xfId="27458" xr:uid="{00000000-0005-0000-0000-000046810000}"/>
    <cellStyle name="Normal 47 2 3 4" xfId="27459" xr:uid="{00000000-0005-0000-0000-000047810000}"/>
    <cellStyle name="Normal 47 2 3 5" xfId="27460" xr:uid="{00000000-0005-0000-0000-000048810000}"/>
    <cellStyle name="Normal 47 2 3 6" xfId="40052" xr:uid="{00000000-0005-0000-0000-000049810000}"/>
    <cellStyle name="Normal 47 2 4" xfId="27461" xr:uid="{00000000-0005-0000-0000-00004A810000}"/>
    <cellStyle name="Normal 47 2 4 2" xfId="27462" xr:uid="{00000000-0005-0000-0000-00004B810000}"/>
    <cellStyle name="Normal 47 2 4 2 2" xfId="27463" xr:uid="{00000000-0005-0000-0000-00004C810000}"/>
    <cellStyle name="Normal 47 2 4 2 2 2" xfId="27464" xr:uid="{00000000-0005-0000-0000-00004D810000}"/>
    <cellStyle name="Normal 47 2 4 2 3" xfId="27465" xr:uid="{00000000-0005-0000-0000-00004E810000}"/>
    <cellStyle name="Normal 47 2 4 2 4" xfId="27466" xr:uid="{00000000-0005-0000-0000-00004F810000}"/>
    <cellStyle name="Normal 47 2 4 2 5" xfId="40055" xr:uid="{00000000-0005-0000-0000-000050810000}"/>
    <cellStyle name="Normal 47 2 4 3" xfId="27467" xr:uid="{00000000-0005-0000-0000-000051810000}"/>
    <cellStyle name="Normal 47 2 4 3 2" xfId="27468" xr:uid="{00000000-0005-0000-0000-000052810000}"/>
    <cellStyle name="Normal 47 2 4 4" xfId="27469" xr:uid="{00000000-0005-0000-0000-000053810000}"/>
    <cellStyle name="Normal 47 2 4 5" xfId="27470" xr:uid="{00000000-0005-0000-0000-000054810000}"/>
    <cellStyle name="Normal 47 2 4 6" xfId="40054" xr:uid="{00000000-0005-0000-0000-000055810000}"/>
    <cellStyle name="Normal 47 2 5" xfId="27471" xr:uid="{00000000-0005-0000-0000-000056810000}"/>
    <cellStyle name="Normal 47 2 5 2" xfId="27472" xr:uid="{00000000-0005-0000-0000-000057810000}"/>
    <cellStyle name="Normal 47 2 5 2 2" xfId="27473" xr:uid="{00000000-0005-0000-0000-000058810000}"/>
    <cellStyle name="Normal 47 2 5 3" xfId="27474" xr:uid="{00000000-0005-0000-0000-000059810000}"/>
    <cellStyle name="Normal 47 2 5 4" xfId="27475" xr:uid="{00000000-0005-0000-0000-00005A810000}"/>
    <cellStyle name="Normal 47 2 5 5" xfId="40056" xr:uid="{00000000-0005-0000-0000-00005B810000}"/>
    <cellStyle name="Normal 47 2 6" xfId="27476" xr:uid="{00000000-0005-0000-0000-00005C810000}"/>
    <cellStyle name="Normal 47 2 6 2" xfId="27477" xr:uid="{00000000-0005-0000-0000-00005D810000}"/>
    <cellStyle name="Normal 47 2 6 2 2" xfId="27478" xr:uid="{00000000-0005-0000-0000-00005E810000}"/>
    <cellStyle name="Normal 47 2 6 3" xfId="27479" xr:uid="{00000000-0005-0000-0000-00005F810000}"/>
    <cellStyle name="Normal 47 2 6 4" xfId="27480" xr:uid="{00000000-0005-0000-0000-000060810000}"/>
    <cellStyle name="Normal 47 2 7" xfId="27481" xr:uid="{00000000-0005-0000-0000-000061810000}"/>
    <cellStyle name="Normal 47 2 7 2" xfId="27482" xr:uid="{00000000-0005-0000-0000-000062810000}"/>
    <cellStyle name="Normal 47 2 7 2 2" xfId="27483" xr:uid="{00000000-0005-0000-0000-000063810000}"/>
    <cellStyle name="Normal 47 2 7 3" xfId="27484" xr:uid="{00000000-0005-0000-0000-000064810000}"/>
    <cellStyle name="Normal 47 2 7 4" xfId="27485" xr:uid="{00000000-0005-0000-0000-000065810000}"/>
    <cellStyle name="Normal 47 2 8" xfId="27486" xr:uid="{00000000-0005-0000-0000-000066810000}"/>
    <cellStyle name="Normal 47 2 8 2" xfId="27487" xr:uid="{00000000-0005-0000-0000-000067810000}"/>
    <cellStyle name="Normal 47 2 9" xfId="27488" xr:uid="{00000000-0005-0000-0000-000068810000}"/>
    <cellStyle name="Normal 47 3" xfId="27489" xr:uid="{00000000-0005-0000-0000-000069810000}"/>
    <cellStyle name="Normal 47 3 10" xfId="35459" xr:uid="{00000000-0005-0000-0000-00006A810000}"/>
    <cellStyle name="Normal 47 3 2" xfId="27490" xr:uid="{00000000-0005-0000-0000-00006B810000}"/>
    <cellStyle name="Normal 47 3 2 2" xfId="27491" xr:uid="{00000000-0005-0000-0000-00006C810000}"/>
    <cellStyle name="Normal 47 3 2 2 2" xfId="27492" xr:uid="{00000000-0005-0000-0000-00006D810000}"/>
    <cellStyle name="Normal 47 3 2 2 2 2" xfId="27493" xr:uid="{00000000-0005-0000-0000-00006E810000}"/>
    <cellStyle name="Normal 47 3 2 2 3" xfId="27494" xr:uid="{00000000-0005-0000-0000-00006F810000}"/>
    <cellStyle name="Normal 47 3 2 2 4" xfId="27495" xr:uid="{00000000-0005-0000-0000-000070810000}"/>
    <cellStyle name="Normal 47 3 2 2 5" xfId="40058" xr:uid="{00000000-0005-0000-0000-000071810000}"/>
    <cellStyle name="Normal 47 3 2 3" xfId="27496" xr:uid="{00000000-0005-0000-0000-000072810000}"/>
    <cellStyle name="Normal 47 3 2 3 2" xfId="27497" xr:uid="{00000000-0005-0000-0000-000073810000}"/>
    <cellStyle name="Normal 47 3 2 4" xfId="27498" xr:uid="{00000000-0005-0000-0000-000074810000}"/>
    <cellStyle name="Normal 47 3 2 5" xfId="27499" xr:uid="{00000000-0005-0000-0000-000075810000}"/>
    <cellStyle name="Normal 47 3 2 6" xfId="40057" xr:uid="{00000000-0005-0000-0000-000076810000}"/>
    <cellStyle name="Normal 47 3 3" xfId="27500" xr:uid="{00000000-0005-0000-0000-000077810000}"/>
    <cellStyle name="Normal 47 3 3 2" xfId="27501" xr:uid="{00000000-0005-0000-0000-000078810000}"/>
    <cellStyle name="Normal 47 3 3 2 2" xfId="27502" xr:uid="{00000000-0005-0000-0000-000079810000}"/>
    <cellStyle name="Normal 47 3 3 2 2 2" xfId="27503" xr:uid="{00000000-0005-0000-0000-00007A810000}"/>
    <cellStyle name="Normal 47 3 3 2 3" xfId="27504" xr:uid="{00000000-0005-0000-0000-00007B810000}"/>
    <cellStyle name="Normal 47 3 3 2 4" xfId="27505" xr:uid="{00000000-0005-0000-0000-00007C810000}"/>
    <cellStyle name="Normal 47 3 3 2 5" xfId="40060" xr:uid="{00000000-0005-0000-0000-00007D810000}"/>
    <cellStyle name="Normal 47 3 3 3" xfId="27506" xr:uid="{00000000-0005-0000-0000-00007E810000}"/>
    <cellStyle name="Normal 47 3 3 3 2" xfId="27507" xr:uid="{00000000-0005-0000-0000-00007F810000}"/>
    <cellStyle name="Normal 47 3 3 4" xfId="27508" xr:uid="{00000000-0005-0000-0000-000080810000}"/>
    <cellStyle name="Normal 47 3 3 5" xfId="27509" xr:uid="{00000000-0005-0000-0000-000081810000}"/>
    <cellStyle name="Normal 47 3 3 6" xfId="40059" xr:uid="{00000000-0005-0000-0000-000082810000}"/>
    <cellStyle name="Normal 47 3 4" xfId="27510" xr:uid="{00000000-0005-0000-0000-000083810000}"/>
    <cellStyle name="Normal 47 3 4 2" xfId="27511" xr:uid="{00000000-0005-0000-0000-000084810000}"/>
    <cellStyle name="Normal 47 3 4 2 2" xfId="27512" xr:uid="{00000000-0005-0000-0000-000085810000}"/>
    <cellStyle name="Normal 47 3 4 3" xfId="27513" xr:uid="{00000000-0005-0000-0000-000086810000}"/>
    <cellStyle name="Normal 47 3 4 4" xfId="27514" xr:uid="{00000000-0005-0000-0000-000087810000}"/>
    <cellStyle name="Normal 47 3 4 5" xfId="40061" xr:uid="{00000000-0005-0000-0000-000088810000}"/>
    <cellStyle name="Normal 47 3 5" xfId="27515" xr:uid="{00000000-0005-0000-0000-000089810000}"/>
    <cellStyle name="Normal 47 3 5 2" xfId="27516" xr:uid="{00000000-0005-0000-0000-00008A810000}"/>
    <cellStyle name="Normal 47 3 5 2 2" xfId="27517" xr:uid="{00000000-0005-0000-0000-00008B810000}"/>
    <cellStyle name="Normal 47 3 5 3" xfId="27518" xr:uid="{00000000-0005-0000-0000-00008C810000}"/>
    <cellStyle name="Normal 47 3 5 4" xfId="27519" xr:uid="{00000000-0005-0000-0000-00008D810000}"/>
    <cellStyle name="Normal 47 3 6" xfId="27520" xr:uid="{00000000-0005-0000-0000-00008E810000}"/>
    <cellStyle name="Normal 47 3 6 2" xfId="27521" xr:uid="{00000000-0005-0000-0000-00008F810000}"/>
    <cellStyle name="Normal 47 3 6 2 2" xfId="27522" xr:uid="{00000000-0005-0000-0000-000090810000}"/>
    <cellStyle name="Normal 47 3 6 3" xfId="27523" xr:uid="{00000000-0005-0000-0000-000091810000}"/>
    <cellStyle name="Normal 47 3 6 4" xfId="27524" xr:uid="{00000000-0005-0000-0000-000092810000}"/>
    <cellStyle name="Normal 47 3 7" xfId="27525" xr:uid="{00000000-0005-0000-0000-000093810000}"/>
    <cellStyle name="Normal 47 3 7 2" xfId="27526" xr:uid="{00000000-0005-0000-0000-000094810000}"/>
    <cellStyle name="Normal 47 3 8" xfId="27527" xr:uid="{00000000-0005-0000-0000-000095810000}"/>
    <cellStyle name="Normal 47 3 9" xfId="27528" xr:uid="{00000000-0005-0000-0000-000096810000}"/>
    <cellStyle name="Normal 47 4" xfId="27529" xr:uid="{00000000-0005-0000-0000-000097810000}"/>
    <cellStyle name="Normal 47 4 2" xfId="27530" xr:uid="{00000000-0005-0000-0000-000098810000}"/>
    <cellStyle name="Normal 47 4 2 2" xfId="27531" xr:uid="{00000000-0005-0000-0000-000099810000}"/>
    <cellStyle name="Normal 47 4 2 2 2" xfId="27532" xr:uid="{00000000-0005-0000-0000-00009A810000}"/>
    <cellStyle name="Normal 47 4 2 3" xfId="27533" xr:uid="{00000000-0005-0000-0000-00009B810000}"/>
    <cellStyle name="Normal 47 4 2 4" xfId="27534" xr:uid="{00000000-0005-0000-0000-00009C810000}"/>
    <cellStyle name="Normal 47 4 2 5" xfId="40063" xr:uid="{00000000-0005-0000-0000-00009D810000}"/>
    <cellStyle name="Normal 47 4 3" xfId="27535" xr:uid="{00000000-0005-0000-0000-00009E810000}"/>
    <cellStyle name="Normal 47 4 3 2" xfId="27536" xr:uid="{00000000-0005-0000-0000-00009F810000}"/>
    <cellStyle name="Normal 47 4 4" xfId="27537" xr:uid="{00000000-0005-0000-0000-0000A0810000}"/>
    <cellStyle name="Normal 47 4 5" xfId="27538" xr:uid="{00000000-0005-0000-0000-0000A1810000}"/>
    <cellStyle name="Normal 47 4 6" xfId="40062" xr:uid="{00000000-0005-0000-0000-0000A2810000}"/>
    <cellStyle name="Normal 47 5" xfId="27539" xr:uid="{00000000-0005-0000-0000-0000A3810000}"/>
    <cellStyle name="Normal 47 5 2" xfId="27540" xr:uid="{00000000-0005-0000-0000-0000A4810000}"/>
    <cellStyle name="Normal 47 5 2 2" xfId="27541" xr:uid="{00000000-0005-0000-0000-0000A5810000}"/>
    <cellStyle name="Normal 47 5 2 2 2" xfId="27542" xr:uid="{00000000-0005-0000-0000-0000A6810000}"/>
    <cellStyle name="Normal 47 5 2 3" xfId="27543" xr:uid="{00000000-0005-0000-0000-0000A7810000}"/>
    <cellStyle name="Normal 47 5 2 4" xfId="27544" xr:uid="{00000000-0005-0000-0000-0000A8810000}"/>
    <cellStyle name="Normal 47 5 2 5" xfId="40065" xr:uid="{00000000-0005-0000-0000-0000A9810000}"/>
    <cellStyle name="Normal 47 5 3" xfId="27545" xr:uid="{00000000-0005-0000-0000-0000AA810000}"/>
    <cellStyle name="Normal 47 5 3 2" xfId="27546" xr:uid="{00000000-0005-0000-0000-0000AB810000}"/>
    <cellStyle name="Normal 47 5 4" xfId="27547" xr:uid="{00000000-0005-0000-0000-0000AC810000}"/>
    <cellStyle name="Normal 47 5 5" xfId="27548" xr:uid="{00000000-0005-0000-0000-0000AD810000}"/>
    <cellStyle name="Normal 47 5 6" xfId="40064" xr:uid="{00000000-0005-0000-0000-0000AE810000}"/>
    <cellStyle name="Normal 47 6" xfId="27549" xr:uid="{00000000-0005-0000-0000-0000AF810000}"/>
    <cellStyle name="Normal 47 6 2" xfId="27550" xr:uid="{00000000-0005-0000-0000-0000B0810000}"/>
    <cellStyle name="Normal 47 6 2 2" xfId="27551" xr:uid="{00000000-0005-0000-0000-0000B1810000}"/>
    <cellStyle name="Normal 47 6 3" xfId="27552" xr:uid="{00000000-0005-0000-0000-0000B2810000}"/>
    <cellStyle name="Normal 47 6 4" xfId="27553" xr:uid="{00000000-0005-0000-0000-0000B3810000}"/>
    <cellStyle name="Normal 47 6 5" xfId="40066" xr:uid="{00000000-0005-0000-0000-0000B4810000}"/>
    <cellStyle name="Normal 47 7" xfId="27554" xr:uid="{00000000-0005-0000-0000-0000B5810000}"/>
    <cellStyle name="Normal 47 7 2" xfId="27555" xr:uid="{00000000-0005-0000-0000-0000B6810000}"/>
    <cellStyle name="Normal 47 7 2 2" xfId="27556" xr:uid="{00000000-0005-0000-0000-0000B7810000}"/>
    <cellStyle name="Normal 47 7 3" xfId="27557" xr:uid="{00000000-0005-0000-0000-0000B8810000}"/>
    <cellStyle name="Normal 47 7 4" xfId="27558" xr:uid="{00000000-0005-0000-0000-0000B9810000}"/>
    <cellStyle name="Normal 47 8" xfId="27559" xr:uid="{00000000-0005-0000-0000-0000BA810000}"/>
    <cellStyle name="Normal 47 8 2" xfId="27560" xr:uid="{00000000-0005-0000-0000-0000BB810000}"/>
    <cellStyle name="Normal 47 8 2 2" xfId="27561" xr:uid="{00000000-0005-0000-0000-0000BC810000}"/>
    <cellStyle name="Normal 47 8 3" xfId="27562" xr:uid="{00000000-0005-0000-0000-0000BD810000}"/>
    <cellStyle name="Normal 47 8 4" xfId="27563" xr:uid="{00000000-0005-0000-0000-0000BE810000}"/>
    <cellStyle name="Normal 47 9" xfId="27564" xr:uid="{00000000-0005-0000-0000-0000BF810000}"/>
    <cellStyle name="Normal 47 9 2" xfId="27565" xr:uid="{00000000-0005-0000-0000-0000C0810000}"/>
    <cellStyle name="Normal 48" xfId="27566" xr:uid="{00000000-0005-0000-0000-0000C1810000}"/>
    <cellStyle name="Normal 48 10" xfId="27567" xr:uid="{00000000-0005-0000-0000-0000C2810000}"/>
    <cellStyle name="Normal 48 11" xfId="27568" xr:uid="{00000000-0005-0000-0000-0000C3810000}"/>
    <cellStyle name="Normal 48 12" xfId="35460" xr:uid="{00000000-0005-0000-0000-0000C4810000}"/>
    <cellStyle name="Normal 48 2" xfId="27569" xr:uid="{00000000-0005-0000-0000-0000C5810000}"/>
    <cellStyle name="Normal 48 2 10" xfId="27570" xr:uid="{00000000-0005-0000-0000-0000C6810000}"/>
    <cellStyle name="Normal 48 2 11" xfId="35461" xr:uid="{00000000-0005-0000-0000-0000C7810000}"/>
    <cellStyle name="Normal 48 2 2" xfId="27571" xr:uid="{00000000-0005-0000-0000-0000C8810000}"/>
    <cellStyle name="Normal 48 2 2 10" xfId="35462" xr:uid="{00000000-0005-0000-0000-0000C9810000}"/>
    <cellStyle name="Normal 48 2 2 2" xfId="27572" xr:uid="{00000000-0005-0000-0000-0000CA810000}"/>
    <cellStyle name="Normal 48 2 2 2 2" xfId="27573" xr:uid="{00000000-0005-0000-0000-0000CB810000}"/>
    <cellStyle name="Normal 48 2 2 2 2 2" xfId="27574" xr:uid="{00000000-0005-0000-0000-0000CC810000}"/>
    <cellStyle name="Normal 48 2 2 2 2 2 2" xfId="27575" xr:uid="{00000000-0005-0000-0000-0000CD810000}"/>
    <cellStyle name="Normal 48 2 2 2 2 3" xfId="27576" xr:uid="{00000000-0005-0000-0000-0000CE810000}"/>
    <cellStyle name="Normal 48 2 2 2 2 4" xfId="27577" xr:uid="{00000000-0005-0000-0000-0000CF810000}"/>
    <cellStyle name="Normal 48 2 2 2 2 5" xfId="40068" xr:uid="{00000000-0005-0000-0000-0000D0810000}"/>
    <cellStyle name="Normal 48 2 2 2 3" xfId="27578" xr:uid="{00000000-0005-0000-0000-0000D1810000}"/>
    <cellStyle name="Normal 48 2 2 2 3 2" xfId="27579" xr:uid="{00000000-0005-0000-0000-0000D2810000}"/>
    <cellStyle name="Normal 48 2 2 2 4" xfId="27580" xr:uid="{00000000-0005-0000-0000-0000D3810000}"/>
    <cellStyle name="Normal 48 2 2 2 5" xfId="27581" xr:uid="{00000000-0005-0000-0000-0000D4810000}"/>
    <cellStyle name="Normal 48 2 2 2 6" xfId="40067" xr:uid="{00000000-0005-0000-0000-0000D5810000}"/>
    <cellStyle name="Normal 48 2 2 3" xfId="27582" xr:uid="{00000000-0005-0000-0000-0000D6810000}"/>
    <cellStyle name="Normal 48 2 2 3 2" xfId="27583" xr:uid="{00000000-0005-0000-0000-0000D7810000}"/>
    <cellStyle name="Normal 48 2 2 3 2 2" xfId="27584" xr:uid="{00000000-0005-0000-0000-0000D8810000}"/>
    <cellStyle name="Normal 48 2 2 3 2 2 2" xfId="27585" xr:uid="{00000000-0005-0000-0000-0000D9810000}"/>
    <cellStyle name="Normal 48 2 2 3 2 3" xfId="27586" xr:uid="{00000000-0005-0000-0000-0000DA810000}"/>
    <cellStyle name="Normal 48 2 2 3 2 4" xfId="27587" xr:uid="{00000000-0005-0000-0000-0000DB810000}"/>
    <cellStyle name="Normal 48 2 2 3 2 5" xfId="40070" xr:uid="{00000000-0005-0000-0000-0000DC810000}"/>
    <cellStyle name="Normal 48 2 2 3 3" xfId="27588" xr:uid="{00000000-0005-0000-0000-0000DD810000}"/>
    <cellStyle name="Normal 48 2 2 3 3 2" xfId="27589" xr:uid="{00000000-0005-0000-0000-0000DE810000}"/>
    <cellStyle name="Normal 48 2 2 3 4" xfId="27590" xr:uid="{00000000-0005-0000-0000-0000DF810000}"/>
    <cellStyle name="Normal 48 2 2 3 5" xfId="27591" xr:uid="{00000000-0005-0000-0000-0000E0810000}"/>
    <cellStyle name="Normal 48 2 2 3 6" xfId="40069" xr:uid="{00000000-0005-0000-0000-0000E1810000}"/>
    <cellStyle name="Normal 48 2 2 4" xfId="27592" xr:uid="{00000000-0005-0000-0000-0000E2810000}"/>
    <cellStyle name="Normal 48 2 2 4 2" xfId="27593" xr:uid="{00000000-0005-0000-0000-0000E3810000}"/>
    <cellStyle name="Normal 48 2 2 4 2 2" xfId="27594" xr:uid="{00000000-0005-0000-0000-0000E4810000}"/>
    <cellStyle name="Normal 48 2 2 4 3" xfId="27595" xr:uid="{00000000-0005-0000-0000-0000E5810000}"/>
    <cellStyle name="Normal 48 2 2 4 4" xfId="27596" xr:uid="{00000000-0005-0000-0000-0000E6810000}"/>
    <cellStyle name="Normal 48 2 2 4 5" xfId="40071" xr:uid="{00000000-0005-0000-0000-0000E7810000}"/>
    <cellStyle name="Normal 48 2 2 5" xfId="27597" xr:uid="{00000000-0005-0000-0000-0000E8810000}"/>
    <cellStyle name="Normal 48 2 2 5 2" xfId="27598" xr:uid="{00000000-0005-0000-0000-0000E9810000}"/>
    <cellStyle name="Normal 48 2 2 5 2 2" xfId="27599" xr:uid="{00000000-0005-0000-0000-0000EA810000}"/>
    <cellStyle name="Normal 48 2 2 5 3" xfId="27600" xr:uid="{00000000-0005-0000-0000-0000EB810000}"/>
    <cellStyle name="Normal 48 2 2 5 4" xfId="27601" xr:uid="{00000000-0005-0000-0000-0000EC810000}"/>
    <cellStyle name="Normal 48 2 2 6" xfId="27602" xr:uid="{00000000-0005-0000-0000-0000ED810000}"/>
    <cellStyle name="Normal 48 2 2 6 2" xfId="27603" xr:uid="{00000000-0005-0000-0000-0000EE810000}"/>
    <cellStyle name="Normal 48 2 2 6 2 2" xfId="27604" xr:uid="{00000000-0005-0000-0000-0000EF810000}"/>
    <cellStyle name="Normal 48 2 2 6 3" xfId="27605" xr:uid="{00000000-0005-0000-0000-0000F0810000}"/>
    <cellStyle name="Normal 48 2 2 6 4" xfId="27606" xr:uid="{00000000-0005-0000-0000-0000F1810000}"/>
    <cellStyle name="Normal 48 2 2 7" xfId="27607" xr:uid="{00000000-0005-0000-0000-0000F2810000}"/>
    <cellStyle name="Normal 48 2 2 7 2" xfId="27608" xr:uid="{00000000-0005-0000-0000-0000F3810000}"/>
    <cellStyle name="Normal 48 2 2 8" xfId="27609" xr:uid="{00000000-0005-0000-0000-0000F4810000}"/>
    <cellStyle name="Normal 48 2 2 9" xfId="27610" xr:uid="{00000000-0005-0000-0000-0000F5810000}"/>
    <cellStyle name="Normal 48 2 3" xfId="27611" xr:uid="{00000000-0005-0000-0000-0000F6810000}"/>
    <cellStyle name="Normal 48 2 3 2" xfId="27612" xr:uid="{00000000-0005-0000-0000-0000F7810000}"/>
    <cellStyle name="Normal 48 2 3 2 2" xfId="27613" xr:uid="{00000000-0005-0000-0000-0000F8810000}"/>
    <cellStyle name="Normal 48 2 3 2 2 2" xfId="27614" xr:uid="{00000000-0005-0000-0000-0000F9810000}"/>
    <cellStyle name="Normal 48 2 3 2 3" xfId="27615" xr:uid="{00000000-0005-0000-0000-0000FA810000}"/>
    <cellStyle name="Normal 48 2 3 2 4" xfId="27616" xr:uid="{00000000-0005-0000-0000-0000FB810000}"/>
    <cellStyle name="Normal 48 2 3 2 5" xfId="40073" xr:uid="{00000000-0005-0000-0000-0000FC810000}"/>
    <cellStyle name="Normal 48 2 3 3" xfId="27617" xr:uid="{00000000-0005-0000-0000-0000FD810000}"/>
    <cellStyle name="Normal 48 2 3 3 2" xfId="27618" xr:uid="{00000000-0005-0000-0000-0000FE810000}"/>
    <cellStyle name="Normal 48 2 3 4" xfId="27619" xr:uid="{00000000-0005-0000-0000-0000FF810000}"/>
    <cellStyle name="Normal 48 2 3 5" xfId="27620" xr:uid="{00000000-0005-0000-0000-000000820000}"/>
    <cellStyle name="Normal 48 2 3 6" xfId="40072" xr:uid="{00000000-0005-0000-0000-000001820000}"/>
    <cellStyle name="Normal 48 2 4" xfId="27621" xr:uid="{00000000-0005-0000-0000-000002820000}"/>
    <cellStyle name="Normal 48 2 4 2" xfId="27622" xr:uid="{00000000-0005-0000-0000-000003820000}"/>
    <cellStyle name="Normal 48 2 4 2 2" xfId="27623" xr:uid="{00000000-0005-0000-0000-000004820000}"/>
    <cellStyle name="Normal 48 2 4 2 2 2" xfId="27624" xr:uid="{00000000-0005-0000-0000-000005820000}"/>
    <cellStyle name="Normal 48 2 4 2 3" xfId="27625" xr:uid="{00000000-0005-0000-0000-000006820000}"/>
    <cellStyle name="Normal 48 2 4 2 4" xfId="27626" xr:uid="{00000000-0005-0000-0000-000007820000}"/>
    <cellStyle name="Normal 48 2 4 2 5" xfId="40075" xr:uid="{00000000-0005-0000-0000-000008820000}"/>
    <cellStyle name="Normal 48 2 4 3" xfId="27627" xr:uid="{00000000-0005-0000-0000-000009820000}"/>
    <cellStyle name="Normal 48 2 4 3 2" xfId="27628" xr:uid="{00000000-0005-0000-0000-00000A820000}"/>
    <cellStyle name="Normal 48 2 4 4" xfId="27629" xr:uid="{00000000-0005-0000-0000-00000B820000}"/>
    <cellStyle name="Normal 48 2 4 5" xfId="27630" xr:uid="{00000000-0005-0000-0000-00000C820000}"/>
    <cellStyle name="Normal 48 2 4 6" xfId="40074" xr:uid="{00000000-0005-0000-0000-00000D820000}"/>
    <cellStyle name="Normal 48 2 5" xfId="27631" xr:uid="{00000000-0005-0000-0000-00000E820000}"/>
    <cellStyle name="Normal 48 2 5 2" xfId="27632" xr:uid="{00000000-0005-0000-0000-00000F820000}"/>
    <cellStyle name="Normal 48 2 5 2 2" xfId="27633" xr:uid="{00000000-0005-0000-0000-000010820000}"/>
    <cellStyle name="Normal 48 2 5 3" xfId="27634" xr:uid="{00000000-0005-0000-0000-000011820000}"/>
    <cellStyle name="Normal 48 2 5 4" xfId="27635" xr:uid="{00000000-0005-0000-0000-000012820000}"/>
    <cellStyle name="Normal 48 2 5 5" xfId="40076" xr:uid="{00000000-0005-0000-0000-000013820000}"/>
    <cellStyle name="Normal 48 2 6" xfId="27636" xr:uid="{00000000-0005-0000-0000-000014820000}"/>
    <cellStyle name="Normal 48 2 6 2" xfId="27637" xr:uid="{00000000-0005-0000-0000-000015820000}"/>
    <cellStyle name="Normal 48 2 6 2 2" xfId="27638" xr:uid="{00000000-0005-0000-0000-000016820000}"/>
    <cellStyle name="Normal 48 2 6 3" xfId="27639" xr:uid="{00000000-0005-0000-0000-000017820000}"/>
    <cellStyle name="Normal 48 2 6 4" xfId="27640" xr:uid="{00000000-0005-0000-0000-000018820000}"/>
    <cellStyle name="Normal 48 2 7" xfId="27641" xr:uid="{00000000-0005-0000-0000-000019820000}"/>
    <cellStyle name="Normal 48 2 7 2" xfId="27642" xr:uid="{00000000-0005-0000-0000-00001A820000}"/>
    <cellStyle name="Normal 48 2 7 2 2" xfId="27643" xr:uid="{00000000-0005-0000-0000-00001B820000}"/>
    <cellStyle name="Normal 48 2 7 3" xfId="27644" xr:uid="{00000000-0005-0000-0000-00001C820000}"/>
    <cellStyle name="Normal 48 2 7 4" xfId="27645" xr:uid="{00000000-0005-0000-0000-00001D820000}"/>
    <cellStyle name="Normal 48 2 8" xfId="27646" xr:uid="{00000000-0005-0000-0000-00001E820000}"/>
    <cellStyle name="Normal 48 2 8 2" xfId="27647" xr:uid="{00000000-0005-0000-0000-00001F820000}"/>
    <cellStyle name="Normal 48 2 9" xfId="27648" xr:uid="{00000000-0005-0000-0000-000020820000}"/>
    <cellStyle name="Normal 48 3" xfId="27649" xr:uid="{00000000-0005-0000-0000-000021820000}"/>
    <cellStyle name="Normal 48 3 10" xfId="35463" xr:uid="{00000000-0005-0000-0000-000022820000}"/>
    <cellStyle name="Normal 48 3 2" xfId="27650" xr:uid="{00000000-0005-0000-0000-000023820000}"/>
    <cellStyle name="Normal 48 3 2 2" xfId="27651" xr:uid="{00000000-0005-0000-0000-000024820000}"/>
    <cellStyle name="Normal 48 3 2 2 2" xfId="27652" xr:uid="{00000000-0005-0000-0000-000025820000}"/>
    <cellStyle name="Normal 48 3 2 2 2 2" xfId="27653" xr:uid="{00000000-0005-0000-0000-000026820000}"/>
    <cellStyle name="Normal 48 3 2 2 3" xfId="27654" xr:uid="{00000000-0005-0000-0000-000027820000}"/>
    <cellStyle name="Normal 48 3 2 2 4" xfId="27655" xr:uid="{00000000-0005-0000-0000-000028820000}"/>
    <cellStyle name="Normal 48 3 2 2 5" xfId="40078" xr:uid="{00000000-0005-0000-0000-000029820000}"/>
    <cellStyle name="Normal 48 3 2 3" xfId="27656" xr:uid="{00000000-0005-0000-0000-00002A820000}"/>
    <cellStyle name="Normal 48 3 2 3 2" xfId="27657" xr:uid="{00000000-0005-0000-0000-00002B820000}"/>
    <cellStyle name="Normal 48 3 2 4" xfId="27658" xr:uid="{00000000-0005-0000-0000-00002C820000}"/>
    <cellStyle name="Normal 48 3 2 5" xfId="27659" xr:uid="{00000000-0005-0000-0000-00002D820000}"/>
    <cellStyle name="Normal 48 3 2 6" xfId="40077" xr:uid="{00000000-0005-0000-0000-00002E820000}"/>
    <cellStyle name="Normal 48 3 3" xfId="27660" xr:uid="{00000000-0005-0000-0000-00002F820000}"/>
    <cellStyle name="Normal 48 3 3 2" xfId="27661" xr:uid="{00000000-0005-0000-0000-000030820000}"/>
    <cellStyle name="Normal 48 3 3 2 2" xfId="27662" xr:uid="{00000000-0005-0000-0000-000031820000}"/>
    <cellStyle name="Normal 48 3 3 2 2 2" xfId="27663" xr:uid="{00000000-0005-0000-0000-000032820000}"/>
    <cellStyle name="Normal 48 3 3 2 3" xfId="27664" xr:uid="{00000000-0005-0000-0000-000033820000}"/>
    <cellStyle name="Normal 48 3 3 2 4" xfId="27665" xr:uid="{00000000-0005-0000-0000-000034820000}"/>
    <cellStyle name="Normal 48 3 3 2 5" xfId="40080" xr:uid="{00000000-0005-0000-0000-000035820000}"/>
    <cellStyle name="Normal 48 3 3 3" xfId="27666" xr:uid="{00000000-0005-0000-0000-000036820000}"/>
    <cellStyle name="Normal 48 3 3 3 2" xfId="27667" xr:uid="{00000000-0005-0000-0000-000037820000}"/>
    <cellStyle name="Normal 48 3 3 4" xfId="27668" xr:uid="{00000000-0005-0000-0000-000038820000}"/>
    <cellStyle name="Normal 48 3 3 5" xfId="27669" xr:uid="{00000000-0005-0000-0000-000039820000}"/>
    <cellStyle name="Normal 48 3 3 6" xfId="40079" xr:uid="{00000000-0005-0000-0000-00003A820000}"/>
    <cellStyle name="Normal 48 3 4" xfId="27670" xr:uid="{00000000-0005-0000-0000-00003B820000}"/>
    <cellStyle name="Normal 48 3 4 2" xfId="27671" xr:uid="{00000000-0005-0000-0000-00003C820000}"/>
    <cellStyle name="Normal 48 3 4 2 2" xfId="27672" xr:uid="{00000000-0005-0000-0000-00003D820000}"/>
    <cellStyle name="Normal 48 3 4 3" xfId="27673" xr:uid="{00000000-0005-0000-0000-00003E820000}"/>
    <cellStyle name="Normal 48 3 4 4" xfId="27674" xr:uid="{00000000-0005-0000-0000-00003F820000}"/>
    <cellStyle name="Normal 48 3 4 5" xfId="40081" xr:uid="{00000000-0005-0000-0000-000040820000}"/>
    <cellStyle name="Normal 48 3 5" xfId="27675" xr:uid="{00000000-0005-0000-0000-000041820000}"/>
    <cellStyle name="Normal 48 3 5 2" xfId="27676" xr:uid="{00000000-0005-0000-0000-000042820000}"/>
    <cellStyle name="Normal 48 3 5 2 2" xfId="27677" xr:uid="{00000000-0005-0000-0000-000043820000}"/>
    <cellStyle name="Normal 48 3 5 3" xfId="27678" xr:uid="{00000000-0005-0000-0000-000044820000}"/>
    <cellStyle name="Normal 48 3 5 4" xfId="27679" xr:uid="{00000000-0005-0000-0000-000045820000}"/>
    <cellStyle name="Normal 48 3 6" xfId="27680" xr:uid="{00000000-0005-0000-0000-000046820000}"/>
    <cellStyle name="Normal 48 3 6 2" xfId="27681" xr:uid="{00000000-0005-0000-0000-000047820000}"/>
    <cellStyle name="Normal 48 3 6 2 2" xfId="27682" xr:uid="{00000000-0005-0000-0000-000048820000}"/>
    <cellStyle name="Normal 48 3 6 3" xfId="27683" xr:uid="{00000000-0005-0000-0000-000049820000}"/>
    <cellStyle name="Normal 48 3 6 4" xfId="27684" xr:uid="{00000000-0005-0000-0000-00004A820000}"/>
    <cellStyle name="Normal 48 3 7" xfId="27685" xr:uid="{00000000-0005-0000-0000-00004B820000}"/>
    <cellStyle name="Normal 48 3 7 2" xfId="27686" xr:uid="{00000000-0005-0000-0000-00004C820000}"/>
    <cellStyle name="Normal 48 3 8" xfId="27687" xr:uid="{00000000-0005-0000-0000-00004D820000}"/>
    <cellStyle name="Normal 48 3 9" xfId="27688" xr:uid="{00000000-0005-0000-0000-00004E820000}"/>
    <cellStyle name="Normal 48 4" xfId="27689" xr:uid="{00000000-0005-0000-0000-00004F820000}"/>
    <cellStyle name="Normal 48 4 2" xfId="27690" xr:uid="{00000000-0005-0000-0000-000050820000}"/>
    <cellStyle name="Normal 48 4 2 2" xfId="27691" xr:uid="{00000000-0005-0000-0000-000051820000}"/>
    <cellStyle name="Normal 48 4 2 2 2" xfId="27692" xr:uid="{00000000-0005-0000-0000-000052820000}"/>
    <cellStyle name="Normal 48 4 2 3" xfId="27693" xr:uid="{00000000-0005-0000-0000-000053820000}"/>
    <cellStyle name="Normal 48 4 2 4" xfId="27694" xr:uid="{00000000-0005-0000-0000-000054820000}"/>
    <cellStyle name="Normal 48 4 2 5" xfId="40083" xr:uid="{00000000-0005-0000-0000-000055820000}"/>
    <cellStyle name="Normal 48 4 3" xfId="27695" xr:uid="{00000000-0005-0000-0000-000056820000}"/>
    <cellStyle name="Normal 48 4 3 2" xfId="27696" xr:uid="{00000000-0005-0000-0000-000057820000}"/>
    <cellStyle name="Normal 48 4 4" xfId="27697" xr:uid="{00000000-0005-0000-0000-000058820000}"/>
    <cellStyle name="Normal 48 4 5" xfId="27698" xr:uid="{00000000-0005-0000-0000-000059820000}"/>
    <cellStyle name="Normal 48 4 6" xfId="40082" xr:uid="{00000000-0005-0000-0000-00005A820000}"/>
    <cellStyle name="Normal 48 5" xfId="27699" xr:uid="{00000000-0005-0000-0000-00005B820000}"/>
    <cellStyle name="Normal 48 5 2" xfId="27700" xr:uid="{00000000-0005-0000-0000-00005C820000}"/>
    <cellStyle name="Normal 48 5 2 2" xfId="27701" xr:uid="{00000000-0005-0000-0000-00005D820000}"/>
    <cellStyle name="Normal 48 5 2 2 2" xfId="27702" xr:uid="{00000000-0005-0000-0000-00005E820000}"/>
    <cellStyle name="Normal 48 5 2 3" xfId="27703" xr:uid="{00000000-0005-0000-0000-00005F820000}"/>
    <cellStyle name="Normal 48 5 2 4" xfId="27704" xr:uid="{00000000-0005-0000-0000-000060820000}"/>
    <cellStyle name="Normal 48 5 2 5" xfId="40085" xr:uid="{00000000-0005-0000-0000-000061820000}"/>
    <cellStyle name="Normal 48 5 3" xfId="27705" xr:uid="{00000000-0005-0000-0000-000062820000}"/>
    <cellStyle name="Normal 48 5 3 2" xfId="27706" xr:uid="{00000000-0005-0000-0000-000063820000}"/>
    <cellStyle name="Normal 48 5 4" xfId="27707" xr:uid="{00000000-0005-0000-0000-000064820000}"/>
    <cellStyle name="Normal 48 5 5" xfId="27708" xr:uid="{00000000-0005-0000-0000-000065820000}"/>
    <cellStyle name="Normal 48 5 6" xfId="40084" xr:uid="{00000000-0005-0000-0000-000066820000}"/>
    <cellStyle name="Normal 48 6" xfId="27709" xr:uid="{00000000-0005-0000-0000-000067820000}"/>
    <cellStyle name="Normal 48 6 2" xfId="27710" xr:uid="{00000000-0005-0000-0000-000068820000}"/>
    <cellStyle name="Normal 48 6 2 2" xfId="27711" xr:uid="{00000000-0005-0000-0000-000069820000}"/>
    <cellStyle name="Normal 48 6 3" xfId="27712" xr:uid="{00000000-0005-0000-0000-00006A820000}"/>
    <cellStyle name="Normal 48 6 4" xfId="27713" xr:uid="{00000000-0005-0000-0000-00006B820000}"/>
    <cellStyle name="Normal 48 6 5" xfId="40086" xr:uid="{00000000-0005-0000-0000-00006C820000}"/>
    <cellStyle name="Normal 48 7" xfId="27714" xr:uid="{00000000-0005-0000-0000-00006D820000}"/>
    <cellStyle name="Normal 48 7 2" xfId="27715" xr:uid="{00000000-0005-0000-0000-00006E820000}"/>
    <cellStyle name="Normal 48 7 2 2" xfId="27716" xr:uid="{00000000-0005-0000-0000-00006F820000}"/>
    <cellStyle name="Normal 48 7 3" xfId="27717" xr:uid="{00000000-0005-0000-0000-000070820000}"/>
    <cellStyle name="Normal 48 7 4" xfId="27718" xr:uid="{00000000-0005-0000-0000-000071820000}"/>
    <cellStyle name="Normal 48 8" xfId="27719" xr:uid="{00000000-0005-0000-0000-000072820000}"/>
    <cellStyle name="Normal 48 8 2" xfId="27720" xr:uid="{00000000-0005-0000-0000-000073820000}"/>
    <cellStyle name="Normal 48 8 2 2" xfId="27721" xr:uid="{00000000-0005-0000-0000-000074820000}"/>
    <cellStyle name="Normal 48 8 3" xfId="27722" xr:uid="{00000000-0005-0000-0000-000075820000}"/>
    <cellStyle name="Normal 48 8 4" xfId="27723" xr:uid="{00000000-0005-0000-0000-000076820000}"/>
    <cellStyle name="Normal 48 9" xfId="27724" xr:uid="{00000000-0005-0000-0000-000077820000}"/>
    <cellStyle name="Normal 48 9 2" xfId="27725" xr:uid="{00000000-0005-0000-0000-000078820000}"/>
    <cellStyle name="Normal 49" xfId="27726" xr:uid="{00000000-0005-0000-0000-000079820000}"/>
    <cellStyle name="Normal 49 10" xfId="27727" xr:uid="{00000000-0005-0000-0000-00007A820000}"/>
    <cellStyle name="Normal 49 11" xfId="27728" xr:uid="{00000000-0005-0000-0000-00007B820000}"/>
    <cellStyle name="Normal 49 12" xfId="35464" xr:uid="{00000000-0005-0000-0000-00007C820000}"/>
    <cellStyle name="Normal 49 2" xfId="27729" xr:uid="{00000000-0005-0000-0000-00007D820000}"/>
    <cellStyle name="Normal 49 2 10" xfId="27730" xr:uid="{00000000-0005-0000-0000-00007E820000}"/>
    <cellStyle name="Normal 49 2 11" xfId="35465" xr:uid="{00000000-0005-0000-0000-00007F820000}"/>
    <cellStyle name="Normal 49 2 2" xfId="27731" xr:uid="{00000000-0005-0000-0000-000080820000}"/>
    <cellStyle name="Normal 49 2 2 10" xfId="35466" xr:uid="{00000000-0005-0000-0000-000081820000}"/>
    <cellStyle name="Normal 49 2 2 2" xfId="27732" xr:uid="{00000000-0005-0000-0000-000082820000}"/>
    <cellStyle name="Normal 49 2 2 2 2" xfId="27733" xr:uid="{00000000-0005-0000-0000-000083820000}"/>
    <cellStyle name="Normal 49 2 2 2 2 2" xfId="27734" xr:uid="{00000000-0005-0000-0000-000084820000}"/>
    <cellStyle name="Normal 49 2 2 2 2 2 2" xfId="27735" xr:uid="{00000000-0005-0000-0000-000085820000}"/>
    <cellStyle name="Normal 49 2 2 2 2 3" xfId="27736" xr:uid="{00000000-0005-0000-0000-000086820000}"/>
    <cellStyle name="Normal 49 2 2 2 2 4" xfId="27737" xr:uid="{00000000-0005-0000-0000-000087820000}"/>
    <cellStyle name="Normal 49 2 2 2 2 5" xfId="40088" xr:uid="{00000000-0005-0000-0000-000088820000}"/>
    <cellStyle name="Normal 49 2 2 2 3" xfId="27738" xr:uid="{00000000-0005-0000-0000-000089820000}"/>
    <cellStyle name="Normal 49 2 2 2 3 2" xfId="27739" xr:uid="{00000000-0005-0000-0000-00008A820000}"/>
    <cellStyle name="Normal 49 2 2 2 4" xfId="27740" xr:uid="{00000000-0005-0000-0000-00008B820000}"/>
    <cellStyle name="Normal 49 2 2 2 5" xfId="27741" xr:uid="{00000000-0005-0000-0000-00008C820000}"/>
    <cellStyle name="Normal 49 2 2 2 6" xfId="40087" xr:uid="{00000000-0005-0000-0000-00008D820000}"/>
    <cellStyle name="Normal 49 2 2 3" xfId="27742" xr:uid="{00000000-0005-0000-0000-00008E820000}"/>
    <cellStyle name="Normal 49 2 2 3 2" xfId="27743" xr:uid="{00000000-0005-0000-0000-00008F820000}"/>
    <cellStyle name="Normal 49 2 2 3 2 2" xfId="27744" xr:uid="{00000000-0005-0000-0000-000090820000}"/>
    <cellStyle name="Normal 49 2 2 3 2 2 2" xfId="27745" xr:uid="{00000000-0005-0000-0000-000091820000}"/>
    <cellStyle name="Normal 49 2 2 3 2 3" xfId="27746" xr:uid="{00000000-0005-0000-0000-000092820000}"/>
    <cellStyle name="Normal 49 2 2 3 2 4" xfId="27747" xr:uid="{00000000-0005-0000-0000-000093820000}"/>
    <cellStyle name="Normal 49 2 2 3 2 5" xfId="40090" xr:uid="{00000000-0005-0000-0000-000094820000}"/>
    <cellStyle name="Normal 49 2 2 3 3" xfId="27748" xr:uid="{00000000-0005-0000-0000-000095820000}"/>
    <cellStyle name="Normal 49 2 2 3 3 2" xfId="27749" xr:uid="{00000000-0005-0000-0000-000096820000}"/>
    <cellStyle name="Normal 49 2 2 3 4" xfId="27750" xr:uid="{00000000-0005-0000-0000-000097820000}"/>
    <cellStyle name="Normal 49 2 2 3 5" xfId="27751" xr:uid="{00000000-0005-0000-0000-000098820000}"/>
    <cellStyle name="Normal 49 2 2 3 6" xfId="40089" xr:uid="{00000000-0005-0000-0000-000099820000}"/>
    <cellStyle name="Normal 49 2 2 4" xfId="27752" xr:uid="{00000000-0005-0000-0000-00009A820000}"/>
    <cellStyle name="Normal 49 2 2 4 2" xfId="27753" xr:uid="{00000000-0005-0000-0000-00009B820000}"/>
    <cellStyle name="Normal 49 2 2 4 2 2" xfId="27754" xr:uid="{00000000-0005-0000-0000-00009C820000}"/>
    <cellStyle name="Normal 49 2 2 4 3" xfId="27755" xr:uid="{00000000-0005-0000-0000-00009D820000}"/>
    <cellStyle name="Normal 49 2 2 4 4" xfId="27756" xr:uid="{00000000-0005-0000-0000-00009E820000}"/>
    <cellStyle name="Normal 49 2 2 4 5" xfId="40091" xr:uid="{00000000-0005-0000-0000-00009F820000}"/>
    <cellStyle name="Normal 49 2 2 5" xfId="27757" xr:uid="{00000000-0005-0000-0000-0000A0820000}"/>
    <cellStyle name="Normal 49 2 2 5 2" xfId="27758" xr:uid="{00000000-0005-0000-0000-0000A1820000}"/>
    <cellStyle name="Normal 49 2 2 5 2 2" xfId="27759" xr:uid="{00000000-0005-0000-0000-0000A2820000}"/>
    <cellStyle name="Normal 49 2 2 5 3" xfId="27760" xr:uid="{00000000-0005-0000-0000-0000A3820000}"/>
    <cellStyle name="Normal 49 2 2 5 4" xfId="27761" xr:uid="{00000000-0005-0000-0000-0000A4820000}"/>
    <cellStyle name="Normal 49 2 2 6" xfId="27762" xr:uid="{00000000-0005-0000-0000-0000A5820000}"/>
    <cellStyle name="Normal 49 2 2 6 2" xfId="27763" xr:uid="{00000000-0005-0000-0000-0000A6820000}"/>
    <cellStyle name="Normal 49 2 2 6 2 2" xfId="27764" xr:uid="{00000000-0005-0000-0000-0000A7820000}"/>
    <cellStyle name="Normal 49 2 2 6 3" xfId="27765" xr:uid="{00000000-0005-0000-0000-0000A8820000}"/>
    <cellStyle name="Normal 49 2 2 6 4" xfId="27766" xr:uid="{00000000-0005-0000-0000-0000A9820000}"/>
    <cellStyle name="Normal 49 2 2 7" xfId="27767" xr:uid="{00000000-0005-0000-0000-0000AA820000}"/>
    <cellStyle name="Normal 49 2 2 7 2" xfId="27768" xr:uid="{00000000-0005-0000-0000-0000AB820000}"/>
    <cellStyle name="Normal 49 2 2 8" xfId="27769" xr:uid="{00000000-0005-0000-0000-0000AC820000}"/>
    <cellStyle name="Normal 49 2 2 9" xfId="27770" xr:uid="{00000000-0005-0000-0000-0000AD820000}"/>
    <cellStyle name="Normal 49 2 3" xfId="27771" xr:uid="{00000000-0005-0000-0000-0000AE820000}"/>
    <cellStyle name="Normal 49 2 3 2" xfId="27772" xr:uid="{00000000-0005-0000-0000-0000AF820000}"/>
    <cellStyle name="Normal 49 2 3 2 2" xfId="27773" xr:uid="{00000000-0005-0000-0000-0000B0820000}"/>
    <cellStyle name="Normal 49 2 3 2 2 2" xfId="27774" xr:uid="{00000000-0005-0000-0000-0000B1820000}"/>
    <cellStyle name="Normal 49 2 3 2 3" xfId="27775" xr:uid="{00000000-0005-0000-0000-0000B2820000}"/>
    <cellStyle name="Normal 49 2 3 2 4" xfId="27776" xr:uid="{00000000-0005-0000-0000-0000B3820000}"/>
    <cellStyle name="Normal 49 2 3 2 5" xfId="40093" xr:uid="{00000000-0005-0000-0000-0000B4820000}"/>
    <cellStyle name="Normal 49 2 3 3" xfId="27777" xr:uid="{00000000-0005-0000-0000-0000B5820000}"/>
    <cellStyle name="Normal 49 2 3 3 2" xfId="27778" xr:uid="{00000000-0005-0000-0000-0000B6820000}"/>
    <cellStyle name="Normal 49 2 3 4" xfId="27779" xr:uid="{00000000-0005-0000-0000-0000B7820000}"/>
    <cellStyle name="Normal 49 2 3 5" xfId="27780" xr:uid="{00000000-0005-0000-0000-0000B8820000}"/>
    <cellStyle name="Normal 49 2 3 6" xfId="40092" xr:uid="{00000000-0005-0000-0000-0000B9820000}"/>
    <cellStyle name="Normal 49 2 4" xfId="27781" xr:uid="{00000000-0005-0000-0000-0000BA820000}"/>
    <cellStyle name="Normal 49 2 4 2" xfId="27782" xr:uid="{00000000-0005-0000-0000-0000BB820000}"/>
    <cellStyle name="Normal 49 2 4 2 2" xfId="27783" xr:uid="{00000000-0005-0000-0000-0000BC820000}"/>
    <cellStyle name="Normal 49 2 4 2 2 2" xfId="27784" xr:uid="{00000000-0005-0000-0000-0000BD820000}"/>
    <cellStyle name="Normal 49 2 4 2 3" xfId="27785" xr:uid="{00000000-0005-0000-0000-0000BE820000}"/>
    <cellStyle name="Normal 49 2 4 2 4" xfId="27786" xr:uid="{00000000-0005-0000-0000-0000BF820000}"/>
    <cellStyle name="Normal 49 2 4 2 5" xfId="40095" xr:uid="{00000000-0005-0000-0000-0000C0820000}"/>
    <cellStyle name="Normal 49 2 4 3" xfId="27787" xr:uid="{00000000-0005-0000-0000-0000C1820000}"/>
    <cellStyle name="Normal 49 2 4 3 2" xfId="27788" xr:uid="{00000000-0005-0000-0000-0000C2820000}"/>
    <cellStyle name="Normal 49 2 4 4" xfId="27789" xr:uid="{00000000-0005-0000-0000-0000C3820000}"/>
    <cellStyle name="Normal 49 2 4 5" xfId="27790" xr:uid="{00000000-0005-0000-0000-0000C4820000}"/>
    <cellStyle name="Normal 49 2 4 6" xfId="40094" xr:uid="{00000000-0005-0000-0000-0000C5820000}"/>
    <cellStyle name="Normal 49 2 5" xfId="27791" xr:uid="{00000000-0005-0000-0000-0000C6820000}"/>
    <cellStyle name="Normal 49 2 5 2" xfId="27792" xr:uid="{00000000-0005-0000-0000-0000C7820000}"/>
    <cellStyle name="Normal 49 2 5 2 2" xfId="27793" xr:uid="{00000000-0005-0000-0000-0000C8820000}"/>
    <cellStyle name="Normal 49 2 5 3" xfId="27794" xr:uid="{00000000-0005-0000-0000-0000C9820000}"/>
    <cellStyle name="Normal 49 2 5 4" xfId="27795" xr:uid="{00000000-0005-0000-0000-0000CA820000}"/>
    <cellStyle name="Normal 49 2 5 5" xfId="40096" xr:uid="{00000000-0005-0000-0000-0000CB820000}"/>
    <cellStyle name="Normal 49 2 6" xfId="27796" xr:uid="{00000000-0005-0000-0000-0000CC820000}"/>
    <cellStyle name="Normal 49 2 6 2" xfId="27797" xr:uid="{00000000-0005-0000-0000-0000CD820000}"/>
    <cellStyle name="Normal 49 2 6 2 2" xfId="27798" xr:uid="{00000000-0005-0000-0000-0000CE820000}"/>
    <cellStyle name="Normal 49 2 6 3" xfId="27799" xr:uid="{00000000-0005-0000-0000-0000CF820000}"/>
    <cellStyle name="Normal 49 2 6 4" xfId="27800" xr:uid="{00000000-0005-0000-0000-0000D0820000}"/>
    <cellStyle name="Normal 49 2 7" xfId="27801" xr:uid="{00000000-0005-0000-0000-0000D1820000}"/>
    <cellStyle name="Normal 49 2 7 2" xfId="27802" xr:uid="{00000000-0005-0000-0000-0000D2820000}"/>
    <cellStyle name="Normal 49 2 7 2 2" xfId="27803" xr:uid="{00000000-0005-0000-0000-0000D3820000}"/>
    <cellStyle name="Normal 49 2 7 3" xfId="27804" xr:uid="{00000000-0005-0000-0000-0000D4820000}"/>
    <cellStyle name="Normal 49 2 7 4" xfId="27805" xr:uid="{00000000-0005-0000-0000-0000D5820000}"/>
    <cellStyle name="Normal 49 2 8" xfId="27806" xr:uid="{00000000-0005-0000-0000-0000D6820000}"/>
    <cellStyle name="Normal 49 2 8 2" xfId="27807" xr:uid="{00000000-0005-0000-0000-0000D7820000}"/>
    <cellStyle name="Normal 49 2 9" xfId="27808" xr:uid="{00000000-0005-0000-0000-0000D8820000}"/>
    <cellStyle name="Normal 49 3" xfId="27809" xr:uid="{00000000-0005-0000-0000-0000D9820000}"/>
    <cellStyle name="Normal 49 3 10" xfId="35467" xr:uid="{00000000-0005-0000-0000-0000DA820000}"/>
    <cellStyle name="Normal 49 3 2" xfId="27810" xr:uid="{00000000-0005-0000-0000-0000DB820000}"/>
    <cellStyle name="Normal 49 3 2 2" xfId="27811" xr:uid="{00000000-0005-0000-0000-0000DC820000}"/>
    <cellStyle name="Normal 49 3 2 2 2" xfId="27812" xr:uid="{00000000-0005-0000-0000-0000DD820000}"/>
    <cellStyle name="Normal 49 3 2 2 2 2" xfId="27813" xr:uid="{00000000-0005-0000-0000-0000DE820000}"/>
    <cellStyle name="Normal 49 3 2 2 3" xfId="27814" xr:uid="{00000000-0005-0000-0000-0000DF820000}"/>
    <cellStyle name="Normal 49 3 2 2 4" xfId="27815" xr:uid="{00000000-0005-0000-0000-0000E0820000}"/>
    <cellStyle name="Normal 49 3 2 2 5" xfId="40098" xr:uid="{00000000-0005-0000-0000-0000E1820000}"/>
    <cellStyle name="Normal 49 3 2 3" xfId="27816" xr:uid="{00000000-0005-0000-0000-0000E2820000}"/>
    <cellStyle name="Normal 49 3 2 3 2" xfId="27817" xr:uid="{00000000-0005-0000-0000-0000E3820000}"/>
    <cellStyle name="Normal 49 3 2 4" xfId="27818" xr:uid="{00000000-0005-0000-0000-0000E4820000}"/>
    <cellStyle name="Normal 49 3 2 5" xfId="27819" xr:uid="{00000000-0005-0000-0000-0000E5820000}"/>
    <cellStyle name="Normal 49 3 2 6" xfId="40097" xr:uid="{00000000-0005-0000-0000-0000E6820000}"/>
    <cellStyle name="Normal 49 3 3" xfId="27820" xr:uid="{00000000-0005-0000-0000-0000E7820000}"/>
    <cellStyle name="Normal 49 3 3 2" xfId="27821" xr:uid="{00000000-0005-0000-0000-0000E8820000}"/>
    <cellStyle name="Normal 49 3 3 2 2" xfId="27822" xr:uid="{00000000-0005-0000-0000-0000E9820000}"/>
    <cellStyle name="Normal 49 3 3 2 2 2" xfId="27823" xr:uid="{00000000-0005-0000-0000-0000EA820000}"/>
    <cellStyle name="Normal 49 3 3 2 3" xfId="27824" xr:uid="{00000000-0005-0000-0000-0000EB820000}"/>
    <cellStyle name="Normal 49 3 3 2 4" xfId="27825" xr:uid="{00000000-0005-0000-0000-0000EC820000}"/>
    <cellStyle name="Normal 49 3 3 2 5" xfId="40100" xr:uid="{00000000-0005-0000-0000-0000ED820000}"/>
    <cellStyle name="Normal 49 3 3 3" xfId="27826" xr:uid="{00000000-0005-0000-0000-0000EE820000}"/>
    <cellStyle name="Normal 49 3 3 3 2" xfId="27827" xr:uid="{00000000-0005-0000-0000-0000EF820000}"/>
    <cellStyle name="Normal 49 3 3 4" xfId="27828" xr:uid="{00000000-0005-0000-0000-0000F0820000}"/>
    <cellStyle name="Normal 49 3 3 5" xfId="27829" xr:uid="{00000000-0005-0000-0000-0000F1820000}"/>
    <cellStyle name="Normal 49 3 3 6" xfId="40099" xr:uid="{00000000-0005-0000-0000-0000F2820000}"/>
    <cellStyle name="Normal 49 3 4" xfId="27830" xr:uid="{00000000-0005-0000-0000-0000F3820000}"/>
    <cellStyle name="Normal 49 3 4 2" xfId="27831" xr:uid="{00000000-0005-0000-0000-0000F4820000}"/>
    <cellStyle name="Normal 49 3 4 2 2" xfId="27832" xr:uid="{00000000-0005-0000-0000-0000F5820000}"/>
    <cellStyle name="Normal 49 3 4 3" xfId="27833" xr:uid="{00000000-0005-0000-0000-0000F6820000}"/>
    <cellStyle name="Normal 49 3 4 4" xfId="27834" xr:uid="{00000000-0005-0000-0000-0000F7820000}"/>
    <cellStyle name="Normal 49 3 4 5" xfId="40101" xr:uid="{00000000-0005-0000-0000-0000F8820000}"/>
    <cellStyle name="Normal 49 3 5" xfId="27835" xr:uid="{00000000-0005-0000-0000-0000F9820000}"/>
    <cellStyle name="Normal 49 3 5 2" xfId="27836" xr:uid="{00000000-0005-0000-0000-0000FA820000}"/>
    <cellStyle name="Normal 49 3 5 2 2" xfId="27837" xr:uid="{00000000-0005-0000-0000-0000FB820000}"/>
    <cellStyle name="Normal 49 3 5 3" xfId="27838" xr:uid="{00000000-0005-0000-0000-0000FC820000}"/>
    <cellStyle name="Normal 49 3 5 4" xfId="27839" xr:uid="{00000000-0005-0000-0000-0000FD820000}"/>
    <cellStyle name="Normal 49 3 6" xfId="27840" xr:uid="{00000000-0005-0000-0000-0000FE820000}"/>
    <cellStyle name="Normal 49 3 6 2" xfId="27841" xr:uid="{00000000-0005-0000-0000-0000FF820000}"/>
    <cellStyle name="Normal 49 3 6 2 2" xfId="27842" xr:uid="{00000000-0005-0000-0000-000000830000}"/>
    <cellStyle name="Normal 49 3 6 3" xfId="27843" xr:uid="{00000000-0005-0000-0000-000001830000}"/>
    <cellStyle name="Normal 49 3 6 4" xfId="27844" xr:uid="{00000000-0005-0000-0000-000002830000}"/>
    <cellStyle name="Normal 49 3 7" xfId="27845" xr:uid="{00000000-0005-0000-0000-000003830000}"/>
    <cellStyle name="Normal 49 3 7 2" xfId="27846" xr:uid="{00000000-0005-0000-0000-000004830000}"/>
    <cellStyle name="Normal 49 3 8" xfId="27847" xr:uid="{00000000-0005-0000-0000-000005830000}"/>
    <cellStyle name="Normal 49 3 9" xfId="27848" xr:uid="{00000000-0005-0000-0000-000006830000}"/>
    <cellStyle name="Normal 49 4" xfId="27849" xr:uid="{00000000-0005-0000-0000-000007830000}"/>
    <cellStyle name="Normal 49 4 2" xfId="27850" xr:uid="{00000000-0005-0000-0000-000008830000}"/>
    <cellStyle name="Normal 49 4 2 2" xfId="27851" xr:uid="{00000000-0005-0000-0000-000009830000}"/>
    <cellStyle name="Normal 49 4 2 2 2" xfId="27852" xr:uid="{00000000-0005-0000-0000-00000A830000}"/>
    <cellStyle name="Normal 49 4 2 3" xfId="27853" xr:uid="{00000000-0005-0000-0000-00000B830000}"/>
    <cellStyle name="Normal 49 4 2 4" xfId="27854" xr:uid="{00000000-0005-0000-0000-00000C830000}"/>
    <cellStyle name="Normal 49 4 2 5" xfId="40103" xr:uid="{00000000-0005-0000-0000-00000D830000}"/>
    <cellStyle name="Normal 49 4 3" xfId="27855" xr:uid="{00000000-0005-0000-0000-00000E830000}"/>
    <cellStyle name="Normal 49 4 3 2" xfId="27856" xr:uid="{00000000-0005-0000-0000-00000F830000}"/>
    <cellStyle name="Normal 49 4 4" xfId="27857" xr:uid="{00000000-0005-0000-0000-000010830000}"/>
    <cellStyle name="Normal 49 4 5" xfId="27858" xr:uid="{00000000-0005-0000-0000-000011830000}"/>
    <cellStyle name="Normal 49 4 6" xfId="40102" xr:uid="{00000000-0005-0000-0000-000012830000}"/>
    <cellStyle name="Normal 49 5" xfId="27859" xr:uid="{00000000-0005-0000-0000-000013830000}"/>
    <cellStyle name="Normal 49 5 2" xfId="27860" xr:uid="{00000000-0005-0000-0000-000014830000}"/>
    <cellStyle name="Normal 49 5 2 2" xfId="27861" xr:uid="{00000000-0005-0000-0000-000015830000}"/>
    <cellStyle name="Normal 49 5 2 2 2" xfId="27862" xr:uid="{00000000-0005-0000-0000-000016830000}"/>
    <cellStyle name="Normal 49 5 2 3" xfId="27863" xr:uid="{00000000-0005-0000-0000-000017830000}"/>
    <cellStyle name="Normal 49 5 2 4" xfId="27864" xr:uid="{00000000-0005-0000-0000-000018830000}"/>
    <cellStyle name="Normal 49 5 2 5" xfId="40105" xr:uid="{00000000-0005-0000-0000-000019830000}"/>
    <cellStyle name="Normal 49 5 3" xfId="27865" xr:uid="{00000000-0005-0000-0000-00001A830000}"/>
    <cellStyle name="Normal 49 5 3 2" xfId="27866" xr:uid="{00000000-0005-0000-0000-00001B830000}"/>
    <cellStyle name="Normal 49 5 4" xfId="27867" xr:uid="{00000000-0005-0000-0000-00001C830000}"/>
    <cellStyle name="Normal 49 5 5" xfId="27868" xr:uid="{00000000-0005-0000-0000-00001D830000}"/>
    <cellStyle name="Normal 49 5 6" xfId="40104" xr:uid="{00000000-0005-0000-0000-00001E830000}"/>
    <cellStyle name="Normal 49 6" xfId="27869" xr:uid="{00000000-0005-0000-0000-00001F830000}"/>
    <cellStyle name="Normal 49 6 2" xfId="27870" xr:uid="{00000000-0005-0000-0000-000020830000}"/>
    <cellStyle name="Normal 49 6 2 2" xfId="27871" xr:uid="{00000000-0005-0000-0000-000021830000}"/>
    <cellStyle name="Normal 49 6 3" xfId="27872" xr:uid="{00000000-0005-0000-0000-000022830000}"/>
    <cellStyle name="Normal 49 6 4" xfId="27873" xr:uid="{00000000-0005-0000-0000-000023830000}"/>
    <cellStyle name="Normal 49 6 5" xfId="40106" xr:uid="{00000000-0005-0000-0000-000024830000}"/>
    <cellStyle name="Normal 49 7" xfId="27874" xr:uid="{00000000-0005-0000-0000-000025830000}"/>
    <cellStyle name="Normal 49 7 2" xfId="27875" xr:uid="{00000000-0005-0000-0000-000026830000}"/>
    <cellStyle name="Normal 49 7 2 2" xfId="27876" xr:uid="{00000000-0005-0000-0000-000027830000}"/>
    <cellStyle name="Normal 49 7 3" xfId="27877" xr:uid="{00000000-0005-0000-0000-000028830000}"/>
    <cellStyle name="Normal 49 7 4" xfId="27878" xr:uid="{00000000-0005-0000-0000-000029830000}"/>
    <cellStyle name="Normal 49 8" xfId="27879" xr:uid="{00000000-0005-0000-0000-00002A830000}"/>
    <cellStyle name="Normal 49 8 2" xfId="27880" xr:uid="{00000000-0005-0000-0000-00002B830000}"/>
    <cellStyle name="Normal 49 8 2 2" xfId="27881" xr:uid="{00000000-0005-0000-0000-00002C830000}"/>
    <cellStyle name="Normal 49 8 3" xfId="27882" xr:uid="{00000000-0005-0000-0000-00002D830000}"/>
    <cellStyle name="Normal 49 8 4" xfId="27883" xr:uid="{00000000-0005-0000-0000-00002E830000}"/>
    <cellStyle name="Normal 49 9" xfId="27884" xr:uid="{00000000-0005-0000-0000-00002F830000}"/>
    <cellStyle name="Normal 49 9 2" xfId="27885" xr:uid="{00000000-0005-0000-0000-000030830000}"/>
    <cellStyle name="Normal 5" xfId="27886" xr:uid="{00000000-0005-0000-0000-000031830000}"/>
    <cellStyle name="Normal 5 10" xfId="35468" xr:uid="{00000000-0005-0000-0000-000032830000}"/>
    <cellStyle name="Normal 5 2" xfId="27887" xr:uid="{00000000-0005-0000-0000-000033830000}"/>
    <cellStyle name="Normal 5 2 2" xfId="27888" xr:uid="{00000000-0005-0000-0000-000034830000}"/>
    <cellStyle name="Normal 5 2 2 2" xfId="27889" xr:uid="{00000000-0005-0000-0000-000035830000}"/>
    <cellStyle name="Normal 5 2 2 3" xfId="27890" xr:uid="{00000000-0005-0000-0000-000036830000}"/>
    <cellStyle name="Normal 5 2 2 3 2" xfId="27891" xr:uid="{00000000-0005-0000-0000-000037830000}"/>
    <cellStyle name="Normal 5 2 2 3 2 2" xfId="27892" xr:uid="{00000000-0005-0000-0000-000038830000}"/>
    <cellStyle name="Normal 5 2 2 3 3" xfId="27893" xr:uid="{00000000-0005-0000-0000-000039830000}"/>
    <cellStyle name="Normal 5 2 2 3 4" xfId="27894" xr:uid="{00000000-0005-0000-0000-00003A830000}"/>
    <cellStyle name="Normal 5 2 2 3 5" xfId="40107" xr:uid="{00000000-0005-0000-0000-00003B830000}"/>
    <cellStyle name="Normal 5 2 2 4" xfId="42347" xr:uid="{72479B3C-61F3-45FD-9B11-A2A183739DCB}"/>
    <cellStyle name="Normal 5 2 3" xfId="27895" xr:uid="{00000000-0005-0000-0000-00003C830000}"/>
    <cellStyle name="Normal 5 2 3 2" xfId="27896" xr:uid="{00000000-0005-0000-0000-00003D830000}"/>
    <cellStyle name="Normal 5 2 3 2 2" xfId="27897" xr:uid="{00000000-0005-0000-0000-00003E830000}"/>
    <cellStyle name="Normal 5 2 3 2 2 2" xfId="27898" xr:uid="{00000000-0005-0000-0000-00003F830000}"/>
    <cellStyle name="Normal 5 2 3 2 3" xfId="27899" xr:uid="{00000000-0005-0000-0000-000040830000}"/>
    <cellStyle name="Normal 5 2 3 2 4" xfId="27900" xr:uid="{00000000-0005-0000-0000-000041830000}"/>
    <cellStyle name="Normal 5 2 3 2 5" xfId="40108" xr:uid="{00000000-0005-0000-0000-000042830000}"/>
    <cellStyle name="Normal 5 2 4" xfId="35469" xr:uid="{00000000-0005-0000-0000-000043830000}"/>
    <cellStyle name="Normal 5 3" xfId="27901" xr:uid="{00000000-0005-0000-0000-000044830000}"/>
    <cellStyle name="Normal 5 3 2" xfId="27902" xr:uid="{00000000-0005-0000-0000-000045830000}"/>
    <cellStyle name="Normal 5 3 2 2" xfId="27903" xr:uid="{00000000-0005-0000-0000-000046830000}"/>
    <cellStyle name="Normal 5 3 2 2 2" xfId="27904" xr:uid="{00000000-0005-0000-0000-000047830000}"/>
    <cellStyle name="Normal 5 3 2 2 2 2" xfId="27905" xr:uid="{00000000-0005-0000-0000-000048830000}"/>
    <cellStyle name="Normal 5 3 2 2 3" xfId="27906" xr:uid="{00000000-0005-0000-0000-000049830000}"/>
    <cellStyle name="Normal 5 3 2 2 4" xfId="27907" xr:uid="{00000000-0005-0000-0000-00004A830000}"/>
    <cellStyle name="Normal 5 3 2 2 5" xfId="40109" xr:uid="{00000000-0005-0000-0000-00004B830000}"/>
    <cellStyle name="Normal 5 3 3" xfId="27908" xr:uid="{00000000-0005-0000-0000-00004C830000}"/>
    <cellStyle name="Normal 5 3 3 2" xfId="27909" xr:uid="{00000000-0005-0000-0000-00004D830000}"/>
    <cellStyle name="Normal 5 3 3 2 2" xfId="27910" xr:uid="{00000000-0005-0000-0000-00004E830000}"/>
    <cellStyle name="Normal 5 3 3 3" xfId="27911" xr:uid="{00000000-0005-0000-0000-00004F830000}"/>
    <cellStyle name="Normal 5 3 3 4" xfId="27912" xr:uid="{00000000-0005-0000-0000-000050830000}"/>
    <cellStyle name="Normal 5 3 3 5" xfId="40110" xr:uid="{00000000-0005-0000-0000-000051830000}"/>
    <cellStyle name="Normal 5 3 4" xfId="41806" xr:uid="{95149143-B745-4ED3-8ED5-0454B785EB2A}"/>
    <cellStyle name="Normal 5 3 5" xfId="41969" xr:uid="{B4009981-1B40-48C8-8E2F-9F1C0DE3FF4C}"/>
    <cellStyle name="Normal 5 3 6" xfId="42391" xr:uid="{8D0D65C0-16B3-4755-872F-7E16A9651362}"/>
    <cellStyle name="Normal 5 4" xfId="27913" xr:uid="{00000000-0005-0000-0000-000052830000}"/>
    <cellStyle name="Normal 5 4 2" xfId="27914" xr:uid="{00000000-0005-0000-0000-000053830000}"/>
    <cellStyle name="Normal 5 4 2 2" xfId="27915" xr:uid="{00000000-0005-0000-0000-000054830000}"/>
    <cellStyle name="Normal 5 4 2 2 2" xfId="27916" xr:uid="{00000000-0005-0000-0000-000055830000}"/>
    <cellStyle name="Normal 5 4 2 2 2 2" xfId="27917" xr:uid="{00000000-0005-0000-0000-000056830000}"/>
    <cellStyle name="Normal 5 4 2 2 3" xfId="27918" xr:uid="{00000000-0005-0000-0000-000057830000}"/>
    <cellStyle name="Normal 5 4 2 2 4" xfId="27919" xr:uid="{00000000-0005-0000-0000-000058830000}"/>
    <cellStyle name="Normal 5 4 2 2 5" xfId="40112" xr:uid="{00000000-0005-0000-0000-000059830000}"/>
    <cellStyle name="Normal 5 4 2 3" xfId="27920" xr:uid="{00000000-0005-0000-0000-00005A830000}"/>
    <cellStyle name="Normal 5 4 2 3 2" xfId="27921" xr:uid="{00000000-0005-0000-0000-00005B830000}"/>
    <cellStyle name="Normal 5 4 2 3 2 2" xfId="27922" xr:uid="{00000000-0005-0000-0000-00005C830000}"/>
    <cellStyle name="Normal 5 4 2 3 3" xfId="27923" xr:uid="{00000000-0005-0000-0000-00005D830000}"/>
    <cellStyle name="Normal 5 4 2 3 4" xfId="27924" xr:uid="{00000000-0005-0000-0000-00005E830000}"/>
    <cellStyle name="Normal 5 4 2 4" xfId="27925" xr:uid="{00000000-0005-0000-0000-00005F830000}"/>
    <cellStyle name="Normal 5 4 2 4 2" xfId="27926" xr:uid="{00000000-0005-0000-0000-000060830000}"/>
    <cellStyle name="Normal 5 4 2 5" xfId="27927" xr:uid="{00000000-0005-0000-0000-000061830000}"/>
    <cellStyle name="Normal 5 4 2 6" xfId="27928" xr:uid="{00000000-0005-0000-0000-000062830000}"/>
    <cellStyle name="Normal 5 4 2 7" xfId="40111" xr:uid="{00000000-0005-0000-0000-000063830000}"/>
    <cellStyle name="Normal 5 4 3" xfId="27929" xr:uid="{00000000-0005-0000-0000-000064830000}"/>
    <cellStyle name="Normal 5 4 3 2" xfId="27930" xr:uid="{00000000-0005-0000-0000-000065830000}"/>
    <cellStyle name="Normal 5 4 3 2 2" xfId="27931" xr:uid="{00000000-0005-0000-0000-000066830000}"/>
    <cellStyle name="Normal 5 4 3 2 2 2" xfId="27932" xr:uid="{00000000-0005-0000-0000-000067830000}"/>
    <cellStyle name="Normal 5 4 3 2 3" xfId="27933" xr:uid="{00000000-0005-0000-0000-000068830000}"/>
    <cellStyle name="Normal 5 4 3 2 4" xfId="27934" xr:uid="{00000000-0005-0000-0000-000069830000}"/>
    <cellStyle name="Normal 5 4 3 2 5" xfId="40114" xr:uid="{00000000-0005-0000-0000-00006A830000}"/>
    <cellStyle name="Normal 5 4 3 3" xfId="27935" xr:uid="{00000000-0005-0000-0000-00006B830000}"/>
    <cellStyle name="Normal 5 4 3 3 2" xfId="27936" xr:uid="{00000000-0005-0000-0000-00006C830000}"/>
    <cellStyle name="Normal 5 4 3 3 2 2" xfId="27937" xr:uid="{00000000-0005-0000-0000-00006D830000}"/>
    <cellStyle name="Normal 5 4 3 3 3" xfId="27938" xr:uid="{00000000-0005-0000-0000-00006E830000}"/>
    <cellStyle name="Normal 5 4 3 3 4" xfId="27939" xr:uid="{00000000-0005-0000-0000-00006F830000}"/>
    <cellStyle name="Normal 5 4 3 4" xfId="27940" xr:uid="{00000000-0005-0000-0000-000070830000}"/>
    <cellStyle name="Normal 5 4 3 4 2" xfId="27941" xr:uid="{00000000-0005-0000-0000-000071830000}"/>
    <cellStyle name="Normal 5 4 3 5" xfId="27942" xr:uid="{00000000-0005-0000-0000-000072830000}"/>
    <cellStyle name="Normal 5 4 3 6" xfId="27943" xr:uid="{00000000-0005-0000-0000-000073830000}"/>
    <cellStyle name="Normal 5 4 3 7" xfId="40113" xr:uid="{00000000-0005-0000-0000-000074830000}"/>
    <cellStyle name="Normal 5 4 4" xfId="27944" xr:uid="{00000000-0005-0000-0000-000075830000}"/>
    <cellStyle name="Normal 5 4 4 2" xfId="27945" xr:uid="{00000000-0005-0000-0000-000076830000}"/>
    <cellStyle name="Normal 5 4 4 2 2" xfId="27946" xr:uid="{00000000-0005-0000-0000-000077830000}"/>
    <cellStyle name="Normal 5 4 4 3" xfId="27947" xr:uid="{00000000-0005-0000-0000-000078830000}"/>
    <cellStyle name="Normal 5 4 4 4" xfId="27948" xr:uid="{00000000-0005-0000-0000-000079830000}"/>
    <cellStyle name="Normal 5 4 4 5" xfId="40115" xr:uid="{00000000-0005-0000-0000-00007A830000}"/>
    <cellStyle name="Normal 5 4 5" xfId="27949" xr:uid="{00000000-0005-0000-0000-00007B830000}"/>
    <cellStyle name="Normal 5 4 5 2" xfId="27950" xr:uid="{00000000-0005-0000-0000-00007C830000}"/>
    <cellStyle name="Normal 5 4 5 2 2" xfId="27951" xr:uid="{00000000-0005-0000-0000-00007D830000}"/>
    <cellStyle name="Normal 5 4 5 3" xfId="27952" xr:uid="{00000000-0005-0000-0000-00007E830000}"/>
    <cellStyle name="Normal 5 4 5 4" xfId="27953" xr:uid="{00000000-0005-0000-0000-00007F830000}"/>
    <cellStyle name="Normal 5 4 6" xfId="27954" xr:uid="{00000000-0005-0000-0000-000080830000}"/>
    <cellStyle name="Normal 5 4 6 2" xfId="27955" xr:uid="{00000000-0005-0000-0000-000081830000}"/>
    <cellStyle name="Normal 5 4 7" xfId="27956" xr:uid="{00000000-0005-0000-0000-000082830000}"/>
    <cellStyle name="Normal 5 4 8" xfId="27957" xr:uid="{00000000-0005-0000-0000-000083830000}"/>
    <cellStyle name="Normal 5 4 9" xfId="35470" xr:uid="{00000000-0005-0000-0000-000084830000}"/>
    <cellStyle name="Normal 5 5" xfId="27958" xr:uid="{00000000-0005-0000-0000-000085830000}"/>
    <cellStyle name="Normal 5 5 2" xfId="27959" xr:uid="{00000000-0005-0000-0000-000086830000}"/>
    <cellStyle name="Normal 5 5 2 2" xfId="27960" xr:uid="{00000000-0005-0000-0000-000087830000}"/>
    <cellStyle name="Normal 5 5 2 2 2" xfId="27961" xr:uid="{00000000-0005-0000-0000-000088830000}"/>
    <cellStyle name="Normal 5 5 2 3" xfId="27962" xr:uid="{00000000-0005-0000-0000-000089830000}"/>
    <cellStyle name="Normal 5 5 2 4" xfId="27963" xr:uid="{00000000-0005-0000-0000-00008A830000}"/>
    <cellStyle name="Normal 5 5 2 5" xfId="40116" xr:uid="{00000000-0005-0000-0000-00008B830000}"/>
    <cellStyle name="Normal 5 6" xfId="27964" xr:uid="{00000000-0005-0000-0000-00008C830000}"/>
    <cellStyle name="Normal 5 6 2" xfId="27965" xr:uid="{00000000-0005-0000-0000-00008D830000}"/>
    <cellStyle name="Normal 5 6 2 2" xfId="27966" xr:uid="{00000000-0005-0000-0000-00008E830000}"/>
    <cellStyle name="Normal 5 6 3" xfId="27967" xr:uid="{00000000-0005-0000-0000-00008F830000}"/>
    <cellStyle name="Normal 5 6 4" xfId="27968" xr:uid="{00000000-0005-0000-0000-000090830000}"/>
    <cellStyle name="Normal 5 6 5" xfId="40117" xr:uid="{00000000-0005-0000-0000-000091830000}"/>
    <cellStyle name="Normal 5 7" xfId="27969" xr:uid="{00000000-0005-0000-0000-000092830000}"/>
    <cellStyle name="Normal 5 7 2" xfId="27970" xr:uid="{00000000-0005-0000-0000-000093830000}"/>
    <cellStyle name="Normal 5 7 2 2" xfId="27971" xr:uid="{00000000-0005-0000-0000-000094830000}"/>
    <cellStyle name="Normal 5 7 3" xfId="27972" xr:uid="{00000000-0005-0000-0000-000095830000}"/>
    <cellStyle name="Normal 5 7 4" xfId="27973" xr:uid="{00000000-0005-0000-0000-000096830000}"/>
    <cellStyle name="Normal 5 7 5" xfId="40118" xr:uid="{00000000-0005-0000-0000-000097830000}"/>
    <cellStyle name="Normal 5 8" xfId="27974" xr:uid="{00000000-0005-0000-0000-000098830000}"/>
    <cellStyle name="Normal 5 8 2" xfId="27975" xr:uid="{00000000-0005-0000-0000-000099830000}"/>
    <cellStyle name="Normal 5 8 2 2" xfId="27976" xr:uid="{00000000-0005-0000-0000-00009A830000}"/>
    <cellStyle name="Normal 5 8 3" xfId="27977" xr:uid="{00000000-0005-0000-0000-00009B830000}"/>
    <cellStyle name="Normal 5 8 4" xfId="27978" xr:uid="{00000000-0005-0000-0000-00009C830000}"/>
    <cellStyle name="Normal 5 9" xfId="34373" xr:uid="{00000000-0005-0000-0000-00009D830000}"/>
    <cellStyle name="Normal 50" xfId="27979" xr:uid="{00000000-0005-0000-0000-00009E830000}"/>
    <cellStyle name="Normal 50 10" xfId="27980" xr:uid="{00000000-0005-0000-0000-00009F830000}"/>
    <cellStyle name="Normal 50 11" xfId="27981" xr:uid="{00000000-0005-0000-0000-0000A0830000}"/>
    <cellStyle name="Normal 50 12" xfId="35471" xr:uid="{00000000-0005-0000-0000-0000A1830000}"/>
    <cellStyle name="Normal 50 2" xfId="27982" xr:uid="{00000000-0005-0000-0000-0000A2830000}"/>
    <cellStyle name="Normal 50 2 10" xfId="27983" xr:uid="{00000000-0005-0000-0000-0000A3830000}"/>
    <cellStyle name="Normal 50 2 11" xfId="35472" xr:uid="{00000000-0005-0000-0000-0000A4830000}"/>
    <cellStyle name="Normal 50 2 2" xfId="27984" xr:uid="{00000000-0005-0000-0000-0000A5830000}"/>
    <cellStyle name="Normal 50 2 2 10" xfId="35473" xr:uid="{00000000-0005-0000-0000-0000A6830000}"/>
    <cellStyle name="Normal 50 2 2 2" xfId="27985" xr:uid="{00000000-0005-0000-0000-0000A7830000}"/>
    <cellStyle name="Normal 50 2 2 2 2" xfId="27986" xr:uid="{00000000-0005-0000-0000-0000A8830000}"/>
    <cellStyle name="Normal 50 2 2 2 2 2" xfId="27987" xr:uid="{00000000-0005-0000-0000-0000A9830000}"/>
    <cellStyle name="Normal 50 2 2 2 2 2 2" xfId="27988" xr:uid="{00000000-0005-0000-0000-0000AA830000}"/>
    <cellStyle name="Normal 50 2 2 2 2 3" xfId="27989" xr:uid="{00000000-0005-0000-0000-0000AB830000}"/>
    <cellStyle name="Normal 50 2 2 2 2 4" xfId="27990" xr:uid="{00000000-0005-0000-0000-0000AC830000}"/>
    <cellStyle name="Normal 50 2 2 2 2 5" xfId="40120" xr:uid="{00000000-0005-0000-0000-0000AD830000}"/>
    <cellStyle name="Normal 50 2 2 2 3" xfId="27991" xr:uid="{00000000-0005-0000-0000-0000AE830000}"/>
    <cellStyle name="Normal 50 2 2 2 3 2" xfId="27992" xr:uid="{00000000-0005-0000-0000-0000AF830000}"/>
    <cellStyle name="Normal 50 2 2 2 4" xfId="27993" xr:uid="{00000000-0005-0000-0000-0000B0830000}"/>
    <cellStyle name="Normal 50 2 2 2 5" xfId="27994" xr:uid="{00000000-0005-0000-0000-0000B1830000}"/>
    <cellStyle name="Normal 50 2 2 2 6" xfId="40119" xr:uid="{00000000-0005-0000-0000-0000B2830000}"/>
    <cellStyle name="Normal 50 2 2 3" xfId="27995" xr:uid="{00000000-0005-0000-0000-0000B3830000}"/>
    <cellStyle name="Normal 50 2 2 3 2" xfId="27996" xr:uid="{00000000-0005-0000-0000-0000B4830000}"/>
    <cellStyle name="Normal 50 2 2 3 2 2" xfId="27997" xr:uid="{00000000-0005-0000-0000-0000B5830000}"/>
    <cellStyle name="Normal 50 2 2 3 2 2 2" xfId="27998" xr:uid="{00000000-0005-0000-0000-0000B6830000}"/>
    <cellStyle name="Normal 50 2 2 3 2 3" xfId="27999" xr:uid="{00000000-0005-0000-0000-0000B7830000}"/>
    <cellStyle name="Normal 50 2 2 3 2 4" xfId="28000" xr:uid="{00000000-0005-0000-0000-0000B8830000}"/>
    <cellStyle name="Normal 50 2 2 3 2 5" xfId="40122" xr:uid="{00000000-0005-0000-0000-0000B9830000}"/>
    <cellStyle name="Normal 50 2 2 3 3" xfId="28001" xr:uid="{00000000-0005-0000-0000-0000BA830000}"/>
    <cellStyle name="Normal 50 2 2 3 3 2" xfId="28002" xr:uid="{00000000-0005-0000-0000-0000BB830000}"/>
    <cellStyle name="Normal 50 2 2 3 4" xfId="28003" xr:uid="{00000000-0005-0000-0000-0000BC830000}"/>
    <cellStyle name="Normal 50 2 2 3 5" xfId="28004" xr:uid="{00000000-0005-0000-0000-0000BD830000}"/>
    <cellStyle name="Normal 50 2 2 3 6" xfId="40121" xr:uid="{00000000-0005-0000-0000-0000BE830000}"/>
    <cellStyle name="Normal 50 2 2 4" xfId="28005" xr:uid="{00000000-0005-0000-0000-0000BF830000}"/>
    <cellStyle name="Normal 50 2 2 4 2" xfId="28006" xr:uid="{00000000-0005-0000-0000-0000C0830000}"/>
    <cellStyle name="Normal 50 2 2 4 2 2" xfId="28007" xr:uid="{00000000-0005-0000-0000-0000C1830000}"/>
    <cellStyle name="Normal 50 2 2 4 3" xfId="28008" xr:uid="{00000000-0005-0000-0000-0000C2830000}"/>
    <cellStyle name="Normal 50 2 2 4 4" xfId="28009" xr:uid="{00000000-0005-0000-0000-0000C3830000}"/>
    <cellStyle name="Normal 50 2 2 4 5" xfId="40123" xr:uid="{00000000-0005-0000-0000-0000C4830000}"/>
    <cellStyle name="Normal 50 2 2 5" xfId="28010" xr:uid="{00000000-0005-0000-0000-0000C5830000}"/>
    <cellStyle name="Normal 50 2 2 5 2" xfId="28011" xr:uid="{00000000-0005-0000-0000-0000C6830000}"/>
    <cellStyle name="Normal 50 2 2 5 2 2" xfId="28012" xr:uid="{00000000-0005-0000-0000-0000C7830000}"/>
    <cellStyle name="Normal 50 2 2 5 3" xfId="28013" xr:uid="{00000000-0005-0000-0000-0000C8830000}"/>
    <cellStyle name="Normal 50 2 2 5 4" xfId="28014" xr:uid="{00000000-0005-0000-0000-0000C9830000}"/>
    <cellStyle name="Normal 50 2 2 6" xfId="28015" xr:uid="{00000000-0005-0000-0000-0000CA830000}"/>
    <cellStyle name="Normal 50 2 2 6 2" xfId="28016" xr:uid="{00000000-0005-0000-0000-0000CB830000}"/>
    <cellStyle name="Normal 50 2 2 6 2 2" xfId="28017" xr:uid="{00000000-0005-0000-0000-0000CC830000}"/>
    <cellStyle name="Normal 50 2 2 6 3" xfId="28018" xr:uid="{00000000-0005-0000-0000-0000CD830000}"/>
    <cellStyle name="Normal 50 2 2 6 4" xfId="28019" xr:uid="{00000000-0005-0000-0000-0000CE830000}"/>
    <cellStyle name="Normal 50 2 2 7" xfId="28020" xr:uid="{00000000-0005-0000-0000-0000CF830000}"/>
    <cellStyle name="Normal 50 2 2 7 2" xfId="28021" xr:uid="{00000000-0005-0000-0000-0000D0830000}"/>
    <cellStyle name="Normal 50 2 2 8" xfId="28022" xr:uid="{00000000-0005-0000-0000-0000D1830000}"/>
    <cellStyle name="Normal 50 2 2 9" xfId="28023" xr:uid="{00000000-0005-0000-0000-0000D2830000}"/>
    <cellStyle name="Normal 50 2 3" xfId="28024" xr:uid="{00000000-0005-0000-0000-0000D3830000}"/>
    <cellStyle name="Normal 50 2 3 2" xfId="28025" xr:uid="{00000000-0005-0000-0000-0000D4830000}"/>
    <cellStyle name="Normal 50 2 3 2 2" xfId="28026" xr:uid="{00000000-0005-0000-0000-0000D5830000}"/>
    <cellStyle name="Normal 50 2 3 2 2 2" xfId="28027" xr:uid="{00000000-0005-0000-0000-0000D6830000}"/>
    <cellStyle name="Normal 50 2 3 2 3" xfId="28028" xr:uid="{00000000-0005-0000-0000-0000D7830000}"/>
    <cellStyle name="Normal 50 2 3 2 4" xfId="28029" xr:uid="{00000000-0005-0000-0000-0000D8830000}"/>
    <cellStyle name="Normal 50 2 3 2 5" xfId="40125" xr:uid="{00000000-0005-0000-0000-0000D9830000}"/>
    <cellStyle name="Normal 50 2 3 3" xfId="28030" xr:uid="{00000000-0005-0000-0000-0000DA830000}"/>
    <cellStyle name="Normal 50 2 3 3 2" xfId="28031" xr:uid="{00000000-0005-0000-0000-0000DB830000}"/>
    <cellStyle name="Normal 50 2 3 4" xfId="28032" xr:uid="{00000000-0005-0000-0000-0000DC830000}"/>
    <cellStyle name="Normal 50 2 3 5" xfId="28033" xr:uid="{00000000-0005-0000-0000-0000DD830000}"/>
    <cellStyle name="Normal 50 2 3 6" xfId="40124" xr:uid="{00000000-0005-0000-0000-0000DE830000}"/>
    <cellStyle name="Normal 50 2 4" xfId="28034" xr:uid="{00000000-0005-0000-0000-0000DF830000}"/>
    <cellStyle name="Normal 50 2 4 2" xfId="28035" xr:uid="{00000000-0005-0000-0000-0000E0830000}"/>
    <cellStyle name="Normal 50 2 4 2 2" xfId="28036" xr:uid="{00000000-0005-0000-0000-0000E1830000}"/>
    <cellStyle name="Normal 50 2 4 2 2 2" xfId="28037" xr:uid="{00000000-0005-0000-0000-0000E2830000}"/>
    <cellStyle name="Normal 50 2 4 2 3" xfId="28038" xr:uid="{00000000-0005-0000-0000-0000E3830000}"/>
    <cellStyle name="Normal 50 2 4 2 4" xfId="28039" xr:uid="{00000000-0005-0000-0000-0000E4830000}"/>
    <cellStyle name="Normal 50 2 4 2 5" xfId="40127" xr:uid="{00000000-0005-0000-0000-0000E5830000}"/>
    <cellStyle name="Normal 50 2 4 3" xfId="28040" xr:uid="{00000000-0005-0000-0000-0000E6830000}"/>
    <cellStyle name="Normal 50 2 4 3 2" xfId="28041" xr:uid="{00000000-0005-0000-0000-0000E7830000}"/>
    <cellStyle name="Normal 50 2 4 4" xfId="28042" xr:uid="{00000000-0005-0000-0000-0000E8830000}"/>
    <cellStyle name="Normal 50 2 4 5" xfId="28043" xr:uid="{00000000-0005-0000-0000-0000E9830000}"/>
    <cellStyle name="Normal 50 2 4 6" xfId="40126" xr:uid="{00000000-0005-0000-0000-0000EA830000}"/>
    <cellStyle name="Normal 50 2 5" xfId="28044" xr:uid="{00000000-0005-0000-0000-0000EB830000}"/>
    <cellStyle name="Normal 50 2 5 2" xfId="28045" xr:uid="{00000000-0005-0000-0000-0000EC830000}"/>
    <cellStyle name="Normal 50 2 5 2 2" xfId="28046" xr:uid="{00000000-0005-0000-0000-0000ED830000}"/>
    <cellStyle name="Normal 50 2 5 3" xfId="28047" xr:uid="{00000000-0005-0000-0000-0000EE830000}"/>
    <cellStyle name="Normal 50 2 5 4" xfId="28048" xr:uid="{00000000-0005-0000-0000-0000EF830000}"/>
    <cellStyle name="Normal 50 2 5 5" xfId="40128" xr:uid="{00000000-0005-0000-0000-0000F0830000}"/>
    <cellStyle name="Normal 50 2 6" xfId="28049" xr:uid="{00000000-0005-0000-0000-0000F1830000}"/>
    <cellStyle name="Normal 50 2 6 2" xfId="28050" xr:uid="{00000000-0005-0000-0000-0000F2830000}"/>
    <cellStyle name="Normal 50 2 6 2 2" xfId="28051" xr:uid="{00000000-0005-0000-0000-0000F3830000}"/>
    <cellStyle name="Normal 50 2 6 3" xfId="28052" xr:uid="{00000000-0005-0000-0000-0000F4830000}"/>
    <cellStyle name="Normal 50 2 6 4" xfId="28053" xr:uid="{00000000-0005-0000-0000-0000F5830000}"/>
    <cellStyle name="Normal 50 2 7" xfId="28054" xr:uid="{00000000-0005-0000-0000-0000F6830000}"/>
    <cellStyle name="Normal 50 2 7 2" xfId="28055" xr:uid="{00000000-0005-0000-0000-0000F7830000}"/>
    <cellStyle name="Normal 50 2 7 2 2" xfId="28056" xr:uid="{00000000-0005-0000-0000-0000F8830000}"/>
    <cellStyle name="Normal 50 2 7 3" xfId="28057" xr:uid="{00000000-0005-0000-0000-0000F9830000}"/>
    <cellStyle name="Normal 50 2 7 4" xfId="28058" xr:uid="{00000000-0005-0000-0000-0000FA830000}"/>
    <cellStyle name="Normal 50 2 8" xfId="28059" xr:uid="{00000000-0005-0000-0000-0000FB830000}"/>
    <cellStyle name="Normal 50 2 8 2" xfId="28060" xr:uid="{00000000-0005-0000-0000-0000FC830000}"/>
    <cellStyle name="Normal 50 2 9" xfId="28061" xr:uid="{00000000-0005-0000-0000-0000FD830000}"/>
    <cellStyle name="Normal 50 3" xfId="28062" xr:uid="{00000000-0005-0000-0000-0000FE830000}"/>
    <cellStyle name="Normal 50 3 10" xfId="35474" xr:uid="{00000000-0005-0000-0000-0000FF830000}"/>
    <cellStyle name="Normal 50 3 2" xfId="28063" xr:uid="{00000000-0005-0000-0000-000000840000}"/>
    <cellStyle name="Normal 50 3 2 2" xfId="28064" xr:uid="{00000000-0005-0000-0000-000001840000}"/>
    <cellStyle name="Normal 50 3 2 2 2" xfId="28065" xr:uid="{00000000-0005-0000-0000-000002840000}"/>
    <cellStyle name="Normal 50 3 2 2 2 2" xfId="28066" xr:uid="{00000000-0005-0000-0000-000003840000}"/>
    <cellStyle name="Normal 50 3 2 2 3" xfId="28067" xr:uid="{00000000-0005-0000-0000-000004840000}"/>
    <cellStyle name="Normal 50 3 2 2 4" xfId="28068" xr:uid="{00000000-0005-0000-0000-000005840000}"/>
    <cellStyle name="Normal 50 3 2 2 5" xfId="40130" xr:uid="{00000000-0005-0000-0000-000006840000}"/>
    <cellStyle name="Normal 50 3 2 3" xfId="28069" xr:uid="{00000000-0005-0000-0000-000007840000}"/>
    <cellStyle name="Normal 50 3 2 3 2" xfId="28070" xr:uid="{00000000-0005-0000-0000-000008840000}"/>
    <cellStyle name="Normal 50 3 2 4" xfId="28071" xr:uid="{00000000-0005-0000-0000-000009840000}"/>
    <cellStyle name="Normal 50 3 2 5" xfId="28072" xr:uid="{00000000-0005-0000-0000-00000A840000}"/>
    <cellStyle name="Normal 50 3 2 6" xfId="40129" xr:uid="{00000000-0005-0000-0000-00000B840000}"/>
    <cellStyle name="Normal 50 3 3" xfId="28073" xr:uid="{00000000-0005-0000-0000-00000C840000}"/>
    <cellStyle name="Normal 50 3 3 2" xfId="28074" xr:uid="{00000000-0005-0000-0000-00000D840000}"/>
    <cellStyle name="Normal 50 3 3 2 2" xfId="28075" xr:uid="{00000000-0005-0000-0000-00000E840000}"/>
    <cellStyle name="Normal 50 3 3 2 2 2" xfId="28076" xr:uid="{00000000-0005-0000-0000-00000F840000}"/>
    <cellStyle name="Normal 50 3 3 2 3" xfId="28077" xr:uid="{00000000-0005-0000-0000-000010840000}"/>
    <cellStyle name="Normal 50 3 3 2 4" xfId="28078" xr:uid="{00000000-0005-0000-0000-000011840000}"/>
    <cellStyle name="Normal 50 3 3 2 5" xfId="40132" xr:uid="{00000000-0005-0000-0000-000012840000}"/>
    <cellStyle name="Normal 50 3 3 3" xfId="28079" xr:uid="{00000000-0005-0000-0000-000013840000}"/>
    <cellStyle name="Normal 50 3 3 3 2" xfId="28080" xr:uid="{00000000-0005-0000-0000-000014840000}"/>
    <cellStyle name="Normal 50 3 3 4" xfId="28081" xr:uid="{00000000-0005-0000-0000-000015840000}"/>
    <cellStyle name="Normal 50 3 3 5" xfId="28082" xr:uid="{00000000-0005-0000-0000-000016840000}"/>
    <cellStyle name="Normal 50 3 3 6" xfId="40131" xr:uid="{00000000-0005-0000-0000-000017840000}"/>
    <cellStyle name="Normal 50 3 4" xfId="28083" xr:uid="{00000000-0005-0000-0000-000018840000}"/>
    <cellStyle name="Normal 50 3 4 2" xfId="28084" xr:uid="{00000000-0005-0000-0000-000019840000}"/>
    <cellStyle name="Normal 50 3 4 2 2" xfId="28085" xr:uid="{00000000-0005-0000-0000-00001A840000}"/>
    <cellStyle name="Normal 50 3 4 3" xfId="28086" xr:uid="{00000000-0005-0000-0000-00001B840000}"/>
    <cellStyle name="Normal 50 3 4 4" xfId="28087" xr:uid="{00000000-0005-0000-0000-00001C840000}"/>
    <cellStyle name="Normal 50 3 4 5" xfId="40133" xr:uid="{00000000-0005-0000-0000-00001D840000}"/>
    <cellStyle name="Normal 50 3 5" xfId="28088" xr:uid="{00000000-0005-0000-0000-00001E840000}"/>
    <cellStyle name="Normal 50 3 5 2" xfId="28089" xr:uid="{00000000-0005-0000-0000-00001F840000}"/>
    <cellStyle name="Normal 50 3 5 2 2" xfId="28090" xr:uid="{00000000-0005-0000-0000-000020840000}"/>
    <cellStyle name="Normal 50 3 5 3" xfId="28091" xr:uid="{00000000-0005-0000-0000-000021840000}"/>
    <cellStyle name="Normal 50 3 5 4" xfId="28092" xr:uid="{00000000-0005-0000-0000-000022840000}"/>
    <cellStyle name="Normal 50 3 6" xfId="28093" xr:uid="{00000000-0005-0000-0000-000023840000}"/>
    <cellStyle name="Normal 50 3 6 2" xfId="28094" xr:uid="{00000000-0005-0000-0000-000024840000}"/>
    <cellStyle name="Normal 50 3 6 2 2" xfId="28095" xr:uid="{00000000-0005-0000-0000-000025840000}"/>
    <cellStyle name="Normal 50 3 6 3" xfId="28096" xr:uid="{00000000-0005-0000-0000-000026840000}"/>
    <cellStyle name="Normal 50 3 6 4" xfId="28097" xr:uid="{00000000-0005-0000-0000-000027840000}"/>
    <cellStyle name="Normal 50 3 7" xfId="28098" xr:uid="{00000000-0005-0000-0000-000028840000}"/>
    <cellStyle name="Normal 50 3 7 2" xfId="28099" xr:uid="{00000000-0005-0000-0000-000029840000}"/>
    <cellStyle name="Normal 50 3 8" xfId="28100" xr:uid="{00000000-0005-0000-0000-00002A840000}"/>
    <cellStyle name="Normal 50 3 9" xfId="28101" xr:uid="{00000000-0005-0000-0000-00002B840000}"/>
    <cellStyle name="Normal 50 4" xfId="28102" xr:uid="{00000000-0005-0000-0000-00002C840000}"/>
    <cellStyle name="Normal 50 4 2" xfId="28103" xr:uid="{00000000-0005-0000-0000-00002D840000}"/>
    <cellStyle name="Normal 50 4 2 2" xfId="28104" xr:uid="{00000000-0005-0000-0000-00002E840000}"/>
    <cellStyle name="Normal 50 4 2 2 2" xfId="28105" xr:uid="{00000000-0005-0000-0000-00002F840000}"/>
    <cellStyle name="Normal 50 4 2 3" xfId="28106" xr:uid="{00000000-0005-0000-0000-000030840000}"/>
    <cellStyle name="Normal 50 4 2 4" xfId="28107" xr:uid="{00000000-0005-0000-0000-000031840000}"/>
    <cellStyle name="Normal 50 4 2 5" xfId="40135" xr:uid="{00000000-0005-0000-0000-000032840000}"/>
    <cellStyle name="Normal 50 4 3" xfId="28108" xr:uid="{00000000-0005-0000-0000-000033840000}"/>
    <cellStyle name="Normal 50 4 3 2" xfId="28109" xr:uid="{00000000-0005-0000-0000-000034840000}"/>
    <cellStyle name="Normal 50 4 4" xfId="28110" xr:uid="{00000000-0005-0000-0000-000035840000}"/>
    <cellStyle name="Normal 50 4 5" xfId="28111" xr:uid="{00000000-0005-0000-0000-000036840000}"/>
    <cellStyle name="Normal 50 4 6" xfId="40134" xr:uid="{00000000-0005-0000-0000-000037840000}"/>
    <cellStyle name="Normal 50 5" xfId="28112" xr:uid="{00000000-0005-0000-0000-000038840000}"/>
    <cellStyle name="Normal 50 5 2" xfId="28113" xr:uid="{00000000-0005-0000-0000-000039840000}"/>
    <cellStyle name="Normal 50 5 2 2" xfId="28114" xr:uid="{00000000-0005-0000-0000-00003A840000}"/>
    <cellStyle name="Normal 50 5 2 2 2" xfId="28115" xr:uid="{00000000-0005-0000-0000-00003B840000}"/>
    <cellStyle name="Normal 50 5 2 3" xfId="28116" xr:uid="{00000000-0005-0000-0000-00003C840000}"/>
    <cellStyle name="Normal 50 5 2 4" xfId="28117" xr:uid="{00000000-0005-0000-0000-00003D840000}"/>
    <cellStyle name="Normal 50 5 2 5" xfId="40137" xr:uid="{00000000-0005-0000-0000-00003E840000}"/>
    <cellStyle name="Normal 50 5 3" xfId="28118" xr:uid="{00000000-0005-0000-0000-00003F840000}"/>
    <cellStyle name="Normal 50 5 3 2" xfId="28119" xr:uid="{00000000-0005-0000-0000-000040840000}"/>
    <cellStyle name="Normal 50 5 4" xfId="28120" xr:uid="{00000000-0005-0000-0000-000041840000}"/>
    <cellStyle name="Normal 50 5 5" xfId="28121" xr:uid="{00000000-0005-0000-0000-000042840000}"/>
    <cellStyle name="Normal 50 5 6" xfId="40136" xr:uid="{00000000-0005-0000-0000-000043840000}"/>
    <cellStyle name="Normal 50 6" xfId="28122" xr:uid="{00000000-0005-0000-0000-000044840000}"/>
    <cellStyle name="Normal 50 6 2" xfId="28123" xr:uid="{00000000-0005-0000-0000-000045840000}"/>
    <cellStyle name="Normal 50 6 2 2" xfId="28124" xr:uid="{00000000-0005-0000-0000-000046840000}"/>
    <cellStyle name="Normal 50 6 3" xfId="28125" xr:uid="{00000000-0005-0000-0000-000047840000}"/>
    <cellStyle name="Normal 50 6 4" xfId="28126" xr:uid="{00000000-0005-0000-0000-000048840000}"/>
    <cellStyle name="Normal 50 6 5" xfId="40138" xr:uid="{00000000-0005-0000-0000-000049840000}"/>
    <cellStyle name="Normal 50 7" xfId="28127" xr:uid="{00000000-0005-0000-0000-00004A840000}"/>
    <cellStyle name="Normal 50 7 2" xfId="28128" xr:uid="{00000000-0005-0000-0000-00004B840000}"/>
    <cellStyle name="Normal 50 7 2 2" xfId="28129" xr:uid="{00000000-0005-0000-0000-00004C840000}"/>
    <cellStyle name="Normal 50 7 3" xfId="28130" xr:uid="{00000000-0005-0000-0000-00004D840000}"/>
    <cellStyle name="Normal 50 7 4" xfId="28131" xr:uid="{00000000-0005-0000-0000-00004E840000}"/>
    <cellStyle name="Normal 50 8" xfId="28132" xr:uid="{00000000-0005-0000-0000-00004F840000}"/>
    <cellStyle name="Normal 50 8 2" xfId="28133" xr:uid="{00000000-0005-0000-0000-000050840000}"/>
    <cellStyle name="Normal 50 8 2 2" xfId="28134" xr:uid="{00000000-0005-0000-0000-000051840000}"/>
    <cellStyle name="Normal 50 8 3" xfId="28135" xr:uid="{00000000-0005-0000-0000-000052840000}"/>
    <cellStyle name="Normal 50 8 4" xfId="28136" xr:uid="{00000000-0005-0000-0000-000053840000}"/>
    <cellStyle name="Normal 50 9" xfId="28137" xr:uid="{00000000-0005-0000-0000-000054840000}"/>
    <cellStyle name="Normal 50 9 2" xfId="28138" xr:uid="{00000000-0005-0000-0000-000055840000}"/>
    <cellStyle name="Normal 51" xfId="28139" xr:uid="{00000000-0005-0000-0000-000056840000}"/>
    <cellStyle name="Normal 51 10" xfId="28140" xr:uid="{00000000-0005-0000-0000-000057840000}"/>
    <cellStyle name="Normal 51 11" xfId="28141" xr:uid="{00000000-0005-0000-0000-000058840000}"/>
    <cellStyle name="Normal 51 12" xfId="35475" xr:uid="{00000000-0005-0000-0000-000059840000}"/>
    <cellStyle name="Normal 51 2" xfId="28142" xr:uid="{00000000-0005-0000-0000-00005A840000}"/>
    <cellStyle name="Normal 51 2 10" xfId="28143" xr:uid="{00000000-0005-0000-0000-00005B840000}"/>
    <cellStyle name="Normal 51 2 11" xfId="35476" xr:uid="{00000000-0005-0000-0000-00005C840000}"/>
    <cellStyle name="Normal 51 2 2" xfId="28144" xr:uid="{00000000-0005-0000-0000-00005D840000}"/>
    <cellStyle name="Normal 51 2 2 10" xfId="35477" xr:uid="{00000000-0005-0000-0000-00005E840000}"/>
    <cellStyle name="Normal 51 2 2 2" xfId="28145" xr:uid="{00000000-0005-0000-0000-00005F840000}"/>
    <cellStyle name="Normal 51 2 2 2 2" xfId="28146" xr:uid="{00000000-0005-0000-0000-000060840000}"/>
    <cellStyle name="Normal 51 2 2 2 2 2" xfId="28147" xr:uid="{00000000-0005-0000-0000-000061840000}"/>
    <cellStyle name="Normal 51 2 2 2 2 2 2" xfId="28148" xr:uid="{00000000-0005-0000-0000-000062840000}"/>
    <cellStyle name="Normal 51 2 2 2 2 3" xfId="28149" xr:uid="{00000000-0005-0000-0000-000063840000}"/>
    <cellStyle name="Normal 51 2 2 2 2 4" xfId="28150" xr:uid="{00000000-0005-0000-0000-000064840000}"/>
    <cellStyle name="Normal 51 2 2 2 2 5" xfId="40140" xr:uid="{00000000-0005-0000-0000-000065840000}"/>
    <cellStyle name="Normal 51 2 2 2 3" xfId="28151" xr:uid="{00000000-0005-0000-0000-000066840000}"/>
    <cellStyle name="Normal 51 2 2 2 3 2" xfId="28152" xr:uid="{00000000-0005-0000-0000-000067840000}"/>
    <cellStyle name="Normal 51 2 2 2 4" xfId="28153" xr:uid="{00000000-0005-0000-0000-000068840000}"/>
    <cellStyle name="Normal 51 2 2 2 5" xfId="28154" xr:uid="{00000000-0005-0000-0000-000069840000}"/>
    <cellStyle name="Normal 51 2 2 2 6" xfId="40139" xr:uid="{00000000-0005-0000-0000-00006A840000}"/>
    <cellStyle name="Normal 51 2 2 3" xfId="28155" xr:uid="{00000000-0005-0000-0000-00006B840000}"/>
    <cellStyle name="Normal 51 2 2 3 2" xfId="28156" xr:uid="{00000000-0005-0000-0000-00006C840000}"/>
    <cellStyle name="Normal 51 2 2 3 2 2" xfId="28157" xr:uid="{00000000-0005-0000-0000-00006D840000}"/>
    <cellStyle name="Normal 51 2 2 3 2 2 2" xfId="28158" xr:uid="{00000000-0005-0000-0000-00006E840000}"/>
    <cellStyle name="Normal 51 2 2 3 2 3" xfId="28159" xr:uid="{00000000-0005-0000-0000-00006F840000}"/>
    <cellStyle name="Normal 51 2 2 3 2 4" xfId="28160" xr:uid="{00000000-0005-0000-0000-000070840000}"/>
    <cellStyle name="Normal 51 2 2 3 2 5" xfId="40142" xr:uid="{00000000-0005-0000-0000-000071840000}"/>
    <cellStyle name="Normal 51 2 2 3 3" xfId="28161" xr:uid="{00000000-0005-0000-0000-000072840000}"/>
    <cellStyle name="Normal 51 2 2 3 3 2" xfId="28162" xr:uid="{00000000-0005-0000-0000-000073840000}"/>
    <cellStyle name="Normal 51 2 2 3 4" xfId="28163" xr:uid="{00000000-0005-0000-0000-000074840000}"/>
    <cellStyle name="Normal 51 2 2 3 5" xfId="28164" xr:uid="{00000000-0005-0000-0000-000075840000}"/>
    <cellStyle name="Normal 51 2 2 3 6" xfId="40141" xr:uid="{00000000-0005-0000-0000-000076840000}"/>
    <cellStyle name="Normal 51 2 2 4" xfId="28165" xr:uid="{00000000-0005-0000-0000-000077840000}"/>
    <cellStyle name="Normal 51 2 2 4 2" xfId="28166" xr:uid="{00000000-0005-0000-0000-000078840000}"/>
    <cellStyle name="Normal 51 2 2 4 2 2" xfId="28167" xr:uid="{00000000-0005-0000-0000-000079840000}"/>
    <cellStyle name="Normal 51 2 2 4 3" xfId="28168" xr:uid="{00000000-0005-0000-0000-00007A840000}"/>
    <cellStyle name="Normal 51 2 2 4 4" xfId="28169" xr:uid="{00000000-0005-0000-0000-00007B840000}"/>
    <cellStyle name="Normal 51 2 2 4 5" xfId="40143" xr:uid="{00000000-0005-0000-0000-00007C840000}"/>
    <cellStyle name="Normal 51 2 2 5" xfId="28170" xr:uid="{00000000-0005-0000-0000-00007D840000}"/>
    <cellStyle name="Normal 51 2 2 5 2" xfId="28171" xr:uid="{00000000-0005-0000-0000-00007E840000}"/>
    <cellStyle name="Normal 51 2 2 5 2 2" xfId="28172" xr:uid="{00000000-0005-0000-0000-00007F840000}"/>
    <cellStyle name="Normal 51 2 2 5 3" xfId="28173" xr:uid="{00000000-0005-0000-0000-000080840000}"/>
    <cellStyle name="Normal 51 2 2 5 4" xfId="28174" xr:uid="{00000000-0005-0000-0000-000081840000}"/>
    <cellStyle name="Normal 51 2 2 6" xfId="28175" xr:uid="{00000000-0005-0000-0000-000082840000}"/>
    <cellStyle name="Normal 51 2 2 6 2" xfId="28176" xr:uid="{00000000-0005-0000-0000-000083840000}"/>
    <cellStyle name="Normal 51 2 2 6 2 2" xfId="28177" xr:uid="{00000000-0005-0000-0000-000084840000}"/>
    <cellStyle name="Normal 51 2 2 6 3" xfId="28178" xr:uid="{00000000-0005-0000-0000-000085840000}"/>
    <cellStyle name="Normal 51 2 2 6 4" xfId="28179" xr:uid="{00000000-0005-0000-0000-000086840000}"/>
    <cellStyle name="Normal 51 2 2 7" xfId="28180" xr:uid="{00000000-0005-0000-0000-000087840000}"/>
    <cellStyle name="Normal 51 2 2 7 2" xfId="28181" xr:uid="{00000000-0005-0000-0000-000088840000}"/>
    <cellStyle name="Normal 51 2 2 8" xfId="28182" xr:uid="{00000000-0005-0000-0000-000089840000}"/>
    <cellStyle name="Normal 51 2 2 9" xfId="28183" xr:uid="{00000000-0005-0000-0000-00008A840000}"/>
    <cellStyle name="Normal 51 2 3" xfId="28184" xr:uid="{00000000-0005-0000-0000-00008B840000}"/>
    <cellStyle name="Normal 51 2 3 2" xfId="28185" xr:uid="{00000000-0005-0000-0000-00008C840000}"/>
    <cellStyle name="Normal 51 2 3 2 2" xfId="28186" xr:uid="{00000000-0005-0000-0000-00008D840000}"/>
    <cellStyle name="Normal 51 2 3 2 2 2" xfId="28187" xr:uid="{00000000-0005-0000-0000-00008E840000}"/>
    <cellStyle name="Normal 51 2 3 2 3" xfId="28188" xr:uid="{00000000-0005-0000-0000-00008F840000}"/>
    <cellStyle name="Normal 51 2 3 2 4" xfId="28189" xr:uid="{00000000-0005-0000-0000-000090840000}"/>
    <cellStyle name="Normal 51 2 3 2 5" xfId="40145" xr:uid="{00000000-0005-0000-0000-000091840000}"/>
    <cellStyle name="Normal 51 2 3 3" xfId="28190" xr:uid="{00000000-0005-0000-0000-000092840000}"/>
    <cellStyle name="Normal 51 2 3 3 2" xfId="28191" xr:uid="{00000000-0005-0000-0000-000093840000}"/>
    <cellStyle name="Normal 51 2 3 4" xfId="28192" xr:uid="{00000000-0005-0000-0000-000094840000}"/>
    <cellStyle name="Normal 51 2 3 5" xfId="28193" xr:uid="{00000000-0005-0000-0000-000095840000}"/>
    <cellStyle name="Normal 51 2 3 6" xfId="40144" xr:uid="{00000000-0005-0000-0000-000096840000}"/>
    <cellStyle name="Normal 51 2 4" xfId="28194" xr:uid="{00000000-0005-0000-0000-000097840000}"/>
    <cellStyle name="Normal 51 2 4 2" xfId="28195" xr:uid="{00000000-0005-0000-0000-000098840000}"/>
    <cellStyle name="Normal 51 2 4 2 2" xfId="28196" xr:uid="{00000000-0005-0000-0000-000099840000}"/>
    <cellStyle name="Normal 51 2 4 2 2 2" xfId="28197" xr:uid="{00000000-0005-0000-0000-00009A840000}"/>
    <cellStyle name="Normal 51 2 4 2 3" xfId="28198" xr:uid="{00000000-0005-0000-0000-00009B840000}"/>
    <cellStyle name="Normal 51 2 4 2 4" xfId="28199" xr:uid="{00000000-0005-0000-0000-00009C840000}"/>
    <cellStyle name="Normal 51 2 4 2 5" xfId="40147" xr:uid="{00000000-0005-0000-0000-00009D840000}"/>
    <cellStyle name="Normal 51 2 4 3" xfId="28200" xr:uid="{00000000-0005-0000-0000-00009E840000}"/>
    <cellStyle name="Normal 51 2 4 3 2" xfId="28201" xr:uid="{00000000-0005-0000-0000-00009F840000}"/>
    <cellStyle name="Normal 51 2 4 4" xfId="28202" xr:uid="{00000000-0005-0000-0000-0000A0840000}"/>
    <cellStyle name="Normal 51 2 4 5" xfId="28203" xr:uid="{00000000-0005-0000-0000-0000A1840000}"/>
    <cellStyle name="Normal 51 2 4 6" xfId="40146" xr:uid="{00000000-0005-0000-0000-0000A2840000}"/>
    <cellStyle name="Normal 51 2 5" xfId="28204" xr:uid="{00000000-0005-0000-0000-0000A3840000}"/>
    <cellStyle name="Normal 51 2 5 2" xfId="28205" xr:uid="{00000000-0005-0000-0000-0000A4840000}"/>
    <cellStyle name="Normal 51 2 5 2 2" xfId="28206" xr:uid="{00000000-0005-0000-0000-0000A5840000}"/>
    <cellStyle name="Normal 51 2 5 3" xfId="28207" xr:uid="{00000000-0005-0000-0000-0000A6840000}"/>
    <cellStyle name="Normal 51 2 5 4" xfId="28208" xr:uid="{00000000-0005-0000-0000-0000A7840000}"/>
    <cellStyle name="Normal 51 2 5 5" xfId="40148" xr:uid="{00000000-0005-0000-0000-0000A8840000}"/>
    <cellStyle name="Normal 51 2 6" xfId="28209" xr:uid="{00000000-0005-0000-0000-0000A9840000}"/>
    <cellStyle name="Normal 51 2 6 2" xfId="28210" xr:uid="{00000000-0005-0000-0000-0000AA840000}"/>
    <cellStyle name="Normal 51 2 6 2 2" xfId="28211" xr:uid="{00000000-0005-0000-0000-0000AB840000}"/>
    <cellStyle name="Normal 51 2 6 3" xfId="28212" xr:uid="{00000000-0005-0000-0000-0000AC840000}"/>
    <cellStyle name="Normal 51 2 6 4" xfId="28213" xr:uid="{00000000-0005-0000-0000-0000AD840000}"/>
    <cellStyle name="Normal 51 2 7" xfId="28214" xr:uid="{00000000-0005-0000-0000-0000AE840000}"/>
    <cellStyle name="Normal 51 2 7 2" xfId="28215" xr:uid="{00000000-0005-0000-0000-0000AF840000}"/>
    <cellStyle name="Normal 51 2 7 2 2" xfId="28216" xr:uid="{00000000-0005-0000-0000-0000B0840000}"/>
    <cellStyle name="Normal 51 2 7 3" xfId="28217" xr:uid="{00000000-0005-0000-0000-0000B1840000}"/>
    <cellStyle name="Normal 51 2 7 4" xfId="28218" xr:uid="{00000000-0005-0000-0000-0000B2840000}"/>
    <cellStyle name="Normal 51 2 8" xfId="28219" xr:uid="{00000000-0005-0000-0000-0000B3840000}"/>
    <cellStyle name="Normal 51 2 8 2" xfId="28220" xr:uid="{00000000-0005-0000-0000-0000B4840000}"/>
    <cellStyle name="Normal 51 2 9" xfId="28221" xr:uid="{00000000-0005-0000-0000-0000B5840000}"/>
    <cellStyle name="Normal 51 3" xfId="28222" xr:uid="{00000000-0005-0000-0000-0000B6840000}"/>
    <cellStyle name="Normal 51 3 10" xfId="35478" xr:uid="{00000000-0005-0000-0000-0000B7840000}"/>
    <cellStyle name="Normal 51 3 2" xfId="28223" xr:uid="{00000000-0005-0000-0000-0000B8840000}"/>
    <cellStyle name="Normal 51 3 2 2" xfId="28224" xr:uid="{00000000-0005-0000-0000-0000B9840000}"/>
    <cellStyle name="Normal 51 3 2 2 2" xfId="28225" xr:uid="{00000000-0005-0000-0000-0000BA840000}"/>
    <cellStyle name="Normal 51 3 2 2 2 2" xfId="28226" xr:uid="{00000000-0005-0000-0000-0000BB840000}"/>
    <cellStyle name="Normal 51 3 2 2 3" xfId="28227" xr:uid="{00000000-0005-0000-0000-0000BC840000}"/>
    <cellStyle name="Normal 51 3 2 2 4" xfId="28228" xr:uid="{00000000-0005-0000-0000-0000BD840000}"/>
    <cellStyle name="Normal 51 3 2 2 5" xfId="40150" xr:uid="{00000000-0005-0000-0000-0000BE840000}"/>
    <cellStyle name="Normal 51 3 2 3" xfId="28229" xr:uid="{00000000-0005-0000-0000-0000BF840000}"/>
    <cellStyle name="Normal 51 3 2 3 2" xfId="28230" xr:uid="{00000000-0005-0000-0000-0000C0840000}"/>
    <cellStyle name="Normal 51 3 2 4" xfId="28231" xr:uid="{00000000-0005-0000-0000-0000C1840000}"/>
    <cellStyle name="Normal 51 3 2 5" xfId="28232" xr:uid="{00000000-0005-0000-0000-0000C2840000}"/>
    <cellStyle name="Normal 51 3 2 6" xfId="40149" xr:uid="{00000000-0005-0000-0000-0000C3840000}"/>
    <cellStyle name="Normal 51 3 3" xfId="28233" xr:uid="{00000000-0005-0000-0000-0000C4840000}"/>
    <cellStyle name="Normal 51 3 3 2" xfId="28234" xr:uid="{00000000-0005-0000-0000-0000C5840000}"/>
    <cellStyle name="Normal 51 3 3 2 2" xfId="28235" xr:uid="{00000000-0005-0000-0000-0000C6840000}"/>
    <cellStyle name="Normal 51 3 3 2 2 2" xfId="28236" xr:uid="{00000000-0005-0000-0000-0000C7840000}"/>
    <cellStyle name="Normal 51 3 3 2 3" xfId="28237" xr:uid="{00000000-0005-0000-0000-0000C8840000}"/>
    <cellStyle name="Normal 51 3 3 2 4" xfId="28238" xr:uid="{00000000-0005-0000-0000-0000C9840000}"/>
    <cellStyle name="Normal 51 3 3 2 5" xfId="40152" xr:uid="{00000000-0005-0000-0000-0000CA840000}"/>
    <cellStyle name="Normal 51 3 3 3" xfId="28239" xr:uid="{00000000-0005-0000-0000-0000CB840000}"/>
    <cellStyle name="Normal 51 3 3 3 2" xfId="28240" xr:uid="{00000000-0005-0000-0000-0000CC840000}"/>
    <cellStyle name="Normal 51 3 3 4" xfId="28241" xr:uid="{00000000-0005-0000-0000-0000CD840000}"/>
    <cellStyle name="Normal 51 3 3 5" xfId="28242" xr:uid="{00000000-0005-0000-0000-0000CE840000}"/>
    <cellStyle name="Normal 51 3 3 6" xfId="40151" xr:uid="{00000000-0005-0000-0000-0000CF840000}"/>
    <cellStyle name="Normal 51 3 4" xfId="28243" xr:uid="{00000000-0005-0000-0000-0000D0840000}"/>
    <cellStyle name="Normal 51 3 4 2" xfId="28244" xr:uid="{00000000-0005-0000-0000-0000D1840000}"/>
    <cellStyle name="Normal 51 3 4 2 2" xfId="28245" xr:uid="{00000000-0005-0000-0000-0000D2840000}"/>
    <cellStyle name="Normal 51 3 4 3" xfId="28246" xr:uid="{00000000-0005-0000-0000-0000D3840000}"/>
    <cellStyle name="Normal 51 3 4 4" xfId="28247" xr:uid="{00000000-0005-0000-0000-0000D4840000}"/>
    <cellStyle name="Normal 51 3 4 5" xfId="40153" xr:uid="{00000000-0005-0000-0000-0000D5840000}"/>
    <cellStyle name="Normal 51 3 5" xfId="28248" xr:uid="{00000000-0005-0000-0000-0000D6840000}"/>
    <cellStyle name="Normal 51 3 5 2" xfId="28249" xr:uid="{00000000-0005-0000-0000-0000D7840000}"/>
    <cellStyle name="Normal 51 3 5 2 2" xfId="28250" xr:uid="{00000000-0005-0000-0000-0000D8840000}"/>
    <cellStyle name="Normal 51 3 5 3" xfId="28251" xr:uid="{00000000-0005-0000-0000-0000D9840000}"/>
    <cellStyle name="Normal 51 3 5 4" xfId="28252" xr:uid="{00000000-0005-0000-0000-0000DA840000}"/>
    <cellStyle name="Normal 51 3 6" xfId="28253" xr:uid="{00000000-0005-0000-0000-0000DB840000}"/>
    <cellStyle name="Normal 51 3 6 2" xfId="28254" xr:uid="{00000000-0005-0000-0000-0000DC840000}"/>
    <cellStyle name="Normal 51 3 6 2 2" xfId="28255" xr:uid="{00000000-0005-0000-0000-0000DD840000}"/>
    <cellStyle name="Normal 51 3 6 3" xfId="28256" xr:uid="{00000000-0005-0000-0000-0000DE840000}"/>
    <cellStyle name="Normal 51 3 6 4" xfId="28257" xr:uid="{00000000-0005-0000-0000-0000DF840000}"/>
    <cellStyle name="Normal 51 3 7" xfId="28258" xr:uid="{00000000-0005-0000-0000-0000E0840000}"/>
    <cellStyle name="Normal 51 3 7 2" xfId="28259" xr:uid="{00000000-0005-0000-0000-0000E1840000}"/>
    <cellStyle name="Normal 51 3 8" xfId="28260" xr:uid="{00000000-0005-0000-0000-0000E2840000}"/>
    <cellStyle name="Normal 51 3 9" xfId="28261" xr:uid="{00000000-0005-0000-0000-0000E3840000}"/>
    <cellStyle name="Normal 51 4" xfId="28262" xr:uid="{00000000-0005-0000-0000-0000E4840000}"/>
    <cellStyle name="Normal 51 4 2" xfId="28263" xr:uid="{00000000-0005-0000-0000-0000E5840000}"/>
    <cellStyle name="Normal 51 4 2 2" xfId="28264" xr:uid="{00000000-0005-0000-0000-0000E6840000}"/>
    <cellStyle name="Normal 51 4 2 2 2" xfId="28265" xr:uid="{00000000-0005-0000-0000-0000E7840000}"/>
    <cellStyle name="Normal 51 4 2 3" xfId="28266" xr:uid="{00000000-0005-0000-0000-0000E8840000}"/>
    <cellStyle name="Normal 51 4 2 4" xfId="28267" xr:uid="{00000000-0005-0000-0000-0000E9840000}"/>
    <cellStyle name="Normal 51 4 2 5" xfId="40155" xr:uid="{00000000-0005-0000-0000-0000EA840000}"/>
    <cellStyle name="Normal 51 4 3" xfId="28268" xr:uid="{00000000-0005-0000-0000-0000EB840000}"/>
    <cellStyle name="Normal 51 4 3 2" xfId="28269" xr:uid="{00000000-0005-0000-0000-0000EC840000}"/>
    <cellStyle name="Normal 51 4 4" xfId="28270" xr:uid="{00000000-0005-0000-0000-0000ED840000}"/>
    <cellStyle name="Normal 51 4 5" xfId="28271" xr:uid="{00000000-0005-0000-0000-0000EE840000}"/>
    <cellStyle name="Normal 51 4 6" xfId="40154" xr:uid="{00000000-0005-0000-0000-0000EF840000}"/>
    <cellStyle name="Normal 51 5" xfId="28272" xr:uid="{00000000-0005-0000-0000-0000F0840000}"/>
    <cellStyle name="Normal 51 5 2" xfId="28273" xr:uid="{00000000-0005-0000-0000-0000F1840000}"/>
    <cellStyle name="Normal 51 5 2 2" xfId="28274" xr:uid="{00000000-0005-0000-0000-0000F2840000}"/>
    <cellStyle name="Normal 51 5 2 2 2" xfId="28275" xr:uid="{00000000-0005-0000-0000-0000F3840000}"/>
    <cellStyle name="Normal 51 5 2 3" xfId="28276" xr:uid="{00000000-0005-0000-0000-0000F4840000}"/>
    <cellStyle name="Normal 51 5 2 4" xfId="28277" xr:uid="{00000000-0005-0000-0000-0000F5840000}"/>
    <cellStyle name="Normal 51 5 2 5" xfId="40157" xr:uid="{00000000-0005-0000-0000-0000F6840000}"/>
    <cellStyle name="Normal 51 5 3" xfId="28278" xr:uid="{00000000-0005-0000-0000-0000F7840000}"/>
    <cellStyle name="Normal 51 5 3 2" xfId="28279" xr:uid="{00000000-0005-0000-0000-0000F8840000}"/>
    <cellStyle name="Normal 51 5 4" xfId="28280" xr:uid="{00000000-0005-0000-0000-0000F9840000}"/>
    <cellStyle name="Normal 51 5 5" xfId="28281" xr:uid="{00000000-0005-0000-0000-0000FA840000}"/>
    <cellStyle name="Normal 51 5 6" xfId="40156" xr:uid="{00000000-0005-0000-0000-0000FB840000}"/>
    <cellStyle name="Normal 51 6" xfId="28282" xr:uid="{00000000-0005-0000-0000-0000FC840000}"/>
    <cellStyle name="Normal 51 6 2" xfId="28283" xr:uid="{00000000-0005-0000-0000-0000FD840000}"/>
    <cellStyle name="Normal 51 6 2 2" xfId="28284" xr:uid="{00000000-0005-0000-0000-0000FE840000}"/>
    <cellStyle name="Normal 51 6 3" xfId="28285" xr:uid="{00000000-0005-0000-0000-0000FF840000}"/>
    <cellStyle name="Normal 51 6 4" xfId="28286" xr:uid="{00000000-0005-0000-0000-000000850000}"/>
    <cellStyle name="Normal 51 6 5" xfId="40158" xr:uid="{00000000-0005-0000-0000-000001850000}"/>
    <cellStyle name="Normal 51 7" xfId="28287" xr:uid="{00000000-0005-0000-0000-000002850000}"/>
    <cellStyle name="Normal 51 7 2" xfId="28288" xr:uid="{00000000-0005-0000-0000-000003850000}"/>
    <cellStyle name="Normal 51 7 2 2" xfId="28289" xr:uid="{00000000-0005-0000-0000-000004850000}"/>
    <cellStyle name="Normal 51 7 3" xfId="28290" xr:uid="{00000000-0005-0000-0000-000005850000}"/>
    <cellStyle name="Normal 51 7 4" xfId="28291" xr:uid="{00000000-0005-0000-0000-000006850000}"/>
    <cellStyle name="Normal 51 8" xfId="28292" xr:uid="{00000000-0005-0000-0000-000007850000}"/>
    <cellStyle name="Normal 51 8 2" xfId="28293" xr:uid="{00000000-0005-0000-0000-000008850000}"/>
    <cellStyle name="Normal 51 8 2 2" xfId="28294" xr:uid="{00000000-0005-0000-0000-000009850000}"/>
    <cellStyle name="Normal 51 8 3" xfId="28295" xr:uid="{00000000-0005-0000-0000-00000A850000}"/>
    <cellStyle name="Normal 51 8 4" xfId="28296" xr:uid="{00000000-0005-0000-0000-00000B850000}"/>
    <cellStyle name="Normal 51 9" xfId="28297" xr:uid="{00000000-0005-0000-0000-00000C850000}"/>
    <cellStyle name="Normal 51 9 2" xfId="28298" xr:uid="{00000000-0005-0000-0000-00000D850000}"/>
    <cellStyle name="Normal 52" xfId="28299" xr:uid="{00000000-0005-0000-0000-00000E850000}"/>
    <cellStyle name="Normal 52 2" xfId="28300" xr:uid="{00000000-0005-0000-0000-00000F850000}"/>
    <cellStyle name="Normal 53" xfId="28301" xr:uid="{00000000-0005-0000-0000-000010850000}"/>
    <cellStyle name="Normal 53 10" xfId="28302" xr:uid="{00000000-0005-0000-0000-000011850000}"/>
    <cellStyle name="Normal 53 11" xfId="28303" xr:uid="{00000000-0005-0000-0000-000012850000}"/>
    <cellStyle name="Normal 53 12" xfId="35479" xr:uid="{00000000-0005-0000-0000-000013850000}"/>
    <cellStyle name="Normal 53 2" xfId="28304" xr:uid="{00000000-0005-0000-0000-000014850000}"/>
    <cellStyle name="Normal 53 2 10" xfId="28305" xr:uid="{00000000-0005-0000-0000-000015850000}"/>
    <cellStyle name="Normal 53 2 11" xfId="35480" xr:uid="{00000000-0005-0000-0000-000016850000}"/>
    <cellStyle name="Normal 53 2 2" xfId="28306" xr:uid="{00000000-0005-0000-0000-000017850000}"/>
    <cellStyle name="Normal 53 2 2 10" xfId="35481" xr:uid="{00000000-0005-0000-0000-000018850000}"/>
    <cellStyle name="Normal 53 2 2 2" xfId="28307" xr:uid="{00000000-0005-0000-0000-000019850000}"/>
    <cellStyle name="Normal 53 2 2 2 2" xfId="28308" xr:uid="{00000000-0005-0000-0000-00001A850000}"/>
    <cellStyle name="Normal 53 2 2 2 2 2" xfId="28309" xr:uid="{00000000-0005-0000-0000-00001B850000}"/>
    <cellStyle name="Normal 53 2 2 2 2 2 2" xfId="28310" xr:uid="{00000000-0005-0000-0000-00001C850000}"/>
    <cellStyle name="Normal 53 2 2 2 2 3" xfId="28311" xr:uid="{00000000-0005-0000-0000-00001D850000}"/>
    <cellStyle name="Normal 53 2 2 2 2 4" xfId="28312" xr:uid="{00000000-0005-0000-0000-00001E850000}"/>
    <cellStyle name="Normal 53 2 2 2 2 5" xfId="40160" xr:uid="{00000000-0005-0000-0000-00001F850000}"/>
    <cellStyle name="Normal 53 2 2 2 3" xfId="28313" xr:uid="{00000000-0005-0000-0000-000020850000}"/>
    <cellStyle name="Normal 53 2 2 2 3 2" xfId="28314" xr:uid="{00000000-0005-0000-0000-000021850000}"/>
    <cellStyle name="Normal 53 2 2 2 4" xfId="28315" xr:uid="{00000000-0005-0000-0000-000022850000}"/>
    <cellStyle name="Normal 53 2 2 2 5" xfId="28316" xr:uid="{00000000-0005-0000-0000-000023850000}"/>
    <cellStyle name="Normal 53 2 2 2 6" xfId="40159" xr:uid="{00000000-0005-0000-0000-000024850000}"/>
    <cellStyle name="Normal 53 2 2 3" xfId="28317" xr:uid="{00000000-0005-0000-0000-000025850000}"/>
    <cellStyle name="Normal 53 2 2 3 2" xfId="28318" xr:uid="{00000000-0005-0000-0000-000026850000}"/>
    <cellStyle name="Normal 53 2 2 3 2 2" xfId="28319" xr:uid="{00000000-0005-0000-0000-000027850000}"/>
    <cellStyle name="Normal 53 2 2 3 2 2 2" xfId="28320" xr:uid="{00000000-0005-0000-0000-000028850000}"/>
    <cellStyle name="Normal 53 2 2 3 2 3" xfId="28321" xr:uid="{00000000-0005-0000-0000-000029850000}"/>
    <cellStyle name="Normal 53 2 2 3 2 4" xfId="28322" xr:uid="{00000000-0005-0000-0000-00002A850000}"/>
    <cellStyle name="Normal 53 2 2 3 2 5" xfId="40162" xr:uid="{00000000-0005-0000-0000-00002B850000}"/>
    <cellStyle name="Normal 53 2 2 3 3" xfId="28323" xr:uid="{00000000-0005-0000-0000-00002C850000}"/>
    <cellStyle name="Normal 53 2 2 3 3 2" xfId="28324" xr:uid="{00000000-0005-0000-0000-00002D850000}"/>
    <cellStyle name="Normal 53 2 2 3 4" xfId="28325" xr:uid="{00000000-0005-0000-0000-00002E850000}"/>
    <cellStyle name="Normal 53 2 2 3 5" xfId="28326" xr:uid="{00000000-0005-0000-0000-00002F850000}"/>
    <cellStyle name="Normal 53 2 2 3 6" xfId="40161" xr:uid="{00000000-0005-0000-0000-000030850000}"/>
    <cellStyle name="Normal 53 2 2 4" xfId="28327" xr:uid="{00000000-0005-0000-0000-000031850000}"/>
    <cellStyle name="Normal 53 2 2 4 2" xfId="28328" xr:uid="{00000000-0005-0000-0000-000032850000}"/>
    <cellStyle name="Normal 53 2 2 4 2 2" xfId="28329" xr:uid="{00000000-0005-0000-0000-000033850000}"/>
    <cellStyle name="Normal 53 2 2 4 3" xfId="28330" xr:uid="{00000000-0005-0000-0000-000034850000}"/>
    <cellStyle name="Normal 53 2 2 4 4" xfId="28331" xr:uid="{00000000-0005-0000-0000-000035850000}"/>
    <cellStyle name="Normal 53 2 2 4 5" xfId="40163" xr:uid="{00000000-0005-0000-0000-000036850000}"/>
    <cellStyle name="Normal 53 2 2 5" xfId="28332" xr:uid="{00000000-0005-0000-0000-000037850000}"/>
    <cellStyle name="Normal 53 2 2 5 2" xfId="28333" xr:uid="{00000000-0005-0000-0000-000038850000}"/>
    <cellStyle name="Normal 53 2 2 5 2 2" xfId="28334" xr:uid="{00000000-0005-0000-0000-000039850000}"/>
    <cellStyle name="Normal 53 2 2 5 3" xfId="28335" xr:uid="{00000000-0005-0000-0000-00003A850000}"/>
    <cellStyle name="Normal 53 2 2 5 4" xfId="28336" xr:uid="{00000000-0005-0000-0000-00003B850000}"/>
    <cellStyle name="Normal 53 2 2 6" xfId="28337" xr:uid="{00000000-0005-0000-0000-00003C850000}"/>
    <cellStyle name="Normal 53 2 2 6 2" xfId="28338" xr:uid="{00000000-0005-0000-0000-00003D850000}"/>
    <cellStyle name="Normal 53 2 2 6 2 2" xfId="28339" xr:uid="{00000000-0005-0000-0000-00003E850000}"/>
    <cellStyle name="Normal 53 2 2 6 3" xfId="28340" xr:uid="{00000000-0005-0000-0000-00003F850000}"/>
    <cellStyle name="Normal 53 2 2 6 4" xfId="28341" xr:uid="{00000000-0005-0000-0000-000040850000}"/>
    <cellStyle name="Normal 53 2 2 7" xfId="28342" xr:uid="{00000000-0005-0000-0000-000041850000}"/>
    <cellStyle name="Normal 53 2 2 7 2" xfId="28343" xr:uid="{00000000-0005-0000-0000-000042850000}"/>
    <cellStyle name="Normal 53 2 2 8" xfId="28344" xr:uid="{00000000-0005-0000-0000-000043850000}"/>
    <cellStyle name="Normal 53 2 2 9" xfId="28345" xr:uid="{00000000-0005-0000-0000-000044850000}"/>
    <cellStyle name="Normal 53 2 3" xfId="28346" xr:uid="{00000000-0005-0000-0000-000045850000}"/>
    <cellStyle name="Normal 53 2 3 2" xfId="28347" xr:uid="{00000000-0005-0000-0000-000046850000}"/>
    <cellStyle name="Normal 53 2 3 2 2" xfId="28348" xr:uid="{00000000-0005-0000-0000-000047850000}"/>
    <cellStyle name="Normal 53 2 3 2 2 2" xfId="28349" xr:uid="{00000000-0005-0000-0000-000048850000}"/>
    <cellStyle name="Normal 53 2 3 2 3" xfId="28350" xr:uid="{00000000-0005-0000-0000-000049850000}"/>
    <cellStyle name="Normal 53 2 3 2 4" xfId="28351" xr:uid="{00000000-0005-0000-0000-00004A850000}"/>
    <cellStyle name="Normal 53 2 3 2 5" xfId="40165" xr:uid="{00000000-0005-0000-0000-00004B850000}"/>
    <cellStyle name="Normal 53 2 3 3" xfId="28352" xr:uid="{00000000-0005-0000-0000-00004C850000}"/>
    <cellStyle name="Normal 53 2 3 3 2" xfId="28353" xr:uid="{00000000-0005-0000-0000-00004D850000}"/>
    <cellStyle name="Normal 53 2 3 4" xfId="28354" xr:uid="{00000000-0005-0000-0000-00004E850000}"/>
    <cellStyle name="Normal 53 2 3 5" xfId="28355" xr:uid="{00000000-0005-0000-0000-00004F850000}"/>
    <cellStyle name="Normal 53 2 3 6" xfId="40164" xr:uid="{00000000-0005-0000-0000-000050850000}"/>
    <cellStyle name="Normal 53 2 4" xfId="28356" xr:uid="{00000000-0005-0000-0000-000051850000}"/>
    <cellStyle name="Normal 53 2 4 2" xfId="28357" xr:uid="{00000000-0005-0000-0000-000052850000}"/>
    <cellStyle name="Normal 53 2 4 2 2" xfId="28358" xr:uid="{00000000-0005-0000-0000-000053850000}"/>
    <cellStyle name="Normal 53 2 4 2 2 2" xfId="28359" xr:uid="{00000000-0005-0000-0000-000054850000}"/>
    <cellStyle name="Normal 53 2 4 2 3" xfId="28360" xr:uid="{00000000-0005-0000-0000-000055850000}"/>
    <cellStyle name="Normal 53 2 4 2 4" xfId="28361" xr:uid="{00000000-0005-0000-0000-000056850000}"/>
    <cellStyle name="Normal 53 2 4 2 5" xfId="40167" xr:uid="{00000000-0005-0000-0000-000057850000}"/>
    <cellStyle name="Normal 53 2 4 3" xfId="28362" xr:uid="{00000000-0005-0000-0000-000058850000}"/>
    <cellStyle name="Normal 53 2 4 3 2" xfId="28363" xr:uid="{00000000-0005-0000-0000-000059850000}"/>
    <cellStyle name="Normal 53 2 4 4" xfId="28364" xr:uid="{00000000-0005-0000-0000-00005A850000}"/>
    <cellStyle name="Normal 53 2 4 5" xfId="28365" xr:uid="{00000000-0005-0000-0000-00005B850000}"/>
    <cellStyle name="Normal 53 2 4 6" xfId="40166" xr:uid="{00000000-0005-0000-0000-00005C850000}"/>
    <cellStyle name="Normal 53 2 5" xfId="28366" xr:uid="{00000000-0005-0000-0000-00005D850000}"/>
    <cellStyle name="Normal 53 2 5 2" xfId="28367" xr:uid="{00000000-0005-0000-0000-00005E850000}"/>
    <cellStyle name="Normal 53 2 5 2 2" xfId="28368" xr:uid="{00000000-0005-0000-0000-00005F850000}"/>
    <cellStyle name="Normal 53 2 5 3" xfId="28369" xr:uid="{00000000-0005-0000-0000-000060850000}"/>
    <cellStyle name="Normal 53 2 5 4" xfId="28370" xr:uid="{00000000-0005-0000-0000-000061850000}"/>
    <cellStyle name="Normal 53 2 5 5" xfId="40168" xr:uid="{00000000-0005-0000-0000-000062850000}"/>
    <cellStyle name="Normal 53 2 6" xfId="28371" xr:uid="{00000000-0005-0000-0000-000063850000}"/>
    <cellStyle name="Normal 53 2 6 2" xfId="28372" xr:uid="{00000000-0005-0000-0000-000064850000}"/>
    <cellStyle name="Normal 53 2 6 2 2" xfId="28373" xr:uid="{00000000-0005-0000-0000-000065850000}"/>
    <cellStyle name="Normal 53 2 6 3" xfId="28374" xr:uid="{00000000-0005-0000-0000-000066850000}"/>
    <cellStyle name="Normal 53 2 6 4" xfId="28375" xr:uid="{00000000-0005-0000-0000-000067850000}"/>
    <cellStyle name="Normal 53 2 7" xfId="28376" xr:uid="{00000000-0005-0000-0000-000068850000}"/>
    <cellStyle name="Normal 53 2 7 2" xfId="28377" xr:uid="{00000000-0005-0000-0000-000069850000}"/>
    <cellStyle name="Normal 53 2 7 2 2" xfId="28378" xr:uid="{00000000-0005-0000-0000-00006A850000}"/>
    <cellStyle name="Normal 53 2 7 3" xfId="28379" xr:uid="{00000000-0005-0000-0000-00006B850000}"/>
    <cellStyle name="Normal 53 2 7 4" xfId="28380" xr:uid="{00000000-0005-0000-0000-00006C850000}"/>
    <cellStyle name="Normal 53 2 8" xfId="28381" xr:uid="{00000000-0005-0000-0000-00006D850000}"/>
    <cellStyle name="Normal 53 2 8 2" xfId="28382" xr:uid="{00000000-0005-0000-0000-00006E850000}"/>
    <cellStyle name="Normal 53 2 9" xfId="28383" xr:uid="{00000000-0005-0000-0000-00006F850000}"/>
    <cellStyle name="Normal 53 3" xfId="28384" xr:uid="{00000000-0005-0000-0000-000070850000}"/>
    <cellStyle name="Normal 53 3 10" xfId="35482" xr:uid="{00000000-0005-0000-0000-000071850000}"/>
    <cellStyle name="Normal 53 3 2" xfId="28385" xr:uid="{00000000-0005-0000-0000-000072850000}"/>
    <cellStyle name="Normal 53 3 2 2" xfId="28386" xr:uid="{00000000-0005-0000-0000-000073850000}"/>
    <cellStyle name="Normal 53 3 2 2 2" xfId="28387" xr:uid="{00000000-0005-0000-0000-000074850000}"/>
    <cellStyle name="Normal 53 3 2 2 2 2" xfId="28388" xr:uid="{00000000-0005-0000-0000-000075850000}"/>
    <cellStyle name="Normal 53 3 2 2 3" xfId="28389" xr:uid="{00000000-0005-0000-0000-000076850000}"/>
    <cellStyle name="Normal 53 3 2 2 4" xfId="28390" xr:uid="{00000000-0005-0000-0000-000077850000}"/>
    <cellStyle name="Normal 53 3 2 2 5" xfId="40170" xr:uid="{00000000-0005-0000-0000-000078850000}"/>
    <cellStyle name="Normal 53 3 2 3" xfId="28391" xr:uid="{00000000-0005-0000-0000-000079850000}"/>
    <cellStyle name="Normal 53 3 2 3 2" xfId="28392" xr:uid="{00000000-0005-0000-0000-00007A850000}"/>
    <cellStyle name="Normal 53 3 2 4" xfId="28393" xr:uid="{00000000-0005-0000-0000-00007B850000}"/>
    <cellStyle name="Normal 53 3 2 5" xfId="28394" xr:uid="{00000000-0005-0000-0000-00007C850000}"/>
    <cellStyle name="Normal 53 3 2 6" xfId="40169" xr:uid="{00000000-0005-0000-0000-00007D850000}"/>
    <cellStyle name="Normal 53 3 3" xfId="28395" xr:uid="{00000000-0005-0000-0000-00007E850000}"/>
    <cellStyle name="Normal 53 3 3 2" xfId="28396" xr:uid="{00000000-0005-0000-0000-00007F850000}"/>
    <cellStyle name="Normal 53 3 3 2 2" xfId="28397" xr:uid="{00000000-0005-0000-0000-000080850000}"/>
    <cellStyle name="Normal 53 3 3 2 2 2" xfId="28398" xr:uid="{00000000-0005-0000-0000-000081850000}"/>
    <cellStyle name="Normal 53 3 3 2 3" xfId="28399" xr:uid="{00000000-0005-0000-0000-000082850000}"/>
    <cellStyle name="Normal 53 3 3 2 4" xfId="28400" xr:uid="{00000000-0005-0000-0000-000083850000}"/>
    <cellStyle name="Normal 53 3 3 2 5" xfId="40172" xr:uid="{00000000-0005-0000-0000-000084850000}"/>
    <cellStyle name="Normal 53 3 3 3" xfId="28401" xr:uid="{00000000-0005-0000-0000-000085850000}"/>
    <cellStyle name="Normal 53 3 3 3 2" xfId="28402" xr:uid="{00000000-0005-0000-0000-000086850000}"/>
    <cellStyle name="Normal 53 3 3 4" xfId="28403" xr:uid="{00000000-0005-0000-0000-000087850000}"/>
    <cellStyle name="Normal 53 3 3 5" xfId="28404" xr:uid="{00000000-0005-0000-0000-000088850000}"/>
    <cellStyle name="Normal 53 3 3 6" xfId="40171" xr:uid="{00000000-0005-0000-0000-000089850000}"/>
    <cellStyle name="Normal 53 3 4" xfId="28405" xr:uid="{00000000-0005-0000-0000-00008A850000}"/>
    <cellStyle name="Normal 53 3 4 2" xfId="28406" xr:uid="{00000000-0005-0000-0000-00008B850000}"/>
    <cellStyle name="Normal 53 3 4 2 2" xfId="28407" xr:uid="{00000000-0005-0000-0000-00008C850000}"/>
    <cellStyle name="Normal 53 3 4 3" xfId="28408" xr:uid="{00000000-0005-0000-0000-00008D850000}"/>
    <cellStyle name="Normal 53 3 4 4" xfId="28409" xr:uid="{00000000-0005-0000-0000-00008E850000}"/>
    <cellStyle name="Normal 53 3 4 5" xfId="40173" xr:uid="{00000000-0005-0000-0000-00008F850000}"/>
    <cellStyle name="Normal 53 3 5" xfId="28410" xr:uid="{00000000-0005-0000-0000-000090850000}"/>
    <cellStyle name="Normal 53 3 5 2" xfId="28411" xr:uid="{00000000-0005-0000-0000-000091850000}"/>
    <cellStyle name="Normal 53 3 5 2 2" xfId="28412" xr:uid="{00000000-0005-0000-0000-000092850000}"/>
    <cellStyle name="Normal 53 3 5 3" xfId="28413" xr:uid="{00000000-0005-0000-0000-000093850000}"/>
    <cellStyle name="Normal 53 3 5 4" xfId="28414" xr:uid="{00000000-0005-0000-0000-000094850000}"/>
    <cellStyle name="Normal 53 3 6" xfId="28415" xr:uid="{00000000-0005-0000-0000-000095850000}"/>
    <cellStyle name="Normal 53 3 6 2" xfId="28416" xr:uid="{00000000-0005-0000-0000-000096850000}"/>
    <cellStyle name="Normal 53 3 6 2 2" xfId="28417" xr:uid="{00000000-0005-0000-0000-000097850000}"/>
    <cellStyle name="Normal 53 3 6 3" xfId="28418" xr:uid="{00000000-0005-0000-0000-000098850000}"/>
    <cellStyle name="Normal 53 3 6 4" xfId="28419" xr:uid="{00000000-0005-0000-0000-000099850000}"/>
    <cellStyle name="Normal 53 3 7" xfId="28420" xr:uid="{00000000-0005-0000-0000-00009A850000}"/>
    <cellStyle name="Normal 53 3 7 2" xfId="28421" xr:uid="{00000000-0005-0000-0000-00009B850000}"/>
    <cellStyle name="Normal 53 3 8" xfId="28422" xr:uid="{00000000-0005-0000-0000-00009C850000}"/>
    <cellStyle name="Normal 53 3 9" xfId="28423" xr:uid="{00000000-0005-0000-0000-00009D850000}"/>
    <cellStyle name="Normal 53 4" xfId="28424" xr:uid="{00000000-0005-0000-0000-00009E850000}"/>
    <cellStyle name="Normal 53 4 2" xfId="28425" xr:uid="{00000000-0005-0000-0000-00009F850000}"/>
    <cellStyle name="Normal 53 4 2 2" xfId="28426" xr:uid="{00000000-0005-0000-0000-0000A0850000}"/>
    <cellStyle name="Normal 53 4 2 2 2" xfId="28427" xr:uid="{00000000-0005-0000-0000-0000A1850000}"/>
    <cellStyle name="Normal 53 4 2 3" xfId="28428" xr:uid="{00000000-0005-0000-0000-0000A2850000}"/>
    <cellStyle name="Normal 53 4 2 4" xfId="28429" xr:uid="{00000000-0005-0000-0000-0000A3850000}"/>
    <cellStyle name="Normal 53 4 2 5" xfId="40175" xr:uid="{00000000-0005-0000-0000-0000A4850000}"/>
    <cellStyle name="Normal 53 4 3" xfId="28430" xr:uid="{00000000-0005-0000-0000-0000A5850000}"/>
    <cellStyle name="Normal 53 4 3 2" xfId="28431" xr:uid="{00000000-0005-0000-0000-0000A6850000}"/>
    <cellStyle name="Normal 53 4 4" xfId="28432" xr:uid="{00000000-0005-0000-0000-0000A7850000}"/>
    <cellStyle name="Normal 53 4 5" xfId="28433" xr:uid="{00000000-0005-0000-0000-0000A8850000}"/>
    <cellStyle name="Normal 53 4 6" xfId="40174" xr:uid="{00000000-0005-0000-0000-0000A9850000}"/>
    <cellStyle name="Normal 53 5" xfId="28434" xr:uid="{00000000-0005-0000-0000-0000AA850000}"/>
    <cellStyle name="Normal 53 5 2" xfId="28435" xr:uid="{00000000-0005-0000-0000-0000AB850000}"/>
    <cellStyle name="Normal 53 5 2 2" xfId="28436" xr:uid="{00000000-0005-0000-0000-0000AC850000}"/>
    <cellStyle name="Normal 53 5 2 2 2" xfId="28437" xr:uid="{00000000-0005-0000-0000-0000AD850000}"/>
    <cellStyle name="Normal 53 5 2 3" xfId="28438" xr:uid="{00000000-0005-0000-0000-0000AE850000}"/>
    <cellStyle name="Normal 53 5 2 4" xfId="28439" xr:uid="{00000000-0005-0000-0000-0000AF850000}"/>
    <cellStyle name="Normal 53 5 2 5" xfId="40177" xr:uid="{00000000-0005-0000-0000-0000B0850000}"/>
    <cellStyle name="Normal 53 5 3" xfId="28440" xr:uid="{00000000-0005-0000-0000-0000B1850000}"/>
    <cellStyle name="Normal 53 5 3 2" xfId="28441" xr:uid="{00000000-0005-0000-0000-0000B2850000}"/>
    <cellStyle name="Normal 53 5 4" xfId="28442" xr:uid="{00000000-0005-0000-0000-0000B3850000}"/>
    <cellStyle name="Normal 53 5 5" xfId="28443" xr:uid="{00000000-0005-0000-0000-0000B4850000}"/>
    <cellStyle name="Normal 53 5 6" xfId="40176" xr:uid="{00000000-0005-0000-0000-0000B5850000}"/>
    <cellStyle name="Normal 53 6" xfId="28444" xr:uid="{00000000-0005-0000-0000-0000B6850000}"/>
    <cellStyle name="Normal 53 6 2" xfId="28445" xr:uid="{00000000-0005-0000-0000-0000B7850000}"/>
    <cellStyle name="Normal 53 6 2 2" xfId="28446" xr:uid="{00000000-0005-0000-0000-0000B8850000}"/>
    <cellStyle name="Normal 53 6 3" xfId="28447" xr:uid="{00000000-0005-0000-0000-0000B9850000}"/>
    <cellStyle name="Normal 53 6 4" xfId="28448" xr:uid="{00000000-0005-0000-0000-0000BA850000}"/>
    <cellStyle name="Normal 53 6 5" xfId="40178" xr:uid="{00000000-0005-0000-0000-0000BB850000}"/>
    <cellStyle name="Normal 53 7" xfId="28449" xr:uid="{00000000-0005-0000-0000-0000BC850000}"/>
    <cellStyle name="Normal 53 7 2" xfId="28450" xr:uid="{00000000-0005-0000-0000-0000BD850000}"/>
    <cellStyle name="Normal 53 7 2 2" xfId="28451" xr:uid="{00000000-0005-0000-0000-0000BE850000}"/>
    <cellStyle name="Normal 53 7 3" xfId="28452" xr:uid="{00000000-0005-0000-0000-0000BF850000}"/>
    <cellStyle name="Normal 53 7 4" xfId="28453" xr:uid="{00000000-0005-0000-0000-0000C0850000}"/>
    <cellStyle name="Normal 53 8" xfId="28454" xr:uid="{00000000-0005-0000-0000-0000C1850000}"/>
    <cellStyle name="Normal 53 8 2" xfId="28455" xr:uid="{00000000-0005-0000-0000-0000C2850000}"/>
    <cellStyle name="Normal 53 8 2 2" xfId="28456" xr:uid="{00000000-0005-0000-0000-0000C3850000}"/>
    <cellStyle name="Normal 53 8 3" xfId="28457" xr:uid="{00000000-0005-0000-0000-0000C4850000}"/>
    <cellStyle name="Normal 53 8 4" xfId="28458" xr:uid="{00000000-0005-0000-0000-0000C5850000}"/>
    <cellStyle name="Normal 53 9" xfId="28459" xr:uid="{00000000-0005-0000-0000-0000C6850000}"/>
    <cellStyle name="Normal 53 9 2" xfId="28460" xr:uid="{00000000-0005-0000-0000-0000C7850000}"/>
    <cellStyle name="Normal 54" xfId="28461" xr:uid="{00000000-0005-0000-0000-0000C8850000}"/>
    <cellStyle name="Normal 54 2" xfId="28462" xr:uid="{00000000-0005-0000-0000-0000C9850000}"/>
    <cellStyle name="Normal 54 2 2" xfId="28463" xr:uid="{00000000-0005-0000-0000-0000CA850000}"/>
    <cellStyle name="Normal 54 3" xfId="28464" xr:uid="{00000000-0005-0000-0000-0000CB850000}"/>
    <cellStyle name="Normal 55" xfId="28465" xr:uid="{00000000-0005-0000-0000-0000CC850000}"/>
    <cellStyle name="Normal 55 2" xfId="28466" xr:uid="{00000000-0005-0000-0000-0000CD850000}"/>
    <cellStyle name="Normal 55 2 2" xfId="28467" xr:uid="{00000000-0005-0000-0000-0000CE850000}"/>
    <cellStyle name="Normal 55 3" xfId="28468" xr:uid="{00000000-0005-0000-0000-0000CF850000}"/>
    <cellStyle name="Normal 56" xfId="28469" xr:uid="{00000000-0005-0000-0000-0000D0850000}"/>
    <cellStyle name="Normal 56 10" xfId="28470" xr:uid="{00000000-0005-0000-0000-0000D1850000}"/>
    <cellStyle name="Normal 56 11" xfId="28471" xr:uid="{00000000-0005-0000-0000-0000D2850000}"/>
    <cellStyle name="Normal 56 12" xfId="35483" xr:uid="{00000000-0005-0000-0000-0000D3850000}"/>
    <cellStyle name="Normal 56 2" xfId="28472" xr:uid="{00000000-0005-0000-0000-0000D4850000}"/>
    <cellStyle name="Normal 56 2 10" xfId="28473" xr:uid="{00000000-0005-0000-0000-0000D5850000}"/>
    <cellStyle name="Normal 56 2 11" xfId="35484" xr:uid="{00000000-0005-0000-0000-0000D6850000}"/>
    <cellStyle name="Normal 56 2 2" xfId="28474" xr:uid="{00000000-0005-0000-0000-0000D7850000}"/>
    <cellStyle name="Normal 56 2 2 10" xfId="35485" xr:uid="{00000000-0005-0000-0000-0000D8850000}"/>
    <cellStyle name="Normal 56 2 2 2" xfId="28475" xr:uid="{00000000-0005-0000-0000-0000D9850000}"/>
    <cellStyle name="Normal 56 2 2 2 2" xfId="28476" xr:uid="{00000000-0005-0000-0000-0000DA850000}"/>
    <cellStyle name="Normal 56 2 2 2 2 2" xfId="28477" xr:uid="{00000000-0005-0000-0000-0000DB850000}"/>
    <cellStyle name="Normal 56 2 2 2 2 2 2" xfId="28478" xr:uid="{00000000-0005-0000-0000-0000DC850000}"/>
    <cellStyle name="Normal 56 2 2 2 2 3" xfId="28479" xr:uid="{00000000-0005-0000-0000-0000DD850000}"/>
    <cellStyle name="Normal 56 2 2 2 2 4" xfId="28480" xr:uid="{00000000-0005-0000-0000-0000DE850000}"/>
    <cellStyle name="Normal 56 2 2 2 2 5" xfId="40180" xr:uid="{00000000-0005-0000-0000-0000DF850000}"/>
    <cellStyle name="Normal 56 2 2 2 3" xfId="28481" xr:uid="{00000000-0005-0000-0000-0000E0850000}"/>
    <cellStyle name="Normal 56 2 2 2 3 2" xfId="28482" xr:uid="{00000000-0005-0000-0000-0000E1850000}"/>
    <cellStyle name="Normal 56 2 2 2 4" xfId="28483" xr:uid="{00000000-0005-0000-0000-0000E2850000}"/>
    <cellStyle name="Normal 56 2 2 2 5" xfId="28484" xr:uid="{00000000-0005-0000-0000-0000E3850000}"/>
    <cellStyle name="Normal 56 2 2 2 6" xfId="40179" xr:uid="{00000000-0005-0000-0000-0000E4850000}"/>
    <cellStyle name="Normal 56 2 2 3" xfId="28485" xr:uid="{00000000-0005-0000-0000-0000E5850000}"/>
    <cellStyle name="Normal 56 2 2 3 2" xfId="28486" xr:uid="{00000000-0005-0000-0000-0000E6850000}"/>
    <cellStyle name="Normal 56 2 2 3 2 2" xfId="28487" xr:uid="{00000000-0005-0000-0000-0000E7850000}"/>
    <cellStyle name="Normal 56 2 2 3 2 2 2" xfId="28488" xr:uid="{00000000-0005-0000-0000-0000E8850000}"/>
    <cellStyle name="Normal 56 2 2 3 2 3" xfId="28489" xr:uid="{00000000-0005-0000-0000-0000E9850000}"/>
    <cellStyle name="Normal 56 2 2 3 2 4" xfId="28490" xr:uid="{00000000-0005-0000-0000-0000EA850000}"/>
    <cellStyle name="Normal 56 2 2 3 2 5" xfId="40182" xr:uid="{00000000-0005-0000-0000-0000EB850000}"/>
    <cellStyle name="Normal 56 2 2 3 3" xfId="28491" xr:uid="{00000000-0005-0000-0000-0000EC850000}"/>
    <cellStyle name="Normal 56 2 2 3 3 2" xfId="28492" xr:uid="{00000000-0005-0000-0000-0000ED850000}"/>
    <cellStyle name="Normal 56 2 2 3 4" xfId="28493" xr:uid="{00000000-0005-0000-0000-0000EE850000}"/>
    <cellStyle name="Normal 56 2 2 3 5" xfId="28494" xr:uid="{00000000-0005-0000-0000-0000EF850000}"/>
    <cellStyle name="Normal 56 2 2 3 6" xfId="40181" xr:uid="{00000000-0005-0000-0000-0000F0850000}"/>
    <cellStyle name="Normal 56 2 2 4" xfId="28495" xr:uid="{00000000-0005-0000-0000-0000F1850000}"/>
    <cellStyle name="Normal 56 2 2 4 2" xfId="28496" xr:uid="{00000000-0005-0000-0000-0000F2850000}"/>
    <cellStyle name="Normal 56 2 2 4 2 2" xfId="28497" xr:uid="{00000000-0005-0000-0000-0000F3850000}"/>
    <cellStyle name="Normal 56 2 2 4 3" xfId="28498" xr:uid="{00000000-0005-0000-0000-0000F4850000}"/>
    <cellStyle name="Normal 56 2 2 4 4" xfId="28499" xr:uid="{00000000-0005-0000-0000-0000F5850000}"/>
    <cellStyle name="Normal 56 2 2 4 5" xfId="40183" xr:uid="{00000000-0005-0000-0000-0000F6850000}"/>
    <cellStyle name="Normal 56 2 2 5" xfId="28500" xr:uid="{00000000-0005-0000-0000-0000F7850000}"/>
    <cellStyle name="Normal 56 2 2 5 2" xfId="28501" xr:uid="{00000000-0005-0000-0000-0000F8850000}"/>
    <cellStyle name="Normal 56 2 2 5 2 2" xfId="28502" xr:uid="{00000000-0005-0000-0000-0000F9850000}"/>
    <cellStyle name="Normal 56 2 2 5 3" xfId="28503" xr:uid="{00000000-0005-0000-0000-0000FA850000}"/>
    <cellStyle name="Normal 56 2 2 5 4" xfId="28504" xr:uid="{00000000-0005-0000-0000-0000FB850000}"/>
    <cellStyle name="Normal 56 2 2 6" xfId="28505" xr:uid="{00000000-0005-0000-0000-0000FC850000}"/>
    <cellStyle name="Normal 56 2 2 6 2" xfId="28506" xr:uid="{00000000-0005-0000-0000-0000FD850000}"/>
    <cellStyle name="Normal 56 2 2 6 2 2" xfId="28507" xr:uid="{00000000-0005-0000-0000-0000FE850000}"/>
    <cellStyle name="Normal 56 2 2 6 3" xfId="28508" xr:uid="{00000000-0005-0000-0000-0000FF850000}"/>
    <cellStyle name="Normal 56 2 2 6 4" xfId="28509" xr:uid="{00000000-0005-0000-0000-000000860000}"/>
    <cellStyle name="Normal 56 2 2 7" xfId="28510" xr:uid="{00000000-0005-0000-0000-000001860000}"/>
    <cellStyle name="Normal 56 2 2 7 2" xfId="28511" xr:uid="{00000000-0005-0000-0000-000002860000}"/>
    <cellStyle name="Normal 56 2 2 8" xfId="28512" xr:uid="{00000000-0005-0000-0000-000003860000}"/>
    <cellStyle name="Normal 56 2 2 9" xfId="28513" xr:uid="{00000000-0005-0000-0000-000004860000}"/>
    <cellStyle name="Normal 56 2 3" xfId="28514" xr:uid="{00000000-0005-0000-0000-000005860000}"/>
    <cellStyle name="Normal 56 2 3 2" xfId="28515" xr:uid="{00000000-0005-0000-0000-000006860000}"/>
    <cellStyle name="Normal 56 2 3 2 2" xfId="28516" xr:uid="{00000000-0005-0000-0000-000007860000}"/>
    <cellStyle name="Normal 56 2 3 2 2 2" xfId="28517" xr:uid="{00000000-0005-0000-0000-000008860000}"/>
    <cellStyle name="Normal 56 2 3 2 3" xfId="28518" xr:uid="{00000000-0005-0000-0000-000009860000}"/>
    <cellStyle name="Normal 56 2 3 2 4" xfId="28519" xr:uid="{00000000-0005-0000-0000-00000A860000}"/>
    <cellStyle name="Normal 56 2 3 2 5" xfId="40185" xr:uid="{00000000-0005-0000-0000-00000B860000}"/>
    <cellStyle name="Normal 56 2 3 3" xfId="28520" xr:uid="{00000000-0005-0000-0000-00000C860000}"/>
    <cellStyle name="Normal 56 2 3 3 2" xfId="28521" xr:uid="{00000000-0005-0000-0000-00000D860000}"/>
    <cellStyle name="Normal 56 2 3 4" xfId="28522" xr:uid="{00000000-0005-0000-0000-00000E860000}"/>
    <cellStyle name="Normal 56 2 3 5" xfId="28523" xr:uid="{00000000-0005-0000-0000-00000F860000}"/>
    <cellStyle name="Normal 56 2 3 6" xfId="40184" xr:uid="{00000000-0005-0000-0000-000010860000}"/>
    <cellStyle name="Normal 56 2 4" xfId="28524" xr:uid="{00000000-0005-0000-0000-000011860000}"/>
    <cellStyle name="Normal 56 2 4 2" xfId="28525" xr:uid="{00000000-0005-0000-0000-000012860000}"/>
    <cellStyle name="Normal 56 2 4 2 2" xfId="28526" xr:uid="{00000000-0005-0000-0000-000013860000}"/>
    <cellStyle name="Normal 56 2 4 2 2 2" xfId="28527" xr:uid="{00000000-0005-0000-0000-000014860000}"/>
    <cellStyle name="Normal 56 2 4 2 3" xfId="28528" xr:uid="{00000000-0005-0000-0000-000015860000}"/>
    <cellStyle name="Normal 56 2 4 2 4" xfId="28529" xr:uid="{00000000-0005-0000-0000-000016860000}"/>
    <cellStyle name="Normal 56 2 4 2 5" xfId="40187" xr:uid="{00000000-0005-0000-0000-000017860000}"/>
    <cellStyle name="Normal 56 2 4 3" xfId="28530" xr:uid="{00000000-0005-0000-0000-000018860000}"/>
    <cellStyle name="Normal 56 2 4 3 2" xfId="28531" xr:uid="{00000000-0005-0000-0000-000019860000}"/>
    <cellStyle name="Normal 56 2 4 4" xfId="28532" xr:uid="{00000000-0005-0000-0000-00001A860000}"/>
    <cellStyle name="Normal 56 2 4 5" xfId="28533" xr:uid="{00000000-0005-0000-0000-00001B860000}"/>
    <cellStyle name="Normal 56 2 4 6" xfId="40186" xr:uid="{00000000-0005-0000-0000-00001C860000}"/>
    <cellStyle name="Normal 56 2 5" xfId="28534" xr:uid="{00000000-0005-0000-0000-00001D860000}"/>
    <cellStyle name="Normal 56 2 5 2" xfId="28535" xr:uid="{00000000-0005-0000-0000-00001E860000}"/>
    <cellStyle name="Normal 56 2 5 2 2" xfId="28536" xr:uid="{00000000-0005-0000-0000-00001F860000}"/>
    <cellStyle name="Normal 56 2 5 3" xfId="28537" xr:uid="{00000000-0005-0000-0000-000020860000}"/>
    <cellStyle name="Normal 56 2 5 4" xfId="28538" xr:uid="{00000000-0005-0000-0000-000021860000}"/>
    <cellStyle name="Normal 56 2 5 5" xfId="40188" xr:uid="{00000000-0005-0000-0000-000022860000}"/>
    <cellStyle name="Normal 56 2 6" xfId="28539" xr:uid="{00000000-0005-0000-0000-000023860000}"/>
    <cellStyle name="Normal 56 2 6 2" xfId="28540" xr:uid="{00000000-0005-0000-0000-000024860000}"/>
    <cellStyle name="Normal 56 2 6 2 2" xfId="28541" xr:uid="{00000000-0005-0000-0000-000025860000}"/>
    <cellStyle name="Normal 56 2 6 3" xfId="28542" xr:uid="{00000000-0005-0000-0000-000026860000}"/>
    <cellStyle name="Normal 56 2 6 4" xfId="28543" xr:uid="{00000000-0005-0000-0000-000027860000}"/>
    <cellStyle name="Normal 56 2 7" xfId="28544" xr:uid="{00000000-0005-0000-0000-000028860000}"/>
    <cellStyle name="Normal 56 2 7 2" xfId="28545" xr:uid="{00000000-0005-0000-0000-000029860000}"/>
    <cellStyle name="Normal 56 2 7 2 2" xfId="28546" xr:uid="{00000000-0005-0000-0000-00002A860000}"/>
    <cellStyle name="Normal 56 2 7 3" xfId="28547" xr:uid="{00000000-0005-0000-0000-00002B860000}"/>
    <cellStyle name="Normal 56 2 7 4" xfId="28548" xr:uid="{00000000-0005-0000-0000-00002C860000}"/>
    <cellStyle name="Normal 56 2 8" xfId="28549" xr:uid="{00000000-0005-0000-0000-00002D860000}"/>
    <cellStyle name="Normal 56 2 8 2" xfId="28550" xr:uid="{00000000-0005-0000-0000-00002E860000}"/>
    <cellStyle name="Normal 56 2 9" xfId="28551" xr:uid="{00000000-0005-0000-0000-00002F860000}"/>
    <cellStyle name="Normal 56 3" xfId="28552" xr:uid="{00000000-0005-0000-0000-000030860000}"/>
    <cellStyle name="Normal 56 3 10" xfId="35486" xr:uid="{00000000-0005-0000-0000-000031860000}"/>
    <cellStyle name="Normal 56 3 2" xfId="28553" xr:uid="{00000000-0005-0000-0000-000032860000}"/>
    <cellStyle name="Normal 56 3 2 2" xfId="28554" xr:uid="{00000000-0005-0000-0000-000033860000}"/>
    <cellStyle name="Normal 56 3 2 2 2" xfId="28555" xr:uid="{00000000-0005-0000-0000-000034860000}"/>
    <cellStyle name="Normal 56 3 2 2 2 2" xfId="28556" xr:uid="{00000000-0005-0000-0000-000035860000}"/>
    <cellStyle name="Normal 56 3 2 2 3" xfId="28557" xr:uid="{00000000-0005-0000-0000-000036860000}"/>
    <cellStyle name="Normal 56 3 2 2 4" xfId="28558" xr:uid="{00000000-0005-0000-0000-000037860000}"/>
    <cellStyle name="Normal 56 3 2 2 5" xfId="40190" xr:uid="{00000000-0005-0000-0000-000038860000}"/>
    <cellStyle name="Normal 56 3 2 3" xfId="28559" xr:uid="{00000000-0005-0000-0000-000039860000}"/>
    <cellStyle name="Normal 56 3 2 3 2" xfId="28560" xr:uid="{00000000-0005-0000-0000-00003A860000}"/>
    <cellStyle name="Normal 56 3 2 4" xfId="28561" xr:uid="{00000000-0005-0000-0000-00003B860000}"/>
    <cellStyle name="Normal 56 3 2 5" xfId="28562" xr:uid="{00000000-0005-0000-0000-00003C860000}"/>
    <cellStyle name="Normal 56 3 2 6" xfId="40189" xr:uid="{00000000-0005-0000-0000-00003D860000}"/>
    <cellStyle name="Normal 56 3 3" xfId="28563" xr:uid="{00000000-0005-0000-0000-00003E860000}"/>
    <cellStyle name="Normal 56 3 3 2" xfId="28564" xr:uid="{00000000-0005-0000-0000-00003F860000}"/>
    <cellStyle name="Normal 56 3 3 2 2" xfId="28565" xr:uid="{00000000-0005-0000-0000-000040860000}"/>
    <cellStyle name="Normal 56 3 3 2 2 2" xfId="28566" xr:uid="{00000000-0005-0000-0000-000041860000}"/>
    <cellStyle name="Normal 56 3 3 2 3" xfId="28567" xr:uid="{00000000-0005-0000-0000-000042860000}"/>
    <cellStyle name="Normal 56 3 3 2 4" xfId="28568" xr:uid="{00000000-0005-0000-0000-000043860000}"/>
    <cellStyle name="Normal 56 3 3 2 5" xfId="40192" xr:uid="{00000000-0005-0000-0000-000044860000}"/>
    <cellStyle name="Normal 56 3 3 3" xfId="28569" xr:uid="{00000000-0005-0000-0000-000045860000}"/>
    <cellStyle name="Normal 56 3 3 3 2" xfId="28570" xr:uid="{00000000-0005-0000-0000-000046860000}"/>
    <cellStyle name="Normal 56 3 3 4" xfId="28571" xr:uid="{00000000-0005-0000-0000-000047860000}"/>
    <cellStyle name="Normal 56 3 3 5" xfId="28572" xr:uid="{00000000-0005-0000-0000-000048860000}"/>
    <cellStyle name="Normal 56 3 3 6" xfId="40191" xr:uid="{00000000-0005-0000-0000-000049860000}"/>
    <cellStyle name="Normal 56 3 4" xfId="28573" xr:uid="{00000000-0005-0000-0000-00004A860000}"/>
    <cellStyle name="Normal 56 3 4 2" xfId="28574" xr:uid="{00000000-0005-0000-0000-00004B860000}"/>
    <cellStyle name="Normal 56 3 4 2 2" xfId="28575" xr:uid="{00000000-0005-0000-0000-00004C860000}"/>
    <cellStyle name="Normal 56 3 4 3" xfId="28576" xr:uid="{00000000-0005-0000-0000-00004D860000}"/>
    <cellStyle name="Normal 56 3 4 4" xfId="28577" xr:uid="{00000000-0005-0000-0000-00004E860000}"/>
    <cellStyle name="Normal 56 3 4 5" xfId="40193" xr:uid="{00000000-0005-0000-0000-00004F860000}"/>
    <cellStyle name="Normal 56 3 5" xfId="28578" xr:uid="{00000000-0005-0000-0000-000050860000}"/>
    <cellStyle name="Normal 56 3 5 2" xfId="28579" xr:uid="{00000000-0005-0000-0000-000051860000}"/>
    <cellStyle name="Normal 56 3 5 2 2" xfId="28580" xr:uid="{00000000-0005-0000-0000-000052860000}"/>
    <cellStyle name="Normal 56 3 5 3" xfId="28581" xr:uid="{00000000-0005-0000-0000-000053860000}"/>
    <cellStyle name="Normal 56 3 5 4" xfId="28582" xr:uid="{00000000-0005-0000-0000-000054860000}"/>
    <cellStyle name="Normal 56 3 6" xfId="28583" xr:uid="{00000000-0005-0000-0000-000055860000}"/>
    <cellStyle name="Normal 56 3 6 2" xfId="28584" xr:uid="{00000000-0005-0000-0000-000056860000}"/>
    <cellStyle name="Normal 56 3 6 2 2" xfId="28585" xr:uid="{00000000-0005-0000-0000-000057860000}"/>
    <cellStyle name="Normal 56 3 6 3" xfId="28586" xr:uid="{00000000-0005-0000-0000-000058860000}"/>
    <cellStyle name="Normal 56 3 6 4" xfId="28587" xr:uid="{00000000-0005-0000-0000-000059860000}"/>
    <cellStyle name="Normal 56 3 7" xfId="28588" xr:uid="{00000000-0005-0000-0000-00005A860000}"/>
    <cellStyle name="Normal 56 3 7 2" xfId="28589" xr:uid="{00000000-0005-0000-0000-00005B860000}"/>
    <cellStyle name="Normal 56 3 8" xfId="28590" xr:uid="{00000000-0005-0000-0000-00005C860000}"/>
    <cellStyle name="Normal 56 3 9" xfId="28591" xr:uid="{00000000-0005-0000-0000-00005D860000}"/>
    <cellStyle name="Normal 56 4" xfId="28592" xr:uid="{00000000-0005-0000-0000-00005E860000}"/>
    <cellStyle name="Normal 56 4 2" xfId="28593" xr:uid="{00000000-0005-0000-0000-00005F860000}"/>
    <cellStyle name="Normal 56 4 2 2" xfId="28594" xr:uid="{00000000-0005-0000-0000-000060860000}"/>
    <cellStyle name="Normal 56 4 2 2 2" xfId="28595" xr:uid="{00000000-0005-0000-0000-000061860000}"/>
    <cellStyle name="Normal 56 4 2 3" xfId="28596" xr:uid="{00000000-0005-0000-0000-000062860000}"/>
    <cellStyle name="Normal 56 4 2 4" xfId="28597" xr:uid="{00000000-0005-0000-0000-000063860000}"/>
    <cellStyle name="Normal 56 4 2 5" xfId="40195" xr:uid="{00000000-0005-0000-0000-000064860000}"/>
    <cellStyle name="Normal 56 4 3" xfId="28598" xr:uid="{00000000-0005-0000-0000-000065860000}"/>
    <cellStyle name="Normal 56 4 3 2" xfId="28599" xr:uid="{00000000-0005-0000-0000-000066860000}"/>
    <cellStyle name="Normal 56 4 4" xfId="28600" xr:uid="{00000000-0005-0000-0000-000067860000}"/>
    <cellStyle name="Normal 56 4 5" xfId="28601" xr:uid="{00000000-0005-0000-0000-000068860000}"/>
    <cellStyle name="Normal 56 4 6" xfId="40194" xr:uid="{00000000-0005-0000-0000-000069860000}"/>
    <cellStyle name="Normal 56 5" xfId="28602" xr:uid="{00000000-0005-0000-0000-00006A860000}"/>
    <cellStyle name="Normal 56 5 2" xfId="28603" xr:uid="{00000000-0005-0000-0000-00006B860000}"/>
    <cellStyle name="Normal 56 5 2 2" xfId="28604" xr:uid="{00000000-0005-0000-0000-00006C860000}"/>
    <cellStyle name="Normal 56 5 2 2 2" xfId="28605" xr:uid="{00000000-0005-0000-0000-00006D860000}"/>
    <cellStyle name="Normal 56 5 2 3" xfId="28606" xr:uid="{00000000-0005-0000-0000-00006E860000}"/>
    <cellStyle name="Normal 56 5 2 4" xfId="28607" xr:uid="{00000000-0005-0000-0000-00006F860000}"/>
    <cellStyle name="Normal 56 5 2 5" xfId="40197" xr:uid="{00000000-0005-0000-0000-000070860000}"/>
    <cellStyle name="Normal 56 5 3" xfId="28608" xr:uid="{00000000-0005-0000-0000-000071860000}"/>
    <cellStyle name="Normal 56 5 3 2" xfId="28609" xr:uid="{00000000-0005-0000-0000-000072860000}"/>
    <cellStyle name="Normal 56 5 4" xfId="28610" xr:uid="{00000000-0005-0000-0000-000073860000}"/>
    <cellStyle name="Normal 56 5 5" xfId="28611" xr:uid="{00000000-0005-0000-0000-000074860000}"/>
    <cellStyle name="Normal 56 5 6" xfId="40196" xr:uid="{00000000-0005-0000-0000-000075860000}"/>
    <cellStyle name="Normal 56 6" xfId="28612" xr:uid="{00000000-0005-0000-0000-000076860000}"/>
    <cellStyle name="Normal 56 6 2" xfId="28613" xr:uid="{00000000-0005-0000-0000-000077860000}"/>
    <cellStyle name="Normal 56 6 2 2" xfId="28614" xr:uid="{00000000-0005-0000-0000-000078860000}"/>
    <cellStyle name="Normal 56 6 3" xfId="28615" xr:uid="{00000000-0005-0000-0000-000079860000}"/>
    <cellStyle name="Normal 56 6 4" xfId="28616" xr:uid="{00000000-0005-0000-0000-00007A860000}"/>
    <cellStyle name="Normal 56 6 5" xfId="40198" xr:uid="{00000000-0005-0000-0000-00007B860000}"/>
    <cellStyle name="Normal 56 7" xfId="28617" xr:uid="{00000000-0005-0000-0000-00007C860000}"/>
    <cellStyle name="Normal 56 7 2" xfId="28618" xr:uid="{00000000-0005-0000-0000-00007D860000}"/>
    <cellStyle name="Normal 56 7 2 2" xfId="28619" xr:uid="{00000000-0005-0000-0000-00007E860000}"/>
    <cellStyle name="Normal 56 7 3" xfId="28620" xr:uid="{00000000-0005-0000-0000-00007F860000}"/>
    <cellStyle name="Normal 56 7 4" xfId="28621" xr:uid="{00000000-0005-0000-0000-000080860000}"/>
    <cellStyle name="Normal 56 8" xfId="28622" xr:uid="{00000000-0005-0000-0000-000081860000}"/>
    <cellStyle name="Normal 56 8 2" xfId="28623" xr:uid="{00000000-0005-0000-0000-000082860000}"/>
    <cellStyle name="Normal 56 8 2 2" xfId="28624" xr:uid="{00000000-0005-0000-0000-000083860000}"/>
    <cellStyle name="Normal 56 8 3" xfId="28625" xr:uid="{00000000-0005-0000-0000-000084860000}"/>
    <cellStyle name="Normal 56 8 4" xfId="28626" xr:uid="{00000000-0005-0000-0000-000085860000}"/>
    <cellStyle name="Normal 56 9" xfId="28627" xr:uid="{00000000-0005-0000-0000-000086860000}"/>
    <cellStyle name="Normal 56 9 2" xfId="28628" xr:uid="{00000000-0005-0000-0000-000087860000}"/>
    <cellStyle name="Normal 57" xfId="28629" xr:uid="{00000000-0005-0000-0000-000088860000}"/>
    <cellStyle name="Normal 57 10" xfId="28630" xr:uid="{00000000-0005-0000-0000-000089860000}"/>
    <cellStyle name="Normal 57 11" xfId="28631" xr:uid="{00000000-0005-0000-0000-00008A860000}"/>
    <cellStyle name="Normal 57 12" xfId="35487" xr:uid="{00000000-0005-0000-0000-00008B860000}"/>
    <cellStyle name="Normal 57 2" xfId="28632" xr:uid="{00000000-0005-0000-0000-00008C860000}"/>
    <cellStyle name="Normal 57 2 10" xfId="28633" xr:uid="{00000000-0005-0000-0000-00008D860000}"/>
    <cellStyle name="Normal 57 2 11" xfId="35488" xr:uid="{00000000-0005-0000-0000-00008E860000}"/>
    <cellStyle name="Normal 57 2 2" xfId="28634" xr:uid="{00000000-0005-0000-0000-00008F860000}"/>
    <cellStyle name="Normal 57 2 2 10" xfId="35489" xr:uid="{00000000-0005-0000-0000-000090860000}"/>
    <cellStyle name="Normal 57 2 2 2" xfId="28635" xr:uid="{00000000-0005-0000-0000-000091860000}"/>
    <cellStyle name="Normal 57 2 2 2 2" xfId="28636" xr:uid="{00000000-0005-0000-0000-000092860000}"/>
    <cellStyle name="Normal 57 2 2 2 2 2" xfId="28637" xr:uid="{00000000-0005-0000-0000-000093860000}"/>
    <cellStyle name="Normal 57 2 2 2 2 2 2" xfId="28638" xr:uid="{00000000-0005-0000-0000-000094860000}"/>
    <cellStyle name="Normal 57 2 2 2 2 3" xfId="28639" xr:uid="{00000000-0005-0000-0000-000095860000}"/>
    <cellStyle name="Normal 57 2 2 2 2 4" xfId="28640" xr:uid="{00000000-0005-0000-0000-000096860000}"/>
    <cellStyle name="Normal 57 2 2 2 2 5" xfId="40200" xr:uid="{00000000-0005-0000-0000-000097860000}"/>
    <cellStyle name="Normal 57 2 2 2 3" xfId="28641" xr:uid="{00000000-0005-0000-0000-000098860000}"/>
    <cellStyle name="Normal 57 2 2 2 3 2" xfId="28642" xr:uid="{00000000-0005-0000-0000-000099860000}"/>
    <cellStyle name="Normal 57 2 2 2 4" xfId="28643" xr:uid="{00000000-0005-0000-0000-00009A860000}"/>
    <cellStyle name="Normal 57 2 2 2 5" xfId="28644" xr:uid="{00000000-0005-0000-0000-00009B860000}"/>
    <cellStyle name="Normal 57 2 2 2 6" xfId="40199" xr:uid="{00000000-0005-0000-0000-00009C860000}"/>
    <cellStyle name="Normal 57 2 2 3" xfId="28645" xr:uid="{00000000-0005-0000-0000-00009D860000}"/>
    <cellStyle name="Normal 57 2 2 3 2" xfId="28646" xr:uid="{00000000-0005-0000-0000-00009E860000}"/>
    <cellStyle name="Normal 57 2 2 3 2 2" xfId="28647" xr:uid="{00000000-0005-0000-0000-00009F860000}"/>
    <cellStyle name="Normal 57 2 2 3 2 2 2" xfId="28648" xr:uid="{00000000-0005-0000-0000-0000A0860000}"/>
    <cellStyle name="Normal 57 2 2 3 2 3" xfId="28649" xr:uid="{00000000-0005-0000-0000-0000A1860000}"/>
    <cellStyle name="Normal 57 2 2 3 2 4" xfId="28650" xr:uid="{00000000-0005-0000-0000-0000A2860000}"/>
    <cellStyle name="Normal 57 2 2 3 2 5" xfId="40202" xr:uid="{00000000-0005-0000-0000-0000A3860000}"/>
    <cellStyle name="Normal 57 2 2 3 3" xfId="28651" xr:uid="{00000000-0005-0000-0000-0000A4860000}"/>
    <cellStyle name="Normal 57 2 2 3 3 2" xfId="28652" xr:uid="{00000000-0005-0000-0000-0000A5860000}"/>
    <cellStyle name="Normal 57 2 2 3 4" xfId="28653" xr:uid="{00000000-0005-0000-0000-0000A6860000}"/>
    <cellStyle name="Normal 57 2 2 3 5" xfId="28654" xr:uid="{00000000-0005-0000-0000-0000A7860000}"/>
    <cellStyle name="Normal 57 2 2 3 6" xfId="40201" xr:uid="{00000000-0005-0000-0000-0000A8860000}"/>
    <cellStyle name="Normal 57 2 2 4" xfId="28655" xr:uid="{00000000-0005-0000-0000-0000A9860000}"/>
    <cellStyle name="Normal 57 2 2 4 2" xfId="28656" xr:uid="{00000000-0005-0000-0000-0000AA860000}"/>
    <cellStyle name="Normal 57 2 2 4 2 2" xfId="28657" xr:uid="{00000000-0005-0000-0000-0000AB860000}"/>
    <cellStyle name="Normal 57 2 2 4 3" xfId="28658" xr:uid="{00000000-0005-0000-0000-0000AC860000}"/>
    <cellStyle name="Normal 57 2 2 4 4" xfId="28659" xr:uid="{00000000-0005-0000-0000-0000AD860000}"/>
    <cellStyle name="Normal 57 2 2 4 5" xfId="40203" xr:uid="{00000000-0005-0000-0000-0000AE860000}"/>
    <cellStyle name="Normal 57 2 2 5" xfId="28660" xr:uid="{00000000-0005-0000-0000-0000AF860000}"/>
    <cellStyle name="Normal 57 2 2 5 2" xfId="28661" xr:uid="{00000000-0005-0000-0000-0000B0860000}"/>
    <cellStyle name="Normal 57 2 2 5 2 2" xfId="28662" xr:uid="{00000000-0005-0000-0000-0000B1860000}"/>
    <cellStyle name="Normal 57 2 2 5 3" xfId="28663" xr:uid="{00000000-0005-0000-0000-0000B2860000}"/>
    <cellStyle name="Normal 57 2 2 5 4" xfId="28664" xr:uid="{00000000-0005-0000-0000-0000B3860000}"/>
    <cellStyle name="Normal 57 2 2 6" xfId="28665" xr:uid="{00000000-0005-0000-0000-0000B4860000}"/>
    <cellStyle name="Normal 57 2 2 6 2" xfId="28666" xr:uid="{00000000-0005-0000-0000-0000B5860000}"/>
    <cellStyle name="Normal 57 2 2 6 2 2" xfId="28667" xr:uid="{00000000-0005-0000-0000-0000B6860000}"/>
    <cellStyle name="Normal 57 2 2 6 3" xfId="28668" xr:uid="{00000000-0005-0000-0000-0000B7860000}"/>
    <cellStyle name="Normal 57 2 2 6 4" xfId="28669" xr:uid="{00000000-0005-0000-0000-0000B8860000}"/>
    <cellStyle name="Normal 57 2 2 7" xfId="28670" xr:uid="{00000000-0005-0000-0000-0000B9860000}"/>
    <cellStyle name="Normal 57 2 2 7 2" xfId="28671" xr:uid="{00000000-0005-0000-0000-0000BA860000}"/>
    <cellStyle name="Normal 57 2 2 8" xfId="28672" xr:uid="{00000000-0005-0000-0000-0000BB860000}"/>
    <cellStyle name="Normal 57 2 2 9" xfId="28673" xr:uid="{00000000-0005-0000-0000-0000BC860000}"/>
    <cellStyle name="Normal 57 2 3" xfId="28674" xr:uid="{00000000-0005-0000-0000-0000BD860000}"/>
    <cellStyle name="Normal 57 2 3 2" xfId="28675" xr:uid="{00000000-0005-0000-0000-0000BE860000}"/>
    <cellStyle name="Normal 57 2 3 2 2" xfId="28676" xr:uid="{00000000-0005-0000-0000-0000BF860000}"/>
    <cellStyle name="Normal 57 2 3 2 2 2" xfId="28677" xr:uid="{00000000-0005-0000-0000-0000C0860000}"/>
    <cellStyle name="Normal 57 2 3 2 3" xfId="28678" xr:uid="{00000000-0005-0000-0000-0000C1860000}"/>
    <cellStyle name="Normal 57 2 3 2 4" xfId="28679" xr:uid="{00000000-0005-0000-0000-0000C2860000}"/>
    <cellStyle name="Normal 57 2 3 2 5" xfId="40205" xr:uid="{00000000-0005-0000-0000-0000C3860000}"/>
    <cellStyle name="Normal 57 2 3 3" xfId="28680" xr:uid="{00000000-0005-0000-0000-0000C4860000}"/>
    <cellStyle name="Normal 57 2 3 3 2" xfId="28681" xr:uid="{00000000-0005-0000-0000-0000C5860000}"/>
    <cellStyle name="Normal 57 2 3 4" xfId="28682" xr:uid="{00000000-0005-0000-0000-0000C6860000}"/>
    <cellStyle name="Normal 57 2 3 5" xfId="28683" xr:uid="{00000000-0005-0000-0000-0000C7860000}"/>
    <cellStyle name="Normal 57 2 3 6" xfId="40204" xr:uid="{00000000-0005-0000-0000-0000C8860000}"/>
    <cellStyle name="Normal 57 2 4" xfId="28684" xr:uid="{00000000-0005-0000-0000-0000C9860000}"/>
    <cellStyle name="Normal 57 2 4 2" xfId="28685" xr:uid="{00000000-0005-0000-0000-0000CA860000}"/>
    <cellStyle name="Normal 57 2 4 2 2" xfId="28686" xr:uid="{00000000-0005-0000-0000-0000CB860000}"/>
    <cellStyle name="Normal 57 2 4 2 2 2" xfId="28687" xr:uid="{00000000-0005-0000-0000-0000CC860000}"/>
    <cellStyle name="Normal 57 2 4 2 3" xfId="28688" xr:uid="{00000000-0005-0000-0000-0000CD860000}"/>
    <cellStyle name="Normal 57 2 4 2 4" xfId="28689" xr:uid="{00000000-0005-0000-0000-0000CE860000}"/>
    <cellStyle name="Normal 57 2 4 2 5" xfId="40207" xr:uid="{00000000-0005-0000-0000-0000CF860000}"/>
    <cellStyle name="Normal 57 2 4 3" xfId="28690" xr:uid="{00000000-0005-0000-0000-0000D0860000}"/>
    <cellStyle name="Normal 57 2 4 3 2" xfId="28691" xr:uid="{00000000-0005-0000-0000-0000D1860000}"/>
    <cellStyle name="Normal 57 2 4 4" xfId="28692" xr:uid="{00000000-0005-0000-0000-0000D2860000}"/>
    <cellStyle name="Normal 57 2 4 5" xfId="28693" xr:uid="{00000000-0005-0000-0000-0000D3860000}"/>
    <cellStyle name="Normal 57 2 4 6" xfId="40206" xr:uid="{00000000-0005-0000-0000-0000D4860000}"/>
    <cellStyle name="Normal 57 2 5" xfId="28694" xr:uid="{00000000-0005-0000-0000-0000D5860000}"/>
    <cellStyle name="Normal 57 2 5 2" xfId="28695" xr:uid="{00000000-0005-0000-0000-0000D6860000}"/>
    <cellStyle name="Normal 57 2 5 2 2" xfId="28696" xr:uid="{00000000-0005-0000-0000-0000D7860000}"/>
    <cellStyle name="Normal 57 2 5 3" xfId="28697" xr:uid="{00000000-0005-0000-0000-0000D8860000}"/>
    <cellStyle name="Normal 57 2 5 4" xfId="28698" xr:uid="{00000000-0005-0000-0000-0000D9860000}"/>
    <cellStyle name="Normal 57 2 5 5" xfId="40208" xr:uid="{00000000-0005-0000-0000-0000DA860000}"/>
    <cellStyle name="Normal 57 2 6" xfId="28699" xr:uid="{00000000-0005-0000-0000-0000DB860000}"/>
    <cellStyle name="Normal 57 2 6 2" xfId="28700" xr:uid="{00000000-0005-0000-0000-0000DC860000}"/>
    <cellStyle name="Normal 57 2 6 2 2" xfId="28701" xr:uid="{00000000-0005-0000-0000-0000DD860000}"/>
    <cellStyle name="Normal 57 2 6 3" xfId="28702" xr:uid="{00000000-0005-0000-0000-0000DE860000}"/>
    <cellStyle name="Normal 57 2 6 4" xfId="28703" xr:uid="{00000000-0005-0000-0000-0000DF860000}"/>
    <cellStyle name="Normal 57 2 7" xfId="28704" xr:uid="{00000000-0005-0000-0000-0000E0860000}"/>
    <cellStyle name="Normal 57 2 7 2" xfId="28705" xr:uid="{00000000-0005-0000-0000-0000E1860000}"/>
    <cellStyle name="Normal 57 2 7 2 2" xfId="28706" xr:uid="{00000000-0005-0000-0000-0000E2860000}"/>
    <cellStyle name="Normal 57 2 7 3" xfId="28707" xr:uid="{00000000-0005-0000-0000-0000E3860000}"/>
    <cellStyle name="Normal 57 2 7 4" xfId="28708" xr:uid="{00000000-0005-0000-0000-0000E4860000}"/>
    <cellStyle name="Normal 57 2 8" xfId="28709" xr:uid="{00000000-0005-0000-0000-0000E5860000}"/>
    <cellStyle name="Normal 57 2 8 2" xfId="28710" xr:uid="{00000000-0005-0000-0000-0000E6860000}"/>
    <cellStyle name="Normal 57 2 9" xfId="28711" xr:uid="{00000000-0005-0000-0000-0000E7860000}"/>
    <cellStyle name="Normal 57 3" xfId="28712" xr:uid="{00000000-0005-0000-0000-0000E8860000}"/>
    <cellStyle name="Normal 57 3 10" xfId="35490" xr:uid="{00000000-0005-0000-0000-0000E9860000}"/>
    <cellStyle name="Normal 57 3 2" xfId="28713" xr:uid="{00000000-0005-0000-0000-0000EA860000}"/>
    <cellStyle name="Normal 57 3 2 2" xfId="28714" xr:uid="{00000000-0005-0000-0000-0000EB860000}"/>
    <cellStyle name="Normal 57 3 2 2 2" xfId="28715" xr:uid="{00000000-0005-0000-0000-0000EC860000}"/>
    <cellStyle name="Normal 57 3 2 2 2 2" xfId="28716" xr:uid="{00000000-0005-0000-0000-0000ED860000}"/>
    <cellStyle name="Normal 57 3 2 2 3" xfId="28717" xr:uid="{00000000-0005-0000-0000-0000EE860000}"/>
    <cellStyle name="Normal 57 3 2 2 4" xfId="28718" xr:uid="{00000000-0005-0000-0000-0000EF860000}"/>
    <cellStyle name="Normal 57 3 2 2 5" xfId="40210" xr:uid="{00000000-0005-0000-0000-0000F0860000}"/>
    <cellStyle name="Normal 57 3 2 3" xfId="28719" xr:uid="{00000000-0005-0000-0000-0000F1860000}"/>
    <cellStyle name="Normal 57 3 2 3 2" xfId="28720" xr:uid="{00000000-0005-0000-0000-0000F2860000}"/>
    <cellStyle name="Normal 57 3 2 4" xfId="28721" xr:uid="{00000000-0005-0000-0000-0000F3860000}"/>
    <cellStyle name="Normal 57 3 2 5" xfId="28722" xr:uid="{00000000-0005-0000-0000-0000F4860000}"/>
    <cellStyle name="Normal 57 3 2 6" xfId="40209" xr:uid="{00000000-0005-0000-0000-0000F5860000}"/>
    <cellStyle name="Normal 57 3 3" xfId="28723" xr:uid="{00000000-0005-0000-0000-0000F6860000}"/>
    <cellStyle name="Normal 57 3 3 2" xfId="28724" xr:uid="{00000000-0005-0000-0000-0000F7860000}"/>
    <cellStyle name="Normal 57 3 3 2 2" xfId="28725" xr:uid="{00000000-0005-0000-0000-0000F8860000}"/>
    <cellStyle name="Normal 57 3 3 2 2 2" xfId="28726" xr:uid="{00000000-0005-0000-0000-0000F9860000}"/>
    <cellStyle name="Normal 57 3 3 2 3" xfId="28727" xr:uid="{00000000-0005-0000-0000-0000FA860000}"/>
    <cellStyle name="Normal 57 3 3 2 4" xfId="28728" xr:uid="{00000000-0005-0000-0000-0000FB860000}"/>
    <cellStyle name="Normal 57 3 3 2 5" xfId="40212" xr:uid="{00000000-0005-0000-0000-0000FC860000}"/>
    <cellStyle name="Normal 57 3 3 3" xfId="28729" xr:uid="{00000000-0005-0000-0000-0000FD860000}"/>
    <cellStyle name="Normal 57 3 3 3 2" xfId="28730" xr:uid="{00000000-0005-0000-0000-0000FE860000}"/>
    <cellStyle name="Normal 57 3 3 4" xfId="28731" xr:uid="{00000000-0005-0000-0000-0000FF860000}"/>
    <cellStyle name="Normal 57 3 3 5" xfId="28732" xr:uid="{00000000-0005-0000-0000-000000870000}"/>
    <cellStyle name="Normal 57 3 3 6" xfId="40211" xr:uid="{00000000-0005-0000-0000-000001870000}"/>
    <cellStyle name="Normal 57 3 4" xfId="28733" xr:uid="{00000000-0005-0000-0000-000002870000}"/>
    <cellStyle name="Normal 57 3 4 2" xfId="28734" xr:uid="{00000000-0005-0000-0000-000003870000}"/>
    <cellStyle name="Normal 57 3 4 2 2" xfId="28735" xr:uid="{00000000-0005-0000-0000-000004870000}"/>
    <cellStyle name="Normal 57 3 4 3" xfId="28736" xr:uid="{00000000-0005-0000-0000-000005870000}"/>
    <cellStyle name="Normal 57 3 4 4" xfId="28737" xr:uid="{00000000-0005-0000-0000-000006870000}"/>
    <cellStyle name="Normal 57 3 4 5" xfId="40213" xr:uid="{00000000-0005-0000-0000-000007870000}"/>
    <cellStyle name="Normal 57 3 5" xfId="28738" xr:uid="{00000000-0005-0000-0000-000008870000}"/>
    <cellStyle name="Normal 57 3 5 2" xfId="28739" xr:uid="{00000000-0005-0000-0000-000009870000}"/>
    <cellStyle name="Normal 57 3 5 2 2" xfId="28740" xr:uid="{00000000-0005-0000-0000-00000A870000}"/>
    <cellStyle name="Normal 57 3 5 3" xfId="28741" xr:uid="{00000000-0005-0000-0000-00000B870000}"/>
    <cellStyle name="Normal 57 3 5 4" xfId="28742" xr:uid="{00000000-0005-0000-0000-00000C870000}"/>
    <cellStyle name="Normal 57 3 6" xfId="28743" xr:uid="{00000000-0005-0000-0000-00000D870000}"/>
    <cellStyle name="Normal 57 3 6 2" xfId="28744" xr:uid="{00000000-0005-0000-0000-00000E870000}"/>
    <cellStyle name="Normal 57 3 6 2 2" xfId="28745" xr:uid="{00000000-0005-0000-0000-00000F870000}"/>
    <cellStyle name="Normal 57 3 6 3" xfId="28746" xr:uid="{00000000-0005-0000-0000-000010870000}"/>
    <cellStyle name="Normal 57 3 6 4" xfId="28747" xr:uid="{00000000-0005-0000-0000-000011870000}"/>
    <cellStyle name="Normal 57 3 7" xfId="28748" xr:uid="{00000000-0005-0000-0000-000012870000}"/>
    <cellStyle name="Normal 57 3 7 2" xfId="28749" xr:uid="{00000000-0005-0000-0000-000013870000}"/>
    <cellStyle name="Normal 57 3 8" xfId="28750" xr:uid="{00000000-0005-0000-0000-000014870000}"/>
    <cellStyle name="Normal 57 3 9" xfId="28751" xr:uid="{00000000-0005-0000-0000-000015870000}"/>
    <cellStyle name="Normal 57 4" xfId="28752" xr:uid="{00000000-0005-0000-0000-000016870000}"/>
    <cellStyle name="Normal 57 4 2" xfId="28753" xr:uid="{00000000-0005-0000-0000-000017870000}"/>
    <cellStyle name="Normal 57 4 2 2" xfId="28754" xr:uid="{00000000-0005-0000-0000-000018870000}"/>
    <cellStyle name="Normal 57 4 2 2 2" xfId="28755" xr:uid="{00000000-0005-0000-0000-000019870000}"/>
    <cellStyle name="Normal 57 4 2 3" xfId="28756" xr:uid="{00000000-0005-0000-0000-00001A870000}"/>
    <cellStyle name="Normal 57 4 2 4" xfId="28757" xr:uid="{00000000-0005-0000-0000-00001B870000}"/>
    <cellStyle name="Normal 57 4 2 5" xfId="40215" xr:uid="{00000000-0005-0000-0000-00001C870000}"/>
    <cellStyle name="Normal 57 4 3" xfId="28758" xr:uid="{00000000-0005-0000-0000-00001D870000}"/>
    <cellStyle name="Normal 57 4 3 2" xfId="28759" xr:uid="{00000000-0005-0000-0000-00001E870000}"/>
    <cellStyle name="Normal 57 4 4" xfId="28760" xr:uid="{00000000-0005-0000-0000-00001F870000}"/>
    <cellStyle name="Normal 57 4 5" xfId="28761" xr:uid="{00000000-0005-0000-0000-000020870000}"/>
    <cellStyle name="Normal 57 4 6" xfId="40214" xr:uid="{00000000-0005-0000-0000-000021870000}"/>
    <cellStyle name="Normal 57 5" xfId="28762" xr:uid="{00000000-0005-0000-0000-000022870000}"/>
    <cellStyle name="Normal 57 5 2" xfId="28763" xr:uid="{00000000-0005-0000-0000-000023870000}"/>
    <cellStyle name="Normal 57 5 2 2" xfId="28764" xr:uid="{00000000-0005-0000-0000-000024870000}"/>
    <cellStyle name="Normal 57 5 2 2 2" xfId="28765" xr:uid="{00000000-0005-0000-0000-000025870000}"/>
    <cellStyle name="Normal 57 5 2 3" xfId="28766" xr:uid="{00000000-0005-0000-0000-000026870000}"/>
    <cellStyle name="Normal 57 5 2 4" xfId="28767" xr:uid="{00000000-0005-0000-0000-000027870000}"/>
    <cellStyle name="Normal 57 5 2 5" xfId="40217" xr:uid="{00000000-0005-0000-0000-000028870000}"/>
    <cellStyle name="Normal 57 5 3" xfId="28768" xr:uid="{00000000-0005-0000-0000-000029870000}"/>
    <cellStyle name="Normal 57 5 3 2" xfId="28769" xr:uid="{00000000-0005-0000-0000-00002A870000}"/>
    <cellStyle name="Normal 57 5 4" xfId="28770" xr:uid="{00000000-0005-0000-0000-00002B870000}"/>
    <cellStyle name="Normal 57 5 5" xfId="28771" xr:uid="{00000000-0005-0000-0000-00002C870000}"/>
    <cellStyle name="Normal 57 5 6" xfId="40216" xr:uid="{00000000-0005-0000-0000-00002D870000}"/>
    <cellStyle name="Normal 57 6" xfId="28772" xr:uid="{00000000-0005-0000-0000-00002E870000}"/>
    <cellStyle name="Normal 57 6 2" xfId="28773" xr:uid="{00000000-0005-0000-0000-00002F870000}"/>
    <cellStyle name="Normal 57 6 2 2" xfId="28774" xr:uid="{00000000-0005-0000-0000-000030870000}"/>
    <cellStyle name="Normal 57 6 3" xfId="28775" xr:uid="{00000000-0005-0000-0000-000031870000}"/>
    <cellStyle name="Normal 57 6 4" xfId="28776" xr:uid="{00000000-0005-0000-0000-000032870000}"/>
    <cellStyle name="Normal 57 6 5" xfId="40218" xr:uid="{00000000-0005-0000-0000-000033870000}"/>
    <cellStyle name="Normal 57 7" xfId="28777" xr:uid="{00000000-0005-0000-0000-000034870000}"/>
    <cellStyle name="Normal 57 7 2" xfId="28778" xr:uid="{00000000-0005-0000-0000-000035870000}"/>
    <cellStyle name="Normal 57 7 2 2" xfId="28779" xr:uid="{00000000-0005-0000-0000-000036870000}"/>
    <cellStyle name="Normal 57 7 3" xfId="28780" xr:uid="{00000000-0005-0000-0000-000037870000}"/>
    <cellStyle name="Normal 57 7 4" xfId="28781" xr:uid="{00000000-0005-0000-0000-000038870000}"/>
    <cellStyle name="Normal 57 8" xfId="28782" xr:uid="{00000000-0005-0000-0000-000039870000}"/>
    <cellStyle name="Normal 57 8 2" xfId="28783" xr:uid="{00000000-0005-0000-0000-00003A870000}"/>
    <cellStyle name="Normal 57 8 2 2" xfId="28784" xr:uid="{00000000-0005-0000-0000-00003B870000}"/>
    <cellStyle name="Normal 57 8 3" xfId="28785" xr:uid="{00000000-0005-0000-0000-00003C870000}"/>
    <cellStyle name="Normal 57 8 4" xfId="28786" xr:uid="{00000000-0005-0000-0000-00003D870000}"/>
    <cellStyle name="Normal 57 9" xfId="28787" xr:uid="{00000000-0005-0000-0000-00003E870000}"/>
    <cellStyle name="Normal 57 9 2" xfId="28788" xr:uid="{00000000-0005-0000-0000-00003F870000}"/>
    <cellStyle name="Normal 58" xfId="28789" xr:uid="{00000000-0005-0000-0000-000040870000}"/>
    <cellStyle name="Normal 58 10" xfId="28790" xr:uid="{00000000-0005-0000-0000-000041870000}"/>
    <cellStyle name="Normal 58 11" xfId="28791" xr:uid="{00000000-0005-0000-0000-000042870000}"/>
    <cellStyle name="Normal 58 12" xfId="35491" xr:uid="{00000000-0005-0000-0000-000043870000}"/>
    <cellStyle name="Normal 58 2" xfId="28792" xr:uid="{00000000-0005-0000-0000-000044870000}"/>
    <cellStyle name="Normal 58 2 10" xfId="28793" xr:uid="{00000000-0005-0000-0000-000045870000}"/>
    <cellStyle name="Normal 58 2 11" xfId="35492" xr:uid="{00000000-0005-0000-0000-000046870000}"/>
    <cellStyle name="Normal 58 2 2" xfId="28794" xr:uid="{00000000-0005-0000-0000-000047870000}"/>
    <cellStyle name="Normal 58 2 2 10" xfId="35493" xr:uid="{00000000-0005-0000-0000-000048870000}"/>
    <cellStyle name="Normal 58 2 2 2" xfId="28795" xr:uid="{00000000-0005-0000-0000-000049870000}"/>
    <cellStyle name="Normal 58 2 2 2 2" xfId="28796" xr:uid="{00000000-0005-0000-0000-00004A870000}"/>
    <cellStyle name="Normal 58 2 2 2 2 2" xfId="28797" xr:uid="{00000000-0005-0000-0000-00004B870000}"/>
    <cellStyle name="Normal 58 2 2 2 2 2 2" xfId="28798" xr:uid="{00000000-0005-0000-0000-00004C870000}"/>
    <cellStyle name="Normal 58 2 2 2 2 3" xfId="28799" xr:uid="{00000000-0005-0000-0000-00004D870000}"/>
    <cellStyle name="Normal 58 2 2 2 2 4" xfId="28800" xr:uid="{00000000-0005-0000-0000-00004E870000}"/>
    <cellStyle name="Normal 58 2 2 2 2 5" xfId="40220" xr:uid="{00000000-0005-0000-0000-00004F870000}"/>
    <cellStyle name="Normal 58 2 2 2 3" xfId="28801" xr:uid="{00000000-0005-0000-0000-000050870000}"/>
    <cellStyle name="Normal 58 2 2 2 3 2" xfId="28802" xr:uid="{00000000-0005-0000-0000-000051870000}"/>
    <cellStyle name="Normal 58 2 2 2 4" xfId="28803" xr:uid="{00000000-0005-0000-0000-000052870000}"/>
    <cellStyle name="Normal 58 2 2 2 5" xfId="28804" xr:uid="{00000000-0005-0000-0000-000053870000}"/>
    <cellStyle name="Normal 58 2 2 2 6" xfId="40219" xr:uid="{00000000-0005-0000-0000-000054870000}"/>
    <cellStyle name="Normal 58 2 2 3" xfId="28805" xr:uid="{00000000-0005-0000-0000-000055870000}"/>
    <cellStyle name="Normal 58 2 2 3 2" xfId="28806" xr:uid="{00000000-0005-0000-0000-000056870000}"/>
    <cellStyle name="Normal 58 2 2 3 2 2" xfId="28807" xr:uid="{00000000-0005-0000-0000-000057870000}"/>
    <cellStyle name="Normal 58 2 2 3 2 2 2" xfId="28808" xr:uid="{00000000-0005-0000-0000-000058870000}"/>
    <cellStyle name="Normal 58 2 2 3 2 3" xfId="28809" xr:uid="{00000000-0005-0000-0000-000059870000}"/>
    <cellStyle name="Normal 58 2 2 3 2 4" xfId="28810" xr:uid="{00000000-0005-0000-0000-00005A870000}"/>
    <cellStyle name="Normal 58 2 2 3 2 5" xfId="40222" xr:uid="{00000000-0005-0000-0000-00005B870000}"/>
    <cellStyle name="Normal 58 2 2 3 3" xfId="28811" xr:uid="{00000000-0005-0000-0000-00005C870000}"/>
    <cellStyle name="Normal 58 2 2 3 3 2" xfId="28812" xr:uid="{00000000-0005-0000-0000-00005D870000}"/>
    <cellStyle name="Normal 58 2 2 3 4" xfId="28813" xr:uid="{00000000-0005-0000-0000-00005E870000}"/>
    <cellStyle name="Normal 58 2 2 3 5" xfId="28814" xr:uid="{00000000-0005-0000-0000-00005F870000}"/>
    <cellStyle name="Normal 58 2 2 3 6" xfId="40221" xr:uid="{00000000-0005-0000-0000-000060870000}"/>
    <cellStyle name="Normal 58 2 2 4" xfId="28815" xr:uid="{00000000-0005-0000-0000-000061870000}"/>
    <cellStyle name="Normal 58 2 2 4 2" xfId="28816" xr:uid="{00000000-0005-0000-0000-000062870000}"/>
    <cellStyle name="Normal 58 2 2 4 2 2" xfId="28817" xr:uid="{00000000-0005-0000-0000-000063870000}"/>
    <cellStyle name="Normal 58 2 2 4 3" xfId="28818" xr:uid="{00000000-0005-0000-0000-000064870000}"/>
    <cellStyle name="Normal 58 2 2 4 4" xfId="28819" xr:uid="{00000000-0005-0000-0000-000065870000}"/>
    <cellStyle name="Normal 58 2 2 4 5" xfId="40223" xr:uid="{00000000-0005-0000-0000-000066870000}"/>
    <cellStyle name="Normal 58 2 2 5" xfId="28820" xr:uid="{00000000-0005-0000-0000-000067870000}"/>
    <cellStyle name="Normal 58 2 2 5 2" xfId="28821" xr:uid="{00000000-0005-0000-0000-000068870000}"/>
    <cellStyle name="Normal 58 2 2 5 2 2" xfId="28822" xr:uid="{00000000-0005-0000-0000-000069870000}"/>
    <cellStyle name="Normal 58 2 2 5 3" xfId="28823" xr:uid="{00000000-0005-0000-0000-00006A870000}"/>
    <cellStyle name="Normal 58 2 2 5 4" xfId="28824" xr:uid="{00000000-0005-0000-0000-00006B870000}"/>
    <cellStyle name="Normal 58 2 2 6" xfId="28825" xr:uid="{00000000-0005-0000-0000-00006C870000}"/>
    <cellStyle name="Normal 58 2 2 6 2" xfId="28826" xr:uid="{00000000-0005-0000-0000-00006D870000}"/>
    <cellStyle name="Normal 58 2 2 6 2 2" xfId="28827" xr:uid="{00000000-0005-0000-0000-00006E870000}"/>
    <cellStyle name="Normal 58 2 2 6 3" xfId="28828" xr:uid="{00000000-0005-0000-0000-00006F870000}"/>
    <cellStyle name="Normal 58 2 2 6 4" xfId="28829" xr:uid="{00000000-0005-0000-0000-000070870000}"/>
    <cellStyle name="Normal 58 2 2 7" xfId="28830" xr:uid="{00000000-0005-0000-0000-000071870000}"/>
    <cellStyle name="Normal 58 2 2 7 2" xfId="28831" xr:uid="{00000000-0005-0000-0000-000072870000}"/>
    <cellStyle name="Normal 58 2 2 8" xfId="28832" xr:uid="{00000000-0005-0000-0000-000073870000}"/>
    <cellStyle name="Normal 58 2 2 9" xfId="28833" xr:uid="{00000000-0005-0000-0000-000074870000}"/>
    <cellStyle name="Normal 58 2 3" xfId="28834" xr:uid="{00000000-0005-0000-0000-000075870000}"/>
    <cellStyle name="Normal 58 2 3 2" xfId="28835" xr:uid="{00000000-0005-0000-0000-000076870000}"/>
    <cellStyle name="Normal 58 2 3 2 2" xfId="28836" xr:uid="{00000000-0005-0000-0000-000077870000}"/>
    <cellStyle name="Normal 58 2 3 2 2 2" xfId="28837" xr:uid="{00000000-0005-0000-0000-000078870000}"/>
    <cellStyle name="Normal 58 2 3 2 3" xfId="28838" xr:uid="{00000000-0005-0000-0000-000079870000}"/>
    <cellStyle name="Normal 58 2 3 2 4" xfId="28839" xr:uid="{00000000-0005-0000-0000-00007A870000}"/>
    <cellStyle name="Normal 58 2 3 2 5" xfId="40225" xr:uid="{00000000-0005-0000-0000-00007B870000}"/>
    <cellStyle name="Normal 58 2 3 3" xfId="28840" xr:uid="{00000000-0005-0000-0000-00007C870000}"/>
    <cellStyle name="Normal 58 2 3 3 2" xfId="28841" xr:uid="{00000000-0005-0000-0000-00007D870000}"/>
    <cellStyle name="Normal 58 2 3 4" xfId="28842" xr:uid="{00000000-0005-0000-0000-00007E870000}"/>
    <cellStyle name="Normal 58 2 3 5" xfId="28843" xr:uid="{00000000-0005-0000-0000-00007F870000}"/>
    <cellStyle name="Normal 58 2 3 6" xfId="40224" xr:uid="{00000000-0005-0000-0000-000080870000}"/>
    <cellStyle name="Normal 58 2 4" xfId="28844" xr:uid="{00000000-0005-0000-0000-000081870000}"/>
    <cellStyle name="Normal 58 2 4 2" xfId="28845" xr:uid="{00000000-0005-0000-0000-000082870000}"/>
    <cellStyle name="Normal 58 2 4 2 2" xfId="28846" xr:uid="{00000000-0005-0000-0000-000083870000}"/>
    <cellStyle name="Normal 58 2 4 2 2 2" xfId="28847" xr:uid="{00000000-0005-0000-0000-000084870000}"/>
    <cellStyle name="Normal 58 2 4 2 3" xfId="28848" xr:uid="{00000000-0005-0000-0000-000085870000}"/>
    <cellStyle name="Normal 58 2 4 2 4" xfId="28849" xr:uid="{00000000-0005-0000-0000-000086870000}"/>
    <cellStyle name="Normal 58 2 4 2 5" xfId="40227" xr:uid="{00000000-0005-0000-0000-000087870000}"/>
    <cellStyle name="Normal 58 2 4 3" xfId="28850" xr:uid="{00000000-0005-0000-0000-000088870000}"/>
    <cellStyle name="Normal 58 2 4 3 2" xfId="28851" xr:uid="{00000000-0005-0000-0000-000089870000}"/>
    <cellStyle name="Normal 58 2 4 4" xfId="28852" xr:uid="{00000000-0005-0000-0000-00008A870000}"/>
    <cellStyle name="Normal 58 2 4 5" xfId="28853" xr:uid="{00000000-0005-0000-0000-00008B870000}"/>
    <cellStyle name="Normal 58 2 4 6" xfId="40226" xr:uid="{00000000-0005-0000-0000-00008C870000}"/>
    <cellStyle name="Normal 58 2 5" xfId="28854" xr:uid="{00000000-0005-0000-0000-00008D870000}"/>
    <cellStyle name="Normal 58 2 5 2" xfId="28855" xr:uid="{00000000-0005-0000-0000-00008E870000}"/>
    <cellStyle name="Normal 58 2 5 2 2" xfId="28856" xr:uid="{00000000-0005-0000-0000-00008F870000}"/>
    <cellStyle name="Normal 58 2 5 3" xfId="28857" xr:uid="{00000000-0005-0000-0000-000090870000}"/>
    <cellStyle name="Normal 58 2 5 4" xfId="28858" xr:uid="{00000000-0005-0000-0000-000091870000}"/>
    <cellStyle name="Normal 58 2 5 5" xfId="40228" xr:uid="{00000000-0005-0000-0000-000092870000}"/>
    <cellStyle name="Normal 58 2 6" xfId="28859" xr:uid="{00000000-0005-0000-0000-000093870000}"/>
    <cellStyle name="Normal 58 2 6 2" xfId="28860" xr:uid="{00000000-0005-0000-0000-000094870000}"/>
    <cellStyle name="Normal 58 2 6 2 2" xfId="28861" xr:uid="{00000000-0005-0000-0000-000095870000}"/>
    <cellStyle name="Normal 58 2 6 3" xfId="28862" xr:uid="{00000000-0005-0000-0000-000096870000}"/>
    <cellStyle name="Normal 58 2 6 4" xfId="28863" xr:uid="{00000000-0005-0000-0000-000097870000}"/>
    <cellStyle name="Normal 58 2 7" xfId="28864" xr:uid="{00000000-0005-0000-0000-000098870000}"/>
    <cellStyle name="Normal 58 2 7 2" xfId="28865" xr:uid="{00000000-0005-0000-0000-000099870000}"/>
    <cellStyle name="Normal 58 2 7 2 2" xfId="28866" xr:uid="{00000000-0005-0000-0000-00009A870000}"/>
    <cellStyle name="Normal 58 2 7 3" xfId="28867" xr:uid="{00000000-0005-0000-0000-00009B870000}"/>
    <cellStyle name="Normal 58 2 7 4" xfId="28868" xr:uid="{00000000-0005-0000-0000-00009C870000}"/>
    <cellStyle name="Normal 58 2 8" xfId="28869" xr:uid="{00000000-0005-0000-0000-00009D870000}"/>
    <cellStyle name="Normal 58 2 8 2" xfId="28870" xr:uid="{00000000-0005-0000-0000-00009E870000}"/>
    <cellStyle name="Normal 58 2 9" xfId="28871" xr:uid="{00000000-0005-0000-0000-00009F870000}"/>
    <cellStyle name="Normal 58 3" xfId="28872" xr:uid="{00000000-0005-0000-0000-0000A0870000}"/>
    <cellStyle name="Normal 58 3 10" xfId="35494" xr:uid="{00000000-0005-0000-0000-0000A1870000}"/>
    <cellStyle name="Normal 58 3 2" xfId="28873" xr:uid="{00000000-0005-0000-0000-0000A2870000}"/>
    <cellStyle name="Normal 58 3 2 2" xfId="28874" xr:uid="{00000000-0005-0000-0000-0000A3870000}"/>
    <cellStyle name="Normal 58 3 2 2 2" xfId="28875" xr:uid="{00000000-0005-0000-0000-0000A4870000}"/>
    <cellStyle name="Normal 58 3 2 2 2 2" xfId="28876" xr:uid="{00000000-0005-0000-0000-0000A5870000}"/>
    <cellStyle name="Normal 58 3 2 2 3" xfId="28877" xr:uid="{00000000-0005-0000-0000-0000A6870000}"/>
    <cellStyle name="Normal 58 3 2 2 4" xfId="28878" xr:uid="{00000000-0005-0000-0000-0000A7870000}"/>
    <cellStyle name="Normal 58 3 2 2 5" xfId="40230" xr:uid="{00000000-0005-0000-0000-0000A8870000}"/>
    <cellStyle name="Normal 58 3 2 3" xfId="28879" xr:uid="{00000000-0005-0000-0000-0000A9870000}"/>
    <cellStyle name="Normal 58 3 2 3 2" xfId="28880" xr:uid="{00000000-0005-0000-0000-0000AA870000}"/>
    <cellStyle name="Normal 58 3 2 4" xfId="28881" xr:uid="{00000000-0005-0000-0000-0000AB870000}"/>
    <cellStyle name="Normal 58 3 2 5" xfId="28882" xr:uid="{00000000-0005-0000-0000-0000AC870000}"/>
    <cellStyle name="Normal 58 3 2 6" xfId="40229" xr:uid="{00000000-0005-0000-0000-0000AD870000}"/>
    <cellStyle name="Normal 58 3 3" xfId="28883" xr:uid="{00000000-0005-0000-0000-0000AE870000}"/>
    <cellStyle name="Normal 58 3 3 2" xfId="28884" xr:uid="{00000000-0005-0000-0000-0000AF870000}"/>
    <cellStyle name="Normal 58 3 3 2 2" xfId="28885" xr:uid="{00000000-0005-0000-0000-0000B0870000}"/>
    <cellStyle name="Normal 58 3 3 2 2 2" xfId="28886" xr:uid="{00000000-0005-0000-0000-0000B1870000}"/>
    <cellStyle name="Normal 58 3 3 2 3" xfId="28887" xr:uid="{00000000-0005-0000-0000-0000B2870000}"/>
    <cellStyle name="Normal 58 3 3 2 4" xfId="28888" xr:uid="{00000000-0005-0000-0000-0000B3870000}"/>
    <cellStyle name="Normal 58 3 3 2 5" xfId="40232" xr:uid="{00000000-0005-0000-0000-0000B4870000}"/>
    <cellStyle name="Normal 58 3 3 3" xfId="28889" xr:uid="{00000000-0005-0000-0000-0000B5870000}"/>
    <cellStyle name="Normal 58 3 3 3 2" xfId="28890" xr:uid="{00000000-0005-0000-0000-0000B6870000}"/>
    <cellStyle name="Normal 58 3 3 4" xfId="28891" xr:uid="{00000000-0005-0000-0000-0000B7870000}"/>
    <cellStyle name="Normal 58 3 3 5" xfId="28892" xr:uid="{00000000-0005-0000-0000-0000B8870000}"/>
    <cellStyle name="Normal 58 3 3 6" xfId="40231" xr:uid="{00000000-0005-0000-0000-0000B9870000}"/>
    <cellStyle name="Normal 58 3 4" xfId="28893" xr:uid="{00000000-0005-0000-0000-0000BA870000}"/>
    <cellStyle name="Normal 58 3 4 2" xfId="28894" xr:uid="{00000000-0005-0000-0000-0000BB870000}"/>
    <cellStyle name="Normal 58 3 4 2 2" xfId="28895" xr:uid="{00000000-0005-0000-0000-0000BC870000}"/>
    <cellStyle name="Normal 58 3 4 3" xfId="28896" xr:uid="{00000000-0005-0000-0000-0000BD870000}"/>
    <cellStyle name="Normal 58 3 4 4" xfId="28897" xr:uid="{00000000-0005-0000-0000-0000BE870000}"/>
    <cellStyle name="Normal 58 3 4 5" xfId="40233" xr:uid="{00000000-0005-0000-0000-0000BF870000}"/>
    <cellStyle name="Normal 58 3 5" xfId="28898" xr:uid="{00000000-0005-0000-0000-0000C0870000}"/>
    <cellStyle name="Normal 58 3 5 2" xfId="28899" xr:uid="{00000000-0005-0000-0000-0000C1870000}"/>
    <cellStyle name="Normal 58 3 5 2 2" xfId="28900" xr:uid="{00000000-0005-0000-0000-0000C2870000}"/>
    <cellStyle name="Normal 58 3 5 3" xfId="28901" xr:uid="{00000000-0005-0000-0000-0000C3870000}"/>
    <cellStyle name="Normal 58 3 5 4" xfId="28902" xr:uid="{00000000-0005-0000-0000-0000C4870000}"/>
    <cellStyle name="Normal 58 3 6" xfId="28903" xr:uid="{00000000-0005-0000-0000-0000C5870000}"/>
    <cellStyle name="Normal 58 3 6 2" xfId="28904" xr:uid="{00000000-0005-0000-0000-0000C6870000}"/>
    <cellStyle name="Normal 58 3 6 2 2" xfId="28905" xr:uid="{00000000-0005-0000-0000-0000C7870000}"/>
    <cellStyle name="Normal 58 3 6 3" xfId="28906" xr:uid="{00000000-0005-0000-0000-0000C8870000}"/>
    <cellStyle name="Normal 58 3 6 4" xfId="28907" xr:uid="{00000000-0005-0000-0000-0000C9870000}"/>
    <cellStyle name="Normal 58 3 7" xfId="28908" xr:uid="{00000000-0005-0000-0000-0000CA870000}"/>
    <cellStyle name="Normal 58 3 7 2" xfId="28909" xr:uid="{00000000-0005-0000-0000-0000CB870000}"/>
    <cellStyle name="Normal 58 3 8" xfId="28910" xr:uid="{00000000-0005-0000-0000-0000CC870000}"/>
    <cellStyle name="Normal 58 3 9" xfId="28911" xr:uid="{00000000-0005-0000-0000-0000CD870000}"/>
    <cellStyle name="Normal 58 4" xfId="28912" xr:uid="{00000000-0005-0000-0000-0000CE870000}"/>
    <cellStyle name="Normal 58 4 2" xfId="28913" xr:uid="{00000000-0005-0000-0000-0000CF870000}"/>
    <cellStyle name="Normal 58 4 2 2" xfId="28914" xr:uid="{00000000-0005-0000-0000-0000D0870000}"/>
    <cellStyle name="Normal 58 4 2 2 2" xfId="28915" xr:uid="{00000000-0005-0000-0000-0000D1870000}"/>
    <cellStyle name="Normal 58 4 2 3" xfId="28916" xr:uid="{00000000-0005-0000-0000-0000D2870000}"/>
    <cellStyle name="Normal 58 4 2 4" xfId="28917" xr:uid="{00000000-0005-0000-0000-0000D3870000}"/>
    <cellStyle name="Normal 58 4 2 5" xfId="40235" xr:uid="{00000000-0005-0000-0000-0000D4870000}"/>
    <cellStyle name="Normal 58 4 3" xfId="28918" xr:uid="{00000000-0005-0000-0000-0000D5870000}"/>
    <cellStyle name="Normal 58 4 3 2" xfId="28919" xr:uid="{00000000-0005-0000-0000-0000D6870000}"/>
    <cellStyle name="Normal 58 4 4" xfId="28920" xr:uid="{00000000-0005-0000-0000-0000D7870000}"/>
    <cellStyle name="Normal 58 4 5" xfId="28921" xr:uid="{00000000-0005-0000-0000-0000D8870000}"/>
    <cellStyle name="Normal 58 4 6" xfId="40234" xr:uid="{00000000-0005-0000-0000-0000D9870000}"/>
    <cellStyle name="Normal 58 5" xfId="28922" xr:uid="{00000000-0005-0000-0000-0000DA870000}"/>
    <cellStyle name="Normal 58 5 2" xfId="28923" xr:uid="{00000000-0005-0000-0000-0000DB870000}"/>
    <cellStyle name="Normal 58 5 2 2" xfId="28924" xr:uid="{00000000-0005-0000-0000-0000DC870000}"/>
    <cellStyle name="Normal 58 5 2 2 2" xfId="28925" xr:uid="{00000000-0005-0000-0000-0000DD870000}"/>
    <cellStyle name="Normal 58 5 2 3" xfId="28926" xr:uid="{00000000-0005-0000-0000-0000DE870000}"/>
    <cellStyle name="Normal 58 5 2 4" xfId="28927" xr:uid="{00000000-0005-0000-0000-0000DF870000}"/>
    <cellStyle name="Normal 58 5 2 5" xfId="40237" xr:uid="{00000000-0005-0000-0000-0000E0870000}"/>
    <cellStyle name="Normal 58 5 3" xfId="28928" xr:uid="{00000000-0005-0000-0000-0000E1870000}"/>
    <cellStyle name="Normal 58 5 3 2" xfId="28929" xr:uid="{00000000-0005-0000-0000-0000E2870000}"/>
    <cellStyle name="Normal 58 5 4" xfId="28930" xr:uid="{00000000-0005-0000-0000-0000E3870000}"/>
    <cellStyle name="Normal 58 5 5" xfId="28931" xr:uid="{00000000-0005-0000-0000-0000E4870000}"/>
    <cellStyle name="Normal 58 5 6" xfId="40236" xr:uid="{00000000-0005-0000-0000-0000E5870000}"/>
    <cellStyle name="Normal 58 6" xfId="28932" xr:uid="{00000000-0005-0000-0000-0000E6870000}"/>
    <cellStyle name="Normal 58 6 2" xfId="28933" xr:uid="{00000000-0005-0000-0000-0000E7870000}"/>
    <cellStyle name="Normal 58 6 2 2" xfId="28934" xr:uid="{00000000-0005-0000-0000-0000E8870000}"/>
    <cellStyle name="Normal 58 6 3" xfId="28935" xr:uid="{00000000-0005-0000-0000-0000E9870000}"/>
    <cellStyle name="Normal 58 6 4" xfId="28936" xr:uid="{00000000-0005-0000-0000-0000EA870000}"/>
    <cellStyle name="Normal 58 6 5" xfId="40238" xr:uid="{00000000-0005-0000-0000-0000EB870000}"/>
    <cellStyle name="Normal 58 7" xfId="28937" xr:uid="{00000000-0005-0000-0000-0000EC870000}"/>
    <cellStyle name="Normal 58 7 2" xfId="28938" xr:uid="{00000000-0005-0000-0000-0000ED870000}"/>
    <cellStyle name="Normal 58 7 2 2" xfId="28939" xr:uid="{00000000-0005-0000-0000-0000EE870000}"/>
    <cellStyle name="Normal 58 7 3" xfId="28940" xr:uid="{00000000-0005-0000-0000-0000EF870000}"/>
    <cellStyle name="Normal 58 7 4" xfId="28941" xr:uid="{00000000-0005-0000-0000-0000F0870000}"/>
    <cellStyle name="Normal 58 8" xfId="28942" xr:uid="{00000000-0005-0000-0000-0000F1870000}"/>
    <cellStyle name="Normal 58 8 2" xfId="28943" xr:uid="{00000000-0005-0000-0000-0000F2870000}"/>
    <cellStyle name="Normal 58 8 2 2" xfId="28944" xr:uid="{00000000-0005-0000-0000-0000F3870000}"/>
    <cellStyle name="Normal 58 8 3" xfId="28945" xr:uid="{00000000-0005-0000-0000-0000F4870000}"/>
    <cellStyle name="Normal 58 8 4" xfId="28946" xr:uid="{00000000-0005-0000-0000-0000F5870000}"/>
    <cellStyle name="Normal 58 9" xfId="28947" xr:uid="{00000000-0005-0000-0000-0000F6870000}"/>
    <cellStyle name="Normal 58 9 2" xfId="28948" xr:uid="{00000000-0005-0000-0000-0000F7870000}"/>
    <cellStyle name="Normal 59" xfId="28949" xr:uid="{00000000-0005-0000-0000-0000F8870000}"/>
    <cellStyle name="Normal 59 2" xfId="28950" xr:uid="{00000000-0005-0000-0000-0000F9870000}"/>
    <cellStyle name="Normal 59 2 2" xfId="28951" xr:uid="{00000000-0005-0000-0000-0000FA870000}"/>
    <cellStyle name="Normal 59 3" xfId="28952" xr:uid="{00000000-0005-0000-0000-0000FB870000}"/>
    <cellStyle name="Normal 6" xfId="28953" xr:uid="{00000000-0005-0000-0000-0000FC870000}"/>
    <cellStyle name="Normal 6 10" xfId="28954" xr:uid="{00000000-0005-0000-0000-0000FD870000}"/>
    <cellStyle name="Normal 6 11" xfId="28955" xr:uid="{00000000-0005-0000-0000-0000FE870000}"/>
    <cellStyle name="Normal 6 12" xfId="34377" xr:uid="{00000000-0005-0000-0000-0000FF870000}"/>
    <cellStyle name="Normal 6 13" xfId="35495" xr:uid="{00000000-0005-0000-0000-000000880000}"/>
    <cellStyle name="Normal 6 14" xfId="41970" xr:uid="{44EB2B0B-8823-4D9A-8B99-BBCE1637F07F}"/>
    <cellStyle name="Normal 6 2" xfId="28956" xr:uid="{00000000-0005-0000-0000-000001880000}"/>
    <cellStyle name="Normal 6 2 2" xfId="28957" xr:uid="{00000000-0005-0000-0000-000002880000}"/>
    <cellStyle name="Normal 6 2 2 2" xfId="28958" xr:uid="{00000000-0005-0000-0000-000003880000}"/>
    <cellStyle name="Normal 6 2 2 2 2" xfId="28959" xr:uid="{00000000-0005-0000-0000-000004880000}"/>
    <cellStyle name="Normal 6 2 2 2 2 2" xfId="28960" xr:uid="{00000000-0005-0000-0000-000005880000}"/>
    <cellStyle name="Normal 6 2 2 2 3" xfId="28961" xr:uid="{00000000-0005-0000-0000-000006880000}"/>
    <cellStyle name="Normal 6 2 2 2 4" xfId="28962" xr:uid="{00000000-0005-0000-0000-000007880000}"/>
    <cellStyle name="Normal 6 2 2 2 5" xfId="40239" xr:uid="{00000000-0005-0000-0000-000008880000}"/>
    <cellStyle name="Normal 6 2 2 3" xfId="41971" xr:uid="{670F6F20-4D13-4419-9638-092041D47319}"/>
    <cellStyle name="Normal 6 2 3" xfId="28963" xr:uid="{00000000-0005-0000-0000-000009880000}"/>
    <cellStyle name="Normal 6 2 3 2" xfId="28964" xr:uid="{00000000-0005-0000-0000-00000A880000}"/>
    <cellStyle name="Normal 6 2 3 2 2" xfId="28965" xr:uid="{00000000-0005-0000-0000-00000B880000}"/>
    <cellStyle name="Normal 6 2 3 3" xfId="28966" xr:uid="{00000000-0005-0000-0000-00000C880000}"/>
    <cellStyle name="Normal 6 2 3 4" xfId="28967" xr:uid="{00000000-0005-0000-0000-00000D880000}"/>
    <cellStyle name="Normal 6 2 3 5" xfId="40240" xr:uid="{00000000-0005-0000-0000-00000E880000}"/>
    <cellStyle name="Normal 6 2 4" xfId="28968" xr:uid="{00000000-0005-0000-0000-00000F880000}"/>
    <cellStyle name="Normal 6 2 4 2" xfId="40242" xr:uid="{00000000-0005-0000-0000-000010880000}"/>
    <cellStyle name="Normal 6 2 4 3" xfId="40241" xr:uid="{00000000-0005-0000-0000-000011880000}"/>
    <cellStyle name="Normal 6 2 5" xfId="28969" xr:uid="{00000000-0005-0000-0000-000012880000}"/>
    <cellStyle name="Normal 6 2 6" xfId="35496" xr:uid="{00000000-0005-0000-0000-000013880000}"/>
    <cellStyle name="Normal 6 3" xfId="28970" xr:uid="{00000000-0005-0000-0000-000014880000}"/>
    <cellStyle name="Normal 6 3 2" xfId="28971" xr:uid="{00000000-0005-0000-0000-000015880000}"/>
    <cellStyle name="Normal 6 3 2 2" xfId="28972" xr:uid="{00000000-0005-0000-0000-000016880000}"/>
    <cellStyle name="Normal 6 3 2 2 2" xfId="28973" xr:uid="{00000000-0005-0000-0000-000017880000}"/>
    <cellStyle name="Normal 6 3 2 2 2 2" xfId="28974" xr:uid="{00000000-0005-0000-0000-000018880000}"/>
    <cellStyle name="Normal 6 3 2 2 3" xfId="28975" xr:uid="{00000000-0005-0000-0000-000019880000}"/>
    <cellStyle name="Normal 6 3 2 2 4" xfId="28976" xr:uid="{00000000-0005-0000-0000-00001A880000}"/>
    <cellStyle name="Normal 6 3 2 2 5" xfId="40244" xr:uid="{00000000-0005-0000-0000-00001B880000}"/>
    <cellStyle name="Normal 6 3 2 3" xfId="28977" xr:uid="{00000000-0005-0000-0000-00001C880000}"/>
    <cellStyle name="Normal 6 3 2 3 2" xfId="28978" xr:uid="{00000000-0005-0000-0000-00001D880000}"/>
    <cellStyle name="Normal 6 3 2 3 2 2" xfId="28979" xr:uid="{00000000-0005-0000-0000-00001E880000}"/>
    <cellStyle name="Normal 6 3 2 3 3" xfId="28980" xr:uid="{00000000-0005-0000-0000-00001F880000}"/>
    <cellStyle name="Normal 6 3 2 3 4" xfId="28981" xr:uid="{00000000-0005-0000-0000-000020880000}"/>
    <cellStyle name="Normal 6 3 2 4" xfId="28982" xr:uid="{00000000-0005-0000-0000-000021880000}"/>
    <cellStyle name="Normal 6 3 2 4 2" xfId="28983" xr:uid="{00000000-0005-0000-0000-000022880000}"/>
    <cellStyle name="Normal 6 3 2 5" xfId="28984" xr:uid="{00000000-0005-0000-0000-000023880000}"/>
    <cellStyle name="Normal 6 3 2 6" xfId="28985" xr:uid="{00000000-0005-0000-0000-000024880000}"/>
    <cellStyle name="Normal 6 3 2 7" xfId="40243" xr:uid="{00000000-0005-0000-0000-000025880000}"/>
    <cellStyle name="Normal 6 3 3" xfId="28986" xr:uid="{00000000-0005-0000-0000-000026880000}"/>
    <cellStyle name="Normal 6 3 3 2" xfId="28987" xr:uid="{00000000-0005-0000-0000-000027880000}"/>
    <cellStyle name="Normal 6 3 3 2 2" xfId="28988" xr:uid="{00000000-0005-0000-0000-000028880000}"/>
    <cellStyle name="Normal 6 3 3 2 2 2" xfId="28989" xr:uid="{00000000-0005-0000-0000-000029880000}"/>
    <cellStyle name="Normal 6 3 3 2 3" xfId="28990" xr:uid="{00000000-0005-0000-0000-00002A880000}"/>
    <cellStyle name="Normal 6 3 3 2 4" xfId="28991" xr:uid="{00000000-0005-0000-0000-00002B880000}"/>
    <cellStyle name="Normal 6 3 3 2 5" xfId="40246" xr:uid="{00000000-0005-0000-0000-00002C880000}"/>
    <cellStyle name="Normal 6 3 3 3" xfId="28992" xr:uid="{00000000-0005-0000-0000-00002D880000}"/>
    <cellStyle name="Normal 6 3 3 3 2" xfId="28993" xr:uid="{00000000-0005-0000-0000-00002E880000}"/>
    <cellStyle name="Normal 6 3 3 3 2 2" xfId="28994" xr:uid="{00000000-0005-0000-0000-00002F880000}"/>
    <cellStyle name="Normal 6 3 3 3 3" xfId="28995" xr:uid="{00000000-0005-0000-0000-000030880000}"/>
    <cellStyle name="Normal 6 3 3 3 4" xfId="28996" xr:uid="{00000000-0005-0000-0000-000031880000}"/>
    <cellStyle name="Normal 6 3 3 4" xfId="28997" xr:uid="{00000000-0005-0000-0000-000032880000}"/>
    <cellStyle name="Normal 6 3 3 4 2" xfId="28998" xr:uid="{00000000-0005-0000-0000-000033880000}"/>
    <cellStyle name="Normal 6 3 3 5" xfId="28999" xr:uid="{00000000-0005-0000-0000-000034880000}"/>
    <cellStyle name="Normal 6 3 3 6" xfId="29000" xr:uid="{00000000-0005-0000-0000-000035880000}"/>
    <cellStyle name="Normal 6 3 3 7" xfId="40245" xr:uid="{00000000-0005-0000-0000-000036880000}"/>
    <cellStyle name="Normal 6 3 4" xfId="29001" xr:uid="{00000000-0005-0000-0000-000037880000}"/>
    <cellStyle name="Normal 6 3 4 2" xfId="29002" xr:uid="{00000000-0005-0000-0000-000038880000}"/>
    <cellStyle name="Normal 6 3 4 2 2" xfId="29003" xr:uid="{00000000-0005-0000-0000-000039880000}"/>
    <cellStyle name="Normal 6 3 4 3" xfId="29004" xr:uid="{00000000-0005-0000-0000-00003A880000}"/>
    <cellStyle name="Normal 6 3 4 4" xfId="29005" xr:uid="{00000000-0005-0000-0000-00003B880000}"/>
    <cellStyle name="Normal 6 3 4 5" xfId="40247" xr:uid="{00000000-0005-0000-0000-00003C880000}"/>
    <cellStyle name="Normal 6 3 5" xfId="29006" xr:uid="{00000000-0005-0000-0000-00003D880000}"/>
    <cellStyle name="Normal 6 3 5 2" xfId="29007" xr:uid="{00000000-0005-0000-0000-00003E880000}"/>
    <cellStyle name="Normal 6 3 5 2 2" xfId="29008" xr:uid="{00000000-0005-0000-0000-00003F880000}"/>
    <cellStyle name="Normal 6 3 5 3" xfId="29009" xr:uid="{00000000-0005-0000-0000-000040880000}"/>
    <cellStyle name="Normal 6 3 5 4" xfId="29010" xr:uid="{00000000-0005-0000-0000-000041880000}"/>
    <cellStyle name="Normal 6 3 6" xfId="29011" xr:uid="{00000000-0005-0000-0000-000042880000}"/>
    <cellStyle name="Normal 6 3 6 2" xfId="29012" xr:uid="{00000000-0005-0000-0000-000043880000}"/>
    <cellStyle name="Normal 6 3 7" xfId="29013" xr:uid="{00000000-0005-0000-0000-000044880000}"/>
    <cellStyle name="Normal 6 3 8" xfId="29014" xr:uid="{00000000-0005-0000-0000-000045880000}"/>
    <cellStyle name="Normal 6 3 9" xfId="35497" xr:uid="{00000000-0005-0000-0000-000046880000}"/>
    <cellStyle name="Normal 6 4" xfId="29015" xr:uid="{00000000-0005-0000-0000-000047880000}"/>
    <cellStyle name="Normal 6 4 2" xfId="29016" xr:uid="{00000000-0005-0000-0000-000048880000}"/>
    <cellStyle name="Normal 6 4 2 2" xfId="29017" xr:uid="{00000000-0005-0000-0000-000049880000}"/>
    <cellStyle name="Normal 6 4 2 2 2" xfId="29018" xr:uid="{00000000-0005-0000-0000-00004A880000}"/>
    <cellStyle name="Normal 6 4 2 3" xfId="29019" xr:uid="{00000000-0005-0000-0000-00004B880000}"/>
    <cellStyle name="Normal 6 4 2 4" xfId="29020" xr:uid="{00000000-0005-0000-0000-00004C880000}"/>
    <cellStyle name="Normal 6 4 2 5" xfId="40248" xr:uid="{00000000-0005-0000-0000-00004D880000}"/>
    <cellStyle name="Normal 6 4 3" xfId="29021" xr:uid="{00000000-0005-0000-0000-00004E880000}"/>
    <cellStyle name="Normal 6 4 3 2" xfId="29022" xr:uid="{00000000-0005-0000-0000-00004F880000}"/>
    <cellStyle name="Normal 6 4 3 2 2" xfId="29023" xr:uid="{00000000-0005-0000-0000-000050880000}"/>
    <cellStyle name="Normal 6 4 3 3" xfId="29024" xr:uid="{00000000-0005-0000-0000-000051880000}"/>
    <cellStyle name="Normal 6 4 3 4" xfId="29025" xr:uid="{00000000-0005-0000-0000-000052880000}"/>
    <cellStyle name="Normal 6 4 3 5" xfId="40249" xr:uid="{00000000-0005-0000-0000-000053880000}"/>
    <cellStyle name="Normal 6 5" xfId="29026" xr:uid="{00000000-0005-0000-0000-000054880000}"/>
    <cellStyle name="Normal 6 5 2" xfId="29027" xr:uid="{00000000-0005-0000-0000-000055880000}"/>
    <cellStyle name="Normal 6 5 2 2" xfId="29028" xr:uid="{00000000-0005-0000-0000-000056880000}"/>
    <cellStyle name="Normal 6 5 2 2 2" xfId="29029" xr:uid="{00000000-0005-0000-0000-000057880000}"/>
    <cellStyle name="Normal 6 5 2 2 2 2" xfId="29030" xr:uid="{00000000-0005-0000-0000-000058880000}"/>
    <cellStyle name="Normal 6 5 2 2 3" xfId="29031" xr:uid="{00000000-0005-0000-0000-000059880000}"/>
    <cellStyle name="Normal 6 5 2 2 4" xfId="29032" xr:uid="{00000000-0005-0000-0000-00005A880000}"/>
    <cellStyle name="Normal 6 5 2 3" xfId="29033" xr:uid="{00000000-0005-0000-0000-00005B880000}"/>
    <cellStyle name="Normal 6 5 2 3 2" xfId="29034" xr:uid="{00000000-0005-0000-0000-00005C880000}"/>
    <cellStyle name="Normal 6 5 2 4" xfId="29035" xr:uid="{00000000-0005-0000-0000-00005D880000}"/>
    <cellStyle name="Normal 6 5 2 5" xfId="29036" xr:uid="{00000000-0005-0000-0000-00005E880000}"/>
    <cellStyle name="Normal 6 5 2 6" xfId="40251" xr:uid="{00000000-0005-0000-0000-00005F880000}"/>
    <cellStyle name="Normal 6 5 3" xfId="29037" xr:uid="{00000000-0005-0000-0000-000060880000}"/>
    <cellStyle name="Normal 6 5 4" xfId="29038" xr:uid="{00000000-0005-0000-0000-000061880000}"/>
    <cellStyle name="Normal 6 5 4 2" xfId="29039" xr:uid="{00000000-0005-0000-0000-000062880000}"/>
    <cellStyle name="Normal 6 5 5" xfId="29040" xr:uid="{00000000-0005-0000-0000-000063880000}"/>
    <cellStyle name="Normal 6 5 6" xfId="29041" xr:uid="{00000000-0005-0000-0000-000064880000}"/>
    <cellStyle name="Normal 6 5 7" xfId="40250" xr:uid="{00000000-0005-0000-0000-000065880000}"/>
    <cellStyle name="Normal 6 6" xfId="29042" xr:uid="{00000000-0005-0000-0000-000066880000}"/>
    <cellStyle name="Normal 6 6 2" xfId="29043" xr:uid="{00000000-0005-0000-0000-000067880000}"/>
    <cellStyle name="Normal 6 6 2 2" xfId="29044" xr:uid="{00000000-0005-0000-0000-000068880000}"/>
    <cellStyle name="Normal 6 6 2 2 2" xfId="29045" xr:uid="{00000000-0005-0000-0000-000069880000}"/>
    <cellStyle name="Normal 6 6 2 3" xfId="29046" xr:uid="{00000000-0005-0000-0000-00006A880000}"/>
    <cellStyle name="Normal 6 6 2 4" xfId="29047" xr:uid="{00000000-0005-0000-0000-00006B880000}"/>
    <cellStyle name="Normal 6 6 3" xfId="29048" xr:uid="{00000000-0005-0000-0000-00006C880000}"/>
    <cellStyle name="Normal 6 6 3 2" xfId="29049" xr:uid="{00000000-0005-0000-0000-00006D880000}"/>
    <cellStyle name="Normal 6 6 4" xfId="29050" xr:uid="{00000000-0005-0000-0000-00006E880000}"/>
    <cellStyle name="Normal 6 6 5" xfId="29051" xr:uid="{00000000-0005-0000-0000-00006F880000}"/>
    <cellStyle name="Normal 6 6 6" xfId="40252" xr:uid="{00000000-0005-0000-0000-000070880000}"/>
    <cellStyle name="Normal 6 7" xfId="29052" xr:uid="{00000000-0005-0000-0000-000071880000}"/>
    <cellStyle name="Normal 6 7 2" xfId="40254" xr:uid="{00000000-0005-0000-0000-000072880000}"/>
    <cellStyle name="Normal 6 7 3" xfId="40253" xr:uid="{00000000-0005-0000-0000-000073880000}"/>
    <cellStyle name="Normal 6 8" xfId="29053" xr:uid="{00000000-0005-0000-0000-000074880000}"/>
    <cellStyle name="Normal 6 9" xfId="29054" xr:uid="{00000000-0005-0000-0000-000075880000}"/>
    <cellStyle name="Normal 6 9 2" xfId="29055" xr:uid="{00000000-0005-0000-0000-000076880000}"/>
    <cellStyle name="Normal 60" xfId="29056" xr:uid="{00000000-0005-0000-0000-000077880000}"/>
    <cellStyle name="Normal 60 2" xfId="29057" xr:uid="{00000000-0005-0000-0000-000078880000}"/>
    <cellStyle name="Normal 60 2 2" xfId="29058" xr:uid="{00000000-0005-0000-0000-000079880000}"/>
    <cellStyle name="Normal 60 3" xfId="29059" xr:uid="{00000000-0005-0000-0000-00007A880000}"/>
    <cellStyle name="Normal 61" xfId="29060" xr:uid="{00000000-0005-0000-0000-00007B880000}"/>
    <cellStyle name="Normal 61 2" xfId="29061" xr:uid="{00000000-0005-0000-0000-00007C880000}"/>
    <cellStyle name="Normal 61 2 2" xfId="29062" xr:uid="{00000000-0005-0000-0000-00007D880000}"/>
    <cellStyle name="Normal 61 3" xfId="29063" xr:uid="{00000000-0005-0000-0000-00007E880000}"/>
    <cellStyle name="Normal 62" xfId="29064" xr:uid="{00000000-0005-0000-0000-00007F880000}"/>
    <cellStyle name="Normal 62 2" xfId="29065" xr:uid="{00000000-0005-0000-0000-000080880000}"/>
    <cellStyle name="Normal 62 2 2" xfId="29066" xr:uid="{00000000-0005-0000-0000-000081880000}"/>
    <cellStyle name="Normal 62 3" xfId="29067" xr:uid="{00000000-0005-0000-0000-000082880000}"/>
    <cellStyle name="Normal 63" xfId="29068" xr:uid="{00000000-0005-0000-0000-000083880000}"/>
    <cellStyle name="Normal 63 2" xfId="29069" xr:uid="{00000000-0005-0000-0000-000084880000}"/>
    <cellStyle name="Normal 63 3" xfId="29070" xr:uid="{00000000-0005-0000-0000-000085880000}"/>
    <cellStyle name="Normal 63 3 2" xfId="29071" xr:uid="{00000000-0005-0000-0000-000086880000}"/>
    <cellStyle name="Normal 63 4" xfId="29072" xr:uid="{00000000-0005-0000-0000-000087880000}"/>
    <cellStyle name="Normal 64" xfId="29073" xr:uid="{00000000-0005-0000-0000-000088880000}"/>
    <cellStyle name="Normal 64 2" xfId="29074" xr:uid="{00000000-0005-0000-0000-000089880000}"/>
    <cellStyle name="Normal 64 2 2" xfId="29075" xr:uid="{00000000-0005-0000-0000-00008A880000}"/>
    <cellStyle name="Normal 64 3" xfId="29076" xr:uid="{00000000-0005-0000-0000-00008B880000}"/>
    <cellStyle name="Normal 65" xfId="29077" xr:uid="{00000000-0005-0000-0000-00008C880000}"/>
    <cellStyle name="Normal 65 2" xfId="29078" xr:uid="{00000000-0005-0000-0000-00008D880000}"/>
    <cellStyle name="Normal 65 2 2" xfId="29079" xr:uid="{00000000-0005-0000-0000-00008E880000}"/>
    <cellStyle name="Normal 65 3" xfId="29080" xr:uid="{00000000-0005-0000-0000-00008F880000}"/>
    <cellStyle name="Normal 66" xfId="29081" xr:uid="{00000000-0005-0000-0000-000090880000}"/>
    <cellStyle name="Normal 66 2" xfId="29082" xr:uid="{00000000-0005-0000-0000-000091880000}"/>
    <cellStyle name="Normal 66 2 2" xfId="29083" xr:uid="{00000000-0005-0000-0000-000092880000}"/>
    <cellStyle name="Normal 66 3" xfId="29084" xr:uid="{00000000-0005-0000-0000-000093880000}"/>
    <cellStyle name="Normal 67" xfId="29085" xr:uid="{00000000-0005-0000-0000-000094880000}"/>
    <cellStyle name="Normal 67 2" xfId="29086" xr:uid="{00000000-0005-0000-0000-000095880000}"/>
    <cellStyle name="Normal 68" xfId="29087" xr:uid="{00000000-0005-0000-0000-000096880000}"/>
    <cellStyle name="Normal 68 2" xfId="29088" xr:uid="{00000000-0005-0000-0000-000097880000}"/>
    <cellStyle name="Normal 69" xfId="29089" xr:uid="{00000000-0005-0000-0000-000098880000}"/>
    <cellStyle name="Normal 69 2" xfId="29090" xr:uid="{00000000-0005-0000-0000-000099880000}"/>
    <cellStyle name="Normal 7" xfId="29091" xr:uid="{00000000-0005-0000-0000-00009A880000}"/>
    <cellStyle name="Normal 7 2" xfId="29092" xr:uid="{00000000-0005-0000-0000-00009B880000}"/>
    <cellStyle name="Normal 7 2 2" xfId="29093" xr:uid="{00000000-0005-0000-0000-00009C880000}"/>
    <cellStyle name="Normal 7 2 2 2" xfId="29094" xr:uid="{00000000-0005-0000-0000-00009D880000}"/>
    <cellStyle name="Normal 7 2 2 2 2" xfId="29095" xr:uid="{00000000-0005-0000-0000-00009E880000}"/>
    <cellStyle name="Normal 7 2 2 2 2 2" xfId="29096" xr:uid="{00000000-0005-0000-0000-00009F880000}"/>
    <cellStyle name="Normal 7 2 2 2 3" xfId="29097" xr:uid="{00000000-0005-0000-0000-0000A0880000}"/>
    <cellStyle name="Normal 7 2 2 2 4" xfId="29098" xr:uid="{00000000-0005-0000-0000-0000A1880000}"/>
    <cellStyle name="Normal 7 2 2 2 5" xfId="40255" xr:uid="{00000000-0005-0000-0000-0000A2880000}"/>
    <cellStyle name="Normal 7 2 2 2 6" xfId="42172" xr:uid="{B9C0F31E-D37F-437D-A8F2-E3B3836A038F}"/>
    <cellStyle name="Normal 7 2 2 3" xfId="42103" xr:uid="{F4673344-69FC-4DDC-9CBD-15478DE8E3C5}"/>
    <cellStyle name="Normal 7 2 2 4" xfId="42031" xr:uid="{3F4A92BB-882F-4A0F-BE8B-4C1CD4BB9897}"/>
    <cellStyle name="Normal 7 2 3" xfId="29099" xr:uid="{00000000-0005-0000-0000-0000A3880000}"/>
    <cellStyle name="Normal 7 2 3 2" xfId="29100" xr:uid="{00000000-0005-0000-0000-0000A4880000}"/>
    <cellStyle name="Normal 7 2 3 2 2" xfId="29101" xr:uid="{00000000-0005-0000-0000-0000A5880000}"/>
    <cellStyle name="Normal 7 2 3 2 2 2" xfId="29102" xr:uid="{00000000-0005-0000-0000-0000A6880000}"/>
    <cellStyle name="Normal 7 2 3 2 3" xfId="29103" xr:uid="{00000000-0005-0000-0000-0000A7880000}"/>
    <cellStyle name="Normal 7 2 3 2 4" xfId="29104" xr:uid="{00000000-0005-0000-0000-0000A8880000}"/>
    <cellStyle name="Normal 7 2 3 2 5" xfId="40256" xr:uid="{00000000-0005-0000-0000-0000A9880000}"/>
    <cellStyle name="Normal 7 2 3 3" xfId="42131" xr:uid="{E0DD715B-DAD5-42D1-83C1-7D0F06FD768D}"/>
    <cellStyle name="Normal 7 2 4" xfId="29105" xr:uid="{00000000-0005-0000-0000-0000AA880000}"/>
    <cellStyle name="Normal 7 2 4 2" xfId="42084" xr:uid="{6B7BB8BC-CC6E-4521-9370-5E31D085947A}"/>
    <cellStyle name="Normal 7 2 5" xfId="35499" xr:uid="{00000000-0005-0000-0000-0000AB880000}"/>
    <cellStyle name="Normal 7 2 6" xfId="41972" xr:uid="{0883592E-9AB5-4638-ACED-37F5F0CD1C00}"/>
    <cellStyle name="Normal 7 3" xfId="29106" xr:uid="{00000000-0005-0000-0000-0000AC880000}"/>
    <cellStyle name="Normal 7 3 2" xfId="29107" xr:uid="{00000000-0005-0000-0000-0000AD880000}"/>
    <cellStyle name="Normal 7 3 2 2" xfId="29108" xr:uid="{00000000-0005-0000-0000-0000AE880000}"/>
    <cellStyle name="Normal 7 3 2 2 2" xfId="29109" xr:uid="{00000000-0005-0000-0000-0000AF880000}"/>
    <cellStyle name="Normal 7 3 2 3" xfId="29110" xr:uid="{00000000-0005-0000-0000-0000B0880000}"/>
    <cellStyle name="Normal 7 3 2 4" xfId="29111" xr:uid="{00000000-0005-0000-0000-0000B1880000}"/>
    <cellStyle name="Normal 7 3 2 5" xfId="40257" xr:uid="{00000000-0005-0000-0000-0000B2880000}"/>
    <cellStyle name="Normal 7 3 3" xfId="29112" xr:uid="{00000000-0005-0000-0000-0000B3880000}"/>
    <cellStyle name="Normal 7 3 3 2" xfId="29113" xr:uid="{00000000-0005-0000-0000-0000B4880000}"/>
    <cellStyle name="Normal 7 3 3 2 2" xfId="29114" xr:uid="{00000000-0005-0000-0000-0000B5880000}"/>
    <cellStyle name="Normal 7 3 3 2 3" xfId="40259" xr:uid="{00000000-0005-0000-0000-0000B6880000}"/>
    <cellStyle name="Normal 7 3 3 3" xfId="29115" xr:uid="{00000000-0005-0000-0000-0000B7880000}"/>
    <cellStyle name="Normal 7 3 3 4" xfId="29116" xr:uid="{00000000-0005-0000-0000-0000B8880000}"/>
    <cellStyle name="Normal 7 3 3 5" xfId="40258" xr:uid="{00000000-0005-0000-0000-0000B9880000}"/>
    <cellStyle name="Normal 7 3 4" xfId="29117" xr:uid="{00000000-0005-0000-0000-0000BA880000}"/>
    <cellStyle name="Normal 7 3 5" xfId="42348" xr:uid="{173AC586-2BC6-4B04-9C00-7A4E408D69AA}"/>
    <cellStyle name="Normal 7 4" xfId="29118" xr:uid="{00000000-0005-0000-0000-0000BB880000}"/>
    <cellStyle name="Normal 7 4 2" xfId="29119" xr:uid="{00000000-0005-0000-0000-0000BC880000}"/>
    <cellStyle name="Normal 7 4 2 2" xfId="29120" xr:uid="{00000000-0005-0000-0000-0000BD880000}"/>
    <cellStyle name="Normal 7 4 2 2 2" xfId="29121" xr:uid="{00000000-0005-0000-0000-0000BE880000}"/>
    <cellStyle name="Normal 7 4 2 3" xfId="29122" xr:uid="{00000000-0005-0000-0000-0000BF880000}"/>
    <cellStyle name="Normal 7 4 2 4" xfId="29123" xr:uid="{00000000-0005-0000-0000-0000C0880000}"/>
    <cellStyle name="Normal 7 4 2 5" xfId="40260" xr:uid="{00000000-0005-0000-0000-0000C1880000}"/>
    <cellStyle name="Normal 7 4 3" xfId="29124" xr:uid="{00000000-0005-0000-0000-0000C2880000}"/>
    <cellStyle name="Normal 7 4 3 2" xfId="29125" xr:uid="{00000000-0005-0000-0000-0000C3880000}"/>
    <cellStyle name="Normal 7 4 3 2 2" xfId="29126" xr:uid="{00000000-0005-0000-0000-0000C4880000}"/>
    <cellStyle name="Normal 7 4 3 3" xfId="29127" xr:uid="{00000000-0005-0000-0000-0000C5880000}"/>
    <cellStyle name="Normal 7 4 3 4" xfId="29128" xr:uid="{00000000-0005-0000-0000-0000C6880000}"/>
    <cellStyle name="Normal 7 4 3 5" xfId="40261" xr:uid="{00000000-0005-0000-0000-0000C7880000}"/>
    <cellStyle name="Normal 7 4 4" xfId="29129" xr:uid="{00000000-0005-0000-0000-0000C8880000}"/>
    <cellStyle name="Normal 7 4 4 2" xfId="29130" xr:uid="{00000000-0005-0000-0000-0000C9880000}"/>
    <cellStyle name="Normal 7 4 4 2 2" xfId="29131" xr:uid="{00000000-0005-0000-0000-0000CA880000}"/>
    <cellStyle name="Normal 7 4 4 3" xfId="29132" xr:uid="{00000000-0005-0000-0000-0000CB880000}"/>
    <cellStyle name="Normal 7 4 4 4" xfId="29133" xr:uid="{00000000-0005-0000-0000-0000CC880000}"/>
    <cellStyle name="Normal 7 5" xfId="29134" xr:uid="{00000000-0005-0000-0000-0000CD880000}"/>
    <cellStyle name="Normal 7 5 2" xfId="29135" xr:uid="{00000000-0005-0000-0000-0000CE880000}"/>
    <cellStyle name="Normal 7 5 2 2" xfId="29136" xr:uid="{00000000-0005-0000-0000-0000CF880000}"/>
    <cellStyle name="Normal 7 5 2 2 2" xfId="29137" xr:uid="{00000000-0005-0000-0000-0000D0880000}"/>
    <cellStyle name="Normal 7 5 2 3" xfId="29138" xr:uid="{00000000-0005-0000-0000-0000D1880000}"/>
    <cellStyle name="Normal 7 5 2 4" xfId="29139" xr:uid="{00000000-0005-0000-0000-0000D2880000}"/>
    <cellStyle name="Normal 7 5 2 5" xfId="40262" xr:uid="{00000000-0005-0000-0000-0000D3880000}"/>
    <cellStyle name="Normal 7 6" xfId="29140" xr:uid="{00000000-0005-0000-0000-0000D4880000}"/>
    <cellStyle name="Normal 7 6 2" xfId="29141" xr:uid="{00000000-0005-0000-0000-0000D5880000}"/>
    <cellStyle name="Normal 7 6 2 2" xfId="29142" xr:uid="{00000000-0005-0000-0000-0000D6880000}"/>
    <cellStyle name="Normal 7 6 2 3" xfId="40264" xr:uid="{00000000-0005-0000-0000-0000D7880000}"/>
    <cellStyle name="Normal 7 6 3" xfId="29143" xr:uid="{00000000-0005-0000-0000-0000D8880000}"/>
    <cellStyle name="Normal 7 6 4" xfId="29144" xr:uid="{00000000-0005-0000-0000-0000D9880000}"/>
    <cellStyle name="Normal 7 6 5" xfId="40263" xr:uid="{00000000-0005-0000-0000-0000DA880000}"/>
    <cellStyle name="Normal 7 7" xfId="29145" xr:uid="{00000000-0005-0000-0000-0000DB880000}"/>
    <cellStyle name="Normal 7 8" xfId="29146" xr:uid="{00000000-0005-0000-0000-0000DC880000}"/>
    <cellStyle name="Normal 7 9" xfId="35498" xr:uid="{00000000-0005-0000-0000-0000DD880000}"/>
    <cellStyle name="Normal 70" xfId="7" xr:uid="{00000000-0005-0000-0000-0000DE880000}"/>
    <cellStyle name="Normal 70 2" xfId="29147" xr:uid="{00000000-0005-0000-0000-0000DF880000}"/>
    <cellStyle name="Normal 71" xfId="12" xr:uid="{00000000-0005-0000-0000-0000E0880000}"/>
    <cellStyle name="Normal 71 2" xfId="29148" xr:uid="{00000000-0005-0000-0000-0000E1880000}"/>
    <cellStyle name="Normal 72" xfId="9" xr:uid="{00000000-0005-0000-0000-0000E2880000}"/>
    <cellStyle name="Normal 72 2" xfId="29149" xr:uid="{00000000-0005-0000-0000-0000E3880000}"/>
    <cellStyle name="Normal 73" xfId="11" xr:uid="{00000000-0005-0000-0000-0000E4880000}"/>
    <cellStyle name="Normal 73 2" xfId="29150" xr:uid="{00000000-0005-0000-0000-0000E5880000}"/>
    <cellStyle name="Normal 74" xfId="13" xr:uid="{00000000-0005-0000-0000-0000E6880000}"/>
    <cellStyle name="Normal 74 2" xfId="29151" xr:uid="{00000000-0005-0000-0000-0000E7880000}"/>
    <cellStyle name="Normal 75" xfId="17" xr:uid="{00000000-0005-0000-0000-0000E8880000}"/>
    <cellStyle name="Normal 75 2" xfId="29152" xr:uid="{00000000-0005-0000-0000-0000E9880000}"/>
    <cellStyle name="Normal 76" xfId="29153" xr:uid="{00000000-0005-0000-0000-0000EA880000}"/>
    <cellStyle name="Normal 76 2" xfId="29154" xr:uid="{00000000-0005-0000-0000-0000EB880000}"/>
    <cellStyle name="Normal 77" xfId="29155" xr:uid="{00000000-0005-0000-0000-0000EC880000}"/>
    <cellStyle name="Normal 77 2" xfId="29156" xr:uid="{00000000-0005-0000-0000-0000ED880000}"/>
    <cellStyle name="Normal 78" xfId="29157" xr:uid="{00000000-0005-0000-0000-0000EE880000}"/>
    <cellStyle name="Normal 78 2" xfId="29158" xr:uid="{00000000-0005-0000-0000-0000EF880000}"/>
    <cellStyle name="Normal 79" xfId="29159" xr:uid="{00000000-0005-0000-0000-0000F0880000}"/>
    <cellStyle name="Normal 79 2" xfId="29160" xr:uid="{00000000-0005-0000-0000-0000F1880000}"/>
    <cellStyle name="Normal 8" xfId="29161" xr:uid="{00000000-0005-0000-0000-0000F2880000}"/>
    <cellStyle name="Normal 8 2" xfId="29162" xr:uid="{00000000-0005-0000-0000-0000F3880000}"/>
    <cellStyle name="Normal 8 2 2" xfId="29163" xr:uid="{00000000-0005-0000-0000-0000F4880000}"/>
    <cellStyle name="Normal 8 2 2 2" xfId="29164" xr:uid="{00000000-0005-0000-0000-0000F5880000}"/>
    <cellStyle name="Normal 8 2 2 2 2" xfId="29165" xr:uid="{00000000-0005-0000-0000-0000F6880000}"/>
    <cellStyle name="Normal 8 2 2 3" xfId="29166" xr:uid="{00000000-0005-0000-0000-0000F7880000}"/>
    <cellStyle name="Normal 8 2 2 4" xfId="29167" xr:uid="{00000000-0005-0000-0000-0000F8880000}"/>
    <cellStyle name="Normal 8 2 2 5" xfId="40265" xr:uid="{00000000-0005-0000-0000-0000F9880000}"/>
    <cellStyle name="Normal 8 2 2 6" xfId="42080" xr:uid="{592E14A3-711E-42B2-B1B2-1BFA3F917782}"/>
    <cellStyle name="Normal 8 2 3" xfId="29168" xr:uid="{00000000-0005-0000-0000-0000FA880000}"/>
    <cellStyle name="Normal 8 2 3 2" xfId="29169" xr:uid="{00000000-0005-0000-0000-0000FB880000}"/>
    <cellStyle name="Normal 8 2 3 2 2" xfId="29170" xr:uid="{00000000-0005-0000-0000-0000FC880000}"/>
    <cellStyle name="Normal 8 2 3 2 3" xfId="42166" xr:uid="{E3CB52F6-806A-4471-AC64-6316174E6C1B}"/>
    <cellStyle name="Normal 8 2 3 3" xfId="29171" xr:uid="{00000000-0005-0000-0000-0000FD880000}"/>
    <cellStyle name="Normal 8 2 3 3 2" xfId="42097" xr:uid="{360535EA-8950-4D4C-996E-56E3FADA5756}"/>
    <cellStyle name="Normal 8 2 3 4" xfId="29172" xr:uid="{00000000-0005-0000-0000-0000FE880000}"/>
    <cellStyle name="Normal 8 2 3 5" xfId="40266" xr:uid="{00000000-0005-0000-0000-0000FF880000}"/>
    <cellStyle name="Normal 8 2 3 6" xfId="42023" xr:uid="{7AC8E440-F97E-4E95-A51B-DD37379DF043}"/>
    <cellStyle name="Normal 8 2 4" xfId="29173" xr:uid="{00000000-0005-0000-0000-000000890000}"/>
    <cellStyle name="Normal 8 2 4 2" xfId="29174" xr:uid="{00000000-0005-0000-0000-000001890000}"/>
    <cellStyle name="Normal 8 2 4 2 2" xfId="29175" xr:uid="{00000000-0005-0000-0000-000002890000}"/>
    <cellStyle name="Normal 8 2 4 3" xfId="29176" xr:uid="{00000000-0005-0000-0000-000003890000}"/>
    <cellStyle name="Normal 8 2 4 4" xfId="29177" xr:uid="{00000000-0005-0000-0000-000004890000}"/>
    <cellStyle name="Normal 8 2 4 5" xfId="42125" xr:uid="{3907A671-6390-4D6B-925F-E56EC95AAAB1}"/>
    <cellStyle name="Normal 8 2 5" xfId="35501" xr:uid="{00000000-0005-0000-0000-000005890000}"/>
    <cellStyle name="Normal 8 2 6" xfId="42015" xr:uid="{7521E579-FCD9-4A77-A726-0EB6BD12A18E}"/>
    <cellStyle name="Normal 8 3" xfId="29178" xr:uid="{00000000-0005-0000-0000-000006890000}"/>
    <cellStyle name="Normal 8 3 2" xfId="29179" xr:uid="{00000000-0005-0000-0000-000007890000}"/>
    <cellStyle name="Normal 8 3 2 2" xfId="29180" xr:uid="{00000000-0005-0000-0000-000008890000}"/>
    <cellStyle name="Normal 8 3 2 2 2" xfId="29181" xr:uid="{00000000-0005-0000-0000-000009890000}"/>
    <cellStyle name="Normal 8 3 2 3" xfId="29182" xr:uid="{00000000-0005-0000-0000-00000A890000}"/>
    <cellStyle name="Normal 8 3 2 4" xfId="29183" xr:uid="{00000000-0005-0000-0000-00000B890000}"/>
    <cellStyle name="Normal 8 3 2 5" xfId="40267" xr:uid="{00000000-0005-0000-0000-00000C890000}"/>
    <cellStyle name="Normal 8 3 3" xfId="29184" xr:uid="{00000000-0005-0000-0000-00000D890000}"/>
    <cellStyle name="Normal 8 3 3 2" xfId="29185" xr:uid="{00000000-0005-0000-0000-00000E890000}"/>
    <cellStyle name="Normal 8 3 3 2 2" xfId="29186" xr:uid="{00000000-0005-0000-0000-00000F890000}"/>
    <cellStyle name="Normal 8 3 3 3" xfId="29187" xr:uid="{00000000-0005-0000-0000-000010890000}"/>
    <cellStyle name="Normal 8 3 3 4" xfId="29188" xr:uid="{00000000-0005-0000-0000-000011890000}"/>
    <cellStyle name="Normal 8 3 3 5" xfId="40268" xr:uid="{00000000-0005-0000-0000-000012890000}"/>
    <cellStyle name="Normal 8 3 4" xfId="29189" xr:uid="{00000000-0005-0000-0000-000013890000}"/>
    <cellStyle name="Normal 8 3 4 2" xfId="29190" xr:uid="{00000000-0005-0000-0000-000014890000}"/>
    <cellStyle name="Normal 8 3 5" xfId="29191" xr:uid="{00000000-0005-0000-0000-000015890000}"/>
    <cellStyle name="Normal 8 3 6" xfId="29192" xr:uid="{00000000-0005-0000-0000-000016890000}"/>
    <cellStyle name="Normal 8 3 7" xfId="35502" xr:uid="{00000000-0005-0000-0000-000017890000}"/>
    <cellStyle name="Normal 8 4" xfId="29193" xr:uid="{00000000-0005-0000-0000-000018890000}"/>
    <cellStyle name="Normal 8 4 2" xfId="29194" xr:uid="{00000000-0005-0000-0000-000019890000}"/>
    <cellStyle name="Normal 8 4 2 2" xfId="29195" xr:uid="{00000000-0005-0000-0000-00001A890000}"/>
    <cellStyle name="Normal 8 4 2 2 2" xfId="29196" xr:uid="{00000000-0005-0000-0000-00001B890000}"/>
    <cellStyle name="Normal 8 4 2 3" xfId="29197" xr:uid="{00000000-0005-0000-0000-00001C890000}"/>
    <cellStyle name="Normal 8 4 2 4" xfId="29198" xr:uid="{00000000-0005-0000-0000-00001D890000}"/>
    <cellStyle name="Normal 8 4 2 5" xfId="40270" xr:uid="{00000000-0005-0000-0000-00001E890000}"/>
    <cellStyle name="Normal 8 4 3" xfId="29199" xr:uid="{00000000-0005-0000-0000-00001F890000}"/>
    <cellStyle name="Normal 8 4 3 2" xfId="29200" xr:uid="{00000000-0005-0000-0000-000020890000}"/>
    <cellStyle name="Normal 8 4 3 2 2" xfId="29201" xr:uid="{00000000-0005-0000-0000-000021890000}"/>
    <cellStyle name="Normal 8 4 3 3" xfId="29202" xr:uid="{00000000-0005-0000-0000-000022890000}"/>
    <cellStyle name="Normal 8 4 3 4" xfId="29203" xr:uid="{00000000-0005-0000-0000-000023890000}"/>
    <cellStyle name="Normal 8 4 3 5" xfId="40271" xr:uid="{00000000-0005-0000-0000-000024890000}"/>
    <cellStyle name="Normal 8 4 4" xfId="29204" xr:uid="{00000000-0005-0000-0000-000025890000}"/>
    <cellStyle name="Normal 8 4 4 2" xfId="29205" xr:uid="{00000000-0005-0000-0000-000026890000}"/>
    <cellStyle name="Normal 8 4 5" xfId="29206" xr:uid="{00000000-0005-0000-0000-000027890000}"/>
    <cellStyle name="Normal 8 4 6" xfId="29207" xr:uid="{00000000-0005-0000-0000-000028890000}"/>
    <cellStyle name="Normal 8 4 7" xfId="40269" xr:uid="{00000000-0005-0000-0000-000029890000}"/>
    <cellStyle name="Normal 8 5" xfId="29208" xr:uid="{00000000-0005-0000-0000-00002A890000}"/>
    <cellStyle name="Normal 8 5 2" xfId="29209" xr:uid="{00000000-0005-0000-0000-00002B890000}"/>
    <cellStyle name="Normal 8 5 2 2" xfId="29210" xr:uid="{00000000-0005-0000-0000-00002C890000}"/>
    <cellStyle name="Normal 8 5 3" xfId="29211" xr:uid="{00000000-0005-0000-0000-00002D890000}"/>
    <cellStyle name="Normal 8 5 4" xfId="29212" xr:uid="{00000000-0005-0000-0000-00002E890000}"/>
    <cellStyle name="Normal 8 5 5" xfId="40272" xr:uid="{00000000-0005-0000-0000-00002F890000}"/>
    <cellStyle name="Normal 8 6" xfId="29213" xr:uid="{00000000-0005-0000-0000-000030890000}"/>
    <cellStyle name="Normal 8 6 2" xfId="29214" xr:uid="{00000000-0005-0000-0000-000031890000}"/>
    <cellStyle name="Normal 8 6 2 2" xfId="29215" xr:uid="{00000000-0005-0000-0000-000032890000}"/>
    <cellStyle name="Normal 8 6 3" xfId="29216" xr:uid="{00000000-0005-0000-0000-000033890000}"/>
    <cellStyle name="Normal 8 6 4" xfId="29217" xr:uid="{00000000-0005-0000-0000-000034890000}"/>
    <cellStyle name="Normal 8 6 5" xfId="40273" xr:uid="{00000000-0005-0000-0000-000035890000}"/>
    <cellStyle name="Normal 8 7" xfId="29218" xr:uid="{00000000-0005-0000-0000-000036890000}"/>
    <cellStyle name="Normal 8 7 2" xfId="29219" xr:uid="{00000000-0005-0000-0000-000037890000}"/>
    <cellStyle name="Normal 8 7 2 2" xfId="29220" xr:uid="{00000000-0005-0000-0000-000038890000}"/>
    <cellStyle name="Normal 8 7 3" xfId="29221" xr:uid="{00000000-0005-0000-0000-000039890000}"/>
    <cellStyle name="Normal 8 7 4" xfId="29222" xr:uid="{00000000-0005-0000-0000-00003A890000}"/>
    <cellStyle name="Normal 8 7 5" xfId="40274" xr:uid="{00000000-0005-0000-0000-00003B890000}"/>
    <cellStyle name="Normal 8 8" xfId="35500" xr:uid="{00000000-0005-0000-0000-00003C890000}"/>
    <cellStyle name="Normal 8 9" xfId="41973" xr:uid="{2E45845D-A3F3-4B97-8E82-AB53467B5357}"/>
    <cellStyle name="Normal 80" xfId="10" xr:uid="{00000000-0005-0000-0000-00003D890000}"/>
    <cellStyle name="Normal 80 2" xfId="29223" xr:uid="{00000000-0005-0000-0000-00003E890000}"/>
    <cellStyle name="Normal 81" xfId="29224" xr:uid="{00000000-0005-0000-0000-00003F890000}"/>
    <cellStyle name="Normal 81 2" xfId="29225" xr:uid="{00000000-0005-0000-0000-000040890000}"/>
    <cellStyle name="Normal 82" xfId="29226" xr:uid="{00000000-0005-0000-0000-000041890000}"/>
    <cellStyle name="Normal 82 2" xfId="29227" xr:uid="{00000000-0005-0000-0000-000042890000}"/>
    <cellStyle name="Normal 83" xfId="29228" xr:uid="{00000000-0005-0000-0000-000043890000}"/>
    <cellStyle name="Normal 83 2" xfId="29229" xr:uid="{00000000-0005-0000-0000-000044890000}"/>
    <cellStyle name="Normal 84" xfId="29230" xr:uid="{00000000-0005-0000-0000-000045890000}"/>
    <cellStyle name="Normal 84 2" xfId="29231" xr:uid="{00000000-0005-0000-0000-000046890000}"/>
    <cellStyle name="Normal 85" xfId="29232" xr:uid="{00000000-0005-0000-0000-000047890000}"/>
    <cellStyle name="Normal 85 2" xfId="29233" xr:uid="{00000000-0005-0000-0000-000048890000}"/>
    <cellStyle name="Normal 86" xfId="29234" xr:uid="{00000000-0005-0000-0000-000049890000}"/>
    <cellStyle name="Normal 86 2" xfId="29235" xr:uid="{00000000-0005-0000-0000-00004A890000}"/>
    <cellStyle name="Normal 87" xfId="29236" xr:uid="{00000000-0005-0000-0000-00004B890000}"/>
    <cellStyle name="Normal 87 2" xfId="29237" xr:uid="{00000000-0005-0000-0000-00004C890000}"/>
    <cellStyle name="Normal 88" xfId="29238" xr:uid="{00000000-0005-0000-0000-00004D890000}"/>
    <cellStyle name="Normal 88 2" xfId="29239" xr:uid="{00000000-0005-0000-0000-00004E890000}"/>
    <cellStyle name="Normal 89" xfId="29240" xr:uid="{00000000-0005-0000-0000-00004F890000}"/>
    <cellStyle name="Normal 89 2" xfId="29241" xr:uid="{00000000-0005-0000-0000-000050890000}"/>
    <cellStyle name="Normal 9" xfId="29242" xr:uid="{00000000-0005-0000-0000-000051890000}"/>
    <cellStyle name="Normal 9 2" xfId="29243" xr:uid="{00000000-0005-0000-0000-000052890000}"/>
    <cellStyle name="Normal 9 2 2" xfId="29244" xr:uid="{00000000-0005-0000-0000-000053890000}"/>
    <cellStyle name="Normal 9 2 2 2" xfId="29245" xr:uid="{00000000-0005-0000-0000-000054890000}"/>
    <cellStyle name="Normal 9 2 2 2 2" xfId="29246" xr:uid="{00000000-0005-0000-0000-000055890000}"/>
    <cellStyle name="Normal 9 2 2 3" xfId="29247" xr:uid="{00000000-0005-0000-0000-000056890000}"/>
    <cellStyle name="Normal 9 2 2 4" xfId="29248" xr:uid="{00000000-0005-0000-0000-000057890000}"/>
    <cellStyle name="Normal 9 2 2 5" xfId="40275" xr:uid="{00000000-0005-0000-0000-000058890000}"/>
    <cellStyle name="Normal 9 2 3" xfId="29249" xr:uid="{00000000-0005-0000-0000-000059890000}"/>
    <cellStyle name="Normal 9 2 3 2" xfId="29250" xr:uid="{00000000-0005-0000-0000-00005A890000}"/>
    <cellStyle name="Normal 9 2 3 2 2" xfId="29251" xr:uid="{00000000-0005-0000-0000-00005B890000}"/>
    <cellStyle name="Normal 9 2 3 3" xfId="29252" xr:uid="{00000000-0005-0000-0000-00005C890000}"/>
    <cellStyle name="Normal 9 2 3 4" xfId="29253" xr:uid="{00000000-0005-0000-0000-00005D890000}"/>
    <cellStyle name="Normal 9 2 3 5" xfId="40276" xr:uid="{00000000-0005-0000-0000-00005E890000}"/>
    <cellStyle name="Normal 9 2 4" xfId="29254" xr:uid="{00000000-0005-0000-0000-00005F890000}"/>
    <cellStyle name="Normal 9 2 4 2" xfId="29255" xr:uid="{00000000-0005-0000-0000-000060890000}"/>
    <cellStyle name="Normal 9 2 4 2 2" xfId="29256" xr:uid="{00000000-0005-0000-0000-000061890000}"/>
    <cellStyle name="Normal 9 2 4 3" xfId="29257" xr:uid="{00000000-0005-0000-0000-000062890000}"/>
    <cellStyle name="Normal 9 2 4 4" xfId="29258" xr:uid="{00000000-0005-0000-0000-000063890000}"/>
    <cellStyle name="Normal 9 2 5" xfId="35504" xr:uid="{00000000-0005-0000-0000-000064890000}"/>
    <cellStyle name="Normal 9 2 6" xfId="42016" xr:uid="{927FCC16-07C1-45F2-BEE0-64F6563712F4}"/>
    <cellStyle name="Normal 9 3" xfId="29259" xr:uid="{00000000-0005-0000-0000-000065890000}"/>
    <cellStyle name="Normal 9 3 2" xfId="29260" xr:uid="{00000000-0005-0000-0000-000066890000}"/>
    <cellStyle name="Normal 9 3 2 2" xfId="29261" xr:uid="{00000000-0005-0000-0000-000067890000}"/>
    <cellStyle name="Normal 9 3 2 2 2" xfId="29262" xr:uid="{00000000-0005-0000-0000-000068890000}"/>
    <cellStyle name="Normal 9 3 2 3" xfId="29263" xr:uid="{00000000-0005-0000-0000-000069890000}"/>
    <cellStyle name="Normal 9 3 2 4" xfId="29264" xr:uid="{00000000-0005-0000-0000-00006A890000}"/>
    <cellStyle name="Normal 9 3 2 5" xfId="40277" xr:uid="{00000000-0005-0000-0000-00006B890000}"/>
    <cellStyle name="Normal 9 3 3" xfId="29265" xr:uid="{00000000-0005-0000-0000-00006C890000}"/>
    <cellStyle name="Normal 9 3 3 2" xfId="29266" xr:uid="{00000000-0005-0000-0000-00006D890000}"/>
    <cellStyle name="Normal 9 3 3 2 2" xfId="29267" xr:uid="{00000000-0005-0000-0000-00006E890000}"/>
    <cellStyle name="Normal 9 3 3 3" xfId="29268" xr:uid="{00000000-0005-0000-0000-00006F890000}"/>
    <cellStyle name="Normal 9 3 3 4" xfId="29269" xr:uid="{00000000-0005-0000-0000-000070890000}"/>
    <cellStyle name="Normal 9 3 3 5" xfId="40278" xr:uid="{00000000-0005-0000-0000-000071890000}"/>
    <cellStyle name="Normal 9 3 4" xfId="29270" xr:uid="{00000000-0005-0000-0000-000072890000}"/>
    <cellStyle name="Normal 9 3 4 2" xfId="29271" xr:uid="{00000000-0005-0000-0000-000073890000}"/>
    <cellStyle name="Normal 9 3 4 2 2" xfId="29272" xr:uid="{00000000-0005-0000-0000-000074890000}"/>
    <cellStyle name="Normal 9 3 4 3" xfId="29273" xr:uid="{00000000-0005-0000-0000-000075890000}"/>
    <cellStyle name="Normal 9 3 4 4" xfId="29274" xr:uid="{00000000-0005-0000-0000-000076890000}"/>
    <cellStyle name="Normal 9 4" xfId="29275" xr:uid="{00000000-0005-0000-0000-000077890000}"/>
    <cellStyle name="Normal 9 4 2" xfId="29276" xr:uid="{00000000-0005-0000-0000-000078890000}"/>
    <cellStyle name="Normal 9 4 2 2" xfId="29277" xr:uid="{00000000-0005-0000-0000-000079890000}"/>
    <cellStyle name="Normal 9 4 2 2 2" xfId="29278" xr:uid="{00000000-0005-0000-0000-00007A890000}"/>
    <cellStyle name="Normal 9 4 2 3" xfId="29279" xr:uid="{00000000-0005-0000-0000-00007B890000}"/>
    <cellStyle name="Normal 9 4 2 4" xfId="29280" xr:uid="{00000000-0005-0000-0000-00007C890000}"/>
    <cellStyle name="Normal 9 4 2 5" xfId="40280" xr:uid="{00000000-0005-0000-0000-00007D890000}"/>
    <cellStyle name="Normal 9 4 3" xfId="29281" xr:uid="{00000000-0005-0000-0000-00007E890000}"/>
    <cellStyle name="Normal 9 4 3 2" xfId="29282" xr:uid="{00000000-0005-0000-0000-00007F890000}"/>
    <cellStyle name="Normal 9 4 3 2 2" xfId="29283" xr:uid="{00000000-0005-0000-0000-000080890000}"/>
    <cellStyle name="Normal 9 4 3 3" xfId="29284" xr:uid="{00000000-0005-0000-0000-000081890000}"/>
    <cellStyle name="Normal 9 4 3 4" xfId="29285" xr:uid="{00000000-0005-0000-0000-000082890000}"/>
    <cellStyle name="Normal 9 4 3 5" xfId="40281" xr:uid="{00000000-0005-0000-0000-000083890000}"/>
    <cellStyle name="Normal 9 4 4" xfId="29286" xr:uid="{00000000-0005-0000-0000-000084890000}"/>
    <cellStyle name="Normal 9 4 4 2" xfId="29287" xr:uid="{00000000-0005-0000-0000-000085890000}"/>
    <cellStyle name="Normal 9 4 5" xfId="29288" xr:uid="{00000000-0005-0000-0000-000086890000}"/>
    <cellStyle name="Normal 9 4 6" xfId="29289" xr:uid="{00000000-0005-0000-0000-000087890000}"/>
    <cellStyle name="Normal 9 4 7" xfId="40279" xr:uid="{00000000-0005-0000-0000-000088890000}"/>
    <cellStyle name="Normal 9 5" xfId="29290" xr:uid="{00000000-0005-0000-0000-000089890000}"/>
    <cellStyle name="Normal 9 5 2" xfId="29291" xr:uid="{00000000-0005-0000-0000-00008A890000}"/>
    <cellStyle name="Normal 9 5 2 2" xfId="29292" xr:uid="{00000000-0005-0000-0000-00008B890000}"/>
    <cellStyle name="Normal 9 5 3" xfId="29293" xr:uid="{00000000-0005-0000-0000-00008C890000}"/>
    <cellStyle name="Normal 9 5 4" xfId="29294" xr:uid="{00000000-0005-0000-0000-00008D890000}"/>
    <cellStyle name="Normal 9 5 5" xfId="40282" xr:uid="{00000000-0005-0000-0000-00008E890000}"/>
    <cellStyle name="Normal 9 6" xfId="29295" xr:uid="{00000000-0005-0000-0000-00008F890000}"/>
    <cellStyle name="Normal 9 6 2" xfId="29296" xr:uid="{00000000-0005-0000-0000-000090890000}"/>
    <cellStyle name="Normal 9 6 2 2" xfId="29297" xr:uid="{00000000-0005-0000-0000-000091890000}"/>
    <cellStyle name="Normal 9 6 3" xfId="29298" xr:uid="{00000000-0005-0000-0000-000092890000}"/>
    <cellStyle name="Normal 9 6 4" xfId="29299" xr:uid="{00000000-0005-0000-0000-000093890000}"/>
    <cellStyle name="Normal 9 6 5" xfId="40283" xr:uid="{00000000-0005-0000-0000-000094890000}"/>
    <cellStyle name="Normal 9 7" xfId="29300" xr:uid="{00000000-0005-0000-0000-000095890000}"/>
    <cellStyle name="Normal 9 7 2" xfId="29301" xr:uid="{00000000-0005-0000-0000-000096890000}"/>
    <cellStyle name="Normal 9 7 2 2" xfId="29302" xr:uid="{00000000-0005-0000-0000-000097890000}"/>
    <cellStyle name="Normal 9 7 3" xfId="29303" xr:uid="{00000000-0005-0000-0000-000098890000}"/>
    <cellStyle name="Normal 9 7 4" xfId="29304" xr:uid="{00000000-0005-0000-0000-000099890000}"/>
    <cellStyle name="Normal 9 7 5" xfId="40284" xr:uid="{00000000-0005-0000-0000-00009A890000}"/>
    <cellStyle name="Normal 9 8" xfId="35503" xr:uid="{00000000-0005-0000-0000-00009B890000}"/>
    <cellStyle name="Normal 9 9" xfId="41974" xr:uid="{A327F641-5B73-45D5-9962-15FF4CFE4152}"/>
    <cellStyle name="Normal 90" xfId="29305" xr:uid="{00000000-0005-0000-0000-00009C890000}"/>
    <cellStyle name="Normal 90 2" xfId="29306" xr:uid="{00000000-0005-0000-0000-00009D890000}"/>
    <cellStyle name="Normal 91" xfId="29307" xr:uid="{00000000-0005-0000-0000-00009E890000}"/>
    <cellStyle name="Normal 91 2" xfId="29308" xr:uid="{00000000-0005-0000-0000-00009F890000}"/>
    <cellStyle name="Normal 92" xfId="29309" xr:uid="{00000000-0005-0000-0000-0000A0890000}"/>
    <cellStyle name="Normal 92 2" xfId="29310" xr:uid="{00000000-0005-0000-0000-0000A1890000}"/>
    <cellStyle name="Normal 93" xfId="29311" xr:uid="{00000000-0005-0000-0000-0000A2890000}"/>
    <cellStyle name="Normal 93 2" xfId="29312" xr:uid="{00000000-0005-0000-0000-0000A3890000}"/>
    <cellStyle name="Normal 94" xfId="29313" xr:uid="{00000000-0005-0000-0000-0000A4890000}"/>
    <cellStyle name="Normal 94 2" xfId="29314" xr:uid="{00000000-0005-0000-0000-0000A5890000}"/>
    <cellStyle name="Normal 95" xfId="29315" xr:uid="{00000000-0005-0000-0000-0000A6890000}"/>
    <cellStyle name="Normal 95 2" xfId="29316" xr:uid="{00000000-0005-0000-0000-0000A7890000}"/>
    <cellStyle name="Normal 96" xfId="29317" xr:uid="{00000000-0005-0000-0000-0000A8890000}"/>
    <cellStyle name="Normal 96 2" xfId="29318" xr:uid="{00000000-0005-0000-0000-0000A9890000}"/>
    <cellStyle name="Normal 97" xfId="29319" xr:uid="{00000000-0005-0000-0000-0000AA890000}"/>
    <cellStyle name="Normal 97 2" xfId="29320" xr:uid="{00000000-0005-0000-0000-0000AB890000}"/>
    <cellStyle name="Normal 98" xfId="29321" xr:uid="{00000000-0005-0000-0000-0000AC890000}"/>
    <cellStyle name="Normal 98 2" xfId="29322" xr:uid="{00000000-0005-0000-0000-0000AD890000}"/>
    <cellStyle name="Normal 99" xfId="29323" xr:uid="{00000000-0005-0000-0000-0000AE890000}"/>
    <cellStyle name="Normal 99 2" xfId="29324" xr:uid="{00000000-0005-0000-0000-0000AF890000}"/>
    <cellStyle name="Normal_051020 Meter tariff approval model" xfId="2" xr:uid="{00000000-0005-0000-0000-0000B0890000}"/>
    <cellStyle name="Normal_D11 2371025  Financial information - 2012 Draft RIN - Ausgrid 2" xfId="41996" xr:uid="{5A0AF7DA-E0CC-4A7B-B7C7-4ED589B6AB2A}"/>
    <cellStyle name="Normal_JEM 2011 Tariff Approval mr check v2.0 test code v1.2" xfId="16" xr:uid="{00000000-0005-0000-0000-0000B1890000}"/>
    <cellStyle name="Note 10" xfId="29325" xr:uid="{00000000-0005-0000-0000-0000B2890000}"/>
    <cellStyle name="Note 10 2" xfId="29326" xr:uid="{00000000-0005-0000-0000-0000B3890000}"/>
    <cellStyle name="Note 10 2 2" xfId="29327" xr:uid="{00000000-0005-0000-0000-0000B4890000}"/>
    <cellStyle name="Note 10 3" xfId="29328" xr:uid="{00000000-0005-0000-0000-0000B5890000}"/>
    <cellStyle name="Note 10 4" xfId="29329" xr:uid="{00000000-0005-0000-0000-0000B6890000}"/>
    <cellStyle name="Note 10 5" xfId="35505" xr:uid="{00000000-0005-0000-0000-0000B7890000}"/>
    <cellStyle name="Note 2" xfId="29330" xr:uid="{00000000-0005-0000-0000-0000B8890000}"/>
    <cellStyle name="Note 2 10" xfId="29331" xr:uid="{00000000-0005-0000-0000-0000B9890000}"/>
    <cellStyle name="Note 2 10 2" xfId="29332" xr:uid="{00000000-0005-0000-0000-0000BA890000}"/>
    <cellStyle name="Note 2 10 2 2" xfId="35506" xr:uid="{00000000-0005-0000-0000-0000BB890000}"/>
    <cellStyle name="Note 2 10 3" xfId="29333" xr:uid="{00000000-0005-0000-0000-0000BC890000}"/>
    <cellStyle name="Note 2 10 3 2" xfId="35507" xr:uid="{00000000-0005-0000-0000-0000BD890000}"/>
    <cellStyle name="Note 2 10 4" xfId="40285" xr:uid="{00000000-0005-0000-0000-0000BE890000}"/>
    <cellStyle name="Note 2 10 5" xfId="40286" xr:uid="{00000000-0005-0000-0000-0000BF890000}"/>
    <cellStyle name="Note 2 10 5 2" xfId="40287" xr:uid="{00000000-0005-0000-0000-0000C0890000}"/>
    <cellStyle name="Note 2 11" xfId="29334" xr:uid="{00000000-0005-0000-0000-0000C1890000}"/>
    <cellStyle name="Note 2 11 2" xfId="29335" xr:uid="{00000000-0005-0000-0000-0000C2890000}"/>
    <cellStyle name="Note 2 11 2 2" xfId="40288" xr:uid="{00000000-0005-0000-0000-0000C3890000}"/>
    <cellStyle name="Note 2 11 2 3" xfId="35508" xr:uid="{00000000-0005-0000-0000-0000C4890000}"/>
    <cellStyle name="Note 2 11 3" xfId="40289" xr:uid="{00000000-0005-0000-0000-0000C5890000}"/>
    <cellStyle name="Note 2 11 4" xfId="40290" xr:uid="{00000000-0005-0000-0000-0000C6890000}"/>
    <cellStyle name="Note 2 11 5" xfId="40291" xr:uid="{00000000-0005-0000-0000-0000C7890000}"/>
    <cellStyle name="Note 2 12" xfId="29336" xr:uid="{00000000-0005-0000-0000-0000C8890000}"/>
    <cellStyle name="Note 2 12 2" xfId="29337" xr:uid="{00000000-0005-0000-0000-0000C9890000}"/>
    <cellStyle name="Note 2 12 3" xfId="29338" xr:uid="{00000000-0005-0000-0000-0000CA890000}"/>
    <cellStyle name="Note 2 12 3 2" xfId="40292" xr:uid="{00000000-0005-0000-0000-0000CB890000}"/>
    <cellStyle name="Note 2 12 4" xfId="40293" xr:uid="{00000000-0005-0000-0000-0000CC890000}"/>
    <cellStyle name="Note 2 12 5" xfId="40294" xr:uid="{00000000-0005-0000-0000-0000CD890000}"/>
    <cellStyle name="Note 2 12 5 2" xfId="40295" xr:uid="{00000000-0005-0000-0000-0000CE890000}"/>
    <cellStyle name="Note 2 13" xfId="29339" xr:uid="{00000000-0005-0000-0000-0000CF890000}"/>
    <cellStyle name="Note 2 13 2" xfId="29340" xr:uid="{00000000-0005-0000-0000-0000D0890000}"/>
    <cellStyle name="Note 2 13 3" xfId="29341" xr:uid="{00000000-0005-0000-0000-0000D1890000}"/>
    <cellStyle name="Note 2 13 4" xfId="40296" xr:uid="{00000000-0005-0000-0000-0000D2890000}"/>
    <cellStyle name="Note 2 13 5" xfId="35509" xr:uid="{00000000-0005-0000-0000-0000D3890000}"/>
    <cellStyle name="Note 2 14" xfId="29342" xr:uid="{00000000-0005-0000-0000-0000D4890000}"/>
    <cellStyle name="Note 2 14 2" xfId="29343" xr:uid="{00000000-0005-0000-0000-0000D5890000}"/>
    <cellStyle name="Note 2 14 2 2" xfId="29344" xr:uid="{00000000-0005-0000-0000-0000D6890000}"/>
    <cellStyle name="Note 2 14 2 2 2" xfId="29345" xr:uid="{00000000-0005-0000-0000-0000D7890000}"/>
    <cellStyle name="Note 2 14 2 3" xfId="29346" xr:uid="{00000000-0005-0000-0000-0000D8890000}"/>
    <cellStyle name="Note 2 14 2 4" xfId="29347" xr:uid="{00000000-0005-0000-0000-0000D9890000}"/>
    <cellStyle name="Note 2 14 2 5" xfId="40298" xr:uid="{00000000-0005-0000-0000-0000DA890000}"/>
    <cellStyle name="Note 2 14 3" xfId="29348" xr:uid="{00000000-0005-0000-0000-0000DB890000}"/>
    <cellStyle name="Note 2 14 4" xfId="29349" xr:uid="{00000000-0005-0000-0000-0000DC890000}"/>
    <cellStyle name="Note 2 14 4 2" xfId="29350" xr:uid="{00000000-0005-0000-0000-0000DD890000}"/>
    <cellStyle name="Note 2 14 4 3" xfId="40299" xr:uid="{00000000-0005-0000-0000-0000DE890000}"/>
    <cellStyle name="Note 2 14 5" xfId="29351" xr:uid="{00000000-0005-0000-0000-0000DF890000}"/>
    <cellStyle name="Note 2 14 5 2" xfId="40300" xr:uid="{00000000-0005-0000-0000-0000E0890000}"/>
    <cellStyle name="Note 2 14 6" xfId="29352" xr:uid="{00000000-0005-0000-0000-0000E1890000}"/>
    <cellStyle name="Note 2 14 7" xfId="40297" xr:uid="{00000000-0005-0000-0000-0000E2890000}"/>
    <cellStyle name="Note 2 15" xfId="29353" xr:uid="{00000000-0005-0000-0000-0000E3890000}"/>
    <cellStyle name="Note 2 15 2" xfId="29354" xr:uid="{00000000-0005-0000-0000-0000E4890000}"/>
    <cellStyle name="Note 2 15 3" xfId="29355" xr:uid="{00000000-0005-0000-0000-0000E5890000}"/>
    <cellStyle name="Note 2 15 3 2" xfId="29356" xr:uid="{00000000-0005-0000-0000-0000E6890000}"/>
    <cellStyle name="Note 2 15 4" xfId="29357" xr:uid="{00000000-0005-0000-0000-0000E7890000}"/>
    <cellStyle name="Note 2 15 5" xfId="29358" xr:uid="{00000000-0005-0000-0000-0000E8890000}"/>
    <cellStyle name="Note 2 15 6" xfId="40301" xr:uid="{00000000-0005-0000-0000-0000E9890000}"/>
    <cellStyle name="Note 2 16" xfId="29359" xr:uid="{00000000-0005-0000-0000-0000EA890000}"/>
    <cellStyle name="Note 2 17" xfId="29360" xr:uid="{00000000-0005-0000-0000-0000EB890000}"/>
    <cellStyle name="Note 2 17 2" xfId="29361" xr:uid="{00000000-0005-0000-0000-0000EC890000}"/>
    <cellStyle name="Note 2 18" xfId="29362" xr:uid="{00000000-0005-0000-0000-0000ED890000}"/>
    <cellStyle name="Note 2 2" xfId="29363" xr:uid="{00000000-0005-0000-0000-0000EE890000}"/>
    <cellStyle name="Note 2 2 10" xfId="29364" xr:uid="{00000000-0005-0000-0000-0000EF890000}"/>
    <cellStyle name="Note 2 2 10 2" xfId="29365" xr:uid="{00000000-0005-0000-0000-0000F0890000}"/>
    <cellStyle name="Note 2 2 10 3" xfId="40302" xr:uid="{00000000-0005-0000-0000-0000F1890000}"/>
    <cellStyle name="Note 2 2 11" xfId="29366" xr:uid="{00000000-0005-0000-0000-0000F2890000}"/>
    <cellStyle name="Note 2 2 11 2" xfId="29367" xr:uid="{00000000-0005-0000-0000-0000F3890000}"/>
    <cellStyle name="Note 2 2 11 3" xfId="40303" xr:uid="{00000000-0005-0000-0000-0000F4890000}"/>
    <cellStyle name="Note 2 2 12" xfId="29368" xr:uid="{00000000-0005-0000-0000-0000F5890000}"/>
    <cellStyle name="Note 2 2 13" xfId="29369" xr:uid="{00000000-0005-0000-0000-0000F6890000}"/>
    <cellStyle name="Note 2 2 13 2" xfId="29370" xr:uid="{00000000-0005-0000-0000-0000F7890000}"/>
    <cellStyle name="Note 2 2 14" xfId="29371" xr:uid="{00000000-0005-0000-0000-0000F8890000}"/>
    <cellStyle name="Note 2 2 15" xfId="29372" xr:uid="{00000000-0005-0000-0000-0000F9890000}"/>
    <cellStyle name="Note 2 2 16" xfId="35510" xr:uid="{00000000-0005-0000-0000-0000FA890000}"/>
    <cellStyle name="Note 2 2 2" xfId="29373" xr:uid="{00000000-0005-0000-0000-0000FB890000}"/>
    <cellStyle name="Note 2 2 2 2" xfId="29374" xr:uid="{00000000-0005-0000-0000-0000FC890000}"/>
    <cellStyle name="Note 2 2 2 2 2" xfId="29375" xr:uid="{00000000-0005-0000-0000-0000FD890000}"/>
    <cellStyle name="Note 2 2 2 2 2 2" xfId="29376" xr:uid="{00000000-0005-0000-0000-0000FE890000}"/>
    <cellStyle name="Note 2 2 2 2 2 2 2" xfId="35513" xr:uid="{00000000-0005-0000-0000-0000FF890000}"/>
    <cellStyle name="Note 2 2 2 2 2 3" xfId="35512" xr:uid="{00000000-0005-0000-0000-0000008A0000}"/>
    <cellStyle name="Note 2 2 2 2 3" xfId="35514" xr:uid="{00000000-0005-0000-0000-0000018A0000}"/>
    <cellStyle name="Note 2 2 2 2 3 2" xfId="35515" xr:uid="{00000000-0005-0000-0000-0000028A0000}"/>
    <cellStyle name="Note 2 2 2 2 4" xfId="35516" xr:uid="{00000000-0005-0000-0000-0000038A0000}"/>
    <cellStyle name="Note 2 2 2 2 5" xfId="35511" xr:uid="{00000000-0005-0000-0000-0000048A0000}"/>
    <cellStyle name="Note 2 2 2 3" xfId="29377" xr:uid="{00000000-0005-0000-0000-0000058A0000}"/>
    <cellStyle name="Note 2 2 2 3 2" xfId="29378" xr:uid="{00000000-0005-0000-0000-0000068A0000}"/>
    <cellStyle name="Note 2 2 2 3 2 2" xfId="35519" xr:uid="{00000000-0005-0000-0000-0000078A0000}"/>
    <cellStyle name="Note 2 2 2 3 2 3" xfId="35518" xr:uid="{00000000-0005-0000-0000-0000088A0000}"/>
    <cellStyle name="Note 2 2 2 3 3" xfId="35520" xr:uid="{00000000-0005-0000-0000-0000098A0000}"/>
    <cellStyle name="Note 2 2 2 3 3 2" xfId="35521" xr:uid="{00000000-0005-0000-0000-00000A8A0000}"/>
    <cellStyle name="Note 2 2 2 3 4" xfId="35522" xr:uid="{00000000-0005-0000-0000-00000B8A0000}"/>
    <cellStyle name="Note 2 2 2 3 5" xfId="35517" xr:uid="{00000000-0005-0000-0000-00000C8A0000}"/>
    <cellStyle name="Note 2 2 2 4" xfId="29379" xr:uid="{00000000-0005-0000-0000-00000D8A0000}"/>
    <cellStyle name="Note 2 2 2 4 2" xfId="35524" xr:uid="{00000000-0005-0000-0000-00000E8A0000}"/>
    <cellStyle name="Note 2 2 2 4 3" xfId="35523" xr:uid="{00000000-0005-0000-0000-00000F8A0000}"/>
    <cellStyle name="Note 2 2 2 5" xfId="29380" xr:uid="{00000000-0005-0000-0000-0000108A0000}"/>
    <cellStyle name="Note 2 2 2 5 2" xfId="29381" xr:uid="{00000000-0005-0000-0000-0000118A0000}"/>
    <cellStyle name="Note 2 2 2 5 2 2" xfId="35526" xr:uid="{00000000-0005-0000-0000-0000128A0000}"/>
    <cellStyle name="Note 2 2 2 5 3" xfId="40304" xr:uid="{00000000-0005-0000-0000-0000138A0000}"/>
    <cellStyle name="Note 2 2 2 5 4" xfId="35525" xr:uid="{00000000-0005-0000-0000-0000148A0000}"/>
    <cellStyle name="Note 2 2 2 6" xfId="29382" xr:uid="{00000000-0005-0000-0000-0000158A0000}"/>
    <cellStyle name="Note 2 2 2 6 2" xfId="29383" xr:uid="{00000000-0005-0000-0000-0000168A0000}"/>
    <cellStyle name="Note 2 2 2 6 3" xfId="35527" xr:uid="{00000000-0005-0000-0000-0000178A0000}"/>
    <cellStyle name="Note 2 2 2 7" xfId="29384" xr:uid="{00000000-0005-0000-0000-0000188A0000}"/>
    <cellStyle name="Note 2 2 2 7 2" xfId="29385" xr:uid="{00000000-0005-0000-0000-0000198A0000}"/>
    <cellStyle name="Note 2 2 2 7 3" xfId="35528" xr:uid="{00000000-0005-0000-0000-00001A8A0000}"/>
    <cellStyle name="Note 2 2 2 8" xfId="29386" xr:uid="{00000000-0005-0000-0000-00001B8A0000}"/>
    <cellStyle name="Note 2 2 3" xfId="29387" xr:uid="{00000000-0005-0000-0000-00001C8A0000}"/>
    <cellStyle name="Note 2 2 3 10" xfId="29388" xr:uid="{00000000-0005-0000-0000-00001D8A0000}"/>
    <cellStyle name="Note 2 2 3 11" xfId="29389" xr:uid="{00000000-0005-0000-0000-00001E8A0000}"/>
    <cellStyle name="Note 2 2 3 12" xfId="35529" xr:uid="{00000000-0005-0000-0000-00001F8A0000}"/>
    <cellStyle name="Note 2 2 3 2" xfId="29390" xr:uid="{00000000-0005-0000-0000-0000208A0000}"/>
    <cellStyle name="Note 2 2 3 2 10" xfId="29391" xr:uid="{00000000-0005-0000-0000-0000218A0000}"/>
    <cellStyle name="Note 2 2 3 2 11" xfId="35530" xr:uid="{00000000-0005-0000-0000-0000228A0000}"/>
    <cellStyle name="Note 2 2 3 2 2" xfId="29392" xr:uid="{00000000-0005-0000-0000-0000238A0000}"/>
    <cellStyle name="Note 2 2 3 2 2 10" xfId="35531" xr:uid="{00000000-0005-0000-0000-0000248A0000}"/>
    <cellStyle name="Note 2 2 3 2 2 2" xfId="29393" xr:uid="{00000000-0005-0000-0000-0000258A0000}"/>
    <cellStyle name="Note 2 2 3 2 2 2 2" xfId="29394" xr:uid="{00000000-0005-0000-0000-0000268A0000}"/>
    <cellStyle name="Note 2 2 3 2 2 2 2 2" xfId="29395" xr:uid="{00000000-0005-0000-0000-0000278A0000}"/>
    <cellStyle name="Note 2 2 3 2 2 2 2 2 2" xfId="29396" xr:uid="{00000000-0005-0000-0000-0000288A0000}"/>
    <cellStyle name="Note 2 2 3 2 2 2 2 3" xfId="29397" xr:uid="{00000000-0005-0000-0000-0000298A0000}"/>
    <cellStyle name="Note 2 2 3 2 2 2 2 4" xfId="29398" xr:uid="{00000000-0005-0000-0000-00002A8A0000}"/>
    <cellStyle name="Note 2 2 3 2 2 2 2 5" xfId="40305" xr:uid="{00000000-0005-0000-0000-00002B8A0000}"/>
    <cellStyle name="Note 2 2 3 2 2 2 3" xfId="29399" xr:uid="{00000000-0005-0000-0000-00002C8A0000}"/>
    <cellStyle name="Note 2 2 3 2 2 2 3 2" xfId="29400" xr:uid="{00000000-0005-0000-0000-00002D8A0000}"/>
    <cellStyle name="Note 2 2 3 2 2 2 4" xfId="29401" xr:uid="{00000000-0005-0000-0000-00002E8A0000}"/>
    <cellStyle name="Note 2 2 3 2 2 2 5" xfId="29402" xr:uid="{00000000-0005-0000-0000-00002F8A0000}"/>
    <cellStyle name="Note 2 2 3 2 2 2 6" xfId="35532" xr:uid="{00000000-0005-0000-0000-0000308A0000}"/>
    <cellStyle name="Note 2 2 3 2 2 3" xfId="29403" xr:uid="{00000000-0005-0000-0000-0000318A0000}"/>
    <cellStyle name="Note 2 2 3 2 2 3 2" xfId="29404" xr:uid="{00000000-0005-0000-0000-0000328A0000}"/>
    <cellStyle name="Note 2 2 3 2 2 3 2 2" xfId="29405" xr:uid="{00000000-0005-0000-0000-0000338A0000}"/>
    <cellStyle name="Note 2 2 3 2 2 3 2 2 2" xfId="29406" xr:uid="{00000000-0005-0000-0000-0000348A0000}"/>
    <cellStyle name="Note 2 2 3 2 2 3 2 3" xfId="29407" xr:uid="{00000000-0005-0000-0000-0000358A0000}"/>
    <cellStyle name="Note 2 2 3 2 2 3 2 4" xfId="29408" xr:uid="{00000000-0005-0000-0000-0000368A0000}"/>
    <cellStyle name="Note 2 2 3 2 2 3 2 5" xfId="40307" xr:uid="{00000000-0005-0000-0000-0000378A0000}"/>
    <cellStyle name="Note 2 2 3 2 2 3 3" xfId="29409" xr:uid="{00000000-0005-0000-0000-0000388A0000}"/>
    <cellStyle name="Note 2 2 3 2 2 3 3 2" xfId="29410" xr:uid="{00000000-0005-0000-0000-0000398A0000}"/>
    <cellStyle name="Note 2 2 3 2 2 3 4" xfId="29411" xr:uid="{00000000-0005-0000-0000-00003A8A0000}"/>
    <cellStyle name="Note 2 2 3 2 2 3 5" xfId="29412" xr:uid="{00000000-0005-0000-0000-00003B8A0000}"/>
    <cellStyle name="Note 2 2 3 2 2 3 6" xfId="40306" xr:uid="{00000000-0005-0000-0000-00003C8A0000}"/>
    <cellStyle name="Note 2 2 3 2 2 4" xfId="29413" xr:uid="{00000000-0005-0000-0000-00003D8A0000}"/>
    <cellStyle name="Note 2 2 3 2 2 4 2" xfId="29414" xr:uid="{00000000-0005-0000-0000-00003E8A0000}"/>
    <cellStyle name="Note 2 2 3 2 2 4 2 2" xfId="29415" xr:uid="{00000000-0005-0000-0000-00003F8A0000}"/>
    <cellStyle name="Note 2 2 3 2 2 4 3" xfId="29416" xr:uid="{00000000-0005-0000-0000-0000408A0000}"/>
    <cellStyle name="Note 2 2 3 2 2 4 4" xfId="29417" xr:uid="{00000000-0005-0000-0000-0000418A0000}"/>
    <cellStyle name="Note 2 2 3 2 2 4 5" xfId="40308" xr:uid="{00000000-0005-0000-0000-0000428A0000}"/>
    <cellStyle name="Note 2 2 3 2 2 5" xfId="29418" xr:uid="{00000000-0005-0000-0000-0000438A0000}"/>
    <cellStyle name="Note 2 2 3 2 2 5 2" xfId="29419" xr:uid="{00000000-0005-0000-0000-0000448A0000}"/>
    <cellStyle name="Note 2 2 3 2 2 5 2 2" xfId="29420" xr:uid="{00000000-0005-0000-0000-0000458A0000}"/>
    <cellStyle name="Note 2 2 3 2 2 5 3" xfId="29421" xr:uid="{00000000-0005-0000-0000-0000468A0000}"/>
    <cellStyle name="Note 2 2 3 2 2 5 4" xfId="29422" xr:uid="{00000000-0005-0000-0000-0000478A0000}"/>
    <cellStyle name="Note 2 2 3 2 2 6" xfId="29423" xr:uid="{00000000-0005-0000-0000-0000488A0000}"/>
    <cellStyle name="Note 2 2 3 2 2 6 2" xfId="29424" xr:uid="{00000000-0005-0000-0000-0000498A0000}"/>
    <cellStyle name="Note 2 2 3 2 2 6 2 2" xfId="29425" xr:uid="{00000000-0005-0000-0000-00004A8A0000}"/>
    <cellStyle name="Note 2 2 3 2 2 6 3" xfId="29426" xr:uid="{00000000-0005-0000-0000-00004B8A0000}"/>
    <cellStyle name="Note 2 2 3 2 2 6 4" xfId="29427" xr:uid="{00000000-0005-0000-0000-00004C8A0000}"/>
    <cellStyle name="Note 2 2 3 2 2 7" xfId="29428" xr:uid="{00000000-0005-0000-0000-00004D8A0000}"/>
    <cellStyle name="Note 2 2 3 2 2 7 2" xfId="29429" xr:uid="{00000000-0005-0000-0000-00004E8A0000}"/>
    <cellStyle name="Note 2 2 3 2 2 8" xfId="29430" xr:uid="{00000000-0005-0000-0000-00004F8A0000}"/>
    <cellStyle name="Note 2 2 3 2 2 9" xfId="29431" xr:uid="{00000000-0005-0000-0000-0000508A0000}"/>
    <cellStyle name="Note 2 2 3 2 3" xfId="29432" xr:uid="{00000000-0005-0000-0000-0000518A0000}"/>
    <cellStyle name="Note 2 2 3 2 3 2" xfId="29433" xr:uid="{00000000-0005-0000-0000-0000528A0000}"/>
    <cellStyle name="Note 2 2 3 2 3 2 2" xfId="29434" xr:uid="{00000000-0005-0000-0000-0000538A0000}"/>
    <cellStyle name="Note 2 2 3 2 3 2 2 2" xfId="29435" xr:uid="{00000000-0005-0000-0000-0000548A0000}"/>
    <cellStyle name="Note 2 2 3 2 3 2 3" xfId="29436" xr:uid="{00000000-0005-0000-0000-0000558A0000}"/>
    <cellStyle name="Note 2 2 3 2 3 2 4" xfId="29437" xr:uid="{00000000-0005-0000-0000-0000568A0000}"/>
    <cellStyle name="Note 2 2 3 2 3 2 5" xfId="40309" xr:uid="{00000000-0005-0000-0000-0000578A0000}"/>
    <cellStyle name="Note 2 2 3 2 3 3" xfId="29438" xr:uid="{00000000-0005-0000-0000-0000588A0000}"/>
    <cellStyle name="Note 2 2 3 2 3 3 2" xfId="29439" xr:uid="{00000000-0005-0000-0000-0000598A0000}"/>
    <cellStyle name="Note 2 2 3 2 3 3 2 2" xfId="29440" xr:uid="{00000000-0005-0000-0000-00005A8A0000}"/>
    <cellStyle name="Note 2 2 3 2 3 3 3" xfId="29441" xr:uid="{00000000-0005-0000-0000-00005B8A0000}"/>
    <cellStyle name="Note 2 2 3 2 3 3 4" xfId="29442" xr:uid="{00000000-0005-0000-0000-00005C8A0000}"/>
    <cellStyle name="Note 2 2 3 2 3 4" xfId="29443" xr:uid="{00000000-0005-0000-0000-00005D8A0000}"/>
    <cellStyle name="Note 2 2 3 2 3 4 2" xfId="29444" xr:uid="{00000000-0005-0000-0000-00005E8A0000}"/>
    <cellStyle name="Note 2 2 3 2 3 5" xfId="29445" xr:uid="{00000000-0005-0000-0000-00005F8A0000}"/>
    <cellStyle name="Note 2 2 3 2 3 6" xfId="29446" xr:uid="{00000000-0005-0000-0000-0000608A0000}"/>
    <cellStyle name="Note 2 2 3 2 3 7" xfId="35533" xr:uid="{00000000-0005-0000-0000-0000618A0000}"/>
    <cellStyle name="Note 2 2 3 2 4" xfId="29447" xr:uid="{00000000-0005-0000-0000-0000628A0000}"/>
    <cellStyle name="Note 2 2 3 2 4 2" xfId="29448" xr:uid="{00000000-0005-0000-0000-0000638A0000}"/>
    <cellStyle name="Note 2 2 3 2 4 2 2" xfId="29449" xr:uid="{00000000-0005-0000-0000-0000648A0000}"/>
    <cellStyle name="Note 2 2 3 2 4 2 2 2" xfId="29450" xr:uid="{00000000-0005-0000-0000-0000658A0000}"/>
    <cellStyle name="Note 2 2 3 2 4 2 3" xfId="29451" xr:uid="{00000000-0005-0000-0000-0000668A0000}"/>
    <cellStyle name="Note 2 2 3 2 4 2 4" xfId="29452" xr:uid="{00000000-0005-0000-0000-0000678A0000}"/>
    <cellStyle name="Note 2 2 3 2 4 2 5" xfId="40311" xr:uid="{00000000-0005-0000-0000-0000688A0000}"/>
    <cellStyle name="Note 2 2 3 2 4 3" xfId="29453" xr:uid="{00000000-0005-0000-0000-0000698A0000}"/>
    <cellStyle name="Note 2 2 3 2 4 4" xfId="29454" xr:uid="{00000000-0005-0000-0000-00006A8A0000}"/>
    <cellStyle name="Note 2 2 3 2 4 5" xfId="29455" xr:uid="{00000000-0005-0000-0000-00006B8A0000}"/>
    <cellStyle name="Note 2 2 3 2 4 5 2" xfId="29456" xr:uid="{00000000-0005-0000-0000-00006C8A0000}"/>
    <cellStyle name="Note 2 2 3 2 4 6" xfId="29457" xr:uid="{00000000-0005-0000-0000-00006D8A0000}"/>
    <cellStyle name="Note 2 2 3 2 4 7" xfId="29458" xr:uid="{00000000-0005-0000-0000-00006E8A0000}"/>
    <cellStyle name="Note 2 2 3 2 4 8" xfId="40310" xr:uid="{00000000-0005-0000-0000-00006F8A0000}"/>
    <cellStyle name="Note 2 2 3 2 5" xfId="29459" xr:uid="{00000000-0005-0000-0000-0000708A0000}"/>
    <cellStyle name="Note 2 2 3 2 5 2" xfId="29460" xr:uid="{00000000-0005-0000-0000-0000718A0000}"/>
    <cellStyle name="Note 2 2 3 2 5 2 2" xfId="29461" xr:uid="{00000000-0005-0000-0000-0000728A0000}"/>
    <cellStyle name="Note 2 2 3 2 5 3" xfId="29462" xr:uid="{00000000-0005-0000-0000-0000738A0000}"/>
    <cellStyle name="Note 2 2 3 2 5 4" xfId="29463" xr:uid="{00000000-0005-0000-0000-0000748A0000}"/>
    <cellStyle name="Note 2 2 3 2 5 5" xfId="40312" xr:uid="{00000000-0005-0000-0000-0000758A0000}"/>
    <cellStyle name="Note 2 2 3 2 6" xfId="29464" xr:uid="{00000000-0005-0000-0000-0000768A0000}"/>
    <cellStyle name="Note 2 2 3 2 6 2" xfId="29465" xr:uid="{00000000-0005-0000-0000-0000778A0000}"/>
    <cellStyle name="Note 2 2 3 2 6 2 2" xfId="29466" xr:uid="{00000000-0005-0000-0000-0000788A0000}"/>
    <cellStyle name="Note 2 2 3 2 6 3" xfId="29467" xr:uid="{00000000-0005-0000-0000-0000798A0000}"/>
    <cellStyle name="Note 2 2 3 2 6 4" xfId="29468" xr:uid="{00000000-0005-0000-0000-00007A8A0000}"/>
    <cellStyle name="Note 2 2 3 2 6 5" xfId="40313" xr:uid="{00000000-0005-0000-0000-00007B8A0000}"/>
    <cellStyle name="Note 2 2 3 2 7" xfId="29469" xr:uid="{00000000-0005-0000-0000-00007C8A0000}"/>
    <cellStyle name="Note 2 2 3 2 8" xfId="29470" xr:uid="{00000000-0005-0000-0000-00007D8A0000}"/>
    <cellStyle name="Note 2 2 3 2 8 2" xfId="29471" xr:uid="{00000000-0005-0000-0000-00007E8A0000}"/>
    <cellStyle name="Note 2 2 3 2 8 3" xfId="40314" xr:uid="{00000000-0005-0000-0000-00007F8A0000}"/>
    <cellStyle name="Note 2 2 3 2 9" xfId="29472" xr:uid="{00000000-0005-0000-0000-0000808A0000}"/>
    <cellStyle name="Note 2 2 3 3" xfId="29473" xr:uid="{00000000-0005-0000-0000-0000818A0000}"/>
    <cellStyle name="Note 2 2 3 3 10" xfId="35534" xr:uid="{00000000-0005-0000-0000-0000828A0000}"/>
    <cellStyle name="Note 2 2 3 3 2" xfId="29474" xr:uid="{00000000-0005-0000-0000-0000838A0000}"/>
    <cellStyle name="Note 2 2 3 3 2 2" xfId="29475" xr:uid="{00000000-0005-0000-0000-0000848A0000}"/>
    <cellStyle name="Note 2 2 3 3 2 2 2" xfId="29476" xr:uid="{00000000-0005-0000-0000-0000858A0000}"/>
    <cellStyle name="Note 2 2 3 3 2 2 2 2" xfId="29477" xr:uid="{00000000-0005-0000-0000-0000868A0000}"/>
    <cellStyle name="Note 2 2 3 3 2 2 3" xfId="29478" xr:uid="{00000000-0005-0000-0000-0000878A0000}"/>
    <cellStyle name="Note 2 2 3 3 2 2 4" xfId="29479" xr:uid="{00000000-0005-0000-0000-0000888A0000}"/>
    <cellStyle name="Note 2 2 3 3 2 2 5" xfId="40315" xr:uid="{00000000-0005-0000-0000-0000898A0000}"/>
    <cellStyle name="Note 2 2 3 3 2 3" xfId="29480" xr:uid="{00000000-0005-0000-0000-00008A8A0000}"/>
    <cellStyle name="Note 2 2 3 3 2 3 2" xfId="29481" xr:uid="{00000000-0005-0000-0000-00008B8A0000}"/>
    <cellStyle name="Note 2 2 3 3 2 3 2 2" xfId="29482" xr:uid="{00000000-0005-0000-0000-00008C8A0000}"/>
    <cellStyle name="Note 2 2 3 3 2 3 3" xfId="29483" xr:uid="{00000000-0005-0000-0000-00008D8A0000}"/>
    <cellStyle name="Note 2 2 3 3 2 3 4" xfId="29484" xr:uid="{00000000-0005-0000-0000-00008E8A0000}"/>
    <cellStyle name="Note 2 2 3 3 2 4" xfId="29485" xr:uid="{00000000-0005-0000-0000-00008F8A0000}"/>
    <cellStyle name="Note 2 2 3 3 2 4 2" xfId="29486" xr:uid="{00000000-0005-0000-0000-0000908A0000}"/>
    <cellStyle name="Note 2 2 3 3 2 5" xfId="29487" xr:uid="{00000000-0005-0000-0000-0000918A0000}"/>
    <cellStyle name="Note 2 2 3 3 2 6" xfId="29488" xr:uid="{00000000-0005-0000-0000-0000928A0000}"/>
    <cellStyle name="Note 2 2 3 3 2 7" xfId="35535" xr:uid="{00000000-0005-0000-0000-0000938A0000}"/>
    <cellStyle name="Note 2 2 3 3 3" xfId="29489" xr:uid="{00000000-0005-0000-0000-0000948A0000}"/>
    <cellStyle name="Note 2 2 3 3 3 2" xfId="29490" xr:uid="{00000000-0005-0000-0000-0000958A0000}"/>
    <cellStyle name="Note 2 2 3 3 3 2 2" xfId="29491" xr:uid="{00000000-0005-0000-0000-0000968A0000}"/>
    <cellStyle name="Note 2 2 3 3 3 2 2 2" xfId="29492" xr:uid="{00000000-0005-0000-0000-0000978A0000}"/>
    <cellStyle name="Note 2 2 3 3 3 2 3" xfId="29493" xr:uid="{00000000-0005-0000-0000-0000988A0000}"/>
    <cellStyle name="Note 2 2 3 3 3 2 4" xfId="29494" xr:uid="{00000000-0005-0000-0000-0000998A0000}"/>
    <cellStyle name="Note 2 2 3 3 3 2 5" xfId="40316" xr:uid="{00000000-0005-0000-0000-00009A8A0000}"/>
    <cellStyle name="Note 2 2 3 3 3 3" xfId="29495" xr:uid="{00000000-0005-0000-0000-00009B8A0000}"/>
    <cellStyle name="Note 2 2 3 3 3 3 2" xfId="29496" xr:uid="{00000000-0005-0000-0000-00009C8A0000}"/>
    <cellStyle name="Note 2 2 3 3 3 4" xfId="29497" xr:uid="{00000000-0005-0000-0000-00009D8A0000}"/>
    <cellStyle name="Note 2 2 3 3 3 5" xfId="29498" xr:uid="{00000000-0005-0000-0000-00009E8A0000}"/>
    <cellStyle name="Note 2 2 3 3 3 6" xfId="35536" xr:uid="{00000000-0005-0000-0000-00009F8A0000}"/>
    <cellStyle name="Note 2 2 3 3 4" xfId="29499" xr:uid="{00000000-0005-0000-0000-0000A08A0000}"/>
    <cellStyle name="Note 2 2 3 3 4 2" xfId="29500" xr:uid="{00000000-0005-0000-0000-0000A18A0000}"/>
    <cellStyle name="Note 2 2 3 3 4 2 2" xfId="29501" xr:uid="{00000000-0005-0000-0000-0000A28A0000}"/>
    <cellStyle name="Note 2 2 3 3 4 3" xfId="29502" xr:uid="{00000000-0005-0000-0000-0000A38A0000}"/>
    <cellStyle name="Note 2 2 3 3 4 4" xfId="29503" xr:uid="{00000000-0005-0000-0000-0000A48A0000}"/>
    <cellStyle name="Note 2 2 3 3 4 5" xfId="40317" xr:uid="{00000000-0005-0000-0000-0000A58A0000}"/>
    <cellStyle name="Note 2 2 3 3 5" xfId="29504" xr:uid="{00000000-0005-0000-0000-0000A68A0000}"/>
    <cellStyle name="Note 2 2 3 3 5 2" xfId="29505" xr:uid="{00000000-0005-0000-0000-0000A78A0000}"/>
    <cellStyle name="Note 2 2 3 3 5 2 2" xfId="29506" xr:uid="{00000000-0005-0000-0000-0000A88A0000}"/>
    <cellStyle name="Note 2 2 3 3 5 3" xfId="29507" xr:uid="{00000000-0005-0000-0000-0000A98A0000}"/>
    <cellStyle name="Note 2 2 3 3 5 4" xfId="29508" xr:uid="{00000000-0005-0000-0000-0000AA8A0000}"/>
    <cellStyle name="Note 2 2 3 3 5 5" xfId="40318" xr:uid="{00000000-0005-0000-0000-0000AB8A0000}"/>
    <cellStyle name="Note 2 2 3 3 6" xfId="29509" xr:uid="{00000000-0005-0000-0000-0000AC8A0000}"/>
    <cellStyle name="Note 2 2 3 3 7" xfId="29510" xr:uid="{00000000-0005-0000-0000-0000AD8A0000}"/>
    <cellStyle name="Note 2 2 3 3 7 2" xfId="29511" xr:uid="{00000000-0005-0000-0000-0000AE8A0000}"/>
    <cellStyle name="Note 2 2 3 3 7 3" xfId="40319" xr:uid="{00000000-0005-0000-0000-0000AF8A0000}"/>
    <cellStyle name="Note 2 2 3 3 8" xfId="29512" xr:uid="{00000000-0005-0000-0000-0000B08A0000}"/>
    <cellStyle name="Note 2 2 3 3 9" xfId="29513" xr:uid="{00000000-0005-0000-0000-0000B18A0000}"/>
    <cellStyle name="Note 2 2 3 4" xfId="29514" xr:uid="{00000000-0005-0000-0000-0000B28A0000}"/>
    <cellStyle name="Note 2 2 3 4 2" xfId="29515" xr:uid="{00000000-0005-0000-0000-0000B38A0000}"/>
    <cellStyle name="Note 2 2 3 4 2 2" xfId="29516" xr:uid="{00000000-0005-0000-0000-0000B48A0000}"/>
    <cellStyle name="Note 2 2 3 4 2 2 2" xfId="29517" xr:uid="{00000000-0005-0000-0000-0000B58A0000}"/>
    <cellStyle name="Note 2 2 3 4 2 3" xfId="29518" xr:uid="{00000000-0005-0000-0000-0000B68A0000}"/>
    <cellStyle name="Note 2 2 3 4 2 4" xfId="29519" xr:uid="{00000000-0005-0000-0000-0000B78A0000}"/>
    <cellStyle name="Note 2 2 3 4 2 5" xfId="40320" xr:uid="{00000000-0005-0000-0000-0000B88A0000}"/>
    <cellStyle name="Note 2 2 3 4 3" xfId="29520" xr:uid="{00000000-0005-0000-0000-0000B98A0000}"/>
    <cellStyle name="Note 2 2 3 4 3 2" xfId="29521" xr:uid="{00000000-0005-0000-0000-0000BA8A0000}"/>
    <cellStyle name="Note 2 2 3 4 3 2 2" xfId="29522" xr:uid="{00000000-0005-0000-0000-0000BB8A0000}"/>
    <cellStyle name="Note 2 2 3 4 3 3" xfId="29523" xr:uid="{00000000-0005-0000-0000-0000BC8A0000}"/>
    <cellStyle name="Note 2 2 3 4 3 4" xfId="29524" xr:uid="{00000000-0005-0000-0000-0000BD8A0000}"/>
    <cellStyle name="Note 2 2 3 4 4" xfId="29525" xr:uid="{00000000-0005-0000-0000-0000BE8A0000}"/>
    <cellStyle name="Note 2 2 3 4 4 2" xfId="29526" xr:uid="{00000000-0005-0000-0000-0000BF8A0000}"/>
    <cellStyle name="Note 2 2 3 4 5" xfId="29527" xr:uid="{00000000-0005-0000-0000-0000C08A0000}"/>
    <cellStyle name="Note 2 2 3 4 6" xfId="29528" xr:uid="{00000000-0005-0000-0000-0000C18A0000}"/>
    <cellStyle name="Note 2 2 3 4 7" xfId="35537" xr:uid="{00000000-0005-0000-0000-0000C28A0000}"/>
    <cellStyle name="Note 2 2 3 5" xfId="29529" xr:uid="{00000000-0005-0000-0000-0000C38A0000}"/>
    <cellStyle name="Note 2 2 3 5 2" xfId="29530" xr:uid="{00000000-0005-0000-0000-0000C48A0000}"/>
    <cellStyle name="Note 2 2 3 5 2 2" xfId="29531" xr:uid="{00000000-0005-0000-0000-0000C58A0000}"/>
    <cellStyle name="Note 2 2 3 5 2 2 2" xfId="29532" xr:uid="{00000000-0005-0000-0000-0000C68A0000}"/>
    <cellStyle name="Note 2 2 3 5 2 3" xfId="29533" xr:uid="{00000000-0005-0000-0000-0000C78A0000}"/>
    <cellStyle name="Note 2 2 3 5 2 4" xfId="29534" xr:uid="{00000000-0005-0000-0000-0000C88A0000}"/>
    <cellStyle name="Note 2 2 3 5 2 5" xfId="40321" xr:uid="{00000000-0005-0000-0000-0000C98A0000}"/>
    <cellStyle name="Note 2 2 3 5 3" xfId="29535" xr:uid="{00000000-0005-0000-0000-0000CA8A0000}"/>
    <cellStyle name="Note 2 2 3 5 4" xfId="29536" xr:uid="{00000000-0005-0000-0000-0000CB8A0000}"/>
    <cellStyle name="Note 2 2 3 5 4 2" xfId="29537" xr:uid="{00000000-0005-0000-0000-0000CC8A0000}"/>
    <cellStyle name="Note 2 2 3 5 5" xfId="29538" xr:uid="{00000000-0005-0000-0000-0000CD8A0000}"/>
    <cellStyle name="Note 2 2 3 5 6" xfId="29539" xr:uid="{00000000-0005-0000-0000-0000CE8A0000}"/>
    <cellStyle name="Note 2 2 3 5 7" xfId="35538" xr:uid="{00000000-0005-0000-0000-0000CF8A0000}"/>
    <cellStyle name="Note 2 2 3 6" xfId="29540" xr:uid="{00000000-0005-0000-0000-0000D08A0000}"/>
    <cellStyle name="Note 2 2 3 6 2" xfId="29541" xr:uid="{00000000-0005-0000-0000-0000D18A0000}"/>
    <cellStyle name="Note 2 2 3 6 3" xfId="29542" xr:uid="{00000000-0005-0000-0000-0000D28A0000}"/>
    <cellStyle name="Note 2 2 3 6 4" xfId="29543" xr:uid="{00000000-0005-0000-0000-0000D38A0000}"/>
    <cellStyle name="Note 2 2 3 6 4 2" xfId="29544" xr:uid="{00000000-0005-0000-0000-0000D48A0000}"/>
    <cellStyle name="Note 2 2 3 6 5" xfId="29545" xr:uid="{00000000-0005-0000-0000-0000D58A0000}"/>
    <cellStyle name="Note 2 2 3 6 6" xfId="29546" xr:uid="{00000000-0005-0000-0000-0000D68A0000}"/>
    <cellStyle name="Note 2 2 3 6 7" xfId="40322" xr:uid="{00000000-0005-0000-0000-0000D78A0000}"/>
    <cellStyle name="Note 2 2 3 7" xfId="29547" xr:uid="{00000000-0005-0000-0000-0000D88A0000}"/>
    <cellStyle name="Note 2 2 3 7 2" xfId="29548" xr:uid="{00000000-0005-0000-0000-0000D98A0000}"/>
    <cellStyle name="Note 2 2 3 7 2 2" xfId="29549" xr:uid="{00000000-0005-0000-0000-0000DA8A0000}"/>
    <cellStyle name="Note 2 2 3 7 3" xfId="29550" xr:uid="{00000000-0005-0000-0000-0000DB8A0000}"/>
    <cellStyle name="Note 2 2 3 7 4" xfId="29551" xr:uid="{00000000-0005-0000-0000-0000DC8A0000}"/>
    <cellStyle name="Note 2 2 3 7 5" xfId="40323" xr:uid="{00000000-0005-0000-0000-0000DD8A0000}"/>
    <cellStyle name="Note 2 2 3 8" xfId="29552" xr:uid="{00000000-0005-0000-0000-0000DE8A0000}"/>
    <cellStyle name="Note 2 2 3 9" xfId="29553" xr:uid="{00000000-0005-0000-0000-0000DF8A0000}"/>
    <cellStyle name="Note 2 2 3 9 2" xfId="29554" xr:uid="{00000000-0005-0000-0000-0000E08A0000}"/>
    <cellStyle name="Note 2 2 3 9 3" xfId="40324" xr:uid="{00000000-0005-0000-0000-0000E18A0000}"/>
    <cellStyle name="Note 2 2 4" xfId="29555" xr:uid="{00000000-0005-0000-0000-0000E28A0000}"/>
    <cellStyle name="Note 2 2 4 10" xfId="29556" xr:uid="{00000000-0005-0000-0000-0000E38A0000}"/>
    <cellStyle name="Note 2 2 4 11" xfId="35539" xr:uid="{00000000-0005-0000-0000-0000E48A0000}"/>
    <cellStyle name="Note 2 2 4 2" xfId="29557" xr:uid="{00000000-0005-0000-0000-0000E58A0000}"/>
    <cellStyle name="Note 2 2 4 2 10" xfId="35540" xr:uid="{00000000-0005-0000-0000-0000E68A0000}"/>
    <cellStyle name="Note 2 2 4 2 2" xfId="29558" xr:uid="{00000000-0005-0000-0000-0000E78A0000}"/>
    <cellStyle name="Note 2 2 4 2 2 2" xfId="29559" xr:uid="{00000000-0005-0000-0000-0000E88A0000}"/>
    <cellStyle name="Note 2 2 4 2 2 2 2" xfId="29560" xr:uid="{00000000-0005-0000-0000-0000E98A0000}"/>
    <cellStyle name="Note 2 2 4 2 2 2 2 2" xfId="29561" xr:uid="{00000000-0005-0000-0000-0000EA8A0000}"/>
    <cellStyle name="Note 2 2 4 2 2 2 3" xfId="29562" xr:uid="{00000000-0005-0000-0000-0000EB8A0000}"/>
    <cellStyle name="Note 2 2 4 2 2 2 4" xfId="29563" xr:uid="{00000000-0005-0000-0000-0000EC8A0000}"/>
    <cellStyle name="Note 2 2 4 2 2 2 5" xfId="40325" xr:uid="{00000000-0005-0000-0000-0000ED8A0000}"/>
    <cellStyle name="Note 2 2 4 2 2 3" xfId="29564" xr:uid="{00000000-0005-0000-0000-0000EE8A0000}"/>
    <cellStyle name="Note 2 2 4 2 2 3 2" xfId="29565" xr:uid="{00000000-0005-0000-0000-0000EF8A0000}"/>
    <cellStyle name="Note 2 2 4 2 2 3 2 2" xfId="29566" xr:uid="{00000000-0005-0000-0000-0000F08A0000}"/>
    <cellStyle name="Note 2 2 4 2 2 3 3" xfId="29567" xr:uid="{00000000-0005-0000-0000-0000F18A0000}"/>
    <cellStyle name="Note 2 2 4 2 2 3 4" xfId="29568" xr:uid="{00000000-0005-0000-0000-0000F28A0000}"/>
    <cellStyle name="Note 2 2 4 2 2 4" xfId="29569" xr:uid="{00000000-0005-0000-0000-0000F38A0000}"/>
    <cellStyle name="Note 2 2 4 2 2 4 2" xfId="29570" xr:uid="{00000000-0005-0000-0000-0000F48A0000}"/>
    <cellStyle name="Note 2 2 4 2 2 5" xfId="29571" xr:uid="{00000000-0005-0000-0000-0000F58A0000}"/>
    <cellStyle name="Note 2 2 4 2 2 6" xfId="29572" xr:uid="{00000000-0005-0000-0000-0000F68A0000}"/>
    <cellStyle name="Note 2 2 4 2 2 7" xfId="35541" xr:uid="{00000000-0005-0000-0000-0000F78A0000}"/>
    <cellStyle name="Note 2 2 4 2 3" xfId="29573" xr:uid="{00000000-0005-0000-0000-0000F88A0000}"/>
    <cellStyle name="Note 2 2 4 2 3 2" xfId="29574" xr:uid="{00000000-0005-0000-0000-0000F98A0000}"/>
    <cellStyle name="Note 2 2 4 2 3 2 2" xfId="29575" xr:uid="{00000000-0005-0000-0000-0000FA8A0000}"/>
    <cellStyle name="Note 2 2 4 2 3 2 2 2" xfId="29576" xr:uid="{00000000-0005-0000-0000-0000FB8A0000}"/>
    <cellStyle name="Note 2 2 4 2 3 2 3" xfId="29577" xr:uid="{00000000-0005-0000-0000-0000FC8A0000}"/>
    <cellStyle name="Note 2 2 4 2 3 2 4" xfId="29578" xr:uid="{00000000-0005-0000-0000-0000FD8A0000}"/>
    <cellStyle name="Note 2 2 4 2 3 2 5" xfId="40326" xr:uid="{00000000-0005-0000-0000-0000FE8A0000}"/>
    <cellStyle name="Note 2 2 4 2 3 3" xfId="29579" xr:uid="{00000000-0005-0000-0000-0000FF8A0000}"/>
    <cellStyle name="Note 2 2 4 2 3 3 2" xfId="29580" xr:uid="{00000000-0005-0000-0000-0000008B0000}"/>
    <cellStyle name="Note 2 2 4 2 3 4" xfId="29581" xr:uid="{00000000-0005-0000-0000-0000018B0000}"/>
    <cellStyle name="Note 2 2 4 2 3 5" xfId="29582" xr:uid="{00000000-0005-0000-0000-0000028B0000}"/>
    <cellStyle name="Note 2 2 4 2 3 6" xfId="35542" xr:uid="{00000000-0005-0000-0000-0000038B0000}"/>
    <cellStyle name="Note 2 2 4 2 4" xfId="29583" xr:uid="{00000000-0005-0000-0000-0000048B0000}"/>
    <cellStyle name="Note 2 2 4 2 4 2" xfId="29584" xr:uid="{00000000-0005-0000-0000-0000058B0000}"/>
    <cellStyle name="Note 2 2 4 2 4 2 2" xfId="29585" xr:uid="{00000000-0005-0000-0000-0000068B0000}"/>
    <cellStyle name="Note 2 2 4 2 4 3" xfId="29586" xr:uid="{00000000-0005-0000-0000-0000078B0000}"/>
    <cellStyle name="Note 2 2 4 2 4 4" xfId="29587" xr:uid="{00000000-0005-0000-0000-0000088B0000}"/>
    <cellStyle name="Note 2 2 4 2 4 5" xfId="40327" xr:uid="{00000000-0005-0000-0000-0000098B0000}"/>
    <cellStyle name="Note 2 2 4 2 5" xfId="29588" xr:uid="{00000000-0005-0000-0000-00000A8B0000}"/>
    <cellStyle name="Note 2 2 4 2 5 2" xfId="29589" xr:uid="{00000000-0005-0000-0000-00000B8B0000}"/>
    <cellStyle name="Note 2 2 4 2 5 2 2" xfId="29590" xr:uid="{00000000-0005-0000-0000-00000C8B0000}"/>
    <cellStyle name="Note 2 2 4 2 5 3" xfId="29591" xr:uid="{00000000-0005-0000-0000-00000D8B0000}"/>
    <cellStyle name="Note 2 2 4 2 5 4" xfId="29592" xr:uid="{00000000-0005-0000-0000-00000E8B0000}"/>
    <cellStyle name="Note 2 2 4 2 5 5" xfId="40328" xr:uid="{00000000-0005-0000-0000-00000F8B0000}"/>
    <cellStyle name="Note 2 2 4 2 6" xfId="29593" xr:uid="{00000000-0005-0000-0000-0000108B0000}"/>
    <cellStyle name="Note 2 2 4 2 7" xfId="29594" xr:uid="{00000000-0005-0000-0000-0000118B0000}"/>
    <cellStyle name="Note 2 2 4 2 7 2" xfId="29595" xr:uid="{00000000-0005-0000-0000-0000128B0000}"/>
    <cellStyle name="Note 2 2 4 2 7 3" xfId="40329" xr:uid="{00000000-0005-0000-0000-0000138B0000}"/>
    <cellStyle name="Note 2 2 4 2 8" xfId="29596" xr:uid="{00000000-0005-0000-0000-0000148B0000}"/>
    <cellStyle name="Note 2 2 4 2 9" xfId="29597" xr:uid="{00000000-0005-0000-0000-0000158B0000}"/>
    <cellStyle name="Note 2 2 4 3" xfId="29598" xr:uid="{00000000-0005-0000-0000-0000168B0000}"/>
    <cellStyle name="Note 2 2 4 3 2" xfId="29599" xr:uid="{00000000-0005-0000-0000-0000178B0000}"/>
    <cellStyle name="Note 2 2 4 3 2 2" xfId="29600" xr:uid="{00000000-0005-0000-0000-0000188B0000}"/>
    <cellStyle name="Note 2 2 4 3 2 2 2" xfId="29601" xr:uid="{00000000-0005-0000-0000-0000198B0000}"/>
    <cellStyle name="Note 2 2 4 3 2 3" xfId="29602" xr:uid="{00000000-0005-0000-0000-00001A8B0000}"/>
    <cellStyle name="Note 2 2 4 3 2 4" xfId="29603" xr:uid="{00000000-0005-0000-0000-00001B8B0000}"/>
    <cellStyle name="Note 2 2 4 3 2 5" xfId="35544" xr:uid="{00000000-0005-0000-0000-00001C8B0000}"/>
    <cellStyle name="Note 2 2 4 3 3" xfId="29604" xr:uid="{00000000-0005-0000-0000-00001D8B0000}"/>
    <cellStyle name="Note 2 2 4 3 4" xfId="29605" xr:uid="{00000000-0005-0000-0000-00001E8B0000}"/>
    <cellStyle name="Note 2 2 4 3 4 2" xfId="29606" xr:uid="{00000000-0005-0000-0000-00001F8B0000}"/>
    <cellStyle name="Note 2 2 4 3 4 3" xfId="40330" xr:uid="{00000000-0005-0000-0000-0000208B0000}"/>
    <cellStyle name="Note 2 2 4 3 5" xfId="29607" xr:uid="{00000000-0005-0000-0000-0000218B0000}"/>
    <cellStyle name="Note 2 2 4 3 5 2" xfId="40331" xr:uid="{00000000-0005-0000-0000-0000228B0000}"/>
    <cellStyle name="Note 2 2 4 3 6" xfId="29608" xr:uid="{00000000-0005-0000-0000-0000238B0000}"/>
    <cellStyle name="Note 2 2 4 3 7" xfId="35543" xr:uid="{00000000-0005-0000-0000-0000248B0000}"/>
    <cellStyle name="Note 2 2 4 4" xfId="29609" xr:uid="{00000000-0005-0000-0000-0000258B0000}"/>
    <cellStyle name="Note 2 2 4 4 2" xfId="29610" xr:uid="{00000000-0005-0000-0000-0000268B0000}"/>
    <cellStyle name="Note 2 2 4 4 2 2" xfId="29611" xr:uid="{00000000-0005-0000-0000-0000278B0000}"/>
    <cellStyle name="Note 2 2 4 4 2 2 2" xfId="29612" xr:uid="{00000000-0005-0000-0000-0000288B0000}"/>
    <cellStyle name="Note 2 2 4 4 2 3" xfId="29613" xr:uid="{00000000-0005-0000-0000-0000298B0000}"/>
    <cellStyle name="Note 2 2 4 4 2 4" xfId="29614" xr:uid="{00000000-0005-0000-0000-00002A8B0000}"/>
    <cellStyle name="Note 2 2 4 4 2 5" xfId="40332" xr:uid="{00000000-0005-0000-0000-00002B8B0000}"/>
    <cellStyle name="Note 2 2 4 4 3" xfId="29615" xr:uid="{00000000-0005-0000-0000-00002C8B0000}"/>
    <cellStyle name="Note 2 2 4 4 3 2" xfId="29616" xr:uid="{00000000-0005-0000-0000-00002D8B0000}"/>
    <cellStyle name="Note 2 2 4 4 3 2 2" xfId="29617" xr:uid="{00000000-0005-0000-0000-00002E8B0000}"/>
    <cellStyle name="Note 2 2 4 4 3 3" xfId="29618" xr:uid="{00000000-0005-0000-0000-00002F8B0000}"/>
    <cellStyle name="Note 2 2 4 4 3 4" xfId="29619" xr:uid="{00000000-0005-0000-0000-0000308B0000}"/>
    <cellStyle name="Note 2 2 4 4 4" xfId="29620" xr:uid="{00000000-0005-0000-0000-0000318B0000}"/>
    <cellStyle name="Note 2 2 4 4 4 2" xfId="29621" xr:uid="{00000000-0005-0000-0000-0000328B0000}"/>
    <cellStyle name="Note 2 2 4 4 5" xfId="29622" xr:uid="{00000000-0005-0000-0000-0000338B0000}"/>
    <cellStyle name="Note 2 2 4 4 6" xfId="29623" xr:uid="{00000000-0005-0000-0000-0000348B0000}"/>
    <cellStyle name="Note 2 2 4 4 7" xfId="35545" xr:uid="{00000000-0005-0000-0000-0000358B0000}"/>
    <cellStyle name="Note 2 2 4 5" xfId="29624" xr:uid="{00000000-0005-0000-0000-0000368B0000}"/>
    <cellStyle name="Note 2 2 4 5 2" xfId="29625" xr:uid="{00000000-0005-0000-0000-0000378B0000}"/>
    <cellStyle name="Note 2 2 4 5 3" xfId="29626" xr:uid="{00000000-0005-0000-0000-0000388B0000}"/>
    <cellStyle name="Note 2 2 4 5 4" xfId="29627" xr:uid="{00000000-0005-0000-0000-0000398B0000}"/>
    <cellStyle name="Note 2 2 4 5 4 2" xfId="29628" xr:uid="{00000000-0005-0000-0000-00003A8B0000}"/>
    <cellStyle name="Note 2 2 4 5 5" xfId="29629" xr:uid="{00000000-0005-0000-0000-00003B8B0000}"/>
    <cellStyle name="Note 2 2 4 5 6" xfId="29630" xr:uid="{00000000-0005-0000-0000-00003C8B0000}"/>
    <cellStyle name="Note 2 2 4 5 7" xfId="35546" xr:uid="{00000000-0005-0000-0000-00003D8B0000}"/>
    <cellStyle name="Note 2 2 4 6" xfId="29631" xr:uid="{00000000-0005-0000-0000-00003E8B0000}"/>
    <cellStyle name="Note 2 2 4 6 2" xfId="29632" xr:uid="{00000000-0005-0000-0000-00003F8B0000}"/>
    <cellStyle name="Note 2 2 4 6 2 2" xfId="29633" xr:uid="{00000000-0005-0000-0000-0000408B0000}"/>
    <cellStyle name="Note 2 2 4 6 3" xfId="29634" xr:uid="{00000000-0005-0000-0000-0000418B0000}"/>
    <cellStyle name="Note 2 2 4 6 4" xfId="29635" xr:uid="{00000000-0005-0000-0000-0000428B0000}"/>
    <cellStyle name="Note 2 2 4 6 5" xfId="40333" xr:uid="{00000000-0005-0000-0000-0000438B0000}"/>
    <cellStyle name="Note 2 2 4 7" xfId="29636" xr:uid="{00000000-0005-0000-0000-0000448B0000}"/>
    <cellStyle name="Note 2 2 4 8" xfId="29637" xr:uid="{00000000-0005-0000-0000-0000458B0000}"/>
    <cellStyle name="Note 2 2 4 8 2" xfId="29638" xr:uid="{00000000-0005-0000-0000-0000468B0000}"/>
    <cellStyle name="Note 2 2 4 8 3" xfId="40334" xr:uid="{00000000-0005-0000-0000-0000478B0000}"/>
    <cellStyle name="Note 2 2 4 9" xfId="29639" xr:uid="{00000000-0005-0000-0000-0000488B0000}"/>
    <cellStyle name="Note 2 2 5" xfId="29640" xr:uid="{00000000-0005-0000-0000-0000498B0000}"/>
    <cellStyle name="Note 2 2 5 10" xfId="35547" xr:uid="{00000000-0005-0000-0000-00004A8B0000}"/>
    <cellStyle name="Note 2 2 5 2" xfId="29641" xr:uid="{00000000-0005-0000-0000-00004B8B0000}"/>
    <cellStyle name="Note 2 2 5 2 2" xfId="29642" xr:uid="{00000000-0005-0000-0000-00004C8B0000}"/>
    <cellStyle name="Note 2 2 5 2 2 2" xfId="29643" xr:uid="{00000000-0005-0000-0000-00004D8B0000}"/>
    <cellStyle name="Note 2 2 5 2 2 2 2" xfId="29644" xr:uid="{00000000-0005-0000-0000-00004E8B0000}"/>
    <cellStyle name="Note 2 2 5 2 2 3" xfId="29645" xr:uid="{00000000-0005-0000-0000-00004F8B0000}"/>
    <cellStyle name="Note 2 2 5 2 2 4" xfId="29646" xr:uid="{00000000-0005-0000-0000-0000508B0000}"/>
    <cellStyle name="Note 2 2 5 2 2 5" xfId="40335" xr:uid="{00000000-0005-0000-0000-0000518B0000}"/>
    <cellStyle name="Note 2 2 5 2 3" xfId="29647" xr:uid="{00000000-0005-0000-0000-0000528B0000}"/>
    <cellStyle name="Note 2 2 5 2 4" xfId="29648" xr:uid="{00000000-0005-0000-0000-0000538B0000}"/>
    <cellStyle name="Note 2 2 5 2 4 2" xfId="29649" xr:uid="{00000000-0005-0000-0000-0000548B0000}"/>
    <cellStyle name="Note 2 2 5 2 4 3" xfId="40336" xr:uid="{00000000-0005-0000-0000-0000558B0000}"/>
    <cellStyle name="Note 2 2 5 2 5" xfId="29650" xr:uid="{00000000-0005-0000-0000-0000568B0000}"/>
    <cellStyle name="Note 2 2 5 2 5 2" xfId="40337" xr:uid="{00000000-0005-0000-0000-0000578B0000}"/>
    <cellStyle name="Note 2 2 5 2 6" xfId="29651" xr:uid="{00000000-0005-0000-0000-0000588B0000}"/>
    <cellStyle name="Note 2 2 5 2 7" xfId="35548" xr:uid="{00000000-0005-0000-0000-0000598B0000}"/>
    <cellStyle name="Note 2 2 5 3" xfId="29652" xr:uid="{00000000-0005-0000-0000-00005A8B0000}"/>
    <cellStyle name="Note 2 2 5 3 2" xfId="29653" xr:uid="{00000000-0005-0000-0000-00005B8B0000}"/>
    <cellStyle name="Note 2 2 5 3 2 2" xfId="29654" xr:uid="{00000000-0005-0000-0000-00005C8B0000}"/>
    <cellStyle name="Note 2 2 5 3 2 2 2" xfId="29655" xr:uid="{00000000-0005-0000-0000-00005D8B0000}"/>
    <cellStyle name="Note 2 2 5 3 2 3" xfId="29656" xr:uid="{00000000-0005-0000-0000-00005E8B0000}"/>
    <cellStyle name="Note 2 2 5 3 2 4" xfId="29657" xr:uid="{00000000-0005-0000-0000-00005F8B0000}"/>
    <cellStyle name="Note 2 2 5 3 2 5" xfId="40338" xr:uid="{00000000-0005-0000-0000-0000608B0000}"/>
    <cellStyle name="Note 2 2 5 3 3" xfId="29658" xr:uid="{00000000-0005-0000-0000-0000618B0000}"/>
    <cellStyle name="Note 2 2 5 3 4" xfId="29659" xr:uid="{00000000-0005-0000-0000-0000628B0000}"/>
    <cellStyle name="Note 2 2 5 3 4 2" xfId="29660" xr:uid="{00000000-0005-0000-0000-0000638B0000}"/>
    <cellStyle name="Note 2 2 5 3 4 3" xfId="40339" xr:uid="{00000000-0005-0000-0000-0000648B0000}"/>
    <cellStyle name="Note 2 2 5 3 5" xfId="29661" xr:uid="{00000000-0005-0000-0000-0000658B0000}"/>
    <cellStyle name="Note 2 2 5 3 5 2" xfId="40340" xr:uid="{00000000-0005-0000-0000-0000668B0000}"/>
    <cellStyle name="Note 2 2 5 3 6" xfId="29662" xr:uid="{00000000-0005-0000-0000-0000678B0000}"/>
    <cellStyle name="Note 2 2 5 3 7" xfId="35549" xr:uid="{00000000-0005-0000-0000-0000688B0000}"/>
    <cellStyle name="Note 2 2 5 4" xfId="29663" xr:uid="{00000000-0005-0000-0000-0000698B0000}"/>
    <cellStyle name="Note 2 2 5 4 2" xfId="29664" xr:uid="{00000000-0005-0000-0000-00006A8B0000}"/>
    <cellStyle name="Note 2 2 5 4 2 2" xfId="29665" xr:uid="{00000000-0005-0000-0000-00006B8B0000}"/>
    <cellStyle name="Note 2 2 5 4 2 2 2" xfId="29666" xr:uid="{00000000-0005-0000-0000-00006C8B0000}"/>
    <cellStyle name="Note 2 2 5 4 2 3" xfId="29667" xr:uid="{00000000-0005-0000-0000-00006D8B0000}"/>
    <cellStyle name="Note 2 2 5 4 2 4" xfId="29668" xr:uid="{00000000-0005-0000-0000-00006E8B0000}"/>
    <cellStyle name="Note 2 2 5 4 3" xfId="29669" xr:uid="{00000000-0005-0000-0000-00006F8B0000}"/>
    <cellStyle name="Note 2 2 5 4 3 2" xfId="29670" xr:uid="{00000000-0005-0000-0000-0000708B0000}"/>
    <cellStyle name="Note 2 2 5 4 4" xfId="29671" xr:uid="{00000000-0005-0000-0000-0000718B0000}"/>
    <cellStyle name="Note 2 2 5 4 5" xfId="29672" xr:uid="{00000000-0005-0000-0000-0000728B0000}"/>
    <cellStyle name="Note 2 2 5 4 6" xfId="40341" xr:uid="{00000000-0005-0000-0000-0000738B0000}"/>
    <cellStyle name="Note 2 2 5 5" xfId="29673" xr:uid="{00000000-0005-0000-0000-0000748B0000}"/>
    <cellStyle name="Note 2 2 5 5 2" xfId="29674" xr:uid="{00000000-0005-0000-0000-0000758B0000}"/>
    <cellStyle name="Note 2 2 5 5 2 2" xfId="29675" xr:uid="{00000000-0005-0000-0000-0000768B0000}"/>
    <cellStyle name="Note 2 2 5 5 3" xfId="29676" xr:uid="{00000000-0005-0000-0000-0000778B0000}"/>
    <cellStyle name="Note 2 2 5 5 4" xfId="29677" xr:uid="{00000000-0005-0000-0000-0000788B0000}"/>
    <cellStyle name="Note 2 2 5 5 5" xfId="40342" xr:uid="{00000000-0005-0000-0000-0000798B0000}"/>
    <cellStyle name="Note 2 2 5 6" xfId="29678" xr:uid="{00000000-0005-0000-0000-00007A8B0000}"/>
    <cellStyle name="Note 2 2 5 7" xfId="29679" xr:uid="{00000000-0005-0000-0000-00007B8B0000}"/>
    <cellStyle name="Note 2 2 5 7 2" xfId="29680" xr:uid="{00000000-0005-0000-0000-00007C8B0000}"/>
    <cellStyle name="Note 2 2 5 7 3" xfId="40343" xr:uid="{00000000-0005-0000-0000-00007D8B0000}"/>
    <cellStyle name="Note 2 2 5 8" xfId="29681" xr:uid="{00000000-0005-0000-0000-00007E8B0000}"/>
    <cellStyle name="Note 2 2 5 9" xfId="29682" xr:uid="{00000000-0005-0000-0000-00007F8B0000}"/>
    <cellStyle name="Note 2 2 6" xfId="29683" xr:uid="{00000000-0005-0000-0000-0000808B0000}"/>
    <cellStyle name="Note 2 2 6 2" xfId="29684" xr:uid="{00000000-0005-0000-0000-0000818B0000}"/>
    <cellStyle name="Note 2 2 6 2 2" xfId="29685" xr:uid="{00000000-0005-0000-0000-0000828B0000}"/>
    <cellStyle name="Note 2 2 6 2 2 2" xfId="29686" xr:uid="{00000000-0005-0000-0000-0000838B0000}"/>
    <cellStyle name="Note 2 2 6 2 3" xfId="29687" xr:uid="{00000000-0005-0000-0000-0000848B0000}"/>
    <cellStyle name="Note 2 2 6 2 4" xfId="29688" xr:uid="{00000000-0005-0000-0000-0000858B0000}"/>
    <cellStyle name="Note 2 2 6 2 5" xfId="35551" xr:uid="{00000000-0005-0000-0000-0000868B0000}"/>
    <cellStyle name="Note 2 2 6 3" xfId="29689" xr:uid="{00000000-0005-0000-0000-0000878B0000}"/>
    <cellStyle name="Note 2 2 6 4" xfId="29690" xr:uid="{00000000-0005-0000-0000-0000888B0000}"/>
    <cellStyle name="Note 2 2 6 4 2" xfId="29691" xr:uid="{00000000-0005-0000-0000-0000898B0000}"/>
    <cellStyle name="Note 2 2 6 4 3" xfId="40344" xr:uid="{00000000-0005-0000-0000-00008A8B0000}"/>
    <cellStyle name="Note 2 2 6 5" xfId="29692" xr:uid="{00000000-0005-0000-0000-00008B8B0000}"/>
    <cellStyle name="Note 2 2 6 5 2" xfId="40345" xr:uid="{00000000-0005-0000-0000-00008C8B0000}"/>
    <cellStyle name="Note 2 2 6 6" xfId="29693" xr:uid="{00000000-0005-0000-0000-00008D8B0000}"/>
    <cellStyle name="Note 2 2 6 7" xfId="35550" xr:uid="{00000000-0005-0000-0000-00008E8B0000}"/>
    <cellStyle name="Note 2 2 7" xfId="29694" xr:uid="{00000000-0005-0000-0000-00008F8B0000}"/>
    <cellStyle name="Note 2 2 7 2" xfId="29695" xr:uid="{00000000-0005-0000-0000-0000908B0000}"/>
    <cellStyle name="Note 2 2 7 2 2" xfId="29696" xr:uid="{00000000-0005-0000-0000-0000918B0000}"/>
    <cellStyle name="Note 2 2 7 2 2 2" xfId="29697" xr:uid="{00000000-0005-0000-0000-0000928B0000}"/>
    <cellStyle name="Note 2 2 7 2 3" xfId="29698" xr:uid="{00000000-0005-0000-0000-0000938B0000}"/>
    <cellStyle name="Note 2 2 7 2 4" xfId="29699" xr:uid="{00000000-0005-0000-0000-0000948B0000}"/>
    <cellStyle name="Note 2 2 7 2 5" xfId="40346" xr:uid="{00000000-0005-0000-0000-0000958B0000}"/>
    <cellStyle name="Note 2 2 7 3" xfId="29700" xr:uid="{00000000-0005-0000-0000-0000968B0000}"/>
    <cellStyle name="Note 2 2 7 4" xfId="29701" xr:uid="{00000000-0005-0000-0000-0000978B0000}"/>
    <cellStyle name="Note 2 2 7 4 2" xfId="29702" xr:uid="{00000000-0005-0000-0000-0000988B0000}"/>
    <cellStyle name="Note 2 2 7 4 3" xfId="40347" xr:uid="{00000000-0005-0000-0000-0000998B0000}"/>
    <cellStyle name="Note 2 2 7 5" xfId="29703" xr:uid="{00000000-0005-0000-0000-00009A8B0000}"/>
    <cellStyle name="Note 2 2 7 5 2" xfId="40348" xr:uid="{00000000-0005-0000-0000-00009B8B0000}"/>
    <cellStyle name="Note 2 2 7 6" xfId="29704" xr:uid="{00000000-0005-0000-0000-00009C8B0000}"/>
    <cellStyle name="Note 2 2 7 7" xfId="35552" xr:uid="{00000000-0005-0000-0000-00009D8B0000}"/>
    <cellStyle name="Note 2 2 8" xfId="29705" xr:uid="{00000000-0005-0000-0000-00009E8B0000}"/>
    <cellStyle name="Note 2 2 8 2" xfId="29706" xr:uid="{00000000-0005-0000-0000-00009F8B0000}"/>
    <cellStyle name="Note 2 2 8 2 2" xfId="29707" xr:uid="{00000000-0005-0000-0000-0000A08B0000}"/>
    <cellStyle name="Note 2 2 8 2 2 2" xfId="29708" xr:uid="{00000000-0005-0000-0000-0000A18B0000}"/>
    <cellStyle name="Note 2 2 8 2 3" xfId="29709" xr:uid="{00000000-0005-0000-0000-0000A28B0000}"/>
    <cellStyle name="Note 2 2 8 2 4" xfId="29710" xr:uid="{00000000-0005-0000-0000-0000A38B0000}"/>
    <cellStyle name="Note 2 2 8 3" xfId="29711" xr:uid="{00000000-0005-0000-0000-0000A48B0000}"/>
    <cellStyle name="Note 2 2 8 3 2" xfId="29712" xr:uid="{00000000-0005-0000-0000-0000A58B0000}"/>
    <cellStyle name="Note 2 2 8 4" xfId="29713" xr:uid="{00000000-0005-0000-0000-0000A68B0000}"/>
    <cellStyle name="Note 2 2 8 5" xfId="29714" xr:uid="{00000000-0005-0000-0000-0000A78B0000}"/>
    <cellStyle name="Note 2 2 8 6" xfId="35553" xr:uid="{00000000-0005-0000-0000-0000A88B0000}"/>
    <cellStyle name="Note 2 2 9" xfId="29715" xr:uid="{00000000-0005-0000-0000-0000A98B0000}"/>
    <cellStyle name="Note 2 2 9 2" xfId="29716" xr:uid="{00000000-0005-0000-0000-0000AA8B0000}"/>
    <cellStyle name="Note 2 2 9 3" xfId="29717" xr:uid="{00000000-0005-0000-0000-0000AB8B0000}"/>
    <cellStyle name="Note 2 2 9 3 2" xfId="29718" xr:uid="{00000000-0005-0000-0000-0000AC8B0000}"/>
    <cellStyle name="Note 2 2 9 3 3" xfId="40349" xr:uid="{00000000-0005-0000-0000-0000AD8B0000}"/>
    <cellStyle name="Note 2 2 9 4" xfId="29719" xr:uid="{00000000-0005-0000-0000-0000AE8B0000}"/>
    <cellStyle name="Note 2 2 9 5" xfId="29720" xr:uid="{00000000-0005-0000-0000-0000AF8B0000}"/>
    <cellStyle name="Note 2 3" xfId="29721" xr:uid="{00000000-0005-0000-0000-0000B08B0000}"/>
    <cellStyle name="Note 2 3 10" xfId="29722" xr:uid="{00000000-0005-0000-0000-0000B18B0000}"/>
    <cellStyle name="Note 2 3 10 2" xfId="29723" xr:uid="{00000000-0005-0000-0000-0000B28B0000}"/>
    <cellStyle name="Note 2 3 10 3" xfId="40350" xr:uid="{00000000-0005-0000-0000-0000B38B0000}"/>
    <cellStyle name="Note 2 3 11" xfId="29724" xr:uid="{00000000-0005-0000-0000-0000B48B0000}"/>
    <cellStyle name="Note 2 3 11 2" xfId="29725" xr:uid="{00000000-0005-0000-0000-0000B58B0000}"/>
    <cellStyle name="Note 2 3 11 3" xfId="40351" xr:uid="{00000000-0005-0000-0000-0000B68B0000}"/>
    <cellStyle name="Note 2 3 12" xfId="29726" xr:uid="{00000000-0005-0000-0000-0000B78B0000}"/>
    <cellStyle name="Note 2 3 13" xfId="40352" xr:uid="{00000000-0005-0000-0000-0000B88B0000}"/>
    <cellStyle name="Note 2 3 2" xfId="29727" xr:uid="{00000000-0005-0000-0000-0000B98B0000}"/>
    <cellStyle name="Note 2 3 2 2" xfId="29728" xr:uid="{00000000-0005-0000-0000-0000BA8B0000}"/>
    <cellStyle name="Note 2 3 2 2 2" xfId="29729" xr:uid="{00000000-0005-0000-0000-0000BB8B0000}"/>
    <cellStyle name="Note 2 3 2 2 2 2" xfId="29730" xr:uid="{00000000-0005-0000-0000-0000BC8B0000}"/>
    <cellStyle name="Note 2 3 2 2 2 2 2" xfId="35557" xr:uid="{00000000-0005-0000-0000-0000BD8B0000}"/>
    <cellStyle name="Note 2 3 2 2 2 3" xfId="35556" xr:uid="{00000000-0005-0000-0000-0000BE8B0000}"/>
    <cellStyle name="Note 2 3 2 2 3" xfId="35558" xr:uid="{00000000-0005-0000-0000-0000BF8B0000}"/>
    <cellStyle name="Note 2 3 2 2 3 2" xfId="35559" xr:uid="{00000000-0005-0000-0000-0000C08B0000}"/>
    <cellStyle name="Note 2 3 2 2 4" xfId="35560" xr:uid="{00000000-0005-0000-0000-0000C18B0000}"/>
    <cellStyle name="Note 2 3 2 2 5" xfId="35555" xr:uid="{00000000-0005-0000-0000-0000C28B0000}"/>
    <cellStyle name="Note 2 3 2 3" xfId="29731" xr:uid="{00000000-0005-0000-0000-0000C38B0000}"/>
    <cellStyle name="Note 2 3 2 3 2" xfId="29732" xr:uid="{00000000-0005-0000-0000-0000C48B0000}"/>
    <cellStyle name="Note 2 3 2 3 2 2" xfId="35563" xr:uid="{00000000-0005-0000-0000-0000C58B0000}"/>
    <cellStyle name="Note 2 3 2 3 2 3" xfId="35562" xr:uid="{00000000-0005-0000-0000-0000C68B0000}"/>
    <cellStyle name="Note 2 3 2 3 3" xfId="35564" xr:uid="{00000000-0005-0000-0000-0000C78B0000}"/>
    <cellStyle name="Note 2 3 2 3 3 2" xfId="35565" xr:uid="{00000000-0005-0000-0000-0000C88B0000}"/>
    <cellStyle name="Note 2 3 2 3 4" xfId="35566" xr:uid="{00000000-0005-0000-0000-0000C98B0000}"/>
    <cellStyle name="Note 2 3 2 3 5" xfId="35561" xr:uid="{00000000-0005-0000-0000-0000CA8B0000}"/>
    <cellStyle name="Note 2 3 2 4" xfId="29733" xr:uid="{00000000-0005-0000-0000-0000CB8B0000}"/>
    <cellStyle name="Note 2 3 2 4 2" xfId="29734" xr:uid="{00000000-0005-0000-0000-0000CC8B0000}"/>
    <cellStyle name="Note 2 3 2 4 2 2" xfId="35568" xr:uid="{00000000-0005-0000-0000-0000CD8B0000}"/>
    <cellStyle name="Note 2 3 2 4 3" xfId="35567" xr:uid="{00000000-0005-0000-0000-0000CE8B0000}"/>
    <cellStyle name="Note 2 3 2 5" xfId="29735" xr:uid="{00000000-0005-0000-0000-0000CF8B0000}"/>
    <cellStyle name="Note 2 3 2 5 2" xfId="29736" xr:uid="{00000000-0005-0000-0000-0000D08B0000}"/>
    <cellStyle name="Note 2 3 2 5 2 2" xfId="35570" xr:uid="{00000000-0005-0000-0000-0000D18B0000}"/>
    <cellStyle name="Note 2 3 2 5 3" xfId="35569" xr:uid="{00000000-0005-0000-0000-0000D28B0000}"/>
    <cellStyle name="Note 2 3 2 6" xfId="29737" xr:uid="{00000000-0005-0000-0000-0000D38B0000}"/>
    <cellStyle name="Note 2 3 2 6 2" xfId="35571" xr:uid="{00000000-0005-0000-0000-0000D48B0000}"/>
    <cellStyle name="Note 2 3 2 7" xfId="40353" xr:uid="{00000000-0005-0000-0000-0000D58B0000}"/>
    <cellStyle name="Note 2 3 2 8" xfId="35554" xr:uid="{00000000-0005-0000-0000-0000D68B0000}"/>
    <cellStyle name="Note 2 3 3" xfId="29738" xr:uid="{00000000-0005-0000-0000-0000D78B0000}"/>
    <cellStyle name="Note 2 3 3 2" xfId="29739" xr:uid="{00000000-0005-0000-0000-0000D88B0000}"/>
    <cellStyle name="Note 2 3 3 2 2" xfId="29740" xr:uid="{00000000-0005-0000-0000-0000D98B0000}"/>
    <cellStyle name="Note 2 3 3 2 2 2" xfId="29741" xr:uid="{00000000-0005-0000-0000-0000DA8B0000}"/>
    <cellStyle name="Note 2 3 3 2 2 3" xfId="35574" xr:uid="{00000000-0005-0000-0000-0000DB8B0000}"/>
    <cellStyle name="Note 2 3 3 2 3" xfId="40354" xr:uid="{00000000-0005-0000-0000-0000DC8B0000}"/>
    <cellStyle name="Note 2 3 3 2 4" xfId="35573" xr:uid="{00000000-0005-0000-0000-0000DD8B0000}"/>
    <cellStyle name="Note 2 3 3 3" xfId="29742" xr:uid="{00000000-0005-0000-0000-0000DE8B0000}"/>
    <cellStyle name="Note 2 3 3 3 2" xfId="29743" xr:uid="{00000000-0005-0000-0000-0000DF8B0000}"/>
    <cellStyle name="Note 2 3 3 3 2 2" xfId="35576" xr:uid="{00000000-0005-0000-0000-0000E08B0000}"/>
    <cellStyle name="Note 2 3 3 3 3" xfId="40355" xr:uid="{00000000-0005-0000-0000-0000E18B0000}"/>
    <cellStyle name="Note 2 3 3 3 4" xfId="35575" xr:uid="{00000000-0005-0000-0000-0000E28B0000}"/>
    <cellStyle name="Note 2 3 3 4" xfId="29744" xr:uid="{00000000-0005-0000-0000-0000E38B0000}"/>
    <cellStyle name="Note 2 3 3 4 2" xfId="29745" xr:uid="{00000000-0005-0000-0000-0000E48B0000}"/>
    <cellStyle name="Note 2 3 3 4 3" xfId="35577" xr:uid="{00000000-0005-0000-0000-0000E58B0000}"/>
    <cellStyle name="Note 2 3 3 5" xfId="29746" xr:uid="{00000000-0005-0000-0000-0000E68B0000}"/>
    <cellStyle name="Note 2 3 3 5 2" xfId="29747" xr:uid="{00000000-0005-0000-0000-0000E78B0000}"/>
    <cellStyle name="Note 2 3 3 5 3" xfId="40356" xr:uid="{00000000-0005-0000-0000-0000E88B0000}"/>
    <cellStyle name="Note 2 3 3 6" xfId="35572" xr:uid="{00000000-0005-0000-0000-0000E98B0000}"/>
    <cellStyle name="Note 2 3 4" xfId="29748" xr:uid="{00000000-0005-0000-0000-0000EA8B0000}"/>
    <cellStyle name="Note 2 3 4 2" xfId="29749" xr:uid="{00000000-0005-0000-0000-0000EB8B0000}"/>
    <cellStyle name="Note 2 3 4 2 2" xfId="29750" xr:uid="{00000000-0005-0000-0000-0000EC8B0000}"/>
    <cellStyle name="Note 2 3 4 2 2 2" xfId="35580" xr:uid="{00000000-0005-0000-0000-0000ED8B0000}"/>
    <cellStyle name="Note 2 3 4 2 3" xfId="40357" xr:uid="{00000000-0005-0000-0000-0000EE8B0000}"/>
    <cellStyle name="Note 2 3 4 2 4" xfId="35579" xr:uid="{00000000-0005-0000-0000-0000EF8B0000}"/>
    <cellStyle name="Note 2 3 4 3" xfId="29751" xr:uid="{00000000-0005-0000-0000-0000F08B0000}"/>
    <cellStyle name="Note 2 3 4 3 2" xfId="29752" xr:uid="{00000000-0005-0000-0000-0000F18B0000}"/>
    <cellStyle name="Note 2 3 4 3 2 2" xfId="35582" xr:uid="{00000000-0005-0000-0000-0000F28B0000}"/>
    <cellStyle name="Note 2 3 4 3 3" xfId="40358" xr:uid="{00000000-0005-0000-0000-0000F38B0000}"/>
    <cellStyle name="Note 2 3 4 3 4" xfId="35581" xr:uid="{00000000-0005-0000-0000-0000F48B0000}"/>
    <cellStyle name="Note 2 3 4 4" xfId="29753" xr:uid="{00000000-0005-0000-0000-0000F58B0000}"/>
    <cellStyle name="Note 2 3 4 4 2" xfId="29754" xr:uid="{00000000-0005-0000-0000-0000F68B0000}"/>
    <cellStyle name="Note 2 3 4 4 3" xfId="35583" xr:uid="{00000000-0005-0000-0000-0000F78B0000}"/>
    <cellStyle name="Note 2 3 4 5" xfId="40359" xr:uid="{00000000-0005-0000-0000-0000F88B0000}"/>
    <cellStyle name="Note 2 3 4 6" xfId="35578" xr:uid="{00000000-0005-0000-0000-0000F98B0000}"/>
    <cellStyle name="Note 2 3 5" xfId="29755" xr:uid="{00000000-0005-0000-0000-0000FA8B0000}"/>
    <cellStyle name="Note 2 3 5 2" xfId="29756" xr:uid="{00000000-0005-0000-0000-0000FB8B0000}"/>
    <cellStyle name="Note 2 3 5 2 2" xfId="29757" xr:uid="{00000000-0005-0000-0000-0000FC8B0000}"/>
    <cellStyle name="Note 2 3 5 2 3" xfId="40360" xr:uid="{00000000-0005-0000-0000-0000FD8B0000}"/>
    <cellStyle name="Note 2 3 5 2 4" xfId="35585" xr:uid="{00000000-0005-0000-0000-0000FE8B0000}"/>
    <cellStyle name="Note 2 3 5 3" xfId="29758" xr:uid="{00000000-0005-0000-0000-0000FF8B0000}"/>
    <cellStyle name="Note 2 3 5 3 2" xfId="29759" xr:uid="{00000000-0005-0000-0000-0000008C0000}"/>
    <cellStyle name="Note 2 3 5 3 3" xfId="40361" xr:uid="{00000000-0005-0000-0000-0000018C0000}"/>
    <cellStyle name="Note 2 3 5 4" xfId="29760" xr:uid="{00000000-0005-0000-0000-0000028C0000}"/>
    <cellStyle name="Note 2 3 5 5" xfId="40362" xr:uid="{00000000-0005-0000-0000-0000038C0000}"/>
    <cellStyle name="Note 2 3 5 6" xfId="35584" xr:uid="{00000000-0005-0000-0000-0000048C0000}"/>
    <cellStyle name="Note 2 3 6" xfId="29761" xr:uid="{00000000-0005-0000-0000-0000058C0000}"/>
    <cellStyle name="Note 2 3 6 2" xfId="29762" xr:uid="{00000000-0005-0000-0000-0000068C0000}"/>
    <cellStyle name="Note 2 3 6 2 2" xfId="35587" xr:uid="{00000000-0005-0000-0000-0000078C0000}"/>
    <cellStyle name="Note 2 3 6 3" xfId="40363" xr:uid="{00000000-0005-0000-0000-0000088C0000}"/>
    <cellStyle name="Note 2 3 6 4" xfId="35586" xr:uid="{00000000-0005-0000-0000-0000098C0000}"/>
    <cellStyle name="Note 2 3 7" xfId="29763" xr:uid="{00000000-0005-0000-0000-00000A8C0000}"/>
    <cellStyle name="Note 2 3 7 2" xfId="29764" xr:uid="{00000000-0005-0000-0000-00000B8C0000}"/>
    <cellStyle name="Note 2 3 7 3" xfId="40364" xr:uid="{00000000-0005-0000-0000-00000C8C0000}"/>
    <cellStyle name="Note 2 3 7 4" xfId="35588" xr:uid="{00000000-0005-0000-0000-00000D8C0000}"/>
    <cellStyle name="Note 2 3 8" xfId="29765" xr:uid="{00000000-0005-0000-0000-00000E8C0000}"/>
    <cellStyle name="Note 2 3 8 2" xfId="29766" xr:uid="{00000000-0005-0000-0000-00000F8C0000}"/>
    <cellStyle name="Note 2 3 8 3" xfId="40365" xr:uid="{00000000-0005-0000-0000-0000108C0000}"/>
    <cellStyle name="Note 2 3 8 4" xfId="35589" xr:uid="{00000000-0005-0000-0000-0000118C0000}"/>
    <cellStyle name="Note 2 3 9" xfId="29767" xr:uid="{00000000-0005-0000-0000-0000128C0000}"/>
    <cellStyle name="Note 2 3 9 2" xfId="29768" xr:uid="{00000000-0005-0000-0000-0000138C0000}"/>
    <cellStyle name="Note 2 3 9 3" xfId="40366" xr:uid="{00000000-0005-0000-0000-0000148C0000}"/>
    <cellStyle name="Note 2 4" xfId="29769" xr:uid="{00000000-0005-0000-0000-0000158C0000}"/>
    <cellStyle name="Note 2 4 10" xfId="29770" xr:uid="{00000000-0005-0000-0000-0000168C0000}"/>
    <cellStyle name="Note 2 4 10 2" xfId="29771" xr:uid="{00000000-0005-0000-0000-0000178C0000}"/>
    <cellStyle name="Note 2 4 10 3" xfId="40367" xr:uid="{00000000-0005-0000-0000-0000188C0000}"/>
    <cellStyle name="Note 2 4 11" xfId="29772" xr:uid="{00000000-0005-0000-0000-0000198C0000}"/>
    <cellStyle name="Note 2 4 12" xfId="29773" xr:uid="{00000000-0005-0000-0000-00001A8C0000}"/>
    <cellStyle name="Note 2 4 13" xfId="35590" xr:uid="{00000000-0005-0000-0000-00001B8C0000}"/>
    <cellStyle name="Note 2 4 2" xfId="29774" xr:uid="{00000000-0005-0000-0000-00001C8C0000}"/>
    <cellStyle name="Note 2 4 2 10" xfId="29775" xr:uid="{00000000-0005-0000-0000-00001D8C0000}"/>
    <cellStyle name="Note 2 4 2 11" xfId="29776" xr:uid="{00000000-0005-0000-0000-00001E8C0000}"/>
    <cellStyle name="Note 2 4 2 12" xfId="35591" xr:uid="{00000000-0005-0000-0000-00001F8C0000}"/>
    <cellStyle name="Note 2 4 2 2" xfId="29777" xr:uid="{00000000-0005-0000-0000-0000208C0000}"/>
    <cellStyle name="Note 2 4 2 2 10" xfId="29778" xr:uid="{00000000-0005-0000-0000-0000218C0000}"/>
    <cellStyle name="Note 2 4 2 2 11" xfId="35592" xr:uid="{00000000-0005-0000-0000-0000228C0000}"/>
    <cellStyle name="Note 2 4 2 2 2" xfId="29779" xr:uid="{00000000-0005-0000-0000-0000238C0000}"/>
    <cellStyle name="Note 2 4 2 2 2 10" xfId="35593" xr:uid="{00000000-0005-0000-0000-0000248C0000}"/>
    <cellStyle name="Note 2 4 2 2 2 2" xfId="29780" xr:uid="{00000000-0005-0000-0000-0000258C0000}"/>
    <cellStyle name="Note 2 4 2 2 2 2 2" xfId="29781" xr:uid="{00000000-0005-0000-0000-0000268C0000}"/>
    <cellStyle name="Note 2 4 2 2 2 2 2 2" xfId="29782" xr:uid="{00000000-0005-0000-0000-0000278C0000}"/>
    <cellStyle name="Note 2 4 2 2 2 2 2 2 2" xfId="29783" xr:uid="{00000000-0005-0000-0000-0000288C0000}"/>
    <cellStyle name="Note 2 4 2 2 2 2 2 3" xfId="29784" xr:uid="{00000000-0005-0000-0000-0000298C0000}"/>
    <cellStyle name="Note 2 4 2 2 2 2 2 4" xfId="29785" xr:uid="{00000000-0005-0000-0000-00002A8C0000}"/>
    <cellStyle name="Note 2 4 2 2 2 2 2 5" xfId="40368" xr:uid="{00000000-0005-0000-0000-00002B8C0000}"/>
    <cellStyle name="Note 2 4 2 2 2 2 3" xfId="29786" xr:uid="{00000000-0005-0000-0000-00002C8C0000}"/>
    <cellStyle name="Note 2 4 2 2 2 2 3 2" xfId="29787" xr:uid="{00000000-0005-0000-0000-00002D8C0000}"/>
    <cellStyle name="Note 2 4 2 2 2 2 4" xfId="29788" xr:uid="{00000000-0005-0000-0000-00002E8C0000}"/>
    <cellStyle name="Note 2 4 2 2 2 2 5" xfId="29789" xr:uid="{00000000-0005-0000-0000-00002F8C0000}"/>
    <cellStyle name="Note 2 4 2 2 2 2 6" xfId="35594" xr:uid="{00000000-0005-0000-0000-0000308C0000}"/>
    <cellStyle name="Note 2 4 2 2 2 3" xfId="29790" xr:uid="{00000000-0005-0000-0000-0000318C0000}"/>
    <cellStyle name="Note 2 4 2 2 2 3 2" xfId="29791" xr:uid="{00000000-0005-0000-0000-0000328C0000}"/>
    <cellStyle name="Note 2 4 2 2 2 3 2 2" xfId="29792" xr:uid="{00000000-0005-0000-0000-0000338C0000}"/>
    <cellStyle name="Note 2 4 2 2 2 3 2 2 2" xfId="29793" xr:uid="{00000000-0005-0000-0000-0000348C0000}"/>
    <cellStyle name="Note 2 4 2 2 2 3 2 3" xfId="29794" xr:uid="{00000000-0005-0000-0000-0000358C0000}"/>
    <cellStyle name="Note 2 4 2 2 2 3 2 4" xfId="29795" xr:uid="{00000000-0005-0000-0000-0000368C0000}"/>
    <cellStyle name="Note 2 4 2 2 2 3 2 5" xfId="40369" xr:uid="{00000000-0005-0000-0000-0000378C0000}"/>
    <cellStyle name="Note 2 4 2 2 2 3 3" xfId="29796" xr:uid="{00000000-0005-0000-0000-0000388C0000}"/>
    <cellStyle name="Note 2 4 2 2 2 3 3 2" xfId="29797" xr:uid="{00000000-0005-0000-0000-0000398C0000}"/>
    <cellStyle name="Note 2 4 2 2 2 3 4" xfId="29798" xr:uid="{00000000-0005-0000-0000-00003A8C0000}"/>
    <cellStyle name="Note 2 4 2 2 2 3 5" xfId="29799" xr:uid="{00000000-0005-0000-0000-00003B8C0000}"/>
    <cellStyle name="Note 2 4 2 2 2 3 6" xfId="35595" xr:uid="{00000000-0005-0000-0000-00003C8C0000}"/>
    <cellStyle name="Note 2 4 2 2 2 4" xfId="29800" xr:uid="{00000000-0005-0000-0000-00003D8C0000}"/>
    <cellStyle name="Note 2 4 2 2 2 4 2" xfId="29801" xr:uid="{00000000-0005-0000-0000-00003E8C0000}"/>
    <cellStyle name="Note 2 4 2 2 2 4 2 2" xfId="29802" xr:uid="{00000000-0005-0000-0000-00003F8C0000}"/>
    <cellStyle name="Note 2 4 2 2 2 4 3" xfId="29803" xr:uid="{00000000-0005-0000-0000-0000408C0000}"/>
    <cellStyle name="Note 2 4 2 2 2 4 4" xfId="29804" xr:uid="{00000000-0005-0000-0000-0000418C0000}"/>
    <cellStyle name="Note 2 4 2 2 2 4 5" xfId="40370" xr:uid="{00000000-0005-0000-0000-0000428C0000}"/>
    <cellStyle name="Note 2 4 2 2 2 5" xfId="29805" xr:uid="{00000000-0005-0000-0000-0000438C0000}"/>
    <cellStyle name="Note 2 4 2 2 2 5 2" xfId="29806" xr:uid="{00000000-0005-0000-0000-0000448C0000}"/>
    <cellStyle name="Note 2 4 2 2 2 5 2 2" xfId="29807" xr:uid="{00000000-0005-0000-0000-0000458C0000}"/>
    <cellStyle name="Note 2 4 2 2 2 5 3" xfId="29808" xr:uid="{00000000-0005-0000-0000-0000468C0000}"/>
    <cellStyle name="Note 2 4 2 2 2 5 4" xfId="29809" xr:uid="{00000000-0005-0000-0000-0000478C0000}"/>
    <cellStyle name="Note 2 4 2 2 2 6" xfId="29810" xr:uid="{00000000-0005-0000-0000-0000488C0000}"/>
    <cellStyle name="Note 2 4 2 2 2 6 2" xfId="29811" xr:uid="{00000000-0005-0000-0000-0000498C0000}"/>
    <cellStyle name="Note 2 4 2 2 2 6 2 2" xfId="29812" xr:uid="{00000000-0005-0000-0000-00004A8C0000}"/>
    <cellStyle name="Note 2 4 2 2 2 6 3" xfId="29813" xr:uid="{00000000-0005-0000-0000-00004B8C0000}"/>
    <cellStyle name="Note 2 4 2 2 2 6 4" xfId="29814" xr:uid="{00000000-0005-0000-0000-00004C8C0000}"/>
    <cellStyle name="Note 2 4 2 2 2 7" xfId="29815" xr:uid="{00000000-0005-0000-0000-00004D8C0000}"/>
    <cellStyle name="Note 2 4 2 2 2 7 2" xfId="29816" xr:uid="{00000000-0005-0000-0000-00004E8C0000}"/>
    <cellStyle name="Note 2 4 2 2 2 8" xfId="29817" xr:uid="{00000000-0005-0000-0000-00004F8C0000}"/>
    <cellStyle name="Note 2 4 2 2 2 9" xfId="29818" xr:uid="{00000000-0005-0000-0000-0000508C0000}"/>
    <cellStyle name="Note 2 4 2 2 3" xfId="29819" xr:uid="{00000000-0005-0000-0000-0000518C0000}"/>
    <cellStyle name="Note 2 4 2 2 3 2" xfId="29820" xr:uid="{00000000-0005-0000-0000-0000528C0000}"/>
    <cellStyle name="Note 2 4 2 2 3 2 2" xfId="29821" xr:uid="{00000000-0005-0000-0000-0000538C0000}"/>
    <cellStyle name="Note 2 4 2 2 3 2 2 2" xfId="29822" xr:uid="{00000000-0005-0000-0000-0000548C0000}"/>
    <cellStyle name="Note 2 4 2 2 3 2 3" xfId="29823" xr:uid="{00000000-0005-0000-0000-0000558C0000}"/>
    <cellStyle name="Note 2 4 2 2 3 2 4" xfId="29824" xr:uid="{00000000-0005-0000-0000-0000568C0000}"/>
    <cellStyle name="Note 2 4 2 2 3 2 5" xfId="35597" xr:uid="{00000000-0005-0000-0000-0000578C0000}"/>
    <cellStyle name="Note 2 4 2 2 3 3" xfId="29825" xr:uid="{00000000-0005-0000-0000-0000588C0000}"/>
    <cellStyle name="Note 2 4 2 2 3 3 2" xfId="29826" xr:uid="{00000000-0005-0000-0000-0000598C0000}"/>
    <cellStyle name="Note 2 4 2 2 3 3 2 2" xfId="29827" xr:uid="{00000000-0005-0000-0000-00005A8C0000}"/>
    <cellStyle name="Note 2 4 2 2 3 3 3" xfId="29828" xr:uid="{00000000-0005-0000-0000-00005B8C0000}"/>
    <cellStyle name="Note 2 4 2 2 3 3 4" xfId="29829" xr:uid="{00000000-0005-0000-0000-00005C8C0000}"/>
    <cellStyle name="Note 2 4 2 2 3 4" xfId="29830" xr:uid="{00000000-0005-0000-0000-00005D8C0000}"/>
    <cellStyle name="Note 2 4 2 2 3 4 2" xfId="29831" xr:uid="{00000000-0005-0000-0000-00005E8C0000}"/>
    <cellStyle name="Note 2 4 2 2 3 5" xfId="29832" xr:uid="{00000000-0005-0000-0000-00005F8C0000}"/>
    <cellStyle name="Note 2 4 2 2 3 6" xfId="29833" xr:uid="{00000000-0005-0000-0000-0000608C0000}"/>
    <cellStyle name="Note 2 4 2 2 3 7" xfId="35596" xr:uid="{00000000-0005-0000-0000-0000618C0000}"/>
    <cellStyle name="Note 2 4 2 2 4" xfId="29834" xr:uid="{00000000-0005-0000-0000-0000628C0000}"/>
    <cellStyle name="Note 2 4 2 2 4 2" xfId="29835" xr:uid="{00000000-0005-0000-0000-0000638C0000}"/>
    <cellStyle name="Note 2 4 2 2 4 2 2" xfId="29836" xr:uid="{00000000-0005-0000-0000-0000648C0000}"/>
    <cellStyle name="Note 2 4 2 2 4 2 2 2" xfId="29837" xr:uid="{00000000-0005-0000-0000-0000658C0000}"/>
    <cellStyle name="Note 2 4 2 2 4 2 3" xfId="29838" xr:uid="{00000000-0005-0000-0000-0000668C0000}"/>
    <cellStyle name="Note 2 4 2 2 4 2 4" xfId="29839" xr:uid="{00000000-0005-0000-0000-0000678C0000}"/>
    <cellStyle name="Note 2 4 2 2 4 2 5" xfId="40371" xr:uid="{00000000-0005-0000-0000-0000688C0000}"/>
    <cellStyle name="Note 2 4 2 2 4 3" xfId="29840" xr:uid="{00000000-0005-0000-0000-0000698C0000}"/>
    <cellStyle name="Note 2 4 2 2 4 3 2" xfId="29841" xr:uid="{00000000-0005-0000-0000-00006A8C0000}"/>
    <cellStyle name="Note 2 4 2 2 4 4" xfId="29842" xr:uid="{00000000-0005-0000-0000-00006B8C0000}"/>
    <cellStyle name="Note 2 4 2 2 4 5" xfId="29843" xr:uid="{00000000-0005-0000-0000-00006C8C0000}"/>
    <cellStyle name="Note 2 4 2 2 4 6" xfId="35598" xr:uid="{00000000-0005-0000-0000-00006D8C0000}"/>
    <cellStyle name="Note 2 4 2 2 5" xfId="29844" xr:uid="{00000000-0005-0000-0000-00006E8C0000}"/>
    <cellStyle name="Note 2 4 2 2 5 2" xfId="29845" xr:uid="{00000000-0005-0000-0000-00006F8C0000}"/>
    <cellStyle name="Note 2 4 2 2 5 2 2" xfId="29846" xr:uid="{00000000-0005-0000-0000-0000708C0000}"/>
    <cellStyle name="Note 2 4 2 2 5 3" xfId="29847" xr:uid="{00000000-0005-0000-0000-0000718C0000}"/>
    <cellStyle name="Note 2 4 2 2 5 4" xfId="29848" xr:uid="{00000000-0005-0000-0000-0000728C0000}"/>
    <cellStyle name="Note 2 4 2 2 5 5" xfId="35599" xr:uid="{00000000-0005-0000-0000-0000738C0000}"/>
    <cellStyle name="Note 2 4 2 2 6" xfId="29849" xr:uid="{00000000-0005-0000-0000-0000748C0000}"/>
    <cellStyle name="Note 2 4 2 2 6 2" xfId="29850" xr:uid="{00000000-0005-0000-0000-0000758C0000}"/>
    <cellStyle name="Note 2 4 2 2 6 2 2" xfId="29851" xr:uid="{00000000-0005-0000-0000-0000768C0000}"/>
    <cellStyle name="Note 2 4 2 2 6 3" xfId="29852" xr:uid="{00000000-0005-0000-0000-0000778C0000}"/>
    <cellStyle name="Note 2 4 2 2 6 4" xfId="29853" xr:uid="{00000000-0005-0000-0000-0000788C0000}"/>
    <cellStyle name="Note 2 4 2 2 6 5" xfId="40372" xr:uid="{00000000-0005-0000-0000-0000798C0000}"/>
    <cellStyle name="Note 2 4 2 2 7" xfId="29854" xr:uid="{00000000-0005-0000-0000-00007A8C0000}"/>
    <cellStyle name="Note 2 4 2 2 8" xfId="29855" xr:uid="{00000000-0005-0000-0000-00007B8C0000}"/>
    <cellStyle name="Note 2 4 2 2 8 2" xfId="29856" xr:uid="{00000000-0005-0000-0000-00007C8C0000}"/>
    <cellStyle name="Note 2 4 2 2 8 3" xfId="40373" xr:uid="{00000000-0005-0000-0000-00007D8C0000}"/>
    <cellStyle name="Note 2 4 2 2 9" xfId="29857" xr:uid="{00000000-0005-0000-0000-00007E8C0000}"/>
    <cellStyle name="Note 2 4 2 3" xfId="29858" xr:uid="{00000000-0005-0000-0000-00007F8C0000}"/>
    <cellStyle name="Note 2 4 2 3 10" xfId="35600" xr:uid="{00000000-0005-0000-0000-0000808C0000}"/>
    <cellStyle name="Note 2 4 2 3 2" xfId="29859" xr:uid="{00000000-0005-0000-0000-0000818C0000}"/>
    <cellStyle name="Note 2 4 2 3 2 2" xfId="29860" xr:uid="{00000000-0005-0000-0000-0000828C0000}"/>
    <cellStyle name="Note 2 4 2 3 2 2 2" xfId="29861" xr:uid="{00000000-0005-0000-0000-0000838C0000}"/>
    <cellStyle name="Note 2 4 2 3 2 2 2 2" xfId="29862" xr:uid="{00000000-0005-0000-0000-0000848C0000}"/>
    <cellStyle name="Note 2 4 2 3 2 2 3" xfId="29863" xr:uid="{00000000-0005-0000-0000-0000858C0000}"/>
    <cellStyle name="Note 2 4 2 3 2 2 4" xfId="29864" xr:uid="{00000000-0005-0000-0000-0000868C0000}"/>
    <cellStyle name="Note 2 4 2 3 2 2 5" xfId="35602" xr:uid="{00000000-0005-0000-0000-0000878C0000}"/>
    <cellStyle name="Note 2 4 2 3 2 3" xfId="29865" xr:uid="{00000000-0005-0000-0000-0000888C0000}"/>
    <cellStyle name="Note 2 4 2 3 2 3 2" xfId="29866" xr:uid="{00000000-0005-0000-0000-0000898C0000}"/>
    <cellStyle name="Note 2 4 2 3 2 3 2 2" xfId="29867" xr:uid="{00000000-0005-0000-0000-00008A8C0000}"/>
    <cellStyle name="Note 2 4 2 3 2 3 3" xfId="29868" xr:uid="{00000000-0005-0000-0000-00008B8C0000}"/>
    <cellStyle name="Note 2 4 2 3 2 3 4" xfId="29869" xr:uid="{00000000-0005-0000-0000-00008C8C0000}"/>
    <cellStyle name="Note 2 4 2 3 2 4" xfId="29870" xr:uid="{00000000-0005-0000-0000-00008D8C0000}"/>
    <cellStyle name="Note 2 4 2 3 2 4 2" xfId="29871" xr:uid="{00000000-0005-0000-0000-00008E8C0000}"/>
    <cellStyle name="Note 2 4 2 3 2 5" xfId="29872" xr:uid="{00000000-0005-0000-0000-00008F8C0000}"/>
    <cellStyle name="Note 2 4 2 3 2 6" xfId="29873" xr:uid="{00000000-0005-0000-0000-0000908C0000}"/>
    <cellStyle name="Note 2 4 2 3 2 7" xfId="35601" xr:uid="{00000000-0005-0000-0000-0000918C0000}"/>
    <cellStyle name="Note 2 4 2 3 3" xfId="29874" xr:uid="{00000000-0005-0000-0000-0000928C0000}"/>
    <cellStyle name="Note 2 4 2 3 3 2" xfId="29875" xr:uid="{00000000-0005-0000-0000-0000938C0000}"/>
    <cellStyle name="Note 2 4 2 3 3 2 2" xfId="29876" xr:uid="{00000000-0005-0000-0000-0000948C0000}"/>
    <cellStyle name="Note 2 4 2 3 3 2 2 2" xfId="29877" xr:uid="{00000000-0005-0000-0000-0000958C0000}"/>
    <cellStyle name="Note 2 4 2 3 3 2 3" xfId="29878" xr:uid="{00000000-0005-0000-0000-0000968C0000}"/>
    <cellStyle name="Note 2 4 2 3 3 2 4" xfId="29879" xr:uid="{00000000-0005-0000-0000-0000978C0000}"/>
    <cellStyle name="Note 2 4 2 3 3 2 5" xfId="35604" xr:uid="{00000000-0005-0000-0000-0000988C0000}"/>
    <cellStyle name="Note 2 4 2 3 3 3" xfId="29880" xr:uid="{00000000-0005-0000-0000-0000998C0000}"/>
    <cellStyle name="Note 2 4 2 3 3 3 2" xfId="29881" xr:uid="{00000000-0005-0000-0000-00009A8C0000}"/>
    <cellStyle name="Note 2 4 2 3 3 4" xfId="29882" xr:uid="{00000000-0005-0000-0000-00009B8C0000}"/>
    <cellStyle name="Note 2 4 2 3 3 5" xfId="29883" xr:uid="{00000000-0005-0000-0000-00009C8C0000}"/>
    <cellStyle name="Note 2 4 2 3 3 6" xfId="35603" xr:uid="{00000000-0005-0000-0000-00009D8C0000}"/>
    <cellStyle name="Note 2 4 2 3 4" xfId="29884" xr:uid="{00000000-0005-0000-0000-00009E8C0000}"/>
    <cellStyle name="Note 2 4 2 3 4 2" xfId="29885" xr:uid="{00000000-0005-0000-0000-00009F8C0000}"/>
    <cellStyle name="Note 2 4 2 3 4 2 2" xfId="29886" xr:uid="{00000000-0005-0000-0000-0000A08C0000}"/>
    <cellStyle name="Note 2 4 2 3 4 3" xfId="29887" xr:uid="{00000000-0005-0000-0000-0000A18C0000}"/>
    <cellStyle name="Note 2 4 2 3 4 4" xfId="29888" xr:uid="{00000000-0005-0000-0000-0000A28C0000}"/>
    <cellStyle name="Note 2 4 2 3 4 5" xfId="35605" xr:uid="{00000000-0005-0000-0000-0000A38C0000}"/>
    <cellStyle name="Note 2 4 2 3 5" xfId="29889" xr:uid="{00000000-0005-0000-0000-0000A48C0000}"/>
    <cellStyle name="Note 2 4 2 3 5 2" xfId="29890" xr:uid="{00000000-0005-0000-0000-0000A58C0000}"/>
    <cellStyle name="Note 2 4 2 3 5 2 2" xfId="29891" xr:uid="{00000000-0005-0000-0000-0000A68C0000}"/>
    <cellStyle name="Note 2 4 2 3 5 3" xfId="29892" xr:uid="{00000000-0005-0000-0000-0000A78C0000}"/>
    <cellStyle name="Note 2 4 2 3 5 4" xfId="29893" xr:uid="{00000000-0005-0000-0000-0000A88C0000}"/>
    <cellStyle name="Note 2 4 2 3 5 5" xfId="35606" xr:uid="{00000000-0005-0000-0000-0000A98C0000}"/>
    <cellStyle name="Note 2 4 2 3 6" xfId="29894" xr:uid="{00000000-0005-0000-0000-0000AA8C0000}"/>
    <cellStyle name="Note 2 4 2 3 7" xfId="29895" xr:uid="{00000000-0005-0000-0000-0000AB8C0000}"/>
    <cellStyle name="Note 2 4 2 3 7 2" xfId="29896" xr:uid="{00000000-0005-0000-0000-0000AC8C0000}"/>
    <cellStyle name="Note 2 4 2 3 7 3" xfId="40374" xr:uid="{00000000-0005-0000-0000-0000AD8C0000}"/>
    <cellStyle name="Note 2 4 2 3 8" xfId="29897" xr:uid="{00000000-0005-0000-0000-0000AE8C0000}"/>
    <cellStyle name="Note 2 4 2 3 9" xfId="29898" xr:uid="{00000000-0005-0000-0000-0000AF8C0000}"/>
    <cellStyle name="Note 2 4 2 4" xfId="29899" xr:uid="{00000000-0005-0000-0000-0000B08C0000}"/>
    <cellStyle name="Note 2 4 2 4 2" xfId="29900" xr:uid="{00000000-0005-0000-0000-0000B18C0000}"/>
    <cellStyle name="Note 2 4 2 4 2 2" xfId="29901" xr:uid="{00000000-0005-0000-0000-0000B28C0000}"/>
    <cellStyle name="Note 2 4 2 4 2 2 2" xfId="29902" xr:uid="{00000000-0005-0000-0000-0000B38C0000}"/>
    <cellStyle name="Note 2 4 2 4 2 3" xfId="29903" xr:uid="{00000000-0005-0000-0000-0000B48C0000}"/>
    <cellStyle name="Note 2 4 2 4 2 4" xfId="29904" xr:uid="{00000000-0005-0000-0000-0000B58C0000}"/>
    <cellStyle name="Note 2 4 2 4 2 5" xfId="35608" xr:uid="{00000000-0005-0000-0000-0000B68C0000}"/>
    <cellStyle name="Note 2 4 2 4 3" xfId="29905" xr:uid="{00000000-0005-0000-0000-0000B78C0000}"/>
    <cellStyle name="Note 2 4 2 4 3 2" xfId="29906" xr:uid="{00000000-0005-0000-0000-0000B88C0000}"/>
    <cellStyle name="Note 2 4 2 4 3 2 2" xfId="29907" xr:uid="{00000000-0005-0000-0000-0000B98C0000}"/>
    <cellStyle name="Note 2 4 2 4 3 3" xfId="29908" xr:uid="{00000000-0005-0000-0000-0000BA8C0000}"/>
    <cellStyle name="Note 2 4 2 4 3 4" xfId="29909" xr:uid="{00000000-0005-0000-0000-0000BB8C0000}"/>
    <cellStyle name="Note 2 4 2 4 4" xfId="29910" xr:uid="{00000000-0005-0000-0000-0000BC8C0000}"/>
    <cellStyle name="Note 2 4 2 4 4 2" xfId="29911" xr:uid="{00000000-0005-0000-0000-0000BD8C0000}"/>
    <cellStyle name="Note 2 4 2 4 5" xfId="29912" xr:uid="{00000000-0005-0000-0000-0000BE8C0000}"/>
    <cellStyle name="Note 2 4 2 4 6" xfId="29913" xr:uid="{00000000-0005-0000-0000-0000BF8C0000}"/>
    <cellStyle name="Note 2 4 2 4 7" xfId="35607" xr:uid="{00000000-0005-0000-0000-0000C08C0000}"/>
    <cellStyle name="Note 2 4 2 5" xfId="29914" xr:uid="{00000000-0005-0000-0000-0000C18C0000}"/>
    <cellStyle name="Note 2 4 2 5 2" xfId="29915" xr:uid="{00000000-0005-0000-0000-0000C28C0000}"/>
    <cellStyle name="Note 2 4 2 5 2 2" xfId="29916" xr:uid="{00000000-0005-0000-0000-0000C38C0000}"/>
    <cellStyle name="Note 2 4 2 5 2 2 2" xfId="29917" xr:uid="{00000000-0005-0000-0000-0000C48C0000}"/>
    <cellStyle name="Note 2 4 2 5 2 3" xfId="29918" xr:uid="{00000000-0005-0000-0000-0000C58C0000}"/>
    <cellStyle name="Note 2 4 2 5 2 4" xfId="29919" xr:uid="{00000000-0005-0000-0000-0000C68C0000}"/>
    <cellStyle name="Note 2 4 2 5 2 5" xfId="35610" xr:uid="{00000000-0005-0000-0000-0000C78C0000}"/>
    <cellStyle name="Note 2 4 2 5 3" xfId="29920" xr:uid="{00000000-0005-0000-0000-0000C88C0000}"/>
    <cellStyle name="Note 2 4 2 5 3 2" xfId="29921" xr:uid="{00000000-0005-0000-0000-0000C98C0000}"/>
    <cellStyle name="Note 2 4 2 5 4" xfId="29922" xr:uid="{00000000-0005-0000-0000-0000CA8C0000}"/>
    <cellStyle name="Note 2 4 2 5 5" xfId="29923" xr:uid="{00000000-0005-0000-0000-0000CB8C0000}"/>
    <cellStyle name="Note 2 4 2 5 6" xfId="35609" xr:uid="{00000000-0005-0000-0000-0000CC8C0000}"/>
    <cellStyle name="Note 2 4 2 6" xfId="29924" xr:uid="{00000000-0005-0000-0000-0000CD8C0000}"/>
    <cellStyle name="Note 2 4 2 6 2" xfId="29925" xr:uid="{00000000-0005-0000-0000-0000CE8C0000}"/>
    <cellStyle name="Note 2 4 2 6 2 2" xfId="29926" xr:uid="{00000000-0005-0000-0000-0000CF8C0000}"/>
    <cellStyle name="Note 2 4 2 6 3" xfId="29927" xr:uid="{00000000-0005-0000-0000-0000D08C0000}"/>
    <cellStyle name="Note 2 4 2 6 4" xfId="29928" xr:uid="{00000000-0005-0000-0000-0000D18C0000}"/>
    <cellStyle name="Note 2 4 2 6 5" xfId="35611" xr:uid="{00000000-0005-0000-0000-0000D28C0000}"/>
    <cellStyle name="Note 2 4 2 7" xfId="29929" xr:uid="{00000000-0005-0000-0000-0000D38C0000}"/>
    <cellStyle name="Note 2 4 2 7 2" xfId="29930" xr:uid="{00000000-0005-0000-0000-0000D48C0000}"/>
    <cellStyle name="Note 2 4 2 7 2 2" xfId="29931" xr:uid="{00000000-0005-0000-0000-0000D58C0000}"/>
    <cellStyle name="Note 2 4 2 7 3" xfId="29932" xr:uid="{00000000-0005-0000-0000-0000D68C0000}"/>
    <cellStyle name="Note 2 4 2 7 4" xfId="29933" xr:uid="{00000000-0005-0000-0000-0000D78C0000}"/>
    <cellStyle name="Note 2 4 2 7 5" xfId="35612" xr:uid="{00000000-0005-0000-0000-0000D88C0000}"/>
    <cellStyle name="Note 2 4 2 8" xfId="29934" xr:uid="{00000000-0005-0000-0000-0000D98C0000}"/>
    <cellStyle name="Note 2 4 2 9" xfId="29935" xr:uid="{00000000-0005-0000-0000-0000DA8C0000}"/>
    <cellStyle name="Note 2 4 2 9 2" xfId="29936" xr:uid="{00000000-0005-0000-0000-0000DB8C0000}"/>
    <cellStyle name="Note 2 4 2 9 3" xfId="40375" xr:uid="{00000000-0005-0000-0000-0000DC8C0000}"/>
    <cellStyle name="Note 2 4 3" xfId="29937" xr:uid="{00000000-0005-0000-0000-0000DD8C0000}"/>
    <cellStyle name="Note 2 4 3 10" xfId="29938" xr:uid="{00000000-0005-0000-0000-0000DE8C0000}"/>
    <cellStyle name="Note 2 4 3 11" xfId="35613" xr:uid="{00000000-0005-0000-0000-0000DF8C0000}"/>
    <cellStyle name="Note 2 4 3 2" xfId="29939" xr:uid="{00000000-0005-0000-0000-0000E08C0000}"/>
    <cellStyle name="Note 2 4 3 2 10" xfId="35614" xr:uid="{00000000-0005-0000-0000-0000E18C0000}"/>
    <cellStyle name="Note 2 4 3 2 2" xfId="29940" xr:uid="{00000000-0005-0000-0000-0000E28C0000}"/>
    <cellStyle name="Note 2 4 3 2 2 2" xfId="29941" xr:uid="{00000000-0005-0000-0000-0000E38C0000}"/>
    <cellStyle name="Note 2 4 3 2 2 2 2" xfId="29942" xr:uid="{00000000-0005-0000-0000-0000E48C0000}"/>
    <cellStyle name="Note 2 4 3 2 2 2 2 2" xfId="29943" xr:uid="{00000000-0005-0000-0000-0000E58C0000}"/>
    <cellStyle name="Note 2 4 3 2 2 2 3" xfId="29944" xr:uid="{00000000-0005-0000-0000-0000E68C0000}"/>
    <cellStyle name="Note 2 4 3 2 2 2 4" xfId="29945" xr:uid="{00000000-0005-0000-0000-0000E78C0000}"/>
    <cellStyle name="Note 2 4 3 2 2 2 5" xfId="40376" xr:uid="{00000000-0005-0000-0000-0000E88C0000}"/>
    <cellStyle name="Note 2 4 3 2 2 3" xfId="29946" xr:uid="{00000000-0005-0000-0000-0000E98C0000}"/>
    <cellStyle name="Note 2 4 3 2 2 3 2" xfId="29947" xr:uid="{00000000-0005-0000-0000-0000EA8C0000}"/>
    <cellStyle name="Note 2 4 3 2 2 4" xfId="29948" xr:uid="{00000000-0005-0000-0000-0000EB8C0000}"/>
    <cellStyle name="Note 2 4 3 2 2 5" xfId="29949" xr:uid="{00000000-0005-0000-0000-0000EC8C0000}"/>
    <cellStyle name="Note 2 4 3 2 2 6" xfId="35615" xr:uid="{00000000-0005-0000-0000-0000ED8C0000}"/>
    <cellStyle name="Note 2 4 3 2 3" xfId="29950" xr:uid="{00000000-0005-0000-0000-0000EE8C0000}"/>
    <cellStyle name="Note 2 4 3 2 3 2" xfId="29951" xr:uid="{00000000-0005-0000-0000-0000EF8C0000}"/>
    <cellStyle name="Note 2 4 3 2 3 2 2" xfId="29952" xr:uid="{00000000-0005-0000-0000-0000F08C0000}"/>
    <cellStyle name="Note 2 4 3 2 3 2 2 2" xfId="29953" xr:uid="{00000000-0005-0000-0000-0000F18C0000}"/>
    <cellStyle name="Note 2 4 3 2 3 2 3" xfId="29954" xr:uid="{00000000-0005-0000-0000-0000F28C0000}"/>
    <cellStyle name="Note 2 4 3 2 3 2 4" xfId="29955" xr:uid="{00000000-0005-0000-0000-0000F38C0000}"/>
    <cellStyle name="Note 2 4 3 2 3 2 5" xfId="40377" xr:uid="{00000000-0005-0000-0000-0000F48C0000}"/>
    <cellStyle name="Note 2 4 3 2 3 3" xfId="29956" xr:uid="{00000000-0005-0000-0000-0000F58C0000}"/>
    <cellStyle name="Note 2 4 3 2 3 3 2" xfId="29957" xr:uid="{00000000-0005-0000-0000-0000F68C0000}"/>
    <cellStyle name="Note 2 4 3 2 3 4" xfId="29958" xr:uid="{00000000-0005-0000-0000-0000F78C0000}"/>
    <cellStyle name="Note 2 4 3 2 3 5" xfId="29959" xr:uid="{00000000-0005-0000-0000-0000F88C0000}"/>
    <cellStyle name="Note 2 4 3 2 3 6" xfId="35616" xr:uid="{00000000-0005-0000-0000-0000F98C0000}"/>
    <cellStyle name="Note 2 4 3 2 4" xfId="29960" xr:uid="{00000000-0005-0000-0000-0000FA8C0000}"/>
    <cellStyle name="Note 2 4 3 2 4 2" xfId="29961" xr:uid="{00000000-0005-0000-0000-0000FB8C0000}"/>
    <cellStyle name="Note 2 4 3 2 4 2 2" xfId="29962" xr:uid="{00000000-0005-0000-0000-0000FC8C0000}"/>
    <cellStyle name="Note 2 4 3 2 4 3" xfId="29963" xr:uid="{00000000-0005-0000-0000-0000FD8C0000}"/>
    <cellStyle name="Note 2 4 3 2 4 4" xfId="29964" xr:uid="{00000000-0005-0000-0000-0000FE8C0000}"/>
    <cellStyle name="Note 2 4 3 2 4 5" xfId="40378" xr:uid="{00000000-0005-0000-0000-0000FF8C0000}"/>
    <cellStyle name="Note 2 4 3 2 5" xfId="29965" xr:uid="{00000000-0005-0000-0000-0000008D0000}"/>
    <cellStyle name="Note 2 4 3 2 5 2" xfId="29966" xr:uid="{00000000-0005-0000-0000-0000018D0000}"/>
    <cellStyle name="Note 2 4 3 2 5 2 2" xfId="29967" xr:uid="{00000000-0005-0000-0000-0000028D0000}"/>
    <cellStyle name="Note 2 4 3 2 5 3" xfId="29968" xr:uid="{00000000-0005-0000-0000-0000038D0000}"/>
    <cellStyle name="Note 2 4 3 2 5 4" xfId="29969" xr:uid="{00000000-0005-0000-0000-0000048D0000}"/>
    <cellStyle name="Note 2 4 3 2 6" xfId="29970" xr:uid="{00000000-0005-0000-0000-0000058D0000}"/>
    <cellStyle name="Note 2 4 3 2 6 2" xfId="29971" xr:uid="{00000000-0005-0000-0000-0000068D0000}"/>
    <cellStyle name="Note 2 4 3 2 6 2 2" xfId="29972" xr:uid="{00000000-0005-0000-0000-0000078D0000}"/>
    <cellStyle name="Note 2 4 3 2 6 3" xfId="29973" xr:uid="{00000000-0005-0000-0000-0000088D0000}"/>
    <cellStyle name="Note 2 4 3 2 6 4" xfId="29974" xr:uid="{00000000-0005-0000-0000-0000098D0000}"/>
    <cellStyle name="Note 2 4 3 2 7" xfId="29975" xr:uid="{00000000-0005-0000-0000-00000A8D0000}"/>
    <cellStyle name="Note 2 4 3 2 7 2" xfId="29976" xr:uid="{00000000-0005-0000-0000-00000B8D0000}"/>
    <cellStyle name="Note 2 4 3 2 8" xfId="29977" xr:uid="{00000000-0005-0000-0000-00000C8D0000}"/>
    <cellStyle name="Note 2 4 3 2 9" xfId="29978" xr:uid="{00000000-0005-0000-0000-00000D8D0000}"/>
    <cellStyle name="Note 2 4 3 3" xfId="29979" xr:uid="{00000000-0005-0000-0000-00000E8D0000}"/>
    <cellStyle name="Note 2 4 3 3 2" xfId="29980" xr:uid="{00000000-0005-0000-0000-00000F8D0000}"/>
    <cellStyle name="Note 2 4 3 3 2 2" xfId="29981" xr:uid="{00000000-0005-0000-0000-0000108D0000}"/>
    <cellStyle name="Note 2 4 3 3 2 2 2" xfId="29982" xr:uid="{00000000-0005-0000-0000-0000118D0000}"/>
    <cellStyle name="Note 2 4 3 3 2 3" xfId="29983" xr:uid="{00000000-0005-0000-0000-0000128D0000}"/>
    <cellStyle name="Note 2 4 3 3 2 4" xfId="29984" xr:uid="{00000000-0005-0000-0000-0000138D0000}"/>
    <cellStyle name="Note 2 4 3 3 2 5" xfId="35618" xr:uid="{00000000-0005-0000-0000-0000148D0000}"/>
    <cellStyle name="Note 2 4 3 3 3" xfId="29985" xr:uid="{00000000-0005-0000-0000-0000158D0000}"/>
    <cellStyle name="Note 2 4 3 3 3 2" xfId="29986" xr:uid="{00000000-0005-0000-0000-0000168D0000}"/>
    <cellStyle name="Note 2 4 3 3 3 2 2" xfId="29987" xr:uid="{00000000-0005-0000-0000-0000178D0000}"/>
    <cellStyle name="Note 2 4 3 3 3 3" xfId="29988" xr:uid="{00000000-0005-0000-0000-0000188D0000}"/>
    <cellStyle name="Note 2 4 3 3 3 4" xfId="29989" xr:uid="{00000000-0005-0000-0000-0000198D0000}"/>
    <cellStyle name="Note 2 4 3 3 4" xfId="29990" xr:uid="{00000000-0005-0000-0000-00001A8D0000}"/>
    <cellStyle name="Note 2 4 3 3 4 2" xfId="29991" xr:uid="{00000000-0005-0000-0000-00001B8D0000}"/>
    <cellStyle name="Note 2 4 3 3 5" xfId="29992" xr:uid="{00000000-0005-0000-0000-00001C8D0000}"/>
    <cellStyle name="Note 2 4 3 3 6" xfId="29993" xr:uid="{00000000-0005-0000-0000-00001D8D0000}"/>
    <cellStyle name="Note 2 4 3 3 7" xfId="35617" xr:uid="{00000000-0005-0000-0000-00001E8D0000}"/>
    <cellStyle name="Note 2 4 3 4" xfId="29994" xr:uid="{00000000-0005-0000-0000-00001F8D0000}"/>
    <cellStyle name="Note 2 4 3 4 2" xfId="29995" xr:uid="{00000000-0005-0000-0000-0000208D0000}"/>
    <cellStyle name="Note 2 4 3 4 2 2" xfId="29996" xr:uid="{00000000-0005-0000-0000-0000218D0000}"/>
    <cellStyle name="Note 2 4 3 4 2 2 2" xfId="29997" xr:uid="{00000000-0005-0000-0000-0000228D0000}"/>
    <cellStyle name="Note 2 4 3 4 2 3" xfId="29998" xr:uid="{00000000-0005-0000-0000-0000238D0000}"/>
    <cellStyle name="Note 2 4 3 4 2 4" xfId="29999" xr:uid="{00000000-0005-0000-0000-0000248D0000}"/>
    <cellStyle name="Note 2 4 3 4 2 5" xfId="40379" xr:uid="{00000000-0005-0000-0000-0000258D0000}"/>
    <cellStyle name="Note 2 4 3 4 3" xfId="30000" xr:uid="{00000000-0005-0000-0000-0000268D0000}"/>
    <cellStyle name="Note 2 4 3 4 3 2" xfId="30001" xr:uid="{00000000-0005-0000-0000-0000278D0000}"/>
    <cellStyle name="Note 2 4 3 4 4" xfId="30002" xr:uid="{00000000-0005-0000-0000-0000288D0000}"/>
    <cellStyle name="Note 2 4 3 4 5" xfId="30003" xr:uid="{00000000-0005-0000-0000-0000298D0000}"/>
    <cellStyle name="Note 2 4 3 4 6" xfId="35619" xr:uid="{00000000-0005-0000-0000-00002A8D0000}"/>
    <cellStyle name="Note 2 4 3 5" xfId="30004" xr:uid="{00000000-0005-0000-0000-00002B8D0000}"/>
    <cellStyle name="Note 2 4 3 5 2" xfId="30005" xr:uid="{00000000-0005-0000-0000-00002C8D0000}"/>
    <cellStyle name="Note 2 4 3 5 2 2" xfId="30006" xr:uid="{00000000-0005-0000-0000-00002D8D0000}"/>
    <cellStyle name="Note 2 4 3 5 3" xfId="30007" xr:uid="{00000000-0005-0000-0000-00002E8D0000}"/>
    <cellStyle name="Note 2 4 3 5 4" xfId="30008" xr:uid="{00000000-0005-0000-0000-00002F8D0000}"/>
    <cellStyle name="Note 2 4 3 5 5" xfId="35620" xr:uid="{00000000-0005-0000-0000-0000308D0000}"/>
    <cellStyle name="Note 2 4 3 6" xfId="30009" xr:uid="{00000000-0005-0000-0000-0000318D0000}"/>
    <cellStyle name="Note 2 4 3 6 2" xfId="30010" xr:uid="{00000000-0005-0000-0000-0000328D0000}"/>
    <cellStyle name="Note 2 4 3 6 2 2" xfId="30011" xr:uid="{00000000-0005-0000-0000-0000338D0000}"/>
    <cellStyle name="Note 2 4 3 6 3" xfId="30012" xr:uid="{00000000-0005-0000-0000-0000348D0000}"/>
    <cellStyle name="Note 2 4 3 6 4" xfId="30013" xr:uid="{00000000-0005-0000-0000-0000358D0000}"/>
    <cellStyle name="Note 2 4 3 6 5" xfId="40380" xr:uid="{00000000-0005-0000-0000-0000368D0000}"/>
    <cellStyle name="Note 2 4 3 7" xfId="30014" xr:uid="{00000000-0005-0000-0000-0000378D0000}"/>
    <cellStyle name="Note 2 4 3 8" xfId="30015" xr:uid="{00000000-0005-0000-0000-0000388D0000}"/>
    <cellStyle name="Note 2 4 3 8 2" xfId="30016" xr:uid="{00000000-0005-0000-0000-0000398D0000}"/>
    <cellStyle name="Note 2 4 3 8 3" xfId="40381" xr:uid="{00000000-0005-0000-0000-00003A8D0000}"/>
    <cellStyle name="Note 2 4 3 9" xfId="30017" xr:uid="{00000000-0005-0000-0000-00003B8D0000}"/>
    <cellStyle name="Note 2 4 4" xfId="30018" xr:uid="{00000000-0005-0000-0000-00003C8D0000}"/>
    <cellStyle name="Note 2 4 4 10" xfId="35621" xr:uid="{00000000-0005-0000-0000-00003D8D0000}"/>
    <cellStyle name="Note 2 4 4 2" xfId="30019" xr:uid="{00000000-0005-0000-0000-00003E8D0000}"/>
    <cellStyle name="Note 2 4 4 2 2" xfId="30020" xr:uid="{00000000-0005-0000-0000-00003F8D0000}"/>
    <cellStyle name="Note 2 4 4 2 2 2" xfId="30021" xr:uid="{00000000-0005-0000-0000-0000408D0000}"/>
    <cellStyle name="Note 2 4 4 2 2 2 2" xfId="30022" xr:uid="{00000000-0005-0000-0000-0000418D0000}"/>
    <cellStyle name="Note 2 4 4 2 2 3" xfId="30023" xr:uid="{00000000-0005-0000-0000-0000428D0000}"/>
    <cellStyle name="Note 2 4 4 2 2 4" xfId="30024" xr:uid="{00000000-0005-0000-0000-0000438D0000}"/>
    <cellStyle name="Note 2 4 4 2 2 5" xfId="35623" xr:uid="{00000000-0005-0000-0000-0000448D0000}"/>
    <cellStyle name="Note 2 4 4 2 3" xfId="30025" xr:uid="{00000000-0005-0000-0000-0000458D0000}"/>
    <cellStyle name="Note 2 4 4 2 3 2" xfId="30026" xr:uid="{00000000-0005-0000-0000-0000468D0000}"/>
    <cellStyle name="Note 2 4 4 2 3 2 2" xfId="30027" xr:uid="{00000000-0005-0000-0000-0000478D0000}"/>
    <cellStyle name="Note 2 4 4 2 3 3" xfId="30028" xr:uid="{00000000-0005-0000-0000-0000488D0000}"/>
    <cellStyle name="Note 2 4 4 2 3 4" xfId="30029" xr:uid="{00000000-0005-0000-0000-0000498D0000}"/>
    <cellStyle name="Note 2 4 4 2 4" xfId="30030" xr:uid="{00000000-0005-0000-0000-00004A8D0000}"/>
    <cellStyle name="Note 2 4 4 2 4 2" xfId="30031" xr:uid="{00000000-0005-0000-0000-00004B8D0000}"/>
    <cellStyle name="Note 2 4 4 2 5" xfId="30032" xr:uid="{00000000-0005-0000-0000-00004C8D0000}"/>
    <cellStyle name="Note 2 4 4 2 6" xfId="30033" xr:uid="{00000000-0005-0000-0000-00004D8D0000}"/>
    <cellStyle name="Note 2 4 4 2 7" xfId="35622" xr:uid="{00000000-0005-0000-0000-00004E8D0000}"/>
    <cellStyle name="Note 2 4 4 3" xfId="30034" xr:uid="{00000000-0005-0000-0000-00004F8D0000}"/>
    <cellStyle name="Note 2 4 4 3 2" xfId="30035" xr:uid="{00000000-0005-0000-0000-0000508D0000}"/>
    <cellStyle name="Note 2 4 4 3 2 2" xfId="30036" xr:uid="{00000000-0005-0000-0000-0000518D0000}"/>
    <cellStyle name="Note 2 4 4 3 2 2 2" xfId="30037" xr:uid="{00000000-0005-0000-0000-0000528D0000}"/>
    <cellStyle name="Note 2 4 4 3 2 3" xfId="30038" xr:uid="{00000000-0005-0000-0000-0000538D0000}"/>
    <cellStyle name="Note 2 4 4 3 2 4" xfId="30039" xr:uid="{00000000-0005-0000-0000-0000548D0000}"/>
    <cellStyle name="Note 2 4 4 3 2 5" xfId="35625" xr:uid="{00000000-0005-0000-0000-0000558D0000}"/>
    <cellStyle name="Note 2 4 4 3 3" xfId="30040" xr:uid="{00000000-0005-0000-0000-0000568D0000}"/>
    <cellStyle name="Note 2 4 4 3 3 2" xfId="30041" xr:uid="{00000000-0005-0000-0000-0000578D0000}"/>
    <cellStyle name="Note 2 4 4 3 4" xfId="30042" xr:uid="{00000000-0005-0000-0000-0000588D0000}"/>
    <cellStyle name="Note 2 4 4 3 5" xfId="30043" xr:uid="{00000000-0005-0000-0000-0000598D0000}"/>
    <cellStyle name="Note 2 4 4 3 6" xfId="35624" xr:uid="{00000000-0005-0000-0000-00005A8D0000}"/>
    <cellStyle name="Note 2 4 4 4" xfId="30044" xr:uid="{00000000-0005-0000-0000-00005B8D0000}"/>
    <cellStyle name="Note 2 4 4 4 2" xfId="30045" xr:uid="{00000000-0005-0000-0000-00005C8D0000}"/>
    <cellStyle name="Note 2 4 4 4 2 2" xfId="30046" xr:uid="{00000000-0005-0000-0000-00005D8D0000}"/>
    <cellStyle name="Note 2 4 4 4 3" xfId="30047" xr:uid="{00000000-0005-0000-0000-00005E8D0000}"/>
    <cellStyle name="Note 2 4 4 4 4" xfId="30048" xr:uid="{00000000-0005-0000-0000-00005F8D0000}"/>
    <cellStyle name="Note 2 4 4 4 5" xfId="35626" xr:uid="{00000000-0005-0000-0000-0000608D0000}"/>
    <cellStyle name="Note 2 4 4 5" xfId="30049" xr:uid="{00000000-0005-0000-0000-0000618D0000}"/>
    <cellStyle name="Note 2 4 4 5 2" xfId="30050" xr:uid="{00000000-0005-0000-0000-0000628D0000}"/>
    <cellStyle name="Note 2 4 4 5 2 2" xfId="30051" xr:uid="{00000000-0005-0000-0000-0000638D0000}"/>
    <cellStyle name="Note 2 4 4 5 3" xfId="30052" xr:uid="{00000000-0005-0000-0000-0000648D0000}"/>
    <cellStyle name="Note 2 4 4 5 4" xfId="30053" xr:uid="{00000000-0005-0000-0000-0000658D0000}"/>
    <cellStyle name="Note 2 4 4 5 5" xfId="35627" xr:uid="{00000000-0005-0000-0000-0000668D0000}"/>
    <cellStyle name="Note 2 4 4 6" xfId="30054" xr:uid="{00000000-0005-0000-0000-0000678D0000}"/>
    <cellStyle name="Note 2 4 4 7" xfId="30055" xr:uid="{00000000-0005-0000-0000-0000688D0000}"/>
    <cellStyle name="Note 2 4 4 7 2" xfId="30056" xr:uid="{00000000-0005-0000-0000-0000698D0000}"/>
    <cellStyle name="Note 2 4 4 7 3" xfId="40382" xr:uid="{00000000-0005-0000-0000-00006A8D0000}"/>
    <cellStyle name="Note 2 4 4 8" xfId="30057" xr:uid="{00000000-0005-0000-0000-00006B8D0000}"/>
    <cellStyle name="Note 2 4 4 9" xfId="30058" xr:uid="{00000000-0005-0000-0000-00006C8D0000}"/>
    <cellStyle name="Note 2 4 5" xfId="30059" xr:uid="{00000000-0005-0000-0000-00006D8D0000}"/>
    <cellStyle name="Note 2 4 5 2" xfId="30060" xr:uid="{00000000-0005-0000-0000-00006E8D0000}"/>
    <cellStyle name="Note 2 4 5 2 2" xfId="30061" xr:uid="{00000000-0005-0000-0000-00006F8D0000}"/>
    <cellStyle name="Note 2 4 5 2 2 2" xfId="30062" xr:uid="{00000000-0005-0000-0000-0000708D0000}"/>
    <cellStyle name="Note 2 4 5 2 3" xfId="30063" xr:uid="{00000000-0005-0000-0000-0000718D0000}"/>
    <cellStyle name="Note 2 4 5 2 4" xfId="30064" xr:uid="{00000000-0005-0000-0000-0000728D0000}"/>
    <cellStyle name="Note 2 4 5 2 5" xfId="35629" xr:uid="{00000000-0005-0000-0000-0000738D0000}"/>
    <cellStyle name="Note 2 4 5 3" xfId="30065" xr:uid="{00000000-0005-0000-0000-0000748D0000}"/>
    <cellStyle name="Note 2 4 5 3 2" xfId="30066" xr:uid="{00000000-0005-0000-0000-0000758D0000}"/>
    <cellStyle name="Note 2 4 5 3 2 2" xfId="30067" xr:uid="{00000000-0005-0000-0000-0000768D0000}"/>
    <cellStyle name="Note 2 4 5 3 3" xfId="30068" xr:uid="{00000000-0005-0000-0000-0000778D0000}"/>
    <cellStyle name="Note 2 4 5 3 4" xfId="30069" xr:uid="{00000000-0005-0000-0000-0000788D0000}"/>
    <cellStyle name="Note 2 4 5 4" xfId="30070" xr:uid="{00000000-0005-0000-0000-0000798D0000}"/>
    <cellStyle name="Note 2 4 5 4 2" xfId="30071" xr:uid="{00000000-0005-0000-0000-00007A8D0000}"/>
    <cellStyle name="Note 2 4 5 5" xfId="30072" xr:uid="{00000000-0005-0000-0000-00007B8D0000}"/>
    <cellStyle name="Note 2 4 5 6" xfId="30073" xr:uid="{00000000-0005-0000-0000-00007C8D0000}"/>
    <cellStyle name="Note 2 4 5 7" xfId="35628" xr:uid="{00000000-0005-0000-0000-00007D8D0000}"/>
    <cellStyle name="Note 2 4 6" xfId="30074" xr:uid="{00000000-0005-0000-0000-00007E8D0000}"/>
    <cellStyle name="Note 2 4 6 2" xfId="30075" xr:uid="{00000000-0005-0000-0000-00007F8D0000}"/>
    <cellStyle name="Note 2 4 6 2 2" xfId="30076" xr:uid="{00000000-0005-0000-0000-0000808D0000}"/>
    <cellStyle name="Note 2 4 6 2 2 2" xfId="30077" xr:uid="{00000000-0005-0000-0000-0000818D0000}"/>
    <cellStyle name="Note 2 4 6 2 3" xfId="30078" xr:uid="{00000000-0005-0000-0000-0000828D0000}"/>
    <cellStyle name="Note 2 4 6 2 4" xfId="30079" xr:uid="{00000000-0005-0000-0000-0000838D0000}"/>
    <cellStyle name="Note 2 4 6 2 5" xfId="35631" xr:uid="{00000000-0005-0000-0000-0000848D0000}"/>
    <cellStyle name="Note 2 4 6 3" xfId="30080" xr:uid="{00000000-0005-0000-0000-0000858D0000}"/>
    <cellStyle name="Note 2 4 6 4" xfId="30081" xr:uid="{00000000-0005-0000-0000-0000868D0000}"/>
    <cellStyle name="Note 2 4 6 4 2" xfId="30082" xr:uid="{00000000-0005-0000-0000-0000878D0000}"/>
    <cellStyle name="Note 2 4 6 4 3" xfId="40383" xr:uid="{00000000-0005-0000-0000-0000888D0000}"/>
    <cellStyle name="Note 2 4 6 5" xfId="30083" xr:uid="{00000000-0005-0000-0000-0000898D0000}"/>
    <cellStyle name="Note 2 4 6 5 2" xfId="40384" xr:uid="{00000000-0005-0000-0000-00008A8D0000}"/>
    <cellStyle name="Note 2 4 6 6" xfId="30084" xr:uid="{00000000-0005-0000-0000-00008B8D0000}"/>
    <cellStyle name="Note 2 4 6 7" xfId="35630" xr:uid="{00000000-0005-0000-0000-00008C8D0000}"/>
    <cellStyle name="Note 2 4 7" xfId="30085" xr:uid="{00000000-0005-0000-0000-00008D8D0000}"/>
    <cellStyle name="Note 2 4 7 2" xfId="30086" xr:uid="{00000000-0005-0000-0000-00008E8D0000}"/>
    <cellStyle name="Note 2 4 7 2 2" xfId="30087" xr:uid="{00000000-0005-0000-0000-00008F8D0000}"/>
    <cellStyle name="Note 2 4 7 3" xfId="30088" xr:uid="{00000000-0005-0000-0000-0000908D0000}"/>
    <cellStyle name="Note 2 4 7 4" xfId="30089" xr:uid="{00000000-0005-0000-0000-0000918D0000}"/>
    <cellStyle name="Note 2 4 7 5" xfId="35632" xr:uid="{00000000-0005-0000-0000-0000928D0000}"/>
    <cellStyle name="Note 2 4 8" xfId="30090" xr:uid="{00000000-0005-0000-0000-0000938D0000}"/>
    <cellStyle name="Note 2 4 8 2" xfId="30091" xr:uid="{00000000-0005-0000-0000-0000948D0000}"/>
    <cellStyle name="Note 2 4 8 2 2" xfId="30092" xr:uid="{00000000-0005-0000-0000-0000958D0000}"/>
    <cellStyle name="Note 2 4 8 3" xfId="30093" xr:uid="{00000000-0005-0000-0000-0000968D0000}"/>
    <cellStyle name="Note 2 4 8 4" xfId="30094" xr:uid="{00000000-0005-0000-0000-0000978D0000}"/>
    <cellStyle name="Note 2 4 8 5" xfId="35633" xr:uid="{00000000-0005-0000-0000-0000988D0000}"/>
    <cellStyle name="Note 2 4 9" xfId="30095" xr:uid="{00000000-0005-0000-0000-0000998D0000}"/>
    <cellStyle name="Note 2 5" xfId="30096" xr:uid="{00000000-0005-0000-0000-00009A8D0000}"/>
    <cellStyle name="Note 2 5 10" xfId="30097" xr:uid="{00000000-0005-0000-0000-00009B8D0000}"/>
    <cellStyle name="Note 2 5 10 2" xfId="30098" xr:uid="{00000000-0005-0000-0000-00009C8D0000}"/>
    <cellStyle name="Note 2 5 11" xfId="30099" xr:uid="{00000000-0005-0000-0000-00009D8D0000}"/>
    <cellStyle name="Note 2 5 12" xfId="30100" xr:uid="{00000000-0005-0000-0000-00009E8D0000}"/>
    <cellStyle name="Note 2 5 13" xfId="35634" xr:uid="{00000000-0005-0000-0000-00009F8D0000}"/>
    <cellStyle name="Note 2 5 2" xfId="30101" xr:uid="{00000000-0005-0000-0000-0000A08D0000}"/>
    <cellStyle name="Note 2 5 2 10" xfId="30102" xr:uid="{00000000-0005-0000-0000-0000A18D0000}"/>
    <cellStyle name="Note 2 5 2 11" xfId="30103" xr:uid="{00000000-0005-0000-0000-0000A28D0000}"/>
    <cellStyle name="Note 2 5 2 12" xfId="35635" xr:uid="{00000000-0005-0000-0000-0000A38D0000}"/>
    <cellStyle name="Note 2 5 2 2" xfId="30104" xr:uid="{00000000-0005-0000-0000-0000A48D0000}"/>
    <cellStyle name="Note 2 5 2 2 10" xfId="30105" xr:uid="{00000000-0005-0000-0000-0000A58D0000}"/>
    <cellStyle name="Note 2 5 2 2 11" xfId="35636" xr:uid="{00000000-0005-0000-0000-0000A68D0000}"/>
    <cellStyle name="Note 2 5 2 2 2" xfId="30106" xr:uid="{00000000-0005-0000-0000-0000A78D0000}"/>
    <cellStyle name="Note 2 5 2 2 2 10" xfId="35637" xr:uid="{00000000-0005-0000-0000-0000A88D0000}"/>
    <cellStyle name="Note 2 5 2 2 2 2" xfId="30107" xr:uid="{00000000-0005-0000-0000-0000A98D0000}"/>
    <cellStyle name="Note 2 5 2 2 2 2 2" xfId="30108" xr:uid="{00000000-0005-0000-0000-0000AA8D0000}"/>
    <cellStyle name="Note 2 5 2 2 2 2 2 2" xfId="30109" xr:uid="{00000000-0005-0000-0000-0000AB8D0000}"/>
    <cellStyle name="Note 2 5 2 2 2 2 2 2 2" xfId="30110" xr:uid="{00000000-0005-0000-0000-0000AC8D0000}"/>
    <cellStyle name="Note 2 5 2 2 2 2 2 3" xfId="30111" xr:uid="{00000000-0005-0000-0000-0000AD8D0000}"/>
    <cellStyle name="Note 2 5 2 2 2 2 2 4" xfId="30112" xr:uid="{00000000-0005-0000-0000-0000AE8D0000}"/>
    <cellStyle name="Note 2 5 2 2 2 2 2 5" xfId="40385" xr:uid="{00000000-0005-0000-0000-0000AF8D0000}"/>
    <cellStyle name="Note 2 5 2 2 2 2 3" xfId="30113" xr:uid="{00000000-0005-0000-0000-0000B08D0000}"/>
    <cellStyle name="Note 2 5 2 2 2 2 3 2" xfId="30114" xr:uid="{00000000-0005-0000-0000-0000B18D0000}"/>
    <cellStyle name="Note 2 5 2 2 2 2 4" xfId="30115" xr:uid="{00000000-0005-0000-0000-0000B28D0000}"/>
    <cellStyle name="Note 2 5 2 2 2 2 5" xfId="30116" xr:uid="{00000000-0005-0000-0000-0000B38D0000}"/>
    <cellStyle name="Note 2 5 2 2 2 2 6" xfId="35638" xr:uid="{00000000-0005-0000-0000-0000B48D0000}"/>
    <cellStyle name="Note 2 5 2 2 2 3" xfId="30117" xr:uid="{00000000-0005-0000-0000-0000B58D0000}"/>
    <cellStyle name="Note 2 5 2 2 2 3 2" xfId="30118" xr:uid="{00000000-0005-0000-0000-0000B68D0000}"/>
    <cellStyle name="Note 2 5 2 2 2 3 2 2" xfId="30119" xr:uid="{00000000-0005-0000-0000-0000B78D0000}"/>
    <cellStyle name="Note 2 5 2 2 2 3 2 2 2" xfId="30120" xr:uid="{00000000-0005-0000-0000-0000B88D0000}"/>
    <cellStyle name="Note 2 5 2 2 2 3 2 3" xfId="30121" xr:uid="{00000000-0005-0000-0000-0000B98D0000}"/>
    <cellStyle name="Note 2 5 2 2 2 3 2 4" xfId="30122" xr:uid="{00000000-0005-0000-0000-0000BA8D0000}"/>
    <cellStyle name="Note 2 5 2 2 2 3 2 5" xfId="40386" xr:uid="{00000000-0005-0000-0000-0000BB8D0000}"/>
    <cellStyle name="Note 2 5 2 2 2 3 3" xfId="30123" xr:uid="{00000000-0005-0000-0000-0000BC8D0000}"/>
    <cellStyle name="Note 2 5 2 2 2 3 3 2" xfId="30124" xr:uid="{00000000-0005-0000-0000-0000BD8D0000}"/>
    <cellStyle name="Note 2 5 2 2 2 3 4" xfId="30125" xr:uid="{00000000-0005-0000-0000-0000BE8D0000}"/>
    <cellStyle name="Note 2 5 2 2 2 3 5" xfId="30126" xr:uid="{00000000-0005-0000-0000-0000BF8D0000}"/>
    <cellStyle name="Note 2 5 2 2 2 3 6" xfId="35639" xr:uid="{00000000-0005-0000-0000-0000C08D0000}"/>
    <cellStyle name="Note 2 5 2 2 2 4" xfId="30127" xr:uid="{00000000-0005-0000-0000-0000C18D0000}"/>
    <cellStyle name="Note 2 5 2 2 2 4 2" xfId="30128" xr:uid="{00000000-0005-0000-0000-0000C28D0000}"/>
    <cellStyle name="Note 2 5 2 2 2 4 2 2" xfId="30129" xr:uid="{00000000-0005-0000-0000-0000C38D0000}"/>
    <cellStyle name="Note 2 5 2 2 2 4 3" xfId="30130" xr:uid="{00000000-0005-0000-0000-0000C48D0000}"/>
    <cellStyle name="Note 2 5 2 2 2 4 4" xfId="30131" xr:uid="{00000000-0005-0000-0000-0000C58D0000}"/>
    <cellStyle name="Note 2 5 2 2 2 4 5" xfId="40387" xr:uid="{00000000-0005-0000-0000-0000C68D0000}"/>
    <cellStyle name="Note 2 5 2 2 2 5" xfId="30132" xr:uid="{00000000-0005-0000-0000-0000C78D0000}"/>
    <cellStyle name="Note 2 5 2 2 2 5 2" xfId="30133" xr:uid="{00000000-0005-0000-0000-0000C88D0000}"/>
    <cellStyle name="Note 2 5 2 2 2 5 2 2" xfId="30134" xr:uid="{00000000-0005-0000-0000-0000C98D0000}"/>
    <cellStyle name="Note 2 5 2 2 2 5 3" xfId="30135" xr:uid="{00000000-0005-0000-0000-0000CA8D0000}"/>
    <cellStyle name="Note 2 5 2 2 2 5 4" xfId="30136" xr:uid="{00000000-0005-0000-0000-0000CB8D0000}"/>
    <cellStyle name="Note 2 5 2 2 2 6" xfId="30137" xr:uid="{00000000-0005-0000-0000-0000CC8D0000}"/>
    <cellStyle name="Note 2 5 2 2 2 6 2" xfId="30138" xr:uid="{00000000-0005-0000-0000-0000CD8D0000}"/>
    <cellStyle name="Note 2 5 2 2 2 6 2 2" xfId="30139" xr:uid="{00000000-0005-0000-0000-0000CE8D0000}"/>
    <cellStyle name="Note 2 5 2 2 2 6 3" xfId="30140" xr:uid="{00000000-0005-0000-0000-0000CF8D0000}"/>
    <cellStyle name="Note 2 5 2 2 2 6 4" xfId="30141" xr:uid="{00000000-0005-0000-0000-0000D08D0000}"/>
    <cellStyle name="Note 2 5 2 2 2 7" xfId="30142" xr:uid="{00000000-0005-0000-0000-0000D18D0000}"/>
    <cellStyle name="Note 2 5 2 2 2 7 2" xfId="30143" xr:uid="{00000000-0005-0000-0000-0000D28D0000}"/>
    <cellStyle name="Note 2 5 2 2 2 8" xfId="30144" xr:uid="{00000000-0005-0000-0000-0000D38D0000}"/>
    <cellStyle name="Note 2 5 2 2 2 9" xfId="30145" xr:uid="{00000000-0005-0000-0000-0000D48D0000}"/>
    <cellStyle name="Note 2 5 2 2 3" xfId="30146" xr:uid="{00000000-0005-0000-0000-0000D58D0000}"/>
    <cellStyle name="Note 2 5 2 2 3 2" xfId="30147" xr:uid="{00000000-0005-0000-0000-0000D68D0000}"/>
    <cellStyle name="Note 2 5 2 2 3 2 2" xfId="30148" xr:uid="{00000000-0005-0000-0000-0000D78D0000}"/>
    <cellStyle name="Note 2 5 2 2 3 2 2 2" xfId="30149" xr:uid="{00000000-0005-0000-0000-0000D88D0000}"/>
    <cellStyle name="Note 2 5 2 2 3 2 3" xfId="30150" xr:uid="{00000000-0005-0000-0000-0000D98D0000}"/>
    <cellStyle name="Note 2 5 2 2 3 2 4" xfId="30151" xr:uid="{00000000-0005-0000-0000-0000DA8D0000}"/>
    <cellStyle name="Note 2 5 2 2 3 2 5" xfId="35641" xr:uid="{00000000-0005-0000-0000-0000DB8D0000}"/>
    <cellStyle name="Note 2 5 2 2 3 3" xfId="30152" xr:uid="{00000000-0005-0000-0000-0000DC8D0000}"/>
    <cellStyle name="Note 2 5 2 2 3 3 2" xfId="30153" xr:uid="{00000000-0005-0000-0000-0000DD8D0000}"/>
    <cellStyle name="Note 2 5 2 2 3 4" xfId="30154" xr:uid="{00000000-0005-0000-0000-0000DE8D0000}"/>
    <cellStyle name="Note 2 5 2 2 3 5" xfId="30155" xr:uid="{00000000-0005-0000-0000-0000DF8D0000}"/>
    <cellStyle name="Note 2 5 2 2 3 6" xfId="35640" xr:uid="{00000000-0005-0000-0000-0000E08D0000}"/>
    <cellStyle name="Note 2 5 2 2 4" xfId="30156" xr:uid="{00000000-0005-0000-0000-0000E18D0000}"/>
    <cellStyle name="Note 2 5 2 2 4 2" xfId="30157" xr:uid="{00000000-0005-0000-0000-0000E28D0000}"/>
    <cellStyle name="Note 2 5 2 2 4 2 2" xfId="30158" xr:uid="{00000000-0005-0000-0000-0000E38D0000}"/>
    <cellStyle name="Note 2 5 2 2 4 2 2 2" xfId="30159" xr:uid="{00000000-0005-0000-0000-0000E48D0000}"/>
    <cellStyle name="Note 2 5 2 2 4 2 3" xfId="30160" xr:uid="{00000000-0005-0000-0000-0000E58D0000}"/>
    <cellStyle name="Note 2 5 2 2 4 2 4" xfId="30161" xr:uid="{00000000-0005-0000-0000-0000E68D0000}"/>
    <cellStyle name="Note 2 5 2 2 4 2 5" xfId="40388" xr:uid="{00000000-0005-0000-0000-0000E78D0000}"/>
    <cellStyle name="Note 2 5 2 2 4 3" xfId="30162" xr:uid="{00000000-0005-0000-0000-0000E88D0000}"/>
    <cellStyle name="Note 2 5 2 2 4 3 2" xfId="30163" xr:uid="{00000000-0005-0000-0000-0000E98D0000}"/>
    <cellStyle name="Note 2 5 2 2 4 4" xfId="30164" xr:uid="{00000000-0005-0000-0000-0000EA8D0000}"/>
    <cellStyle name="Note 2 5 2 2 4 5" xfId="30165" xr:uid="{00000000-0005-0000-0000-0000EB8D0000}"/>
    <cellStyle name="Note 2 5 2 2 4 6" xfId="35642" xr:uid="{00000000-0005-0000-0000-0000EC8D0000}"/>
    <cellStyle name="Note 2 5 2 2 5" xfId="30166" xr:uid="{00000000-0005-0000-0000-0000ED8D0000}"/>
    <cellStyle name="Note 2 5 2 2 5 2" xfId="30167" xr:uid="{00000000-0005-0000-0000-0000EE8D0000}"/>
    <cellStyle name="Note 2 5 2 2 5 2 2" xfId="30168" xr:uid="{00000000-0005-0000-0000-0000EF8D0000}"/>
    <cellStyle name="Note 2 5 2 2 5 3" xfId="30169" xr:uid="{00000000-0005-0000-0000-0000F08D0000}"/>
    <cellStyle name="Note 2 5 2 2 5 4" xfId="30170" xr:uid="{00000000-0005-0000-0000-0000F18D0000}"/>
    <cellStyle name="Note 2 5 2 2 5 5" xfId="35643" xr:uid="{00000000-0005-0000-0000-0000F28D0000}"/>
    <cellStyle name="Note 2 5 2 2 6" xfId="30171" xr:uid="{00000000-0005-0000-0000-0000F38D0000}"/>
    <cellStyle name="Note 2 5 2 2 6 2" xfId="30172" xr:uid="{00000000-0005-0000-0000-0000F48D0000}"/>
    <cellStyle name="Note 2 5 2 2 6 2 2" xfId="30173" xr:uid="{00000000-0005-0000-0000-0000F58D0000}"/>
    <cellStyle name="Note 2 5 2 2 6 3" xfId="30174" xr:uid="{00000000-0005-0000-0000-0000F68D0000}"/>
    <cellStyle name="Note 2 5 2 2 6 4" xfId="30175" xr:uid="{00000000-0005-0000-0000-0000F78D0000}"/>
    <cellStyle name="Note 2 5 2 2 7" xfId="30176" xr:uid="{00000000-0005-0000-0000-0000F88D0000}"/>
    <cellStyle name="Note 2 5 2 2 7 2" xfId="30177" xr:uid="{00000000-0005-0000-0000-0000F98D0000}"/>
    <cellStyle name="Note 2 5 2 2 7 2 2" xfId="30178" xr:uid="{00000000-0005-0000-0000-0000FA8D0000}"/>
    <cellStyle name="Note 2 5 2 2 7 3" xfId="30179" xr:uid="{00000000-0005-0000-0000-0000FB8D0000}"/>
    <cellStyle name="Note 2 5 2 2 7 4" xfId="30180" xr:uid="{00000000-0005-0000-0000-0000FC8D0000}"/>
    <cellStyle name="Note 2 5 2 2 8" xfId="30181" xr:uid="{00000000-0005-0000-0000-0000FD8D0000}"/>
    <cellStyle name="Note 2 5 2 2 8 2" xfId="30182" xr:uid="{00000000-0005-0000-0000-0000FE8D0000}"/>
    <cellStyle name="Note 2 5 2 2 9" xfId="30183" xr:uid="{00000000-0005-0000-0000-0000FF8D0000}"/>
    <cellStyle name="Note 2 5 2 3" xfId="30184" xr:uid="{00000000-0005-0000-0000-0000008E0000}"/>
    <cellStyle name="Note 2 5 2 3 10" xfId="35644" xr:uid="{00000000-0005-0000-0000-0000018E0000}"/>
    <cellStyle name="Note 2 5 2 3 2" xfId="30185" xr:uid="{00000000-0005-0000-0000-0000028E0000}"/>
    <cellStyle name="Note 2 5 2 3 2 2" xfId="30186" xr:uid="{00000000-0005-0000-0000-0000038E0000}"/>
    <cellStyle name="Note 2 5 2 3 2 2 2" xfId="30187" xr:uid="{00000000-0005-0000-0000-0000048E0000}"/>
    <cellStyle name="Note 2 5 2 3 2 2 2 2" xfId="30188" xr:uid="{00000000-0005-0000-0000-0000058E0000}"/>
    <cellStyle name="Note 2 5 2 3 2 2 3" xfId="30189" xr:uid="{00000000-0005-0000-0000-0000068E0000}"/>
    <cellStyle name="Note 2 5 2 3 2 2 4" xfId="30190" xr:uid="{00000000-0005-0000-0000-0000078E0000}"/>
    <cellStyle name="Note 2 5 2 3 2 2 5" xfId="35646" xr:uid="{00000000-0005-0000-0000-0000088E0000}"/>
    <cellStyle name="Note 2 5 2 3 2 3" xfId="30191" xr:uid="{00000000-0005-0000-0000-0000098E0000}"/>
    <cellStyle name="Note 2 5 2 3 2 3 2" xfId="30192" xr:uid="{00000000-0005-0000-0000-00000A8E0000}"/>
    <cellStyle name="Note 2 5 2 3 2 4" xfId="30193" xr:uid="{00000000-0005-0000-0000-00000B8E0000}"/>
    <cellStyle name="Note 2 5 2 3 2 5" xfId="30194" xr:uid="{00000000-0005-0000-0000-00000C8E0000}"/>
    <cellStyle name="Note 2 5 2 3 2 6" xfId="35645" xr:uid="{00000000-0005-0000-0000-00000D8E0000}"/>
    <cellStyle name="Note 2 5 2 3 3" xfId="30195" xr:uid="{00000000-0005-0000-0000-00000E8E0000}"/>
    <cellStyle name="Note 2 5 2 3 3 2" xfId="30196" xr:uid="{00000000-0005-0000-0000-00000F8E0000}"/>
    <cellStyle name="Note 2 5 2 3 3 2 2" xfId="30197" xr:uid="{00000000-0005-0000-0000-0000108E0000}"/>
    <cellStyle name="Note 2 5 2 3 3 2 2 2" xfId="30198" xr:uid="{00000000-0005-0000-0000-0000118E0000}"/>
    <cellStyle name="Note 2 5 2 3 3 2 3" xfId="30199" xr:uid="{00000000-0005-0000-0000-0000128E0000}"/>
    <cellStyle name="Note 2 5 2 3 3 2 4" xfId="30200" xr:uid="{00000000-0005-0000-0000-0000138E0000}"/>
    <cellStyle name="Note 2 5 2 3 3 2 5" xfId="35648" xr:uid="{00000000-0005-0000-0000-0000148E0000}"/>
    <cellStyle name="Note 2 5 2 3 3 3" xfId="30201" xr:uid="{00000000-0005-0000-0000-0000158E0000}"/>
    <cellStyle name="Note 2 5 2 3 3 3 2" xfId="30202" xr:uid="{00000000-0005-0000-0000-0000168E0000}"/>
    <cellStyle name="Note 2 5 2 3 3 4" xfId="30203" xr:uid="{00000000-0005-0000-0000-0000178E0000}"/>
    <cellStyle name="Note 2 5 2 3 3 5" xfId="30204" xr:uid="{00000000-0005-0000-0000-0000188E0000}"/>
    <cellStyle name="Note 2 5 2 3 3 6" xfId="35647" xr:uid="{00000000-0005-0000-0000-0000198E0000}"/>
    <cellStyle name="Note 2 5 2 3 4" xfId="30205" xr:uid="{00000000-0005-0000-0000-00001A8E0000}"/>
    <cellStyle name="Note 2 5 2 3 4 2" xfId="30206" xr:uid="{00000000-0005-0000-0000-00001B8E0000}"/>
    <cellStyle name="Note 2 5 2 3 4 2 2" xfId="30207" xr:uid="{00000000-0005-0000-0000-00001C8E0000}"/>
    <cellStyle name="Note 2 5 2 3 4 3" xfId="30208" xr:uid="{00000000-0005-0000-0000-00001D8E0000}"/>
    <cellStyle name="Note 2 5 2 3 4 4" xfId="30209" xr:uid="{00000000-0005-0000-0000-00001E8E0000}"/>
    <cellStyle name="Note 2 5 2 3 4 5" xfId="35649" xr:uid="{00000000-0005-0000-0000-00001F8E0000}"/>
    <cellStyle name="Note 2 5 2 3 5" xfId="30210" xr:uid="{00000000-0005-0000-0000-0000208E0000}"/>
    <cellStyle name="Note 2 5 2 3 5 2" xfId="30211" xr:uid="{00000000-0005-0000-0000-0000218E0000}"/>
    <cellStyle name="Note 2 5 2 3 5 2 2" xfId="30212" xr:uid="{00000000-0005-0000-0000-0000228E0000}"/>
    <cellStyle name="Note 2 5 2 3 5 3" xfId="30213" xr:uid="{00000000-0005-0000-0000-0000238E0000}"/>
    <cellStyle name="Note 2 5 2 3 5 4" xfId="30214" xr:uid="{00000000-0005-0000-0000-0000248E0000}"/>
    <cellStyle name="Note 2 5 2 3 5 5" xfId="35650" xr:uid="{00000000-0005-0000-0000-0000258E0000}"/>
    <cellStyle name="Note 2 5 2 3 6" xfId="30215" xr:uid="{00000000-0005-0000-0000-0000268E0000}"/>
    <cellStyle name="Note 2 5 2 3 6 2" xfId="30216" xr:uid="{00000000-0005-0000-0000-0000278E0000}"/>
    <cellStyle name="Note 2 5 2 3 6 2 2" xfId="30217" xr:uid="{00000000-0005-0000-0000-0000288E0000}"/>
    <cellStyle name="Note 2 5 2 3 6 3" xfId="30218" xr:uid="{00000000-0005-0000-0000-0000298E0000}"/>
    <cellStyle name="Note 2 5 2 3 6 4" xfId="30219" xr:uid="{00000000-0005-0000-0000-00002A8E0000}"/>
    <cellStyle name="Note 2 5 2 3 7" xfId="30220" xr:uid="{00000000-0005-0000-0000-00002B8E0000}"/>
    <cellStyle name="Note 2 5 2 3 7 2" xfId="30221" xr:uid="{00000000-0005-0000-0000-00002C8E0000}"/>
    <cellStyle name="Note 2 5 2 3 8" xfId="30222" xr:uid="{00000000-0005-0000-0000-00002D8E0000}"/>
    <cellStyle name="Note 2 5 2 3 9" xfId="30223" xr:uid="{00000000-0005-0000-0000-00002E8E0000}"/>
    <cellStyle name="Note 2 5 2 4" xfId="30224" xr:uid="{00000000-0005-0000-0000-00002F8E0000}"/>
    <cellStyle name="Note 2 5 2 4 2" xfId="30225" xr:uid="{00000000-0005-0000-0000-0000308E0000}"/>
    <cellStyle name="Note 2 5 2 4 2 2" xfId="30226" xr:uid="{00000000-0005-0000-0000-0000318E0000}"/>
    <cellStyle name="Note 2 5 2 4 2 2 2" xfId="30227" xr:uid="{00000000-0005-0000-0000-0000328E0000}"/>
    <cellStyle name="Note 2 5 2 4 2 3" xfId="30228" xr:uid="{00000000-0005-0000-0000-0000338E0000}"/>
    <cellStyle name="Note 2 5 2 4 2 4" xfId="30229" xr:uid="{00000000-0005-0000-0000-0000348E0000}"/>
    <cellStyle name="Note 2 5 2 4 2 5" xfId="35652" xr:uid="{00000000-0005-0000-0000-0000358E0000}"/>
    <cellStyle name="Note 2 5 2 4 3" xfId="30230" xr:uid="{00000000-0005-0000-0000-0000368E0000}"/>
    <cellStyle name="Note 2 5 2 4 3 2" xfId="30231" xr:uid="{00000000-0005-0000-0000-0000378E0000}"/>
    <cellStyle name="Note 2 5 2 4 4" xfId="30232" xr:uid="{00000000-0005-0000-0000-0000388E0000}"/>
    <cellStyle name="Note 2 5 2 4 5" xfId="30233" xr:uid="{00000000-0005-0000-0000-0000398E0000}"/>
    <cellStyle name="Note 2 5 2 4 6" xfId="35651" xr:uid="{00000000-0005-0000-0000-00003A8E0000}"/>
    <cellStyle name="Note 2 5 2 5" xfId="30234" xr:uid="{00000000-0005-0000-0000-00003B8E0000}"/>
    <cellStyle name="Note 2 5 2 5 2" xfId="30235" xr:uid="{00000000-0005-0000-0000-00003C8E0000}"/>
    <cellStyle name="Note 2 5 2 5 2 2" xfId="30236" xr:uid="{00000000-0005-0000-0000-00003D8E0000}"/>
    <cellStyle name="Note 2 5 2 5 2 2 2" xfId="30237" xr:uid="{00000000-0005-0000-0000-00003E8E0000}"/>
    <cellStyle name="Note 2 5 2 5 2 3" xfId="30238" xr:uid="{00000000-0005-0000-0000-00003F8E0000}"/>
    <cellStyle name="Note 2 5 2 5 2 4" xfId="30239" xr:uid="{00000000-0005-0000-0000-0000408E0000}"/>
    <cellStyle name="Note 2 5 2 5 2 5" xfId="35654" xr:uid="{00000000-0005-0000-0000-0000418E0000}"/>
    <cellStyle name="Note 2 5 2 5 3" xfId="30240" xr:uid="{00000000-0005-0000-0000-0000428E0000}"/>
    <cellStyle name="Note 2 5 2 5 3 2" xfId="30241" xr:uid="{00000000-0005-0000-0000-0000438E0000}"/>
    <cellStyle name="Note 2 5 2 5 4" xfId="30242" xr:uid="{00000000-0005-0000-0000-0000448E0000}"/>
    <cellStyle name="Note 2 5 2 5 5" xfId="30243" xr:uid="{00000000-0005-0000-0000-0000458E0000}"/>
    <cellStyle name="Note 2 5 2 5 6" xfId="35653" xr:uid="{00000000-0005-0000-0000-0000468E0000}"/>
    <cellStyle name="Note 2 5 2 6" xfId="30244" xr:uid="{00000000-0005-0000-0000-0000478E0000}"/>
    <cellStyle name="Note 2 5 2 6 2" xfId="30245" xr:uid="{00000000-0005-0000-0000-0000488E0000}"/>
    <cellStyle name="Note 2 5 2 6 2 2" xfId="30246" xr:uid="{00000000-0005-0000-0000-0000498E0000}"/>
    <cellStyle name="Note 2 5 2 6 3" xfId="30247" xr:uid="{00000000-0005-0000-0000-00004A8E0000}"/>
    <cellStyle name="Note 2 5 2 6 4" xfId="30248" xr:uid="{00000000-0005-0000-0000-00004B8E0000}"/>
    <cellStyle name="Note 2 5 2 6 5" xfId="35655" xr:uid="{00000000-0005-0000-0000-00004C8E0000}"/>
    <cellStyle name="Note 2 5 2 7" xfId="30249" xr:uid="{00000000-0005-0000-0000-00004D8E0000}"/>
    <cellStyle name="Note 2 5 2 7 2" xfId="30250" xr:uid="{00000000-0005-0000-0000-00004E8E0000}"/>
    <cellStyle name="Note 2 5 2 7 2 2" xfId="30251" xr:uid="{00000000-0005-0000-0000-00004F8E0000}"/>
    <cellStyle name="Note 2 5 2 7 3" xfId="30252" xr:uid="{00000000-0005-0000-0000-0000508E0000}"/>
    <cellStyle name="Note 2 5 2 7 4" xfId="30253" xr:uid="{00000000-0005-0000-0000-0000518E0000}"/>
    <cellStyle name="Note 2 5 2 7 5" xfId="35656" xr:uid="{00000000-0005-0000-0000-0000528E0000}"/>
    <cellStyle name="Note 2 5 2 8" xfId="30254" xr:uid="{00000000-0005-0000-0000-0000538E0000}"/>
    <cellStyle name="Note 2 5 2 8 2" xfId="30255" xr:uid="{00000000-0005-0000-0000-0000548E0000}"/>
    <cellStyle name="Note 2 5 2 8 2 2" xfId="30256" xr:uid="{00000000-0005-0000-0000-0000558E0000}"/>
    <cellStyle name="Note 2 5 2 8 3" xfId="30257" xr:uid="{00000000-0005-0000-0000-0000568E0000}"/>
    <cellStyle name="Note 2 5 2 8 4" xfId="30258" xr:uid="{00000000-0005-0000-0000-0000578E0000}"/>
    <cellStyle name="Note 2 5 2 9" xfId="30259" xr:uid="{00000000-0005-0000-0000-0000588E0000}"/>
    <cellStyle name="Note 2 5 2 9 2" xfId="30260" xr:uid="{00000000-0005-0000-0000-0000598E0000}"/>
    <cellStyle name="Note 2 5 3" xfId="30261" xr:uid="{00000000-0005-0000-0000-00005A8E0000}"/>
    <cellStyle name="Note 2 5 3 10" xfId="30262" xr:uid="{00000000-0005-0000-0000-00005B8E0000}"/>
    <cellStyle name="Note 2 5 3 11" xfId="35657" xr:uid="{00000000-0005-0000-0000-00005C8E0000}"/>
    <cellStyle name="Note 2 5 3 2" xfId="30263" xr:uid="{00000000-0005-0000-0000-00005D8E0000}"/>
    <cellStyle name="Note 2 5 3 2 10" xfId="35658" xr:uid="{00000000-0005-0000-0000-00005E8E0000}"/>
    <cellStyle name="Note 2 5 3 2 2" xfId="30264" xr:uid="{00000000-0005-0000-0000-00005F8E0000}"/>
    <cellStyle name="Note 2 5 3 2 2 2" xfId="30265" xr:uid="{00000000-0005-0000-0000-0000608E0000}"/>
    <cellStyle name="Note 2 5 3 2 2 2 2" xfId="30266" xr:uid="{00000000-0005-0000-0000-0000618E0000}"/>
    <cellStyle name="Note 2 5 3 2 2 2 2 2" xfId="30267" xr:uid="{00000000-0005-0000-0000-0000628E0000}"/>
    <cellStyle name="Note 2 5 3 2 2 2 3" xfId="30268" xr:uid="{00000000-0005-0000-0000-0000638E0000}"/>
    <cellStyle name="Note 2 5 3 2 2 2 4" xfId="30269" xr:uid="{00000000-0005-0000-0000-0000648E0000}"/>
    <cellStyle name="Note 2 5 3 2 2 2 5" xfId="40389" xr:uid="{00000000-0005-0000-0000-0000658E0000}"/>
    <cellStyle name="Note 2 5 3 2 2 3" xfId="30270" xr:uid="{00000000-0005-0000-0000-0000668E0000}"/>
    <cellStyle name="Note 2 5 3 2 2 3 2" xfId="30271" xr:uid="{00000000-0005-0000-0000-0000678E0000}"/>
    <cellStyle name="Note 2 5 3 2 2 4" xfId="30272" xr:uid="{00000000-0005-0000-0000-0000688E0000}"/>
    <cellStyle name="Note 2 5 3 2 2 5" xfId="30273" xr:uid="{00000000-0005-0000-0000-0000698E0000}"/>
    <cellStyle name="Note 2 5 3 2 2 6" xfId="35659" xr:uid="{00000000-0005-0000-0000-00006A8E0000}"/>
    <cellStyle name="Note 2 5 3 2 3" xfId="30274" xr:uid="{00000000-0005-0000-0000-00006B8E0000}"/>
    <cellStyle name="Note 2 5 3 2 3 2" xfId="30275" xr:uid="{00000000-0005-0000-0000-00006C8E0000}"/>
    <cellStyle name="Note 2 5 3 2 3 2 2" xfId="30276" xr:uid="{00000000-0005-0000-0000-00006D8E0000}"/>
    <cellStyle name="Note 2 5 3 2 3 2 2 2" xfId="30277" xr:uid="{00000000-0005-0000-0000-00006E8E0000}"/>
    <cellStyle name="Note 2 5 3 2 3 2 3" xfId="30278" xr:uid="{00000000-0005-0000-0000-00006F8E0000}"/>
    <cellStyle name="Note 2 5 3 2 3 2 4" xfId="30279" xr:uid="{00000000-0005-0000-0000-0000708E0000}"/>
    <cellStyle name="Note 2 5 3 2 3 2 5" xfId="40390" xr:uid="{00000000-0005-0000-0000-0000718E0000}"/>
    <cellStyle name="Note 2 5 3 2 3 3" xfId="30280" xr:uid="{00000000-0005-0000-0000-0000728E0000}"/>
    <cellStyle name="Note 2 5 3 2 3 3 2" xfId="30281" xr:uid="{00000000-0005-0000-0000-0000738E0000}"/>
    <cellStyle name="Note 2 5 3 2 3 4" xfId="30282" xr:uid="{00000000-0005-0000-0000-0000748E0000}"/>
    <cellStyle name="Note 2 5 3 2 3 5" xfId="30283" xr:uid="{00000000-0005-0000-0000-0000758E0000}"/>
    <cellStyle name="Note 2 5 3 2 3 6" xfId="35660" xr:uid="{00000000-0005-0000-0000-0000768E0000}"/>
    <cellStyle name="Note 2 5 3 2 4" xfId="30284" xr:uid="{00000000-0005-0000-0000-0000778E0000}"/>
    <cellStyle name="Note 2 5 3 2 4 2" xfId="30285" xr:uid="{00000000-0005-0000-0000-0000788E0000}"/>
    <cellStyle name="Note 2 5 3 2 4 2 2" xfId="30286" xr:uid="{00000000-0005-0000-0000-0000798E0000}"/>
    <cellStyle name="Note 2 5 3 2 4 3" xfId="30287" xr:uid="{00000000-0005-0000-0000-00007A8E0000}"/>
    <cellStyle name="Note 2 5 3 2 4 4" xfId="30288" xr:uid="{00000000-0005-0000-0000-00007B8E0000}"/>
    <cellStyle name="Note 2 5 3 2 4 5" xfId="40391" xr:uid="{00000000-0005-0000-0000-00007C8E0000}"/>
    <cellStyle name="Note 2 5 3 2 5" xfId="30289" xr:uid="{00000000-0005-0000-0000-00007D8E0000}"/>
    <cellStyle name="Note 2 5 3 2 5 2" xfId="30290" xr:uid="{00000000-0005-0000-0000-00007E8E0000}"/>
    <cellStyle name="Note 2 5 3 2 5 2 2" xfId="30291" xr:uid="{00000000-0005-0000-0000-00007F8E0000}"/>
    <cellStyle name="Note 2 5 3 2 5 3" xfId="30292" xr:uid="{00000000-0005-0000-0000-0000808E0000}"/>
    <cellStyle name="Note 2 5 3 2 5 4" xfId="30293" xr:uid="{00000000-0005-0000-0000-0000818E0000}"/>
    <cellStyle name="Note 2 5 3 2 6" xfId="30294" xr:uid="{00000000-0005-0000-0000-0000828E0000}"/>
    <cellStyle name="Note 2 5 3 2 6 2" xfId="30295" xr:uid="{00000000-0005-0000-0000-0000838E0000}"/>
    <cellStyle name="Note 2 5 3 2 6 2 2" xfId="30296" xr:uid="{00000000-0005-0000-0000-0000848E0000}"/>
    <cellStyle name="Note 2 5 3 2 6 3" xfId="30297" xr:uid="{00000000-0005-0000-0000-0000858E0000}"/>
    <cellStyle name="Note 2 5 3 2 6 4" xfId="30298" xr:uid="{00000000-0005-0000-0000-0000868E0000}"/>
    <cellStyle name="Note 2 5 3 2 7" xfId="30299" xr:uid="{00000000-0005-0000-0000-0000878E0000}"/>
    <cellStyle name="Note 2 5 3 2 7 2" xfId="30300" xr:uid="{00000000-0005-0000-0000-0000888E0000}"/>
    <cellStyle name="Note 2 5 3 2 8" xfId="30301" xr:uid="{00000000-0005-0000-0000-0000898E0000}"/>
    <cellStyle name="Note 2 5 3 2 9" xfId="30302" xr:uid="{00000000-0005-0000-0000-00008A8E0000}"/>
    <cellStyle name="Note 2 5 3 3" xfId="30303" xr:uid="{00000000-0005-0000-0000-00008B8E0000}"/>
    <cellStyle name="Note 2 5 3 3 2" xfId="30304" xr:uid="{00000000-0005-0000-0000-00008C8E0000}"/>
    <cellStyle name="Note 2 5 3 3 2 2" xfId="30305" xr:uid="{00000000-0005-0000-0000-00008D8E0000}"/>
    <cellStyle name="Note 2 5 3 3 2 2 2" xfId="30306" xr:uid="{00000000-0005-0000-0000-00008E8E0000}"/>
    <cellStyle name="Note 2 5 3 3 2 3" xfId="30307" xr:uid="{00000000-0005-0000-0000-00008F8E0000}"/>
    <cellStyle name="Note 2 5 3 3 2 4" xfId="30308" xr:uid="{00000000-0005-0000-0000-0000908E0000}"/>
    <cellStyle name="Note 2 5 3 3 2 5" xfId="35662" xr:uid="{00000000-0005-0000-0000-0000918E0000}"/>
    <cellStyle name="Note 2 5 3 3 3" xfId="30309" xr:uid="{00000000-0005-0000-0000-0000928E0000}"/>
    <cellStyle name="Note 2 5 3 3 3 2" xfId="30310" xr:uid="{00000000-0005-0000-0000-0000938E0000}"/>
    <cellStyle name="Note 2 5 3 3 4" xfId="30311" xr:uid="{00000000-0005-0000-0000-0000948E0000}"/>
    <cellStyle name="Note 2 5 3 3 5" xfId="30312" xr:uid="{00000000-0005-0000-0000-0000958E0000}"/>
    <cellStyle name="Note 2 5 3 3 6" xfId="35661" xr:uid="{00000000-0005-0000-0000-0000968E0000}"/>
    <cellStyle name="Note 2 5 3 4" xfId="30313" xr:uid="{00000000-0005-0000-0000-0000978E0000}"/>
    <cellStyle name="Note 2 5 3 4 2" xfId="30314" xr:uid="{00000000-0005-0000-0000-0000988E0000}"/>
    <cellStyle name="Note 2 5 3 4 2 2" xfId="30315" xr:uid="{00000000-0005-0000-0000-0000998E0000}"/>
    <cellStyle name="Note 2 5 3 4 2 2 2" xfId="30316" xr:uid="{00000000-0005-0000-0000-00009A8E0000}"/>
    <cellStyle name="Note 2 5 3 4 2 3" xfId="30317" xr:uid="{00000000-0005-0000-0000-00009B8E0000}"/>
    <cellStyle name="Note 2 5 3 4 2 4" xfId="30318" xr:uid="{00000000-0005-0000-0000-00009C8E0000}"/>
    <cellStyle name="Note 2 5 3 4 2 5" xfId="40392" xr:uid="{00000000-0005-0000-0000-00009D8E0000}"/>
    <cellStyle name="Note 2 5 3 4 3" xfId="30319" xr:uid="{00000000-0005-0000-0000-00009E8E0000}"/>
    <cellStyle name="Note 2 5 3 4 3 2" xfId="30320" xr:uid="{00000000-0005-0000-0000-00009F8E0000}"/>
    <cellStyle name="Note 2 5 3 4 4" xfId="30321" xr:uid="{00000000-0005-0000-0000-0000A08E0000}"/>
    <cellStyle name="Note 2 5 3 4 5" xfId="30322" xr:uid="{00000000-0005-0000-0000-0000A18E0000}"/>
    <cellStyle name="Note 2 5 3 4 6" xfId="35663" xr:uid="{00000000-0005-0000-0000-0000A28E0000}"/>
    <cellStyle name="Note 2 5 3 5" xfId="30323" xr:uid="{00000000-0005-0000-0000-0000A38E0000}"/>
    <cellStyle name="Note 2 5 3 5 2" xfId="30324" xr:uid="{00000000-0005-0000-0000-0000A48E0000}"/>
    <cellStyle name="Note 2 5 3 5 2 2" xfId="30325" xr:uid="{00000000-0005-0000-0000-0000A58E0000}"/>
    <cellStyle name="Note 2 5 3 5 3" xfId="30326" xr:uid="{00000000-0005-0000-0000-0000A68E0000}"/>
    <cellStyle name="Note 2 5 3 5 4" xfId="30327" xr:uid="{00000000-0005-0000-0000-0000A78E0000}"/>
    <cellStyle name="Note 2 5 3 5 5" xfId="35664" xr:uid="{00000000-0005-0000-0000-0000A88E0000}"/>
    <cellStyle name="Note 2 5 3 6" xfId="30328" xr:uid="{00000000-0005-0000-0000-0000A98E0000}"/>
    <cellStyle name="Note 2 5 3 6 2" xfId="30329" xr:uid="{00000000-0005-0000-0000-0000AA8E0000}"/>
    <cellStyle name="Note 2 5 3 6 2 2" xfId="30330" xr:uid="{00000000-0005-0000-0000-0000AB8E0000}"/>
    <cellStyle name="Note 2 5 3 6 3" xfId="30331" xr:uid="{00000000-0005-0000-0000-0000AC8E0000}"/>
    <cellStyle name="Note 2 5 3 6 4" xfId="30332" xr:uid="{00000000-0005-0000-0000-0000AD8E0000}"/>
    <cellStyle name="Note 2 5 3 7" xfId="30333" xr:uid="{00000000-0005-0000-0000-0000AE8E0000}"/>
    <cellStyle name="Note 2 5 3 7 2" xfId="30334" xr:uid="{00000000-0005-0000-0000-0000AF8E0000}"/>
    <cellStyle name="Note 2 5 3 7 2 2" xfId="30335" xr:uid="{00000000-0005-0000-0000-0000B08E0000}"/>
    <cellStyle name="Note 2 5 3 7 3" xfId="30336" xr:uid="{00000000-0005-0000-0000-0000B18E0000}"/>
    <cellStyle name="Note 2 5 3 7 4" xfId="30337" xr:uid="{00000000-0005-0000-0000-0000B28E0000}"/>
    <cellStyle name="Note 2 5 3 8" xfId="30338" xr:uid="{00000000-0005-0000-0000-0000B38E0000}"/>
    <cellStyle name="Note 2 5 3 8 2" xfId="30339" xr:uid="{00000000-0005-0000-0000-0000B48E0000}"/>
    <cellStyle name="Note 2 5 3 9" xfId="30340" xr:uid="{00000000-0005-0000-0000-0000B58E0000}"/>
    <cellStyle name="Note 2 5 4" xfId="30341" xr:uid="{00000000-0005-0000-0000-0000B68E0000}"/>
    <cellStyle name="Note 2 5 4 10" xfId="35665" xr:uid="{00000000-0005-0000-0000-0000B78E0000}"/>
    <cellStyle name="Note 2 5 4 2" xfId="30342" xr:uid="{00000000-0005-0000-0000-0000B88E0000}"/>
    <cellStyle name="Note 2 5 4 2 2" xfId="30343" xr:uid="{00000000-0005-0000-0000-0000B98E0000}"/>
    <cellStyle name="Note 2 5 4 2 2 2" xfId="30344" xr:uid="{00000000-0005-0000-0000-0000BA8E0000}"/>
    <cellStyle name="Note 2 5 4 2 2 2 2" xfId="30345" xr:uid="{00000000-0005-0000-0000-0000BB8E0000}"/>
    <cellStyle name="Note 2 5 4 2 2 3" xfId="30346" xr:uid="{00000000-0005-0000-0000-0000BC8E0000}"/>
    <cellStyle name="Note 2 5 4 2 2 4" xfId="30347" xr:uid="{00000000-0005-0000-0000-0000BD8E0000}"/>
    <cellStyle name="Note 2 5 4 2 2 5" xfId="35667" xr:uid="{00000000-0005-0000-0000-0000BE8E0000}"/>
    <cellStyle name="Note 2 5 4 2 3" xfId="30348" xr:uid="{00000000-0005-0000-0000-0000BF8E0000}"/>
    <cellStyle name="Note 2 5 4 2 3 2" xfId="30349" xr:uid="{00000000-0005-0000-0000-0000C08E0000}"/>
    <cellStyle name="Note 2 5 4 2 4" xfId="30350" xr:uid="{00000000-0005-0000-0000-0000C18E0000}"/>
    <cellStyle name="Note 2 5 4 2 5" xfId="30351" xr:uid="{00000000-0005-0000-0000-0000C28E0000}"/>
    <cellStyle name="Note 2 5 4 2 6" xfId="35666" xr:uid="{00000000-0005-0000-0000-0000C38E0000}"/>
    <cellStyle name="Note 2 5 4 3" xfId="30352" xr:uid="{00000000-0005-0000-0000-0000C48E0000}"/>
    <cellStyle name="Note 2 5 4 3 2" xfId="30353" xr:uid="{00000000-0005-0000-0000-0000C58E0000}"/>
    <cellStyle name="Note 2 5 4 3 2 2" xfId="30354" xr:uid="{00000000-0005-0000-0000-0000C68E0000}"/>
    <cellStyle name="Note 2 5 4 3 2 2 2" xfId="30355" xr:uid="{00000000-0005-0000-0000-0000C78E0000}"/>
    <cellStyle name="Note 2 5 4 3 2 3" xfId="30356" xr:uid="{00000000-0005-0000-0000-0000C88E0000}"/>
    <cellStyle name="Note 2 5 4 3 2 4" xfId="30357" xr:uid="{00000000-0005-0000-0000-0000C98E0000}"/>
    <cellStyle name="Note 2 5 4 3 2 5" xfId="35669" xr:uid="{00000000-0005-0000-0000-0000CA8E0000}"/>
    <cellStyle name="Note 2 5 4 3 3" xfId="30358" xr:uid="{00000000-0005-0000-0000-0000CB8E0000}"/>
    <cellStyle name="Note 2 5 4 3 3 2" xfId="30359" xr:uid="{00000000-0005-0000-0000-0000CC8E0000}"/>
    <cellStyle name="Note 2 5 4 3 4" xfId="30360" xr:uid="{00000000-0005-0000-0000-0000CD8E0000}"/>
    <cellStyle name="Note 2 5 4 3 5" xfId="30361" xr:uid="{00000000-0005-0000-0000-0000CE8E0000}"/>
    <cellStyle name="Note 2 5 4 3 6" xfId="35668" xr:uid="{00000000-0005-0000-0000-0000CF8E0000}"/>
    <cellStyle name="Note 2 5 4 4" xfId="30362" xr:uid="{00000000-0005-0000-0000-0000D08E0000}"/>
    <cellStyle name="Note 2 5 4 4 2" xfId="30363" xr:uid="{00000000-0005-0000-0000-0000D18E0000}"/>
    <cellStyle name="Note 2 5 4 4 2 2" xfId="30364" xr:uid="{00000000-0005-0000-0000-0000D28E0000}"/>
    <cellStyle name="Note 2 5 4 4 3" xfId="30365" xr:uid="{00000000-0005-0000-0000-0000D38E0000}"/>
    <cellStyle name="Note 2 5 4 4 4" xfId="30366" xr:uid="{00000000-0005-0000-0000-0000D48E0000}"/>
    <cellStyle name="Note 2 5 4 4 5" xfId="35670" xr:uid="{00000000-0005-0000-0000-0000D58E0000}"/>
    <cellStyle name="Note 2 5 4 5" xfId="30367" xr:uid="{00000000-0005-0000-0000-0000D68E0000}"/>
    <cellStyle name="Note 2 5 4 5 2" xfId="30368" xr:uid="{00000000-0005-0000-0000-0000D78E0000}"/>
    <cellStyle name="Note 2 5 4 5 2 2" xfId="30369" xr:uid="{00000000-0005-0000-0000-0000D88E0000}"/>
    <cellStyle name="Note 2 5 4 5 3" xfId="30370" xr:uid="{00000000-0005-0000-0000-0000D98E0000}"/>
    <cellStyle name="Note 2 5 4 5 4" xfId="30371" xr:uid="{00000000-0005-0000-0000-0000DA8E0000}"/>
    <cellStyle name="Note 2 5 4 5 5" xfId="35671" xr:uid="{00000000-0005-0000-0000-0000DB8E0000}"/>
    <cellStyle name="Note 2 5 4 6" xfId="30372" xr:uid="{00000000-0005-0000-0000-0000DC8E0000}"/>
    <cellStyle name="Note 2 5 4 6 2" xfId="30373" xr:uid="{00000000-0005-0000-0000-0000DD8E0000}"/>
    <cellStyle name="Note 2 5 4 6 2 2" xfId="30374" xr:uid="{00000000-0005-0000-0000-0000DE8E0000}"/>
    <cellStyle name="Note 2 5 4 6 3" xfId="30375" xr:uid="{00000000-0005-0000-0000-0000DF8E0000}"/>
    <cellStyle name="Note 2 5 4 6 4" xfId="30376" xr:uid="{00000000-0005-0000-0000-0000E08E0000}"/>
    <cellStyle name="Note 2 5 4 7" xfId="30377" xr:uid="{00000000-0005-0000-0000-0000E18E0000}"/>
    <cellStyle name="Note 2 5 4 7 2" xfId="30378" xr:uid="{00000000-0005-0000-0000-0000E28E0000}"/>
    <cellStyle name="Note 2 5 4 8" xfId="30379" xr:uid="{00000000-0005-0000-0000-0000E38E0000}"/>
    <cellStyle name="Note 2 5 4 9" xfId="30380" xr:uid="{00000000-0005-0000-0000-0000E48E0000}"/>
    <cellStyle name="Note 2 5 5" xfId="30381" xr:uid="{00000000-0005-0000-0000-0000E58E0000}"/>
    <cellStyle name="Note 2 5 5 2" xfId="30382" xr:uid="{00000000-0005-0000-0000-0000E68E0000}"/>
    <cellStyle name="Note 2 5 5 2 2" xfId="30383" xr:uid="{00000000-0005-0000-0000-0000E78E0000}"/>
    <cellStyle name="Note 2 5 5 2 2 2" xfId="30384" xr:uid="{00000000-0005-0000-0000-0000E88E0000}"/>
    <cellStyle name="Note 2 5 5 2 3" xfId="30385" xr:uid="{00000000-0005-0000-0000-0000E98E0000}"/>
    <cellStyle name="Note 2 5 5 2 4" xfId="30386" xr:uid="{00000000-0005-0000-0000-0000EA8E0000}"/>
    <cellStyle name="Note 2 5 5 2 5" xfId="35673" xr:uid="{00000000-0005-0000-0000-0000EB8E0000}"/>
    <cellStyle name="Note 2 5 5 3" xfId="30387" xr:uid="{00000000-0005-0000-0000-0000EC8E0000}"/>
    <cellStyle name="Note 2 5 5 3 2" xfId="30388" xr:uid="{00000000-0005-0000-0000-0000ED8E0000}"/>
    <cellStyle name="Note 2 5 5 4" xfId="30389" xr:uid="{00000000-0005-0000-0000-0000EE8E0000}"/>
    <cellStyle name="Note 2 5 5 5" xfId="30390" xr:uid="{00000000-0005-0000-0000-0000EF8E0000}"/>
    <cellStyle name="Note 2 5 5 6" xfId="35672" xr:uid="{00000000-0005-0000-0000-0000F08E0000}"/>
    <cellStyle name="Note 2 5 6" xfId="30391" xr:uid="{00000000-0005-0000-0000-0000F18E0000}"/>
    <cellStyle name="Note 2 5 6 2" xfId="30392" xr:uid="{00000000-0005-0000-0000-0000F28E0000}"/>
    <cellStyle name="Note 2 5 6 2 2" xfId="30393" xr:uid="{00000000-0005-0000-0000-0000F38E0000}"/>
    <cellStyle name="Note 2 5 6 2 2 2" xfId="30394" xr:uid="{00000000-0005-0000-0000-0000F48E0000}"/>
    <cellStyle name="Note 2 5 6 2 3" xfId="30395" xr:uid="{00000000-0005-0000-0000-0000F58E0000}"/>
    <cellStyle name="Note 2 5 6 2 4" xfId="30396" xr:uid="{00000000-0005-0000-0000-0000F68E0000}"/>
    <cellStyle name="Note 2 5 6 2 5" xfId="35675" xr:uid="{00000000-0005-0000-0000-0000F78E0000}"/>
    <cellStyle name="Note 2 5 6 3" xfId="30397" xr:uid="{00000000-0005-0000-0000-0000F88E0000}"/>
    <cellStyle name="Note 2 5 6 3 2" xfId="30398" xr:uid="{00000000-0005-0000-0000-0000F98E0000}"/>
    <cellStyle name="Note 2 5 6 4" xfId="30399" xr:uid="{00000000-0005-0000-0000-0000FA8E0000}"/>
    <cellStyle name="Note 2 5 6 5" xfId="30400" xr:uid="{00000000-0005-0000-0000-0000FB8E0000}"/>
    <cellStyle name="Note 2 5 6 6" xfId="35674" xr:uid="{00000000-0005-0000-0000-0000FC8E0000}"/>
    <cellStyle name="Note 2 5 7" xfId="30401" xr:uid="{00000000-0005-0000-0000-0000FD8E0000}"/>
    <cellStyle name="Note 2 5 7 2" xfId="30402" xr:uid="{00000000-0005-0000-0000-0000FE8E0000}"/>
    <cellStyle name="Note 2 5 7 2 2" xfId="30403" xr:uid="{00000000-0005-0000-0000-0000FF8E0000}"/>
    <cellStyle name="Note 2 5 7 3" xfId="30404" xr:uid="{00000000-0005-0000-0000-0000008F0000}"/>
    <cellStyle name="Note 2 5 7 4" xfId="30405" xr:uid="{00000000-0005-0000-0000-0000018F0000}"/>
    <cellStyle name="Note 2 5 7 5" xfId="35676" xr:uid="{00000000-0005-0000-0000-0000028F0000}"/>
    <cellStyle name="Note 2 5 8" xfId="30406" xr:uid="{00000000-0005-0000-0000-0000038F0000}"/>
    <cellStyle name="Note 2 5 8 2" xfId="30407" xr:uid="{00000000-0005-0000-0000-0000048F0000}"/>
    <cellStyle name="Note 2 5 8 2 2" xfId="30408" xr:uid="{00000000-0005-0000-0000-0000058F0000}"/>
    <cellStyle name="Note 2 5 8 3" xfId="30409" xr:uid="{00000000-0005-0000-0000-0000068F0000}"/>
    <cellStyle name="Note 2 5 8 4" xfId="30410" xr:uid="{00000000-0005-0000-0000-0000078F0000}"/>
    <cellStyle name="Note 2 5 8 5" xfId="35677" xr:uid="{00000000-0005-0000-0000-0000088F0000}"/>
    <cellStyle name="Note 2 5 9" xfId="30411" xr:uid="{00000000-0005-0000-0000-0000098F0000}"/>
    <cellStyle name="Note 2 5 9 2" xfId="30412" xr:uid="{00000000-0005-0000-0000-00000A8F0000}"/>
    <cellStyle name="Note 2 5 9 2 2" xfId="30413" xr:uid="{00000000-0005-0000-0000-00000B8F0000}"/>
    <cellStyle name="Note 2 5 9 3" xfId="30414" xr:uid="{00000000-0005-0000-0000-00000C8F0000}"/>
    <cellStyle name="Note 2 5 9 4" xfId="30415" xr:uid="{00000000-0005-0000-0000-00000D8F0000}"/>
    <cellStyle name="Note 2 6" xfId="30416" xr:uid="{00000000-0005-0000-0000-00000E8F0000}"/>
    <cellStyle name="Note 2 6 10" xfId="30417" xr:uid="{00000000-0005-0000-0000-00000F8F0000}"/>
    <cellStyle name="Note 2 6 11" xfId="30418" xr:uid="{00000000-0005-0000-0000-0000108F0000}"/>
    <cellStyle name="Note 2 6 12" xfId="35678" xr:uid="{00000000-0005-0000-0000-0000118F0000}"/>
    <cellStyle name="Note 2 6 2" xfId="30419" xr:uid="{00000000-0005-0000-0000-0000128F0000}"/>
    <cellStyle name="Note 2 6 2 10" xfId="30420" xr:uid="{00000000-0005-0000-0000-0000138F0000}"/>
    <cellStyle name="Note 2 6 2 11" xfId="35679" xr:uid="{00000000-0005-0000-0000-0000148F0000}"/>
    <cellStyle name="Note 2 6 2 2" xfId="30421" xr:uid="{00000000-0005-0000-0000-0000158F0000}"/>
    <cellStyle name="Note 2 6 2 2 10" xfId="35680" xr:uid="{00000000-0005-0000-0000-0000168F0000}"/>
    <cellStyle name="Note 2 6 2 2 2" xfId="30422" xr:uid="{00000000-0005-0000-0000-0000178F0000}"/>
    <cellStyle name="Note 2 6 2 2 2 2" xfId="30423" xr:uid="{00000000-0005-0000-0000-0000188F0000}"/>
    <cellStyle name="Note 2 6 2 2 2 2 2" xfId="30424" xr:uid="{00000000-0005-0000-0000-0000198F0000}"/>
    <cellStyle name="Note 2 6 2 2 2 2 2 2" xfId="30425" xr:uid="{00000000-0005-0000-0000-00001A8F0000}"/>
    <cellStyle name="Note 2 6 2 2 2 2 3" xfId="30426" xr:uid="{00000000-0005-0000-0000-00001B8F0000}"/>
    <cellStyle name="Note 2 6 2 2 2 2 4" xfId="30427" xr:uid="{00000000-0005-0000-0000-00001C8F0000}"/>
    <cellStyle name="Note 2 6 2 2 2 2 5" xfId="35682" xr:uid="{00000000-0005-0000-0000-00001D8F0000}"/>
    <cellStyle name="Note 2 6 2 2 2 3" xfId="30428" xr:uid="{00000000-0005-0000-0000-00001E8F0000}"/>
    <cellStyle name="Note 2 6 2 2 2 3 2" xfId="30429" xr:uid="{00000000-0005-0000-0000-00001F8F0000}"/>
    <cellStyle name="Note 2 6 2 2 2 4" xfId="30430" xr:uid="{00000000-0005-0000-0000-0000208F0000}"/>
    <cellStyle name="Note 2 6 2 2 2 5" xfId="30431" xr:uid="{00000000-0005-0000-0000-0000218F0000}"/>
    <cellStyle name="Note 2 6 2 2 2 6" xfId="35681" xr:uid="{00000000-0005-0000-0000-0000228F0000}"/>
    <cellStyle name="Note 2 6 2 2 3" xfId="30432" xr:uid="{00000000-0005-0000-0000-0000238F0000}"/>
    <cellStyle name="Note 2 6 2 2 3 2" xfId="30433" xr:uid="{00000000-0005-0000-0000-0000248F0000}"/>
    <cellStyle name="Note 2 6 2 2 3 2 2" xfId="30434" xr:uid="{00000000-0005-0000-0000-0000258F0000}"/>
    <cellStyle name="Note 2 6 2 2 3 2 2 2" xfId="30435" xr:uid="{00000000-0005-0000-0000-0000268F0000}"/>
    <cellStyle name="Note 2 6 2 2 3 2 3" xfId="30436" xr:uid="{00000000-0005-0000-0000-0000278F0000}"/>
    <cellStyle name="Note 2 6 2 2 3 2 4" xfId="30437" xr:uid="{00000000-0005-0000-0000-0000288F0000}"/>
    <cellStyle name="Note 2 6 2 2 3 2 5" xfId="35684" xr:uid="{00000000-0005-0000-0000-0000298F0000}"/>
    <cellStyle name="Note 2 6 2 2 3 3" xfId="30438" xr:uid="{00000000-0005-0000-0000-00002A8F0000}"/>
    <cellStyle name="Note 2 6 2 2 3 3 2" xfId="30439" xr:uid="{00000000-0005-0000-0000-00002B8F0000}"/>
    <cellStyle name="Note 2 6 2 2 3 4" xfId="30440" xr:uid="{00000000-0005-0000-0000-00002C8F0000}"/>
    <cellStyle name="Note 2 6 2 2 3 5" xfId="30441" xr:uid="{00000000-0005-0000-0000-00002D8F0000}"/>
    <cellStyle name="Note 2 6 2 2 3 6" xfId="35683" xr:uid="{00000000-0005-0000-0000-00002E8F0000}"/>
    <cellStyle name="Note 2 6 2 2 4" xfId="30442" xr:uid="{00000000-0005-0000-0000-00002F8F0000}"/>
    <cellStyle name="Note 2 6 2 2 4 2" xfId="30443" xr:uid="{00000000-0005-0000-0000-0000308F0000}"/>
    <cellStyle name="Note 2 6 2 2 4 2 2" xfId="30444" xr:uid="{00000000-0005-0000-0000-0000318F0000}"/>
    <cellStyle name="Note 2 6 2 2 4 3" xfId="30445" xr:uid="{00000000-0005-0000-0000-0000328F0000}"/>
    <cellStyle name="Note 2 6 2 2 4 4" xfId="30446" xr:uid="{00000000-0005-0000-0000-0000338F0000}"/>
    <cellStyle name="Note 2 6 2 2 4 5" xfId="35685" xr:uid="{00000000-0005-0000-0000-0000348F0000}"/>
    <cellStyle name="Note 2 6 2 2 5" xfId="30447" xr:uid="{00000000-0005-0000-0000-0000358F0000}"/>
    <cellStyle name="Note 2 6 2 2 5 2" xfId="30448" xr:uid="{00000000-0005-0000-0000-0000368F0000}"/>
    <cellStyle name="Note 2 6 2 2 5 2 2" xfId="30449" xr:uid="{00000000-0005-0000-0000-0000378F0000}"/>
    <cellStyle name="Note 2 6 2 2 5 3" xfId="30450" xr:uid="{00000000-0005-0000-0000-0000388F0000}"/>
    <cellStyle name="Note 2 6 2 2 5 4" xfId="30451" xr:uid="{00000000-0005-0000-0000-0000398F0000}"/>
    <cellStyle name="Note 2 6 2 2 5 5" xfId="35686" xr:uid="{00000000-0005-0000-0000-00003A8F0000}"/>
    <cellStyle name="Note 2 6 2 2 6" xfId="30452" xr:uid="{00000000-0005-0000-0000-00003B8F0000}"/>
    <cellStyle name="Note 2 6 2 2 6 2" xfId="30453" xr:uid="{00000000-0005-0000-0000-00003C8F0000}"/>
    <cellStyle name="Note 2 6 2 2 6 2 2" xfId="30454" xr:uid="{00000000-0005-0000-0000-00003D8F0000}"/>
    <cellStyle name="Note 2 6 2 2 6 3" xfId="30455" xr:uid="{00000000-0005-0000-0000-00003E8F0000}"/>
    <cellStyle name="Note 2 6 2 2 6 4" xfId="30456" xr:uid="{00000000-0005-0000-0000-00003F8F0000}"/>
    <cellStyle name="Note 2 6 2 2 7" xfId="30457" xr:uid="{00000000-0005-0000-0000-0000408F0000}"/>
    <cellStyle name="Note 2 6 2 2 7 2" xfId="30458" xr:uid="{00000000-0005-0000-0000-0000418F0000}"/>
    <cellStyle name="Note 2 6 2 2 8" xfId="30459" xr:uid="{00000000-0005-0000-0000-0000428F0000}"/>
    <cellStyle name="Note 2 6 2 2 9" xfId="30460" xr:uid="{00000000-0005-0000-0000-0000438F0000}"/>
    <cellStyle name="Note 2 6 2 3" xfId="30461" xr:uid="{00000000-0005-0000-0000-0000448F0000}"/>
    <cellStyle name="Note 2 6 2 3 2" xfId="30462" xr:uid="{00000000-0005-0000-0000-0000458F0000}"/>
    <cellStyle name="Note 2 6 2 3 2 2" xfId="30463" xr:uid="{00000000-0005-0000-0000-0000468F0000}"/>
    <cellStyle name="Note 2 6 2 3 2 2 2" xfId="30464" xr:uid="{00000000-0005-0000-0000-0000478F0000}"/>
    <cellStyle name="Note 2 6 2 3 2 2 3" xfId="35689" xr:uid="{00000000-0005-0000-0000-0000488F0000}"/>
    <cellStyle name="Note 2 6 2 3 2 3" xfId="30465" xr:uid="{00000000-0005-0000-0000-0000498F0000}"/>
    <cellStyle name="Note 2 6 2 3 2 4" xfId="30466" xr:uid="{00000000-0005-0000-0000-00004A8F0000}"/>
    <cellStyle name="Note 2 6 2 3 2 5" xfId="35688" xr:uid="{00000000-0005-0000-0000-00004B8F0000}"/>
    <cellStyle name="Note 2 6 2 3 3" xfId="30467" xr:uid="{00000000-0005-0000-0000-00004C8F0000}"/>
    <cellStyle name="Note 2 6 2 3 3 2" xfId="30468" xr:uid="{00000000-0005-0000-0000-00004D8F0000}"/>
    <cellStyle name="Note 2 6 2 3 3 2 2" xfId="35691" xr:uid="{00000000-0005-0000-0000-00004E8F0000}"/>
    <cellStyle name="Note 2 6 2 3 3 3" xfId="35690" xr:uid="{00000000-0005-0000-0000-00004F8F0000}"/>
    <cellStyle name="Note 2 6 2 3 4" xfId="30469" xr:uid="{00000000-0005-0000-0000-0000508F0000}"/>
    <cellStyle name="Note 2 6 2 3 4 2" xfId="35692" xr:uid="{00000000-0005-0000-0000-0000518F0000}"/>
    <cellStyle name="Note 2 6 2 3 5" xfId="30470" xr:uid="{00000000-0005-0000-0000-0000528F0000}"/>
    <cellStyle name="Note 2 6 2 3 6" xfId="35687" xr:uid="{00000000-0005-0000-0000-0000538F0000}"/>
    <cellStyle name="Note 2 6 2 4" xfId="30471" xr:uid="{00000000-0005-0000-0000-0000548F0000}"/>
    <cellStyle name="Note 2 6 2 4 2" xfId="30472" xr:uid="{00000000-0005-0000-0000-0000558F0000}"/>
    <cellStyle name="Note 2 6 2 4 2 2" xfId="30473" xr:uid="{00000000-0005-0000-0000-0000568F0000}"/>
    <cellStyle name="Note 2 6 2 4 2 2 2" xfId="30474" xr:uid="{00000000-0005-0000-0000-0000578F0000}"/>
    <cellStyle name="Note 2 6 2 4 2 3" xfId="30475" xr:uid="{00000000-0005-0000-0000-0000588F0000}"/>
    <cellStyle name="Note 2 6 2 4 2 4" xfId="30476" xr:uid="{00000000-0005-0000-0000-0000598F0000}"/>
    <cellStyle name="Note 2 6 2 4 2 5" xfId="35694" xr:uid="{00000000-0005-0000-0000-00005A8F0000}"/>
    <cellStyle name="Note 2 6 2 4 3" xfId="30477" xr:uid="{00000000-0005-0000-0000-00005B8F0000}"/>
    <cellStyle name="Note 2 6 2 4 3 2" xfId="30478" xr:uid="{00000000-0005-0000-0000-00005C8F0000}"/>
    <cellStyle name="Note 2 6 2 4 4" xfId="30479" xr:uid="{00000000-0005-0000-0000-00005D8F0000}"/>
    <cellStyle name="Note 2 6 2 4 5" xfId="30480" xr:uid="{00000000-0005-0000-0000-00005E8F0000}"/>
    <cellStyle name="Note 2 6 2 4 6" xfId="35693" xr:uid="{00000000-0005-0000-0000-00005F8F0000}"/>
    <cellStyle name="Note 2 6 2 5" xfId="30481" xr:uid="{00000000-0005-0000-0000-0000608F0000}"/>
    <cellStyle name="Note 2 6 2 5 2" xfId="30482" xr:uid="{00000000-0005-0000-0000-0000618F0000}"/>
    <cellStyle name="Note 2 6 2 5 2 2" xfId="30483" xr:uid="{00000000-0005-0000-0000-0000628F0000}"/>
    <cellStyle name="Note 2 6 2 5 2 3" xfId="35696" xr:uid="{00000000-0005-0000-0000-0000638F0000}"/>
    <cellStyle name="Note 2 6 2 5 3" xfId="30484" xr:uid="{00000000-0005-0000-0000-0000648F0000}"/>
    <cellStyle name="Note 2 6 2 5 4" xfId="30485" xr:uid="{00000000-0005-0000-0000-0000658F0000}"/>
    <cellStyle name="Note 2 6 2 5 5" xfId="35695" xr:uid="{00000000-0005-0000-0000-0000668F0000}"/>
    <cellStyle name="Note 2 6 2 6" xfId="30486" xr:uid="{00000000-0005-0000-0000-0000678F0000}"/>
    <cellStyle name="Note 2 6 2 6 2" xfId="30487" xr:uid="{00000000-0005-0000-0000-0000688F0000}"/>
    <cellStyle name="Note 2 6 2 6 2 2" xfId="30488" xr:uid="{00000000-0005-0000-0000-0000698F0000}"/>
    <cellStyle name="Note 2 6 2 6 3" xfId="30489" xr:uid="{00000000-0005-0000-0000-00006A8F0000}"/>
    <cellStyle name="Note 2 6 2 6 4" xfId="30490" xr:uid="{00000000-0005-0000-0000-00006B8F0000}"/>
    <cellStyle name="Note 2 6 2 6 5" xfId="35697" xr:uid="{00000000-0005-0000-0000-00006C8F0000}"/>
    <cellStyle name="Note 2 6 2 7" xfId="30491" xr:uid="{00000000-0005-0000-0000-00006D8F0000}"/>
    <cellStyle name="Note 2 6 2 7 2" xfId="30492" xr:uid="{00000000-0005-0000-0000-00006E8F0000}"/>
    <cellStyle name="Note 2 6 2 7 2 2" xfId="30493" xr:uid="{00000000-0005-0000-0000-00006F8F0000}"/>
    <cellStyle name="Note 2 6 2 7 3" xfId="30494" xr:uid="{00000000-0005-0000-0000-0000708F0000}"/>
    <cellStyle name="Note 2 6 2 7 4" xfId="30495" xr:uid="{00000000-0005-0000-0000-0000718F0000}"/>
    <cellStyle name="Note 2 6 2 7 5" xfId="35698" xr:uid="{00000000-0005-0000-0000-0000728F0000}"/>
    <cellStyle name="Note 2 6 2 8" xfId="30496" xr:uid="{00000000-0005-0000-0000-0000738F0000}"/>
    <cellStyle name="Note 2 6 2 8 2" xfId="30497" xr:uid="{00000000-0005-0000-0000-0000748F0000}"/>
    <cellStyle name="Note 2 6 2 9" xfId="30498" xr:uid="{00000000-0005-0000-0000-0000758F0000}"/>
    <cellStyle name="Note 2 6 3" xfId="30499" xr:uid="{00000000-0005-0000-0000-0000768F0000}"/>
    <cellStyle name="Note 2 6 3 10" xfId="35699" xr:uid="{00000000-0005-0000-0000-0000778F0000}"/>
    <cellStyle name="Note 2 6 3 2" xfId="30500" xr:uid="{00000000-0005-0000-0000-0000788F0000}"/>
    <cellStyle name="Note 2 6 3 2 2" xfId="30501" xr:uid="{00000000-0005-0000-0000-0000798F0000}"/>
    <cellStyle name="Note 2 6 3 2 2 2" xfId="30502" xr:uid="{00000000-0005-0000-0000-00007A8F0000}"/>
    <cellStyle name="Note 2 6 3 2 2 2 2" xfId="30503" xr:uid="{00000000-0005-0000-0000-00007B8F0000}"/>
    <cellStyle name="Note 2 6 3 2 2 3" xfId="30504" xr:uid="{00000000-0005-0000-0000-00007C8F0000}"/>
    <cellStyle name="Note 2 6 3 2 2 4" xfId="30505" xr:uid="{00000000-0005-0000-0000-00007D8F0000}"/>
    <cellStyle name="Note 2 6 3 2 2 5" xfId="35701" xr:uid="{00000000-0005-0000-0000-00007E8F0000}"/>
    <cellStyle name="Note 2 6 3 2 3" xfId="30506" xr:uid="{00000000-0005-0000-0000-00007F8F0000}"/>
    <cellStyle name="Note 2 6 3 2 3 2" xfId="30507" xr:uid="{00000000-0005-0000-0000-0000808F0000}"/>
    <cellStyle name="Note 2 6 3 2 4" xfId="30508" xr:uid="{00000000-0005-0000-0000-0000818F0000}"/>
    <cellStyle name="Note 2 6 3 2 5" xfId="30509" xr:uid="{00000000-0005-0000-0000-0000828F0000}"/>
    <cellStyle name="Note 2 6 3 2 6" xfId="35700" xr:uid="{00000000-0005-0000-0000-0000838F0000}"/>
    <cellStyle name="Note 2 6 3 3" xfId="30510" xr:uid="{00000000-0005-0000-0000-0000848F0000}"/>
    <cellStyle name="Note 2 6 3 3 2" xfId="30511" xr:uid="{00000000-0005-0000-0000-0000858F0000}"/>
    <cellStyle name="Note 2 6 3 3 2 2" xfId="30512" xr:uid="{00000000-0005-0000-0000-0000868F0000}"/>
    <cellStyle name="Note 2 6 3 3 2 2 2" xfId="30513" xr:uid="{00000000-0005-0000-0000-0000878F0000}"/>
    <cellStyle name="Note 2 6 3 3 2 3" xfId="30514" xr:uid="{00000000-0005-0000-0000-0000888F0000}"/>
    <cellStyle name="Note 2 6 3 3 2 4" xfId="30515" xr:uid="{00000000-0005-0000-0000-0000898F0000}"/>
    <cellStyle name="Note 2 6 3 3 2 5" xfId="35703" xr:uid="{00000000-0005-0000-0000-00008A8F0000}"/>
    <cellStyle name="Note 2 6 3 3 3" xfId="30516" xr:uid="{00000000-0005-0000-0000-00008B8F0000}"/>
    <cellStyle name="Note 2 6 3 3 3 2" xfId="30517" xr:uid="{00000000-0005-0000-0000-00008C8F0000}"/>
    <cellStyle name="Note 2 6 3 3 4" xfId="30518" xr:uid="{00000000-0005-0000-0000-00008D8F0000}"/>
    <cellStyle name="Note 2 6 3 3 5" xfId="30519" xr:uid="{00000000-0005-0000-0000-00008E8F0000}"/>
    <cellStyle name="Note 2 6 3 3 6" xfId="35702" xr:uid="{00000000-0005-0000-0000-00008F8F0000}"/>
    <cellStyle name="Note 2 6 3 4" xfId="30520" xr:uid="{00000000-0005-0000-0000-0000908F0000}"/>
    <cellStyle name="Note 2 6 3 4 2" xfId="30521" xr:uid="{00000000-0005-0000-0000-0000918F0000}"/>
    <cellStyle name="Note 2 6 3 4 2 2" xfId="30522" xr:uid="{00000000-0005-0000-0000-0000928F0000}"/>
    <cellStyle name="Note 2 6 3 4 3" xfId="30523" xr:uid="{00000000-0005-0000-0000-0000938F0000}"/>
    <cellStyle name="Note 2 6 3 4 4" xfId="30524" xr:uid="{00000000-0005-0000-0000-0000948F0000}"/>
    <cellStyle name="Note 2 6 3 4 5" xfId="35704" xr:uid="{00000000-0005-0000-0000-0000958F0000}"/>
    <cellStyle name="Note 2 6 3 5" xfId="30525" xr:uid="{00000000-0005-0000-0000-0000968F0000}"/>
    <cellStyle name="Note 2 6 3 5 2" xfId="30526" xr:uid="{00000000-0005-0000-0000-0000978F0000}"/>
    <cellStyle name="Note 2 6 3 5 2 2" xfId="30527" xr:uid="{00000000-0005-0000-0000-0000988F0000}"/>
    <cellStyle name="Note 2 6 3 5 3" xfId="30528" xr:uid="{00000000-0005-0000-0000-0000998F0000}"/>
    <cellStyle name="Note 2 6 3 5 4" xfId="30529" xr:uid="{00000000-0005-0000-0000-00009A8F0000}"/>
    <cellStyle name="Note 2 6 3 5 5" xfId="35705" xr:uid="{00000000-0005-0000-0000-00009B8F0000}"/>
    <cellStyle name="Note 2 6 3 6" xfId="30530" xr:uid="{00000000-0005-0000-0000-00009C8F0000}"/>
    <cellStyle name="Note 2 6 3 6 2" xfId="30531" xr:uid="{00000000-0005-0000-0000-00009D8F0000}"/>
    <cellStyle name="Note 2 6 3 6 2 2" xfId="30532" xr:uid="{00000000-0005-0000-0000-00009E8F0000}"/>
    <cellStyle name="Note 2 6 3 6 3" xfId="30533" xr:uid="{00000000-0005-0000-0000-00009F8F0000}"/>
    <cellStyle name="Note 2 6 3 6 4" xfId="30534" xr:uid="{00000000-0005-0000-0000-0000A08F0000}"/>
    <cellStyle name="Note 2 6 3 7" xfId="30535" xr:uid="{00000000-0005-0000-0000-0000A18F0000}"/>
    <cellStyle name="Note 2 6 3 7 2" xfId="30536" xr:uid="{00000000-0005-0000-0000-0000A28F0000}"/>
    <cellStyle name="Note 2 6 3 8" xfId="30537" xr:uid="{00000000-0005-0000-0000-0000A38F0000}"/>
    <cellStyle name="Note 2 6 3 9" xfId="30538" xr:uid="{00000000-0005-0000-0000-0000A48F0000}"/>
    <cellStyle name="Note 2 6 4" xfId="30539" xr:uid="{00000000-0005-0000-0000-0000A58F0000}"/>
    <cellStyle name="Note 2 6 4 2" xfId="30540" xr:uid="{00000000-0005-0000-0000-0000A68F0000}"/>
    <cellStyle name="Note 2 6 4 2 2" xfId="30541" xr:uid="{00000000-0005-0000-0000-0000A78F0000}"/>
    <cellStyle name="Note 2 6 4 2 2 2" xfId="30542" xr:uid="{00000000-0005-0000-0000-0000A88F0000}"/>
    <cellStyle name="Note 2 6 4 2 2 3" xfId="35708" xr:uid="{00000000-0005-0000-0000-0000A98F0000}"/>
    <cellStyle name="Note 2 6 4 2 3" xfId="30543" xr:uid="{00000000-0005-0000-0000-0000AA8F0000}"/>
    <cellStyle name="Note 2 6 4 2 4" xfId="30544" xr:uid="{00000000-0005-0000-0000-0000AB8F0000}"/>
    <cellStyle name="Note 2 6 4 2 5" xfId="35707" xr:uid="{00000000-0005-0000-0000-0000AC8F0000}"/>
    <cellStyle name="Note 2 6 4 3" xfId="30545" xr:uid="{00000000-0005-0000-0000-0000AD8F0000}"/>
    <cellStyle name="Note 2 6 4 3 2" xfId="30546" xr:uid="{00000000-0005-0000-0000-0000AE8F0000}"/>
    <cellStyle name="Note 2 6 4 3 2 2" xfId="35710" xr:uid="{00000000-0005-0000-0000-0000AF8F0000}"/>
    <cellStyle name="Note 2 6 4 3 3" xfId="35709" xr:uid="{00000000-0005-0000-0000-0000B08F0000}"/>
    <cellStyle name="Note 2 6 4 4" xfId="30547" xr:uid="{00000000-0005-0000-0000-0000B18F0000}"/>
    <cellStyle name="Note 2 6 4 4 2" xfId="35711" xr:uid="{00000000-0005-0000-0000-0000B28F0000}"/>
    <cellStyle name="Note 2 6 4 5" xfId="30548" xr:uid="{00000000-0005-0000-0000-0000B38F0000}"/>
    <cellStyle name="Note 2 6 4 6" xfId="35706" xr:uid="{00000000-0005-0000-0000-0000B48F0000}"/>
    <cellStyle name="Note 2 6 5" xfId="30549" xr:uid="{00000000-0005-0000-0000-0000B58F0000}"/>
    <cellStyle name="Note 2 6 5 2" xfId="30550" xr:uid="{00000000-0005-0000-0000-0000B68F0000}"/>
    <cellStyle name="Note 2 6 5 2 2" xfId="30551" xr:uid="{00000000-0005-0000-0000-0000B78F0000}"/>
    <cellStyle name="Note 2 6 5 2 2 2" xfId="30552" xr:uid="{00000000-0005-0000-0000-0000B88F0000}"/>
    <cellStyle name="Note 2 6 5 2 3" xfId="30553" xr:uid="{00000000-0005-0000-0000-0000B98F0000}"/>
    <cellStyle name="Note 2 6 5 2 4" xfId="30554" xr:uid="{00000000-0005-0000-0000-0000BA8F0000}"/>
    <cellStyle name="Note 2 6 5 2 5" xfId="35713" xr:uid="{00000000-0005-0000-0000-0000BB8F0000}"/>
    <cellStyle name="Note 2 6 5 3" xfId="30555" xr:uid="{00000000-0005-0000-0000-0000BC8F0000}"/>
    <cellStyle name="Note 2 6 5 3 2" xfId="30556" xr:uid="{00000000-0005-0000-0000-0000BD8F0000}"/>
    <cellStyle name="Note 2 6 5 4" xfId="30557" xr:uid="{00000000-0005-0000-0000-0000BE8F0000}"/>
    <cellStyle name="Note 2 6 5 5" xfId="30558" xr:uid="{00000000-0005-0000-0000-0000BF8F0000}"/>
    <cellStyle name="Note 2 6 5 6" xfId="35712" xr:uid="{00000000-0005-0000-0000-0000C08F0000}"/>
    <cellStyle name="Note 2 6 6" xfId="30559" xr:uid="{00000000-0005-0000-0000-0000C18F0000}"/>
    <cellStyle name="Note 2 6 6 2" xfId="30560" xr:uid="{00000000-0005-0000-0000-0000C28F0000}"/>
    <cellStyle name="Note 2 6 6 2 2" xfId="30561" xr:uid="{00000000-0005-0000-0000-0000C38F0000}"/>
    <cellStyle name="Note 2 6 6 2 3" xfId="35715" xr:uid="{00000000-0005-0000-0000-0000C48F0000}"/>
    <cellStyle name="Note 2 6 6 3" xfId="30562" xr:uid="{00000000-0005-0000-0000-0000C58F0000}"/>
    <cellStyle name="Note 2 6 6 4" xfId="30563" xr:uid="{00000000-0005-0000-0000-0000C68F0000}"/>
    <cellStyle name="Note 2 6 6 5" xfId="35714" xr:uid="{00000000-0005-0000-0000-0000C78F0000}"/>
    <cellStyle name="Note 2 6 7" xfId="30564" xr:uid="{00000000-0005-0000-0000-0000C88F0000}"/>
    <cellStyle name="Note 2 6 7 2" xfId="30565" xr:uid="{00000000-0005-0000-0000-0000C98F0000}"/>
    <cellStyle name="Note 2 6 7 2 2" xfId="30566" xr:uid="{00000000-0005-0000-0000-0000CA8F0000}"/>
    <cellStyle name="Note 2 6 7 3" xfId="30567" xr:uid="{00000000-0005-0000-0000-0000CB8F0000}"/>
    <cellStyle name="Note 2 6 7 4" xfId="30568" xr:uid="{00000000-0005-0000-0000-0000CC8F0000}"/>
    <cellStyle name="Note 2 6 7 5" xfId="35716" xr:uid="{00000000-0005-0000-0000-0000CD8F0000}"/>
    <cellStyle name="Note 2 6 8" xfId="30569" xr:uid="{00000000-0005-0000-0000-0000CE8F0000}"/>
    <cellStyle name="Note 2 6 8 2" xfId="30570" xr:uid="{00000000-0005-0000-0000-0000CF8F0000}"/>
    <cellStyle name="Note 2 6 8 2 2" xfId="30571" xr:uid="{00000000-0005-0000-0000-0000D08F0000}"/>
    <cellStyle name="Note 2 6 8 3" xfId="30572" xr:uid="{00000000-0005-0000-0000-0000D18F0000}"/>
    <cellStyle name="Note 2 6 8 4" xfId="30573" xr:uid="{00000000-0005-0000-0000-0000D28F0000}"/>
    <cellStyle name="Note 2 6 8 5" xfId="35717" xr:uid="{00000000-0005-0000-0000-0000D38F0000}"/>
    <cellStyle name="Note 2 6 9" xfId="30574" xr:uid="{00000000-0005-0000-0000-0000D48F0000}"/>
    <cellStyle name="Note 2 6 9 2" xfId="30575" xr:uid="{00000000-0005-0000-0000-0000D58F0000}"/>
    <cellStyle name="Note 2 7" xfId="30576" xr:uid="{00000000-0005-0000-0000-0000D68F0000}"/>
    <cellStyle name="Note 2 7 10" xfId="30577" xr:uid="{00000000-0005-0000-0000-0000D78F0000}"/>
    <cellStyle name="Note 2 7 11" xfId="35718" xr:uid="{00000000-0005-0000-0000-0000D88F0000}"/>
    <cellStyle name="Note 2 7 2" xfId="30578" xr:uid="{00000000-0005-0000-0000-0000D98F0000}"/>
    <cellStyle name="Note 2 7 2 10" xfId="35719" xr:uid="{00000000-0005-0000-0000-0000DA8F0000}"/>
    <cellStyle name="Note 2 7 2 2" xfId="30579" xr:uid="{00000000-0005-0000-0000-0000DB8F0000}"/>
    <cellStyle name="Note 2 7 2 2 2" xfId="30580" xr:uid="{00000000-0005-0000-0000-0000DC8F0000}"/>
    <cellStyle name="Note 2 7 2 2 2 2" xfId="30581" xr:uid="{00000000-0005-0000-0000-0000DD8F0000}"/>
    <cellStyle name="Note 2 7 2 2 2 2 2" xfId="30582" xr:uid="{00000000-0005-0000-0000-0000DE8F0000}"/>
    <cellStyle name="Note 2 7 2 2 2 3" xfId="30583" xr:uid="{00000000-0005-0000-0000-0000DF8F0000}"/>
    <cellStyle name="Note 2 7 2 2 2 4" xfId="30584" xr:uid="{00000000-0005-0000-0000-0000E08F0000}"/>
    <cellStyle name="Note 2 7 2 2 2 5" xfId="40393" xr:uid="{00000000-0005-0000-0000-0000E18F0000}"/>
    <cellStyle name="Note 2 7 2 2 3" xfId="30585" xr:uid="{00000000-0005-0000-0000-0000E28F0000}"/>
    <cellStyle name="Note 2 7 2 2 3 2" xfId="30586" xr:uid="{00000000-0005-0000-0000-0000E38F0000}"/>
    <cellStyle name="Note 2 7 2 2 4" xfId="30587" xr:uid="{00000000-0005-0000-0000-0000E48F0000}"/>
    <cellStyle name="Note 2 7 2 2 5" xfId="30588" xr:uid="{00000000-0005-0000-0000-0000E58F0000}"/>
    <cellStyle name="Note 2 7 2 2 6" xfId="35720" xr:uid="{00000000-0005-0000-0000-0000E68F0000}"/>
    <cellStyle name="Note 2 7 2 3" xfId="30589" xr:uid="{00000000-0005-0000-0000-0000E78F0000}"/>
    <cellStyle name="Note 2 7 2 3 2" xfId="30590" xr:uid="{00000000-0005-0000-0000-0000E88F0000}"/>
    <cellStyle name="Note 2 7 2 3 2 2" xfId="30591" xr:uid="{00000000-0005-0000-0000-0000E98F0000}"/>
    <cellStyle name="Note 2 7 2 3 2 2 2" xfId="30592" xr:uid="{00000000-0005-0000-0000-0000EA8F0000}"/>
    <cellStyle name="Note 2 7 2 3 2 3" xfId="30593" xr:uid="{00000000-0005-0000-0000-0000EB8F0000}"/>
    <cellStyle name="Note 2 7 2 3 2 4" xfId="30594" xr:uid="{00000000-0005-0000-0000-0000EC8F0000}"/>
    <cellStyle name="Note 2 7 2 3 2 5" xfId="40394" xr:uid="{00000000-0005-0000-0000-0000ED8F0000}"/>
    <cellStyle name="Note 2 7 2 3 3" xfId="30595" xr:uid="{00000000-0005-0000-0000-0000EE8F0000}"/>
    <cellStyle name="Note 2 7 2 3 3 2" xfId="30596" xr:uid="{00000000-0005-0000-0000-0000EF8F0000}"/>
    <cellStyle name="Note 2 7 2 3 4" xfId="30597" xr:uid="{00000000-0005-0000-0000-0000F08F0000}"/>
    <cellStyle name="Note 2 7 2 3 5" xfId="30598" xr:uid="{00000000-0005-0000-0000-0000F18F0000}"/>
    <cellStyle name="Note 2 7 2 3 6" xfId="35721" xr:uid="{00000000-0005-0000-0000-0000F28F0000}"/>
    <cellStyle name="Note 2 7 2 4" xfId="30599" xr:uid="{00000000-0005-0000-0000-0000F38F0000}"/>
    <cellStyle name="Note 2 7 2 4 2" xfId="30600" xr:uid="{00000000-0005-0000-0000-0000F48F0000}"/>
    <cellStyle name="Note 2 7 2 4 2 2" xfId="30601" xr:uid="{00000000-0005-0000-0000-0000F58F0000}"/>
    <cellStyle name="Note 2 7 2 4 3" xfId="30602" xr:uid="{00000000-0005-0000-0000-0000F68F0000}"/>
    <cellStyle name="Note 2 7 2 4 4" xfId="30603" xr:uid="{00000000-0005-0000-0000-0000F78F0000}"/>
    <cellStyle name="Note 2 7 2 4 5" xfId="40395" xr:uid="{00000000-0005-0000-0000-0000F88F0000}"/>
    <cellStyle name="Note 2 7 2 5" xfId="30604" xr:uid="{00000000-0005-0000-0000-0000F98F0000}"/>
    <cellStyle name="Note 2 7 2 5 2" xfId="30605" xr:uid="{00000000-0005-0000-0000-0000FA8F0000}"/>
    <cellStyle name="Note 2 7 2 5 2 2" xfId="30606" xr:uid="{00000000-0005-0000-0000-0000FB8F0000}"/>
    <cellStyle name="Note 2 7 2 5 3" xfId="30607" xr:uid="{00000000-0005-0000-0000-0000FC8F0000}"/>
    <cellStyle name="Note 2 7 2 5 4" xfId="30608" xr:uid="{00000000-0005-0000-0000-0000FD8F0000}"/>
    <cellStyle name="Note 2 7 2 6" xfId="30609" xr:uid="{00000000-0005-0000-0000-0000FE8F0000}"/>
    <cellStyle name="Note 2 7 2 6 2" xfId="30610" xr:uid="{00000000-0005-0000-0000-0000FF8F0000}"/>
    <cellStyle name="Note 2 7 2 6 2 2" xfId="30611" xr:uid="{00000000-0005-0000-0000-000000900000}"/>
    <cellStyle name="Note 2 7 2 6 3" xfId="30612" xr:uid="{00000000-0005-0000-0000-000001900000}"/>
    <cellStyle name="Note 2 7 2 6 4" xfId="30613" xr:uid="{00000000-0005-0000-0000-000002900000}"/>
    <cellStyle name="Note 2 7 2 7" xfId="30614" xr:uid="{00000000-0005-0000-0000-000003900000}"/>
    <cellStyle name="Note 2 7 2 7 2" xfId="30615" xr:uid="{00000000-0005-0000-0000-000004900000}"/>
    <cellStyle name="Note 2 7 2 8" xfId="30616" xr:uid="{00000000-0005-0000-0000-000005900000}"/>
    <cellStyle name="Note 2 7 2 9" xfId="30617" xr:uid="{00000000-0005-0000-0000-000006900000}"/>
    <cellStyle name="Note 2 7 3" xfId="30618" xr:uid="{00000000-0005-0000-0000-000007900000}"/>
    <cellStyle name="Note 2 7 3 2" xfId="30619" xr:uid="{00000000-0005-0000-0000-000008900000}"/>
    <cellStyle name="Note 2 7 3 2 2" xfId="30620" xr:uid="{00000000-0005-0000-0000-000009900000}"/>
    <cellStyle name="Note 2 7 3 2 2 2" xfId="30621" xr:uid="{00000000-0005-0000-0000-00000A900000}"/>
    <cellStyle name="Note 2 7 3 2 3" xfId="30622" xr:uid="{00000000-0005-0000-0000-00000B900000}"/>
    <cellStyle name="Note 2 7 3 2 4" xfId="30623" xr:uid="{00000000-0005-0000-0000-00000C900000}"/>
    <cellStyle name="Note 2 7 3 2 5" xfId="35723" xr:uid="{00000000-0005-0000-0000-00000D900000}"/>
    <cellStyle name="Note 2 7 3 3" xfId="30624" xr:uid="{00000000-0005-0000-0000-00000E900000}"/>
    <cellStyle name="Note 2 7 3 3 2" xfId="30625" xr:uid="{00000000-0005-0000-0000-00000F900000}"/>
    <cellStyle name="Note 2 7 3 4" xfId="30626" xr:uid="{00000000-0005-0000-0000-000010900000}"/>
    <cellStyle name="Note 2 7 3 5" xfId="30627" xr:uid="{00000000-0005-0000-0000-000011900000}"/>
    <cellStyle name="Note 2 7 3 6" xfId="35722" xr:uid="{00000000-0005-0000-0000-000012900000}"/>
    <cellStyle name="Note 2 7 4" xfId="30628" xr:uid="{00000000-0005-0000-0000-000013900000}"/>
    <cellStyle name="Note 2 7 4 2" xfId="30629" xr:uid="{00000000-0005-0000-0000-000014900000}"/>
    <cellStyle name="Note 2 7 4 2 2" xfId="30630" xr:uid="{00000000-0005-0000-0000-000015900000}"/>
    <cellStyle name="Note 2 7 4 2 2 2" xfId="30631" xr:uid="{00000000-0005-0000-0000-000016900000}"/>
    <cellStyle name="Note 2 7 4 2 3" xfId="30632" xr:uid="{00000000-0005-0000-0000-000017900000}"/>
    <cellStyle name="Note 2 7 4 2 4" xfId="30633" xr:uid="{00000000-0005-0000-0000-000018900000}"/>
    <cellStyle name="Note 2 7 4 2 5" xfId="40396" xr:uid="{00000000-0005-0000-0000-000019900000}"/>
    <cellStyle name="Note 2 7 4 3" xfId="30634" xr:uid="{00000000-0005-0000-0000-00001A900000}"/>
    <cellStyle name="Note 2 7 4 3 2" xfId="30635" xr:uid="{00000000-0005-0000-0000-00001B900000}"/>
    <cellStyle name="Note 2 7 4 4" xfId="30636" xr:uid="{00000000-0005-0000-0000-00001C900000}"/>
    <cellStyle name="Note 2 7 4 5" xfId="30637" xr:uid="{00000000-0005-0000-0000-00001D900000}"/>
    <cellStyle name="Note 2 7 4 6" xfId="35724" xr:uid="{00000000-0005-0000-0000-00001E900000}"/>
    <cellStyle name="Note 2 7 5" xfId="30638" xr:uid="{00000000-0005-0000-0000-00001F900000}"/>
    <cellStyle name="Note 2 7 5 2" xfId="30639" xr:uid="{00000000-0005-0000-0000-000020900000}"/>
    <cellStyle name="Note 2 7 5 2 2" xfId="30640" xr:uid="{00000000-0005-0000-0000-000021900000}"/>
    <cellStyle name="Note 2 7 5 3" xfId="30641" xr:uid="{00000000-0005-0000-0000-000022900000}"/>
    <cellStyle name="Note 2 7 5 4" xfId="30642" xr:uid="{00000000-0005-0000-0000-000023900000}"/>
    <cellStyle name="Note 2 7 5 5" xfId="35725" xr:uid="{00000000-0005-0000-0000-000024900000}"/>
    <cellStyle name="Note 2 7 6" xfId="30643" xr:uid="{00000000-0005-0000-0000-000025900000}"/>
    <cellStyle name="Note 2 7 6 2" xfId="30644" xr:uid="{00000000-0005-0000-0000-000026900000}"/>
    <cellStyle name="Note 2 7 6 2 2" xfId="30645" xr:uid="{00000000-0005-0000-0000-000027900000}"/>
    <cellStyle name="Note 2 7 6 3" xfId="30646" xr:uid="{00000000-0005-0000-0000-000028900000}"/>
    <cellStyle name="Note 2 7 6 4" xfId="30647" xr:uid="{00000000-0005-0000-0000-000029900000}"/>
    <cellStyle name="Note 2 7 7" xfId="30648" xr:uid="{00000000-0005-0000-0000-00002A900000}"/>
    <cellStyle name="Note 2 7 7 2" xfId="30649" xr:uid="{00000000-0005-0000-0000-00002B900000}"/>
    <cellStyle name="Note 2 7 7 2 2" xfId="30650" xr:uid="{00000000-0005-0000-0000-00002C900000}"/>
    <cellStyle name="Note 2 7 7 3" xfId="30651" xr:uid="{00000000-0005-0000-0000-00002D900000}"/>
    <cellStyle name="Note 2 7 7 4" xfId="30652" xr:uid="{00000000-0005-0000-0000-00002E900000}"/>
    <cellStyle name="Note 2 7 8" xfId="30653" xr:uid="{00000000-0005-0000-0000-00002F900000}"/>
    <cellStyle name="Note 2 7 8 2" xfId="30654" xr:uid="{00000000-0005-0000-0000-000030900000}"/>
    <cellStyle name="Note 2 7 9" xfId="30655" xr:uid="{00000000-0005-0000-0000-000031900000}"/>
    <cellStyle name="Note 2 8" xfId="30656" xr:uid="{00000000-0005-0000-0000-000032900000}"/>
    <cellStyle name="Note 2 8 10" xfId="35726" xr:uid="{00000000-0005-0000-0000-000033900000}"/>
    <cellStyle name="Note 2 8 2" xfId="30657" xr:uid="{00000000-0005-0000-0000-000034900000}"/>
    <cellStyle name="Note 2 8 2 2" xfId="30658" xr:uid="{00000000-0005-0000-0000-000035900000}"/>
    <cellStyle name="Note 2 8 2 2 2" xfId="30659" xr:uid="{00000000-0005-0000-0000-000036900000}"/>
    <cellStyle name="Note 2 8 2 2 2 2" xfId="30660" xr:uid="{00000000-0005-0000-0000-000037900000}"/>
    <cellStyle name="Note 2 8 2 2 3" xfId="30661" xr:uid="{00000000-0005-0000-0000-000038900000}"/>
    <cellStyle name="Note 2 8 2 2 4" xfId="30662" xr:uid="{00000000-0005-0000-0000-000039900000}"/>
    <cellStyle name="Note 2 8 2 2 5" xfId="35728" xr:uid="{00000000-0005-0000-0000-00003A900000}"/>
    <cellStyle name="Note 2 8 2 3" xfId="30663" xr:uid="{00000000-0005-0000-0000-00003B900000}"/>
    <cellStyle name="Note 2 8 2 3 2" xfId="30664" xr:uid="{00000000-0005-0000-0000-00003C900000}"/>
    <cellStyle name="Note 2 8 2 4" xfId="30665" xr:uid="{00000000-0005-0000-0000-00003D900000}"/>
    <cellStyle name="Note 2 8 2 5" xfId="30666" xr:uid="{00000000-0005-0000-0000-00003E900000}"/>
    <cellStyle name="Note 2 8 2 6" xfId="35727" xr:uid="{00000000-0005-0000-0000-00003F900000}"/>
    <cellStyle name="Note 2 8 3" xfId="30667" xr:uid="{00000000-0005-0000-0000-000040900000}"/>
    <cellStyle name="Note 2 8 3 2" xfId="30668" xr:uid="{00000000-0005-0000-0000-000041900000}"/>
    <cellStyle name="Note 2 8 3 2 2" xfId="30669" xr:uid="{00000000-0005-0000-0000-000042900000}"/>
    <cellStyle name="Note 2 8 3 2 2 2" xfId="30670" xr:uid="{00000000-0005-0000-0000-000043900000}"/>
    <cellStyle name="Note 2 8 3 2 3" xfId="30671" xr:uid="{00000000-0005-0000-0000-000044900000}"/>
    <cellStyle name="Note 2 8 3 2 4" xfId="30672" xr:uid="{00000000-0005-0000-0000-000045900000}"/>
    <cellStyle name="Note 2 8 3 2 5" xfId="35730" xr:uid="{00000000-0005-0000-0000-000046900000}"/>
    <cellStyle name="Note 2 8 3 3" xfId="30673" xr:uid="{00000000-0005-0000-0000-000047900000}"/>
    <cellStyle name="Note 2 8 3 3 2" xfId="30674" xr:uid="{00000000-0005-0000-0000-000048900000}"/>
    <cellStyle name="Note 2 8 3 4" xfId="30675" xr:uid="{00000000-0005-0000-0000-000049900000}"/>
    <cellStyle name="Note 2 8 3 5" xfId="30676" xr:uid="{00000000-0005-0000-0000-00004A900000}"/>
    <cellStyle name="Note 2 8 3 6" xfId="35729" xr:uid="{00000000-0005-0000-0000-00004B900000}"/>
    <cellStyle name="Note 2 8 4" xfId="30677" xr:uid="{00000000-0005-0000-0000-00004C900000}"/>
    <cellStyle name="Note 2 8 4 2" xfId="30678" xr:uid="{00000000-0005-0000-0000-00004D900000}"/>
    <cellStyle name="Note 2 8 4 2 2" xfId="30679" xr:uid="{00000000-0005-0000-0000-00004E900000}"/>
    <cellStyle name="Note 2 8 4 3" xfId="30680" xr:uid="{00000000-0005-0000-0000-00004F900000}"/>
    <cellStyle name="Note 2 8 4 4" xfId="30681" xr:uid="{00000000-0005-0000-0000-000050900000}"/>
    <cellStyle name="Note 2 8 4 5" xfId="35731" xr:uid="{00000000-0005-0000-0000-000051900000}"/>
    <cellStyle name="Note 2 8 5" xfId="30682" xr:uid="{00000000-0005-0000-0000-000052900000}"/>
    <cellStyle name="Note 2 8 5 2" xfId="30683" xr:uid="{00000000-0005-0000-0000-000053900000}"/>
    <cellStyle name="Note 2 8 5 2 2" xfId="30684" xr:uid="{00000000-0005-0000-0000-000054900000}"/>
    <cellStyle name="Note 2 8 5 3" xfId="30685" xr:uid="{00000000-0005-0000-0000-000055900000}"/>
    <cellStyle name="Note 2 8 5 4" xfId="30686" xr:uid="{00000000-0005-0000-0000-000056900000}"/>
    <cellStyle name="Note 2 8 5 5" xfId="35732" xr:uid="{00000000-0005-0000-0000-000057900000}"/>
    <cellStyle name="Note 2 8 6" xfId="30687" xr:uid="{00000000-0005-0000-0000-000058900000}"/>
    <cellStyle name="Note 2 8 6 2" xfId="30688" xr:uid="{00000000-0005-0000-0000-000059900000}"/>
    <cellStyle name="Note 2 8 6 2 2" xfId="30689" xr:uid="{00000000-0005-0000-0000-00005A900000}"/>
    <cellStyle name="Note 2 8 6 3" xfId="30690" xr:uid="{00000000-0005-0000-0000-00005B900000}"/>
    <cellStyle name="Note 2 8 6 4" xfId="30691" xr:uid="{00000000-0005-0000-0000-00005C900000}"/>
    <cellStyle name="Note 2 8 7" xfId="30692" xr:uid="{00000000-0005-0000-0000-00005D900000}"/>
    <cellStyle name="Note 2 8 7 2" xfId="30693" xr:uid="{00000000-0005-0000-0000-00005E900000}"/>
    <cellStyle name="Note 2 8 8" xfId="30694" xr:uid="{00000000-0005-0000-0000-00005F900000}"/>
    <cellStyle name="Note 2 8 9" xfId="30695" xr:uid="{00000000-0005-0000-0000-000060900000}"/>
    <cellStyle name="Note 2 9" xfId="30696" xr:uid="{00000000-0005-0000-0000-000061900000}"/>
    <cellStyle name="Note 2 9 2" xfId="30697" xr:uid="{00000000-0005-0000-0000-000062900000}"/>
    <cellStyle name="Note 2 9 2 2" xfId="35733" xr:uid="{00000000-0005-0000-0000-000063900000}"/>
    <cellStyle name="Note 2 9 3" xfId="30698" xr:uid="{00000000-0005-0000-0000-000064900000}"/>
    <cellStyle name="Note 2 9 3 2" xfId="35734" xr:uid="{00000000-0005-0000-0000-000065900000}"/>
    <cellStyle name="Note 2 9 4" xfId="40397" xr:uid="{00000000-0005-0000-0000-000066900000}"/>
    <cellStyle name="Note 3" xfId="30699" xr:uid="{00000000-0005-0000-0000-000067900000}"/>
    <cellStyle name="Note 3 10" xfId="30700" xr:uid="{00000000-0005-0000-0000-000068900000}"/>
    <cellStyle name="Note 3 10 2" xfId="30701" xr:uid="{00000000-0005-0000-0000-000069900000}"/>
    <cellStyle name="Note 3 10 3" xfId="40398" xr:uid="{00000000-0005-0000-0000-00006A900000}"/>
    <cellStyle name="Note 3 11" xfId="30702" xr:uid="{00000000-0005-0000-0000-00006B900000}"/>
    <cellStyle name="Note 3 12" xfId="30703" xr:uid="{00000000-0005-0000-0000-00006C900000}"/>
    <cellStyle name="Note 3 12 2" xfId="30704" xr:uid="{00000000-0005-0000-0000-00006D900000}"/>
    <cellStyle name="Note 3 13" xfId="30705" xr:uid="{00000000-0005-0000-0000-00006E900000}"/>
    <cellStyle name="Note 3 14" xfId="30706" xr:uid="{00000000-0005-0000-0000-00006F900000}"/>
    <cellStyle name="Note 3 15" xfId="35735" xr:uid="{00000000-0005-0000-0000-000070900000}"/>
    <cellStyle name="Note 3 16" xfId="42017" xr:uid="{BE3054D6-D245-4502-B05D-6BA53B9D9D16}"/>
    <cellStyle name="Note 3 2" xfId="30707" xr:uid="{00000000-0005-0000-0000-000071900000}"/>
    <cellStyle name="Note 3 2 2" xfId="30708" xr:uid="{00000000-0005-0000-0000-000072900000}"/>
    <cellStyle name="Note 3 2 2 2" xfId="30709" xr:uid="{00000000-0005-0000-0000-000073900000}"/>
    <cellStyle name="Note 3 2 2 2 2" xfId="30710" xr:uid="{00000000-0005-0000-0000-000074900000}"/>
    <cellStyle name="Note 3 2 2 2 3" xfId="40399" xr:uid="{00000000-0005-0000-0000-000075900000}"/>
    <cellStyle name="Note 3 2 2 3" xfId="30711" xr:uid="{00000000-0005-0000-0000-000076900000}"/>
    <cellStyle name="Note 3 2 2 3 2" xfId="30712" xr:uid="{00000000-0005-0000-0000-000077900000}"/>
    <cellStyle name="Note 3 2 2 3 3" xfId="40400" xr:uid="{00000000-0005-0000-0000-000078900000}"/>
    <cellStyle name="Note 3 2 2 4" xfId="30713" xr:uid="{00000000-0005-0000-0000-000079900000}"/>
    <cellStyle name="Note 3 2 2 5" xfId="42349" xr:uid="{29287C6C-30DF-4108-B8BE-65F1B58A65AA}"/>
    <cellStyle name="Note 3 2 3" xfId="30714" xr:uid="{00000000-0005-0000-0000-00007A900000}"/>
    <cellStyle name="Note 3 2 3 2" xfId="30715" xr:uid="{00000000-0005-0000-0000-00007B900000}"/>
    <cellStyle name="Note 3 2 3 3" xfId="40401" xr:uid="{00000000-0005-0000-0000-00007C900000}"/>
    <cellStyle name="Note 3 2 4" xfId="30716" xr:uid="{00000000-0005-0000-0000-00007D900000}"/>
    <cellStyle name="Note 3 2 4 2" xfId="30717" xr:uid="{00000000-0005-0000-0000-00007E900000}"/>
    <cellStyle name="Note 3 2 4 3" xfId="40402" xr:uid="{00000000-0005-0000-0000-00007F900000}"/>
    <cellStyle name="Note 3 2 5" xfId="30718" xr:uid="{00000000-0005-0000-0000-000080900000}"/>
    <cellStyle name="Note 3 2 5 2" xfId="30719" xr:uid="{00000000-0005-0000-0000-000081900000}"/>
    <cellStyle name="Note 3 2 5 3" xfId="40403" xr:uid="{00000000-0005-0000-0000-000082900000}"/>
    <cellStyle name="Note 3 2 6" xfId="30720" xr:uid="{00000000-0005-0000-0000-000083900000}"/>
    <cellStyle name="Note 3 2 7" xfId="35736" xr:uid="{00000000-0005-0000-0000-000084900000}"/>
    <cellStyle name="Note 3 2 8" xfId="42081" xr:uid="{E759B143-61A8-466B-8525-7BFA284998FA}"/>
    <cellStyle name="Note 3 3" xfId="30721" xr:uid="{00000000-0005-0000-0000-000085900000}"/>
    <cellStyle name="Note 3 3 10" xfId="35737" xr:uid="{00000000-0005-0000-0000-000086900000}"/>
    <cellStyle name="Note 3 3 11" xfId="42197" xr:uid="{117F9016-D2E9-4316-8381-79ABE6CE8210}"/>
    <cellStyle name="Note 3 3 2" xfId="30722" xr:uid="{00000000-0005-0000-0000-000087900000}"/>
    <cellStyle name="Note 3 3 2 2" xfId="30723" xr:uid="{00000000-0005-0000-0000-000088900000}"/>
    <cellStyle name="Note 3 3 2 2 2" xfId="30724" xr:uid="{00000000-0005-0000-0000-000089900000}"/>
    <cellStyle name="Note 3 3 2 2 3" xfId="40404" xr:uid="{00000000-0005-0000-0000-00008A900000}"/>
    <cellStyle name="Note 3 3 2 3" xfId="30725" xr:uid="{00000000-0005-0000-0000-00008B900000}"/>
    <cellStyle name="Note 3 3 2 3 2" xfId="30726" xr:uid="{00000000-0005-0000-0000-00008C900000}"/>
    <cellStyle name="Note 3 3 2 3 3" xfId="40405" xr:uid="{00000000-0005-0000-0000-00008D900000}"/>
    <cellStyle name="Note 3 3 2 4" xfId="30727" xr:uid="{00000000-0005-0000-0000-00008E900000}"/>
    <cellStyle name="Note 3 3 2 5" xfId="30728" xr:uid="{00000000-0005-0000-0000-00008F900000}"/>
    <cellStyle name="Note 3 3 2 5 2" xfId="30729" xr:uid="{00000000-0005-0000-0000-000090900000}"/>
    <cellStyle name="Note 3 3 2 6" xfId="30730" xr:uid="{00000000-0005-0000-0000-000091900000}"/>
    <cellStyle name="Note 3 3 2 7" xfId="30731" xr:uid="{00000000-0005-0000-0000-000092900000}"/>
    <cellStyle name="Note 3 3 2 8" xfId="42350" xr:uid="{47D94550-17DB-4932-AA01-5E0600A454EF}"/>
    <cellStyle name="Note 3 3 3" xfId="30732" xr:uid="{00000000-0005-0000-0000-000093900000}"/>
    <cellStyle name="Note 3 3 3 2" xfId="30733" xr:uid="{00000000-0005-0000-0000-000094900000}"/>
    <cellStyle name="Note 3 3 3 3" xfId="40406" xr:uid="{00000000-0005-0000-0000-000095900000}"/>
    <cellStyle name="Note 3 3 4" xfId="30734" xr:uid="{00000000-0005-0000-0000-000096900000}"/>
    <cellStyle name="Note 3 3 4 2" xfId="30735" xr:uid="{00000000-0005-0000-0000-000097900000}"/>
    <cellStyle name="Note 3 3 4 3" xfId="40407" xr:uid="{00000000-0005-0000-0000-000098900000}"/>
    <cellStyle name="Note 3 3 5" xfId="30736" xr:uid="{00000000-0005-0000-0000-000099900000}"/>
    <cellStyle name="Note 3 3 5 2" xfId="30737" xr:uid="{00000000-0005-0000-0000-00009A900000}"/>
    <cellStyle name="Note 3 3 5 3" xfId="40408" xr:uid="{00000000-0005-0000-0000-00009B900000}"/>
    <cellStyle name="Note 3 3 6" xfId="30738" xr:uid="{00000000-0005-0000-0000-00009C900000}"/>
    <cellStyle name="Note 3 3 7" xfId="30739" xr:uid="{00000000-0005-0000-0000-00009D900000}"/>
    <cellStyle name="Note 3 3 7 2" xfId="30740" xr:uid="{00000000-0005-0000-0000-00009E900000}"/>
    <cellStyle name="Note 3 3 8" xfId="30741" xr:uid="{00000000-0005-0000-0000-00009F900000}"/>
    <cellStyle name="Note 3 3 9" xfId="30742" xr:uid="{00000000-0005-0000-0000-0000A0900000}"/>
    <cellStyle name="Note 3 4" xfId="30743" xr:uid="{00000000-0005-0000-0000-0000A1900000}"/>
    <cellStyle name="Note 3 4 10" xfId="42351" xr:uid="{779BC2AB-F059-4C96-9845-3DF5224D2F46}"/>
    <cellStyle name="Note 3 4 2" xfId="30744" xr:uid="{00000000-0005-0000-0000-0000A2900000}"/>
    <cellStyle name="Note 3 4 2 2" xfId="30745" xr:uid="{00000000-0005-0000-0000-0000A3900000}"/>
    <cellStyle name="Note 3 4 2 3" xfId="40409" xr:uid="{00000000-0005-0000-0000-0000A4900000}"/>
    <cellStyle name="Note 3 4 3" xfId="30746" xr:uid="{00000000-0005-0000-0000-0000A5900000}"/>
    <cellStyle name="Note 3 4 3 2" xfId="30747" xr:uid="{00000000-0005-0000-0000-0000A6900000}"/>
    <cellStyle name="Note 3 4 3 3" xfId="40410" xr:uid="{00000000-0005-0000-0000-0000A7900000}"/>
    <cellStyle name="Note 3 4 4" xfId="30748" xr:uid="{00000000-0005-0000-0000-0000A8900000}"/>
    <cellStyle name="Note 3 4 4 2" xfId="30749" xr:uid="{00000000-0005-0000-0000-0000A9900000}"/>
    <cellStyle name="Note 3 4 4 3" xfId="40411" xr:uid="{00000000-0005-0000-0000-0000AA900000}"/>
    <cellStyle name="Note 3 4 5" xfId="30750" xr:uid="{00000000-0005-0000-0000-0000AB900000}"/>
    <cellStyle name="Note 3 4 5 2" xfId="30751" xr:uid="{00000000-0005-0000-0000-0000AC900000}"/>
    <cellStyle name="Note 3 4 5 3" xfId="40412" xr:uid="{00000000-0005-0000-0000-0000AD900000}"/>
    <cellStyle name="Note 3 4 6" xfId="30752" xr:uid="{00000000-0005-0000-0000-0000AE900000}"/>
    <cellStyle name="Note 3 4 7" xfId="30753" xr:uid="{00000000-0005-0000-0000-0000AF900000}"/>
    <cellStyle name="Note 3 4 7 2" xfId="30754" xr:uid="{00000000-0005-0000-0000-0000B0900000}"/>
    <cellStyle name="Note 3 4 8" xfId="30755" xr:uid="{00000000-0005-0000-0000-0000B1900000}"/>
    <cellStyle name="Note 3 4 9" xfId="30756" xr:uid="{00000000-0005-0000-0000-0000B2900000}"/>
    <cellStyle name="Note 3 5" xfId="30757" xr:uid="{00000000-0005-0000-0000-0000B3900000}"/>
    <cellStyle name="Note 3 5 2" xfId="30758" xr:uid="{00000000-0005-0000-0000-0000B4900000}"/>
    <cellStyle name="Note 3 5 2 2" xfId="30759" xr:uid="{00000000-0005-0000-0000-0000B5900000}"/>
    <cellStyle name="Note 3 5 2 3" xfId="40413" xr:uid="{00000000-0005-0000-0000-0000B6900000}"/>
    <cellStyle name="Note 3 5 3" xfId="30760" xr:uid="{00000000-0005-0000-0000-0000B7900000}"/>
    <cellStyle name="Note 3 5 3 2" xfId="30761" xr:uid="{00000000-0005-0000-0000-0000B8900000}"/>
    <cellStyle name="Note 3 5 3 3" xfId="40414" xr:uid="{00000000-0005-0000-0000-0000B9900000}"/>
    <cellStyle name="Note 3 5 4" xfId="30762" xr:uid="{00000000-0005-0000-0000-0000BA900000}"/>
    <cellStyle name="Note 3 5 5" xfId="40415" xr:uid="{00000000-0005-0000-0000-0000BB900000}"/>
    <cellStyle name="Note 3 6" xfId="30763" xr:uid="{00000000-0005-0000-0000-0000BC900000}"/>
    <cellStyle name="Note 3 6 2" xfId="30764" xr:uid="{00000000-0005-0000-0000-0000BD900000}"/>
    <cellStyle name="Note 3 6 3" xfId="40416" xr:uid="{00000000-0005-0000-0000-0000BE900000}"/>
    <cellStyle name="Note 3 7" xfId="30765" xr:uid="{00000000-0005-0000-0000-0000BF900000}"/>
    <cellStyle name="Note 3 7 2" xfId="30766" xr:uid="{00000000-0005-0000-0000-0000C0900000}"/>
    <cellStyle name="Note 3 7 3" xfId="30767" xr:uid="{00000000-0005-0000-0000-0000C1900000}"/>
    <cellStyle name="Note 3 8" xfId="30768" xr:uid="{00000000-0005-0000-0000-0000C2900000}"/>
    <cellStyle name="Note 3 8 2" xfId="30769" xr:uid="{00000000-0005-0000-0000-0000C3900000}"/>
    <cellStyle name="Note 3 8 3" xfId="40417" xr:uid="{00000000-0005-0000-0000-0000C4900000}"/>
    <cellStyle name="Note 3 9" xfId="30770" xr:uid="{00000000-0005-0000-0000-0000C5900000}"/>
    <cellStyle name="Note 3 9 2" xfId="30771" xr:uid="{00000000-0005-0000-0000-0000C6900000}"/>
    <cellStyle name="Note 3 9 3" xfId="40418" xr:uid="{00000000-0005-0000-0000-0000C7900000}"/>
    <cellStyle name="Note 4" xfId="30772" xr:uid="{00000000-0005-0000-0000-0000C8900000}"/>
    <cellStyle name="Note 4 10" xfId="30773" xr:uid="{00000000-0005-0000-0000-0000C9900000}"/>
    <cellStyle name="Note 4 11" xfId="40419" xr:uid="{00000000-0005-0000-0000-0000CA900000}"/>
    <cellStyle name="Note 4 2" xfId="30774" xr:uid="{00000000-0005-0000-0000-0000CB900000}"/>
    <cellStyle name="Note 4 2 2" xfId="30775" xr:uid="{00000000-0005-0000-0000-0000CC900000}"/>
    <cellStyle name="Note 4 2 2 2" xfId="30776" xr:uid="{00000000-0005-0000-0000-0000CD900000}"/>
    <cellStyle name="Note 4 2 2 2 2" xfId="30777" xr:uid="{00000000-0005-0000-0000-0000CE900000}"/>
    <cellStyle name="Note 4 2 2 2 3" xfId="40420" xr:uid="{00000000-0005-0000-0000-0000CF900000}"/>
    <cellStyle name="Note 4 2 2 3" xfId="30778" xr:uid="{00000000-0005-0000-0000-0000D0900000}"/>
    <cellStyle name="Note 4 2 2 3 2" xfId="30779" xr:uid="{00000000-0005-0000-0000-0000D1900000}"/>
    <cellStyle name="Note 4 2 2 3 3" xfId="40421" xr:uid="{00000000-0005-0000-0000-0000D2900000}"/>
    <cellStyle name="Note 4 2 2 4" xfId="30780" xr:uid="{00000000-0005-0000-0000-0000D3900000}"/>
    <cellStyle name="Note 4 2 2 5" xfId="40422" xr:uid="{00000000-0005-0000-0000-0000D4900000}"/>
    <cellStyle name="Note 4 2 3" xfId="30781" xr:uid="{00000000-0005-0000-0000-0000D5900000}"/>
    <cellStyle name="Note 4 2 3 2" xfId="30782" xr:uid="{00000000-0005-0000-0000-0000D6900000}"/>
    <cellStyle name="Note 4 2 3 3" xfId="40423" xr:uid="{00000000-0005-0000-0000-0000D7900000}"/>
    <cellStyle name="Note 4 2 4" xfId="30783" xr:uid="{00000000-0005-0000-0000-0000D8900000}"/>
    <cellStyle name="Note 4 2 4 2" xfId="30784" xr:uid="{00000000-0005-0000-0000-0000D9900000}"/>
    <cellStyle name="Note 4 2 4 3" xfId="40424" xr:uid="{00000000-0005-0000-0000-0000DA900000}"/>
    <cellStyle name="Note 4 2 5" xfId="30785" xr:uid="{00000000-0005-0000-0000-0000DB900000}"/>
    <cellStyle name="Note 4 2 5 2" xfId="30786" xr:uid="{00000000-0005-0000-0000-0000DC900000}"/>
    <cellStyle name="Note 4 2 5 3" xfId="40425" xr:uid="{00000000-0005-0000-0000-0000DD900000}"/>
    <cellStyle name="Note 4 2 6" xfId="30787" xr:uid="{00000000-0005-0000-0000-0000DE900000}"/>
    <cellStyle name="Note 4 2 6 2" xfId="30788" xr:uid="{00000000-0005-0000-0000-0000DF900000}"/>
    <cellStyle name="Note 4 2 6 3" xfId="40426" xr:uid="{00000000-0005-0000-0000-0000E0900000}"/>
    <cellStyle name="Note 4 2 7" xfId="30789" xr:uid="{00000000-0005-0000-0000-0000E1900000}"/>
    <cellStyle name="Note 4 2 8" xfId="40427" xr:uid="{00000000-0005-0000-0000-0000E2900000}"/>
    <cellStyle name="Note 4 3" xfId="30790" xr:uid="{00000000-0005-0000-0000-0000E3900000}"/>
    <cellStyle name="Note 4 3 2" xfId="30791" xr:uid="{00000000-0005-0000-0000-0000E4900000}"/>
    <cellStyle name="Note 4 3 2 2" xfId="30792" xr:uid="{00000000-0005-0000-0000-0000E5900000}"/>
    <cellStyle name="Note 4 3 2 2 2" xfId="30793" xr:uid="{00000000-0005-0000-0000-0000E6900000}"/>
    <cellStyle name="Note 4 3 2 2 3" xfId="40428" xr:uid="{00000000-0005-0000-0000-0000E7900000}"/>
    <cellStyle name="Note 4 3 2 3" xfId="30794" xr:uid="{00000000-0005-0000-0000-0000E8900000}"/>
    <cellStyle name="Note 4 3 2 3 2" xfId="30795" xr:uid="{00000000-0005-0000-0000-0000E9900000}"/>
    <cellStyle name="Note 4 3 2 3 3" xfId="40429" xr:uid="{00000000-0005-0000-0000-0000EA900000}"/>
    <cellStyle name="Note 4 3 2 4" xfId="30796" xr:uid="{00000000-0005-0000-0000-0000EB900000}"/>
    <cellStyle name="Note 4 3 2 5" xfId="42352" xr:uid="{BCF3AE0D-D416-4B3D-A523-80904EC79BF5}"/>
    <cellStyle name="Note 4 3 3" xfId="30797" xr:uid="{00000000-0005-0000-0000-0000EC900000}"/>
    <cellStyle name="Note 4 3 3 2" xfId="30798" xr:uid="{00000000-0005-0000-0000-0000ED900000}"/>
    <cellStyle name="Note 4 3 3 3" xfId="40430" xr:uid="{00000000-0005-0000-0000-0000EE900000}"/>
    <cellStyle name="Note 4 3 4" xfId="30799" xr:uid="{00000000-0005-0000-0000-0000EF900000}"/>
    <cellStyle name="Note 4 3 4 2" xfId="30800" xr:uid="{00000000-0005-0000-0000-0000F0900000}"/>
    <cellStyle name="Note 4 3 4 3" xfId="40431" xr:uid="{00000000-0005-0000-0000-0000F1900000}"/>
    <cellStyle name="Note 4 3 5" xfId="30801" xr:uid="{00000000-0005-0000-0000-0000F2900000}"/>
    <cellStyle name="Note 4 3 5 2" xfId="30802" xr:uid="{00000000-0005-0000-0000-0000F3900000}"/>
    <cellStyle name="Note 4 3 5 3" xfId="40432" xr:uid="{00000000-0005-0000-0000-0000F4900000}"/>
    <cellStyle name="Note 4 3 6" xfId="30803" xr:uid="{00000000-0005-0000-0000-0000F5900000}"/>
    <cellStyle name="Note 4 3 7" xfId="40434" xr:uid="{00000000-0005-0000-0000-0000F6900000}"/>
    <cellStyle name="Note 4 3 8" xfId="35738" xr:uid="{00000000-0005-0000-0000-0000F7900000}"/>
    <cellStyle name="Note 4 4" xfId="30804" xr:uid="{00000000-0005-0000-0000-0000F8900000}"/>
    <cellStyle name="Note 4 4 2" xfId="30805" xr:uid="{00000000-0005-0000-0000-0000F9900000}"/>
    <cellStyle name="Note 4 4 2 2" xfId="30806" xr:uid="{00000000-0005-0000-0000-0000FA900000}"/>
    <cellStyle name="Note 4 4 2 3" xfId="40435" xr:uid="{00000000-0005-0000-0000-0000FB900000}"/>
    <cellStyle name="Note 4 4 3" xfId="30807" xr:uid="{00000000-0005-0000-0000-0000FC900000}"/>
    <cellStyle name="Note 4 4 3 2" xfId="30808" xr:uid="{00000000-0005-0000-0000-0000FD900000}"/>
    <cellStyle name="Note 4 4 3 3" xfId="40438" xr:uid="{00000000-0005-0000-0000-0000FE900000}"/>
    <cellStyle name="Note 4 4 4" xfId="30809" xr:uid="{00000000-0005-0000-0000-0000FF900000}"/>
    <cellStyle name="Note 4 4 4 2" xfId="30810" xr:uid="{00000000-0005-0000-0000-000000910000}"/>
    <cellStyle name="Note 4 4 4 3" xfId="40439" xr:uid="{00000000-0005-0000-0000-000001910000}"/>
    <cellStyle name="Note 4 4 5" xfId="30811" xr:uid="{00000000-0005-0000-0000-000002910000}"/>
    <cellStyle name="Note 4 4 5 2" xfId="30812" xr:uid="{00000000-0005-0000-0000-000003910000}"/>
    <cellStyle name="Note 4 4 5 3" xfId="40441" xr:uid="{00000000-0005-0000-0000-000004910000}"/>
    <cellStyle name="Note 4 4 6" xfId="30813" xr:uid="{00000000-0005-0000-0000-000005910000}"/>
    <cellStyle name="Note 4 4 7" xfId="42353" xr:uid="{F120CCAA-3F92-41EB-87EA-99A4F53BB636}"/>
    <cellStyle name="Note 4 5" xfId="30814" xr:uid="{00000000-0005-0000-0000-000006910000}"/>
    <cellStyle name="Note 4 5 2" xfId="30815" xr:uid="{00000000-0005-0000-0000-000007910000}"/>
    <cellStyle name="Note 4 5 2 2" xfId="30816" xr:uid="{00000000-0005-0000-0000-000008910000}"/>
    <cellStyle name="Note 4 5 2 3" xfId="40446" xr:uid="{00000000-0005-0000-0000-000009910000}"/>
    <cellStyle name="Note 4 5 3" xfId="30817" xr:uid="{00000000-0005-0000-0000-00000A910000}"/>
    <cellStyle name="Note 4 5 3 2" xfId="30818" xr:uid="{00000000-0005-0000-0000-00000B910000}"/>
    <cellStyle name="Note 4 5 3 3" xfId="40449" xr:uid="{00000000-0005-0000-0000-00000C910000}"/>
    <cellStyle name="Note 4 5 4" xfId="30819" xr:uid="{00000000-0005-0000-0000-00000D910000}"/>
    <cellStyle name="Note 4 5 5" xfId="40450" xr:uid="{00000000-0005-0000-0000-00000E910000}"/>
    <cellStyle name="Note 4 6" xfId="30820" xr:uid="{00000000-0005-0000-0000-00000F910000}"/>
    <cellStyle name="Note 4 6 2" xfId="30821" xr:uid="{00000000-0005-0000-0000-000010910000}"/>
    <cellStyle name="Note 4 6 3" xfId="40453" xr:uid="{00000000-0005-0000-0000-000011910000}"/>
    <cellStyle name="Note 4 7" xfId="30822" xr:uid="{00000000-0005-0000-0000-000012910000}"/>
    <cellStyle name="Note 4 7 2" xfId="30823" xr:uid="{00000000-0005-0000-0000-000013910000}"/>
    <cellStyle name="Note 4 7 3" xfId="40456" xr:uid="{00000000-0005-0000-0000-000014910000}"/>
    <cellStyle name="Note 4 8" xfId="30824" xr:uid="{00000000-0005-0000-0000-000015910000}"/>
    <cellStyle name="Note 4 8 2" xfId="30825" xr:uid="{00000000-0005-0000-0000-000016910000}"/>
    <cellStyle name="Note 4 8 3" xfId="40457" xr:uid="{00000000-0005-0000-0000-000017910000}"/>
    <cellStyle name="Note 4 9" xfId="30826" xr:uid="{00000000-0005-0000-0000-000018910000}"/>
    <cellStyle name="Note 4 9 2" xfId="30827" xr:uid="{00000000-0005-0000-0000-000019910000}"/>
    <cellStyle name="Note 4 9 3" xfId="40459" xr:uid="{00000000-0005-0000-0000-00001A910000}"/>
    <cellStyle name="Note 5" xfId="30828" xr:uid="{00000000-0005-0000-0000-00001B910000}"/>
    <cellStyle name="Note 5 10" xfId="30829" xr:uid="{00000000-0005-0000-0000-00001C910000}"/>
    <cellStyle name="Note 5 11" xfId="30830" xr:uid="{00000000-0005-0000-0000-00001D910000}"/>
    <cellStyle name="Note 5 11 2" xfId="40462" xr:uid="{00000000-0005-0000-0000-00001E910000}"/>
    <cellStyle name="Note 5 12" xfId="40463" xr:uid="{00000000-0005-0000-0000-00001F910000}"/>
    <cellStyle name="Note 5 12 2" xfId="40464" xr:uid="{00000000-0005-0000-0000-000020910000}"/>
    <cellStyle name="Note 5 2" xfId="30831" xr:uid="{00000000-0005-0000-0000-000021910000}"/>
    <cellStyle name="Note 5 2 2" xfId="30832" xr:uid="{00000000-0005-0000-0000-000022910000}"/>
    <cellStyle name="Note 5 2 2 2" xfId="30833" xr:uid="{00000000-0005-0000-0000-000023910000}"/>
    <cellStyle name="Note 5 2 2 2 2" xfId="30834" xr:uid="{00000000-0005-0000-0000-000024910000}"/>
    <cellStyle name="Note 5 2 2 3" xfId="40467" xr:uid="{00000000-0005-0000-0000-000025910000}"/>
    <cellStyle name="Note 5 2 3" xfId="30835" xr:uid="{00000000-0005-0000-0000-000026910000}"/>
    <cellStyle name="Note 5 2 3 2" xfId="30836" xr:uid="{00000000-0005-0000-0000-000027910000}"/>
    <cellStyle name="Note 5 2 3 3" xfId="40470" xr:uid="{00000000-0005-0000-0000-000028910000}"/>
    <cellStyle name="Note 5 2 4" xfId="30837" xr:uid="{00000000-0005-0000-0000-000029910000}"/>
    <cellStyle name="Note 5 2 4 2" xfId="30838" xr:uid="{00000000-0005-0000-0000-00002A910000}"/>
    <cellStyle name="Note 5 2 5" xfId="30839" xr:uid="{00000000-0005-0000-0000-00002B910000}"/>
    <cellStyle name="Note 5 3" xfId="30840" xr:uid="{00000000-0005-0000-0000-00002C910000}"/>
    <cellStyle name="Note 5 3 2" xfId="30841" xr:uid="{00000000-0005-0000-0000-00002D910000}"/>
    <cellStyle name="Note 5 3 2 2" xfId="30842" xr:uid="{00000000-0005-0000-0000-00002E910000}"/>
    <cellStyle name="Note 5 3 2 2 2" xfId="30843" xr:uid="{00000000-0005-0000-0000-00002F910000}"/>
    <cellStyle name="Note 5 3 2 3" xfId="40475" xr:uid="{00000000-0005-0000-0000-000030910000}"/>
    <cellStyle name="Note 5 3 3" xfId="30844" xr:uid="{00000000-0005-0000-0000-000031910000}"/>
    <cellStyle name="Note 5 3 3 2" xfId="30845" xr:uid="{00000000-0005-0000-0000-000032910000}"/>
    <cellStyle name="Note 5 3 3 3" xfId="40478" xr:uid="{00000000-0005-0000-0000-000033910000}"/>
    <cellStyle name="Note 5 3 4" xfId="30846" xr:uid="{00000000-0005-0000-0000-000034910000}"/>
    <cellStyle name="Note 5 3 4 2" xfId="30847" xr:uid="{00000000-0005-0000-0000-000035910000}"/>
    <cellStyle name="Note 5 3 5" xfId="40481" xr:uid="{00000000-0005-0000-0000-000036910000}"/>
    <cellStyle name="Note 5 4" xfId="30848" xr:uid="{00000000-0005-0000-0000-000037910000}"/>
    <cellStyle name="Note 5 4 2" xfId="30849" xr:uid="{00000000-0005-0000-0000-000038910000}"/>
    <cellStyle name="Note 5 4 2 2" xfId="30850" xr:uid="{00000000-0005-0000-0000-000039910000}"/>
    <cellStyle name="Note 5 4 2 3" xfId="40484" xr:uid="{00000000-0005-0000-0000-00003A910000}"/>
    <cellStyle name="Note 5 4 3" xfId="30851" xr:uid="{00000000-0005-0000-0000-00003B910000}"/>
    <cellStyle name="Note 5 4 3 2" xfId="30852" xr:uid="{00000000-0005-0000-0000-00003C910000}"/>
    <cellStyle name="Note 5 4 3 3" xfId="40487" xr:uid="{00000000-0005-0000-0000-00003D910000}"/>
    <cellStyle name="Note 5 4 4" xfId="30853" xr:uid="{00000000-0005-0000-0000-00003E910000}"/>
    <cellStyle name="Note 5 4 4 2" xfId="30854" xr:uid="{00000000-0005-0000-0000-00003F910000}"/>
    <cellStyle name="Note 5 4 5" xfId="40490" xr:uid="{00000000-0005-0000-0000-000040910000}"/>
    <cellStyle name="Note 5 5" xfId="30855" xr:uid="{00000000-0005-0000-0000-000041910000}"/>
    <cellStyle name="Note 5 5 2" xfId="30856" xr:uid="{00000000-0005-0000-0000-000042910000}"/>
    <cellStyle name="Note 5 5 2 2" xfId="30857" xr:uid="{00000000-0005-0000-0000-000043910000}"/>
    <cellStyle name="Note 5 5 2 3" xfId="40494" xr:uid="{00000000-0005-0000-0000-000044910000}"/>
    <cellStyle name="Note 5 5 3" xfId="30858" xr:uid="{00000000-0005-0000-0000-000045910000}"/>
    <cellStyle name="Note 5 5 3 2" xfId="30859" xr:uid="{00000000-0005-0000-0000-000046910000}"/>
    <cellStyle name="Note 5 5 3 3" xfId="40497" xr:uid="{00000000-0005-0000-0000-000047910000}"/>
    <cellStyle name="Note 5 5 4" xfId="30860" xr:uid="{00000000-0005-0000-0000-000048910000}"/>
    <cellStyle name="Note 5 5 5" xfId="40499" xr:uid="{00000000-0005-0000-0000-000049910000}"/>
    <cellStyle name="Note 5 6" xfId="30861" xr:uid="{00000000-0005-0000-0000-00004A910000}"/>
    <cellStyle name="Note 5 6 2" xfId="30862" xr:uid="{00000000-0005-0000-0000-00004B910000}"/>
    <cellStyle name="Note 5 6 3" xfId="40502" xr:uid="{00000000-0005-0000-0000-00004C910000}"/>
    <cellStyle name="Note 5 7" xfId="30863" xr:uid="{00000000-0005-0000-0000-00004D910000}"/>
    <cellStyle name="Note 5 7 2" xfId="30864" xr:uid="{00000000-0005-0000-0000-00004E910000}"/>
    <cellStyle name="Note 5 7 3" xfId="40505" xr:uid="{00000000-0005-0000-0000-00004F910000}"/>
    <cellStyle name="Note 5 8" xfId="30865" xr:uid="{00000000-0005-0000-0000-000050910000}"/>
    <cellStyle name="Note 5 8 2" xfId="30866" xr:uid="{00000000-0005-0000-0000-000051910000}"/>
    <cellStyle name="Note 5 8 3" xfId="40508" xr:uid="{00000000-0005-0000-0000-000052910000}"/>
    <cellStyle name="Note 5 9" xfId="30867" xr:uid="{00000000-0005-0000-0000-000053910000}"/>
    <cellStyle name="Note 5 9 2" xfId="30868" xr:uid="{00000000-0005-0000-0000-000054910000}"/>
    <cellStyle name="Note 6" xfId="30869" xr:uid="{00000000-0005-0000-0000-000055910000}"/>
    <cellStyle name="Note 6 10" xfId="30870" xr:uid="{00000000-0005-0000-0000-000056910000}"/>
    <cellStyle name="Note 6 11" xfId="30871" xr:uid="{00000000-0005-0000-0000-000057910000}"/>
    <cellStyle name="Note 6 11 2" xfId="40512" xr:uid="{00000000-0005-0000-0000-000058910000}"/>
    <cellStyle name="Note 6 12" xfId="40513" xr:uid="{00000000-0005-0000-0000-000059910000}"/>
    <cellStyle name="Note 6 12 2" xfId="40514" xr:uid="{00000000-0005-0000-0000-00005A910000}"/>
    <cellStyle name="Note 6 2" xfId="30872" xr:uid="{00000000-0005-0000-0000-00005B910000}"/>
    <cellStyle name="Note 6 2 2" xfId="30873" xr:uid="{00000000-0005-0000-0000-00005C910000}"/>
    <cellStyle name="Note 6 2 2 2" xfId="30874" xr:uid="{00000000-0005-0000-0000-00005D910000}"/>
    <cellStyle name="Note 6 2 2 2 2" xfId="30875" xr:uid="{00000000-0005-0000-0000-00005E910000}"/>
    <cellStyle name="Note 6 2 2 3" xfId="40517" xr:uid="{00000000-0005-0000-0000-00005F910000}"/>
    <cellStyle name="Note 6 2 3" xfId="30876" xr:uid="{00000000-0005-0000-0000-000060910000}"/>
    <cellStyle name="Note 6 2 3 2" xfId="30877" xr:uid="{00000000-0005-0000-0000-000061910000}"/>
    <cellStyle name="Note 6 2 3 3" xfId="40520" xr:uid="{00000000-0005-0000-0000-000062910000}"/>
    <cellStyle name="Note 6 2 4" xfId="30878" xr:uid="{00000000-0005-0000-0000-000063910000}"/>
    <cellStyle name="Note 6 2 4 2" xfId="30879" xr:uid="{00000000-0005-0000-0000-000064910000}"/>
    <cellStyle name="Note 6 2 5" xfId="30880" xr:uid="{00000000-0005-0000-0000-000065910000}"/>
    <cellStyle name="Note 6 3" xfId="30881" xr:uid="{00000000-0005-0000-0000-000066910000}"/>
    <cellStyle name="Note 6 3 2" xfId="30882" xr:uid="{00000000-0005-0000-0000-000067910000}"/>
    <cellStyle name="Note 6 3 2 2" xfId="30883" xr:uid="{00000000-0005-0000-0000-000068910000}"/>
    <cellStyle name="Note 6 3 2 2 2" xfId="30884" xr:uid="{00000000-0005-0000-0000-000069910000}"/>
    <cellStyle name="Note 6 3 2 3" xfId="40526" xr:uid="{00000000-0005-0000-0000-00006A910000}"/>
    <cellStyle name="Note 6 3 3" xfId="30885" xr:uid="{00000000-0005-0000-0000-00006B910000}"/>
    <cellStyle name="Note 6 3 3 2" xfId="30886" xr:uid="{00000000-0005-0000-0000-00006C910000}"/>
    <cellStyle name="Note 6 3 3 3" xfId="40529" xr:uid="{00000000-0005-0000-0000-00006D910000}"/>
    <cellStyle name="Note 6 3 4" xfId="30887" xr:uid="{00000000-0005-0000-0000-00006E910000}"/>
    <cellStyle name="Note 6 3 4 2" xfId="30888" xr:uid="{00000000-0005-0000-0000-00006F910000}"/>
    <cellStyle name="Note 6 3 5" xfId="40532" xr:uid="{00000000-0005-0000-0000-000070910000}"/>
    <cellStyle name="Note 6 4" xfId="30889" xr:uid="{00000000-0005-0000-0000-000071910000}"/>
    <cellStyle name="Note 6 4 2" xfId="30890" xr:uid="{00000000-0005-0000-0000-000072910000}"/>
    <cellStyle name="Note 6 4 2 2" xfId="30891" xr:uid="{00000000-0005-0000-0000-000073910000}"/>
    <cellStyle name="Note 6 4 2 3" xfId="40535" xr:uid="{00000000-0005-0000-0000-000074910000}"/>
    <cellStyle name="Note 6 4 3" xfId="30892" xr:uid="{00000000-0005-0000-0000-000075910000}"/>
    <cellStyle name="Note 6 4 3 2" xfId="30893" xr:uid="{00000000-0005-0000-0000-000076910000}"/>
    <cellStyle name="Note 6 4 3 3" xfId="40538" xr:uid="{00000000-0005-0000-0000-000077910000}"/>
    <cellStyle name="Note 6 4 4" xfId="30894" xr:uid="{00000000-0005-0000-0000-000078910000}"/>
    <cellStyle name="Note 6 4 4 2" xfId="30895" xr:uid="{00000000-0005-0000-0000-000079910000}"/>
    <cellStyle name="Note 6 4 5" xfId="40541" xr:uid="{00000000-0005-0000-0000-00007A910000}"/>
    <cellStyle name="Note 6 5" xfId="30896" xr:uid="{00000000-0005-0000-0000-00007B910000}"/>
    <cellStyle name="Note 6 5 2" xfId="30897" xr:uid="{00000000-0005-0000-0000-00007C910000}"/>
    <cellStyle name="Note 6 5 2 2" xfId="30898" xr:uid="{00000000-0005-0000-0000-00007D910000}"/>
    <cellStyle name="Note 6 5 2 3" xfId="40545" xr:uid="{00000000-0005-0000-0000-00007E910000}"/>
    <cellStyle name="Note 6 5 3" xfId="30899" xr:uid="{00000000-0005-0000-0000-00007F910000}"/>
    <cellStyle name="Note 6 5 3 2" xfId="30900" xr:uid="{00000000-0005-0000-0000-000080910000}"/>
    <cellStyle name="Note 6 5 3 3" xfId="40548" xr:uid="{00000000-0005-0000-0000-000081910000}"/>
    <cellStyle name="Note 6 5 4" xfId="30901" xr:uid="{00000000-0005-0000-0000-000082910000}"/>
    <cellStyle name="Note 6 5 5" xfId="40550" xr:uid="{00000000-0005-0000-0000-000083910000}"/>
    <cellStyle name="Note 6 6" xfId="30902" xr:uid="{00000000-0005-0000-0000-000084910000}"/>
    <cellStyle name="Note 6 6 2" xfId="30903" xr:uid="{00000000-0005-0000-0000-000085910000}"/>
    <cellStyle name="Note 6 6 3" xfId="40553" xr:uid="{00000000-0005-0000-0000-000086910000}"/>
    <cellStyle name="Note 6 7" xfId="30904" xr:uid="{00000000-0005-0000-0000-000087910000}"/>
    <cellStyle name="Note 6 7 2" xfId="30905" xr:uid="{00000000-0005-0000-0000-000088910000}"/>
    <cellStyle name="Note 6 7 3" xfId="40556" xr:uid="{00000000-0005-0000-0000-000089910000}"/>
    <cellStyle name="Note 6 8" xfId="30906" xr:uid="{00000000-0005-0000-0000-00008A910000}"/>
    <cellStyle name="Note 6 8 2" xfId="30907" xr:uid="{00000000-0005-0000-0000-00008B910000}"/>
    <cellStyle name="Note 6 8 3" xfId="40559" xr:uid="{00000000-0005-0000-0000-00008C910000}"/>
    <cellStyle name="Note 6 9" xfId="30908" xr:uid="{00000000-0005-0000-0000-00008D910000}"/>
    <cellStyle name="Note 6 9 2" xfId="30909" xr:uid="{00000000-0005-0000-0000-00008E910000}"/>
    <cellStyle name="Note 7" xfId="30910" xr:uid="{00000000-0005-0000-0000-00008F910000}"/>
    <cellStyle name="Note 7 2" xfId="30911" xr:uid="{00000000-0005-0000-0000-000090910000}"/>
    <cellStyle name="Note 7 2 2" xfId="30912" xr:uid="{00000000-0005-0000-0000-000091910000}"/>
    <cellStyle name="Note 7 2 2 2" xfId="30913" xr:uid="{00000000-0005-0000-0000-000092910000}"/>
    <cellStyle name="Note 7 2 2 2 2" xfId="30914" xr:uid="{00000000-0005-0000-0000-000093910000}"/>
    <cellStyle name="Note 7 2 2 3" xfId="40564" xr:uid="{00000000-0005-0000-0000-000094910000}"/>
    <cellStyle name="Note 7 2 3" xfId="30915" xr:uid="{00000000-0005-0000-0000-000095910000}"/>
    <cellStyle name="Note 7 2 3 2" xfId="30916" xr:uid="{00000000-0005-0000-0000-000096910000}"/>
    <cellStyle name="Note 7 2 3 3" xfId="40567" xr:uid="{00000000-0005-0000-0000-000097910000}"/>
    <cellStyle name="Note 7 2 4" xfId="30917" xr:uid="{00000000-0005-0000-0000-000098910000}"/>
    <cellStyle name="Note 7 2 4 2" xfId="30918" xr:uid="{00000000-0005-0000-0000-000099910000}"/>
    <cellStyle name="Note 7 2 4 3" xfId="40568" xr:uid="{00000000-0005-0000-0000-00009A910000}"/>
    <cellStyle name="Note 7 2 5" xfId="30919" xr:uid="{00000000-0005-0000-0000-00009B910000}"/>
    <cellStyle name="Note 7 2 5 2" xfId="30920" xr:uid="{00000000-0005-0000-0000-00009C910000}"/>
    <cellStyle name="Note 7 2 5 3" xfId="40570" xr:uid="{00000000-0005-0000-0000-00009D910000}"/>
    <cellStyle name="Note 7 3" xfId="30921" xr:uid="{00000000-0005-0000-0000-00009E910000}"/>
    <cellStyle name="Note 7 3 2" xfId="30922" xr:uid="{00000000-0005-0000-0000-00009F910000}"/>
    <cellStyle name="Note 7 3 2 2" xfId="30923" xr:uid="{00000000-0005-0000-0000-0000A0910000}"/>
    <cellStyle name="Note 7 3 2 2 2" xfId="30924" xr:uid="{00000000-0005-0000-0000-0000A1910000}"/>
    <cellStyle name="Note 7 3 2 3" xfId="40574" xr:uid="{00000000-0005-0000-0000-0000A2910000}"/>
    <cellStyle name="Note 7 3 3" xfId="30925" xr:uid="{00000000-0005-0000-0000-0000A3910000}"/>
    <cellStyle name="Note 7 3 3 2" xfId="30926" xr:uid="{00000000-0005-0000-0000-0000A4910000}"/>
    <cellStyle name="Note 7 3 3 3" xfId="40577" xr:uid="{00000000-0005-0000-0000-0000A5910000}"/>
    <cellStyle name="Note 7 3 4" xfId="30927" xr:uid="{00000000-0005-0000-0000-0000A6910000}"/>
    <cellStyle name="Note 7 3 4 2" xfId="30928" xr:uid="{00000000-0005-0000-0000-0000A7910000}"/>
    <cellStyle name="Note 7 3 4 3" xfId="40578" xr:uid="{00000000-0005-0000-0000-0000A8910000}"/>
    <cellStyle name="Note 7 3 5" xfId="30929" xr:uid="{00000000-0005-0000-0000-0000A9910000}"/>
    <cellStyle name="Note 7 3 5 2" xfId="30930" xr:uid="{00000000-0005-0000-0000-0000AA910000}"/>
    <cellStyle name="Note 7 3 5 3" xfId="40580" xr:uid="{00000000-0005-0000-0000-0000AB910000}"/>
    <cellStyle name="Note 7 4" xfId="30931" xr:uid="{00000000-0005-0000-0000-0000AC910000}"/>
    <cellStyle name="Note 7 4 2" xfId="30932" xr:uid="{00000000-0005-0000-0000-0000AD910000}"/>
    <cellStyle name="Note 7 4 2 2" xfId="30933" xr:uid="{00000000-0005-0000-0000-0000AE910000}"/>
    <cellStyle name="Note 7 4 2 3" xfId="40584" xr:uid="{00000000-0005-0000-0000-0000AF910000}"/>
    <cellStyle name="Note 7 4 3" xfId="30934" xr:uid="{00000000-0005-0000-0000-0000B0910000}"/>
    <cellStyle name="Note 7 4 3 2" xfId="30935" xr:uid="{00000000-0005-0000-0000-0000B1910000}"/>
    <cellStyle name="Note 7 4 3 3" xfId="40587" xr:uid="{00000000-0005-0000-0000-0000B2910000}"/>
    <cellStyle name="Note 7 4 4" xfId="30936" xr:uid="{00000000-0005-0000-0000-0000B3910000}"/>
    <cellStyle name="Note 7 4 4 2" xfId="30937" xr:uid="{00000000-0005-0000-0000-0000B4910000}"/>
    <cellStyle name="Note 7 4 5" xfId="40590" xr:uid="{00000000-0005-0000-0000-0000B5910000}"/>
    <cellStyle name="Note 7 5" xfId="30938" xr:uid="{00000000-0005-0000-0000-0000B6910000}"/>
    <cellStyle name="Note 7 5 2" xfId="30939" xr:uid="{00000000-0005-0000-0000-0000B7910000}"/>
    <cellStyle name="Note 7 5 2 2" xfId="30940" xr:uid="{00000000-0005-0000-0000-0000B8910000}"/>
    <cellStyle name="Note 7 5 2 3" xfId="40594" xr:uid="{00000000-0005-0000-0000-0000B9910000}"/>
    <cellStyle name="Note 7 5 3" xfId="30941" xr:uid="{00000000-0005-0000-0000-0000BA910000}"/>
    <cellStyle name="Note 7 5 3 2" xfId="30942" xr:uid="{00000000-0005-0000-0000-0000BB910000}"/>
    <cellStyle name="Note 7 5 3 3" xfId="40597" xr:uid="{00000000-0005-0000-0000-0000BC910000}"/>
    <cellStyle name="Note 7 5 4" xfId="30943" xr:uid="{00000000-0005-0000-0000-0000BD910000}"/>
    <cellStyle name="Note 7 5 5" xfId="40599" xr:uid="{00000000-0005-0000-0000-0000BE910000}"/>
    <cellStyle name="Note 7 6" xfId="30944" xr:uid="{00000000-0005-0000-0000-0000BF910000}"/>
    <cellStyle name="Note 7 6 2" xfId="30945" xr:uid="{00000000-0005-0000-0000-0000C0910000}"/>
    <cellStyle name="Note 7 6 3" xfId="40602" xr:uid="{00000000-0005-0000-0000-0000C1910000}"/>
    <cellStyle name="Note 7 7" xfId="30946" xr:uid="{00000000-0005-0000-0000-0000C2910000}"/>
    <cellStyle name="Note 7 7 2" xfId="30947" xr:uid="{00000000-0005-0000-0000-0000C3910000}"/>
    <cellStyle name="Note 7 7 3" xfId="40605" xr:uid="{00000000-0005-0000-0000-0000C4910000}"/>
    <cellStyle name="Note 7 8" xfId="30948" xr:uid="{00000000-0005-0000-0000-0000C5910000}"/>
    <cellStyle name="Note 7 8 2" xfId="30949" xr:uid="{00000000-0005-0000-0000-0000C6910000}"/>
    <cellStyle name="Note 7 8 3" xfId="40606" xr:uid="{00000000-0005-0000-0000-0000C7910000}"/>
    <cellStyle name="Note 7 9" xfId="30950" xr:uid="{00000000-0005-0000-0000-0000C8910000}"/>
    <cellStyle name="Note 7 9 2" xfId="30951" xr:uid="{00000000-0005-0000-0000-0000C9910000}"/>
    <cellStyle name="Note 7 9 3" xfId="40608" xr:uid="{00000000-0005-0000-0000-0000CA910000}"/>
    <cellStyle name="Note 8" xfId="30952" xr:uid="{00000000-0005-0000-0000-0000CB910000}"/>
    <cellStyle name="Note 8 2" xfId="30953" xr:uid="{00000000-0005-0000-0000-0000CC910000}"/>
    <cellStyle name="Note 8 2 2" xfId="30954" xr:uid="{00000000-0005-0000-0000-0000CD910000}"/>
    <cellStyle name="Note 8 2 2 2" xfId="30955" xr:uid="{00000000-0005-0000-0000-0000CE910000}"/>
    <cellStyle name="Note 8 2 2 3" xfId="40613" xr:uid="{00000000-0005-0000-0000-0000CF910000}"/>
    <cellStyle name="Note 8 2 3" xfId="30956" xr:uid="{00000000-0005-0000-0000-0000D0910000}"/>
    <cellStyle name="Note 8 2 3 2" xfId="30957" xr:uid="{00000000-0005-0000-0000-0000D1910000}"/>
    <cellStyle name="Note 8 2 3 3" xfId="40616" xr:uid="{00000000-0005-0000-0000-0000D2910000}"/>
    <cellStyle name="Note 8 2 4" xfId="30958" xr:uid="{00000000-0005-0000-0000-0000D3910000}"/>
    <cellStyle name="Note 8 2 5" xfId="40617" xr:uid="{00000000-0005-0000-0000-0000D4910000}"/>
    <cellStyle name="Note 8 3" xfId="30959" xr:uid="{00000000-0005-0000-0000-0000D5910000}"/>
    <cellStyle name="Note 8 3 2" xfId="30960" xr:uid="{00000000-0005-0000-0000-0000D6910000}"/>
    <cellStyle name="Note 8 3 3" xfId="40620" xr:uid="{00000000-0005-0000-0000-0000D7910000}"/>
    <cellStyle name="Note 8 4" xfId="30961" xr:uid="{00000000-0005-0000-0000-0000D8910000}"/>
    <cellStyle name="Note 8 4 2" xfId="30962" xr:uid="{00000000-0005-0000-0000-0000D9910000}"/>
    <cellStyle name="Note 8 4 3" xfId="40623" xr:uid="{00000000-0005-0000-0000-0000DA910000}"/>
    <cellStyle name="Note 8 5" xfId="30963" xr:uid="{00000000-0005-0000-0000-0000DB910000}"/>
    <cellStyle name="Note 8 5 2" xfId="30964" xr:uid="{00000000-0005-0000-0000-0000DC910000}"/>
    <cellStyle name="Note 8 5 2 2" xfId="30965" xr:uid="{00000000-0005-0000-0000-0000DD910000}"/>
    <cellStyle name="Note 8 5 2 3" xfId="40625" xr:uid="{00000000-0005-0000-0000-0000DE910000}"/>
    <cellStyle name="Note 8 5 3" xfId="30966" xr:uid="{00000000-0005-0000-0000-0000DF910000}"/>
    <cellStyle name="Note 8 5 4" xfId="30967" xr:uid="{00000000-0005-0000-0000-0000E0910000}"/>
    <cellStyle name="Note 8 5 5" xfId="40624" xr:uid="{00000000-0005-0000-0000-0000E1910000}"/>
    <cellStyle name="Note 8 6" xfId="30968" xr:uid="{00000000-0005-0000-0000-0000E2910000}"/>
    <cellStyle name="Note 8 7" xfId="35758" xr:uid="{00000000-0005-0000-0000-0000E3910000}"/>
    <cellStyle name="Note 9" xfId="30969" xr:uid="{00000000-0005-0000-0000-0000E4910000}"/>
    <cellStyle name="Note 9 2" xfId="30970" xr:uid="{00000000-0005-0000-0000-0000E5910000}"/>
    <cellStyle name="Note 9 2 2" xfId="30971" xr:uid="{00000000-0005-0000-0000-0000E6910000}"/>
    <cellStyle name="Note 9 2 2 2" xfId="30972" xr:uid="{00000000-0005-0000-0000-0000E7910000}"/>
    <cellStyle name="Note 9 2 2 3" xfId="40628" xr:uid="{00000000-0005-0000-0000-0000E8910000}"/>
    <cellStyle name="Note 9 2 3" xfId="30973" xr:uid="{00000000-0005-0000-0000-0000E9910000}"/>
    <cellStyle name="Note 9 2 4" xfId="30974" xr:uid="{00000000-0005-0000-0000-0000EA910000}"/>
    <cellStyle name="Note 9 2 5" xfId="40627" xr:uid="{00000000-0005-0000-0000-0000EB910000}"/>
    <cellStyle name="Note 9 3" xfId="30975" xr:uid="{00000000-0005-0000-0000-0000EC910000}"/>
    <cellStyle name="Note 9 4" xfId="35759" xr:uid="{00000000-0005-0000-0000-0000ED910000}"/>
    <cellStyle name="nplode" xfId="30976" xr:uid="{00000000-0005-0000-0000-0000EE910000}"/>
    <cellStyle name="nplode 2" xfId="30977" xr:uid="{00000000-0005-0000-0000-0000EF910000}"/>
    <cellStyle name="nplode 2 2" xfId="30978" xr:uid="{00000000-0005-0000-0000-0000F0910000}"/>
    <cellStyle name="nplode 3" xfId="30979" xr:uid="{00000000-0005-0000-0000-0000F1910000}"/>
    <cellStyle name="nplode 4" xfId="30980" xr:uid="{00000000-0005-0000-0000-0000F2910000}"/>
    <cellStyle name="Output 10" xfId="30981" xr:uid="{00000000-0005-0000-0000-0000F3910000}"/>
    <cellStyle name="Output 2" xfId="30982" xr:uid="{00000000-0005-0000-0000-0000F4910000}"/>
    <cellStyle name="Output 2 10" xfId="35762" xr:uid="{00000000-0005-0000-0000-0000F5910000}"/>
    <cellStyle name="Output 2 10 2" xfId="35763" xr:uid="{00000000-0005-0000-0000-0000F6910000}"/>
    <cellStyle name="Output 2 10 2 2" xfId="35764" xr:uid="{00000000-0005-0000-0000-0000F7910000}"/>
    <cellStyle name="Output 2 10 3" xfId="35765" xr:uid="{00000000-0005-0000-0000-0000F8910000}"/>
    <cellStyle name="Output 2 10 3 2" xfId="35766" xr:uid="{00000000-0005-0000-0000-0000F9910000}"/>
    <cellStyle name="Output 2 10 4" xfId="35767" xr:uid="{00000000-0005-0000-0000-0000FA910000}"/>
    <cellStyle name="Output 2 11" xfId="35768" xr:uid="{00000000-0005-0000-0000-0000FB910000}"/>
    <cellStyle name="Output 2 11 2" xfId="35769" xr:uid="{00000000-0005-0000-0000-0000FC910000}"/>
    <cellStyle name="Output 2 11 2 2" xfId="35770" xr:uid="{00000000-0005-0000-0000-0000FD910000}"/>
    <cellStyle name="Output 2 11 3" xfId="35771" xr:uid="{00000000-0005-0000-0000-0000FE910000}"/>
    <cellStyle name="Output 2 11 3 2" xfId="35772" xr:uid="{00000000-0005-0000-0000-0000FF910000}"/>
    <cellStyle name="Output 2 11 4" xfId="35773" xr:uid="{00000000-0005-0000-0000-000000920000}"/>
    <cellStyle name="Output 2 12" xfId="35774" xr:uid="{00000000-0005-0000-0000-000001920000}"/>
    <cellStyle name="Output 2 12 2" xfId="35775" xr:uid="{00000000-0005-0000-0000-000002920000}"/>
    <cellStyle name="Output 2 13" xfId="35776" xr:uid="{00000000-0005-0000-0000-000003920000}"/>
    <cellStyle name="Output 2 13 2" xfId="35777" xr:uid="{00000000-0005-0000-0000-000004920000}"/>
    <cellStyle name="Output 2 14" xfId="35778" xr:uid="{00000000-0005-0000-0000-000005920000}"/>
    <cellStyle name="Output 2 15" xfId="35779" xr:uid="{00000000-0005-0000-0000-000006920000}"/>
    <cellStyle name="Output 2 2" xfId="30983" xr:uid="{00000000-0005-0000-0000-000007920000}"/>
    <cellStyle name="Output 2 2 10" xfId="30984" xr:uid="{00000000-0005-0000-0000-000008920000}"/>
    <cellStyle name="Output 2 2 10 2" xfId="30985" xr:uid="{00000000-0005-0000-0000-000009920000}"/>
    <cellStyle name="Output 2 2 10 2 2" xfId="30986" xr:uid="{00000000-0005-0000-0000-00000A920000}"/>
    <cellStyle name="Output 2 2 10 3" xfId="40635" xr:uid="{00000000-0005-0000-0000-00000B920000}"/>
    <cellStyle name="Output 2 2 11" xfId="30987" xr:uid="{00000000-0005-0000-0000-00000C920000}"/>
    <cellStyle name="Output 2 2 11 2" xfId="30988" xr:uid="{00000000-0005-0000-0000-00000D920000}"/>
    <cellStyle name="Output 2 2 12" xfId="40638" xr:uid="{00000000-0005-0000-0000-00000E920000}"/>
    <cellStyle name="Output 2 2 2" xfId="30989" xr:uid="{00000000-0005-0000-0000-00000F920000}"/>
    <cellStyle name="Output 2 2 2 2" xfId="30990" xr:uid="{00000000-0005-0000-0000-000010920000}"/>
    <cellStyle name="Output 2 2 2 2 2" xfId="30991" xr:uid="{00000000-0005-0000-0000-000011920000}"/>
    <cellStyle name="Output 2 2 2 2 2 2" xfId="30992" xr:uid="{00000000-0005-0000-0000-000012920000}"/>
    <cellStyle name="Output 2 2 2 2 2 2 2" xfId="30993" xr:uid="{00000000-0005-0000-0000-000013920000}"/>
    <cellStyle name="Output 2 2 2 2 2 2 3" xfId="35784" xr:uid="{00000000-0005-0000-0000-000014920000}"/>
    <cellStyle name="Output 2 2 2 2 2 3" xfId="35783" xr:uid="{00000000-0005-0000-0000-000015920000}"/>
    <cellStyle name="Output 2 2 2 2 3" xfId="35785" xr:uid="{00000000-0005-0000-0000-000016920000}"/>
    <cellStyle name="Output 2 2 2 2 3 2" xfId="35786" xr:uid="{00000000-0005-0000-0000-000017920000}"/>
    <cellStyle name="Output 2 2 2 2 4" xfId="35787" xr:uid="{00000000-0005-0000-0000-000018920000}"/>
    <cellStyle name="Output 2 2 2 2 5" xfId="35782" xr:uid="{00000000-0005-0000-0000-000019920000}"/>
    <cellStyle name="Output 2 2 2 3" xfId="30994" xr:uid="{00000000-0005-0000-0000-00001A920000}"/>
    <cellStyle name="Output 2 2 2 3 2" xfId="30995" xr:uid="{00000000-0005-0000-0000-00001B920000}"/>
    <cellStyle name="Output 2 2 2 3 2 2" xfId="30996" xr:uid="{00000000-0005-0000-0000-00001C920000}"/>
    <cellStyle name="Output 2 2 2 3 2 2 2" xfId="35790" xr:uid="{00000000-0005-0000-0000-00001D920000}"/>
    <cellStyle name="Output 2 2 2 3 2 3" xfId="35789" xr:uid="{00000000-0005-0000-0000-00001E920000}"/>
    <cellStyle name="Output 2 2 2 3 3" xfId="35791" xr:uid="{00000000-0005-0000-0000-00001F920000}"/>
    <cellStyle name="Output 2 2 2 3 3 2" xfId="35792" xr:uid="{00000000-0005-0000-0000-000020920000}"/>
    <cellStyle name="Output 2 2 2 3 4" xfId="35793" xr:uid="{00000000-0005-0000-0000-000021920000}"/>
    <cellStyle name="Output 2 2 2 3 5" xfId="35788" xr:uid="{00000000-0005-0000-0000-000022920000}"/>
    <cellStyle name="Output 2 2 2 4" xfId="30997" xr:uid="{00000000-0005-0000-0000-000023920000}"/>
    <cellStyle name="Output 2 2 2 4 2" xfId="30998" xr:uid="{00000000-0005-0000-0000-000024920000}"/>
    <cellStyle name="Output 2 2 2 4 2 2" xfId="30999" xr:uid="{00000000-0005-0000-0000-000025920000}"/>
    <cellStyle name="Output 2 2 2 4 2 3" xfId="35795" xr:uid="{00000000-0005-0000-0000-000026920000}"/>
    <cellStyle name="Output 2 2 2 4 3" xfId="35794" xr:uid="{00000000-0005-0000-0000-000027920000}"/>
    <cellStyle name="Output 2 2 2 5" xfId="31000" xr:uid="{00000000-0005-0000-0000-000028920000}"/>
    <cellStyle name="Output 2 2 2 5 2" xfId="31001" xr:uid="{00000000-0005-0000-0000-000029920000}"/>
    <cellStyle name="Output 2 2 2 5 2 2" xfId="31002" xr:uid="{00000000-0005-0000-0000-00002A920000}"/>
    <cellStyle name="Output 2 2 2 5 2 3" xfId="35797" xr:uid="{00000000-0005-0000-0000-00002B920000}"/>
    <cellStyle name="Output 2 2 2 5 3" xfId="35796" xr:uid="{00000000-0005-0000-0000-00002C920000}"/>
    <cellStyle name="Output 2 2 2 6" xfId="35798" xr:uid="{00000000-0005-0000-0000-00002D920000}"/>
    <cellStyle name="Output 2 2 2 7" xfId="35781" xr:uid="{00000000-0005-0000-0000-00002E920000}"/>
    <cellStyle name="Output 2 2 3" xfId="31003" xr:uid="{00000000-0005-0000-0000-00002F920000}"/>
    <cellStyle name="Output 2 2 3 2" xfId="31004" xr:uid="{00000000-0005-0000-0000-000030920000}"/>
    <cellStyle name="Output 2 2 3 2 2" xfId="31005" xr:uid="{00000000-0005-0000-0000-000031920000}"/>
    <cellStyle name="Output 2 2 3 2 2 2" xfId="31006" xr:uid="{00000000-0005-0000-0000-000032920000}"/>
    <cellStyle name="Output 2 2 3 2 2 2 2" xfId="31007" xr:uid="{00000000-0005-0000-0000-000033920000}"/>
    <cellStyle name="Output 2 2 3 2 2 2 3" xfId="35802" xr:uid="{00000000-0005-0000-0000-000034920000}"/>
    <cellStyle name="Output 2 2 3 2 2 3" xfId="35801" xr:uid="{00000000-0005-0000-0000-000035920000}"/>
    <cellStyle name="Output 2 2 3 2 3" xfId="35803" xr:uid="{00000000-0005-0000-0000-000036920000}"/>
    <cellStyle name="Output 2 2 3 2 3 2" xfId="35804" xr:uid="{00000000-0005-0000-0000-000037920000}"/>
    <cellStyle name="Output 2 2 3 2 4" xfId="35805" xr:uid="{00000000-0005-0000-0000-000038920000}"/>
    <cellStyle name="Output 2 2 3 2 5" xfId="35800" xr:uid="{00000000-0005-0000-0000-000039920000}"/>
    <cellStyle name="Output 2 2 3 3" xfId="31008" xr:uid="{00000000-0005-0000-0000-00003A920000}"/>
    <cellStyle name="Output 2 2 3 3 2" xfId="31009" xr:uid="{00000000-0005-0000-0000-00003B920000}"/>
    <cellStyle name="Output 2 2 3 3 2 2" xfId="31010" xr:uid="{00000000-0005-0000-0000-00003C920000}"/>
    <cellStyle name="Output 2 2 3 3 2 2 2" xfId="35808" xr:uid="{00000000-0005-0000-0000-00003D920000}"/>
    <cellStyle name="Output 2 2 3 3 2 3" xfId="35807" xr:uid="{00000000-0005-0000-0000-00003E920000}"/>
    <cellStyle name="Output 2 2 3 3 3" xfId="35809" xr:uid="{00000000-0005-0000-0000-00003F920000}"/>
    <cellStyle name="Output 2 2 3 3 3 2" xfId="35810" xr:uid="{00000000-0005-0000-0000-000040920000}"/>
    <cellStyle name="Output 2 2 3 3 4" xfId="35811" xr:uid="{00000000-0005-0000-0000-000041920000}"/>
    <cellStyle name="Output 2 2 3 3 5" xfId="35806" xr:uid="{00000000-0005-0000-0000-000042920000}"/>
    <cellStyle name="Output 2 2 3 4" xfId="31011" xr:uid="{00000000-0005-0000-0000-000043920000}"/>
    <cellStyle name="Output 2 2 3 4 2" xfId="31012" xr:uid="{00000000-0005-0000-0000-000044920000}"/>
    <cellStyle name="Output 2 2 3 4 2 2" xfId="31013" xr:uid="{00000000-0005-0000-0000-000045920000}"/>
    <cellStyle name="Output 2 2 3 4 2 3" xfId="35813" xr:uid="{00000000-0005-0000-0000-000046920000}"/>
    <cellStyle name="Output 2 2 3 4 3" xfId="35812" xr:uid="{00000000-0005-0000-0000-000047920000}"/>
    <cellStyle name="Output 2 2 3 5" xfId="31014" xr:uid="{00000000-0005-0000-0000-000048920000}"/>
    <cellStyle name="Output 2 2 3 5 2" xfId="31015" xr:uid="{00000000-0005-0000-0000-000049920000}"/>
    <cellStyle name="Output 2 2 3 5 2 2" xfId="31016" xr:uid="{00000000-0005-0000-0000-00004A920000}"/>
    <cellStyle name="Output 2 2 3 5 2 3" xfId="35815" xr:uid="{00000000-0005-0000-0000-00004B920000}"/>
    <cellStyle name="Output 2 2 3 5 3" xfId="35814" xr:uid="{00000000-0005-0000-0000-00004C920000}"/>
    <cellStyle name="Output 2 2 3 6" xfId="35816" xr:uid="{00000000-0005-0000-0000-00004D920000}"/>
    <cellStyle name="Output 2 2 3 7" xfId="35799" xr:uid="{00000000-0005-0000-0000-00004E920000}"/>
    <cellStyle name="Output 2 2 4" xfId="31017" xr:uid="{00000000-0005-0000-0000-00004F920000}"/>
    <cellStyle name="Output 2 2 4 2" xfId="31018" xr:uid="{00000000-0005-0000-0000-000050920000}"/>
    <cellStyle name="Output 2 2 4 2 2" xfId="31019" xr:uid="{00000000-0005-0000-0000-000051920000}"/>
    <cellStyle name="Output 2 2 4 2 2 2" xfId="31020" xr:uid="{00000000-0005-0000-0000-000052920000}"/>
    <cellStyle name="Output 2 2 4 2 2 3" xfId="35819" xr:uid="{00000000-0005-0000-0000-000053920000}"/>
    <cellStyle name="Output 2 2 4 2 3" xfId="40639" xr:uid="{00000000-0005-0000-0000-000054920000}"/>
    <cellStyle name="Output 2 2 4 2 4" xfId="35818" xr:uid="{00000000-0005-0000-0000-000055920000}"/>
    <cellStyle name="Output 2 2 4 3" xfId="31021" xr:uid="{00000000-0005-0000-0000-000056920000}"/>
    <cellStyle name="Output 2 2 4 3 2" xfId="31022" xr:uid="{00000000-0005-0000-0000-000057920000}"/>
    <cellStyle name="Output 2 2 4 3 2 2" xfId="31023" xr:uid="{00000000-0005-0000-0000-000058920000}"/>
    <cellStyle name="Output 2 2 4 3 2 3" xfId="35821" xr:uid="{00000000-0005-0000-0000-000059920000}"/>
    <cellStyle name="Output 2 2 4 3 3" xfId="40640" xr:uid="{00000000-0005-0000-0000-00005A920000}"/>
    <cellStyle name="Output 2 2 4 3 4" xfId="35820" xr:uid="{00000000-0005-0000-0000-00005B920000}"/>
    <cellStyle name="Output 2 2 4 4" xfId="31024" xr:uid="{00000000-0005-0000-0000-00005C920000}"/>
    <cellStyle name="Output 2 2 4 4 2" xfId="31025" xr:uid="{00000000-0005-0000-0000-00005D920000}"/>
    <cellStyle name="Output 2 2 4 4 2 2" xfId="31026" xr:uid="{00000000-0005-0000-0000-00005E920000}"/>
    <cellStyle name="Output 2 2 4 4 3" xfId="35822" xr:uid="{00000000-0005-0000-0000-00005F920000}"/>
    <cellStyle name="Output 2 2 4 5" xfId="40642" xr:uid="{00000000-0005-0000-0000-000060920000}"/>
    <cellStyle name="Output 2 2 4 6" xfId="35817" xr:uid="{00000000-0005-0000-0000-000061920000}"/>
    <cellStyle name="Output 2 2 5" xfId="31027" xr:uid="{00000000-0005-0000-0000-000062920000}"/>
    <cellStyle name="Output 2 2 5 2" xfId="31028" xr:uid="{00000000-0005-0000-0000-000063920000}"/>
    <cellStyle name="Output 2 2 5 2 2" xfId="31029" xr:uid="{00000000-0005-0000-0000-000064920000}"/>
    <cellStyle name="Output 2 2 5 2 2 2" xfId="31030" xr:uid="{00000000-0005-0000-0000-000065920000}"/>
    <cellStyle name="Output 2 2 5 2 2 3" xfId="35825" xr:uid="{00000000-0005-0000-0000-000066920000}"/>
    <cellStyle name="Output 2 2 5 2 3" xfId="40643" xr:uid="{00000000-0005-0000-0000-000067920000}"/>
    <cellStyle name="Output 2 2 5 2 4" xfId="35824" xr:uid="{00000000-0005-0000-0000-000068920000}"/>
    <cellStyle name="Output 2 2 5 3" xfId="31031" xr:uid="{00000000-0005-0000-0000-000069920000}"/>
    <cellStyle name="Output 2 2 5 3 2" xfId="31032" xr:uid="{00000000-0005-0000-0000-00006A920000}"/>
    <cellStyle name="Output 2 2 5 3 2 2" xfId="31033" xr:uid="{00000000-0005-0000-0000-00006B920000}"/>
    <cellStyle name="Output 2 2 5 3 2 3" xfId="35827" xr:uid="{00000000-0005-0000-0000-00006C920000}"/>
    <cellStyle name="Output 2 2 5 3 3" xfId="40644" xr:uid="{00000000-0005-0000-0000-00006D920000}"/>
    <cellStyle name="Output 2 2 5 3 4" xfId="35826" xr:uid="{00000000-0005-0000-0000-00006E920000}"/>
    <cellStyle name="Output 2 2 5 4" xfId="31034" xr:uid="{00000000-0005-0000-0000-00006F920000}"/>
    <cellStyle name="Output 2 2 5 4 2" xfId="31035" xr:uid="{00000000-0005-0000-0000-000070920000}"/>
    <cellStyle name="Output 2 2 5 4 3" xfId="35828" xr:uid="{00000000-0005-0000-0000-000071920000}"/>
    <cellStyle name="Output 2 2 5 5" xfId="40645" xr:uid="{00000000-0005-0000-0000-000072920000}"/>
    <cellStyle name="Output 2 2 5 6" xfId="35823" xr:uid="{00000000-0005-0000-0000-000073920000}"/>
    <cellStyle name="Output 2 2 6" xfId="31036" xr:uid="{00000000-0005-0000-0000-000074920000}"/>
    <cellStyle name="Output 2 2 6 2" xfId="31037" xr:uid="{00000000-0005-0000-0000-000075920000}"/>
    <cellStyle name="Output 2 2 6 2 2" xfId="31038" xr:uid="{00000000-0005-0000-0000-000076920000}"/>
    <cellStyle name="Output 2 2 6 2 3" xfId="35830" xr:uid="{00000000-0005-0000-0000-000077920000}"/>
    <cellStyle name="Output 2 2 6 3" xfId="40646" xr:uid="{00000000-0005-0000-0000-000078920000}"/>
    <cellStyle name="Output 2 2 6 4" xfId="35829" xr:uid="{00000000-0005-0000-0000-000079920000}"/>
    <cellStyle name="Output 2 2 7" xfId="31039" xr:uid="{00000000-0005-0000-0000-00007A920000}"/>
    <cellStyle name="Output 2 2 7 2" xfId="31040" xr:uid="{00000000-0005-0000-0000-00007B920000}"/>
    <cellStyle name="Output 2 2 7 2 2" xfId="31041" xr:uid="{00000000-0005-0000-0000-00007C920000}"/>
    <cellStyle name="Output 2 2 7 2 3" xfId="35832" xr:uid="{00000000-0005-0000-0000-00007D920000}"/>
    <cellStyle name="Output 2 2 7 3" xfId="40647" xr:uid="{00000000-0005-0000-0000-00007E920000}"/>
    <cellStyle name="Output 2 2 7 4" xfId="35831" xr:uid="{00000000-0005-0000-0000-00007F920000}"/>
    <cellStyle name="Output 2 2 8" xfId="31042" xr:uid="{00000000-0005-0000-0000-000080920000}"/>
    <cellStyle name="Output 2 2 8 2" xfId="31043" xr:uid="{00000000-0005-0000-0000-000081920000}"/>
    <cellStyle name="Output 2 2 8 2 2" xfId="31044" xr:uid="{00000000-0005-0000-0000-000082920000}"/>
    <cellStyle name="Output 2 2 8 3" xfId="40649" xr:uid="{00000000-0005-0000-0000-000083920000}"/>
    <cellStyle name="Output 2 2 8 4" xfId="35833" xr:uid="{00000000-0005-0000-0000-000084920000}"/>
    <cellStyle name="Output 2 2 9" xfId="31045" xr:uid="{00000000-0005-0000-0000-000085920000}"/>
    <cellStyle name="Output 2 2 9 2" xfId="31046" xr:uid="{00000000-0005-0000-0000-000086920000}"/>
    <cellStyle name="Output 2 2 9 2 2" xfId="31047" xr:uid="{00000000-0005-0000-0000-000087920000}"/>
    <cellStyle name="Output 2 3" xfId="31048" xr:uid="{00000000-0005-0000-0000-000088920000}"/>
    <cellStyle name="Output 2 3 10" xfId="31049" xr:uid="{00000000-0005-0000-0000-000089920000}"/>
    <cellStyle name="Output 2 3 10 2" xfId="31050" xr:uid="{00000000-0005-0000-0000-00008A920000}"/>
    <cellStyle name="Output 2 3 10 2 2" xfId="31051" xr:uid="{00000000-0005-0000-0000-00008B920000}"/>
    <cellStyle name="Output 2 3 10 3" xfId="40651" xr:uid="{00000000-0005-0000-0000-00008C920000}"/>
    <cellStyle name="Output 2 3 11" xfId="31052" xr:uid="{00000000-0005-0000-0000-00008D920000}"/>
    <cellStyle name="Output 2 3 11 2" xfId="31053" xr:uid="{00000000-0005-0000-0000-00008E920000}"/>
    <cellStyle name="Output 2 3 11 2 2" xfId="31054" xr:uid="{00000000-0005-0000-0000-00008F920000}"/>
    <cellStyle name="Output 2 3 11 3" xfId="40653" xr:uid="{00000000-0005-0000-0000-000090920000}"/>
    <cellStyle name="Output 2 3 12" xfId="31055" xr:uid="{00000000-0005-0000-0000-000091920000}"/>
    <cellStyle name="Output 2 3 12 2" xfId="31056" xr:uid="{00000000-0005-0000-0000-000092920000}"/>
    <cellStyle name="Output 2 3 2" xfId="31057" xr:uid="{00000000-0005-0000-0000-000093920000}"/>
    <cellStyle name="Output 2 3 2 2" xfId="31058" xr:uid="{00000000-0005-0000-0000-000094920000}"/>
    <cellStyle name="Output 2 3 2 2 2" xfId="31059" xr:uid="{00000000-0005-0000-0000-000095920000}"/>
    <cellStyle name="Output 2 3 2 2 2 2" xfId="31060" xr:uid="{00000000-0005-0000-0000-000096920000}"/>
    <cellStyle name="Output 2 3 2 2 2 2 2" xfId="31061" xr:uid="{00000000-0005-0000-0000-000097920000}"/>
    <cellStyle name="Output 2 3 2 2 2 2 3" xfId="35839" xr:uid="{00000000-0005-0000-0000-000098920000}"/>
    <cellStyle name="Output 2 3 2 2 2 3" xfId="35838" xr:uid="{00000000-0005-0000-0000-000099920000}"/>
    <cellStyle name="Output 2 3 2 2 3" xfId="35840" xr:uid="{00000000-0005-0000-0000-00009A920000}"/>
    <cellStyle name="Output 2 3 2 2 3 2" xfId="35841" xr:uid="{00000000-0005-0000-0000-00009B920000}"/>
    <cellStyle name="Output 2 3 2 2 4" xfId="35842" xr:uid="{00000000-0005-0000-0000-00009C920000}"/>
    <cellStyle name="Output 2 3 2 2 5" xfId="35837" xr:uid="{00000000-0005-0000-0000-00009D920000}"/>
    <cellStyle name="Output 2 3 2 3" xfId="31062" xr:uid="{00000000-0005-0000-0000-00009E920000}"/>
    <cellStyle name="Output 2 3 2 3 2" xfId="31063" xr:uid="{00000000-0005-0000-0000-00009F920000}"/>
    <cellStyle name="Output 2 3 2 3 2 2" xfId="31064" xr:uid="{00000000-0005-0000-0000-0000A0920000}"/>
    <cellStyle name="Output 2 3 2 3 2 2 2" xfId="35845" xr:uid="{00000000-0005-0000-0000-0000A1920000}"/>
    <cellStyle name="Output 2 3 2 3 2 3" xfId="35844" xr:uid="{00000000-0005-0000-0000-0000A2920000}"/>
    <cellStyle name="Output 2 3 2 3 3" xfId="35846" xr:uid="{00000000-0005-0000-0000-0000A3920000}"/>
    <cellStyle name="Output 2 3 2 3 3 2" xfId="35847" xr:uid="{00000000-0005-0000-0000-0000A4920000}"/>
    <cellStyle name="Output 2 3 2 3 4" xfId="35848" xr:uid="{00000000-0005-0000-0000-0000A5920000}"/>
    <cellStyle name="Output 2 3 2 3 5" xfId="35843" xr:uid="{00000000-0005-0000-0000-0000A6920000}"/>
    <cellStyle name="Output 2 3 2 4" xfId="31065" xr:uid="{00000000-0005-0000-0000-0000A7920000}"/>
    <cellStyle name="Output 2 3 2 4 2" xfId="31066" xr:uid="{00000000-0005-0000-0000-0000A8920000}"/>
    <cellStyle name="Output 2 3 2 4 2 2" xfId="31067" xr:uid="{00000000-0005-0000-0000-0000A9920000}"/>
    <cellStyle name="Output 2 3 2 4 2 3" xfId="35850" xr:uid="{00000000-0005-0000-0000-0000AA920000}"/>
    <cellStyle name="Output 2 3 2 4 3" xfId="35849" xr:uid="{00000000-0005-0000-0000-0000AB920000}"/>
    <cellStyle name="Output 2 3 2 5" xfId="31068" xr:uid="{00000000-0005-0000-0000-0000AC920000}"/>
    <cellStyle name="Output 2 3 2 5 2" xfId="31069" xr:uid="{00000000-0005-0000-0000-0000AD920000}"/>
    <cellStyle name="Output 2 3 2 5 2 2" xfId="31070" xr:uid="{00000000-0005-0000-0000-0000AE920000}"/>
    <cellStyle name="Output 2 3 2 5 2 3" xfId="35852" xr:uid="{00000000-0005-0000-0000-0000AF920000}"/>
    <cellStyle name="Output 2 3 2 5 3" xfId="35851" xr:uid="{00000000-0005-0000-0000-0000B0920000}"/>
    <cellStyle name="Output 2 3 2 6" xfId="35853" xr:uid="{00000000-0005-0000-0000-0000B1920000}"/>
    <cellStyle name="Output 2 3 2 7" xfId="35836" xr:uid="{00000000-0005-0000-0000-0000B2920000}"/>
    <cellStyle name="Output 2 3 3" xfId="31071" xr:uid="{00000000-0005-0000-0000-0000B3920000}"/>
    <cellStyle name="Output 2 3 3 2" xfId="31072" xr:uid="{00000000-0005-0000-0000-0000B4920000}"/>
    <cellStyle name="Output 2 3 3 2 2" xfId="31073" xr:uid="{00000000-0005-0000-0000-0000B5920000}"/>
    <cellStyle name="Output 2 3 3 2 2 2" xfId="31074" xr:uid="{00000000-0005-0000-0000-0000B6920000}"/>
    <cellStyle name="Output 2 3 3 2 2 2 2" xfId="31075" xr:uid="{00000000-0005-0000-0000-0000B7920000}"/>
    <cellStyle name="Output 2 3 3 2 2 2 3" xfId="35857" xr:uid="{00000000-0005-0000-0000-0000B8920000}"/>
    <cellStyle name="Output 2 3 3 2 2 3" xfId="35856" xr:uid="{00000000-0005-0000-0000-0000B9920000}"/>
    <cellStyle name="Output 2 3 3 2 3" xfId="35858" xr:uid="{00000000-0005-0000-0000-0000BA920000}"/>
    <cellStyle name="Output 2 3 3 2 3 2" xfId="35859" xr:uid="{00000000-0005-0000-0000-0000BB920000}"/>
    <cellStyle name="Output 2 3 3 2 4" xfId="35860" xr:uid="{00000000-0005-0000-0000-0000BC920000}"/>
    <cellStyle name="Output 2 3 3 2 5" xfId="35855" xr:uid="{00000000-0005-0000-0000-0000BD920000}"/>
    <cellStyle name="Output 2 3 3 3" xfId="31076" xr:uid="{00000000-0005-0000-0000-0000BE920000}"/>
    <cellStyle name="Output 2 3 3 3 2" xfId="31077" xr:uid="{00000000-0005-0000-0000-0000BF920000}"/>
    <cellStyle name="Output 2 3 3 3 2 2" xfId="31078" xr:uid="{00000000-0005-0000-0000-0000C0920000}"/>
    <cellStyle name="Output 2 3 3 3 2 2 2" xfId="35863" xr:uid="{00000000-0005-0000-0000-0000C1920000}"/>
    <cellStyle name="Output 2 3 3 3 2 3" xfId="35862" xr:uid="{00000000-0005-0000-0000-0000C2920000}"/>
    <cellStyle name="Output 2 3 3 3 3" xfId="35864" xr:uid="{00000000-0005-0000-0000-0000C3920000}"/>
    <cellStyle name="Output 2 3 3 3 3 2" xfId="35865" xr:uid="{00000000-0005-0000-0000-0000C4920000}"/>
    <cellStyle name="Output 2 3 3 3 4" xfId="35866" xr:uid="{00000000-0005-0000-0000-0000C5920000}"/>
    <cellStyle name="Output 2 3 3 3 5" xfId="35861" xr:uid="{00000000-0005-0000-0000-0000C6920000}"/>
    <cellStyle name="Output 2 3 3 4" xfId="31079" xr:uid="{00000000-0005-0000-0000-0000C7920000}"/>
    <cellStyle name="Output 2 3 3 4 2" xfId="31080" xr:uid="{00000000-0005-0000-0000-0000C8920000}"/>
    <cellStyle name="Output 2 3 3 4 2 2" xfId="31081" xr:uid="{00000000-0005-0000-0000-0000C9920000}"/>
    <cellStyle name="Output 2 3 3 4 2 3" xfId="35868" xr:uid="{00000000-0005-0000-0000-0000CA920000}"/>
    <cellStyle name="Output 2 3 3 4 3" xfId="35867" xr:uid="{00000000-0005-0000-0000-0000CB920000}"/>
    <cellStyle name="Output 2 3 3 5" xfId="31082" xr:uid="{00000000-0005-0000-0000-0000CC920000}"/>
    <cellStyle name="Output 2 3 3 5 2" xfId="31083" xr:uid="{00000000-0005-0000-0000-0000CD920000}"/>
    <cellStyle name="Output 2 3 3 5 2 2" xfId="31084" xr:uid="{00000000-0005-0000-0000-0000CE920000}"/>
    <cellStyle name="Output 2 3 3 5 2 3" xfId="35870" xr:uid="{00000000-0005-0000-0000-0000CF920000}"/>
    <cellStyle name="Output 2 3 3 5 3" xfId="35869" xr:uid="{00000000-0005-0000-0000-0000D0920000}"/>
    <cellStyle name="Output 2 3 3 6" xfId="35871" xr:uid="{00000000-0005-0000-0000-0000D1920000}"/>
    <cellStyle name="Output 2 3 3 7" xfId="35854" xr:uid="{00000000-0005-0000-0000-0000D2920000}"/>
    <cellStyle name="Output 2 3 4" xfId="31085" xr:uid="{00000000-0005-0000-0000-0000D3920000}"/>
    <cellStyle name="Output 2 3 4 2" xfId="31086" xr:uid="{00000000-0005-0000-0000-0000D4920000}"/>
    <cellStyle name="Output 2 3 4 2 2" xfId="31087" xr:uid="{00000000-0005-0000-0000-0000D5920000}"/>
    <cellStyle name="Output 2 3 4 2 2 2" xfId="31088" xr:uid="{00000000-0005-0000-0000-0000D6920000}"/>
    <cellStyle name="Output 2 3 4 2 2 3" xfId="35874" xr:uid="{00000000-0005-0000-0000-0000D7920000}"/>
    <cellStyle name="Output 2 3 4 2 3" xfId="40656" xr:uid="{00000000-0005-0000-0000-0000D8920000}"/>
    <cellStyle name="Output 2 3 4 2 4" xfId="35873" xr:uid="{00000000-0005-0000-0000-0000D9920000}"/>
    <cellStyle name="Output 2 3 4 3" xfId="31089" xr:uid="{00000000-0005-0000-0000-0000DA920000}"/>
    <cellStyle name="Output 2 3 4 3 2" xfId="31090" xr:uid="{00000000-0005-0000-0000-0000DB920000}"/>
    <cellStyle name="Output 2 3 4 3 2 2" xfId="31091" xr:uid="{00000000-0005-0000-0000-0000DC920000}"/>
    <cellStyle name="Output 2 3 4 3 2 3" xfId="35876" xr:uid="{00000000-0005-0000-0000-0000DD920000}"/>
    <cellStyle name="Output 2 3 4 3 3" xfId="40657" xr:uid="{00000000-0005-0000-0000-0000DE920000}"/>
    <cellStyle name="Output 2 3 4 3 4" xfId="35875" xr:uid="{00000000-0005-0000-0000-0000DF920000}"/>
    <cellStyle name="Output 2 3 4 4" xfId="31092" xr:uid="{00000000-0005-0000-0000-0000E0920000}"/>
    <cellStyle name="Output 2 3 4 4 2" xfId="31093" xr:uid="{00000000-0005-0000-0000-0000E1920000}"/>
    <cellStyle name="Output 2 3 4 4 2 2" xfId="31094" xr:uid="{00000000-0005-0000-0000-0000E2920000}"/>
    <cellStyle name="Output 2 3 4 4 3" xfId="35877" xr:uid="{00000000-0005-0000-0000-0000E3920000}"/>
    <cellStyle name="Output 2 3 4 5" xfId="40659" xr:uid="{00000000-0005-0000-0000-0000E4920000}"/>
    <cellStyle name="Output 2 3 4 6" xfId="35872" xr:uid="{00000000-0005-0000-0000-0000E5920000}"/>
    <cellStyle name="Output 2 3 5" xfId="31095" xr:uid="{00000000-0005-0000-0000-0000E6920000}"/>
    <cellStyle name="Output 2 3 5 2" xfId="31096" xr:uid="{00000000-0005-0000-0000-0000E7920000}"/>
    <cellStyle name="Output 2 3 5 2 2" xfId="31097" xr:uid="{00000000-0005-0000-0000-0000E8920000}"/>
    <cellStyle name="Output 2 3 5 2 2 2" xfId="31098" xr:uid="{00000000-0005-0000-0000-0000E9920000}"/>
    <cellStyle name="Output 2 3 5 2 2 3" xfId="35880" xr:uid="{00000000-0005-0000-0000-0000EA920000}"/>
    <cellStyle name="Output 2 3 5 2 3" xfId="40660" xr:uid="{00000000-0005-0000-0000-0000EB920000}"/>
    <cellStyle name="Output 2 3 5 2 4" xfId="35879" xr:uid="{00000000-0005-0000-0000-0000EC920000}"/>
    <cellStyle name="Output 2 3 5 3" xfId="31099" xr:uid="{00000000-0005-0000-0000-0000ED920000}"/>
    <cellStyle name="Output 2 3 5 3 2" xfId="31100" xr:uid="{00000000-0005-0000-0000-0000EE920000}"/>
    <cellStyle name="Output 2 3 5 3 2 2" xfId="31101" xr:uid="{00000000-0005-0000-0000-0000EF920000}"/>
    <cellStyle name="Output 2 3 5 3 2 3" xfId="35882" xr:uid="{00000000-0005-0000-0000-0000F0920000}"/>
    <cellStyle name="Output 2 3 5 3 3" xfId="40661" xr:uid="{00000000-0005-0000-0000-0000F1920000}"/>
    <cellStyle name="Output 2 3 5 3 4" xfId="35881" xr:uid="{00000000-0005-0000-0000-0000F2920000}"/>
    <cellStyle name="Output 2 3 5 4" xfId="31102" xr:uid="{00000000-0005-0000-0000-0000F3920000}"/>
    <cellStyle name="Output 2 3 5 4 2" xfId="31103" xr:uid="{00000000-0005-0000-0000-0000F4920000}"/>
    <cellStyle name="Output 2 3 5 4 3" xfId="35883" xr:uid="{00000000-0005-0000-0000-0000F5920000}"/>
    <cellStyle name="Output 2 3 5 5" xfId="40662" xr:uid="{00000000-0005-0000-0000-0000F6920000}"/>
    <cellStyle name="Output 2 3 5 6" xfId="35878" xr:uid="{00000000-0005-0000-0000-0000F7920000}"/>
    <cellStyle name="Output 2 3 6" xfId="31104" xr:uid="{00000000-0005-0000-0000-0000F8920000}"/>
    <cellStyle name="Output 2 3 6 2" xfId="31105" xr:uid="{00000000-0005-0000-0000-0000F9920000}"/>
    <cellStyle name="Output 2 3 6 2 2" xfId="31106" xr:uid="{00000000-0005-0000-0000-0000FA920000}"/>
    <cellStyle name="Output 2 3 6 2 3" xfId="35885" xr:uid="{00000000-0005-0000-0000-0000FB920000}"/>
    <cellStyle name="Output 2 3 6 3" xfId="40663" xr:uid="{00000000-0005-0000-0000-0000FC920000}"/>
    <cellStyle name="Output 2 3 6 4" xfId="35884" xr:uid="{00000000-0005-0000-0000-0000FD920000}"/>
    <cellStyle name="Output 2 3 7" xfId="31107" xr:uid="{00000000-0005-0000-0000-0000FE920000}"/>
    <cellStyle name="Output 2 3 7 2" xfId="31108" xr:uid="{00000000-0005-0000-0000-0000FF920000}"/>
    <cellStyle name="Output 2 3 7 2 2" xfId="31109" xr:uid="{00000000-0005-0000-0000-000000930000}"/>
    <cellStyle name="Output 2 3 7 2 3" xfId="35887" xr:uid="{00000000-0005-0000-0000-000001930000}"/>
    <cellStyle name="Output 2 3 7 3" xfId="40664" xr:uid="{00000000-0005-0000-0000-000002930000}"/>
    <cellStyle name="Output 2 3 7 4" xfId="35886" xr:uid="{00000000-0005-0000-0000-000003930000}"/>
    <cellStyle name="Output 2 3 8" xfId="31110" xr:uid="{00000000-0005-0000-0000-000004930000}"/>
    <cellStyle name="Output 2 3 8 2" xfId="35888" xr:uid="{00000000-0005-0000-0000-000005930000}"/>
    <cellStyle name="Output 2 3 9" xfId="31111" xr:uid="{00000000-0005-0000-0000-000006930000}"/>
    <cellStyle name="Output 2 3 9 2" xfId="31112" xr:uid="{00000000-0005-0000-0000-000007930000}"/>
    <cellStyle name="Output 2 3 9 2 2" xfId="31113" xr:uid="{00000000-0005-0000-0000-000008930000}"/>
    <cellStyle name="Output 2 3 9 3" xfId="40666" xr:uid="{00000000-0005-0000-0000-000009930000}"/>
    <cellStyle name="Output 2 3 9 4" xfId="35889" xr:uid="{00000000-0005-0000-0000-00000A930000}"/>
    <cellStyle name="Output 2 4" xfId="31114" xr:uid="{00000000-0005-0000-0000-00000B930000}"/>
    <cellStyle name="Output 2 4 2" xfId="31115" xr:uid="{00000000-0005-0000-0000-00000C930000}"/>
    <cellStyle name="Output 2 4 2 2" xfId="31116" xr:uid="{00000000-0005-0000-0000-00000D930000}"/>
    <cellStyle name="Output 2 4 2 2 2" xfId="31117" xr:uid="{00000000-0005-0000-0000-00000E930000}"/>
    <cellStyle name="Output 2 4 2 2 2 2" xfId="31118" xr:uid="{00000000-0005-0000-0000-00000F930000}"/>
    <cellStyle name="Output 2 4 2 2 2 2 2" xfId="35894" xr:uid="{00000000-0005-0000-0000-000010930000}"/>
    <cellStyle name="Output 2 4 2 2 2 3" xfId="35893" xr:uid="{00000000-0005-0000-0000-000011930000}"/>
    <cellStyle name="Output 2 4 2 2 3" xfId="35895" xr:uid="{00000000-0005-0000-0000-000012930000}"/>
    <cellStyle name="Output 2 4 2 2 3 2" xfId="35896" xr:uid="{00000000-0005-0000-0000-000013930000}"/>
    <cellStyle name="Output 2 4 2 2 4" xfId="35897" xr:uid="{00000000-0005-0000-0000-000014930000}"/>
    <cellStyle name="Output 2 4 2 2 5" xfId="35892" xr:uid="{00000000-0005-0000-0000-000015930000}"/>
    <cellStyle name="Output 2 4 2 3" xfId="31119" xr:uid="{00000000-0005-0000-0000-000016930000}"/>
    <cellStyle name="Output 2 4 2 3 2" xfId="31120" xr:uid="{00000000-0005-0000-0000-000017930000}"/>
    <cellStyle name="Output 2 4 2 3 2 2" xfId="31121" xr:uid="{00000000-0005-0000-0000-000018930000}"/>
    <cellStyle name="Output 2 4 2 3 2 2 2" xfId="35900" xr:uid="{00000000-0005-0000-0000-000019930000}"/>
    <cellStyle name="Output 2 4 2 3 2 3" xfId="35899" xr:uid="{00000000-0005-0000-0000-00001A930000}"/>
    <cellStyle name="Output 2 4 2 3 3" xfId="35901" xr:uid="{00000000-0005-0000-0000-00001B930000}"/>
    <cellStyle name="Output 2 4 2 3 3 2" xfId="35902" xr:uid="{00000000-0005-0000-0000-00001C930000}"/>
    <cellStyle name="Output 2 4 2 3 4" xfId="35903" xr:uid="{00000000-0005-0000-0000-00001D930000}"/>
    <cellStyle name="Output 2 4 2 3 5" xfId="35898" xr:uid="{00000000-0005-0000-0000-00001E930000}"/>
    <cellStyle name="Output 2 4 2 4" xfId="31122" xr:uid="{00000000-0005-0000-0000-00001F930000}"/>
    <cellStyle name="Output 2 4 2 4 2" xfId="31123" xr:uid="{00000000-0005-0000-0000-000020930000}"/>
    <cellStyle name="Output 2 4 2 4 2 2" xfId="35905" xr:uid="{00000000-0005-0000-0000-000021930000}"/>
    <cellStyle name="Output 2 4 2 4 3" xfId="35904" xr:uid="{00000000-0005-0000-0000-000022930000}"/>
    <cellStyle name="Output 2 4 2 5" xfId="35906" xr:uid="{00000000-0005-0000-0000-000023930000}"/>
    <cellStyle name="Output 2 4 2 5 2" xfId="35907" xr:uid="{00000000-0005-0000-0000-000024930000}"/>
    <cellStyle name="Output 2 4 2 6" xfId="35908" xr:uid="{00000000-0005-0000-0000-000025930000}"/>
    <cellStyle name="Output 2 4 2 7" xfId="35891" xr:uid="{00000000-0005-0000-0000-000026930000}"/>
    <cellStyle name="Output 2 4 3" xfId="31124" xr:uid="{00000000-0005-0000-0000-000027930000}"/>
    <cellStyle name="Output 2 4 3 2" xfId="31125" xr:uid="{00000000-0005-0000-0000-000028930000}"/>
    <cellStyle name="Output 2 4 3 2 2" xfId="31126" xr:uid="{00000000-0005-0000-0000-000029930000}"/>
    <cellStyle name="Output 2 4 3 2 2 2" xfId="35912" xr:uid="{00000000-0005-0000-0000-00002A930000}"/>
    <cellStyle name="Output 2 4 3 2 2 3" xfId="35911" xr:uid="{00000000-0005-0000-0000-00002B930000}"/>
    <cellStyle name="Output 2 4 3 2 3" xfId="35913" xr:uid="{00000000-0005-0000-0000-00002C930000}"/>
    <cellStyle name="Output 2 4 3 2 3 2" xfId="35914" xr:uid="{00000000-0005-0000-0000-00002D930000}"/>
    <cellStyle name="Output 2 4 3 2 4" xfId="35915" xr:uid="{00000000-0005-0000-0000-00002E930000}"/>
    <cellStyle name="Output 2 4 3 2 5" xfId="35910" xr:uid="{00000000-0005-0000-0000-00002F930000}"/>
    <cellStyle name="Output 2 4 3 3" xfId="35916" xr:uid="{00000000-0005-0000-0000-000030930000}"/>
    <cellStyle name="Output 2 4 3 3 2" xfId="35917" xr:uid="{00000000-0005-0000-0000-000031930000}"/>
    <cellStyle name="Output 2 4 3 3 2 2" xfId="35918" xr:uid="{00000000-0005-0000-0000-000032930000}"/>
    <cellStyle name="Output 2 4 3 3 3" xfId="35919" xr:uid="{00000000-0005-0000-0000-000033930000}"/>
    <cellStyle name="Output 2 4 3 3 3 2" xfId="35920" xr:uid="{00000000-0005-0000-0000-000034930000}"/>
    <cellStyle name="Output 2 4 3 3 4" xfId="35921" xr:uid="{00000000-0005-0000-0000-000035930000}"/>
    <cellStyle name="Output 2 4 3 4" xfId="35922" xr:uid="{00000000-0005-0000-0000-000036930000}"/>
    <cellStyle name="Output 2 4 3 4 2" xfId="35923" xr:uid="{00000000-0005-0000-0000-000037930000}"/>
    <cellStyle name="Output 2 4 3 5" xfId="35924" xr:uid="{00000000-0005-0000-0000-000038930000}"/>
    <cellStyle name="Output 2 4 3 5 2" xfId="35925" xr:uid="{00000000-0005-0000-0000-000039930000}"/>
    <cellStyle name="Output 2 4 3 6" xfId="35926" xr:uid="{00000000-0005-0000-0000-00003A930000}"/>
    <cellStyle name="Output 2 4 3 7" xfId="35909" xr:uid="{00000000-0005-0000-0000-00003B930000}"/>
    <cellStyle name="Output 2 4 4" xfId="31127" xr:uid="{00000000-0005-0000-0000-00003C930000}"/>
    <cellStyle name="Output 2 4 4 2" xfId="31128" xr:uid="{00000000-0005-0000-0000-00003D930000}"/>
    <cellStyle name="Output 2 4 4 2 2" xfId="31129" xr:uid="{00000000-0005-0000-0000-00003E930000}"/>
    <cellStyle name="Output 2 4 4 2 2 2" xfId="35929" xr:uid="{00000000-0005-0000-0000-00003F930000}"/>
    <cellStyle name="Output 2 4 4 2 3" xfId="35928" xr:uid="{00000000-0005-0000-0000-000040930000}"/>
    <cellStyle name="Output 2 4 4 3" xfId="35930" xr:uid="{00000000-0005-0000-0000-000041930000}"/>
    <cellStyle name="Output 2 4 4 3 2" xfId="35931" xr:uid="{00000000-0005-0000-0000-000042930000}"/>
    <cellStyle name="Output 2 4 4 4" xfId="35932" xr:uid="{00000000-0005-0000-0000-000043930000}"/>
    <cellStyle name="Output 2 4 4 5" xfId="35927" xr:uid="{00000000-0005-0000-0000-000044930000}"/>
    <cellStyle name="Output 2 4 5" xfId="31130" xr:uid="{00000000-0005-0000-0000-000045930000}"/>
    <cellStyle name="Output 2 4 5 2" xfId="31131" xr:uid="{00000000-0005-0000-0000-000046930000}"/>
    <cellStyle name="Output 2 4 5 2 2" xfId="31132" xr:uid="{00000000-0005-0000-0000-000047930000}"/>
    <cellStyle name="Output 2 4 5 3" xfId="35936" xr:uid="{00000000-0005-0000-0000-000048930000}"/>
    <cellStyle name="Output 2 4 5 3 2" xfId="35937" xr:uid="{00000000-0005-0000-0000-000049930000}"/>
    <cellStyle name="Output 2 4 5 4" xfId="35938" xr:uid="{00000000-0005-0000-0000-00004A930000}"/>
    <cellStyle name="Output 2 4 6" xfId="31133" xr:uid="{00000000-0005-0000-0000-00004B930000}"/>
    <cellStyle name="Output 2 4 6 2" xfId="31134" xr:uid="{00000000-0005-0000-0000-00004C930000}"/>
    <cellStyle name="Output 2 4 6 2 2" xfId="35940" xr:uid="{00000000-0005-0000-0000-00004D930000}"/>
    <cellStyle name="Output 2 4 6 3" xfId="35939" xr:uid="{00000000-0005-0000-0000-00004E930000}"/>
    <cellStyle name="Output 2 4 7" xfId="35941" xr:uid="{00000000-0005-0000-0000-00004F930000}"/>
    <cellStyle name="Output 2 4 7 2" xfId="35942" xr:uid="{00000000-0005-0000-0000-000050930000}"/>
    <cellStyle name="Output 2 4 8" xfId="35943" xr:uid="{00000000-0005-0000-0000-000051930000}"/>
    <cellStyle name="Output 2 4 9" xfId="35944" xr:uid="{00000000-0005-0000-0000-000052930000}"/>
    <cellStyle name="Output 2 5" xfId="31135" xr:uid="{00000000-0005-0000-0000-000053930000}"/>
    <cellStyle name="Output 2 5 2" xfId="31136" xr:uid="{00000000-0005-0000-0000-000054930000}"/>
    <cellStyle name="Output 2 5 2 2" xfId="31137" xr:uid="{00000000-0005-0000-0000-000055930000}"/>
    <cellStyle name="Output 2 5 2 2 2" xfId="35948" xr:uid="{00000000-0005-0000-0000-000056930000}"/>
    <cellStyle name="Output 2 5 2 2 2 2" xfId="35949" xr:uid="{00000000-0005-0000-0000-000057930000}"/>
    <cellStyle name="Output 2 5 2 2 3" xfId="35950" xr:uid="{00000000-0005-0000-0000-000058930000}"/>
    <cellStyle name="Output 2 5 2 2 3 2" xfId="35951" xr:uid="{00000000-0005-0000-0000-000059930000}"/>
    <cellStyle name="Output 2 5 2 2 4" xfId="35952" xr:uid="{00000000-0005-0000-0000-00005A930000}"/>
    <cellStyle name="Output 2 5 2 2 5" xfId="35947" xr:uid="{00000000-0005-0000-0000-00005B930000}"/>
    <cellStyle name="Output 2 5 2 3" xfId="35953" xr:uid="{00000000-0005-0000-0000-00005C930000}"/>
    <cellStyle name="Output 2 5 2 3 2" xfId="35954" xr:uid="{00000000-0005-0000-0000-00005D930000}"/>
    <cellStyle name="Output 2 5 2 3 2 2" xfId="35955" xr:uid="{00000000-0005-0000-0000-00005E930000}"/>
    <cellStyle name="Output 2 5 2 3 3" xfId="35956" xr:uid="{00000000-0005-0000-0000-00005F930000}"/>
    <cellStyle name="Output 2 5 2 3 3 2" xfId="35957" xr:uid="{00000000-0005-0000-0000-000060930000}"/>
    <cellStyle name="Output 2 5 2 3 4" xfId="35958" xr:uid="{00000000-0005-0000-0000-000061930000}"/>
    <cellStyle name="Output 2 5 2 4" xfId="35959" xr:uid="{00000000-0005-0000-0000-000062930000}"/>
    <cellStyle name="Output 2 5 2 4 2" xfId="35960" xr:uid="{00000000-0005-0000-0000-000063930000}"/>
    <cellStyle name="Output 2 5 2 5" xfId="35961" xr:uid="{00000000-0005-0000-0000-000064930000}"/>
    <cellStyle name="Output 2 5 2 5 2" xfId="35962" xr:uid="{00000000-0005-0000-0000-000065930000}"/>
    <cellStyle name="Output 2 5 2 6" xfId="35963" xr:uid="{00000000-0005-0000-0000-000066930000}"/>
    <cellStyle name="Output 2 5 2 7" xfId="35946" xr:uid="{00000000-0005-0000-0000-000067930000}"/>
    <cellStyle name="Output 2 5 3" xfId="35964" xr:uid="{00000000-0005-0000-0000-000068930000}"/>
    <cellStyle name="Output 2 5 3 2" xfId="35965" xr:uid="{00000000-0005-0000-0000-000069930000}"/>
    <cellStyle name="Output 2 5 3 2 2" xfId="35966" xr:uid="{00000000-0005-0000-0000-00006A930000}"/>
    <cellStyle name="Output 2 5 3 2 2 2" xfId="35967" xr:uid="{00000000-0005-0000-0000-00006B930000}"/>
    <cellStyle name="Output 2 5 3 2 3" xfId="35968" xr:uid="{00000000-0005-0000-0000-00006C930000}"/>
    <cellStyle name="Output 2 5 3 2 3 2" xfId="35969" xr:uid="{00000000-0005-0000-0000-00006D930000}"/>
    <cellStyle name="Output 2 5 3 2 4" xfId="35970" xr:uid="{00000000-0005-0000-0000-00006E930000}"/>
    <cellStyle name="Output 2 5 3 3" xfId="35971" xr:uid="{00000000-0005-0000-0000-00006F930000}"/>
    <cellStyle name="Output 2 5 3 3 2" xfId="35972" xr:uid="{00000000-0005-0000-0000-000070930000}"/>
    <cellStyle name="Output 2 5 3 3 2 2" xfId="35973" xr:uid="{00000000-0005-0000-0000-000071930000}"/>
    <cellStyle name="Output 2 5 3 3 3" xfId="35974" xr:uid="{00000000-0005-0000-0000-000072930000}"/>
    <cellStyle name="Output 2 5 3 3 3 2" xfId="35975" xr:uid="{00000000-0005-0000-0000-000073930000}"/>
    <cellStyle name="Output 2 5 3 3 4" xfId="35976" xr:uid="{00000000-0005-0000-0000-000074930000}"/>
    <cellStyle name="Output 2 5 3 4" xfId="35977" xr:uid="{00000000-0005-0000-0000-000075930000}"/>
    <cellStyle name="Output 2 5 3 4 2" xfId="35978" xr:uid="{00000000-0005-0000-0000-000076930000}"/>
    <cellStyle name="Output 2 5 3 5" xfId="35979" xr:uid="{00000000-0005-0000-0000-000077930000}"/>
    <cellStyle name="Output 2 5 3 5 2" xfId="35980" xr:uid="{00000000-0005-0000-0000-000078930000}"/>
    <cellStyle name="Output 2 5 3 6" xfId="35981" xr:uid="{00000000-0005-0000-0000-000079930000}"/>
    <cellStyle name="Output 2 5 4" xfId="35982" xr:uid="{00000000-0005-0000-0000-00007A930000}"/>
    <cellStyle name="Output 2 5 4 2" xfId="35983" xr:uid="{00000000-0005-0000-0000-00007B930000}"/>
    <cellStyle name="Output 2 5 4 2 2" xfId="35984" xr:uid="{00000000-0005-0000-0000-00007C930000}"/>
    <cellStyle name="Output 2 5 4 3" xfId="35985" xr:uid="{00000000-0005-0000-0000-00007D930000}"/>
    <cellStyle name="Output 2 5 4 3 2" xfId="35986" xr:uid="{00000000-0005-0000-0000-00007E930000}"/>
    <cellStyle name="Output 2 5 4 4" xfId="35987" xr:uid="{00000000-0005-0000-0000-00007F930000}"/>
    <cellStyle name="Output 2 5 5" xfId="35988" xr:uid="{00000000-0005-0000-0000-000080930000}"/>
    <cellStyle name="Output 2 5 5 2" xfId="35989" xr:uid="{00000000-0005-0000-0000-000081930000}"/>
    <cellStyle name="Output 2 5 5 2 2" xfId="35990" xr:uid="{00000000-0005-0000-0000-000082930000}"/>
    <cellStyle name="Output 2 5 5 3" xfId="35991" xr:uid="{00000000-0005-0000-0000-000083930000}"/>
    <cellStyle name="Output 2 5 5 3 2" xfId="35992" xr:uid="{00000000-0005-0000-0000-000084930000}"/>
    <cellStyle name="Output 2 5 5 4" xfId="35993" xr:uid="{00000000-0005-0000-0000-000085930000}"/>
    <cellStyle name="Output 2 5 6" xfId="35994" xr:uid="{00000000-0005-0000-0000-000086930000}"/>
    <cellStyle name="Output 2 5 6 2" xfId="35995" xr:uid="{00000000-0005-0000-0000-000087930000}"/>
    <cellStyle name="Output 2 5 7" xfId="35996" xr:uid="{00000000-0005-0000-0000-000088930000}"/>
    <cellStyle name="Output 2 5 7 2" xfId="35997" xr:uid="{00000000-0005-0000-0000-000089930000}"/>
    <cellStyle name="Output 2 5 8" xfId="35998" xr:uid="{00000000-0005-0000-0000-00008A930000}"/>
    <cellStyle name="Output 2 5 9" xfId="35999" xr:uid="{00000000-0005-0000-0000-00008B930000}"/>
    <cellStyle name="Output 2 6" xfId="31138" xr:uid="{00000000-0005-0000-0000-00008C930000}"/>
    <cellStyle name="Output 2 6 2" xfId="31139" xr:uid="{00000000-0005-0000-0000-00008D930000}"/>
    <cellStyle name="Output 2 6 2 2" xfId="31140" xr:uid="{00000000-0005-0000-0000-00008E930000}"/>
    <cellStyle name="Output 2 6 2 2 2" xfId="36003" xr:uid="{00000000-0005-0000-0000-00008F930000}"/>
    <cellStyle name="Output 2 6 2 2 2 2" xfId="36004" xr:uid="{00000000-0005-0000-0000-000090930000}"/>
    <cellStyle name="Output 2 6 2 2 3" xfId="36005" xr:uid="{00000000-0005-0000-0000-000091930000}"/>
    <cellStyle name="Output 2 6 2 2 3 2" xfId="36006" xr:uid="{00000000-0005-0000-0000-000092930000}"/>
    <cellStyle name="Output 2 6 2 2 4" xfId="36007" xr:uid="{00000000-0005-0000-0000-000093930000}"/>
    <cellStyle name="Output 2 6 2 3" xfId="36008" xr:uid="{00000000-0005-0000-0000-000094930000}"/>
    <cellStyle name="Output 2 6 2 3 2" xfId="36009" xr:uid="{00000000-0005-0000-0000-000095930000}"/>
    <cellStyle name="Output 2 6 2 3 2 2" xfId="36010" xr:uid="{00000000-0005-0000-0000-000096930000}"/>
    <cellStyle name="Output 2 6 2 3 3" xfId="36011" xr:uid="{00000000-0005-0000-0000-000097930000}"/>
    <cellStyle name="Output 2 6 2 3 3 2" xfId="36012" xr:uid="{00000000-0005-0000-0000-000098930000}"/>
    <cellStyle name="Output 2 6 2 3 4" xfId="36013" xr:uid="{00000000-0005-0000-0000-000099930000}"/>
    <cellStyle name="Output 2 6 2 4" xfId="36014" xr:uid="{00000000-0005-0000-0000-00009A930000}"/>
    <cellStyle name="Output 2 6 2 4 2" xfId="36015" xr:uid="{00000000-0005-0000-0000-00009B930000}"/>
    <cellStyle name="Output 2 6 2 5" xfId="36016" xr:uid="{00000000-0005-0000-0000-00009C930000}"/>
    <cellStyle name="Output 2 6 2 5 2" xfId="36017" xr:uid="{00000000-0005-0000-0000-00009D930000}"/>
    <cellStyle name="Output 2 6 2 6" xfId="36018" xr:uid="{00000000-0005-0000-0000-00009E930000}"/>
    <cellStyle name="Output 2 6 3" xfId="36019" xr:uid="{00000000-0005-0000-0000-00009F930000}"/>
    <cellStyle name="Output 2 6 3 2" xfId="36020" xr:uid="{00000000-0005-0000-0000-0000A0930000}"/>
    <cellStyle name="Output 2 6 3 2 2" xfId="36021" xr:uid="{00000000-0005-0000-0000-0000A1930000}"/>
    <cellStyle name="Output 2 6 3 2 2 2" xfId="36022" xr:uid="{00000000-0005-0000-0000-0000A2930000}"/>
    <cellStyle name="Output 2 6 3 2 3" xfId="36023" xr:uid="{00000000-0005-0000-0000-0000A3930000}"/>
    <cellStyle name="Output 2 6 3 2 3 2" xfId="36024" xr:uid="{00000000-0005-0000-0000-0000A4930000}"/>
    <cellStyle name="Output 2 6 3 2 4" xfId="36025" xr:uid="{00000000-0005-0000-0000-0000A5930000}"/>
    <cellStyle name="Output 2 6 3 3" xfId="36026" xr:uid="{00000000-0005-0000-0000-0000A6930000}"/>
    <cellStyle name="Output 2 6 3 3 2" xfId="36027" xr:uid="{00000000-0005-0000-0000-0000A7930000}"/>
    <cellStyle name="Output 2 6 3 3 2 2" xfId="36028" xr:uid="{00000000-0005-0000-0000-0000A8930000}"/>
    <cellStyle name="Output 2 6 3 3 3" xfId="36029" xr:uid="{00000000-0005-0000-0000-0000A9930000}"/>
    <cellStyle name="Output 2 6 3 3 3 2" xfId="36030" xr:uid="{00000000-0005-0000-0000-0000AA930000}"/>
    <cellStyle name="Output 2 6 3 3 4" xfId="36031" xr:uid="{00000000-0005-0000-0000-0000AB930000}"/>
    <cellStyle name="Output 2 6 3 4" xfId="36032" xr:uid="{00000000-0005-0000-0000-0000AC930000}"/>
    <cellStyle name="Output 2 6 3 4 2" xfId="36033" xr:uid="{00000000-0005-0000-0000-0000AD930000}"/>
    <cellStyle name="Output 2 6 3 5" xfId="36034" xr:uid="{00000000-0005-0000-0000-0000AE930000}"/>
    <cellStyle name="Output 2 6 3 5 2" xfId="36035" xr:uid="{00000000-0005-0000-0000-0000AF930000}"/>
    <cellStyle name="Output 2 6 3 6" xfId="36036" xr:uid="{00000000-0005-0000-0000-0000B0930000}"/>
    <cellStyle name="Output 2 6 4" xfId="36037" xr:uid="{00000000-0005-0000-0000-0000B1930000}"/>
    <cellStyle name="Output 2 6 4 2" xfId="36038" xr:uid="{00000000-0005-0000-0000-0000B2930000}"/>
    <cellStyle name="Output 2 6 4 2 2" xfId="36039" xr:uid="{00000000-0005-0000-0000-0000B3930000}"/>
    <cellStyle name="Output 2 6 4 3" xfId="36040" xr:uid="{00000000-0005-0000-0000-0000B4930000}"/>
    <cellStyle name="Output 2 6 4 3 2" xfId="36041" xr:uid="{00000000-0005-0000-0000-0000B5930000}"/>
    <cellStyle name="Output 2 6 4 4" xfId="36042" xr:uid="{00000000-0005-0000-0000-0000B6930000}"/>
    <cellStyle name="Output 2 6 5" xfId="36043" xr:uid="{00000000-0005-0000-0000-0000B7930000}"/>
    <cellStyle name="Output 2 6 5 2" xfId="36044" xr:uid="{00000000-0005-0000-0000-0000B8930000}"/>
    <cellStyle name="Output 2 6 5 2 2" xfId="36045" xr:uid="{00000000-0005-0000-0000-0000B9930000}"/>
    <cellStyle name="Output 2 6 5 3" xfId="36046" xr:uid="{00000000-0005-0000-0000-0000BA930000}"/>
    <cellStyle name="Output 2 6 5 3 2" xfId="36047" xr:uid="{00000000-0005-0000-0000-0000BB930000}"/>
    <cellStyle name="Output 2 6 5 4" xfId="36048" xr:uid="{00000000-0005-0000-0000-0000BC930000}"/>
    <cellStyle name="Output 2 6 6" xfId="36049" xr:uid="{00000000-0005-0000-0000-0000BD930000}"/>
    <cellStyle name="Output 2 6 6 2" xfId="36050" xr:uid="{00000000-0005-0000-0000-0000BE930000}"/>
    <cellStyle name="Output 2 6 7" xfId="36051" xr:uid="{00000000-0005-0000-0000-0000BF930000}"/>
    <cellStyle name="Output 2 6 7 2" xfId="36052" xr:uid="{00000000-0005-0000-0000-0000C0930000}"/>
    <cellStyle name="Output 2 6 8" xfId="36053" xr:uid="{00000000-0005-0000-0000-0000C1930000}"/>
    <cellStyle name="Output 2 7" xfId="31141" xr:uid="{00000000-0005-0000-0000-0000C2930000}"/>
    <cellStyle name="Output 2 7 2" xfId="31142" xr:uid="{00000000-0005-0000-0000-0000C3930000}"/>
    <cellStyle name="Output 2 7 2 2" xfId="31143" xr:uid="{00000000-0005-0000-0000-0000C4930000}"/>
    <cellStyle name="Output 2 7 2 2 2" xfId="36057" xr:uid="{00000000-0005-0000-0000-0000C5930000}"/>
    <cellStyle name="Output 2 7 2 2 2 2" xfId="36058" xr:uid="{00000000-0005-0000-0000-0000C6930000}"/>
    <cellStyle name="Output 2 7 2 2 3" xfId="36059" xr:uid="{00000000-0005-0000-0000-0000C7930000}"/>
    <cellStyle name="Output 2 7 2 2 3 2" xfId="36060" xr:uid="{00000000-0005-0000-0000-0000C8930000}"/>
    <cellStyle name="Output 2 7 2 2 4" xfId="36061" xr:uid="{00000000-0005-0000-0000-0000C9930000}"/>
    <cellStyle name="Output 2 7 2 2 5" xfId="36056" xr:uid="{00000000-0005-0000-0000-0000CA930000}"/>
    <cellStyle name="Output 2 7 2 3" xfId="36062" xr:uid="{00000000-0005-0000-0000-0000CB930000}"/>
    <cellStyle name="Output 2 7 2 3 2" xfId="36063" xr:uid="{00000000-0005-0000-0000-0000CC930000}"/>
    <cellStyle name="Output 2 7 2 3 2 2" xfId="36064" xr:uid="{00000000-0005-0000-0000-0000CD930000}"/>
    <cellStyle name="Output 2 7 2 3 3" xfId="36065" xr:uid="{00000000-0005-0000-0000-0000CE930000}"/>
    <cellStyle name="Output 2 7 2 3 3 2" xfId="36066" xr:uid="{00000000-0005-0000-0000-0000CF930000}"/>
    <cellStyle name="Output 2 7 2 3 4" xfId="36067" xr:uid="{00000000-0005-0000-0000-0000D0930000}"/>
    <cellStyle name="Output 2 7 2 4" xfId="36068" xr:uid="{00000000-0005-0000-0000-0000D1930000}"/>
    <cellStyle name="Output 2 7 2 4 2" xfId="36069" xr:uid="{00000000-0005-0000-0000-0000D2930000}"/>
    <cellStyle name="Output 2 7 2 5" xfId="36070" xr:uid="{00000000-0005-0000-0000-0000D3930000}"/>
    <cellStyle name="Output 2 7 2 5 2" xfId="36071" xr:uid="{00000000-0005-0000-0000-0000D4930000}"/>
    <cellStyle name="Output 2 7 2 6" xfId="36072" xr:uid="{00000000-0005-0000-0000-0000D5930000}"/>
    <cellStyle name="Output 2 7 2 7" xfId="36055" xr:uid="{00000000-0005-0000-0000-0000D6930000}"/>
    <cellStyle name="Output 2 7 3" xfId="36073" xr:uid="{00000000-0005-0000-0000-0000D7930000}"/>
    <cellStyle name="Output 2 7 3 2" xfId="36074" xr:uid="{00000000-0005-0000-0000-0000D8930000}"/>
    <cellStyle name="Output 2 7 3 2 2" xfId="36075" xr:uid="{00000000-0005-0000-0000-0000D9930000}"/>
    <cellStyle name="Output 2 7 3 2 2 2" xfId="36076" xr:uid="{00000000-0005-0000-0000-0000DA930000}"/>
    <cellStyle name="Output 2 7 3 2 3" xfId="36077" xr:uid="{00000000-0005-0000-0000-0000DB930000}"/>
    <cellStyle name="Output 2 7 3 2 3 2" xfId="36078" xr:uid="{00000000-0005-0000-0000-0000DC930000}"/>
    <cellStyle name="Output 2 7 3 2 4" xfId="36079" xr:uid="{00000000-0005-0000-0000-0000DD930000}"/>
    <cellStyle name="Output 2 7 3 3" xfId="36080" xr:uid="{00000000-0005-0000-0000-0000DE930000}"/>
    <cellStyle name="Output 2 7 3 3 2" xfId="36081" xr:uid="{00000000-0005-0000-0000-0000DF930000}"/>
    <cellStyle name="Output 2 7 3 3 2 2" xfId="36082" xr:uid="{00000000-0005-0000-0000-0000E0930000}"/>
    <cellStyle name="Output 2 7 3 3 3" xfId="36083" xr:uid="{00000000-0005-0000-0000-0000E1930000}"/>
    <cellStyle name="Output 2 7 3 3 3 2" xfId="36084" xr:uid="{00000000-0005-0000-0000-0000E2930000}"/>
    <cellStyle name="Output 2 7 3 3 4" xfId="36085" xr:uid="{00000000-0005-0000-0000-0000E3930000}"/>
    <cellStyle name="Output 2 7 3 4" xfId="36086" xr:uid="{00000000-0005-0000-0000-0000E4930000}"/>
    <cellStyle name="Output 2 7 3 4 2" xfId="36087" xr:uid="{00000000-0005-0000-0000-0000E5930000}"/>
    <cellStyle name="Output 2 7 3 5" xfId="36088" xr:uid="{00000000-0005-0000-0000-0000E6930000}"/>
    <cellStyle name="Output 2 7 3 5 2" xfId="36089" xr:uid="{00000000-0005-0000-0000-0000E7930000}"/>
    <cellStyle name="Output 2 7 3 6" xfId="36090" xr:uid="{00000000-0005-0000-0000-0000E8930000}"/>
    <cellStyle name="Output 2 7 4" xfId="36091" xr:uid="{00000000-0005-0000-0000-0000E9930000}"/>
    <cellStyle name="Output 2 7 4 2" xfId="36092" xr:uid="{00000000-0005-0000-0000-0000EA930000}"/>
    <cellStyle name="Output 2 7 4 2 2" xfId="36093" xr:uid="{00000000-0005-0000-0000-0000EB930000}"/>
    <cellStyle name="Output 2 7 4 3" xfId="36094" xr:uid="{00000000-0005-0000-0000-0000EC930000}"/>
    <cellStyle name="Output 2 7 4 3 2" xfId="36095" xr:uid="{00000000-0005-0000-0000-0000ED930000}"/>
    <cellStyle name="Output 2 7 4 4" xfId="36096" xr:uid="{00000000-0005-0000-0000-0000EE930000}"/>
    <cellStyle name="Output 2 7 5" xfId="36097" xr:uid="{00000000-0005-0000-0000-0000EF930000}"/>
    <cellStyle name="Output 2 7 5 2" xfId="36098" xr:uid="{00000000-0005-0000-0000-0000F0930000}"/>
    <cellStyle name="Output 2 7 5 2 2" xfId="36099" xr:uid="{00000000-0005-0000-0000-0000F1930000}"/>
    <cellStyle name="Output 2 7 5 3" xfId="36100" xr:uid="{00000000-0005-0000-0000-0000F2930000}"/>
    <cellStyle name="Output 2 7 5 3 2" xfId="36101" xr:uid="{00000000-0005-0000-0000-0000F3930000}"/>
    <cellStyle name="Output 2 7 5 4" xfId="36102" xr:uid="{00000000-0005-0000-0000-0000F4930000}"/>
    <cellStyle name="Output 2 7 6" xfId="36103" xr:uid="{00000000-0005-0000-0000-0000F5930000}"/>
    <cellStyle name="Output 2 7 6 2" xfId="36104" xr:uid="{00000000-0005-0000-0000-0000F6930000}"/>
    <cellStyle name="Output 2 7 7" xfId="36105" xr:uid="{00000000-0005-0000-0000-0000F7930000}"/>
    <cellStyle name="Output 2 7 7 2" xfId="36106" xr:uid="{00000000-0005-0000-0000-0000F8930000}"/>
    <cellStyle name="Output 2 7 8" xfId="36107" xr:uid="{00000000-0005-0000-0000-0000F9930000}"/>
    <cellStyle name="Output 2 7 9" xfId="36054" xr:uid="{00000000-0005-0000-0000-0000FA930000}"/>
    <cellStyle name="Output 2 8" xfId="31144" xr:uid="{00000000-0005-0000-0000-0000FB930000}"/>
    <cellStyle name="Output 2 8 2" xfId="36109" xr:uid="{00000000-0005-0000-0000-0000FC930000}"/>
    <cellStyle name="Output 2 8 2 2" xfId="36110" xr:uid="{00000000-0005-0000-0000-0000FD930000}"/>
    <cellStyle name="Output 2 8 2 2 2" xfId="36111" xr:uid="{00000000-0005-0000-0000-0000FE930000}"/>
    <cellStyle name="Output 2 8 2 3" xfId="36112" xr:uid="{00000000-0005-0000-0000-0000FF930000}"/>
    <cellStyle name="Output 2 8 2 3 2" xfId="36113" xr:uid="{00000000-0005-0000-0000-000000940000}"/>
    <cellStyle name="Output 2 8 2 4" xfId="36114" xr:uid="{00000000-0005-0000-0000-000001940000}"/>
    <cellStyle name="Output 2 8 3" xfId="36115" xr:uid="{00000000-0005-0000-0000-000002940000}"/>
    <cellStyle name="Output 2 8 3 2" xfId="36116" xr:uid="{00000000-0005-0000-0000-000003940000}"/>
    <cellStyle name="Output 2 8 3 2 2" xfId="36117" xr:uid="{00000000-0005-0000-0000-000004940000}"/>
    <cellStyle name="Output 2 8 3 3" xfId="36118" xr:uid="{00000000-0005-0000-0000-000005940000}"/>
    <cellStyle name="Output 2 8 3 3 2" xfId="36119" xr:uid="{00000000-0005-0000-0000-000006940000}"/>
    <cellStyle name="Output 2 8 3 4" xfId="36120" xr:uid="{00000000-0005-0000-0000-000007940000}"/>
    <cellStyle name="Output 2 8 4" xfId="36121" xr:uid="{00000000-0005-0000-0000-000008940000}"/>
    <cellStyle name="Output 2 8 4 2" xfId="36122" xr:uid="{00000000-0005-0000-0000-000009940000}"/>
    <cellStyle name="Output 2 8 5" xfId="36123" xr:uid="{00000000-0005-0000-0000-00000A940000}"/>
    <cellStyle name="Output 2 8 5 2" xfId="36124" xr:uid="{00000000-0005-0000-0000-00000B940000}"/>
    <cellStyle name="Output 2 8 6" xfId="36125" xr:uid="{00000000-0005-0000-0000-00000C940000}"/>
    <cellStyle name="Output 2 8 7" xfId="36108" xr:uid="{00000000-0005-0000-0000-00000D940000}"/>
    <cellStyle name="Output 2 9" xfId="36126" xr:uid="{00000000-0005-0000-0000-00000E940000}"/>
    <cellStyle name="Output 2 9 2" xfId="36127" xr:uid="{00000000-0005-0000-0000-00000F940000}"/>
    <cellStyle name="Output 2 9 2 2" xfId="36128" xr:uid="{00000000-0005-0000-0000-000010940000}"/>
    <cellStyle name="Output 2 9 2 2 2" xfId="36129" xr:uid="{00000000-0005-0000-0000-000011940000}"/>
    <cellStyle name="Output 2 9 2 3" xfId="36130" xr:uid="{00000000-0005-0000-0000-000012940000}"/>
    <cellStyle name="Output 2 9 2 3 2" xfId="36131" xr:uid="{00000000-0005-0000-0000-000013940000}"/>
    <cellStyle name="Output 2 9 2 4" xfId="36132" xr:uid="{00000000-0005-0000-0000-000014940000}"/>
    <cellStyle name="Output 2 9 3" xfId="36133" xr:uid="{00000000-0005-0000-0000-000015940000}"/>
    <cellStyle name="Output 2 9 3 2" xfId="36134" xr:uid="{00000000-0005-0000-0000-000016940000}"/>
    <cellStyle name="Output 2 9 3 2 2" xfId="36135" xr:uid="{00000000-0005-0000-0000-000017940000}"/>
    <cellStyle name="Output 2 9 3 3" xfId="36136" xr:uid="{00000000-0005-0000-0000-000018940000}"/>
    <cellStyle name="Output 2 9 3 3 2" xfId="36137" xr:uid="{00000000-0005-0000-0000-000019940000}"/>
    <cellStyle name="Output 2 9 3 4" xfId="36138" xr:uid="{00000000-0005-0000-0000-00001A940000}"/>
    <cellStyle name="Output 2 9 4" xfId="36139" xr:uid="{00000000-0005-0000-0000-00001B940000}"/>
    <cellStyle name="Output 2 9 4 2" xfId="36140" xr:uid="{00000000-0005-0000-0000-00001C940000}"/>
    <cellStyle name="Output 2 9 5" xfId="36141" xr:uid="{00000000-0005-0000-0000-00001D940000}"/>
    <cellStyle name="Output 2 9 5 2" xfId="36142" xr:uid="{00000000-0005-0000-0000-00001E940000}"/>
    <cellStyle name="Output 2 9 6" xfId="36143" xr:uid="{00000000-0005-0000-0000-00001F940000}"/>
    <cellStyle name="Output 3" xfId="31145" xr:uid="{00000000-0005-0000-0000-000020940000}"/>
    <cellStyle name="Output 3 10" xfId="36144" xr:uid="{00000000-0005-0000-0000-000021940000}"/>
    <cellStyle name="Output 3 2" xfId="31146" xr:uid="{00000000-0005-0000-0000-000022940000}"/>
    <cellStyle name="Output 3 2 2" xfId="31147" xr:uid="{00000000-0005-0000-0000-000023940000}"/>
    <cellStyle name="Output 3 2 2 2" xfId="31148" xr:uid="{00000000-0005-0000-0000-000024940000}"/>
    <cellStyle name="Output 3 2 2 2 2" xfId="31149" xr:uid="{00000000-0005-0000-0000-000025940000}"/>
    <cellStyle name="Output 3 2 2 2 2 2" xfId="31150" xr:uid="{00000000-0005-0000-0000-000026940000}"/>
    <cellStyle name="Output 3 2 2 3" xfId="40669" xr:uid="{00000000-0005-0000-0000-000027940000}"/>
    <cellStyle name="Output 3 2 3" xfId="31151" xr:uid="{00000000-0005-0000-0000-000028940000}"/>
    <cellStyle name="Output 3 2 3 2" xfId="31152" xr:uid="{00000000-0005-0000-0000-000029940000}"/>
    <cellStyle name="Output 3 2 3 2 2" xfId="31153" xr:uid="{00000000-0005-0000-0000-00002A940000}"/>
    <cellStyle name="Output 3 2 3 3" xfId="40672" xr:uid="{00000000-0005-0000-0000-00002B940000}"/>
    <cellStyle name="Output 3 2 4" xfId="31154" xr:uid="{00000000-0005-0000-0000-00002C940000}"/>
    <cellStyle name="Output 3 2 4 2" xfId="31155" xr:uid="{00000000-0005-0000-0000-00002D940000}"/>
    <cellStyle name="Output 3 2 4 2 2" xfId="31156" xr:uid="{00000000-0005-0000-0000-00002E940000}"/>
    <cellStyle name="Output 3 2 4 3" xfId="40673" xr:uid="{00000000-0005-0000-0000-00002F940000}"/>
    <cellStyle name="Output 3 2 5" xfId="31157" xr:uid="{00000000-0005-0000-0000-000030940000}"/>
    <cellStyle name="Output 3 2 5 2" xfId="31158" xr:uid="{00000000-0005-0000-0000-000031940000}"/>
    <cellStyle name="Output 3 2 5 2 2" xfId="31159" xr:uid="{00000000-0005-0000-0000-000032940000}"/>
    <cellStyle name="Output 3 2 5 3" xfId="40675" xr:uid="{00000000-0005-0000-0000-000033940000}"/>
    <cellStyle name="Output 3 3" xfId="31160" xr:uid="{00000000-0005-0000-0000-000034940000}"/>
    <cellStyle name="Output 3 3 2" xfId="31161" xr:uid="{00000000-0005-0000-0000-000035940000}"/>
    <cellStyle name="Output 3 3 2 2" xfId="31162" xr:uid="{00000000-0005-0000-0000-000036940000}"/>
    <cellStyle name="Output 3 3 2 2 2" xfId="31163" xr:uid="{00000000-0005-0000-0000-000037940000}"/>
    <cellStyle name="Output 3 3 2 2 2 2" xfId="31164" xr:uid="{00000000-0005-0000-0000-000038940000}"/>
    <cellStyle name="Output 3 3 2 3" xfId="40679" xr:uid="{00000000-0005-0000-0000-000039940000}"/>
    <cellStyle name="Output 3 3 3" xfId="31165" xr:uid="{00000000-0005-0000-0000-00003A940000}"/>
    <cellStyle name="Output 3 3 3 2" xfId="31166" xr:uid="{00000000-0005-0000-0000-00003B940000}"/>
    <cellStyle name="Output 3 3 3 2 2" xfId="31167" xr:uid="{00000000-0005-0000-0000-00003C940000}"/>
    <cellStyle name="Output 3 3 3 3" xfId="40682" xr:uid="{00000000-0005-0000-0000-00003D940000}"/>
    <cellStyle name="Output 3 3 4" xfId="31168" xr:uid="{00000000-0005-0000-0000-00003E940000}"/>
    <cellStyle name="Output 3 3 4 2" xfId="31169" xr:uid="{00000000-0005-0000-0000-00003F940000}"/>
    <cellStyle name="Output 3 3 4 2 2" xfId="31170" xr:uid="{00000000-0005-0000-0000-000040940000}"/>
    <cellStyle name="Output 3 3 4 3" xfId="40683" xr:uid="{00000000-0005-0000-0000-000041940000}"/>
    <cellStyle name="Output 3 3 5" xfId="31171" xr:uid="{00000000-0005-0000-0000-000042940000}"/>
    <cellStyle name="Output 3 3 5 2" xfId="31172" xr:uid="{00000000-0005-0000-0000-000043940000}"/>
    <cellStyle name="Output 3 3 5 2 2" xfId="31173" xr:uid="{00000000-0005-0000-0000-000044940000}"/>
    <cellStyle name="Output 3 3 5 3" xfId="40685" xr:uid="{00000000-0005-0000-0000-000045940000}"/>
    <cellStyle name="Output 3 4" xfId="31174" xr:uid="{00000000-0005-0000-0000-000046940000}"/>
    <cellStyle name="Output 3 4 2" xfId="31175" xr:uid="{00000000-0005-0000-0000-000047940000}"/>
    <cellStyle name="Output 3 4 2 2" xfId="31176" xr:uid="{00000000-0005-0000-0000-000048940000}"/>
    <cellStyle name="Output 3 4 2 2 2" xfId="31177" xr:uid="{00000000-0005-0000-0000-000049940000}"/>
    <cellStyle name="Output 3 4 2 3" xfId="40689" xr:uid="{00000000-0005-0000-0000-00004A940000}"/>
    <cellStyle name="Output 3 4 3" xfId="31178" xr:uid="{00000000-0005-0000-0000-00004B940000}"/>
    <cellStyle name="Output 3 4 3 2" xfId="31179" xr:uid="{00000000-0005-0000-0000-00004C940000}"/>
    <cellStyle name="Output 3 4 3 2 2" xfId="31180" xr:uid="{00000000-0005-0000-0000-00004D940000}"/>
    <cellStyle name="Output 3 4 3 3" xfId="40692" xr:uid="{00000000-0005-0000-0000-00004E940000}"/>
    <cellStyle name="Output 3 4 4" xfId="31181" xr:uid="{00000000-0005-0000-0000-00004F940000}"/>
    <cellStyle name="Output 3 4 4 2" xfId="31182" xr:uid="{00000000-0005-0000-0000-000050940000}"/>
    <cellStyle name="Output 3 4 4 2 2" xfId="31183" xr:uid="{00000000-0005-0000-0000-000051940000}"/>
    <cellStyle name="Output 3 4 5" xfId="40695" xr:uid="{00000000-0005-0000-0000-000052940000}"/>
    <cellStyle name="Output 3 5" xfId="31184" xr:uid="{00000000-0005-0000-0000-000053940000}"/>
    <cellStyle name="Output 3 5 2" xfId="31185" xr:uid="{00000000-0005-0000-0000-000054940000}"/>
    <cellStyle name="Output 3 5 2 2" xfId="31186" xr:uid="{00000000-0005-0000-0000-000055940000}"/>
    <cellStyle name="Output 3 5 2 2 2" xfId="31187" xr:uid="{00000000-0005-0000-0000-000056940000}"/>
    <cellStyle name="Output 3 5 2 3" xfId="40699" xr:uid="{00000000-0005-0000-0000-000057940000}"/>
    <cellStyle name="Output 3 5 3" xfId="31188" xr:uid="{00000000-0005-0000-0000-000058940000}"/>
    <cellStyle name="Output 3 5 3 2" xfId="31189" xr:uid="{00000000-0005-0000-0000-000059940000}"/>
    <cellStyle name="Output 3 5 3 2 2" xfId="31190" xr:uid="{00000000-0005-0000-0000-00005A940000}"/>
    <cellStyle name="Output 3 5 3 3" xfId="40702" xr:uid="{00000000-0005-0000-0000-00005B940000}"/>
    <cellStyle name="Output 3 5 4" xfId="31191" xr:uid="{00000000-0005-0000-0000-00005C940000}"/>
    <cellStyle name="Output 3 5 4 2" xfId="31192" xr:uid="{00000000-0005-0000-0000-00005D940000}"/>
    <cellStyle name="Output 3 5 5" xfId="40704" xr:uid="{00000000-0005-0000-0000-00005E940000}"/>
    <cellStyle name="Output 3 6" xfId="31193" xr:uid="{00000000-0005-0000-0000-00005F940000}"/>
    <cellStyle name="Output 3 6 2" xfId="31194" xr:uid="{00000000-0005-0000-0000-000060940000}"/>
    <cellStyle name="Output 3 6 2 2" xfId="31195" xr:uid="{00000000-0005-0000-0000-000061940000}"/>
    <cellStyle name="Output 3 6 3" xfId="40707" xr:uid="{00000000-0005-0000-0000-000062940000}"/>
    <cellStyle name="Output 3 7" xfId="31196" xr:uid="{00000000-0005-0000-0000-000063940000}"/>
    <cellStyle name="Output 3 7 2" xfId="31197" xr:uid="{00000000-0005-0000-0000-000064940000}"/>
    <cellStyle name="Output 3 7 2 2" xfId="31198" xr:uid="{00000000-0005-0000-0000-000065940000}"/>
    <cellStyle name="Output 3 7 3" xfId="40710" xr:uid="{00000000-0005-0000-0000-000066940000}"/>
    <cellStyle name="Output 3 8" xfId="31199" xr:uid="{00000000-0005-0000-0000-000067940000}"/>
    <cellStyle name="Output 3 8 2" xfId="31200" xr:uid="{00000000-0005-0000-0000-000068940000}"/>
    <cellStyle name="Output 3 8 2 2" xfId="31201" xr:uid="{00000000-0005-0000-0000-000069940000}"/>
    <cellStyle name="Output 3 8 3" xfId="40711" xr:uid="{00000000-0005-0000-0000-00006A940000}"/>
    <cellStyle name="Output 3 9" xfId="31202" xr:uid="{00000000-0005-0000-0000-00006B940000}"/>
    <cellStyle name="Output 3 9 2" xfId="31203" xr:uid="{00000000-0005-0000-0000-00006C940000}"/>
    <cellStyle name="Output 3 9 2 2" xfId="31204" xr:uid="{00000000-0005-0000-0000-00006D940000}"/>
    <cellStyle name="Output 3 9 3" xfId="40713" xr:uid="{00000000-0005-0000-0000-00006E940000}"/>
    <cellStyle name="Output 4" xfId="31205" xr:uid="{00000000-0005-0000-0000-00006F940000}"/>
    <cellStyle name="Output 4 10" xfId="31206" xr:uid="{00000000-0005-0000-0000-000070940000}"/>
    <cellStyle name="Output 4 10 2" xfId="31207" xr:uid="{00000000-0005-0000-0000-000071940000}"/>
    <cellStyle name="Output 4 10 2 2" xfId="31208" xr:uid="{00000000-0005-0000-0000-000072940000}"/>
    <cellStyle name="Output 4 10 3" xfId="40715" xr:uid="{00000000-0005-0000-0000-000073940000}"/>
    <cellStyle name="Output 4 11" xfId="31209" xr:uid="{00000000-0005-0000-0000-000074940000}"/>
    <cellStyle name="Output 4 11 2" xfId="31210" xr:uid="{00000000-0005-0000-0000-000075940000}"/>
    <cellStyle name="Output 4 2" xfId="31211" xr:uid="{00000000-0005-0000-0000-000076940000}"/>
    <cellStyle name="Output 4 2 2" xfId="31212" xr:uid="{00000000-0005-0000-0000-000077940000}"/>
    <cellStyle name="Output 4 2 2 2" xfId="31213" xr:uid="{00000000-0005-0000-0000-000078940000}"/>
    <cellStyle name="Output 4 2 2 2 2" xfId="31214" xr:uid="{00000000-0005-0000-0000-000079940000}"/>
    <cellStyle name="Output 4 2 2 2 2 2" xfId="31215" xr:uid="{00000000-0005-0000-0000-00007A940000}"/>
    <cellStyle name="Output 4 2 2 3" xfId="40720" xr:uid="{00000000-0005-0000-0000-00007B940000}"/>
    <cellStyle name="Output 4 2 3" xfId="31216" xr:uid="{00000000-0005-0000-0000-00007C940000}"/>
    <cellStyle name="Output 4 2 3 2" xfId="31217" xr:uid="{00000000-0005-0000-0000-00007D940000}"/>
    <cellStyle name="Output 4 2 3 2 2" xfId="31218" xr:uid="{00000000-0005-0000-0000-00007E940000}"/>
    <cellStyle name="Output 4 2 3 3" xfId="40723" xr:uid="{00000000-0005-0000-0000-00007F940000}"/>
    <cellStyle name="Output 4 2 4" xfId="31219" xr:uid="{00000000-0005-0000-0000-000080940000}"/>
    <cellStyle name="Output 4 2 4 2" xfId="31220" xr:uid="{00000000-0005-0000-0000-000081940000}"/>
    <cellStyle name="Output 4 2 4 2 2" xfId="31221" xr:uid="{00000000-0005-0000-0000-000082940000}"/>
    <cellStyle name="Output 4 2 4 3" xfId="40724" xr:uid="{00000000-0005-0000-0000-000083940000}"/>
    <cellStyle name="Output 4 2 5" xfId="31222" xr:uid="{00000000-0005-0000-0000-000084940000}"/>
    <cellStyle name="Output 4 2 5 2" xfId="31223" xr:uid="{00000000-0005-0000-0000-000085940000}"/>
    <cellStyle name="Output 4 2 5 2 2" xfId="31224" xr:uid="{00000000-0005-0000-0000-000086940000}"/>
    <cellStyle name="Output 4 2 5 3" xfId="40726" xr:uid="{00000000-0005-0000-0000-000087940000}"/>
    <cellStyle name="Output 4 3" xfId="31225" xr:uid="{00000000-0005-0000-0000-000088940000}"/>
    <cellStyle name="Output 4 3 2" xfId="31226" xr:uid="{00000000-0005-0000-0000-000089940000}"/>
    <cellStyle name="Output 4 3 2 2" xfId="31227" xr:uid="{00000000-0005-0000-0000-00008A940000}"/>
    <cellStyle name="Output 4 3 2 2 2" xfId="31228" xr:uid="{00000000-0005-0000-0000-00008B940000}"/>
    <cellStyle name="Output 4 3 2 2 2 2" xfId="31229" xr:uid="{00000000-0005-0000-0000-00008C940000}"/>
    <cellStyle name="Output 4 3 2 3" xfId="40730" xr:uid="{00000000-0005-0000-0000-00008D940000}"/>
    <cellStyle name="Output 4 3 3" xfId="31230" xr:uid="{00000000-0005-0000-0000-00008E940000}"/>
    <cellStyle name="Output 4 3 3 2" xfId="31231" xr:uid="{00000000-0005-0000-0000-00008F940000}"/>
    <cellStyle name="Output 4 3 3 2 2" xfId="31232" xr:uid="{00000000-0005-0000-0000-000090940000}"/>
    <cellStyle name="Output 4 3 3 3" xfId="40732" xr:uid="{00000000-0005-0000-0000-000091940000}"/>
    <cellStyle name="Output 4 3 4" xfId="31233" xr:uid="{00000000-0005-0000-0000-000092940000}"/>
    <cellStyle name="Output 4 3 4 2" xfId="31234" xr:uid="{00000000-0005-0000-0000-000093940000}"/>
    <cellStyle name="Output 4 3 4 2 2" xfId="31235" xr:uid="{00000000-0005-0000-0000-000094940000}"/>
    <cellStyle name="Output 4 3 4 3" xfId="40733" xr:uid="{00000000-0005-0000-0000-000095940000}"/>
    <cellStyle name="Output 4 3 5" xfId="31236" xr:uid="{00000000-0005-0000-0000-000096940000}"/>
    <cellStyle name="Output 4 3 5 2" xfId="31237" xr:uid="{00000000-0005-0000-0000-000097940000}"/>
    <cellStyle name="Output 4 3 5 2 2" xfId="31238" xr:uid="{00000000-0005-0000-0000-000098940000}"/>
    <cellStyle name="Output 4 3 5 3" xfId="40734" xr:uid="{00000000-0005-0000-0000-000099940000}"/>
    <cellStyle name="Output 4 4" xfId="31239" xr:uid="{00000000-0005-0000-0000-00009A940000}"/>
    <cellStyle name="Output 4 4 2" xfId="31240" xr:uid="{00000000-0005-0000-0000-00009B940000}"/>
    <cellStyle name="Output 4 4 2 2" xfId="31241" xr:uid="{00000000-0005-0000-0000-00009C940000}"/>
    <cellStyle name="Output 4 4 2 2 2" xfId="31242" xr:uid="{00000000-0005-0000-0000-00009D940000}"/>
    <cellStyle name="Output 4 4 2 3" xfId="40735" xr:uid="{00000000-0005-0000-0000-00009E940000}"/>
    <cellStyle name="Output 4 4 3" xfId="31243" xr:uid="{00000000-0005-0000-0000-00009F940000}"/>
    <cellStyle name="Output 4 4 3 2" xfId="31244" xr:uid="{00000000-0005-0000-0000-0000A0940000}"/>
    <cellStyle name="Output 4 4 3 2 2" xfId="31245" xr:uid="{00000000-0005-0000-0000-0000A1940000}"/>
    <cellStyle name="Output 4 4 3 3" xfId="40736" xr:uid="{00000000-0005-0000-0000-0000A2940000}"/>
    <cellStyle name="Output 4 4 4" xfId="31246" xr:uid="{00000000-0005-0000-0000-0000A3940000}"/>
    <cellStyle name="Output 4 4 4 2" xfId="31247" xr:uid="{00000000-0005-0000-0000-0000A4940000}"/>
    <cellStyle name="Output 4 4 4 2 2" xfId="31248" xr:uid="{00000000-0005-0000-0000-0000A5940000}"/>
    <cellStyle name="Output 4 4 5" xfId="40737" xr:uid="{00000000-0005-0000-0000-0000A6940000}"/>
    <cellStyle name="Output 4 5" xfId="31249" xr:uid="{00000000-0005-0000-0000-0000A7940000}"/>
    <cellStyle name="Output 4 5 2" xfId="31250" xr:uid="{00000000-0005-0000-0000-0000A8940000}"/>
    <cellStyle name="Output 4 5 2 2" xfId="31251" xr:uid="{00000000-0005-0000-0000-0000A9940000}"/>
    <cellStyle name="Output 4 5 2 2 2" xfId="31252" xr:uid="{00000000-0005-0000-0000-0000AA940000}"/>
    <cellStyle name="Output 4 5 2 3" xfId="40738" xr:uid="{00000000-0005-0000-0000-0000AB940000}"/>
    <cellStyle name="Output 4 5 3" xfId="31253" xr:uid="{00000000-0005-0000-0000-0000AC940000}"/>
    <cellStyle name="Output 4 5 3 2" xfId="31254" xr:uid="{00000000-0005-0000-0000-0000AD940000}"/>
    <cellStyle name="Output 4 5 3 2 2" xfId="31255" xr:uid="{00000000-0005-0000-0000-0000AE940000}"/>
    <cellStyle name="Output 4 5 3 3" xfId="40739" xr:uid="{00000000-0005-0000-0000-0000AF940000}"/>
    <cellStyle name="Output 4 5 4" xfId="31256" xr:uid="{00000000-0005-0000-0000-0000B0940000}"/>
    <cellStyle name="Output 4 5 4 2" xfId="31257" xr:uid="{00000000-0005-0000-0000-0000B1940000}"/>
    <cellStyle name="Output 4 5 5" xfId="40740" xr:uid="{00000000-0005-0000-0000-0000B2940000}"/>
    <cellStyle name="Output 4 6" xfId="31258" xr:uid="{00000000-0005-0000-0000-0000B3940000}"/>
    <cellStyle name="Output 4 6 2" xfId="31259" xr:uid="{00000000-0005-0000-0000-0000B4940000}"/>
    <cellStyle name="Output 4 6 2 2" xfId="31260" xr:uid="{00000000-0005-0000-0000-0000B5940000}"/>
    <cellStyle name="Output 4 6 3" xfId="40741" xr:uid="{00000000-0005-0000-0000-0000B6940000}"/>
    <cellStyle name="Output 4 7" xfId="31261" xr:uid="{00000000-0005-0000-0000-0000B7940000}"/>
    <cellStyle name="Output 4 8" xfId="31262" xr:uid="{00000000-0005-0000-0000-0000B8940000}"/>
    <cellStyle name="Output 4 8 2" xfId="31263" xr:uid="{00000000-0005-0000-0000-0000B9940000}"/>
    <cellStyle name="Output 4 8 2 2" xfId="31264" xr:uid="{00000000-0005-0000-0000-0000BA940000}"/>
    <cellStyle name="Output 4 8 3" xfId="40742" xr:uid="{00000000-0005-0000-0000-0000BB940000}"/>
    <cellStyle name="Output 4 9" xfId="31265" xr:uid="{00000000-0005-0000-0000-0000BC940000}"/>
    <cellStyle name="Output 4 9 2" xfId="31266" xr:uid="{00000000-0005-0000-0000-0000BD940000}"/>
    <cellStyle name="Output 4 9 2 2" xfId="31267" xr:uid="{00000000-0005-0000-0000-0000BE940000}"/>
    <cellStyle name="Output 4 9 3" xfId="40743" xr:uid="{00000000-0005-0000-0000-0000BF940000}"/>
    <cellStyle name="Output 5" xfId="31268" xr:uid="{00000000-0005-0000-0000-0000C0940000}"/>
    <cellStyle name="Output 5 10" xfId="31269" xr:uid="{00000000-0005-0000-0000-0000C1940000}"/>
    <cellStyle name="Output 5 10 2" xfId="31270" xr:uid="{00000000-0005-0000-0000-0000C2940000}"/>
    <cellStyle name="Output 5 11" xfId="40744" xr:uid="{00000000-0005-0000-0000-0000C3940000}"/>
    <cellStyle name="Output 5 12" xfId="40745" xr:uid="{00000000-0005-0000-0000-0000C4940000}"/>
    <cellStyle name="Output 5 2" xfId="31271" xr:uid="{00000000-0005-0000-0000-0000C5940000}"/>
    <cellStyle name="Output 5 2 2" xfId="31272" xr:uid="{00000000-0005-0000-0000-0000C6940000}"/>
    <cellStyle name="Output 5 2 2 2" xfId="31273" xr:uid="{00000000-0005-0000-0000-0000C7940000}"/>
    <cellStyle name="Output 5 2 2 2 2" xfId="31274" xr:uid="{00000000-0005-0000-0000-0000C8940000}"/>
    <cellStyle name="Output 5 2 2 2 2 2" xfId="31275" xr:uid="{00000000-0005-0000-0000-0000C9940000}"/>
    <cellStyle name="Output 5 2 2 3" xfId="40746" xr:uid="{00000000-0005-0000-0000-0000CA940000}"/>
    <cellStyle name="Output 5 2 3" xfId="31276" xr:uid="{00000000-0005-0000-0000-0000CB940000}"/>
    <cellStyle name="Output 5 2 3 2" xfId="31277" xr:uid="{00000000-0005-0000-0000-0000CC940000}"/>
    <cellStyle name="Output 5 2 3 2 2" xfId="31278" xr:uid="{00000000-0005-0000-0000-0000CD940000}"/>
    <cellStyle name="Output 5 2 3 3" xfId="40747" xr:uid="{00000000-0005-0000-0000-0000CE940000}"/>
    <cellStyle name="Output 5 2 4" xfId="31279" xr:uid="{00000000-0005-0000-0000-0000CF940000}"/>
    <cellStyle name="Output 5 2 4 2" xfId="31280" xr:uid="{00000000-0005-0000-0000-0000D0940000}"/>
    <cellStyle name="Output 5 2 4 2 2" xfId="31281" xr:uid="{00000000-0005-0000-0000-0000D1940000}"/>
    <cellStyle name="Output 5 2 5" xfId="40748" xr:uid="{00000000-0005-0000-0000-0000D2940000}"/>
    <cellStyle name="Output 5 3" xfId="31282" xr:uid="{00000000-0005-0000-0000-0000D3940000}"/>
    <cellStyle name="Output 5 3 2" xfId="31283" xr:uid="{00000000-0005-0000-0000-0000D4940000}"/>
    <cellStyle name="Output 5 3 2 2" xfId="31284" xr:uid="{00000000-0005-0000-0000-0000D5940000}"/>
    <cellStyle name="Output 5 3 2 2 2" xfId="31285" xr:uid="{00000000-0005-0000-0000-0000D6940000}"/>
    <cellStyle name="Output 5 3 2 2 2 2" xfId="31286" xr:uid="{00000000-0005-0000-0000-0000D7940000}"/>
    <cellStyle name="Output 5 3 2 3" xfId="40749" xr:uid="{00000000-0005-0000-0000-0000D8940000}"/>
    <cellStyle name="Output 5 3 3" xfId="31287" xr:uid="{00000000-0005-0000-0000-0000D9940000}"/>
    <cellStyle name="Output 5 3 3 2" xfId="31288" xr:uid="{00000000-0005-0000-0000-0000DA940000}"/>
    <cellStyle name="Output 5 3 3 2 2" xfId="31289" xr:uid="{00000000-0005-0000-0000-0000DB940000}"/>
    <cellStyle name="Output 5 3 3 3" xfId="40750" xr:uid="{00000000-0005-0000-0000-0000DC940000}"/>
    <cellStyle name="Output 5 3 4" xfId="31290" xr:uid="{00000000-0005-0000-0000-0000DD940000}"/>
    <cellStyle name="Output 5 3 4 2" xfId="31291" xr:uid="{00000000-0005-0000-0000-0000DE940000}"/>
    <cellStyle name="Output 5 3 4 2 2" xfId="31292" xr:uid="{00000000-0005-0000-0000-0000DF940000}"/>
    <cellStyle name="Output 5 3 5" xfId="40751" xr:uid="{00000000-0005-0000-0000-0000E0940000}"/>
    <cellStyle name="Output 5 4" xfId="31293" xr:uid="{00000000-0005-0000-0000-0000E1940000}"/>
    <cellStyle name="Output 5 4 2" xfId="31294" xr:uid="{00000000-0005-0000-0000-0000E2940000}"/>
    <cellStyle name="Output 5 4 2 2" xfId="31295" xr:uid="{00000000-0005-0000-0000-0000E3940000}"/>
    <cellStyle name="Output 5 4 2 2 2" xfId="31296" xr:uid="{00000000-0005-0000-0000-0000E4940000}"/>
    <cellStyle name="Output 5 4 2 3" xfId="40752" xr:uid="{00000000-0005-0000-0000-0000E5940000}"/>
    <cellStyle name="Output 5 4 3" xfId="31297" xr:uid="{00000000-0005-0000-0000-0000E6940000}"/>
    <cellStyle name="Output 5 4 3 2" xfId="31298" xr:uid="{00000000-0005-0000-0000-0000E7940000}"/>
    <cellStyle name="Output 5 4 3 2 2" xfId="31299" xr:uid="{00000000-0005-0000-0000-0000E8940000}"/>
    <cellStyle name="Output 5 4 3 3" xfId="40753" xr:uid="{00000000-0005-0000-0000-0000E9940000}"/>
    <cellStyle name="Output 5 4 4" xfId="31300" xr:uid="{00000000-0005-0000-0000-0000EA940000}"/>
    <cellStyle name="Output 5 4 4 2" xfId="31301" xr:uid="{00000000-0005-0000-0000-0000EB940000}"/>
    <cellStyle name="Output 5 4 4 2 2" xfId="31302" xr:uid="{00000000-0005-0000-0000-0000EC940000}"/>
    <cellStyle name="Output 5 4 5" xfId="40754" xr:uid="{00000000-0005-0000-0000-0000ED940000}"/>
    <cellStyle name="Output 5 5" xfId="31303" xr:uid="{00000000-0005-0000-0000-0000EE940000}"/>
    <cellStyle name="Output 5 5 2" xfId="31304" xr:uid="{00000000-0005-0000-0000-0000EF940000}"/>
    <cellStyle name="Output 5 5 2 2" xfId="31305" xr:uid="{00000000-0005-0000-0000-0000F0940000}"/>
    <cellStyle name="Output 5 5 2 2 2" xfId="31306" xr:uid="{00000000-0005-0000-0000-0000F1940000}"/>
    <cellStyle name="Output 5 5 2 3" xfId="40755" xr:uid="{00000000-0005-0000-0000-0000F2940000}"/>
    <cellStyle name="Output 5 5 3" xfId="31307" xr:uid="{00000000-0005-0000-0000-0000F3940000}"/>
    <cellStyle name="Output 5 5 3 2" xfId="31308" xr:uid="{00000000-0005-0000-0000-0000F4940000}"/>
    <cellStyle name="Output 5 5 3 2 2" xfId="31309" xr:uid="{00000000-0005-0000-0000-0000F5940000}"/>
    <cellStyle name="Output 5 5 3 3" xfId="40756" xr:uid="{00000000-0005-0000-0000-0000F6940000}"/>
    <cellStyle name="Output 5 5 4" xfId="31310" xr:uid="{00000000-0005-0000-0000-0000F7940000}"/>
    <cellStyle name="Output 5 5 4 2" xfId="31311" xr:uid="{00000000-0005-0000-0000-0000F8940000}"/>
    <cellStyle name="Output 5 5 5" xfId="40757" xr:uid="{00000000-0005-0000-0000-0000F9940000}"/>
    <cellStyle name="Output 5 6" xfId="31312" xr:uid="{00000000-0005-0000-0000-0000FA940000}"/>
    <cellStyle name="Output 5 6 2" xfId="31313" xr:uid="{00000000-0005-0000-0000-0000FB940000}"/>
    <cellStyle name="Output 5 6 2 2" xfId="31314" xr:uid="{00000000-0005-0000-0000-0000FC940000}"/>
    <cellStyle name="Output 5 6 3" xfId="40758" xr:uid="{00000000-0005-0000-0000-0000FD940000}"/>
    <cellStyle name="Output 5 7" xfId="31315" xr:uid="{00000000-0005-0000-0000-0000FE940000}"/>
    <cellStyle name="Output 5 7 2" xfId="31316" xr:uid="{00000000-0005-0000-0000-0000FF940000}"/>
    <cellStyle name="Output 5 7 2 2" xfId="31317" xr:uid="{00000000-0005-0000-0000-000000950000}"/>
    <cellStyle name="Output 5 7 3" xfId="40759" xr:uid="{00000000-0005-0000-0000-000001950000}"/>
    <cellStyle name="Output 5 8" xfId="31318" xr:uid="{00000000-0005-0000-0000-000002950000}"/>
    <cellStyle name="Output 5 8 2" xfId="31319" xr:uid="{00000000-0005-0000-0000-000003950000}"/>
    <cellStyle name="Output 5 8 2 2" xfId="31320" xr:uid="{00000000-0005-0000-0000-000004950000}"/>
    <cellStyle name="Output 5 8 3" xfId="40760" xr:uid="{00000000-0005-0000-0000-000005950000}"/>
    <cellStyle name="Output 5 9" xfId="31321" xr:uid="{00000000-0005-0000-0000-000006950000}"/>
    <cellStyle name="Output 5 9 2" xfId="31322" xr:uid="{00000000-0005-0000-0000-000007950000}"/>
    <cellStyle name="Output 5 9 2 2" xfId="31323" xr:uid="{00000000-0005-0000-0000-000008950000}"/>
    <cellStyle name="Output 6" xfId="31324" xr:uid="{00000000-0005-0000-0000-000009950000}"/>
    <cellStyle name="Output 6 10" xfId="31325" xr:uid="{00000000-0005-0000-0000-00000A950000}"/>
    <cellStyle name="Output 6 10 2" xfId="31326" xr:uid="{00000000-0005-0000-0000-00000B950000}"/>
    <cellStyle name="Output 6 11" xfId="40761" xr:uid="{00000000-0005-0000-0000-00000C950000}"/>
    <cellStyle name="Output 6 12" xfId="40762" xr:uid="{00000000-0005-0000-0000-00000D950000}"/>
    <cellStyle name="Output 6 2" xfId="31327" xr:uid="{00000000-0005-0000-0000-00000E950000}"/>
    <cellStyle name="Output 6 2 2" xfId="31328" xr:uid="{00000000-0005-0000-0000-00000F950000}"/>
    <cellStyle name="Output 6 2 2 2" xfId="31329" xr:uid="{00000000-0005-0000-0000-000010950000}"/>
    <cellStyle name="Output 6 2 2 2 2" xfId="31330" xr:uid="{00000000-0005-0000-0000-000011950000}"/>
    <cellStyle name="Output 6 2 2 2 2 2" xfId="31331" xr:uid="{00000000-0005-0000-0000-000012950000}"/>
    <cellStyle name="Output 6 2 2 3" xfId="40763" xr:uid="{00000000-0005-0000-0000-000013950000}"/>
    <cellStyle name="Output 6 2 3" xfId="31332" xr:uid="{00000000-0005-0000-0000-000014950000}"/>
    <cellStyle name="Output 6 2 3 2" xfId="31333" xr:uid="{00000000-0005-0000-0000-000015950000}"/>
    <cellStyle name="Output 6 2 3 2 2" xfId="31334" xr:uid="{00000000-0005-0000-0000-000016950000}"/>
    <cellStyle name="Output 6 2 3 3" xfId="40764" xr:uid="{00000000-0005-0000-0000-000017950000}"/>
    <cellStyle name="Output 6 2 4" xfId="31335" xr:uid="{00000000-0005-0000-0000-000018950000}"/>
    <cellStyle name="Output 6 2 4 2" xfId="31336" xr:uid="{00000000-0005-0000-0000-000019950000}"/>
    <cellStyle name="Output 6 2 4 2 2" xfId="31337" xr:uid="{00000000-0005-0000-0000-00001A950000}"/>
    <cellStyle name="Output 6 2 5" xfId="40765" xr:uid="{00000000-0005-0000-0000-00001B950000}"/>
    <cellStyle name="Output 6 3" xfId="31338" xr:uid="{00000000-0005-0000-0000-00001C950000}"/>
    <cellStyle name="Output 6 3 2" xfId="31339" xr:uid="{00000000-0005-0000-0000-00001D950000}"/>
    <cellStyle name="Output 6 3 2 2" xfId="31340" xr:uid="{00000000-0005-0000-0000-00001E950000}"/>
    <cellStyle name="Output 6 3 2 2 2" xfId="31341" xr:uid="{00000000-0005-0000-0000-00001F950000}"/>
    <cellStyle name="Output 6 3 2 2 2 2" xfId="31342" xr:uid="{00000000-0005-0000-0000-000020950000}"/>
    <cellStyle name="Output 6 3 2 3" xfId="40766" xr:uid="{00000000-0005-0000-0000-000021950000}"/>
    <cellStyle name="Output 6 3 3" xfId="31343" xr:uid="{00000000-0005-0000-0000-000022950000}"/>
    <cellStyle name="Output 6 3 3 2" xfId="31344" xr:uid="{00000000-0005-0000-0000-000023950000}"/>
    <cellStyle name="Output 6 3 3 2 2" xfId="31345" xr:uid="{00000000-0005-0000-0000-000024950000}"/>
    <cellStyle name="Output 6 3 3 3" xfId="40767" xr:uid="{00000000-0005-0000-0000-000025950000}"/>
    <cellStyle name="Output 6 3 4" xfId="31346" xr:uid="{00000000-0005-0000-0000-000026950000}"/>
    <cellStyle name="Output 6 3 4 2" xfId="31347" xr:uid="{00000000-0005-0000-0000-000027950000}"/>
    <cellStyle name="Output 6 3 4 2 2" xfId="31348" xr:uid="{00000000-0005-0000-0000-000028950000}"/>
    <cellStyle name="Output 6 3 5" xfId="40768" xr:uid="{00000000-0005-0000-0000-000029950000}"/>
    <cellStyle name="Output 6 4" xfId="31349" xr:uid="{00000000-0005-0000-0000-00002A950000}"/>
    <cellStyle name="Output 6 4 2" xfId="31350" xr:uid="{00000000-0005-0000-0000-00002B950000}"/>
    <cellStyle name="Output 6 4 2 2" xfId="31351" xr:uid="{00000000-0005-0000-0000-00002C950000}"/>
    <cellStyle name="Output 6 4 2 2 2" xfId="31352" xr:uid="{00000000-0005-0000-0000-00002D950000}"/>
    <cellStyle name="Output 6 4 2 3" xfId="40769" xr:uid="{00000000-0005-0000-0000-00002E950000}"/>
    <cellStyle name="Output 6 4 3" xfId="31353" xr:uid="{00000000-0005-0000-0000-00002F950000}"/>
    <cellStyle name="Output 6 4 3 2" xfId="31354" xr:uid="{00000000-0005-0000-0000-000030950000}"/>
    <cellStyle name="Output 6 4 3 2 2" xfId="31355" xr:uid="{00000000-0005-0000-0000-000031950000}"/>
    <cellStyle name="Output 6 4 3 3" xfId="40770" xr:uid="{00000000-0005-0000-0000-000032950000}"/>
    <cellStyle name="Output 6 4 4" xfId="31356" xr:uid="{00000000-0005-0000-0000-000033950000}"/>
    <cellStyle name="Output 6 4 4 2" xfId="31357" xr:uid="{00000000-0005-0000-0000-000034950000}"/>
    <cellStyle name="Output 6 4 4 2 2" xfId="31358" xr:uid="{00000000-0005-0000-0000-000035950000}"/>
    <cellStyle name="Output 6 4 5" xfId="40771" xr:uid="{00000000-0005-0000-0000-000036950000}"/>
    <cellStyle name="Output 6 5" xfId="31359" xr:uid="{00000000-0005-0000-0000-000037950000}"/>
    <cellStyle name="Output 6 5 2" xfId="31360" xr:uid="{00000000-0005-0000-0000-000038950000}"/>
    <cellStyle name="Output 6 5 2 2" xfId="31361" xr:uid="{00000000-0005-0000-0000-000039950000}"/>
    <cellStyle name="Output 6 5 2 2 2" xfId="31362" xr:uid="{00000000-0005-0000-0000-00003A950000}"/>
    <cellStyle name="Output 6 5 2 3" xfId="40772" xr:uid="{00000000-0005-0000-0000-00003B950000}"/>
    <cellStyle name="Output 6 5 3" xfId="31363" xr:uid="{00000000-0005-0000-0000-00003C950000}"/>
    <cellStyle name="Output 6 5 3 2" xfId="31364" xr:uid="{00000000-0005-0000-0000-00003D950000}"/>
    <cellStyle name="Output 6 5 3 2 2" xfId="31365" xr:uid="{00000000-0005-0000-0000-00003E950000}"/>
    <cellStyle name="Output 6 5 3 3" xfId="40773" xr:uid="{00000000-0005-0000-0000-00003F950000}"/>
    <cellStyle name="Output 6 5 4" xfId="31366" xr:uid="{00000000-0005-0000-0000-000040950000}"/>
    <cellStyle name="Output 6 5 4 2" xfId="31367" xr:uid="{00000000-0005-0000-0000-000041950000}"/>
    <cellStyle name="Output 6 5 5" xfId="40774" xr:uid="{00000000-0005-0000-0000-000042950000}"/>
    <cellStyle name="Output 6 6" xfId="31368" xr:uid="{00000000-0005-0000-0000-000043950000}"/>
    <cellStyle name="Output 6 6 2" xfId="31369" xr:uid="{00000000-0005-0000-0000-000044950000}"/>
    <cellStyle name="Output 6 6 2 2" xfId="31370" xr:uid="{00000000-0005-0000-0000-000045950000}"/>
    <cellStyle name="Output 6 6 3" xfId="40775" xr:uid="{00000000-0005-0000-0000-000046950000}"/>
    <cellStyle name="Output 6 7" xfId="31371" xr:uid="{00000000-0005-0000-0000-000047950000}"/>
    <cellStyle name="Output 6 7 2" xfId="31372" xr:uid="{00000000-0005-0000-0000-000048950000}"/>
    <cellStyle name="Output 6 7 2 2" xfId="31373" xr:uid="{00000000-0005-0000-0000-000049950000}"/>
    <cellStyle name="Output 6 7 3" xfId="40776" xr:uid="{00000000-0005-0000-0000-00004A950000}"/>
    <cellStyle name="Output 6 8" xfId="31374" xr:uid="{00000000-0005-0000-0000-00004B950000}"/>
    <cellStyle name="Output 6 8 2" xfId="31375" xr:uid="{00000000-0005-0000-0000-00004C950000}"/>
    <cellStyle name="Output 6 8 2 2" xfId="31376" xr:uid="{00000000-0005-0000-0000-00004D950000}"/>
    <cellStyle name="Output 6 8 3" xfId="40777" xr:uid="{00000000-0005-0000-0000-00004E950000}"/>
    <cellStyle name="Output 6 9" xfId="31377" xr:uid="{00000000-0005-0000-0000-00004F950000}"/>
    <cellStyle name="Output 6 9 2" xfId="31378" xr:uid="{00000000-0005-0000-0000-000050950000}"/>
    <cellStyle name="Output 6 9 2 2" xfId="31379" xr:uid="{00000000-0005-0000-0000-000051950000}"/>
    <cellStyle name="Output 7" xfId="31380" xr:uid="{00000000-0005-0000-0000-000052950000}"/>
    <cellStyle name="Output 7 2" xfId="31381" xr:uid="{00000000-0005-0000-0000-000053950000}"/>
    <cellStyle name="Output 7 2 2" xfId="31382" xr:uid="{00000000-0005-0000-0000-000054950000}"/>
    <cellStyle name="Output 7 2 2 2" xfId="31383" xr:uid="{00000000-0005-0000-0000-000055950000}"/>
    <cellStyle name="Output 7 2 2 2 2" xfId="31384" xr:uid="{00000000-0005-0000-0000-000056950000}"/>
    <cellStyle name="Output 7 2 2 3" xfId="40778" xr:uid="{00000000-0005-0000-0000-000057950000}"/>
    <cellStyle name="Output 7 2 3" xfId="31385" xr:uid="{00000000-0005-0000-0000-000058950000}"/>
    <cellStyle name="Output 7 2 3 2" xfId="31386" xr:uid="{00000000-0005-0000-0000-000059950000}"/>
    <cellStyle name="Output 7 2 3 2 2" xfId="31387" xr:uid="{00000000-0005-0000-0000-00005A950000}"/>
    <cellStyle name="Output 7 2 3 3" xfId="40779" xr:uid="{00000000-0005-0000-0000-00005B950000}"/>
    <cellStyle name="Output 7 2 4" xfId="31388" xr:uid="{00000000-0005-0000-0000-00005C950000}"/>
    <cellStyle name="Output 7 2 4 2" xfId="31389" xr:uid="{00000000-0005-0000-0000-00005D950000}"/>
    <cellStyle name="Output 7 2 5" xfId="40780" xr:uid="{00000000-0005-0000-0000-00005E950000}"/>
    <cellStyle name="Output 7 3" xfId="31390" xr:uid="{00000000-0005-0000-0000-00005F950000}"/>
    <cellStyle name="Output 7 3 2" xfId="31391" xr:uid="{00000000-0005-0000-0000-000060950000}"/>
    <cellStyle name="Output 7 3 2 2" xfId="31392" xr:uid="{00000000-0005-0000-0000-000061950000}"/>
    <cellStyle name="Output 7 3 3" xfId="40781" xr:uid="{00000000-0005-0000-0000-000062950000}"/>
    <cellStyle name="Output 7 4" xfId="31393" xr:uid="{00000000-0005-0000-0000-000063950000}"/>
    <cellStyle name="Output 7 4 2" xfId="31394" xr:uid="{00000000-0005-0000-0000-000064950000}"/>
    <cellStyle name="Output 7 4 2 2" xfId="31395" xr:uid="{00000000-0005-0000-0000-000065950000}"/>
    <cellStyle name="Output 7 4 3" xfId="40782" xr:uid="{00000000-0005-0000-0000-000066950000}"/>
    <cellStyle name="Output 7 5" xfId="31396" xr:uid="{00000000-0005-0000-0000-000067950000}"/>
    <cellStyle name="Output 7 5 2" xfId="40784" xr:uid="{00000000-0005-0000-0000-000068950000}"/>
    <cellStyle name="Output 7 5 3" xfId="40783" xr:uid="{00000000-0005-0000-0000-000069950000}"/>
    <cellStyle name="Output 7 6" xfId="31397" xr:uid="{00000000-0005-0000-0000-00006A950000}"/>
    <cellStyle name="Output 7 6 2" xfId="31398" xr:uid="{00000000-0005-0000-0000-00006B950000}"/>
    <cellStyle name="Output 8" xfId="31399" xr:uid="{00000000-0005-0000-0000-00006C950000}"/>
    <cellStyle name="Output 8 2" xfId="31400" xr:uid="{00000000-0005-0000-0000-00006D950000}"/>
    <cellStyle name="Output 8 2 2" xfId="31401" xr:uid="{00000000-0005-0000-0000-00006E950000}"/>
    <cellStyle name="Output 8 3" xfId="40785" xr:uid="{00000000-0005-0000-0000-00006F950000}"/>
    <cellStyle name="Output 9" xfId="31402" xr:uid="{00000000-0005-0000-0000-000070950000}"/>
    <cellStyle name="Output 9 2" xfId="31403" xr:uid="{00000000-0005-0000-0000-000071950000}"/>
    <cellStyle name="Output 9 2 2" xfId="31404" xr:uid="{00000000-0005-0000-0000-000072950000}"/>
    <cellStyle name="Output 9 3" xfId="40786" xr:uid="{00000000-0005-0000-0000-000073950000}"/>
    <cellStyle name="Output Amounts" xfId="31405" xr:uid="{00000000-0005-0000-0000-000074950000}"/>
    <cellStyle name="Output Column Headings" xfId="31406" xr:uid="{00000000-0005-0000-0000-000075950000}"/>
    <cellStyle name="Output Column Headings 2" xfId="31407" xr:uid="{00000000-0005-0000-0000-000076950000}"/>
    <cellStyle name="Output Column Headings 2 2" xfId="31408" xr:uid="{00000000-0005-0000-0000-000077950000}"/>
    <cellStyle name="Output Column Headings 2 3" xfId="31409" xr:uid="{00000000-0005-0000-0000-000078950000}"/>
    <cellStyle name="Output Column Headings 2 4" xfId="31410" xr:uid="{00000000-0005-0000-0000-000079950000}"/>
    <cellStyle name="Output Column Headings 3" xfId="31411" xr:uid="{00000000-0005-0000-0000-00007A950000}"/>
    <cellStyle name="Output Column Headings 3 2" xfId="31412" xr:uid="{00000000-0005-0000-0000-00007B950000}"/>
    <cellStyle name="Output Column Headings 4" xfId="31413" xr:uid="{00000000-0005-0000-0000-00007C950000}"/>
    <cellStyle name="Output Column Headings 4 2" xfId="31414" xr:uid="{00000000-0005-0000-0000-00007D950000}"/>
    <cellStyle name="Output Line Items" xfId="31415" xr:uid="{00000000-0005-0000-0000-00007E950000}"/>
    <cellStyle name="Output Line Items 2" xfId="31416" xr:uid="{00000000-0005-0000-0000-00007F950000}"/>
    <cellStyle name="Output Line Items 2 2" xfId="31417" xr:uid="{00000000-0005-0000-0000-000080950000}"/>
    <cellStyle name="Output Line Items 2 3" xfId="31418" xr:uid="{00000000-0005-0000-0000-000081950000}"/>
    <cellStyle name="Output Line Items 2 4" xfId="31419" xr:uid="{00000000-0005-0000-0000-000082950000}"/>
    <cellStyle name="Output Line Items 3" xfId="31420" xr:uid="{00000000-0005-0000-0000-000083950000}"/>
    <cellStyle name="Output Line Items 3 2" xfId="31421" xr:uid="{00000000-0005-0000-0000-000084950000}"/>
    <cellStyle name="Output Line Items 4" xfId="31422" xr:uid="{00000000-0005-0000-0000-000085950000}"/>
    <cellStyle name="Output Line Items 4 2" xfId="31423" xr:uid="{00000000-0005-0000-0000-000086950000}"/>
    <cellStyle name="Output Report Heading" xfId="31424" xr:uid="{00000000-0005-0000-0000-000087950000}"/>
    <cellStyle name="Output Report Heading 2" xfId="31425" xr:uid="{00000000-0005-0000-0000-000088950000}"/>
    <cellStyle name="Output Report Heading 2 2" xfId="31426" xr:uid="{00000000-0005-0000-0000-000089950000}"/>
    <cellStyle name="Output Report Heading 2 3" xfId="31427" xr:uid="{00000000-0005-0000-0000-00008A950000}"/>
    <cellStyle name="Output Report Heading 2 4" xfId="31428" xr:uid="{00000000-0005-0000-0000-00008B950000}"/>
    <cellStyle name="Output Report Heading 3" xfId="31429" xr:uid="{00000000-0005-0000-0000-00008C950000}"/>
    <cellStyle name="Output Report Heading 3 2" xfId="31430" xr:uid="{00000000-0005-0000-0000-00008D950000}"/>
    <cellStyle name="Output Report Heading 4" xfId="31431" xr:uid="{00000000-0005-0000-0000-00008E950000}"/>
    <cellStyle name="Output Report Heading 4 2" xfId="31432" xr:uid="{00000000-0005-0000-0000-00008F950000}"/>
    <cellStyle name="Output Report Title" xfId="31433" xr:uid="{00000000-0005-0000-0000-000090950000}"/>
    <cellStyle name="Output Report Title 2" xfId="31434" xr:uid="{00000000-0005-0000-0000-000091950000}"/>
    <cellStyle name="Output Report Title 2 2" xfId="31435" xr:uid="{00000000-0005-0000-0000-000092950000}"/>
    <cellStyle name="Output Report Title 2 3" xfId="31436" xr:uid="{00000000-0005-0000-0000-000093950000}"/>
    <cellStyle name="Output Report Title 2 4" xfId="31437" xr:uid="{00000000-0005-0000-0000-000094950000}"/>
    <cellStyle name="Output Report Title 3" xfId="31438" xr:uid="{00000000-0005-0000-0000-000095950000}"/>
    <cellStyle name="Output Report Title 3 2" xfId="31439" xr:uid="{00000000-0005-0000-0000-000096950000}"/>
    <cellStyle name="Output Report Title 4" xfId="31440" xr:uid="{00000000-0005-0000-0000-000097950000}"/>
    <cellStyle name="Output Report Title 4 2" xfId="31441" xr:uid="{00000000-0005-0000-0000-000098950000}"/>
    <cellStyle name="Percent" xfId="6" builtinId="5"/>
    <cellStyle name="Percent [2]" xfId="31442" xr:uid="{00000000-0005-0000-0000-00009A950000}"/>
    <cellStyle name="Percent [2] 2" xfId="31443" xr:uid="{00000000-0005-0000-0000-00009B950000}"/>
    <cellStyle name="Percent [2] 2 2" xfId="41976" xr:uid="{1D76F3D1-A462-47F3-ADC7-51CF34935819}"/>
    <cellStyle name="Percent [2] 3" xfId="41975" xr:uid="{68E3F984-96C2-4470-83E8-745FD891378C}"/>
    <cellStyle name="Percent [2]_29(d) - Gas extensions -tariffs" xfId="41977" xr:uid="{777534AA-1035-486B-A744-C66A9B6A7EE5}"/>
    <cellStyle name="Percent 10" xfId="31444" xr:uid="{00000000-0005-0000-0000-00009C950000}"/>
    <cellStyle name="Percent 10 2" xfId="31445" xr:uid="{00000000-0005-0000-0000-00009D950000}"/>
    <cellStyle name="Percent 100" xfId="31446" xr:uid="{00000000-0005-0000-0000-00009E950000}"/>
    <cellStyle name="Percent 100 2" xfId="31447" xr:uid="{00000000-0005-0000-0000-00009F950000}"/>
    <cellStyle name="Percent 101" xfId="31448" xr:uid="{00000000-0005-0000-0000-0000A0950000}"/>
    <cellStyle name="Percent 101 2" xfId="31449" xr:uid="{00000000-0005-0000-0000-0000A1950000}"/>
    <cellStyle name="Percent 102" xfId="31450" xr:uid="{00000000-0005-0000-0000-0000A2950000}"/>
    <cellStyle name="Percent 102 2" xfId="31451" xr:uid="{00000000-0005-0000-0000-0000A3950000}"/>
    <cellStyle name="Percent 103" xfId="31452" xr:uid="{00000000-0005-0000-0000-0000A4950000}"/>
    <cellStyle name="Percent 103 2" xfId="31453" xr:uid="{00000000-0005-0000-0000-0000A5950000}"/>
    <cellStyle name="Percent 104" xfId="31454" xr:uid="{00000000-0005-0000-0000-0000A6950000}"/>
    <cellStyle name="Percent 104 2" xfId="31455" xr:uid="{00000000-0005-0000-0000-0000A7950000}"/>
    <cellStyle name="Percent 105" xfId="31456" xr:uid="{00000000-0005-0000-0000-0000A8950000}"/>
    <cellStyle name="Percent 105 2" xfId="31457" xr:uid="{00000000-0005-0000-0000-0000A9950000}"/>
    <cellStyle name="Percent 106" xfId="31458" xr:uid="{00000000-0005-0000-0000-0000AA950000}"/>
    <cellStyle name="Percent 106 2" xfId="31459" xr:uid="{00000000-0005-0000-0000-0000AB950000}"/>
    <cellStyle name="Percent 107" xfId="31460" xr:uid="{00000000-0005-0000-0000-0000AC950000}"/>
    <cellStyle name="Percent 108" xfId="31461" xr:uid="{00000000-0005-0000-0000-0000AD950000}"/>
    <cellStyle name="Percent 109" xfId="31462" xr:uid="{00000000-0005-0000-0000-0000AE950000}"/>
    <cellStyle name="Percent 11" xfId="31463" xr:uid="{00000000-0005-0000-0000-0000AF950000}"/>
    <cellStyle name="Percent 11 2" xfId="31464" xr:uid="{00000000-0005-0000-0000-0000B0950000}"/>
    <cellStyle name="Percent 110" xfId="31465" xr:uid="{00000000-0005-0000-0000-0000B1950000}"/>
    <cellStyle name="Percent 111" xfId="31466" xr:uid="{00000000-0005-0000-0000-0000B2950000}"/>
    <cellStyle name="Percent 112" xfId="31467" xr:uid="{00000000-0005-0000-0000-0000B3950000}"/>
    <cellStyle name="Percent 113" xfId="31468" xr:uid="{00000000-0005-0000-0000-0000B4950000}"/>
    <cellStyle name="Percent 114" xfId="31469" xr:uid="{00000000-0005-0000-0000-0000B5950000}"/>
    <cellStyle name="Percent 115" xfId="31470" xr:uid="{00000000-0005-0000-0000-0000B6950000}"/>
    <cellStyle name="Percent 116" xfId="31471" xr:uid="{00000000-0005-0000-0000-0000B7950000}"/>
    <cellStyle name="Percent 117" xfId="31472" xr:uid="{00000000-0005-0000-0000-0000B8950000}"/>
    <cellStyle name="Percent 118" xfId="31473" xr:uid="{00000000-0005-0000-0000-0000B9950000}"/>
    <cellStyle name="Percent 119" xfId="31474" xr:uid="{00000000-0005-0000-0000-0000BA950000}"/>
    <cellStyle name="Percent 12" xfId="31475" xr:uid="{00000000-0005-0000-0000-0000BB950000}"/>
    <cellStyle name="Percent 12 2" xfId="31476" xr:uid="{00000000-0005-0000-0000-0000BC950000}"/>
    <cellStyle name="Percent 12 2 2" xfId="42149" xr:uid="{818323FB-69E1-4A6B-AC18-0E6A641D16FF}"/>
    <cellStyle name="Percent 12 2 3" xfId="41909" xr:uid="{3C992F36-616A-4E32-B069-10EF3C3F09C6}"/>
    <cellStyle name="Percent 12 3" xfId="42051" xr:uid="{CA54C77B-2335-4C68-8303-9B40439694E9}"/>
    <cellStyle name="Percent 12 4" xfId="42121" xr:uid="{B9DBD919-F542-42C3-8A43-B431EB2A6DFC}"/>
    <cellStyle name="Percent 12 5" xfId="41849" xr:uid="{3504F826-3660-47C4-9E65-9C1C3F095CCA}"/>
    <cellStyle name="Percent 120" xfId="31477" xr:uid="{00000000-0005-0000-0000-0000BD950000}"/>
    <cellStyle name="Percent 121" xfId="31478" xr:uid="{00000000-0005-0000-0000-0000BE950000}"/>
    <cellStyle name="Percent 121 2" xfId="31479" xr:uid="{00000000-0005-0000-0000-0000BF950000}"/>
    <cellStyle name="Percent 122" xfId="31480" xr:uid="{00000000-0005-0000-0000-0000C0950000}"/>
    <cellStyle name="Percent 122 2" xfId="31481" xr:uid="{00000000-0005-0000-0000-0000C1950000}"/>
    <cellStyle name="Percent 123" xfId="31482" xr:uid="{00000000-0005-0000-0000-0000C2950000}"/>
    <cellStyle name="Percent 123 2" xfId="31483" xr:uid="{00000000-0005-0000-0000-0000C3950000}"/>
    <cellStyle name="Percent 124" xfId="31484" xr:uid="{00000000-0005-0000-0000-0000C4950000}"/>
    <cellStyle name="Percent 124 2" xfId="31485" xr:uid="{00000000-0005-0000-0000-0000C5950000}"/>
    <cellStyle name="Percent 125" xfId="31486" xr:uid="{00000000-0005-0000-0000-0000C6950000}"/>
    <cellStyle name="Percent 125 2" xfId="31487" xr:uid="{00000000-0005-0000-0000-0000C7950000}"/>
    <cellStyle name="Percent 126" xfId="31488" xr:uid="{00000000-0005-0000-0000-0000C8950000}"/>
    <cellStyle name="Percent 126 2" xfId="31489" xr:uid="{00000000-0005-0000-0000-0000C9950000}"/>
    <cellStyle name="Percent 127" xfId="31490" xr:uid="{00000000-0005-0000-0000-0000CA950000}"/>
    <cellStyle name="Percent 127 2" xfId="31491" xr:uid="{00000000-0005-0000-0000-0000CB950000}"/>
    <cellStyle name="Percent 128" xfId="31492" xr:uid="{00000000-0005-0000-0000-0000CC950000}"/>
    <cellStyle name="Percent 129" xfId="31493" xr:uid="{00000000-0005-0000-0000-0000CD950000}"/>
    <cellStyle name="Percent 13" xfId="31494" xr:uid="{00000000-0005-0000-0000-0000CE950000}"/>
    <cellStyle name="Percent 130" xfId="31495" xr:uid="{00000000-0005-0000-0000-0000CF950000}"/>
    <cellStyle name="Percent 131" xfId="31496" xr:uid="{00000000-0005-0000-0000-0000D0950000}"/>
    <cellStyle name="Percent 132" xfId="31497" xr:uid="{00000000-0005-0000-0000-0000D1950000}"/>
    <cellStyle name="Percent 132 2" xfId="31498" xr:uid="{00000000-0005-0000-0000-0000D2950000}"/>
    <cellStyle name="Percent 133" xfId="31499" xr:uid="{00000000-0005-0000-0000-0000D3950000}"/>
    <cellStyle name="Percent 133 2" xfId="31500" xr:uid="{00000000-0005-0000-0000-0000D4950000}"/>
    <cellStyle name="Percent 134" xfId="31501" xr:uid="{00000000-0005-0000-0000-0000D5950000}"/>
    <cellStyle name="Percent 134 2" xfId="31502" xr:uid="{00000000-0005-0000-0000-0000D6950000}"/>
    <cellStyle name="Percent 135" xfId="31503" xr:uid="{00000000-0005-0000-0000-0000D7950000}"/>
    <cellStyle name="Percent 135 2" xfId="31504" xr:uid="{00000000-0005-0000-0000-0000D8950000}"/>
    <cellStyle name="Percent 136" xfId="31505" xr:uid="{00000000-0005-0000-0000-0000D9950000}"/>
    <cellStyle name="Percent 136 2" xfId="31506" xr:uid="{00000000-0005-0000-0000-0000DA950000}"/>
    <cellStyle name="Percent 137" xfId="31507" xr:uid="{00000000-0005-0000-0000-0000DB950000}"/>
    <cellStyle name="Percent 137 2" xfId="31508" xr:uid="{00000000-0005-0000-0000-0000DC950000}"/>
    <cellStyle name="Percent 138" xfId="31509" xr:uid="{00000000-0005-0000-0000-0000DD950000}"/>
    <cellStyle name="Percent 138 2" xfId="31510" xr:uid="{00000000-0005-0000-0000-0000DE950000}"/>
    <cellStyle name="Percent 139" xfId="31511" xr:uid="{00000000-0005-0000-0000-0000DF950000}"/>
    <cellStyle name="Percent 139 2" xfId="31512" xr:uid="{00000000-0005-0000-0000-0000E0950000}"/>
    <cellStyle name="Percent 14" xfId="31513" xr:uid="{00000000-0005-0000-0000-0000E1950000}"/>
    <cellStyle name="Percent 14 2" xfId="31514" xr:uid="{00000000-0005-0000-0000-0000E2950000}"/>
    <cellStyle name="Percent 140" xfId="31515" xr:uid="{00000000-0005-0000-0000-0000E3950000}"/>
    <cellStyle name="Percent 140 2" xfId="31516" xr:uid="{00000000-0005-0000-0000-0000E4950000}"/>
    <cellStyle name="Percent 141" xfId="31517" xr:uid="{00000000-0005-0000-0000-0000E5950000}"/>
    <cellStyle name="Percent 141 2" xfId="31518" xr:uid="{00000000-0005-0000-0000-0000E6950000}"/>
    <cellStyle name="Percent 142" xfId="31519" xr:uid="{00000000-0005-0000-0000-0000E7950000}"/>
    <cellStyle name="Percent 142 2" xfId="31520" xr:uid="{00000000-0005-0000-0000-0000E8950000}"/>
    <cellStyle name="Percent 143" xfId="31521" xr:uid="{00000000-0005-0000-0000-0000E9950000}"/>
    <cellStyle name="Percent 143 2" xfId="31522" xr:uid="{00000000-0005-0000-0000-0000EA950000}"/>
    <cellStyle name="Percent 144" xfId="31523" xr:uid="{00000000-0005-0000-0000-0000EB950000}"/>
    <cellStyle name="Percent 144 2" xfId="31524" xr:uid="{00000000-0005-0000-0000-0000EC950000}"/>
    <cellStyle name="Percent 145" xfId="31525" xr:uid="{00000000-0005-0000-0000-0000ED950000}"/>
    <cellStyle name="Percent 145 2" xfId="31526" xr:uid="{00000000-0005-0000-0000-0000EE950000}"/>
    <cellStyle name="Percent 146" xfId="31527" xr:uid="{00000000-0005-0000-0000-0000EF950000}"/>
    <cellStyle name="Percent 146 2" xfId="31528" xr:uid="{00000000-0005-0000-0000-0000F0950000}"/>
    <cellStyle name="Percent 147" xfId="31529" xr:uid="{00000000-0005-0000-0000-0000F1950000}"/>
    <cellStyle name="Percent 147 2" xfId="31530" xr:uid="{00000000-0005-0000-0000-0000F2950000}"/>
    <cellStyle name="Percent 148" xfId="31531" xr:uid="{00000000-0005-0000-0000-0000F3950000}"/>
    <cellStyle name="Percent 148 2" xfId="31532" xr:uid="{00000000-0005-0000-0000-0000F4950000}"/>
    <cellStyle name="Percent 149" xfId="31533" xr:uid="{00000000-0005-0000-0000-0000F5950000}"/>
    <cellStyle name="Percent 149 2" xfId="31534" xr:uid="{00000000-0005-0000-0000-0000F6950000}"/>
    <cellStyle name="Percent 15" xfId="31535" xr:uid="{00000000-0005-0000-0000-0000F7950000}"/>
    <cellStyle name="Percent 150" xfId="31536" xr:uid="{00000000-0005-0000-0000-0000F8950000}"/>
    <cellStyle name="Percent 150 2" xfId="31537" xr:uid="{00000000-0005-0000-0000-0000F9950000}"/>
    <cellStyle name="Percent 151" xfId="31538" xr:uid="{00000000-0005-0000-0000-0000FA950000}"/>
    <cellStyle name="Percent 151 2" xfId="31539" xr:uid="{00000000-0005-0000-0000-0000FB950000}"/>
    <cellStyle name="Percent 152" xfId="31540" xr:uid="{00000000-0005-0000-0000-0000FC950000}"/>
    <cellStyle name="Percent 152 2" xfId="31541" xr:uid="{00000000-0005-0000-0000-0000FD950000}"/>
    <cellStyle name="Percent 153" xfId="31542" xr:uid="{00000000-0005-0000-0000-0000FE950000}"/>
    <cellStyle name="Percent 153 2" xfId="31543" xr:uid="{00000000-0005-0000-0000-0000FF950000}"/>
    <cellStyle name="Percent 154" xfId="31544" xr:uid="{00000000-0005-0000-0000-000000960000}"/>
    <cellStyle name="Percent 154 2" xfId="31545" xr:uid="{00000000-0005-0000-0000-000001960000}"/>
    <cellStyle name="Percent 155" xfId="31546" xr:uid="{00000000-0005-0000-0000-000002960000}"/>
    <cellStyle name="Percent 155 2" xfId="31547" xr:uid="{00000000-0005-0000-0000-000003960000}"/>
    <cellStyle name="Percent 156" xfId="31548" xr:uid="{00000000-0005-0000-0000-000004960000}"/>
    <cellStyle name="Percent 156 2" xfId="31549" xr:uid="{00000000-0005-0000-0000-000005960000}"/>
    <cellStyle name="Percent 157" xfId="31550" xr:uid="{00000000-0005-0000-0000-000006960000}"/>
    <cellStyle name="Percent 157 2" xfId="31551" xr:uid="{00000000-0005-0000-0000-000007960000}"/>
    <cellStyle name="Percent 158" xfId="31552" xr:uid="{00000000-0005-0000-0000-000008960000}"/>
    <cellStyle name="Percent 158 2" xfId="31553" xr:uid="{00000000-0005-0000-0000-000009960000}"/>
    <cellStyle name="Percent 159" xfId="31554" xr:uid="{00000000-0005-0000-0000-00000A960000}"/>
    <cellStyle name="Percent 159 2" xfId="31555" xr:uid="{00000000-0005-0000-0000-00000B960000}"/>
    <cellStyle name="Percent 16" xfId="31556" xr:uid="{00000000-0005-0000-0000-00000C960000}"/>
    <cellStyle name="Percent 160" xfId="31557" xr:uid="{00000000-0005-0000-0000-00000D960000}"/>
    <cellStyle name="Percent 160 2" xfId="31558" xr:uid="{00000000-0005-0000-0000-00000E960000}"/>
    <cellStyle name="Percent 161" xfId="31559" xr:uid="{00000000-0005-0000-0000-00000F960000}"/>
    <cellStyle name="Percent 161 2" xfId="31560" xr:uid="{00000000-0005-0000-0000-000010960000}"/>
    <cellStyle name="Percent 162" xfId="31561" xr:uid="{00000000-0005-0000-0000-000011960000}"/>
    <cellStyle name="Percent 162 2" xfId="31562" xr:uid="{00000000-0005-0000-0000-000012960000}"/>
    <cellStyle name="Percent 163" xfId="31563" xr:uid="{00000000-0005-0000-0000-000013960000}"/>
    <cellStyle name="Percent 163 2" xfId="31564" xr:uid="{00000000-0005-0000-0000-000014960000}"/>
    <cellStyle name="Percent 164" xfId="31565" xr:uid="{00000000-0005-0000-0000-000015960000}"/>
    <cellStyle name="Percent 164 2" xfId="31566" xr:uid="{00000000-0005-0000-0000-000016960000}"/>
    <cellStyle name="Percent 165" xfId="31567" xr:uid="{00000000-0005-0000-0000-000017960000}"/>
    <cellStyle name="Percent 165 2" xfId="31568" xr:uid="{00000000-0005-0000-0000-000018960000}"/>
    <cellStyle name="Percent 166" xfId="31569" xr:uid="{00000000-0005-0000-0000-000019960000}"/>
    <cellStyle name="Percent 166 2" xfId="31570" xr:uid="{00000000-0005-0000-0000-00001A960000}"/>
    <cellStyle name="Percent 167" xfId="31571" xr:uid="{00000000-0005-0000-0000-00001B960000}"/>
    <cellStyle name="Percent 167 2" xfId="31572" xr:uid="{00000000-0005-0000-0000-00001C960000}"/>
    <cellStyle name="Percent 168" xfId="31573" xr:uid="{00000000-0005-0000-0000-00001D960000}"/>
    <cellStyle name="Percent 168 2" xfId="31574" xr:uid="{00000000-0005-0000-0000-00001E960000}"/>
    <cellStyle name="Percent 169" xfId="31575" xr:uid="{00000000-0005-0000-0000-00001F960000}"/>
    <cellStyle name="Percent 169 2" xfId="31576" xr:uid="{00000000-0005-0000-0000-000020960000}"/>
    <cellStyle name="Percent 17" xfId="31577" xr:uid="{00000000-0005-0000-0000-000021960000}"/>
    <cellStyle name="Percent 170" xfId="31578" xr:uid="{00000000-0005-0000-0000-000022960000}"/>
    <cellStyle name="Percent 170 2" xfId="31579" xr:uid="{00000000-0005-0000-0000-000023960000}"/>
    <cellStyle name="Percent 171" xfId="31580" xr:uid="{00000000-0005-0000-0000-000024960000}"/>
    <cellStyle name="Percent 171 2" xfId="31581" xr:uid="{00000000-0005-0000-0000-000025960000}"/>
    <cellStyle name="Percent 172" xfId="31582" xr:uid="{00000000-0005-0000-0000-000026960000}"/>
    <cellStyle name="Percent 172 2" xfId="31583" xr:uid="{00000000-0005-0000-0000-000027960000}"/>
    <cellStyle name="Percent 173" xfId="31584" xr:uid="{00000000-0005-0000-0000-000028960000}"/>
    <cellStyle name="Percent 173 2" xfId="31585" xr:uid="{00000000-0005-0000-0000-000029960000}"/>
    <cellStyle name="Percent 174" xfId="31586" xr:uid="{00000000-0005-0000-0000-00002A960000}"/>
    <cellStyle name="Percent 174 2" xfId="31587" xr:uid="{00000000-0005-0000-0000-00002B960000}"/>
    <cellStyle name="Percent 175" xfId="31588" xr:uid="{00000000-0005-0000-0000-00002C960000}"/>
    <cellStyle name="Percent 175 2" xfId="31589" xr:uid="{00000000-0005-0000-0000-00002D960000}"/>
    <cellStyle name="Percent 176" xfId="31590" xr:uid="{00000000-0005-0000-0000-00002E960000}"/>
    <cellStyle name="Percent 176 2" xfId="31591" xr:uid="{00000000-0005-0000-0000-00002F960000}"/>
    <cellStyle name="Percent 177" xfId="31592" xr:uid="{00000000-0005-0000-0000-000030960000}"/>
    <cellStyle name="Percent 177 2" xfId="31593" xr:uid="{00000000-0005-0000-0000-000031960000}"/>
    <cellStyle name="Percent 178" xfId="31594" xr:uid="{00000000-0005-0000-0000-000032960000}"/>
    <cellStyle name="Percent 178 2" xfId="31595" xr:uid="{00000000-0005-0000-0000-000033960000}"/>
    <cellStyle name="Percent 179" xfId="31596" xr:uid="{00000000-0005-0000-0000-000034960000}"/>
    <cellStyle name="Percent 179 2" xfId="31597" xr:uid="{00000000-0005-0000-0000-000035960000}"/>
    <cellStyle name="Percent 18" xfId="31598" xr:uid="{00000000-0005-0000-0000-000036960000}"/>
    <cellStyle name="Percent 180" xfId="31599" xr:uid="{00000000-0005-0000-0000-000037960000}"/>
    <cellStyle name="Percent 180 2" xfId="31600" xr:uid="{00000000-0005-0000-0000-000038960000}"/>
    <cellStyle name="Percent 181" xfId="31601" xr:uid="{00000000-0005-0000-0000-000039960000}"/>
    <cellStyle name="Percent 181 2" xfId="31602" xr:uid="{00000000-0005-0000-0000-00003A960000}"/>
    <cellStyle name="Percent 182" xfId="31603" xr:uid="{00000000-0005-0000-0000-00003B960000}"/>
    <cellStyle name="Percent 182 2" xfId="31604" xr:uid="{00000000-0005-0000-0000-00003C960000}"/>
    <cellStyle name="Percent 183" xfId="31605" xr:uid="{00000000-0005-0000-0000-00003D960000}"/>
    <cellStyle name="Percent 183 2" xfId="31606" xr:uid="{00000000-0005-0000-0000-00003E960000}"/>
    <cellStyle name="Percent 184" xfId="31607" xr:uid="{00000000-0005-0000-0000-00003F960000}"/>
    <cellStyle name="Percent 184 2" xfId="31608" xr:uid="{00000000-0005-0000-0000-000040960000}"/>
    <cellStyle name="Percent 185" xfId="31609" xr:uid="{00000000-0005-0000-0000-000041960000}"/>
    <cellStyle name="Percent 185 2" xfId="31610" xr:uid="{00000000-0005-0000-0000-000042960000}"/>
    <cellStyle name="Percent 186" xfId="31611" xr:uid="{00000000-0005-0000-0000-000043960000}"/>
    <cellStyle name="Percent 186 2" xfId="31612" xr:uid="{00000000-0005-0000-0000-000044960000}"/>
    <cellStyle name="Percent 187" xfId="31613" xr:uid="{00000000-0005-0000-0000-000045960000}"/>
    <cellStyle name="Percent 187 2" xfId="31614" xr:uid="{00000000-0005-0000-0000-000046960000}"/>
    <cellStyle name="Percent 188" xfId="31615" xr:uid="{00000000-0005-0000-0000-000047960000}"/>
    <cellStyle name="Percent 188 2" xfId="31616" xr:uid="{00000000-0005-0000-0000-000048960000}"/>
    <cellStyle name="Percent 189" xfId="31617" xr:uid="{00000000-0005-0000-0000-000049960000}"/>
    <cellStyle name="Percent 189 2" xfId="31618" xr:uid="{00000000-0005-0000-0000-00004A960000}"/>
    <cellStyle name="Percent 19" xfId="31619" xr:uid="{00000000-0005-0000-0000-00004B960000}"/>
    <cellStyle name="Percent 19 2" xfId="31620" xr:uid="{00000000-0005-0000-0000-00004C960000}"/>
    <cellStyle name="Percent 190" xfId="31621" xr:uid="{00000000-0005-0000-0000-00004D960000}"/>
    <cellStyle name="Percent 190 2" xfId="31622" xr:uid="{00000000-0005-0000-0000-00004E960000}"/>
    <cellStyle name="Percent 191" xfId="31623" xr:uid="{00000000-0005-0000-0000-00004F960000}"/>
    <cellStyle name="Percent 191 2" xfId="31624" xr:uid="{00000000-0005-0000-0000-000050960000}"/>
    <cellStyle name="Percent 192" xfId="31625" xr:uid="{00000000-0005-0000-0000-000051960000}"/>
    <cellStyle name="Percent 192 2" xfId="31626" xr:uid="{00000000-0005-0000-0000-000052960000}"/>
    <cellStyle name="Percent 193" xfId="31627" xr:uid="{00000000-0005-0000-0000-000053960000}"/>
    <cellStyle name="Percent 193 2" xfId="31628" xr:uid="{00000000-0005-0000-0000-000054960000}"/>
    <cellStyle name="Percent 194" xfId="31629" xr:uid="{00000000-0005-0000-0000-000055960000}"/>
    <cellStyle name="Percent 194 2" xfId="31630" xr:uid="{00000000-0005-0000-0000-000056960000}"/>
    <cellStyle name="Percent 195" xfId="31631" xr:uid="{00000000-0005-0000-0000-000057960000}"/>
    <cellStyle name="Percent 195 2" xfId="31632" xr:uid="{00000000-0005-0000-0000-000058960000}"/>
    <cellStyle name="Percent 196" xfId="31633" xr:uid="{00000000-0005-0000-0000-000059960000}"/>
    <cellStyle name="Percent 196 2" xfId="31634" xr:uid="{00000000-0005-0000-0000-00005A960000}"/>
    <cellStyle name="Percent 197" xfId="31635" xr:uid="{00000000-0005-0000-0000-00005B960000}"/>
    <cellStyle name="Percent 197 2" xfId="31636" xr:uid="{00000000-0005-0000-0000-00005C960000}"/>
    <cellStyle name="Percent 198" xfId="31637" xr:uid="{00000000-0005-0000-0000-00005D960000}"/>
    <cellStyle name="Percent 198 2" xfId="31638" xr:uid="{00000000-0005-0000-0000-00005E960000}"/>
    <cellStyle name="Percent 199" xfId="31639" xr:uid="{00000000-0005-0000-0000-00005F960000}"/>
    <cellStyle name="Percent 199 2" xfId="31640" xr:uid="{00000000-0005-0000-0000-000060960000}"/>
    <cellStyle name="Percent 2" xfId="3" xr:uid="{00000000-0005-0000-0000-000061960000}"/>
    <cellStyle name="Percent 2 2" xfId="31641" xr:uid="{00000000-0005-0000-0000-000062960000}"/>
    <cellStyle name="Percent 2 2 2" xfId="31642" xr:uid="{00000000-0005-0000-0000-000063960000}"/>
    <cellStyle name="Percent 2 2 2 2" xfId="31643" xr:uid="{00000000-0005-0000-0000-000064960000}"/>
    <cellStyle name="Percent 2 2 2 2 2" xfId="31644" xr:uid="{00000000-0005-0000-0000-000065960000}"/>
    <cellStyle name="Percent 2 2 2 2 2 2" xfId="42179" xr:uid="{C1AEB430-22A2-4B37-8C75-56A8FAA304E8}"/>
    <cellStyle name="Percent 2 2 2 2 3" xfId="42112" xr:uid="{B5403615-FCC6-4543-9144-B4C38BBE74FB}"/>
    <cellStyle name="Percent 2 2 2 2 4" xfId="42041" xr:uid="{F16174AF-F899-40E4-9907-A6EE4D950EE0}"/>
    <cellStyle name="Percent 2 2 2 3" xfId="31645" xr:uid="{00000000-0005-0000-0000-000066960000}"/>
    <cellStyle name="Percent 2 2 2 3 2" xfId="42140" xr:uid="{1E44255E-36F4-44EE-8BE7-212273A8C4D8}"/>
    <cellStyle name="Percent 2 2 2 4" xfId="31646" xr:uid="{00000000-0005-0000-0000-000067960000}"/>
    <cellStyle name="Percent 2 2 2 4 2" xfId="42092" xr:uid="{18587416-B98A-47E1-9B9E-9BD2B7B4330D}"/>
    <cellStyle name="Percent 2 2 2 5" xfId="40787" xr:uid="{00000000-0005-0000-0000-000068960000}"/>
    <cellStyle name="Percent 2 2 2 6" xfId="42018" xr:uid="{0EF4EC53-2348-49B9-ADB0-255872BD9FC2}"/>
    <cellStyle name="Percent 2 2 3" xfId="31647" xr:uid="{00000000-0005-0000-0000-000069960000}"/>
    <cellStyle name="Percent 2 2 3 2" xfId="31648" xr:uid="{00000000-0005-0000-0000-00006A960000}"/>
    <cellStyle name="Percent 2 2 3 2 2" xfId="31649" xr:uid="{00000000-0005-0000-0000-00006B960000}"/>
    <cellStyle name="Percent 2 2 3 2 2 2" xfId="31650" xr:uid="{00000000-0005-0000-0000-00006C960000}"/>
    <cellStyle name="Percent 2 2 3 2 2 3" xfId="42180" xr:uid="{5257B54E-DB9C-4CDA-83F0-AAE4428D93AE}"/>
    <cellStyle name="Percent 2 2 3 2 3" xfId="31651" xr:uid="{00000000-0005-0000-0000-00006D960000}"/>
    <cellStyle name="Percent 2 2 3 2 3 2" xfId="42113" xr:uid="{9F6F2B73-17C9-4456-B24D-8DEBFBF3D53E}"/>
    <cellStyle name="Percent 2 2 3 2 4" xfId="31652" xr:uid="{00000000-0005-0000-0000-00006E960000}"/>
    <cellStyle name="Percent 2 2 3 2 5" xfId="40788" xr:uid="{00000000-0005-0000-0000-00006F960000}"/>
    <cellStyle name="Percent 2 2 3 2 6" xfId="42042" xr:uid="{09206960-5227-4E08-B33C-D5820A1ADE98}"/>
    <cellStyle name="Percent 2 2 3 3" xfId="42141" xr:uid="{5626076E-45B3-4DD5-BC3E-97BB93500DD6}"/>
    <cellStyle name="Percent 2 2 3 4" xfId="42093" xr:uid="{FE159CCE-8E05-41CE-80FC-7476C79967C4}"/>
    <cellStyle name="Percent 2 2 3 5" xfId="42019" xr:uid="{33842B87-42C8-40A5-A665-E0AF824B76B0}"/>
    <cellStyle name="Percent 2 2 4" xfId="31653" xr:uid="{00000000-0005-0000-0000-000070960000}"/>
    <cellStyle name="Percent 2 3" xfId="31654" xr:uid="{00000000-0005-0000-0000-000071960000}"/>
    <cellStyle name="Percent 2 3 2" xfId="31655" xr:uid="{00000000-0005-0000-0000-000072960000}"/>
    <cellStyle name="Percent 2 3 2 2" xfId="31656" xr:uid="{00000000-0005-0000-0000-000073960000}"/>
    <cellStyle name="Percent 2 3 2 2 2" xfId="31657" xr:uid="{00000000-0005-0000-0000-000074960000}"/>
    <cellStyle name="Percent 2 3 2 2 3" xfId="42181" xr:uid="{62FFD227-1E34-45B1-A35E-68E5F2EF9604}"/>
    <cellStyle name="Percent 2 3 2 3" xfId="31658" xr:uid="{00000000-0005-0000-0000-000075960000}"/>
    <cellStyle name="Percent 2 3 2 3 2" xfId="42114" xr:uid="{A86BB675-B94E-45B7-B199-41094A546148}"/>
    <cellStyle name="Percent 2 3 2 4" xfId="31659" xr:uid="{00000000-0005-0000-0000-000076960000}"/>
    <cellStyle name="Percent 2 3 2 5" xfId="40789" xr:uid="{00000000-0005-0000-0000-000077960000}"/>
    <cellStyle name="Percent 2 3 2 6" xfId="42043" xr:uid="{AA2492C7-2DD5-40C3-9632-5957C4DDDB21}"/>
    <cellStyle name="Percent 2 3 3" xfId="31660" xr:uid="{00000000-0005-0000-0000-000078960000}"/>
    <cellStyle name="Percent 2 3 3 2" xfId="31661" xr:uid="{00000000-0005-0000-0000-000079960000}"/>
    <cellStyle name="Percent 2 3 3 2 2" xfId="31662" xr:uid="{00000000-0005-0000-0000-00007A960000}"/>
    <cellStyle name="Percent 2 3 3 3" xfId="31663" xr:uid="{00000000-0005-0000-0000-00007B960000}"/>
    <cellStyle name="Percent 2 3 3 4" xfId="31664" xr:uid="{00000000-0005-0000-0000-00007C960000}"/>
    <cellStyle name="Percent 2 3 3 5" xfId="40790" xr:uid="{00000000-0005-0000-0000-00007D960000}"/>
    <cellStyle name="Percent 2 3 3 6" xfId="42142" xr:uid="{B1F3AFB4-8A1A-455A-A2B1-1318FB9C9E69}"/>
    <cellStyle name="Percent 2 3 4" xfId="42094" xr:uid="{8BE9065A-EAB1-4E80-8089-86CF18F6C6ED}"/>
    <cellStyle name="Percent 2 3 5" xfId="42020" xr:uid="{D14DF12A-EDFA-4C0E-B97C-CF6665463B5E}"/>
    <cellStyle name="Percent 2 4" xfId="31665" xr:uid="{00000000-0005-0000-0000-00007E960000}"/>
    <cellStyle name="Percent 2 4 2" xfId="31666" xr:uid="{00000000-0005-0000-0000-00007F960000}"/>
    <cellStyle name="Percent 2 4 2 2" xfId="31667" xr:uid="{00000000-0005-0000-0000-000080960000}"/>
    <cellStyle name="Percent 2 4 2 2 2" xfId="31668" xr:uid="{00000000-0005-0000-0000-000081960000}"/>
    <cellStyle name="Percent 2 4 2 2 3" xfId="42182" xr:uid="{8C049C5A-7B26-402B-9C0E-3D008073DAC8}"/>
    <cellStyle name="Percent 2 4 2 3" xfId="31669" xr:uid="{00000000-0005-0000-0000-000082960000}"/>
    <cellStyle name="Percent 2 4 2 3 2" xfId="42115" xr:uid="{7D1EA9A7-A68B-4E3A-8B08-3291CCAA0557}"/>
    <cellStyle name="Percent 2 4 2 4" xfId="31670" xr:uid="{00000000-0005-0000-0000-000083960000}"/>
    <cellStyle name="Percent 2 4 2 5" xfId="40791" xr:uid="{00000000-0005-0000-0000-000084960000}"/>
    <cellStyle name="Percent 2 4 2 6" xfId="42044" xr:uid="{37C7BD8A-F8F3-4EB5-94E8-0157240A9B4C}"/>
    <cellStyle name="Percent 2 4 3" xfId="31671" xr:uid="{00000000-0005-0000-0000-000085960000}"/>
    <cellStyle name="Percent 2 4 3 2" xfId="31672" xr:uid="{00000000-0005-0000-0000-000086960000}"/>
    <cellStyle name="Percent 2 4 3 2 2" xfId="31673" xr:uid="{00000000-0005-0000-0000-000087960000}"/>
    <cellStyle name="Percent 2 4 3 3" xfId="31674" xr:uid="{00000000-0005-0000-0000-000088960000}"/>
    <cellStyle name="Percent 2 4 3 4" xfId="31675" xr:uid="{00000000-0005-0000-0000-000089960000}"/>
    <cellStyle name="Percent 2 4 3 5" xfId="40792" xr:uid="{00000000-0005-0000-0000-00008A960000}"/>
    <cellStyle name="Percent 2 4 3 6" xfId="42143" xr:uid="{1B970D05-2E6C-4C33-BC98-5F7302B89207}"/>
    <cellStyle name="Percent 2 4 4" xfId="31676" xr:uid="{00000000-0005-0000-0000-00008B960000}"/>
    <cellStyle name="Percent 2 4 4 2" xfId="31677" xr:uid="{00000000-0005-0000-0000-00008C960000}"/>
    <cellStyle name="Percent 2 4 4 2 2" xfId="31678" xr:uid="{00000000-0005-0000-0000-00008D960000}"/>
    <cellStyle name="Percent 2 4 4 3" xfId="31679" xr:uid="{00000000-0005-0000-0000-00008E960000}"/>
    <cellStyle name="Percent 2 4 4 4" xfId="31680" xr:uid="{00000000-0005-0000-0000-00008F960000}"/>
    <cellStyle name="Percent 2 4 4 5" xfId="42095" xr:uid="{5ABCA34B-84B2-4FD5-B99A-8A7A48AB3ED8}"/>
    <cellStyle name="Percent 2 4 5" xfId="42021" xr:uid="{2CE5F6B9-61EB-42E9-95E7-42762DD4BCF4}"/>
    <cellStyle name="Percent 2 5" xfId="31681" xr:uid="{00000000-0005-0000-0000-000090960000}"/>
    <cellStyle name="Percent 2 5 2" xfId="31682" xr:uid="{00000000-0005-0000-0000-000091960000}"/>
    <cellStyle name="Percent 2 5 2 2" xfId="31683" xr:uid="{00000000-0005-0000-0000-000092960000}"/>
    <cellStyle name="Percent 2 5 3" xfId="31684" xr:uid="{00000000-0005-0000-0000-000093960000}"/>
    <cellStyle name="Percent 2 5 4" xfId="31685" xr:uid="{00000000-0005-0000-0000-000094960000}"/>
    <cellStyle name="Percent 2 5 5" xfId="40793" xr:uid="{00000000-0005-0000-0000-000095960000}"/>
    <cellStyle name="Percent 2 6" xfId="31686" xr:uid="{00000000-0005-0000-0000-000096960000}"/>
    <cellStyle name="Percent 2 6 2" xfId="31687" xr:uid="{00000000-0005-0000-0000-000097960000}"/>
    <cellStyle name="Percent 2 6 2 2" xfId="31688" xr:uid="{00000000-0005-0000-0000-000098960000}"/>
    <cellStyle name="Percent 2 6 3" xfId="31689" xr:uid="{00000000-0005-0000-0000-000099960000}"/>
    <cellStyle name="Percent 2 6 4" xfId="31690" xr:uid="{00000000-0005-0000-0000-00009A960000}"/>
    <cellStyle name="Percent 2 6 5" xfId="40794" xr:uid="{00000000-0005-0000-0000-00009B960000}"/>
    <cellStyle name="Percent 2 7" xfId="42393" xr:uid="{91943831-DC75-426B-998C-6FCA5601FA55}"/>
    <cellStyle name="Percent 20" xfId="31691" xr:uid="{00000000-0005-0000-0000-00009C960000}"/>
    <cellStyle name="Percent 20 2" xfId="31692" xr:uid="{00000000-0005-0000-0000-00009D960000}"/>
    <cellStyle name="Percent 200" xfId="31693" xr:uid="{00000000-0005-0000-0000-00009E960000}"/>
    <cellStyle name="Percent 200 2" xfId="31694" xr:uid="{00000000-0005-0000-0000-00009F960000}"/>
    <cellStyle name="Percent 201" xfId="31695" xr:uid="{00000000-0005-0000-0000-0000A0960000}"/>
    <cellStyle name="Percent 201 2" xfId="31696" xr:uid="{00000000-0005-0000-0000-0000A1960000}"/>
    <cellStyle name="Percent 202" xfId="31697" xr:uid="{00000000-0005-0000-0000-0000A2960000}"/>
    <cellStyle name="Percent 202 2" xfId="31698" xr:uid="{00000000-0005-0000-0000-0000A3960000}"/>
    <cellStyle name="Percent 203" xfId="31699" xr:uid="{00000000-0005-0000-0000-0000A4960000}"/>
    <cellStyle name="Percent 203 2" xfId="31700" xr:uid="{00000000-0005-0000-0000-0000A5960000}"/>
    <cellStyle name="Percent 204" xfId="31701" xr:uid="{00000000-0005-0000-0000-0000A6960000}"/>
    <cellStyle name="Percent 204 2" xfId="31702" xr:uid="{00000000-0005-0000-0000-0000A7960000}"/>
    <cellStyle name="Percent 205" xfId="31703" xr:uid="{00000000-0005-0000-0000-0000A8960000}"/>
    <cellStyle name="Percent 205 2" xfId="31704" xr:uid="{00000000-0005-0000-0000-0000A9960000}"/>
    <cellStyle name="Percent 206" xfId="31705" xr:uid="{00000000-0005-0000-0000-0000AA960000}"/>
    <cellStyle name="Percent 206 2" xfId="31706" xr:uid="{00000000-0005-0000-0000-0000AB960000}"/>
    <cellStyle name="Percent 207" xfId="31707" xr:uid="{00000000-0005-0000-0000-0000AC960000}"/>
    <cellStyle name="Percent 207 2" xfId="31708" xr:uid="{00000000-0005-0000-0000-0000AD960000}"/>
    <cellStyle name="Percent 208" xfId="31709" xr:uid="{00000000-0005-0000-0000-0000AE960000}"/>
    <cellStyle name="Percent 208 2" xfId="31710" xr:uid="{00000000-0005-0000-0000-0000AF960000}"/>
    <cellStyle name="Percent 209" xfId="31711" xr:uid="{00000000-0005-0000-0000-0000B0960000}"/>
    <cellStyle name="Percent 209 2" xfId="31712" xr:uid="{00000000-0005-0000-0000-0000B1960000}"/>
    <cellStyle name="Percent 21" xfId="31713" xr:uid="{00000000-0005-0000-0000-0000B2960000}"/>
    <cellStyle name="Percent 21 2" xfId="31714" xr:uid="{00000000-0005-0000-0000-0000B3960000}"/>
    <cellStyle name="Percent 210" xfId="31715" xr:uid="{00000000-0005-0000-0000-0000B4960000}"/>
    <cellStyle name="Percent 210 2" xfId="31716" xr:uid="{00000000-0005-0000-0000-0000B5960000}"/>
    <cellStyle name="Percent 211" xfId="31717" xr:uid="{00000000-0005-0000-0000-0000B6960000}"/>
    <cellStyle name="Percent 212" xfId="31718" xr:uid="{00000000-0005-0000-0000-0000B7960000}"/>
    <cellStyle name="Percent 212 2" xfId="31719" xr:uid="{00000000-0005-0000-0000-0000B8960000}"/>
    <cellStyle name="Percent 213" xfId="31720" xr:uid="{00000000-0005-0000-0000-0000B9960000}"/>
    <cellStyle name="Percent 213 2" xfId="31721" xr:uid="{00000000-0005-0000-0000-0000BA960000}"/>
    <cellStyle name="Percent 214" xfId="31722" xr:uid="{00000000-0005-0000-0000-0000BB960000}"/>
    <cellStyle name="Percent 214 2" xfId="31723" xr:uid="{00000000-0005-0000-0000-0000BC960000}"/>
    <cellStyle name="Percent 215" xfId="31724" xr:uid="{00000000-0005-0000-0000-0000BD960000}"/>
    <cellStyle name="Percent 215 2" xfId="31725" xr:uid="{00000000-0005-0000-0000-0000BE960000}"/>
    <cellStyle name="Percent 216" xfId="31726" xr:uid="{00000000-0005-0000-0000-0000BF960000}"/>
    <cellStyle name="Percent 216 2" xfId="31727" xr:uid="{00000000-0005-0000-0000-0000C0960000}"/>
    <cellStyle name="Percent 217" xfId="31728" xr:uid="{00000000-0005-0000-0000-0000C1960000}"/>
    <cellStyle name="Percent 217 2" xfId="31729" xr:uid="{00000000-0005-0000-0000-0000C2960000}"/>
    <cellStyle name="Percent 217 2 2" xfId="31730" xr:uid="{00000000-0005-0000-0000-0000C3960000}"/>
    <cellStyle name="Percent 217 2 2 2" xfId="31731" xr:uid="{00000000-0005-0000-0000-0000C4960000}"/>
    <cellStyle name="Percent 217 2 2 2 2" xfId="31732" xr:uid="{00000000-0005-0000-0000-0000C5960000}"/>
    <cellStyle name="Percent 217 2 2 3" xfId="31733" xr:uid="{00000000-0005-0000-0000-0000C6960000}"/>
    <cellStyle name="Percent 217 2 2 4" xfId="31734" xr:uid="{00000000-0005-0000-0000-0000C7960000}"/>
    <cellStyle name="Percent 217 2 2 5" xfId="40796" xr:uid="{00000000-0005-0000-0000-0000C8960000}"/>
    <cellStyle name="Percent 217 2 3" xfId="31735" xr:uid="{00000000-0005-0000-0000-0000C9960000}"/>
    <cellStyle name="Percent 217 2 3 2" xfId="31736" xr:uid="{00000000-0005-0000-0000-0000CA960000}"/>
    <cellStyle name="Percent 217 2 4" xfId="31737" xr:uid="{00000000-0005-0000-0000-0000CB960000}"/>
    <cellStyle name="Percent 217 2 5" xfId="31738" xr:uid="{00000000-0005-0000-0000-0000CC960000}"/>
    <cellStyle name="Percent 217 2 6" xfId="40795" xr:uid="{00000000-0005-0000-0000-0000CD960000}"/>
    <cellStyle name="Percent 217 3" xfId="31739" xr:uid="{00000000-0005-0000-0000-0000CE960000}"/>
    <cellStyle name="Percent 217 3 2" xfId="31740" xr:uid="{00000000-0005-0000-0000-0000CF960000}"/>
    <cellStyle name="Percent 217 3 2 2" xfId="31741" xr:uid="{00000000-0005-0000-0000-0000D0960000}"/>
    <cellStyle name="Percent 217 3 3" xfId="31742" xr:uid="{00000000-0005-0000-0000-0000D1960000}"/>
    <cellStyle name="Percent 217 3 4" xfId="31743" xr:uid="{00000000-0005-0000-0000-0000D2960000}"/>
    <cellStyle name="Percent 217 3 5" xfId="40797" xr:uid="{00000000-0005-0000-0000-0000D3960000}"/>
    <cellStyle name="Percent 217 4" xfId="31744" xr:uid="{00000000-0005-0000-0000-0000D4960000}"/>
    <cellStyle name="Percent 217 5" xfId="31745" xr:uid="{00000000-0005-0000-0000-0000D5960000}"/>
    <cellStyle name="Percent 217 5 2" xfId="31746" xr:uid="{00000000-0005-0000-0000-0000D6960000}"/>
    <cellStyle name="Percent 217 6" xfId="31747" xr:uid="{00000000-0005-0000-0000-0000D7960000}"/>
    <cellStyle name="Percent 217 7" xfId="31748" xr:uid="{00000000-0005-0000-0000-0000D8960000}"/>
    <cellStyle name="Percent 218" xfId="31749" xr:uid="{00000000-0005-0000-0000-0000D9960000}"/>
    <cellStyle name="Percent 218 2" xfId="31750" xr:uid="{00000000-0005-0000-0000-0000DA960000}"/>
    <cellStyle name="Percent 218 2 2" xfId="31751" xr:uid="{00000000-0005-0000-0000-0000DB960000}"/>
    <cellStyle name="Percent 218 2 2 2" xfId="31752" xr:uid="{00000000-0005-0000-0000-0000DC960000}"/>
    <cellStyle name="Percent 218 2 2 2 2" xfId="31753" xr:uid="{00000000-0005-0000-0000-0000DD960000}"/>
    <cellStyle name="Percent 218 2 2 3" xfId="31754" xr:uid="{00000000-0005-0000-0000-0000DE960000}"/>
    <cellStyle name="Percent 218 2 2 4" xfId="31755" xr:uid="{00000000-0005-0000-0000-0000DF960000}"/>
    <cellStyle name="Percent 218 2 2 5" xfId="40799" xr:uid="{00000000-0005-0000-0000-0000E0960000}"/>
    <cellStyle name="Percent 218 2 3" xfId="31756" xr:uid="{00000000-0005-0000-0000-0000E1960000}"/>
    <cellStyle name="Percent 218 2 3 2" xfId="31757" xr:uid="{00000000-0005-0000-0000-0000E2960000}"/>
    <cellStyle name="Percent 218 2 4" xfId="31758" xr:uid="{00000000-0005-0000-0000-0000E3960000}"/>
    <cellStyle name="Percent 218 2 5" xfId="31759" xr:uid="{00000000-0005-0000-0000-0000E4960000}"/>
    <cellStyle name="Percent 218 2 6" xfId="40798" xr:uid="{00000000-0005-0000-0000-0000E5960000}"/>
    <cellStyle name="Percent 218 3" xfId="31760" xr:uid="{00000000-0005-0000-0000-0000E6960000}"/>
    <cellStyle name="Percent 218 3 2" xfId="31761" xr:uid="{00000000-0005-0000-0000-0000E7960000}"/>
    <cellStyle name="Percent 218 3 2 2" xfId="31762" xr:uid="{00000000-0005-0000-0000-0000E8960000}"/>
    <cellStyle name="Percent 218 3 3" xfId="31763" xr:uid="{00000000-0005-0000-0000-0000E9960000}"/>
    <cellStyle name="Percent 218 3 4" xfId="31764" xr:uid="{00000000-0005-0000-0000-0000EA960000}"/>
    <cellStyle name="Percent 218 3 5" xfId="40800" xr:uid="{00000000-0005-0000-0000-0000EB960000}"/>
    <cellStyle name="Percent 218 4" xfId="31765" xr:uid="{00000000-0005-0000-0000-0000EC960000}"/>
    <cellStyle name="Percent 218 5" xfId="31766" xr:uid="{00000000-0005-0000-0000-0000ED960000}"/>
    <cellStyle name="Percent 218 5 2" xfId="31767" xr:uid="{00000000-0005-0000-0000-0000EE960000}"/>
    <cellStyle name="Percent 218 6" xfId="31768" xr:uid="{00000000-0005-0000-0000-0000EF960000}"/>
    <cellStyle name="Percent 218 7" xfId="31769" xr:uid="{00000000-0005-0000-0000-0000F0960000}"/>
    <cellStyle name="Percent 219" xfId="31770" xr:uid="{00000000-0005-0000-0000-0000F1960000}"/>
    <cellStyle name="Percent 219 2" xfId="31771" xr:uid="{00000000-0005-0000-0000-0000F2960000}"/>
    <cellStyle name="Percent 219 2 2" xfId="31772" xr:uid="{00000000-0005-0000-0000-0000F3960000}"/>
    <cellStyle name="Percent 219 2 2 2" xfId="31773" xr:uid="{00000000-0005-0000-0000-0000F4960000}"/>
    <cellStyle name="Percent 219 2 2 2 2" xfId="31774" xr:uid="{00000000-0005-0000-0000-0000F5960000}"/>
    <cellStyle name="Percent 219 2 2 3" xfId="31775" xr:uid="{00000000-0005-0000-0000-0000F6960000}"/>
    <cellStyle name="Percent 219 2 2 4" xfId="31776" xr:uid="{00000000-0005-0000-0000-0000F7960000}"/>
    <cellStyle name="Percent 219 2 2 5" xfId="40802" xr:uid="{00000000-0005-0000-0000-0000F8960000}"/>
    <cellStyle name="Percent 219 2 3" xfId="31777" xr:uid="{00000000-0005-0000-0000-0000F9960000}"/>
    <cellStyle name="Percent 219 2 3 2" xfId="31778" xr:uid="{00000000-0005-0000-0000-0000FA960000}"/>
    <cellStyle name="Percent 219 2 4" xfId="31779" xr:uid="{00000000-0005-0000-0000-0000FB960000}"/>
    <cellStyle name="Percent 219 2 5" xfId="31780" xr:uid="{00000000-0005-0000-0000-0000FC960000}"/>
    <cellStyle name="Percent 219 2 6" xfId="40801" xr:uid="{00000000-0005-0000-0000-0000FD960000}"/>
    <cellStyle name="Percent 219 3" xfId="31781" xr:uid="{00000000-0005-0000-0000-0000FE960000}"/>
    <cellStyle name="Percent 219 3 2" xfId="31782" xr:uid="{00000000-0005-0000-0000-0000FF960000}"/>
    <cellStyle name="Percent 219 3 2 2" xfId="31783" xr:uid="{00000000-0005-0000-0000-000000970000}"/>
    <cellStyle name="Percent 219 3 3" xfId="31784" xr:uid="{00000000-0005-0000-0000-000001970000}"/>
    <cellStyle name="Percent 219 3 4" xfId="31785" xr:uid="{00000000-0005-0000-0000-000002970000}"/>
    <cellStyle name="Percent 219 3 5" xfId="40803" xr:uid="{00000000-0005-0000-0000-000003970000}"/>
    <cellStyle name="Percent 219 4" xfId="31786" xr:uid="{00000000-0005-0000-0000-000004970000}"/>
    <cellStyle name="Percent 219 5" xfId="31787" xr:uid="{00000000-0005-0000-0000-000005970000}"/>
    <cellStyle name="Percent 219 5 2" xfId="31788" xr:uid="{00000000-0005-0000-0000-000006970000}"/>
    <cellStyle name="Percent 219 6" xfId="31789" xr:uid="{00000000-0005-0000-0000-000007970000}"/>
    <cellStyle name="Percent 219 7" xfId="31790" xr:uid="{00000000-0005-0000-0000-000008970000}"/>
    <cellStyle name="Percent 22" xfId="31791" xr:uid="{00000000-0005-0000-0000-000009970000}"/>
    <cellStyle name="Percent 22 2" xfId="31792" xr:uid="{00000000-0005-0000-0000-00000A970000}"/>
    <cellStyle name="Percent 22 2 2" xfId="31793" xr:uid="{00000000-0005-0000-0000-00000B970000}"/>
    <cellStyle name="Percent 22 3" xfId="31794" xr:uid="{00000000-0005-0000-0000-00000C970000}"/>
    <cellStyle name="Percent 220" xfId="31795" xr:uid="{00000000-0005-0000-0000-00000D970000}"/>
    <cellStyle name="Percent 220 2" xfId="31796" xr:uid="{00000000-0005-0000-0000-00000E970000}"/>
    <cellStyle name="Percent 220 2 2" xfId="31797" xr:uid="{00000000-0005-0000-0000-00000F970000}"/>
    <cellStyle name="Percent 220 2 2 2" xfId="31798" xr:uid="{00000000-0005-0000-0000-000010970000}"/>
    <cellStyle name="Percent 220 2 2 2 2" xfId="31799" xr:uid="{00000000-0005-0000-0000-000011970000}"/>
    <cellStyle name="Percent 220 2 2 3" xfId="31800" xr:uid="{00000000-0005-0000-0000-000012970000}"/>
    <cellStyle name="Percent 220 2 2 4" xfId="31801" xr:uid="{00000000-0005-0000-0000-000013970000}"/>
    <cellStyle name="Percent 220 2 2 5" xfId="40805" xr:uid="{00000000-0005-0000-0000-000014970000}"/>
    <cellStyle name="Percent 220 2 3" xfId="31802" xr:uid="{00000000-0005-0000-0000-000015970000}"/>
    <cellStyle name="Percent 220 2 3 2" xfId="31803" xr:uid="{00000000-0005-0000-0000-000016970000}"/>
    <cellStyle name="Percent 220 2 4" xfId="31804" xr:uid="{00000000-0005-0000-0000-000017970000}"/>
    <cellStyle name="Percent 220 2 5" xfId="31805" xr:uid="{00000000-0005-0000-0000-000018970000}"/>
    <cellStyle name="Percent 220 2 6" xfId="40804" xr:uid="{00000000-0005-0000-0000-000019970000}"/>
    <cellStyle name="Percent 220 3" xfId="31806" xr:uid="{00000000-0005-0000-0000-00001A970000}"/>
    <cellStyle name="Percent 220 3 2" xfId="31807" xr:uid="{00000000-0005-0000-0000-00001B970000}"/>
    <cellStyle name="Percent 220 3 2 2" xfId="31808" xr:uid="{00000000-0005-0000-0000-00001C970000}"/>
    <cellStyle name="Percent 220 3 3" xfId="31809" xr:uid="{00000000-0005-0000-0000-00001D970000}"/>
    <cellStyle name="Percent 220 3 4" xfId="31810" xr:uid="{00000000-0005-0000-0000-00001E970000}"/>
    <cellStyle name="Percent 220 3 5" xfId="40806" xr:uid="{00000000-0005-0000-0000-00001F970000}"/>
    <cellStyle name="Percent 220 4" xfId="31811" xr:uid="{00000000-0005-0000-0000-000020970000}"/>
    <cellStyle name="Percent 220 5" xfId="31812" xr:uid="{00000000-0005-0000-0000-000021970000}"/>
    <cellStyle name="Percent 220 5 2" xfId="31813" xr:uid="{00000000-0005-0000-0000-000022970000}"/>
    <cellStyle name="Percent 220 6" xfId="31814" xr:uid="{00000000-0005-0000-0000-000023970000}"/>
    <cellStyle name="Percent 220 7" xfId="31815" xr:uid="{00000000-0005-0000-0000-000024970000}"/>
    <cellStyle name="Percent 220 8" xfId="36154" xr:uid="{00000000-0005-0000-0000-000025970000}"/>
    <cellStyle name="Percent 221" xfId="31816" xr:uid="{00000000-0005-0000-0000-000026970000}"/>
    <cellStyle name="Percent 221 2" xfId="31817" xr:uid="{00000000-0005-0000-0000-000027970000}"/>
    <cellStyle name="Percent 221 2 2" xfId="31818" xr:uid="{00000000-0005-0000-0000-000028970000}"/>
    <cellStyle name="Percent 221 2 2 2" xfId="31819" xr:uid="{00000000-0005-0000-0000-000029970000}"/>
    <cellStyle name="Percent 221 2 2 2 2" xfId="31820" xr:uid="{00000000-0005-0000-0000-00002A970000}"/>
    <cellStyle name="Percent 221 2 2 3" xfId="31821" xr:uid="{00000000-0005-0000-0000-00002B970000}"/>
    <cellStyle name="Percent 221 2 2 4" xfId="31822" xr:uid="{00000000-0005-0000-0000-00002C970000}"/>
    <cellStyle name="Percent 221 2 2 5" xfId="40808" xr:uid="{00000000-0005-0000-0000-00002D970000}"/>
    <cellStyle name="Percent 221 2 3" xfId="31823" xr:uid="{00000000-0005-0000-0000-00002E970000}"/>
    <cellStyle name="Percent 221 2 3 2" xfId="31824" xr:uid="{00000000-0005-0000-0000-00002F970000}"/>
    <cellStyle name="Percent 221 2 4" xfId="31825" xr:uid="{00000000-0005-0000-0000-000030970000}"/>
    <cellStyle name="Percent 221 2 5" xfId="31826" xr:uid="{00000000-0005-0000-0000-000031970000}"/>
    <cellStyle name="Percent 221 2 6" xfId="40807" xr:uid="{00000000-0005-0000-0000-000032970000}"/>
    <cellStyle name="Percent 221 3" xfId="31827" xr:uid="{00000000-0005-0000-0000-000033970000}"/>
    <cellStyle name="Percent 221 3 2" xfId="31828" xr:uid="{00000000-0005-0000-0000-000034970000}"/>
    <cellStyle name="Percent 221 3 2 2" xfId="31829" xr:uid="{00000000-0005-0000-0000-000035970000}"/>
    <cellStyle name="Percent 221 3 3" xfId="31830" xr:uid="{00000000-0005-0000-0000-000036970000}"/>
    <cellStyle name="Percent 221 3 4" xfId="31831" xr:uid="{00000000-0005-0000-0000-000037970000}"/>
    <cellStyle name="Percent 221 3 5" xfId="40809" xr:uid="{00000000-0005-0000-0000-000038970000}"/>
    <cellStyle name="Percent 221 4" xfId="31832" xr:uid="{00000000-0005-0000-0000-000039970000}"/>
    <cellStyle name="Percent 221 5" xfId="31833" xr:uid="{00000000-0005-0000-0000-00003A970000}"/>
    <cellStyle name="Percent 221 5 2" xfId="31834" xr:uid="{00000000-0005-0000-0000-00003B970000}"/>
    <cellStyle name="Percent 221 6" xfId="31835" xr:uid="{00000000-0005-0000-0000-00003C970000}"/>
    <cellStyle name="Percent 221 7" xfId="31836" xr:uid="{00000000-0005-0000-0000-00003D970000}"/>
    <cellStyle name="Percent 221 8" xfId="36155" xr:uid="{00000000-0005-0000-0000-00003E970000}"/>
    <cellStyle name="Percent 222" xfId="31837" xr:uid="{00000000-0005-0000-0000-00003F970000}"/>
    <cellStyle name="Percent 222 2" xfId="31838" xr:uid="{00000000-0005-0000-0000-000040970000}"/>
    <cellStyle name="Percent 222 2 2" xfId="31839" xr:uid="{00000000-0005-0000-0000-000041970000}"/>
    <cellStyle name="Percent 222 2 2 2" xfId="31840" xr:uid="{00000000-0005-0000-0000-000042970000}"/>
    <cellStyle name="Percent 222 2 2 2 2" xfId="31841" xr:uid="{00000000-0005-0000-0000-000043970000}"/>
    <cellStyle name="Percent 222 2 2 3" xfId="31842" xr:uid="{00000000-0005-0000-0000-000044970000}"/>
    <cellStyle name="Percent 222 2 2 4" xfId="31843" xr:uid="{00000000-0005-0000-0000-000045970000}"/>
    <cellStyle name="Percent 222 2 2 5" xfId="40811" xr:uid="{00000000-0005-0000-0000-000046970000}"/>
    <cellStyle name="Percent 222 2 3" xfId="31844" xr:uid="{00000000-0005-0000-0000-000047970000}"/>
    <cellStyle name="Percent 222 2 3 2" xfId="31845" xr:uid="{00000000-0005-0000-0000-000048970000}"/>
    <cellStyle name="Percent 222 2 4" xfId="31846" xr:uid="{00000000-0005-0000-0000-000049970000}"/>
    <cellStyle name="Percent 222 2 5" xfId="31847" xr:uid="{00000000-0005-0000-0000-00004A970000}"/>
    <cellStyle name="Percent 222 2 6" xfId="40810" xr:uid="{00000000-0005-0000-0000-00004B970000}"/>
    <cellStyle name="Percent 222 3" xfId="31848" xr:uid="{00000000-0005-0000-0000-00004C970000}"/>
    <cellStyle name="Percent 222 3 2" xfId="31849" xr:uid="{00000000-0005-0000-0000-00004D970000}"/>
    <cellStyle name="Percent 222 3 2 2" xfId="31850" xr:uid="{00000000-0005-0000-0000-00004E970000}"/>
    <cellStyle name="Percent 222 3 3" xfId="31851" xr:uid="{00000000-0005-0000-0000-00004F970000}"/>
    <cellStyle name="Percent 222 3 4" xfId="31852" xr:uid="{00000000-0005-0000-0000-000050970000}"/>
    <cellStyle name="Percent 222 3 5" xfId="40812" xr:uid="{00000000-0005-0000-0000-000051970000}"/>
    <cellStyle name="Percent 222 4" xfId="31853" xr:uid="{00000000-0005-0000-0000-000052970000}"/>
    <cellStyle name="Percent 222 5" xfId="31854" xr:uid="{00000000-0005-0000-0000-000053970000}"/>
    <cellStyle name="Percent 222 5 2" xfId="31855" xr:uid="{00000000-0005-0000-0000-000054970000}"/>
    <cellStyle name="Percent 222 6" xfId="31856" xr:uid="{00000000-0005-0000-0000-000055970000}"/>
    <cellStyle name="Percent 222 7" xfId="31857" xr:uid="{00000000-0005-0000-0000-000056970000}"/>
    <cellStyle name="Percent 222 8" xfId="36156" xr:uid="{00000000-0005-0000-0000-000057970000}"/>
    <cellStyle name="Percent 223" xfId="31858" xr:uid="{00000000-0005-0000-0000-000058970000}"/>
    <cellStyle name="Percent 223 2" xfId="31859" xr:uid="{00000000-0005-0000-0000-000059970000}"/>
    <cellStyle name="Percent 223 2 2" xfId="31860" xr:uid="{00000000-0005-0000-0000-00005A970000}"/>
    <cellStyle name="Percent 223 2 2 2" xfId="31861" xr:uid="{00000000-0005-0000-0000-00005B970000}"/>
    <cellStyle name="Percent 223 2 2 2 2" xfId="31862" xr:uid="{00000000-0005-0000-0000-00005C970000}"/>
    <cellStyle name="Percent 223 2 2 3" xfId="31863" xr:uid="{00000000-0005-0000-0000-00005D970000}"/>
    <cellStyle name="Percent 223 2 2 4" xfId="31864" xr:uid="{00000000-0005-0000-0000-00005E970000}"/>
    <cellStyle name="Percent 223 2 2 5" xfId="40814" xr:uid="{00000000-0005-0000-0000-00005F970000}"/>
    <cellStyle name="Percent 223 2 3" xfId="31865" xr:uid="{00000000-0005-0000-0000-000060970000}"/>
    <cellStyle name="Percent 223 2 3 2" xfId="31866" xr:uid="{00000000-0005-0000-0000-000061970000}"/>
    <cellStyle name="Percent 223 2 4" xfId="31867" xr:uid="{00000000-0005-0000-0000-000062970000}"/>
    <cellStyle name="Percent 223 2 5" xfId="31868" xr:uid="{00000000-0005-0000-0000-000063970000}"/>
    <cellStyle name="Percent 223 2 6" xfId="40813" xr:uid="{00000000-0005-0000-0000-000064970000}"/>
    <cellStyle name="Percent 223 3" xfId="31869" xr:uid="{00000000-0005-0000-0000-000065970000}"/>
    <cellStyle name="Percent 223 3 2" xfId="31870" xr:uid="{00000000-0005-0000-0000-000066970000}"/>
    <cellStyle name="Percent 223 3 2 2" xfId="31871" xr:uid="{00000000-0005-0000-0000-000067970000}"/>
    <cellStyle name="Percent 223 3 3" xfId="31872" xr:uid="{00000000-0005-0000-0000-000068970000}"/>
    <cellStyle name="Percent 223 3 4" xfId="31873" xr:uid="{00000000-0005-0000-0000-000069970000}"/>
    <cellStyle name="Percent 223 3 5" xfId="40815" xr:uid="{00000000-0005-0000-0000-00006A970000}"/>
    <cellStyle name="Percent 223 4" xfId="31874" xr:uid="{00000000-0005-0000-0000-00006B970000}"/>
    <cellStyle name="Percent 223 5" xfId="31875" xr:uid="{00000000-0005-0000-0000-00006C970000}"/>
    <cellStyle name="Percent 223 5 2" xfId="31876" xr:uid="{00000000-0005-0000-0000-00006D970000}"/>
    <cellStyle name="Percent 223 6" xfId="31877" xr:uid="{00000000-0005-0000-0000-00006E970000}"/>
    <cellStyle name="Percent 223 7" xfId="31878" xr:uid="{00000000-0005-0000-0000-00006F970000}"/>
    <cellStyle name="Percent 223 8" xfId="36157" xr:uid="{00000000-0005-0000-0000-000070970000}"/>
    <cellStyle name="Percent 224" xfId="31879" xr:uid="{00000000-0005-0000-0000-000071970000}"/>
    <cellStyle name="Percent 224 2" xfId="31880" xr:uid="{00000000-0005-0000-0000-000072970000}"/>
    <cellStyle name="Percent 224 2 2" xfId="31881" xr:uid="{00000000-0005-0000-0000-000073970000}"/>
    <cellStyle name="Percent 224 2 2 2" xfId="31882" xr:uid="{00000000-0005-0000-0000-000074970000}"/>
    <cellStyle name="Percent 224 2 2 2 2" xfId="31883" xr:uid="{00000000-0005-0000-0000-000075970000}"/>
    <cellStyle name="Percent 224 2 2 3" xfId="31884" xr:uid="{00000000-0005-0000-0000-000076970000}"/>
    <cellStyle name="Percent 224 2 2 4" xfId="31885" xr:uid="{00000000-0005-0000-0000-000077970000}"/>
    <cellStyle name="Percent 224 2 2 5" xfId="40817" xr:uid="{00000000-0005-0000-0000-000078970000}"/>
    <cellStyle name="Percent 224 2 3" xfId="31886" xr:uid="{00000000-0005-0000-0000-000079970000}"/>
    <cellStyle name="Percent 224 2 3 2" xfId="31887" xr:uid="{00000000-0005-0000-0000-00007A970000}"/>
    <cellStyle name="Percent 224 2 4" xfId="31888" xr:uid="{00000000-0005-0000-0000-00007B970000}"/>
    <cellStyle name="Percent 224 2 5" xfId="31889" xr:uid="{00000000-0005-0000-0000-00007C970000}"/>
    <cellStyle name="Percent 224 2 6" xfId="40816" xr:uid="{00000000-0005-0000-0000-00007D970000}"/>
    <cellStyle name="Percent 224 3" xfId="31890" xr:uid="{00000000-0005-0000-0000-00007E970000}"/>
    <cellStyle name="Percent 224 3 2" xfId="31891" xr:uid="{00000000-0005-0000-0000-00007F970000}"/>
    <cellStyle name="Percent 224 3 2 2" xfId="31892" xr:uid="{00000000-0005-0000-0000-000080970000}"/>
    <cellStyle name="Percent 224 3 3" xfId="31893" xr:uid="{00000000-0005-0000-0000-000081970000}"/>
    <cellStyle name="Percent 224 3 4" xfId="31894" xr:uid="{00000000-0005-0000-0000-000082970000}"/>
    <cellStyle name="Percent 224 3 5" xfId="40818" xr:uid="{00000000-0005-0000-0000-000083970000}"/>
    <cellStyle name="Percent 224 4" xfId="31895" xr:uid="{00000000-0005-0000-0000-000084970000}"/>
    <cellStyle name="Percent 224 5" xfId="31896" xr:uid="{00000000-0005-0000-0000-000085970000}"/>
    <cellStyle name="Percent 224 5 2" xfId="31897" xr:uid="{00000000-0005-0000-0000-000086970000}"/>
    <cellStyle name="Percent 224 6" xfId="31898" xr:uid="{00000000-0005-0000-0000-000087970000}"/>
    <cellStyle name="Percent 224 7" xfId="31899" xr:uid="{00000000-0005-0000-0000-000088970000}"/>
    <cellStyle name="Percent 224 8" xfId="36158" xr:uid="{00000000-0005-0000-0000-000089970000}"/>
    <cellStyle name="Percent 225" xfId="31900" xr:uid="{00000000-0005-0000-0000-00008A970000}"/>
    <cellStyle name="Percent 225 2" xfId="31901" xr:uid="{00000000-0005-0000-0000-00008B970000}"/>
    <cellStyle name="Percent 225 2 2" xfId="31902" xr:uid="{00000000-0005-0000-0000-00008C970000}"/>
    <cellStyle name="Percent 225 2 2 2" xfId="31903" xr:uid="{00000000-0005-0000-0000-00008D970000}"/>
    <cellStyle name="Percent 225 2 2 2 2" xfId="31904" xr:uid="{00000000-0005-0000-0000-00008E970000}"/>
    <cellStyle name="Percent 225 2 2 3" xfId="31905" xr:uid="{00000000-0005-0000-0000-00008F970000}"/>
    <cellStyle name="Percent 225 2 2 4" xfId="31906" xr:uid="{00000000-0005-0000-0000-000090970000}"/>
    <cellStyle name="Percent 225 2 2 5" xfId="40820" xr:uid="{00000000-0005-0000-0000-000091970000}"/>
    <cellStyle name="Percent 225 2 3" xfId="31907" xr:uid="{00000000-0005-0000-0000-000092970000}"/>
    <cellStyle name="Percent 225 2 3 2" xfId="31908" xr:uid="{00000000-0005-0000-0000-000093970000}"/>
    <cellStyle name="Percent 225 2 4" xfId="31909" xr:uid="{00000000-0005-0000-0000-000094970000}"/>
    <cellStyle name="Percent 225 2 5" xfId="31910" xr:uid="{00000000-0005-0000-0000-000095970000}"/>
    <cellStyle name="Percent 225 2 6" xfId="40819" xr:uid="{00000000-0005-0000-0000-000096970000}"/>
    <cellStyle name="Percent 225 3" xfId="31911" xr:uid="{00000000-0005-0000-0000-000097970000}"/>
    <cellStyle name="Percent 225 3 2" xfId="31912" xr:uid="{00000000-0005-0000-0000-000098970000}"/>
    <cellStyle name="Percent 225 3 2 2" xfId="31913" xr:uid="{00000000-0005-0000-0000-000099970000}"/>
    <cellStyle name="Percent 225 3 3" xfId="31914" xr:uid="{00000000-0005-0000-0000-00009A970000}"/>
    <cellStyle name="Percent 225 3 4" xfId="31915" xr:uid="{00000000-0005-0000-0000-00009B970000}"/>
    <cellStyle name="Percent 225 3 5" xfId="40821" xr:uid="{00000000-0005-0000-0000-00009C970000}"/>
    <cellStyle name="Percent 225 4" xfId="31916" xr:uid="{00000000-0005-0000-0000-00009D970000}"/>
    <cellStyle name="Percent 225 5" xfId="31917" xr:uid="{00000000-0005-0000-0000-00009E970000}"/>
    <cellStyle name="Percent 225 5 2" xfId="31918" xr:uid="{00000000-0005-0000-0000-00009F970000}"/>
    <cellStyle name="Percent 225 6" xfId="31919" xr:uid="{00000000-0005-0000-0000-0000A0970000}"/>
    <cellStyle name="Percent 225 7" xfId="31920" xr:uid="{00000000-0005-0000-0000-0000A1970000}"/>
    <cellStyle name="Percent 226" xfId="31921" xr:uid="{00000000-0005-0000-0000-0000A2970000}"/>
    <cellStyle name="Percent 226 2" xfId="31922" xr:uid="{00000000-0005-0000-0000-0000A3970000}"/>
    <cellStyle name="Percent 226 2 2" xfId="31923" xr:uid="{00000000-0005-0000-0000-0000A4970000}"/>
    <cellStyle name="Percent 226 2 2 2" xfId="31924" xr:uid="{00000000-0005-0000-0000-0000A5970000}"/>
    <cellStyle name="Percent 226 2 2 2 2" xfId="31925" xr:uid="{00000000-0005-0000-0000-0000A6970000}"/>
    <cellStyle name="Percent 226 2 2 3" xfId="31926" xr:uid="{00000000-0005-0000-0000-0000A7970000}"/>
    <cellStyle name="Percent 226 2 2 4" xfId="31927" xr:uid="{00000000-0005-0000-0000-0000A8970000}"/>
    <cellStyle name="Percent 226 2 2 5" xfId="40823" xr:uid="{00000000-0005-0000-0000-0000A9970000}"/>
    <cellStyle name="Percent 226 2 3" xfId="31928" xr:uid="{00000000-0005-0000-0000-0000AA970000}"/>
    <cellStyle name="Percent 226 2 3 2" xfId="31929" xr:uid="{00000000-0005-0000-0000-0000AB970000}"/>
    <cellStyle name="Percent 226 2 4" xfId="31930" xr:uid="{00000000-0005-0000-0000-0000AC970000}"/>
    <cellStyle name="Percent 226 2 5" xfId="31931" xr:uid="{00000000-0005-0000-0000-0000AD970000}"/>
    <cellStyle name="Percent 226 2 6" xfId="40822" xr:uid="{00000000-0005-0000-0000-0000AE970000}"/>
    <cellStyle name="Percent 226 3" xfId="31932" xr:uid="{00000000-0005-0000-0000-0000AF970000}"/>
    <cellStyle name="Percent 226 3 2" xfId="31933" xr:uid="{00000000-0005-0000-0000-0000B0970000}"/>
    <cellStyle name="Percent 226 3 2 2" xfId="31934" xr:uid="{00000000-0005-0000-0000-0000B1970000}"/>
    <cellStyle name="Percent 226 3 3" xfId="31935" xr:uid="{00000000-0005-0000-0000-0000B2970000}"/>
    <cellStyle name="Percent 226 3 4" xfId="31936" xr:uid="{00000000-0005-0000-0000-0000B3970000}"/>
    <cellStyle name="Percent 226 3 5" xfId="40824" xr:uid="{00000000-0005-0000-0000-0000B4970000}"/>
    <cellStyle name="Percent 226 4" xfId="31937" xr:uid="{00000000-0005-0000-0000-0000B5970000}"/>
    <cellStyle name="Percent 226 5" xfId="31938" xr:uid="{00000000-0005-0000-0000-0000B6970000}"/>
    <cellStyle name="Percent 226 5 2" xfId="31939" xr:uid="{00000000-0005-0000-0000-0000B7970000}"/>
    <cellStyle name="Percent 226 6" xfId="31940" xr:uid="{00000000-0005-0000-0000-0000B8970000}"/>
    <cellStyle name="Percent 226 7" xfId="31941" xr:uid="{00000000-0005-0000-0000-0000B9970000}"/>
    <cellStyle name="Percent 227" xfId="31942" xr:uid="{00000000-0005-0000-0000-0000BA970000}"/>
    <cellStyle name="Percent 228" xfId="31943" xr:uid="{00000000-0005-0000-0000-0000BB970000}"/>
    <cellStyle name="Percent 229" xfId="31944" xr:uid="{00000000-0005-0000-0000-0000BC970000}"/>
    <cellStyle name="Percent 23" xfId="31945" xr:uid="{00000000-0005-0000-0000-0000BD970000}"/>
    <cellStyle name="Percent 23 2" xfId="31946" xr:uid="{00000000-0005-0000-0000-0000BE970000}"/>
    <cellStyle name="Percent 23 2 2" xfId="31947" xr:uid="{00000000-0005-0000-0000-0000BF970000}"/>
    <cellStyle name="Percent 23 3" xfId="31948" xr:uid="{00000000-0005-0000-0000-0000C0970000}"/>
    <cellStyle name="Percent 230" xfId="31949" xr:uid="{00000000-0005-0000-0000-0000C1970000}"/>
    <cellStyle name="Percent 231" xfId="31950" xr:uid="{00000000-0005-0000-0000-0000C2970000}"/>
    <cellStyle name="Percent 232" xfId="31951" xr:uid="{00000000-0005-0000-0000-0000C3970000}"/>
    <cellStyle name="Percent 233" xfId="31952" xr:uid="{00000000-0005-0000-0000-0000C4970000}"/>
    <cellStyle name="Percent 233 2" xfId="31953" xr:uid="{00000000-0005-0000-0000-0000C5970000}"/>
    <cellStyle name="Percent 234" xfId="31954" xr:uid="{00000000-0005-0000-0000-0000C6970000}"/>
    <cellStyle name="Percent 234 2" xfId="31955" xr:uid="{00000000-0005-0000-0000-0000C7970000}"/>
    <cellStyle name="Percent 235" xfId="31956" xr:uid="{00000000-0005-0000-0000-0000C8970000}"/>
    <cellStyle name="Percent 235 2" xfId="31957" xr:uid="{00000000-0005-0000-0000-0000C9970000}"/>
    <cellStyle name="Percent 236" xfId="31958" xr:uid="{00000000-0005-0000-0000-0000CA970000}"/>
    <cellStyle name="Percent 236 2" xfId="31959" xr:uid="{00000000-0005-0000-0000-0000CB970000}"/>
    <cellStyle name="Percent 237" xfId="31960" xr:uid="{00000000-0005-0000-0000-0000CC970000}"/>
    <cellStyle name="Percent 237 2" xfId="31961" xr:uid="{00000000-0005-0000-0000-0000CD970000}"/>
    <cellStyle name="Percent 238" xfId="31962" xr:uid="{00000000-0005-0000-0000-0000CE970000}"/>
    <cellStyle name="Percent 238 2" xfId="31963" xr:uid="{00000000-0005-0000-0000-0000CF970000}"/>
    <cellStyle name="Percent 239" xfId="31964" xr:uid="{00000000-0005-0000-0000-0000D0970000}"/>
    <cellStyle name="Percent 239 2" xfId="31965" xr:uid="{00000000-0005-0000-0000-0000D1970000}"/>
    <cellStyle name="Percent 24" xfId="31966" xr:uid="{00000000-0005-0000-0000-0000D2970000}"/>
    <cellStyle name="Percent 24 2" xfId="31967" xr:uid="{00000000-0005-0000-0000-0000D3970000}"/>
    <cellStyle name="Percent 24 2 2" xfId="31968" xr:uid="{00000000-0005-0000-0000-0000D4970000}"/>
    <cellStyle name="Percent 24 3" xfId="31969" xr:uid="{00000000-0005-0000-0000-0000D5970000}"/>
    <cellStyle name="Percent 240" xfId="31970" xr:uid="{00000000-0005-0000-0000-0000D6970000}"/>
    <cellStyle name="Percent 240 2" xfId="31971" xr:uid="{00000000-0005-0000-0000-0000D7970000}"/>
    <cellStyle name="Percent 240 2 2" xfId="31972" xr:uid="{00000000-0005-0000-0000-0000D8970000}"/>
    <cellStyle name="Percent 240 2 2 2" xfId="31973" xr:uid="{00000000-0005-0000-0000-0000D9970000}"/>
    <cellStyle name="Percent 240 2 3" xfId="31974" xr:uid="{00000000-0005-0000-0000-0000DA970000}"/>
    <cellStyle name="Percent 240 2 4" xfId="31975" xr:uid="{00000000-0005-0000-0000-0000DB970000}"/>
    <cellStyle name="Percent 240 2 5" xfId="36160" xr:uid="{00000000-0005-0000-0000-0000DC970000}"/>
    <cellStyle name="Percent 240 3" xfId="31976" xr:uid="{00000000-0005-0000-0000-0000DD970000}"/>
    <cellStyle name="Percent 240 4" xfId="31977" xr:uid="{00000000-0005-0000-0000-0000DE970000}"/>
    <cellStyle name="Percent 240 4 2" xfId="31978" xr:uid="{00000000-0005-0000-0000-0000DF970000}"/>
    <cellStyle name="Percent 240 5" xfId="31979" xr:uid="{00000000-0005-0000-0000-0000E0970000}"/>
    <cellStyle name="Percent 240 6" xfId="31980" xr:uid="{00000000-0005-0000-0000-0000E1970000}"/>
    <cellStyle name="Percent 240 7" xfId="36159" xr:uid="{00000000-0005-0000-0000-0000E2970000}"/>
    <cellStyle name="Percent 241" xfId="31981" xr:uid="{00000000-0005-0000-0000-0000E3970000}"/>
    <cellStyle name="Percent 241 2" xfId="31982" xr:uid="{00000000-0005-0000-0000-0000E4970000}"/>
    <cellStyle name="Percent 241 2 2" xfId="31983" xr:uid="{00000000-0005-0000-0000-0000E5970000}"/>
    <cellStyle name="Percent 241 2 2 2" xfId="31984" xr:uid="{00000000-0005-0000-0000-0000E6970000}"/>
    <cellStyle name="Percent 241 2 3" xfId="31985" xr:uid="{00000000-0005-0000-0000-0000E7970000}"/>
    <cellStyle name="Percent 241 2 4" xfId="31986" xr:uid="{00000000-0005-0000-0000-0000E8970000}"/>
    <cellStyle name="Percent 241 2 5" xfId="40826" xr:uid="{00000000-0005-0000-0000-0000E9970000}"/>
    <cellStyle name="Percent 241 3" xfId="31987" xr:uid="{00000000-0005-0000-0000-0000EA970000}"/>
    <cellStyle name="Percent 241 4" xfId="31988" xr:uid="{00000000-0005-0000-0000-0000EB970000}"/>
    <cellStyle name="Percent 241 4 2" xfId="31989" xr:uid="{00000000-0005-0000-0000-0000EC970000}"/>
    <cellStyle name="Percent 241 5" xfId="31990" xr:uid="{00000000-0005-0000-0000-0000ED970000}"/>
    <cellStyle name="Percent 241 6" xfId="31991" xr:uid="{00000000-0005-0000-0000-0000EE970000}"/>
    <cellStyle name="Percent 241 7" xfId="40825" xr:uid="{00000000-0005-0000-0000-0000EF970000}"/>
    <cellStyle name="Percent 242" xfId="31992" xr:uid="{00000000-0005-0000-0000-0000F0970000}"/>
    <cellStyle name="Percent 242 2" xfId="31993" xr:uid="{00000000-0005-0000-0000-0000F1970000}"/>
    <cellStyle name="Percent 242 2 2" xfId="31994" xr:uid="{00000000-0005-0000-0000-0000F2970000}"/>
    <cellStyle name="Percent 242 2 2 2" xfId="31995" xr:uid="{00000000-0005-0000-0000-0000F3970000}"/>
    <cellStyle name="Percent 242 2 3" xfId="31996" xr:uid="{00000000-0005-0000-0000-0000F4970000}"/>
    <cellStyle name="Percent 242 2 4" xfId="31997" xr:uid="{00000000-0005-0000-0000-0000F5970000}"/>
    <cellStyle name="Percent 242 2 5" xfId="40828" xr:uid="{00000000-0005-0000-0000-0000F6970000}"/>
    <cellStyle name="Percent 242 3" xfId="31998" xr:uid="{00000000-0005-0000-0000-0000F7970000}"/>
    <cellStyle name="Percent 242 4" xfId="31999" xr:uid="{00000000-0005-0000-0000-0000F8970000}"/>
    <cellStyle name="Percent 242 4 2" xfId="32000" xr:uid="{00000000-0005-0000-0000-0000F9970000}"/>
    <cellStyle name="Percent 242 5" xfId="32001" xr:uid="{00000000-0005-0000-0000-0000FA970000}"/>
    <cellStyle name="Percent 242 6" xfId="32002" xr:uid="{00000000-0005-0000-0000-0000FB970000}"/>
    <cellStyle name="Percent 242 7" xfId="40827" xr:uid="{00000000-0005-0000-0000-0000FC970000}"/>
    <cellStyle name="Percent 243" xfId="32003" xr:uid="{00000000-0005-0000-0000-0000FD970000}"/>
    <cellStyle name="Percent 243 2" xfId="32004" xr:uid="{00000000-0005-0000-0000-0000FE970000}"/>
    <cellStyle name="Percent 243 2 2" xfId="32005" xr:uid="{00000000-0005-0000-0000-0000FF970000}"/>
    <cellStyle name="Percent 243 2 2 2" xfId="32006" xr:uid="{00000000-0005-0000-0000-000000980000}"/>
    <cellStyle name="Percent 243 2 3" xfId="32007" xr:uid="{00000000-0005-0000-0000-000001980000}"/>
    <cellStyle name="Percent 243 2 4" xfId="32008" xr:uid="{00000000-0005-0000-0000-000002980000}"/>
    <cellStyle name="Percent 243 2 5" xfId="40830" xr:uid="{00000000-0005-0000-0000-000003980000}"/>
    <cellStyle name="Percent 243 3" xfId="32009" xr:uid="{00000000-0005-0000-0000-000004980000}"/>
    <cellStyle name="Percent 243 4" xfId="32010" xr:uid="{00000000-0005-0000-0000-000005980000}"/>
    <cellStyle name="Percent 243 4 2" xfId="32011" xr:uid="{00000000-0005-0000-0000-000006980000}"/>
    <cellStyle name="Percent 243 5" xfId="32012" xr:uid="{00000000-0005-0000-0000-000007980000}"/>
    <cellStyle name="Percent 243 6" xfId="32013" xr:uid="{00000000-0005-0000-0000-000008980000}"/>
    <cellStyle name="Percent 243 7" xfId="40829" xr:uid="{00000000-0005-0000-0000-000009980000}"/>
    <cellStyle name="Percent 244" xfId="32014" xr:uid="{00000000-0005-0000-0000-00000A980000}"/>
    <cellStyle name="Percent 244 2" xfId="32015" xr:uid="{00000000-0005-0000-0000-00000B980000}"/>
    <cellStyle name="Percent 244 2 2" xfId="32016" xr:uid="{00000000-0005-0000-0000-00000C980000}"/>
    <cellStyle name="Percent 244 2 2 2" xfId="32017" xr:uid="{00000000-0005-0000-0000-00000D980000}"/>
    <cellStyle name="Percent 244 2 3" xfId="32018" xr:uid="{00000000-0005-0000-0000-00000E980000}"/>
    <cellStyle name="Percent 244 2 4" xfId="32019" xr:uid="{00000000-0005-0000-0000-00000F980000}"/>
    <cellStyle name="Percent 244 2 5" xfId="40832" xr:uid="{00000000-0005-0000-0000-000010980000}"/>
    <cellStyle name="Percent 244 3" xfId="32020" xr:uid="{00000000-0005-0000-0000-000011980000}"/>
    <cellStyle name="Percent 244 4" xfId="32021" xr:uid="{00000000-0005-0000-0000-000012980000}"/>
    <cellStyle name="Percent 244 4 2" xfId="32022" xr:uid="{00000000-0005-0000-0000-000013980000}"/>
    <cellStyle name="Percent 244 5" xfId="32023" xr:uid="{00000000-0005-0000-0000-000014980000}"/>
    <cellStyle name="Percent 244 6" xfId="32024" xr:uid="{00000000-0005-0000-0000-000015980000}"/>
    <cellStyle name="Percent 244 7" xfId="40831" xr:uid="{00000000-0005-0000-0000-000016980000}"/>
    <cellStyle name="Percent 245" xfId="32025" xr:uid="{00000000-0005-0000-0000-000017980000}"/>
    <cellStyle name="Percent 245 2" xfId="32026" xr:uid="{00000000-0005-0000-0000-000018980000}"/>
    <cellStyle name="Percent 245 2 2" xfId="32027" xr:uid="{00000000-0005-0000-0000-000019980000}"/>
    <cellStyle name="Percent 245 2 2 2" xfId="32028" xr:uid="{00000000-0005-0000-0000-00001A980000}"/>
    <cellStyle name="Percent 245 2 3" xfId="32029" xr:uid="{00000000-0005-0000-0000-00001B980000}"/>
    <cellStyle name="Percent 245 2 4" xfId="32030" xr:uid="{00000000-0005-0000-0000-00001C980000}"/>
    <cellStyle name="Percent 245 2 5" xfId="40834" xr:uid="{00000000-0005-0000-0000-00001D980000}"/>
    <cellStyle name="Percent 245 3" xfId="32031" xr:uid="{00000000-0005-0000-0000-00001E980000}"/>
    <cellStyle name="Percent 245 3 2" xfId="32032" xr:uid="{00000000-0005-0000-0000-00001F980000}"/>
    <cellStyle name="Percent 245 4" xfId="32033" xr:uid="{00000000-0005-0000-0000-000020980000}"/>
    <cellStyle name="Percent 245 5" xfId="32034" xr:uid="{00000000-0005-0000-0000-000021980000}"/>
    <cellStyle name="Percent 245 6" xfId="40833" xr:uid="{00000000-0005-0000-0000-000022980000}"/>
    <cellStyle name="Percent 246" xfId="32035" xr:uid="{00000000-0005-0000-0000-000023980000}"/>
    <cellStyle name="Percent 246 2" xfId="32036" xr:uid="{00000000-0005-0000-0000-000024980000}"/>
    <cellStyle name="Percent 246 2 2" xfId="32037" xr:uid="{00000000-0005-0000-0000-000025980000}"/>
    <cellStyle name="Percent 246 2 2 2" xfId="32038" xr:uid="{00000000-0005-0000-0000-000026980000}"/>
    <cellStyle name="Percent 246 2 3" xfId="32039" xr:uid="{00000000-0005-0000-0000-000027980000}"/>
    <cellStyle name="Percent 246 2 4" xfId="32040" xr:uid="{00000000-0005-0000-0000-000028980000}"/>
    <cellStyle name="Percent 246 2 5" xfId="40836" xr:uid="{00000000-0005-0000-0000-000029980000}"/>
    <cellStyle name="Percent 246 3" xfId="32041" xr:uid="{00000000-0005-0000-0000-00002A980000}"/>
    <cellStyle name="Percent 246 3 2" xfId="32042" xr:uid="{00000000-0005-0000-0000-00002B980000}"/>
    <cellStyle name="Percent 246 4" xfId="32043" xr:uid="{00000000-0005-0000-0000-00002C980000}"/>
    <cellStyle name="Percent 246 5" xfId="32044" xr:uid="{00000000-0005-0000-0000-00002D980000}"/>
    <cellStyle name="Percent 246 6" xfId="40835" xr:uid="{00000000-0005-0000-0000-00002E980000}"/>
    <cellStyle name="Percent 247" xfId="32045" xr:uid="{00000000-0005-0000-0000-00002F980000}"/>
    <cellStyle name="Percent 247 2" xfId="32046" xr:uid="{00000000-0005-0000-0000-000030980000}"/>
    <cellStyle name="Percent 247 2 2" xfId="32047" xr:uid="{00000000-0005-0000-0000-000031980000}"/>
    <cellStyle name="Percent 247 2 2 2" xfId="32048" xr:uid="{00000000-0005-0000-0000-000032980000}"/>
    <cellStyle name="Percent 247 2 3" xfId="32049" xr:uid="{00000000-0005-0000-0000-000033980000}"/>
    <cellStyle name="Percent 247 2 4" xfId="32050" xr:uid="{00000000-0005-0000-0000-000034980000}"/>
    <cellStyle name="Percent 247 2 5" xfId="40838" xr:uid="{00000000-0005-0000-0000-000035980000}"/>
    <cellStyle name="Percent 247 3" xfId="32051" xr:uid="{00000000-0005-0000-0000-000036980000}"/>
    <cellStyle name="Percent 247 3 2" xfId="32052" xr:uid="{00000000-0005-0000-0000-000037980000}"/>
    <cellStyle name="Percent 247 4" xfId="32053" xr:uid="{00000000-0005-0000-0000-000038980000}"/>
    <cellStyle name="Percent 247 5" xfId="32054" xr:uid="{00000000-0005-0000-0000-000039980000}"/>
    <cellStyle name="Percent 247 6" xfId="40837" xr:uid="{00000000-0005-0000-0000-00003A980000}"/>
    <cellStyle name="Percent 248" xfId="32055" xr:uid="{00000000-0005-0000-0000-00003B980000}"/>
    <cellStyle name="Percent 248 2" xfId="32056" xr:uid="{00000000-0005-0000-0000-00003C980000}"/>
    <cellStyle name="Percent 248 2 2" xfId="32057" xr:uid="{00000000-0005-0000-0000-00003D980000}"/>
    <cellStyle name="Percent 248 2 2 2" xfId="32058" xr:uid="{00000000-0005-0000-0000-00003E980000}"/>
    <cellStyle name="Percent 248 2 3" xfId="32059" xr:uid="{00000000-0005-0000-0000-00003F980000}"/>
    <cellStyle name="Percent 248 2 4" xfId="32060" xr:uid="{00000000-0005-0000-0000-000040980000}"/>
    <cellStyle name="Percent 248 2 5" xfId="40840" xr:uid="{00000000-0005-0000-0000-000041980000}"/>
    <cellStyle name="Percent 248 3" xfId="32061" xr:uid="{00000000-0005-0000-0000-000042980000}"/>
    <cellStyle name="Percent 248 3 2" xfId="32062" xr:uid="{00000000-0005-0000-0000-000043980000}"/>
    <cellStyle name="Percent 248 4" xfId="32063" xr:uid="{00000000-0005-0000-0000-000044980000}"/>
    <cellStyle name="Percent 248 5" xfId="32064" xr:uid="{00000000-0005-0000-0000-000045980000}"/>
    <cellStyle name="Percent 248 6" xfId="40839" xr:uid="{00000000-0005-0000-0000-000046980000}"/>
    <cellStyle name="Percent 249" xfId="32065" xr:uid="{00000000-0005-0000-0000-000047980000}"/>
    <cellStyle name="Percent 249 2" xfId="32066" xr:uid="{00000000-0005-0000-0000-000048980000}"/>
    <cellStyle name="Percent 249 2 2" xfId="32067" xr:uid="{00000000-0005-0000-0000-000049980000}"/>
    <cellStyle name="Percent 249 2 2 2" xfId="32068" xr:uid="{00000000-0005-0000-0000-00004A980000}"/>
    <cellStyle name="Percent 249 2 3" xfId="32069" xr:uid="{00000000-0005-0000-0000-00004B980000}"/>
    <cellStyle name="Percent 249 2 4" xfId="32070" xr:uid="{00000000-0005-0000-0000-00004C980000}"/>
    <cellStyle name="Percent 249 2 5" xfId="40842" xr:uid="{00000000-0005-0000-0000-00004D980000}"/>
    <cellStyle name="Percent 249 3" xfId="32071" xr:uid="{00000000-0005-0000-0000-00004E980000}"/>
    <cellStyle name="Percent 249 3 2" xfId="32072" xr:uid="{00000000-0005-0000-0000-00004F980000}"/>
    <cellStyle name="Percent 249 4" xfId="32073" xr:uid="{00000000-0005-0000-0000-000050980000}"/>
    <cellStyle name="Percent 249 5" xfId="32074" xr:uid="{00000000-0005-0000-0000-000051980000}"/>
    <cellStyle name="Percent 249 6" xfId="40841" xr:uid="{00000000-0005-0000-0000-000052980000}"/>
    <cellStyle name="Percent 25" xfId="32075" xr:uid="{00000000-0005-0000-0000-000053980000}"/>
    <cellStyle name="Percent 25 2" xfId="32076" xr:uid="{00000000-0005-0000-0000-000054980000}"/>
    <cellStyle name="Percent 25 2 2" xfId="32077" xr:uid="{00000000-0005-0000-0000-000055980000}"/>
    <cellStyle name="Percent 25 3" xfId="32078" xr:uid="{00000000-0005-0000-0000-000056980000}"/>
    <cellStyle name="Percent 250" xfId="32079" xr:uid="{00000000-0005-0000-0000-000057980000}"/>
    <cellStyle name="Percent 250 2" xfId="32080" xr:uid="{00000000-0005-0000-0000-000058980000}"/>
    <cellStyle name="Percent 250 2 2" xfId="32081" xr:uid="{00000000-0005-0000-0000-000059980000}"/>
    <cellStyle name="Percent 250 2 2 2" xfId="32082" xr:uid="{00000000-0005-0000-0000-00005A980000}"/>
    <cellStyle name="Percent 250 2 3" xfId="32083" xr:uid="{00000000-0005-0000-0000-00005B980000}"/>
    <cellStyle name="Percent 250 2 4" xfId="32084" xr:uid="{00000000-0005-0000-0000-00005C980000}"/>
    <cellStyle name="Percent 250 2 5" xfId="40844" xr:uid="{00000000-0005-0000-0000-00005D980000}"/>
    <cellStyle name="Percent 250 3" xfId="32085" xr:uid="{00000000-0005-0000-0000-00005E980000}"/>
    <cellStyle name="Percent 250 3 2" xfId="32086" xr:uid="{00000000-0005-0000-0000-00005F980000}"/>
    <cellStyle name="Percent 250 4" xfId="32087" xr:uid="{00000000-0005-0000-0000-000060980000}"/>
    <cellStyle name="Percent 250 5" xfId="32088" xr:uid="{00000000-0005-0000-0000-000061980000}"/>
    <cellStyle name="Percent 250 6" xfId="40843" xr:uid="{00000000-0005-0000-0000-000062980000}"/>
    <cellStyle name="Percent 251" xfId="32089" xr:uid="{00000000-0005-0000-0000-000063980000}"/>
    <cellStyle name="Percent 251 2" xfId="32090" xr:uid="{00000000-0005-0000-0000-000064980000}"/>
    <cellStyle name="Percent 251 2 2" xfId="32091" xr:uid="{00000000-0005-0000-0000-000065980000}"/>
    <cellStyle name="Percent 251 2 2 2" xfId="32092" xr:uid="{00000000-0005-0000-0000-000066980000}"/>
    <cellStyle name="Percent 251 2 3" xfId="32093" xr:uid="{00000000-0005-0000-0000-000067980000}"/>
    <cellStyle name="Percent 251 2 4" xfId="32094" xr:uid="{00000000-0005-0000-0000-000068980000}"/>
    <cellStyle name="Percent 251 2 5" xfId="40846" xr:uid="{00000000-0005-0000-0000-000069980000}"/>
    <cellStyle name="Percent 251 3" xfId="32095" xr:uid="{00000000-0005-0000-0000-00006A980000}"/>
    <cellStyle name="Percent 251 3 2" xfId="32096" xr:uid="{00000000-0005-0000-0000-00006B980000}"/>
    <cellStyle name="Percent 251 4" xfId="32097" xr:uid="{00000000-0005-0000-0000-00006C980000}"/>
    <cellStyle name="Percent 251 5" xfId="32098" xr:uid="{00000000-0005-0000-0000-00006D980000}"/>
    <cellStyle name="Percent 251 6" xfId="40845" xr:uid="{00000000-0005-0000-0000-00006E980000}"/>
    <cellStyle name="Percent 252" xfId="32099" xr:uid="{00000000-0005-0000-0000-00006F980000}"/>
    <cellStyle name="Percent 253" xfId="32100" xr:uid="{00000000-0005-0000-0000-000070980000}"/>
    <cellStyle name="Percent 254" xfId="32101" xr:uid="{00000000-0005-0000-0000-000071980000}"/>
    <cellStyle name="Percent 254 2" xfId="32102" xr:uid="{00000000-0005-0000-0000-000072980000}"/>
    <cellStyle name="Percent 254 2 2" xfId="32103" xr:uid="{00000000-0005-0000-0000-000073980000}"/>
    <cellStyle name="Percent 254 2 3" xfId="32104" xr:uid="{00000000-0005-0000-0000-000074980000}"/>
    <cellStyle name="Percent 254 3" xfId="32105" xr:uid="{00000000-0005-0000-0000-000075980000}"/>
    <cellStyle name="Percent 254 4" xfId="32106" xr:uid="{00000000-0005-0000-0000-000076980000}"/>
    <cellStyle name="Percent 255" xfId="32107" xr:uid="{00000000-0005-0000-0000-000077980000}"/>
    <cellStyle name="Percent 255 2" xfId="32108" xr:uid="{00000000-0005-0000-0000-000078980000}"/>
    <cellStyle name="Percent 255 2 2" xfId="32109" xr:uid="{00000000-0005-0000-0000-000079980000}"/>
    <cellStyle name="Percent 255 2 3" xfId="32110" xr:uid="{00000000-0005-0000-0000-00007A980000}"/>
    <cellStyle name="Percent 255 3" xfId="32111" xr:uid="{00000000-0005-0000-0000-00007B980000}"/>
    <cellStyle name="Percent 255 4" xfId="32112" xr:uid="{00000000-0005-0000-0000-00007C980000}"/>
    <cellStyle name="Percent 256" xfId="32113" xr:uid="{00000000-0005-0000-0000-00007D980000}"/>
    <cellStyle name="Percent 256 2" xfId="32114" xr:uid="{00000000-0005-0000-0000-00007E980000}"/>
    <cellStyle name="Percent 256 2 2" xfId="32115" xr:uid="{00000000-0005-0000-0000-00007F980000}"/>
    <cellStyle name="Percent 256 2 3" xfId="32116" xr:uid="{00000000-0005-0000-0000-000080980000}"/>
    <cellStyle name="Percent 256 3" xfId="32117" xr:uid="{00000000-0005-0000-0000-000081980000}"/>
    <cellStyle name="Percent 256 4" xfId="32118" xr:uid="{00000000-0005-0000-0000-000082980000}"/>
    <cellStyle name="Percent 257" xfId="32119" xr:uid="{00000000-0005-0000-0000-000083980000}"/>
    <cellStyle name="Percent 258" xfId="32120" xr:uid="{00000000-0005-0000-0000-000084980000}"/>
    <cellStyle name="Percent 259" xfId="32121" xr:uid="{00000000-0005-0000-0000-000085980000}"/>
    <cellStyle name="Percent 26" xfId="32122" xr:uid="{00000000-0005-0000-0000-000086980000}"/>
    <cellStyle name="Percent 26 2" xfId="32123" xr:uid="{00000000-0005-0000-0000-000087980000}"/>
    <cellStyle name="Percent 26 2 2" xfId="32124" xr:uid="{00000000-0005-0000-0000-000088980000}"/>
    <cellStyle name="Percent 26 3" xfId="32125" xr:uid="{00000000-0005-0000-0000-000089980000}"/>
    <cellStyle name="Percent 260" xfId="32126" xr:uid="{00000000-0005-0000-0000-00008A980000}"/>
    <cellStyle name="Percent 261" xfId="32127" xr:uid="{00000000-0005-0000-0000-00008B980000}"/>
    <cellStyle name="Percent 262" xfId="32128" xr:uid="{00000000-0005-0000-0000-00008C980000}"/>
    <cellStyle name="Percent 263" xfId="32129" xr:uid="{00000000-0005-0000-0000-00008D980000}"/>
    <cellStyle name="Percent 264" xfId="32130" xr:uid="{00000000-0005-0000-0000-00008E980000}"/>
    <cellStyle name="Percent 265" xfId="32131" xr:uid="{00000000-0005-0000-0000-00008F980000}"/>
    <cellStyle name="Percent 265 2" xfId="32132" xr:uid="{00000000-0005-0000-0000-000090980000}"/>
    <cellStyle name="Percent 265 2 2" xfId="32133" xr:uid="{00000000-0005-0000-0000-000091980000}"/>
    <cellStyle name="Percent 265 3" xfId="32134" xr:uid="{00000000-0005-0000-0000-000092980000}"/>
    <cellStyle name="Percent 265 4" xfId="32135" xr:uid="{00000000-0005-0000-0000-000093980000}"/>
    <cellStyle name="Percent 266" xfId="32136" xr:uid="{00000000-0005-0000-0000-000094980000}"/>
    <cellStyle name="Percent 266 2" xfId="32137" xr:uid="{00000000-0005-0000-0000-000095980000}"/>
    <cellStyle name="Percent 266 2 2" xfId="32138" xr:uid="{00000000-0005-0000-0000-000096980000}"/>
    <cellStyle name="Percent 266 3" xfId="32139" xr:uid="{00000000-0005-0000-0000-000097980000}"/>
    <cellStyle name="Percent 266 4" xfId="32140" xr:uid="{00000000-0005-0000-0000-000098980000}"/>
    <cellStyle name="Percent 267" xfId="32141" xr:uid="{00000000-0005-0000-0000-000099980000}"/>
    <cellStyle name="Percent 268" xfId="32142" xr:uid="{00000000-0005-0000-0000-00009A980000}"/>
    <cellStyle name="Percent 269" xfId="32143" xr:uid="{00000000-0005-0000-0000-00009B980000}"/>
    <cellStyle name="Percent 27" xfId="32144" xr:uid="{00000000-0005-0000-0000-00009C980000}"/>
    <cellStyle name="Percent 270" xfId="32145" xr:uid="{00000000-0005-0000-0000-00009D980000}"/>
    <cellStyle name="Percent 271" xfId="32146" xr:uid="{00000000-0005-0000-0000-00009E980000}"/>
    <cellStyle name="Percent 272" xfId="32147" xr:uid="{00000000-0005-0000-0000-00009F980000}"/>
    <cellStyle name="Percent 273" xfId="32148" xr:uid="{00000000-0005-0000-0000-0000A0980000}"/>
    <cellStyle name="Percent 274" xfId="32149" xr:uid="{00000000-0005-0000-0000-0000A1980000}"/>
    <cellStyle name="Percent 275" xfId="32150" xr:uid="{00000000-0005-0000-0000-0000A2980000}"/>
    <cellStyle name="Percent 276" xfId="32151" xr:uid="{00000000-0005-0000-0000-0000A3980000}"/>
    <cellStyle name="Percent 277" xfId="32152" xr:uid="{00000000-0005-0000-0000-0000A4980000}"/>
    <cellStyle name="Percent 278" xfId="32153" xr:uid="{00000000-0005-0000-0000-0000A5980000}"/>
    <cellStyle name="Percent 279" xfId="34359" xr:uid="{00000000-0005-0000-0000-0000A6980000}"/>
    <cellStyle name="Percent 28" xfId="32154" xr:uid="{00000000-0005-0000-0000-0000A7980000}"/>
    <cellStyle name="Percent 28 2" xfId="32155" xr:uid="{00000000-0005-0000-0000-0000A8980000}"/>
    <cellStyle name="Percent 28 2 2" xfId="32156" xr:uid="{00000000-0005-0000-0000-0000A9980000}"/>
    <cellStyle name="Percent 28 3" xfId="32157" xr:uid="{00000000-0005-0000-0000-0000AA980000}"/>
    <cellStyle name="Percent 280" xfId="34390" xr:uid="{00000000-0005-0000-0000-0000AB980000}"/>
    <cellStyle name="Percent 281" xfId="41094" xr:uid="{00000000-0005-0000-0000-0000AC980000}"/>
    <cellStyle name="Percent 282" xfId="35067" xr:uid="{00000000-0005-0000-0000-0000AD980000}"/>
    <cellStyle name="Percent 283" xfId="41819" xr:uid="{834BD254-2A92-41B1-8E42-8A9325F8EBBB}"/>
    <cellStyle name="Percent 284" xfId="42361" xr:uid="{CD559FCD-DF87-46A3-A154-9B79B50C59F7}"/>
    <cellStyle name="Percent 285" xfId="42386" xr:uid="{58E46EB5-EBD8-4643-8ED2-6B9B275C6B3D}"/>
    <cellStyle name="Percent 286" xfId="42388" xr:uid="{E97B8A3C-6B77-4A07-BFA4-CCFD1E4B7344}"/>
    <cellStyle name="Percent 287" xfId="42396" xr:uid="{60AA91A6-FF6B-4476-8BAC-A73892B01DDC}"/>
    <cellStyle name="Percent 29" xfId="32158" xr:uid="{00000000-0005-0000-0000-0000AE980000}"/>
    <cellStyle name="Percent 29 2" xfId="32159" xr:uid="{00000000-0005-0000-0000-0000AF980000}"/>
    <cellStyle name="Percent 29 2 2" xfId="32160" xr:uid="{00000000-0005-0000-0000-0000B0980000}"/>
    <cellStyle name="Percent 29 3" xfId="32161" xr:uid="{00000000-0005-0000-0000-0000B1980000}"/>
    <cellStyle name="Percent 3" xfId="20" xr:uid="{00000000-0005-0000-0000-0000B2980000}"/>
    <cellStyle name="Percent 3 2" xfId="32162" xr:uid="{00000000-0005-0000-0000-0000B3980000}"/>
    <cellStyle name="Percent 3 2 2" xfId="32163" xr:uid="{00000000-0005-0000-0000-0000B4980000}"/>
    <cellStyle name="Percent 3 2 2 2" xfId="32164" xr:uid="{00000000-0005-0000-0000-0000B5980000}"/>
    <cellStyle name="Percent 3 2 3" xfId="32165" xr:uid="{00000000-0005-0000-0000-0000B6980000}"/>
    <cellStyle name="Percent 3 2 4" xfId="32166" xr:uid="{00000000-0005-0000-0000-0000B7980000}"/>
    <cellStyle name="Percent 3 2 4 2" xfId="32167" xr:uid="{00000000-0005-0000-0000-0000B8980000}"/>
    <cellStyle name="Percent 3 2 4 2 2" xfId="32168" xr:uid="{00000000-0005-0000-0000-0000B9980000}"/>
    <cellStyle name="Percent 3 2 4 3" xfId="32169" xr:uid="{00000000-0005-0000-0000-0000BA980000}"/>
    <cellStyle name="Percent 3 2 4 4" xfId="32170" xr:uid="{00000000-0005-0000-0000-0000BB980000}"/>
    <cellStyle name="Percent 3 2 4 5" xfId="40847" xr:uid="{00000000-0005-0000-0000-0000BC980000}"/>
    <cellStyle name="Percent 3 2 5" xfId="36162" xr:uid="{00000000-0005-0000-0000-0000BD980000}"/>
    <cellStyle name="Percent 3 3" xfId="32171" xr:uid="{00000000-0005-0000-0000-0000BE980000}"/>
    <cellStyle name="Percent 3 3 2" xfId="32172" xr:uid="{00000000-0005-0000-0000-0000BF980000}"/>
    <cellStyle name="Percent 3 3 3" xfId="32173" xr:uid="{00000000-0005-0000-0000-0000C0980000}"/>
    <cellStyle name="Percent 3 3 3 2" xfId="32174" xr:uid="{00000000-0005-0000-0000-0000C1980000}"/>
    <cellStyle name="Percent 3 3 3 2 2" xfId="32175" xr:uid="{00000000-0005-0000-0000-0000C2980000}"/>
    <cellStyle name="Percent 3 3 3 2 3" xfId="40849" xr:uid="{00000000-0005-0000-0000-0000C3980000}"/>
    <cellStyle name="Percent 3 3 3 3" xfId="32176" xr:uid="{00000000-0005-0000-0000-0000C4980000}"/>
    <cellStyle name="Percent 3 3 3 4" xfId="32177" xr:uid="{00000000-0005-0000-0000-0000C5980000}"/>
    <cellStyle name="Percent 3 3 3 5" xfId="40848" xr:uid="{00000000-0005-0000-0000-0000C6980000}"/>
    <cellStyle name="Percent 3 3 4" xfId="32178" xr:uid="{00000000-0005-0000-0000-0000C7980000}"/>
    <cellStyle name="Percent 3 3 5" xfId="42356" xr:uid="{E48E5BBA-62FD-4C91-BB6A-59CBD82FA7FB}"/>
    <cellStyle name="Percent 3 4" xfId="32179" xr:uid="{00000000-0005-0000-0000-0000C8980000}"/>
    <cellStyle name="Percent 3 4 2" xfId="32180" xr:uid="{00000000-0005-0000-0000-0000C9980000}"/>
    <cellStyle name="Percent 3 4 2 2" xfId="42155" xr:uid="{445C1A4E-F3EA-419A-9E6E-BD35E84EC51D}"/>
    <cellStyle name="Percent 3 4 3" xfId="32181" xr:uid="{00000000-0005-0000-0000-0000CA980000}"/>
    <cellStyle name="Percent 3 4 3 2" xfId="42123" xr:uid="{ED6E8BF5-4907-4487-A807-45F2F72BC5E9}"/>
    <cellStyle name="Percent 3 4 4" xfId="36163" xr:uid="{00000000-0005-0000-0000-0000CB980000}"/>
    <cellStyle name="Percent 3 4 5" xfId="42066" xr:uid="{B819D40A-12F6-4921-94BF-82B70D38BAD5}"/>
    <cellStyle name="Percent 3 5" xfId="32182" xr:uid="{00000000-0005-0000-0000-0000CC980000}"/>
    <cellStyle name="Percent 3 5 2" xfId="32183" xr:uid="{00000000-0005-0000-0000-0000CD980000}"/>
    <cellStyle name="Percent 3 6" xfId="34371" xr:uid="{00000000-0005-0000-0000-0000CE980000}"/>
    <cellStyle name="Percent 3 7" xfId="36161" xr:uid="{00000000-0005-0000-0000-0000CF980000}"/>
    <cellStyle name="Percent 30" xfId="32184" xr:uid="{00000000-0005-0000-0000-0000D0980000}"/>
    <cellStyle name="Percent 30 2" xfId="32185" xr:uid="{00000000-0005-0000-0000-0000D1980000}"/>
    <cellStyle name="Percent 30 2 2" xfId="32186" xr:uid="{00000000-0005-0000-0000-0000D2980000}"/>
    <cellStyle name="Percent 30 3" xfId="32187" xr:uid="{00000000-0005-0000-0000-0000D3980000}"/>
    <cellStyle name="Percent 31" xfId="32188" xr:uid="{00000000-0005-0000-0000-0000D4980000}"/>
    <cellStyle name="Percent 31 2" xfId="32189" xr:uid="{00000000-0005-0000-0000-0000D5980000}"/>
    <cellStyle name="Percent 31 2 2" xfId="32190" xr:uid="{00000000-0005-0000-0000-0000D6980000}"/>
    <cellStyle name="Percent 31 3" xfId="32191" xr:uid="{00000000-0005-0000-0000-0000D7980000}"/>
    <cellStyle name="Percent 32" xfId="32192" xr:uid="{00000000-0005-0000-0000-0000D8980000}"/>
    <cellStyle name="Percent 32 2" xfId="32193" xr:uid="{00000000-0005-0000-0000-0000D9980000}"/>
    <cellStyle name="Percent 32 2 2" xfId="32194" xr:uid="{00000000-0005-0000-0000-0000DA980000}"/>
    <cellStyle name="Percent 32 3" xfId="32195" xr:uid="{00000000-0005-0000-0000-0000DB980000}"/>
    <cellStyle name="Percent 33" xfId="32196" xr:uid="{00000000-0005-0000-0000-0000DC980000}"/>
    <cellStyle name="Percent 33 2" xfId="32197" xr:uid="{00000000-0005-0000-0000-0000DD980000}"/>
    <cellStyle name="Percent 33 2 2" xfId="32198" xr:uid="{00000000-0005-0000-0000-0000DE980000}"/>
    <cellStyle name="Percent 33 3" xfId="32199" xr:uid="{00000000-0005-0000-0000-0000DF980000}"/>
    <cellStyle name="Percent 34" xfId="32200" xr:uid="{00000000-0005-0000-0000-0000E0980000}"/>
    <cellStyle name="Percent 34 2" xfId="32201" xr:uid="{00000000-0005-0000-0000-0000E1980000}"/>
    <cellStyle name="Percent 34 2 2" xfId="32202" xr:uid="{00000000-0005-0000-0000-0000E2980000}"/>
    <cellStyle name="Percent 34 3" xfId="32203" xr:uid="{00000000-0005-0000-0000-0000E3980000}"/>
    <cellStyle name="Percent 35" xfId="32204" xr:uid="{00000000-0005-0000-0000-0000E4980000}"/>
    <cellStyle name="Percent 35 2" xfId="32205" xr:uid="{00000000-0005-0000-0000-0000E5980000}"/>
    <cellStyle name="Percent 35 2 2" xfId="32206" xr:uid="{00000000-0005-0000-0000-0000E6980000}"/>
    <cellStyle name="Percent 35 3" xfId="32207" xr:uid="{00000000-0005-0000-0000-0000E7980000}"/>
    <cellStyle name="Percent 36" xfId="32208" xr:uid="{00000000-0005-0000-0000-0000E8980000}"/>
    <cellStyle name="Percent 36 2" xfId="32209" xr:uid="{00000000-0005-0000-0000-0000E9980000}"/>
    <cellStyle name="Percent 36 2 2" xfId="32210" xr:uid="{00000000-0005-0000-0000-0000EA980000}"/>
    <cellStyle name="Percent 36 3" xfId="32211" xr:uid="{00000000-0005-0000-0000-0000EB980000}"/>
    <cellStyle name="Percent 37" xfId="32212" xr:uid="{00000000-0005-0000-0000-0000EC980000}"/>
    <cellStyle name="Percent 37 2" xfId="32213" xr:uid="{00000000-0005-0000-0000-0000ED980000}"/>
    <cellStyle name="Percent 37 2 2" xfId="32214" xr:uid="{00000000-0005-0000-0000-0000EE980000}"/>
    <cellStyle name="Percent 37 3" xfId="32215" xr:uid="{00000000-0005-0000-0000-0000EF980000}"/>
    <cellStyle name="Percent 38" xfId="32216" xr:uid="{00000000-0005-0000-0000-0000F0980000}"/>
    <cellStyle name="Percent 38 2" xfId="32217" xr:uid="{00000000-0005-0000-0000-0000F1980000}"/>
    <cellStyle name="Percent 39" xfId="32218" xr:uid="{00000000-0005-0000-0000-0000F2980000}"/>
    <cellStyle name="Percent 39 2" xfId="32219" xr:uid="{00000000-0005-0000-0000-0000F3980000}"/>
    <cellStyle name="Percent 4" xfId="32220" xr:uid="{00000000-0005-0000-0000-0000F4980000}"/>
    <cellStyle name="Percent 4 10" xfId="36164" xr:uid="{00000000-0005-0000-0000-0000F5980000}"/>
    <cellStyle name="Percent 4 2" xfId="32221" xr:uid="{00000000-0005-0000-0000-0000F6980000}"/>
    <cellStyle name="Percent 4 2 2" xfId="32222" xr:uid="{00000000-0005-0000-0000-0000F7980000}"/>
    <cellStyle name="Percent 4 2 3" xfId="32223" xr:uid="{00000000-0005-0000-0000-0000F8980000}"/>
    <cellStyle name="Percent 4 2 3 2" xfId="32224" xr:uid="{00000000-0005-0000-0000-0000F9980000}"/>
    <cellStyle name="Percent 4 2 3 2 2" xfId="32225" xr:uid="{00000000-0005-0000-0000-0000FA980000}"/>
    <cellStyle name="Percent 4 2 3 3" xfId="32226" xr:uid="{00000000-0005-0000-0000-0000FB980000}"/>
    <cellStyle name="Percent 4 2 3 4" xfId="32227" xr:uid="{00000000-0005-0000-0000-0000FC980000}"/>
    <cellStyle name="Percent 4 2 3 5" xfId="40850" xr:uid="{00000000-0005-0000-0000-0000FD980000}"/>
    <cellStyle name="Percent 4 2 4" xfId="36165" xr:uid="{00000000-0005-0000-0000-0000FE980000}"/>
    <cellStyle name="Percent 4 2 5" xfId="42357" xr:uid="{FE8C9D34-45F9-4864-B63D-D8EAB4658FFE}"/>
    <cellStyle name="Percent 4 3" xfId="32228" xr:uid="{00000000-0005-0000-0000-0000FF980000}"/>
    <cellStyle name="Percent 4 4" xfId="32229" xr:uid="{00000000-0005-0000-0000-000000990000}"/>
    <cellStyle name="Percent 4 5" xfId="32230" xr:uid="{00000000-0005-0000-0000-000001990000}"/>
    <cellStyle name="Percent 4 6" xfId="32231" xr:uid="{00000000-0005-0000-0000-000002990000}"/>
    <cellStyle name="Percent 4 6 2" xfId="40852" xr:uid="{00000000-0005-0000-0000-000003990000}"/>
    <cellStyle name="Percent 4 6 3" xfId="40851" xr:uid="{00000000-0005-0000-0000-000004990000}"/>
    <cellStyle name="Percent 4 7" xfId="32232" xr:uid="{00000000-0005-0000-0000-000005990000}"/>
    <cellStyle name="Percent 4 8" xfId="32233" xr:uid="{00000000-0005-0000-0000-000006990000}"/>
    <cellStyle name="Percent 4 9" xfId="34375" xr:uid="{00000000-0005-0000-0000-000007990000}"/>
    <cellStyle name="Percent 40" xfId="32234" xr:uid="{00000000-0005-0000-0000-000008990000}"/>
    <cellStyle name="Percent 40 2" xfId="32235" xr:uid="{00000000-0005-0000-0000-000009990000}"/>
    <cellStyle name="Percent 41" xfId="32236" xr:uid="{00000000-0005-0000-0000-00000A990000}"/>
    <cellStyle name="Percent 41 2" xfId="32237" xr:uid="{00000000-0005-0000-0000-00000B990000}"/>
    <cellStyle name="Percent 42" xfId="32238" xr:uid="{00000000-0005-0000-0000-00000C990000}"/>
    <cellStyle name="Percent 42 2" xfId="32239" xr:uid="{00000000-0005-0000-0000-00000D990000}"/>
    <cellStyle name="Percent 43" xfId="32240" xr:uid="{00000000-0005-0000-0000-00000E990000}"/>
    <cellStyle name="Percent 43 2" xfId="32241" xr:uid="{00000000-0005-0000-0000-00000F990000}"/>
    <cellStyle name="Percent 44" xfId="32242" xr:uid="{00000000-0005-0000-0000-000010990000}"/>
    <cellStyle name="Percent 44 2" xfId="32243" xr:uid="{00000000-0005-0000-0000-000011990000}"/>
    <cellStyle name="Percent 45" xfId="32244" xr:uid="{00000000-0005-0000-0000-000012990000}"/>
    <cellStyle name="Percent 45 2" xfId="32245" xr:uid="{00000000-0005-0000-0000-000013990000}"/>
    <cellStyle name="Percent 46" xfId="32246" xr:uid="{00000000-0005-0000-0000-000014990000}"/>
    <cellStyle name="Percent 46 2" xfId="32247" xr:uid="{00000000-0005-0000-0000-000015990000}"/>
    <cellStyle name="Percent 47" xfId="32248" xr:uid="{00000000-0005-0000-0000-000016990000}"/>
    <cellStyle name="Percent 47 2" xfId="32249" xr:uid="{00000000-0005-0000-0000-000017990000}"/>
    <cellStyle name="Percent 48" xfId="32250" xr:uid="{00000000-0005-0000-0000-000018990000}"/>
    <cellStyle name="Percent 48 2" xfId="32251" xr:uid="{00000000-0005-0000-0000-000019990000}"/>
    <cellStyle name="Percent 49" xfId="32252" xr:uid="{00000000-0005-0000-0000-00001A990000}"/>
    <cellStyle name="Percent 49 2" xfId="32253" xr:uid="{00000000-0005-0000-0000-00001B990000}"/>
    <cellStyle name="Percent 5" xfId="32254" xr:uid="{00000000-0005-0000-0000-00001C990000}"/>
    <cellStyle name="Percent 5 2" xfId="32255" xr:uid="{00000000-0005-0000-0000-00001D990000}"/>
    <cellStyle name="Percent 5 2 2" xfId="36167" xr:uid="{00000000-0005-0000-0000-00001E990000}"/>
    <cellStyle name="Percent 5 2 3" xfId="42168" xr:uid="{89221E22-97E0-447C-9669-E79641EED15F}"/>
    <cellStyle name="Percent 5 3" xfId="32256" xr:uid="{00000000-0005-0000-0000-00001F990000}"/>
    <cellStyle name="Percent 5 3 2" xfId="32257" xr:uid="{00000000-0005-0000-0000-000020990000}"/>
    <cellStyle name="Percent 5 3 2 2" xfId="32258" xr:uid="{00000000-0005-0000-0000-000021990000}"/>
    <cellStyle name="Percent 5 3 3" xfId="32259" xr:uid="{00000000-0005-0000-0000-000022990000}"/>
    <cellStyle name="Percent 5 3 4" xfId="32260" xr:uid="{00000000-0005-0000-0000-000023990000}"/>
    <cellStyle name="Percent 5 3 5" xfId="40853" xr:uid="{00000000-0005-0000-0000-000024990000}"/>
    <cellStyle name="Percent 5 3 6" xfId="42099" xr:uid="{99F1034D-3955-4992-ACAC-600CFF90846A}"/>
    <cellStyle name="Percent 5 4" xfId="34379" xr:uid="{00000000-0005-0000-0000-000025990000}"/>
    <cellStyle name="Percent 5 5" xfId="36166" xr:uid="{00000000-0005-0000-0000-000026990000}"/>
    <cellStyle name="Percent 5 6" xfId="42026" xr:uid="{0BD3385C-53F7-442F-B5DB-6D62B8C2D087}"/>
    <cellStyle name="Percent 50" xfId="32261" xr:uid="{00000000-0005-0000-0000-000027990000}"/>
    <cellStyle name="Percent 50 2" xfId="32262" xr:uid="{00000000-0005-0000-0000-000028990000}"/>
    <cellStyle name="Percent 51" xfId="32263" xr:uid="{00000000-0005-0000-0000-000029990000}"/>
    <cellStyle name="Percent 51 2" xfId="32264" xr:uid="{00000000-0005-0000-0000-00002A990000}"/>
    <cellStyle name="Percent 52" xfId="32265" xr:uid="{00000000-0005-0000-0000-00002B990000}"/>
    <cellStyle name="Percent 52 2" xfId="32266" xr:uid="{00000000-0005-0000-0000-00002C990000}"/>
    <cellStyle name="Percent 53" xfId="32267" xr:uid="{00000000-0005-0000-0000-00002D990000}"/>
    <cellStyle name="Percent 53 2" xfId="32268" xr:uid="{00000000-0005-0000-0000-00002E990000}"/>
    <cellStyle name="Percent 54" xfId="32269" xr:uid="{00000000-0005-0000-0000-00002F990000}"/>
    <cellStyle name="Percent 54 2" xfId="32270" xr:uid="{00000000-0005-0000-0000-000030990000}"/>
    <cellStyle name="Percent 55" xfId="32271" xr:uid="{00000000-0005-0000-0000-000031990000}"/>
    <cellStyle name="Percent 55 2" xfId="32272" xr:uid="{00000000-0005-0000-0000-000032990000}"/>
    <cellStyle name="Percent 56" xfId="32273" xr:uid="{00000000-0005-0000-0000-000033990000}"/>
    <cellStyle name="Percent 56 2" xfId="32274" xr:uid="{00000000-0005-0000-0000-000034990000}"/>
    <cellStyle name="Percent 57" xfId="32275" xr:uid="{00000000-0005-0000-0000-000035990000}"/>
    <cellStyle name="Percent 57 2" xfId="32276" xr:uid="{00000000-0005-0000-0000-000036990000}"/>
    <cellStyle name="Percent 58" xfId="32277" xr:uid="{00000000-0005-0000-0000-000037990000}"/>
    <cellStyle name="Percent 58 2" xfId="32278" xr:uid="{00000000-0005-0000-0000-000038990000}"/>
    <cellStyle name="Percent 59" xfId="32279" xr:uid="{00000000-0005-0000-0000-000039990000}"/>
    <cellStyle name="Percent 59 2" xfId="32280" xr:uid="{00000000-0005-0000-0000-00003A990000}"/>
    <cellStyle name="Percent 6" xfId="32281" xr:uid="{00000000-0005-0000-0000-00003B990000}"/>
    <cellStyle name="Percent 6 2" xfId="32282" xr:uid="{00000000-0005-0000-0000-00003C990000}"/>
    <cellStyle name="Percent 6 2 2" xfId="32283" xr:uid="{00000000-0005-0000-0000-00003D990000}"/>
    <cellStyle name="Percent 6 2 2 2" xfId="32284" xr:uid="{00000000-0005-0000-0000-00003E990000}"/>
    <cellStyle name="Percent 6 2 2 2 2" xfId="32285" xr:uid="{00000000-0005-0000-0000-00003F990000}"/>
    <cellStyle name="Percent 6 2 2 2 2 2" xfId="32286" xr:uid="{00000000-0005-0000-0000-000040990000}"/>
    <cellStyle name="Percent 6 2 2 2 3" xfId="32287" xr:uid="{00000000-0005-0000-0000-000041990000}"/>
    <cellStyle name="Percent 6 2 2 2 4" xfId="32288" xr:uid="{00000000-0005-0000-0000-000042990000}"/>
    <cellStyle name="Percent 6 2 2 2 5" xfId="40856" xr:uid="{00000000-0005-0000-0000-000043990000}"/>
    <cellStyle name="Percent 6 2 2 3" xfId="32289" xr:uid="{00000000-0005-0000-0000-000044990000}"/>
    <cellStyle name="Percent 6 2 2 3 2" xfId="32290" xr:uid="{00000000-0005-0000-0000-000045990000}"/>
    <cellStyle name="Percent 6 2 2 4" xfId="32291" xr:uid="{00000000-0005-0000-0000-000046990000}"/>
    <cellStyle name="Percent 6 2 2 5" xfId="32292" xr:uid="{00000000-0005-0000-0000-000047990000}"/>
    <cellStyle name="Percent 6 2 2 6" xfId="40855" xr:uid="{00000000-0005-0000-0000-000048990000}"/>
    <cellStyle name="Percent 6 2 3" xfId="32293" xr:uid="{00000000-0005-0000-0000-000049990000}"/>
    <cellStyle name="Percent 6 2 3 2" xfId="32294" xr:uid="{00000000-0005-0000-0000-00004A990000}"/>
    <cellStyle name="Percent 6 2 3 2 2" xfId="32295" xr:uid="{00000000-0005-0000-0000-00004B990000}"/>
    <cellStyle name="Percent 6 2 3 3" xfId="32296" xr:uid="{00000000-0005-0000-0000-00004C990000}"/>
    <cellStyle name="Percent 6 2 3 4" xfId="32297" xr:uid="{00000000-0005-0000-0000-00004D990000}"/>
    <cellStyle name="Percent 6 2 3 5" xfId="40857" xr:uid="{00000000-0005-0000-0000-00004E990000}"/>
    <cellStyle name="Percent 6 2 4" xfId="32298" xr:uid="{00000000-0005-0000-0000-00004F990000}"/>
    <cellStyle name="Percent 6 2 4 2" xfId="32299" xr:uid="{00000000-0005-0000-0000-000050990000}"/>
    <cellStyle name="Percent 6 2 4 2 2" xfId="32300" xr:uid="{00000000-0005-0000-0000-000051990000}"/>
    <cellStyle name="Percent 6 2 4 3" xfId="32301" xr:uid="{00000000-0005-0000-0000-000052990000}"/>
    <cellStyle name="Percent 6 2 4 4" xfId="32302" xr:uid="{00000000-0005-0000-0000-000053990000}"/>
    <cellStyle name="Percent 6 2 5" xfId="32303" xr:uid="{00000000-0005-0000-0000-000054990000}"/>
    <cellStyle name="Percent 6 2 5 2" xfId="32304" xr:uid="{00000000-0005-0000-0000-000055990000}"/>
    <cellStyle name="Percent 6 2 6" xfId="32305" xr:uid="{00000000-0005-0000-0000-000056990000}"/>
    <cellStyle name="Percent 6 2 7" xfId="32306" xr:uid="{00000000-0005-0000-0000-000057990000}"/>
    <cellStyle name="Percent 6 2 8" xfId="40854" xr:uid="{00000000-0005-0000-0000-000058990000}"/>
    <cellStyle name="Percent 6 3" xfId="32307" xr:uid="{00000000-0005-0000-0000-000059990000}"/>
    <cellStyle name="Percent 6 4" xfId="36168" xr:uid="{00000000-0005-0000-0000-00005A990000}"/>
    <cellStyle name="Percent 6 5" xfId="42127" xr:uid="{8D1CC2AE-ABF9-4FD3-8591-F8BC5283852A}"/>
    <cellStyle name="Percent 60" xfId="32308" xr:uid="{00000000-0005-0000-0000-00005B990000}"/>
    <cellStyle name="Percent 60 2" xfId="32309" xr:uid="{00000000-0005-0000-0000-00005C990000}"/>
    <cellStyle name="Percent 61" xfId="32310" xr:uid="{00000000-0005-0000-0000-00005D990000}"/>
    <cellStyle name="Percent 61 2" xfId="32311" xr:uid="{00000000-0005-0000-0000-00005E990000}"/>
    <cellStyle name="Percent 62" xfId="32312" xr:uid="{00000000-0005-0000-0000-00005F990000}"/>
    <cellStyle name="Percent 62 2" xfId="32313" xr:uid="{00000000-0005-0000-0000-000060990000}"/>
    <cellStyle name="Percent 63" xfId="32314" xr:uid="{00000000-0005-0000-0000-000061990000}"/>
    <cellStyle name="Percent 63 2" xfId="32315" xr:uid="{00000000-0005-0000-0000-000062990000}"/>
    <cellStyle name="Percent 64" xfId="32316" xr:uid="{00000000-0005-0000-0000-000063990000}"/>
    <cellStyle name="Percent 64 2" xfId="32317" xr:uid="{00000000-0005-0000-0000-000064990000}"/>
    <cellStyle name="Percent 65" xfId="32318" xr:uid="{00000000-0005-0000-0000-000065990000}"/>
    <cellStyle name="Percent 65 2" xfId="32319" xr:uid="{00000000-0005-0000-0000-000066990000}"/>
    <cellStyle name="Percent 66" xfId="32320" xr:uid="{00000000-0005-0000-0000-000067990000}"/>
    <cellStyle name="Percent 66 2" xfId="32321" xr:uid="{00000000-0005-0000-0000-000068990000}"/>
    <cellStyle name="Percent 67" xfId="32322" xr:uid="{00000000-0005-0000-0000-000069990000}"/>
    <cellStyle name="Percent 67 2" xfId="32323" xr:uid="{00000000-0005-0000-0000-00006A990000}"/>
    <cellStyle name="Percent 68" xfId="32324" xr:uid="{00000000-0005-0000-0000-00006B990000}"/>
    <cellStyle name="Percent 68 2" xfId="32325" xr:uid="{00000000-0005-0000-0000-00006C990000}"/>
    <cellStyle name="Percent 69" xfId="32326" xr:uid="{00000000-0005-0000-0000-00006D990000}"/>
    <cellStyle name="Percent 69 2" xfId="32327" xr:uid="{00000000-0005-0000-0000-00006E990000}"/>
    <cellStyle name="Percent 7" xfId="32328" xr:uid="{00000000-0005-0000-0000-00006F990000}"/>
    <cellStyle name="Percent 7 2" xfId="32329" xr:uid="{00000000-0005-0000-0000-000070990000}"/>
    <cellStyle name="Percent 7 2 2" xfId="32330" xr:uid="{00000000-0005-0000-0000-000071990000}"/>
    <cellStyle name="Percent 70" xfId="32331" xr:uid="{00000000-0005-0000-0000-000072990000}"/>
    <cellStyle name="Percent 70 2" xfId="32332" xr:uid="{00000000-0005-0000-0000-000073990000}"/>
    <cellStyle name="Percent 71" xfId="32333" xr:uid="{00000000-0005-0000-0000-000074990000}"/>
    <cellStyle name="Percent 71 2" xfId="32334" xr:uid="{00000000-0005-0000-0000-000075990000}"/>
    <cellStyle name="Percent 72" xfId="32335" xr:uid="{00000000-0005-0000-0000-000076990000}"/>
    <cellStyle name="Percent 72 2" xfId="32336" xr:uid="{00000000-0005-0000-0000-000077990000}"/>
    <cellStyle name="Percent 73" xfId="32337" xr:uid="{00000000-0005-0000-0000-000078990000}"/>
    <cellStyle name="Percent 73 2" xfId="32338" xr:uid="{00000000-0005-0000-0000-000079990000}"/>
    <cellStyle name="Percent 74" xfId="32339" xr:uid="{00000000-0005-0000-0000-00007A990000}"/>
    <cellStyle name="Percent 74 2" xfId="32340" xr:uid="{00000000-0005-0000-0000-00007B990000}"/>
    <cellStyle name="Percent 75" xfId="32341" xr:uid="{00000000-0005-0000-0000-00007C990000}"/>
    <cellStyle name="Percent 75 2" xfId="32342" xr:uid="{00000000-0005-0000-0000-00007D990000}"/>
    <cellStyle name="Percent 76" xfId="32343" xr:uid="{00000000-0005-0000-0000-00007E990000}"/>
    <cellStyle name="Percent 76 2" xfId="32344" xr:uid="{00000000-0005-0000-0000-00007F990000}"/>
    <cellStyle name="Percent 77" xfId="32345" xr:uid="{00000000-0005-0000-0000-000080990000}"/>
    <cellStyle name="Percent 77 2" xfId="32346" xr:uid="{00000000-0005-0000-0000-000081990000}"/>
    <cellStyle name="Percent 78" xfId="32347" xr:uid="{00000000-0005-0000-0000-000082990000}"/>
    <cellStyle name="Percent 78 2" xfId="32348" xr:uid="{00000000-0005-0000-0000-000083990000}"/>
    <cellStyle name="Percent 79" xfId="32349" xr:uid="{00000000-0005-0000-0000-000084990000}"/>
    <cellStyle name="Percent 79 2" xfId="32350" xr:uid="{00000000-0005-0000-0000-000085990000}"/>
    <cellStyle name="Percent 8" xfId="32351" xr:uid="{00000000-0005-0000-0000-000086990000}"/>
    <cellStyle name="Percent 8 2" xfId="32352" xr:uid="{00000000-0005-0000-0000-000087990000}"/>
    <cellStyle name="Percent 8 3" xfId="32353" xr:uid="{00000000-0005-0000-0000-000088990000}"/>
    <cellStyle name="Percent 8 3 2" xfId="32354" xr:uid="{00000000-0005-0000-0000-000089990000}"/>
    <cellStyle name="Percent 8 3 2 2" xfId="32355" xr:uid="{00000000-0005-0000-0000-00008A990000}"/>
    <cellStyle name="Percent 8 3 2 2 2" xfId="32356" xr:uid="{00000000-0005-0000-0000-00008B990000}"/>
    <cellStyle name="Percent 8 3 2 3" xfId="32357" xr:uid="{00000000-0005-0000-0000-00008C990000}"/>
    <cellStyle name="Percent 8 3 2 4" xfId="32358" xr:uid="{00000000-0005-0000-0000-00008D990000}"/>
    <cellStyle name="Percent 8 3 2 5" xfId="40859" xr:uid="{00000000-0005-0000-0000-00008E990000}"/>
    <cellStyle name="Percent 8 3 3" xfId="32359" xr:uid="{00000000-0005-0000-0000-00008F990000}"/>
    <cellStyle name="Percent 8 3 3 2" xfId="32360" xr:uid="{00000000-0005-0000-0000-000090990000}"/>
    <cellStyle name="Percent 8 3 4" xfId="32361" xr:uid="{00000000-0005-0000-0000-000091990000}"/>
    <cellStyle name="Percent 8 3 5" xfId="32362" xr:uid="{00000000-0005-0000-0000-000092990000}"/>
    <cellStyle name="Percent 8 3 6" xfId="40858" xr:uid="{00000000-0005-0000-0000-000093990000}"/>
    <cellStyle name="Percent 8 4" xfId="32363" xr:uid="{00000000-0005-0000-0000-000094990000}"/>
    <cellStyle name="Percent 8 4 2" xfId="32364" xr:uid="{00000000-0005-0000-0000-000095990000}"/>
    <cellStyle name="Percent 8 4 2 2" xfId="32365" xr:uid="{00000000-0005-0000-0000-000096990000}"/>
    <cellStyle name="Percent 8 4 3" xfId="32366" xr:uid="{00000000-0005-0000-0000-000097990000}"/>
    <cellStyle name="Percent 8 4 4" xfId="32367" xr:uid="{00000000-0005-0000-0000-000098990000}"/>
    <cellStyle name="Percent 8 4 5" xfId="40860" xr:uid="{00000000-0005-0000-0000-000099990000}"/>
    <cellStyle name="Percent 8 5" xfId="32368" xr:uid="{00000000-0005-0000-0000-00009A990000}"/>
    <cellStyle name="Percent 8 5 2" xfId="32369" xr:uid="{00000000-0005-0000-0000-00009B990000}"/>
    <cellStyle name="Percent 8 6" xfId="32370" xr:uid="{00000000-0005-0000-0000-00009C990000}"/>
    <cellStyle name="Percent 8 7" xfId="32371" xr:uid="{00000000-0005-0000-0000-00009D990000}"/>
    <cellStyle name="Percent 8 8" xfId="42242" xr:uid="{3250AFB5-AAF7-4194-A7CD-05411DB7741F}"/>
    <cellStyle name="Percent 80" xfId="32372" xr:uid="{00000000-0005-0000-0000-00009E990000}"/>
    <cellStyle name="Percent 80 2" xfId="32373" xr:uid="{00000000-0005-0000-0000-00009F990000}"/>
    <cellStyle name="Percent 81" xfId="32374" xr:uid="{00000000-0005-0000-0000-0000A0990000}"/>
    <cellStyle name="Percent 81 2" xfId="32375" xr:uid="{00000000-0005-0000-0000-0000A1990000}"/>
    <cellStyle name="Percent 82" xfId="32376" xr:uid="{00000000-0005-0000-0000-0000A2990000}"/>
    <cellStyle name="Percent 82 2" xfId="32377" xr:uid="{00000000-0005-0000-0000-0000A3990000}"/>
    <cellStyle name="Percent 83" xfId="32378" xr:uid="{00000000-0005-0000-0000-0000A4990000}"/>
    <cellStyle name="Percent 83 2" xfId="32379" xr:uid="{00000000-0005-0000-0000-0000A5990000}"/>
    <cellStyle name="Percent 84" xfId="32380" xr:uid="{00000000-0005-0000-0000-0000A6990000}"/>
    <cellStyle name="Percent 84 2" xfId="32381" xr:uid="{00000000-0005-0000-0000-0000A7990000}"/>
    <cellStyle name="Percent 84 2 2" xfId="32382" xr:uid="{00000000-0005-0000-0000-0000A8990000}"/>
    <cellStyle name="Percent 84 3" xfId="32383" xr:uid="{00000000-0005-0000-0000-0000A9990000}"/>
    <cellStyle name="Percent 85" xfId="32384" xr:uid="{00000000-0005-0000-0000-0000AA990000}"/>
    <cellStyle name="Percent 85 2" xfId="32385" xr:uid="{00000000-0005-0000-0000-0000AB990000}"/>
    <cellStyle name="Percent 85 2 2" xfId="32386" xr:uid="{00000000-0005-0000-0000-0000AC990000}"/>
    <cellStyle name="Percent 85 3" xfId="32387" xr:uid="{00000000-0005-0000-0000-0000AD990000}"/>
    <cellStyle name="Percent 86" xfId="32388" xr:uid="{00000000-0005-0000-0000-0000AE990000}"/>
    <cellStyle name="Percent 86 2" xfId="32389" xr:uid="{00000000-0005-0000-0000-0000AF990000}"/>
    <cellStyle name="Percent 86 2 2" xfId="32390" xr:uid="{00000000-0005-0000-0000-0000B0990000}"/>
    <cellStyle name="Percent 86 3" xfId="32391" xr:uid="{00000000-0005-0000-0000-0000B1990000}"/>
    <cellStyle name="Percent 87" xfId="32392" xr:uid="{00000000-0005-0000-0000-0000B2990000}"/>
    <cellStyle name="Percent 87 2" xfId="32393" xr:uid="{00000000-0005-0000-0000-0000B3990000}"/>
    <cellStyle name="Percent 88" xfId="32394" xr:uid="{00000000-0005-0000-0000-0000B4990000}"/>
    <cellStyle name="Percent 88 2" xfId="32395" xr:uid="{00000000-0005-0000-0000-0000B5990000}"/>
    <cellStyle name="Percent 89" xfId="32396" xr:uid="{00000000-0005-0000-0000-0000B6990000}"/>
    <cellStyle name="Percent 89 2" xfId="32397" xr:uid="{00000000-0005-0000-0000-0000B7990000}"/>
    <cellStyle name="Percent 9" xfId="32398" xr:uid="{00000000-0005-0000-0000-0000B8990000}"/>
    <cellStyle name="Percent 9 2" xfId="42243" xr:uid="{AA2BD7C0-B07C-4CB1-8D9E-AAB3758E4684}"/>
    <cellStyle name="Percent 90" xfId="32399" xr:uid="{00000000-0005-0000-0000-0000B9990000}"/>
    <cellStyle name="Percent 90 2" xfId="32400" xr:uid="{00000000-0005-0000-0000-0000BA990000}"/>
    <cellStyle name="Percent 91" xfId="32401" xr:uid="{00000000-0005-0000-0000-0000BB990000}"/>
    <cellStyle name="Percent 91 2" xfId="32402" xr:uid="{00000000-0005-0000-0000-0000BC990000}"/>
    <cellStyle name="Percent 92" xfId="32403" xr:uid="{00000000-0005-0000-0000-0000BD990000}"/>
    <cellStyle name="Percent 92 2" xfId="32404" xr:uid="{00000000-0005-0000-0000-0000BE990000}"/>
    <cellStyle name="Percent 93" xfId="32405" xr:uid="{00000000-0005-0000-0000-0000BF990000}"/>
    <cellStyle name="Percent 93 2" xfId="32406" xr:uid="{00000000-0005-0000-0000-0000C0990000}"/>
    <cellStyle name="Percent 94" xfId="32407" xr:uid="{00000000-0005-0000-0000-0000C1990000}"/>
    <cellStyle name="Percent 94 2" xfId="32408" xr:uid="{00000000-0005-0000-0000-0000C2990000}"/>
    <cellStyle name="Percent 95" xfId="32409" xr:uid="{00000000-0005-0000-0000-0000C3990000}"/>
    <cellStyle name="Percent 95 2" xfId="32410" xr:uid="{00000000-0005-0000-0000-0000C4990000}"/>
    <cellStyle name="Percent 96" xfId="32411" xr:uid="{00000000-0005-0000-0000-0000C5990000}"/>
    <cellStyle name="Percent 96 2" xfId="32412" xr:uid="{00000000-0005-0000-0000-0000C6990000}"/>
    <cellStyle name="Percent 97" xfId="32413" xr:uid="{00000000-0005-0000-0000-0000C7990000}"/>
    <cellStyle name="Percent 97 2" xfId="32414" xr:uid="{00000000-0005-0000-0000-0000C8990000}"/>
    <cellStyle name="Percent 98" xfId="32415" xr:uid="{00000000-0005-0000-0000-0000C9990000}"/>
    <cellStyle name="Percent 98 2" xfId="32416" xr:uid="{00000000-0005-0000-0000-0000CA990000}"/>
    <cellStyle name="Percent 99" xfId="32417" xr:uid="{00000000-0005-0000-0000-0000CB990000}"/>
    <cellStyle name="Percent 99 2" xfId="32418" xr:uid="{00000000-0005-0000-0000-0000CC990000}"/>
    <cellStyle name="Percentage" xfId="36169" xr:uid="{00000000-0005-0000-0000-0000CD990000}"/>
    <cellStyle name="Period Title" xfId="36170" xr:uid="{00000000-0005-0000-0000-0000CE990000}"/>
    <cellStyle name="PSChar" xfId="32419" xr:uid="{00000000-0005-0000-0000-0000CF990000}"/>
    <cellStyle name="PSChar 2" xfId="32420" xr:uid="{00000000-0005-0000-0000-0000D0990000}"/>
    <cellStyle name="PSChar 2 2" xfId="32421" xr:uid="{00000000-0005-0000-0000-0000D1990000}"/>
    <cellStyle name="PSChar 2 3" xfId="32422" xr:uid="{00000000-0005-0000-0000-0000D2990000}"/>
    <cellStyle name="PSChar 2 3 2" xfId="40862" xr:uid="{00000000-0005-0000-0000-0000D3990000}"/>
    <cellStyle name="PSChar 2 3 3" xfId="40861" xr:uid="{00000000-0005-0000-0000-0000D4990000}"/>
    <cellStyle name="PSChar 2 4" xfId="32423" xr:uid="{00000000-0005-0000-0000-0000D5990000}"/>
    <cellStyle name="PSChar 3" xfId="32424" xr:uid="{00000000-0005-0000-0000-0000D6990000}"/>
    <cellStyle name="PSChar 3 2" xfId="32425" xr:uid="{00000000-0005-0000-0000-0000D7990000}"/>
    <cellStyle name="PSChar 3 3" xfId="32426" xr:uid="{00000000-0005-0000-0000-0000D8990000}"/>
    <cellStyle name="PSChar 3 4" xfId="32427" xr:uid="{00000000-0005-0000-0000-0000D9990000}"/>
    <cellStyle name="PSChar 4" xfId="32428" xr:uid="{00000000-0005-0000-0000-0000DA990000}"/>
    <cellStyle name="PSChar 4 2" xfId="32429" xr:uid="{00000000-0005-0000-0000-0000DB990000}"/>
    <cellStyle name="PSChar 5" xfId="32430" xr:uid="{00000000-0005-0000-0000-0000DC990000}"/>
    <cellStyle name="PSChar 5 2" xfId="32431" xr:uid="{00000000-0005-0000-0000-0000DD990000}"/>
    <cellStyle name="PSChar 6" xfId="32432" xr:uid="{00000000-0005-0000-0000-0000DE990000}"/>
    <cellStyle name="PSChar 6 2" xfId="32433" xr:uid="{00000000-0005-0000-0000-0000DF990000}"/>
    <cellStyle name="PSChar 7" xfId="32434" xr:uid="{00000000-0005-0000-0000-0000E0990000}"/>
    <cellStyle name="PSChar 7 2" xfId="32435" xr:uid="{00000000-0005-0000-0000-0000E1990000}"/>
    <cellStyle name="PSChar 8" xfId="32436" xr:uid="{00000000-0005-0000-0000-0000E2990000}"/>
    <cellStyle name="PSChar 9" xfId="32437" xr:uid="{00000000-0005-0000-0000-0000E3990000}"/>
    <cellStyle name="PSChar 9 2" xfId="36171" xr:uid="{00000000-0005-0000-0000-0000E4990000}"/>
    <cellStyle name="PSDate" xfId="32438" xr:uid="{00000000-0005-0000-0000-0000E5990000}"/>
    <cellStyle name="PSDate 2" xfId="32439" xr:uid="{00000000-0005-0000-0000-0000E6990000}"/>
    <cellStyle name="PSDate 3" xfId="32440" xr:uid="{00000000-0005-0000-0000-0000E7990000}"/>
    <cellStyle name="PSDate 4" xfId="32441" xr:uid="{00000000-0005-0000-0000-0000E8990000}"/>
    <cellStyle name="PSDate 5" xfId="32442" xr:uid="{00000000-0005-0000-0000-0000E9990000}"/>
    <cellStyle name="PSDate 5 2" xfId="32443" xr:uid="{00000000-0005-0000-0000-0000EA990000}"/>
    <cellStyle name="PSDate 6" xfId="32444" xr:uid="{00000000-0005-0000-0000-0000EB990000}"/>
    <cellStyle name="PSDate 6 2" xfId="32445" xr:uid="{00000000-0005-0000-0000-0000EC990000}"/>
    <cellStyle name="PSDec" xfId="32446" xr:uid="{00000000-0005-0000-0000-0000ED990000}"/>
    <cellStyle name="PSDec 2" xfId="32447" xr:uid="{00000000-0005-0000-0000-0000EE990000}"/>
    <cellStyle name="PSDec 3" xfId="32448" xr:uid="{00000000-0005-0000-0000-0000EF990000}"/>
    <cellStyle name="PSDec 4" xfId="32449" xr:uid="{00000000-0005-0000-0000-0000F0990000}"/>
    <cellStyle name="PSDec 5" xfId="32450" xr:uid="{00000000-0005-0000-0000-0000F1990000}"/>
    <cellStyle name="PSDec 5 2" xfId="32451" xr:uid="{00000000-0005-0000-0000-0000F2990000}"/>
    <cellStyle name="PSDec 6" xfId="32452" xr:uid="{00000000-0005-0000-0000-0000F3990000}"/>
    <cellStyle name="PSDec 6 2" xfId="32453" xr:uid="{00000000-0005-0000-0000-0000F4990000}"/>
    <cellStyle name="PSDetail" xfId="36172" xr:uid="{00000000-0005-0000-0000-0000F5990000}"/>
    <cellStyle name="PSDetail 2" xfId="36173" xr:uid="{00000000-0005-0000-0000-0000F6990000}"/>
    <cellStyle name="PSHeading" xfId="32454" xr:uid="{00000000-0005-0000-0000-0000F7990000}"/>
    <cellStyle name="PSHeading 10" xfId="32455" xr:uid="{00000000-0005-0000-0000-0000F8990000}"/>
    <cellStyle name="PSHeading 10 2" xfId="32456" xr:uid="{00000000-0005-0000-0000-0000F9990000}"/>
    <cellStyle name="PSHeading 11" xfId="32457" xr:uid="{00000000-0005-0000-0000-0000FA990000}"/>
    <cellStyle name="PSHeading 11 2" xfId="32458" xr:uid="{00000000-0005-0000-0000-0000FB990000}"/>
    <cellStyle name="PSHeading 12" xfId="32459" xr:uid="{00000000-0005-0000-0000-0000FC990000}"/>
    <cellStyle name="PSHeading 12 2" xfId="32460" xr:uid="{00000000-0005-0000-0000-0000FD990000}"/>
    <cellStyle name="PSHeading 13" xfId="32461" xr:uid="{00000000-0005-0000-0000-0000FE990000}"/>
    <cellStyle name="PSHeading 13 2" xfId="32462" xr:uid="{00000000-0005-0000-0000-0000FF990000}"/>
    <cellStyle name="PSHeading 14" xfId="32463" xr:uid="{00000000-0005-0000-0000-0000009A0000}"/>
    <cellStyle name="PSHeading 15" xfId="41980" xr:uid="{B7C14222-9590-4034-8406-1BC8033CB041}"/>
    <cellStyle name="PSHeading 2" xfId="32464" xr:uid="{00000000-0005-0000-0000-0000019A0000}"/>
    <cellStyle name="PSHeading 2 2" xfId="32465" xr:uid="{00000000-0005-0000-0000-0000029A0000}"/>
    <cellStyle name="PSHeading 2 2 2" xfId="32466" xr:uid="{00000000-0005-0000-0000-0000039A0000}"/>
    <cellStyle name="PSHeading 2 2 2 2" xfId="32467" xr:uid="{00000000-0005-0000-0000-0000049A0000}"/>
    <cellStyle name="PSHeading 2 2 2 3" xfId="36175" xr:uid="{00000000-0005-0000-0000-0000059A0000}"/>
    <cellStyle name="PSHeading 2 2 2 4" xfId="42244" xr:uid="{583AE531-DBE3-4FB7-85F9-ECB4389D09DD}"/>
    <cellStyle name="PSHeading 2 2 3" xfId="32468" xr:uid="{00000000-0005-0000-0000-0000069A0000}"/>
    <cellStyle name="PSHeading 2 2 4" xfId="36174" xr:uid="{00000000-0005-0000-0000-0000079A0000}"/>
    <cellStyle name="PSHeading 2 2 5" xfId="42195" xr:uid="{3ED91D70-7229-4083-BFF3-C6B21A1F3E37}"/>
    <cellStyle name="PSHeading 2 3" xfId="32469" xr:uid="{00000000-0005-0000-0000-0000089A0000}"/>
    <cellStyle name="PSHeading 2 3 2" xfId="32470" xr:uid="{00000000-0005-0000-0000-0000099A0000}"/>
    <cellStyle name="PSHeading 2 3 3" xfId="36176" xr:uid="{00000000-0005-0000-0000-00000A9A0000}"/>
    <cellStyle name="PSHeading 2 3 4" xfId="42245" xr:uid="{B86D99A1-A0F4-4F22-A346-19AB9A91BA17}"/>
    <cellStyle name="PSHeading 2 4" xfId="32471" xr:uid="{00000000-0005-0000-0000-00000B9A0000}"/>
    <cellStyle name="PSHeading 2 4 2" xfId="32472" xr:uid="{00000000-0005-0000-0000-00000C9A0000}"/>
    <cellStyle name="PSHeading 2 5" xfId="32473" xr:uid="{00000000-0005-0000-0000-00000D9A0000}"/>
    <cellStyle name="PSHeading 2 5 2" xfId="32474" xr:uid="{00000000-0005-0000-0000-00000E9A0000}"/>
    <cellStyle name="PSHeading 2 6" xfId="32475" xr:uid="{00000000-0005-0000-0000-00000F9A0000}"/>
    <cellStyle name="PSHeading 2 6 2" xfId="32476" xr:uid="{00000000-0005-0000-0000-0000109A0000}"/>
    <cellStyle name="PSHeading 2 7" xfId="32477" xr:uid="{00000000-0005-0000-0000-0000119A0000}"/>
    <cellStyle name="PSHeading 2 8" xfId="42078" xr:uid="{DF59688B-926B-4C07-BB4B-840AC5160459}"/>
    <cellStyle name="PSHeading 3" xfId="32478" xr:uid="{00000000-0005-0000-0000-0000129A0000}"/>
    <cellStyle name="PSHeading 3 2" xfId="32479" xr:uid="{00000000-0005-0000-0000-0000139A0000}"/>
    <cellStyle name="PSHeading 3 2 2" xfId="32480" xr:uid="{00000000-0005-0000-0000-0000149A0000}"/>
    <cellStyle name="PSHeading 3 2 2 2" xfId="42246" xr:uid="{A9780A17-C57E-4307-B637-38A26D18C206}"/>
    <cellStyle name="PSHeading 3 2 2 3" xfId="42173" xr:uid="{7EE3CEC5-18E8-4F59-966A-D620B7E2EF61}"/>
    <cellStyle name="PSHeading 3 2 3" xfId="36177" xr:uid="{00000000-0005-0000-0000-0000159A0000}"/>
    <cellStyle name="PSHeading 3 2 3 2" xfId="42247" xr:uid="{F206305A-04D3-43F4-A663-A11B1E851908}"/>
    <cellStyle name="PSHeading 3 3" xfId="32481" xr:uid="{00000000-0005-0000-0000-0000169A0000}"/>
    <cellStyle name="PSHeading 3 3 2" xfId="32482" xr:uid="{00000000-0005-0000-0000-0000179A0000}"/>
    <cellStyle name="PSHeading 3 3 3" xfId="36178" xr:uid="{00000000-0005-0000-0000-0000189A0000}"/>
    <cellStyle name="PSHeading 3 3 4" xfId="42248" xr:uid="{D6E2090B-605D-46E7-9EB2-39A035CF381E}"/>
    <cellStyle name="PSHeading 3 4" xfId="32483" xr:uid="{00000000-0005-0000-0000-0000199A0000}"/>
    <cellStyle name="PSHeading 3 4 2" xfId="32484" xr:uid="{00000000-0005-0000-0000-00001A9A0000}"/>
    <cellStyle name="PSHeading 3 5" xfId="32485" xr:uid="{00000000-0005-0000-0000-00001B9A0000}"/>
    <cellStyle name="PSHeading 3 5 2" xfId="32486" xr:uid="{00000000-0005-0000-0000-00001C9A0000}"/>
    <cellStyle name="PSHeading 3 6" xfId="32487" xr:uid="{00000000-0005-0000-0000-00001D9A0000}"/>
    <cellStyle name="PSHeading 3 7" xfId="42032" xr:uid="{D5663A8A-D303-4F56-B710-B5975EA77DAB}"/>
    <cellStyle name="PSHeading 4" xfId="32488" xr:uid="{00000000-0005-0000-0000-00001E9A0000}"/>
    <cellStyle name="PSHeading 4 2" xfId="32489" xr:uid="{00000000-0005-0000-0000-00001F9A0000}"/>
    <cellStyle name="PSHeading 4 2 2" xfId="32490" xr:uid="{00000000-0005-0000-0000-0000209A0000}"/>
    <cellStyle name="PSHeading 4 2 3" xfId="42249" xr:uid="{E8D0F3D1-4063-455D-8AFC-F68E4046AF8D}"/>
    <cellStyle name="PSHeading 4 3" xfId="32491" xr:uid="{00000000-0005-0000-0000-0000219A0000}"/>
    <cellStyle name="PSHeading 4 3 2" xfId="32492" xr:uid="{00000000-0005-0000-0000-0000229A0000}"/>
    <cellStyle name="PSHeading 4 4" xfId="32493" xr:uid="{00000000-0005-0000-0000-0000239A0000}"/>
    <cellStyle name="PSHeading 4 4 2" xfId="32494" xr:uid="{00000000-0005-0000-0000-0000249A0000}"/>
    <cellStyle name="PSHeading 4 5" xfId="32495" xr:uid="{00000000-0005-0000-0000-0000259A0000}"/>
    <cellStyle name="PSHeading 4 6" xfId="42164" xr:uid="{07891FCA-5D8C-457B-8988-C6F2CC468B06}"/>
    <cellStyle name="PSHeading 5" xfId="32496" xr:uid="{00000000-0005-0000-0000-0000269A0000}"/>
    <cellStyle name="PSHeading 5 2" xfId="32497" xr:uid="{00000000-0005-0000-0000-0000279A0000}"/>
    <cellStyle name="PSHeading 5 2 2" xfId="32498" xr:uid="{00000000-0005-0000-0000-0000289A0000}"/>
    <cellStyle name="PSHeading 5 3" xfId="32499" xr:uid="{00000000-0005-0000-0000-0000299A0000}"/>
    <cellStyle name="PSHeading 5 4" xfId="42250" xr:uid="{5564B230-114C-4238-8324-10C49F969E02}"/>
    <cellStyle name="PSHeading 6" xfId="32500" xr:uid="{00000000-0005-0000-0000-00002A9A0000}"/>
    <cellStyle name="PSHeading 6 2" xfId="32501" xr:uid="{00000000-0005-0000-0000-00002B9A0000}"/>
    <cellStyle name="PSHeading 6 2 2" xfId="32502" xr:uid="{00000000-0005-0000-0000-00002C9A0000}"/>
    <cellStyle name="PSHeading 6 2 2 2" xfId="32503" xr:uid="{00000000-0005-0000-0000-00002D9A0000}"/>
    <cellStyle name="PSHeading 6 2 3" xfId="32504" xr:uid="{00000000-0005-0000-0000-00002E9A0000}"/>
    <cellStyle name="PSHeading 6 3" xfId="32505" xr:uid="{00000000-0005-0000-0000-00002F9A0000}"/>
    <cellStyle name="PSHeading 6 3 2" xfId="32506" xr:uid="{00000000-0005-0000-0000-0000309A0000}"/>
    <cellStyle name="PSHeading 6 4" xfId="32507" xr:uid="{00000000-0005-0000-0000-0000319A0000}"/>
    <cellStyle name="PSHeading 7" xfId="32508" xr:uid="{00000000-0005-0000-0000-0000329A0000}"/>
    <cellStyle name="PSHeading 7 2" xfId="32509" xr:uid="{00000000-0005-0000-0000-0000339A0000}"/>
    <cellStyle name="PSHeading 7 2 2" xfId="32510" xr:uid="{00000000-0005-0000-0000-0000349A0000}"/>
    <cellStyle name="PSHeading 7 2 2 2" xfId="32511" xr:uid="{00000000-0005-0000-0000-0000359A0000}"/>
    <cellStyle name="PSHeading 7 2 3" xfId="32512" xr:uid="{00000000-0005-0000-0000-0000369A0000}"/>
    <cellStyle name="PSHeading 7 3" xfId="32513" xr:uid="{00000000-0005-0000-0000-0000379A0000}"/>
    <cellStyle name="PSHeading 7 3 2" xfId="32514" xr:uid="{00000000-0005-0000-0000-0000389A0000}"/>
    <cellStyle name="PSHeading 7 4" xfId="32515" xr:uid="{00000000-0005-0000-0000-0000399A0000}"/>
    <cellStyle name="PSHeading 8" xfId="32516" xr:uid="{00000000-0005-0000-0000-00003A9A0000}"/>
    <cellStyle name="PSHeading 8 2" xfId="32517" xr:uid="{00000000-0005-0000-0000-00003B9A0000}"/>
    <cellStyle name="PSHeading 8 2 2" xfId="32518" xr:uid="{00000000-0005-0000-0000-00003C9A0000}"/>
    <cellStyle name="PSHeading 8 3" xfId="32519" xr:uid="{00000000-0005-0000-0000-00003D9A0000}"/>
    <cellStyle name="PSHeading 9" xfId="32520" xr:uid="{00000000-0005-0000-0000-00003E9A0000}"/>
    <cellStyle name="PSHeading 9 2" xfId="32521" xr:uid="{00000000-0005-0000-0000-00003F9A0000}"/>
    <cellStyle name="PSHeading 9 3" xfId="36179" xr:uid="{00000000-0005-0000-0000-0000409A0000}"/>
    <cellStyle name="PSHeading_CP Non-Financial Targets" xfId="32522" xr:uid="{00000000-0005-0000-0000-0000419A0000}"/>
    <cellStyle name="PSInt" xfId="32523" xr:uid="{00000000-0005-0000-0000-0000429A0000}"/>
    <cellStyle name="PSInt 2" xfId="32524" xr:uid="{00000000-0005-0000-0000-0000439A0000}"/>
    <cellStyle name="PSInt 3" xfId="32525" xr:uid="{00000000-0005-0000-0000-0000449A0000}"/>
    <cellStyle name="PSInt 4" xfId="32526" xr:uid="{00000000-0005-0000-0000-0000459A0000}"/>
    <cellStyle name="PSInt 5" xfId="32527" xr:uid="{00000000-0005-0000-0000-0000469A0000}"/>
    <cellStyle name="PSInt 5 2" xfId="32528" xr:uid="{00000000-0005-0000-0000-0000479A0000}"/>
    <cellStyle name="PSInt 6" xfId="32529" xr:uid="{00000000-0005-0000-0000-0000489A0000}"/>
    <cellStyle name="PSInt 6 2" xfId="32530" xr:uid="{00000000-0005-0000-0000-0000499A0000}"/>
    <cellStyle name="PSSpacer" xfId="32531" xr:uid="{00000000-0005-0000-0000-00004A9A0000}"/>
    <cellStyle name="PSSpacer 2" xfId="32532" xr:uid="{00000000-0005-0000-0000-00004B9A0000}"/>
    <cellStyle name="PSSpacer 2 2" xfId="32533" xr:uid="{00000000-0005-0000-0000-00004C9A0000}"/>
    <cellStyle name="PSSpacer 2 3" xfId="32534" xr:uid="{00000000-0005-0000-0000-00004D9A0000}"/>
    <cellStyle name="PSSpacer 2 4" xfId="32535" xr:uid="{00000000-0005-0000-0000-00004E9A0000}"/>
    <cellStyle name="PSSpacer 3" xfId="32536" xr:uid="{00000000-0005-0000-0000-00004F9A0000}"/>
    <cellStyle name="PSSpacer 3 2" xfId="32537" xr:uid="{00000000-0005-0000-0000-0000509A0000}"/>
    <cellStyle name="PSSpacer 3 3" xfId="32538" xr:uid="{00000000-0005-0000-0000-0000519A0000}"/>
    <cellStyle name="PSSpacer 4" xfId="32539" xr:uid="{00000000-0005-0000-0000-0000529A0000}"/>
    <cellStyle name="PSSpacer 4 2" xfId="32540" xr:uid="{00000000-0005-0000-0000-0000539A0000}"/>
    <cellStyle name="PSSpacer 5" xfId="32541" xr:uid="{00000000-0005-0000-0000-0000549A0000}"/>
    <cellStyle name="PSSpacer 6" xfId="32542" xr:uid="{00000000-0005-0000-0000-0000559A0000}"/>
    <cellStyle name="PSSpacer 6 2" xfId="32543" xr:uid="{00000000-0005-0000-0000-0000569A0000}"/>
    <cellStyle name="PSSpacer 7" xfId="32544" xr:uid="{00000000-0005-0000-0000-0000579A0000}"/>
    <cellStyle name="PSSpacer 7 2" xfId="32545" xr:uid="{00000000-0005-0000-0000-0000589A0000}"/>
    <cellStyle name="PSSpacer 8" xfId="32546" xr:uid="{00000000-0005-0000-0000-0000599A0000}"/>
    <cellStyle name="PSSpacer 9" xfId="32547" xr:uid="{00000000-0005-0000-0000-00005A9A0000}"/>
    <cellStyle name="PSSpacer 9 2" xfId="36180" xr:uid="{00000000-0005-0000-0000-00005B9A0000}"/>
    <cellStyle name="Ratio" xfId="36181" xr:uid="{00000000-0005-0000-0000-00005C9A0000}"/>
    <cellStyle name="Ratio 2" xfId="41981" xr:uid="{FCB642D0-762E-4E88-B8F8-85A308ED04C8}"/>
    <cellStyle name="Ratio_29(d) - Gas extensions -tariffs" xfId="41982" xr:uid="{E99AAC4E-4968-4E3A-9BF0-B9A438034929}"/>
    <cellStyle name="Right Date" xfId="36182" xr:uid="{00000000-0005-0000-0000-00005D9A0000}"/>
    <cellStyle name="Right Number" xfId="36183" xr:uid="{00000000-0005-0000-0000-00005E9A0000}"/>
    <cellStyle name="Right Year" xfId="36184" xr:uid="{00000000-0005-0000-0000-00005F9A0000}"/>
    <cellStyle name="RIN_Input$_3dp" xfId="42251" xr:uid="{95B661EA-6FA4-4FEC-B70F-2B19AD05061C}"/>
    <cellStyle name="Row Heading" xfId="32548" xr:uid="{00000000-0005-0000-0000-0000609A0000}"/>
    <cellStyle name="Row Heading 2" xfId="32549" xr:uid="{00000000-0005-0000-0000-0000619A0000}"/>
    <cellStyle name="Row Heading 3" xfId="32550" xr:uid="{00000000-0005-0000-0000-0000629A0000}"/>
    <cellStyle name="Row Heading 4" xfId="32551" xr:uid="{00000000-0005-0000-0000-0000639A0000}"/>
    <cellStyle name="Rows" xfId="32552" xr:uid="{00000000-0005-0000-0000-0000649A0000}"/>
    <cellStyle name="Rows 2" xfId="32553" xr:uid="{00000000-0005-0000-0000-0000659A0000}"/>
    <cellStyle name="Rows 2 2" xfId="32554" xr:uid="{00000000-0005-0000-0000-0000669A0000}"/>
    <cellStyle name="Rows 2 2 2" xfId="32555" xr:uid="{00000000-0005-0000-0000-0000679A0000}"/>
    <cellStyle name="Rows 2 2 3" xfId="32556" xr:uid="{00000000-0005-0000-0000-0000689A0000}"/>
    <cellStyle name="Rows 2 3" xfId="32557" xr:uid="{00000000-0005-0000-0000-0000699A0000}"/>
    <cellStyle name="Rows 2 4" xfId="32558" xr:uid="{00000000-0005-0000-0000-00006A9A0000}"/>
    <cellStyle name="Rows 3" xfId="32559" xr:uid="{00000000-0005-0000-0000-00006B9A0000}"/>
    <cellStyle name="Rows 3 2" xfId="32560" xr:uid="{00000000-0005-0000-0000-00006C9A0000}"/>
    <cellStyle name="Rows 3 3" xfId="32561" xr:uid="{00000000-0005-0000-0000-00006D9A0000}"/>
    <cellStyle name="Rows 3 4" xfId="32562" xr:uid="{00000000-0005-0000-0000-00006E9A0000}"/>
    <cellStyle name="Rows 4" xfId="32563" xr:uid="{00000000-0005-0000-0000-00006F9A0000}"/>
    <cellStyle name="SAPBEXHLevel1" xfId="32564" xr:uid="{00000000-0005-0000-0000-0000709A0000}"/>
    <cellStyle name="SAPBEXHLevel1 10" xfId="32565" xr:uid="{00000000-0005-0000-0000-0000719A0000}"/>
    <cellStyle name="SAPBEXHLevel1 10 2" xfId="32566" xr:uid="{00000000-0005-0000-0000-0000729A0000}"/>
    <cellStyle name="SAPBEXHLevel1 10 2 2" xfId="32567" xr:uid="{00000000-0005-0000-0000-0000739A0000}"/>
    <cellStyle name="SAPBEXHLevel1 10 2 2 2" xfId="32568" xr:uid="{00000000-0005-0000-0000-0000749A0000}"/>
    <cellStyle name="SAPBEXHLevel1 10 2 2 2 2" xfId="32569" xr:uid="{00000000-0005-0000-0000-0000759A0000}"/>
    <cellStyle name="SAPBEXHLevel1 10 2 2 3" xfId="32570" xr:uid="{00000000-0005-0000-0000-0000769A0000}"/>
    <cellStyle name="SAPBEXHLevel1 10 2 3" xfId="32571" xr:uid="{00000000-0005-0000-0000-0000779A0000}"/>
    <cellStyle name="SAPBEXHLevel1 10 3" xfId="32572" xr:uid="{00000000-0005-0000-0000-0000789A0000}"/>
    <cellStyle name="SAPBEXHLevel1 10 3 2" xfId="32573" xr:uid="{00000000-0005-0000-0000-0000799A0000}"/>
    <cellStyle name="SAPBEXHLevel1 10 3 2 2" xfId="32574" xr:uid="{00000000-0005-0000-0000-00007A9A0000}"/>
    <cellStyle name="SAPBEXHLevel1 10 3 3" xfId="32575" xr:uid="{00000000-0005-0000-0000-00007B9A0000}"/>
    <cellStyle name="SAPBEXHLevel1 10 4" xfId="32576" xr:uid="{00000000-0005-0000-0000-00007C9A0000}"/>
    <cellStyle name="SAPBEXHLevel1 10 4 2" xfId="32577" xr:uid="{00000000-0005-0000-0000-00007D9A0000}"/>
    <cellStyle name="SAPBEXHLevel1 10 4 2 2" xfId="32578" xr:uid="{00000000-0005-0000-0000-00007E9A0000}"/>
    <cellStyle name="SAPBEXHLevel1 10 4 3" xfId="32579" xr:uid="{00000000-0005-0000-0000-00007F9A0000}"/>
    <cellStyle name="SAPBEXHLevel1 10 4 4" xfId="40863" xr:uid="{00000000-0005-0000-0000-0000809A0000}"/>
    <cellStyle name="SAPBEXHLevel1 10 5" xfId="32580" xr:uid="{00000000-0005-0000-0000-0000819A0000}"/>
    <cellStyle name="SAPBEXHLevel1 10 5 2" xfId="32581" xr:uid="{00000000-0005-0000-0000-0000829A0000}"/>
    <cellStyle name="SAPBEXHLevel1 10 5 2 2" xfId="32582" xr:uid="{00000000-0005-0000-0000-0000839A0000}"/>
    <cellStyle name="SAPBEXHLevel1 10 5 3" xfId="32583" xr:uid="{00000000-0005-0000-0000-0000849A0000}"/>
    <cellStyle name="SAPBEXHLevel1 10 5 4" xfId="40864" xr:uid="{00000000-0005-0000-0000-0000859A0000}"/>
    <cellStyle name="SAPBEXHLevel1 10 6" xfId="32584" xr:uid="{00000000-0005-0000-0000-0000869A0000}"/>
    <cellStyle name="SAPBEXHLevel1 11" xfId="32585" xr:uid="{00000000-0005-0000-0000-0000879A0000}"/>
    <cellStyle name="SAPBEXHLevel1 11 2" xfId="32586" xr:uid="{00000000-0005-0000-0000-0000889A0000}"/>
    <cellStyle name="SAPBEXHLevel1 11 2 2" xfId="32587" xr:uid="{00000000-0005-0000-0000-0000899A0000}"/>
    <cellStyle name="SAPBEXHLevel1 11 2 2 2" xfId="32588" xr:uid="{00000000-0005-0000-0000-00008A9A0000}"/>
    <cellStyle name="SAPBEXHLevel1 11 2 2 2 2" xfId="32589" xr:uid="{00000000-0005-0000-0000-00008B9A0000}"/>
    <cellStyle name="SAPBEXHLevel1 11 2 2 3" xfId="32590" xr:uid="{00000000-0005-0000-0000-00008C9A0000}"/>
    <cellStyle name="SAPBEXHLevel1 11 2 3" xfId="32591" xr:uid="{00000000-0005-0000-0000-00008D9A0000}"/>
    <cellStyle name="SAPBEXHLevel1 11 3" xfId="32592" xr:uid="{00000000-0005-0000-0000-00008E9A0000}"/>
    <cellStyle name="SAPBEXHLevel1 11 3 2" xfId="32593" xr:uid="{00000000-0005-0000-0000-00008F9A0000}"/>
    <cellStyle name="SAPBEXHLevel1 11 3 2 2" xfId="32594" xr:uid="{00000000-0005-0000-0000-0000909A0000}"/>
    <cellStyle name="SAPBEXHLevel1 11 3 3" xfId="32595" xr:uid="{00000000-0005-0000-0000-0000919A0000}"/>
    <cellStyle name="SAPBEXHLevel1 11 4" xfId="32596" xr:uid="{00000000-0005-0000-0000-0000929A0000}"/>
    <cellStyle name="SAPBEXHLevel1 11 4 2" xfId="32597" xr:uid="{00000000-0005-0000-0000-0000939A0000}"/>
    <cellStyle name="SAPBEXHLevel1 11 4 2 2" xfId="32598" xr:uid="{00000000-0005-0000-0000-0000949A0000}"/>
    <cellStyle name="SAPBEXHLevel1 11 4 3" xfId="32599" xr:uid="{00000000-0005-0000-0000-0000959A0000}"/>
    <cellStyle name="SAPBEXHLevel1 11 4 4" xfId="40865" xr:uid="{00000000-0005-0000-0000-0000969A0000}"/>
    <cellStyle name="SAPBEXHLevel1 11 5" xfId="32600" xr:uid="{00000000-0005-0000-0000-0000979A0000}"/>
    <cellStyle name="SAPBEXHLevel1 11 5 2" xfId="32601" xr:uid="{00000000-0005-0000-0000-0000989A0000}"/>
    <cellStyle name="SAPBEXHLevel1 11 5 2 2" xfId="32602" xr:uid="{00000000-0005-0000-0000-0000999A0000}"/>
    <cellStyle name="SAPBEXHLevel1 11 5 3" xfId="32603" xr:uid="{00000000-0005-0000-0000-00009A9A0000}"/>
    <cellStyle name="SAPBEXHLevel1 11 5 4" xfId="40866" xr:uid="{00000000-0005-0000-0000-00009B9A0000}"/>
    <cellStyle name="SAPBEXHLevel1 11 6" xfId="32604" xr:uid="{00000000-0005-0000-0000-00009C9A0000}"/>
    <cellStyle name="SAPBEXHLevel1 12" xfId="32605" xr:uid="{00000000-0005-0000-0000-00009D9A0000}"/>
    <cellStyle name="SAPBEXHLevel1 12 2" xfId="32606" xr:uid="{00000000-0005-0000-0000-00009E9A0000}"/>
    <cellStyle name="SAPBEXHLevel1 12 2 2" xfId="32607" xr:uid="{00000000-0005-0000-0000-00009F9A0000}"/>
    <cellStyle name="SAPBEXHLevel1 12 2 2 2" xfId="32608" xr:uid="{00000000-0005-0000-0000-0000A09A0000}"/>
    <cellStyle name="SAPBEXHLevel1 12 2 3" xfId="32609" xr:uid="{00000000-0005-0000-0000-0000A19A0000}"/>
    <cellStyle name="SAPBEXHLevel1 12 3" xfId="32610" xr:uid="{00000000-0005-0000-0000-0000A29A0000}"/>
    <cellStyle name="SAPBEXHLevel1 13" xfId="32611" xr:uid="{00000000-0005-0000-0000-0000A39A0000}"/>
    <cellStyle name="SAPBEXHLevel1 13 2" xfId="32612" xr:uid="{00000000-0005-0000-0000-0000A49A0000}"/>
    <cellStyle name="SAPBEXHLevel1 13 2 2" xfId="32613" xr:uid="{00000000-0005-0000-0000-0000A59A0000}"/>
    <cellStyle name="SAPBEXHLevel1 13 3" xfId="32614" xr:uid="{00000000-0005-0000-0000-0000A69A0000}"/>
    <cellStyle name="SAPBEXHLevel1 14" xfId="32615" xr:uid="{00000000-0005-0000-0000-0000A79A0000}"/>
    <cellStyle name="SAPBEXHLevel1 14 2" xfId="32616" xr:uid="{00000000-0005-0000-0000-0000A89A0000}"/>
    <cellStyle name="SAPBEXHLevel1 14 2 2" xfId="32617" xr:uid="{00000000-0005-0000-0000-0000A99A0000}"/>
    <cellStyle name="SAPBEXHLevel1 14 3" xfId="32618" xr:uid="{00000000-0005-0000-0000-0000AA9A0000}"/>
    <cellStyle name="SAPBEXHLevel1 14 4" xfId="40867" xr:uid="{00000000-0005-0000-0000-0000AB9A0000}"/>
    <cellStyle name="SAPBEXHLevel1 15" xfId="32619" xr:uid="{00000000-0005-0000-0000-0000AC9A0000}"/>
    <cellStyle name="SAPBEXHLevel1 2" xfId="32620" xr:uid="{00000000-0005-0000-0000-0000AD9A0000}"/>
    <cellStyle name="SAPBEXHLevel1 2 2" xfId="32621" xr:uid="{00000000-0005-0000-0000-0000AE9A0000}"/>
    <cellStyle name="SAPBEXHLevel1 2 2 2" xfId="32622" xr:uid="{00000000-0005-0000-0000-0000AF9A0000}"/>
    <cellStyle name="SAPBEXHLevel1 2 2 2 2" xfId="32623" xr:uid="{00000000-0005-0000-0000-0000B09A0000}"/>
    <cellStyle name="SAPBEXHLevel1 2 2 2 2 2" xfId="32624" xr:uid="{00000000-0005-0000-0000-0000B19A0000}"/>
    <cellStyle name="SAPBEXHLevel1 2 2 2 2 2 2" xfId="32625" xr:uid="{00000000-0005-0000-0000-0000B29A0000}"/>
    <cellStyle name="SAPBEXHLevel1 2 2 2 2 3" xfId="32626" xr:uid="{00000000-0005-0000-0000-0000B39A0000}"/>
    <cellStyle name="SAPBEXHLevel1 2 2 2 3" xfId="32627" xr:uid="{00000000-0005-0000-0000-0000B49A0000}"/>
    <cellStyle name="SAPBEXHLevel1 2 2 3" xfId="32628" xr:uid="{00000000-0005-0000-0000-0000B59A0000}"/>
    <cellStyle name="SAPBEXHLevel1 2 2 3 2" xfId="32629" xr:uid="{00000000-0005-0000-0000-0000B69A0000}"/>
    <cellStyle name="SAPBEXHLevel1 2 2 3 2 2" xfId="32630" xr:uid="{00000000-0005-0000-0000-0000B79A0000}"/>
    <cellStyle name="SAPBEXHLevel1 2 2 3 3" xfId="32631" xr:uid="{00000000-0005-0000-0000-0000B89A0000}"/>
    <cellStyle name="SAPBEXHLevel1 2 2 4" xfId="32632" xr:uid="{00000000-0005-0000-0000-0000B99A0000}"/>
    <cellStyle name="SAPBEXHLevel1 2 2 4 2" xfId="32633" xr:uid="{00000000-0005-0000-0000-0000BA9A0000}"/>
    <cellStyle name="SAPBEXHLevel1 2 2 4 2 2" xfId="32634" xr:uid="{00000000-0005-0000-0000-0000BB9A0000}"/>
    <cellStyle name="SAPBEXHLevel1 2 2 4 3" xfId="32635" xr:uid="{00000000-0005-0000-0000-0000BC9A0000}"/>
    <cellStyle name="SAPBEXHLevel1 2 2 4 4" xfId="40868" xr:uid="{00000000-0005-0000-0000-0000BD9A0000}"/>
    <cellStyle name="SAPBEXHLevel1 2 2 5" xfId="32636" xr:uid="{00000000-0005-0000-0000-0000BE9A0000}"/>
    <cellStyle name="SAPBEXHLevel1 2 2 5 2" xfId="32637" xr:uid="{00000000-0005-0000-0000-0000BF9A0000}"/>
    <cellStyle name="SAPBEXHLevel1 2 2 5 2 2" xfId="32638" xr:uid="{00000000-0005-0000-0000-0000C09A0000}"/>
    <cellStyle name="SAPBEXHLevel1 2 2 5 3" xfId="32639" xr:uid="{00000000-0005-0000-0000-0000C19A0000}"/>
    <cellStyle name="SAPBEXHLevel1 2 2 5 4" xfId="40869" xr:uid="{00000000-0005-0000-0000-0000C29A0000}"/>
    <cellStyle name="SAPBEXHLevel1 2 2 6" xfId="32640" xr:uid="{00000000-0005-0000-0000-0000C39A0000}"/>
    <cellStyle name="SAPBEXHLevel1 2 3" xfId="32641" xr:uid="{00000000-0005-0000-0000-0000C49A0000}"/>
    <cellStyle name="SAPBEXHLevel1 2 3 2" xfId="32642" xr:uid="{00000000-0005-0000-0000-0000C59A0000}"/>
    <cellStyle name="SAPBEXHLevel1 2 3 2 2" xfId="32643" xr:uid="{00000000-0005-0000-0000-0000C69A0000}"/>
    <cellStyle name="SAPBEXHLevel1 2 3 2 2 2" xfId="32644" xr:uid="{00000000-0005-0000-0000-0000C79A0000}"/>
    <cellStyle name="SAPBEXHLevel1 2 3 2 2 2 2" xfId="32645" xr:uid="{00000000-0005-0000-0000-0000C89A0000}"/>
    <cellStyle name="SAPBEXHLevel1 2 3 2 2 3" xfId="32646" xr:uid="{00000000-0005-0000-0000-0000C99A0000}"/>
    <cellStyle name="SAPBEXHLevel1 2 3 2 3" xfId="32647" xr:uid="{00000000-0005-0000-0000-0000CA9A0000}"/>
    <cellStyle name="SAPBEXHLevel1 2 3 3" xfId="32648" xr:uid="{00000000-0005-0000-0000-0000CB9A0000}"/>
    <cellStyle name="SAPBEXHLevel1 2 3 3 2" xfId="32649" xr:uid="{00000000-0005-0000-0000-0000CC9A0000}"/>
    <cellStyle name="SAPBEXHLevel1 2 3 3 2 2" xfId="32650" xr:uid="{00000000-0005-0000-0000-0000CD9A0000}"/>
    <cellStyle name="SAPBEXHLevel1 2 3 3 3" xfId="32651" xr:uid="{00000000-0005-0000-0000-0000CE9A0000}"/>
    <cellStyle name="SAPBEXHLevel1 2 3 4" xfId="32652" xr:uid="{00000000-0005-0000-0000-0000CF9A0000}"/>
    <cellStyle name="SAPBEXHLevel1 2 3 4 2" xfId="32653" xr:uid="{00000000-0005-0000-0000-0000D09A0000}"/>
    <cellStyle name="SAPBEXHLevel1 2 3 4 2 2" xfId="32654" xr:uid="{00000000-0005-0000-0000-0000D19A0000}"/>
    <cellStyle name="SAPBEXHLevel1 2 3 4 3" xfId="32655" xr:uid="{00000000-0005-0000-0000-0000D29A0000}"/>
    <cellStyle name="SAPBEXHLevel1 2 3 4 4" xfId="40876" xr:uid="{00000000-0005-0000-0000-0000D39A0000}"/>
    <cellStyle name="SAPBEXHLevel1 2 3 5" xfId="32656" xr:uid="{00000000-0005-0000-0000-0000D49A0000}"/>
    <cellStyle name="SAPBEXHLevel1 2 3 5 2" xfId="32657" xr:uid="{00000000-0005-0000-0000-0000D59A0000}"/>
    <cellStyle name="SAPBEXHLevel1 2 3 5 2 2" xfId="32658" xr:uid="{00000000-0005-0000-0000-0000D69A0000}"/>
    <cellStyle name="SAPBEXHLevel1 2 3 5 3" xfId="32659" xr:uid="{00000000-0005-0000-0000-0000D79A0000}"/>
    <cellStyle name="SAPBEXHLevel1 2 3 5 4" xfId="40878" xr:uid="{00000000-0005-0000-0000-0000D89A0000}"/>
    <cellStyle name="SAPBEXHLevel1 2 3 6" xfId="32660" xr:uid="{00000000-0005-0000-0000-0000D99A0000}"/>
    <cellStyle name="SAPBEXHLevel1 2 4" xfId="32661" xr:uid="{00000000-0005-0000-0000-0000DA9A0000}"/>
    <cellStyle name="SAPBEXHLevel1 2 4 2" xfId="32662" xr:uid="{00000000-0005-0000-0000-0000DB9A0000}"/>
    <cellStyle name="SAPBEXHLevel1 2 4 2 2" xfId="32663" xr:uid="{00000000-0005-0000-0000-0000DC9A0000}"/>
    <cellStyle name="SAPBEXHLevel1 2 4 2 2 2" xfId="32664" xr:uid="{00000000-0005-0000-0000-0000DD9A0000}"/>
    <cellStyle name="SAPBEXHLevel1 2 4 2 3" xfId="32665" xr:uid="{00000000-0005-0000-0000-0000DE9A0000}"/>
    <cellStyle name="SAPBEXHLevel1 2 4 3" xfId="32666" xr:uid="{00000000-0005-0000-0000-0000DF9A0000}"/>
    <cellStyle name="SAPBEXHLevel1 2 4 3 2" xfId="32667" xr:uid="{00000000-0005-0000-0000-0000E09A0000}"/>
    <cellStyle name="SAPBEXHLevel1 2 4 3 2 2" xfId="32668" xr:uid="{00000000-0005-0000-0000-0000E19A0000}"/>
    <cellStyle name="SAPBEXHLevel1 2 4 3 3" xfId="32669" xr:uid="{00000000-0005-0000-0000-0000E29A0000}"/>
    <cellStyle name="SAPBEXHLevel1 2 4 4" xfId="32670" xr:uid="{00000000-0005-0000-0000-0000E39A0000}"/>
    <cellStyle name="SAPBEXHLevel1 2 4 4 2" xfId="32671" xr:uid="{00000000-0005-0000-0000-0000E49A0000}"/>
    <cellStyle name="SAPBEXHLevel1 2 4 4 2 2" xfId="32672" xr:uid="{00000000-0005-0000-0000-0000E59A0000}"/>
    <cellStyle name="SAPBEXHLevel1 2 4 4 3" xfId="32673" xr:uid="{00000000-0005-0000-0000-0000E69A0000}"/>
    <cellStyle name="SAPBEXHLevel1 2 4 5" xfId="32674" xr:uid="{00000000-0005-0000-0000-0000E79A0000}"/>
    <cellStyle name="SAPBEXHLevel1 2 5" xfId="32675" xr:uid="{00000000-0005-0000-0000-0000E89A0000}"/>
    <cellStyle name="SAPBEXHLevel1 2 5 2" xfId="32676" xr:uid="{00000000-0005-0000-0000-0000E99A0000}"/>
    <cellStyle name="SAPBEXHLevel1 2 5 2 2" xfId="32677" xr:uid="{00000000-0005-0000-0000-0000EA9A0000}"/>
    <cellStyle name="SAPBEXHLevel1 2 5 2 2 2" xfId="32678" xr:uid="{00000000-0005-0000-0000-0000EB9A0000}"/>
    <cellStyle name="SAPBEXHLevel1 2 5 2 3" xfId="32679" xr:uid="{00000000-0005-0000-0000-0000EC9A0000}"/>
    <cellStyle name="SAPBEXHLevel1 2 5 3" xfId="32680" xr:uid="{00000000-0005-0000-0000-0000ED9A0000}"/>
    <cellStyle name="SAPBEXHLevel1 2 5 3 2" xfId="32681" xr:uid="{00000000-0005-0000-0000-0000EE9A0000}"/>
    <cellStyle name="SAPBEXHLevel1 2 5 3 2 2" xfId="32682" xr:uid="{00000000-0005-0000-0000-0000EF9A0000}"/>
    <cellStyle name="SAPBEXHLevel1 2 5 3 3" xfId="32683" xr:uid="{00000000-0005-0000-0000-0000F09A0000}"/>
    <cellStyle name="SAPBEXHLevel1 2 5 4" xfId="32684" xr:uid="{00000000-0005-0000-0000-0000F19A0000}"/>
    <cellStyle name="SAPBEXHLevel1 2 5 4 2" xfId="32685" xr:uid="{00000000-0005-0000-0000-0000F29A0000}"/>
    <cellStyle name="SAPBEXHLevel1 2 5 5" xfId="32686" xr:uid="{00000000-0005-0000-0000-0000F39A0000}"/>
    <cellStyle name="SAPBEXHLevel1 2 6" xfId="32687" xr:uid="{00000000-0005-0000-0000-0000F49A0000}"/>
    <cellStyle name="SAPBEXHLevel1 2 6 2" xfId="32688" xr:uid="{00000000-0005-0000-0000-0000F59A0000}"/>
    <cellStyle name="SAPBEXHLevel1 2 6 2 2" xfId="32689" xr:uid="{00000000-0005-0000-0000-0000F69A0000}"/>
    <cellStyle name="SAPBEXHLevel1 2 6 3" xfId="32690" xr:uid="{00000000-0005-0000-0000-0000F79A0000}"/>
    <cellStyle name="SAPBEXHLevel1 2 7" xfId="32691" xr:uid="{00000000-0005-0000-0000-0000F89A0000}"/>
    <cellStyle name="SAPBEXHLevel1 2 7 2" xfId="32692" xr:uid="{00000000-0005-0000-0000-0000F99A0000}"/>
    <cellStyle name="SAPBEXHLevel1 2 7 2 2" xfId="32693" xr:uid="{00000000-0005-0000-0000-0000FA9A0000}"/>
    <cellStyle name="SAPBEXHLevel1 2 7 3" xfId="32694" xr:uid="{00000000-0005-0000-0000-0000FB9A0000}"/>
    <cellStyle name="SAPBEXHLevel1 2 7 4" xfId="40900" xr:uid="{00000000-0005-0000-0000-0000FC9A0000}"/>
    <cellStyle name="SAPBEXHLevel1 2 8" xfId="32695" xr:uid="{00000000-0005-0000-0000-0000FD9A0000}"/>
    <cellStyle name="SAPBEXHLevel1 2 8 2" xfId="32696" xr:uid="{00000000-0005-0000-0000-0000FE9A0000}"/>
    <cellStyle name="SAPBEXHLevel1 2 8 2 2" xfId="32697" xr:uid="{00000000-0005-0000-0000-0000FF9A0000}"/>
    <cellStyle name="SAPBEXHLevel1 2 8 3" xfId="32698" xr:uid="{00000000-0005-0000-0000-0000009B0000}"/>
    <cellStyle name="SAPBEXHLevel1 2 8 4" xfId="40902" xr:uid="{00000000-0005-0000-0000-0000019B0000}"/>
    <cellStyle name="SAPBEXHLevel1 2 9" xfId="32699" xr:uid="{00000000-0005-0000-0000-0000029B0000}"/>
    <cellStyle name="SAPBEXHLevel1 3" xfId="32700" xr:uid="{00000000-0005-0000-0000-0000039B0000}"/>
    <cellStyle name="SAPBEXHLevel1 3 10" xfId="32701" xr:uid="{00000000-0005-0000-0000-0000049B0000}"/>
    <cellStyle name="SAPBEXHLevel1 3 10 2" xfId="32702" xr:uid="{00000000-0005-0000-0000-0000059B0000}"/>
    <cellStyle name="SAPBEXHLevel1 3 10 2 2" xfId="32703" xr:uid="{00000000-0005-0000-0000-0000069B0000}"/>
    <cellStyle name="SAPBEXHLevel1 3 10 3" xfId="32704" xr:uid="{00000000-0005-0000-0000-0000079B0000}"/>
    <cellStyle name="SAPBEXHLevel1 3 10 4" xfId="40904" xr:uid="{00000000-0005-0000-0000-0000089B0000}"/>
    <cellStyle name="SAPBEXHLevel1 3 11" xfId="32705" xr:uid="{00000000-0005-0000-0000-0000099B0000}"/>
    <cellStyle name="SAPBEXHLevel1 3 11 2" xfId="32706" xr:uid="{00000000-0005-0000-0000-00000A9B0000}"/>
    <cellStyle name="SAPBEXHLevel1 3 12" xfId="32707" xr:uid="{00000000-0005-0000-0000-00000B9B0000}"/>
    <cellStyle name="SAPBEXHLevel1 3 2" xfId="32708" xr:uid="{00000000-0005-0000-0000-00000C9B0000}"/>
    <cellStyle name="SAPBEXHLevel1 3 2 2" xfId="32709" xr:uid="{00000000-0005-0000-0000-00000D9B0000}"/>
    <cellStyle name="SAPBEXHLevel1 3 2 2 2" xfId="32710" xr:uid="{00000000-0005-0000-0000-00000E9B0000}"/>
    <cellStyle name="SAPBEXHLevel1 3 2 2 2 2" xfId="32711" xr:uid="{00000000-0005-0000-0000-00000F9B0000}"/>
    <cellStyle name="SAPBEXHLevel1 3 2 2 2 2 2" xfId="32712" xr:uid="{00000000-0005-0000-0000-0000109B0000}"/>
    <cellStyle name="SAPBEXHLevel1 3 2 2 2 3" xfId="32713" xr:uid="{00000000-0005-0000-0000-0000119B0000}"/>
    <cellStyle name="SAPBEXHLevel1 3 2 2 3" xfId="32714" xr:uid="{00000000-0005-0000-0000-0000129B0000}"/>
    <cellStyle name="SAPBEXHLevel1 3 2 3" xfId="32715" xr:uid="{00000000-0005-0000-0000-0000139B0000}"/>
    <cellStyle name="SAPBEXHLevel1 3 2 3 2" xfId="32716" xr:uid="{00000000-0005-0000-0000-0000149B0000}"/>
    <cellStyle name="SAPBEXHLevel1 3 2 3 2 2" xfId="32717" xr:uid="{00000000-0005-0000-0000-0000159B0000}"/>
    <cellStyle name="SAPBEXHLevel1 3 2 3 3" xfId="32718" xr:uid="{00000000-0005-0000-0000-0000169B0000}"/>
    <cellStyle name="SAPBEXHLevel1 3 2 4" xfId="32719" xr:uid="{00000000-0005-0000-0000-0000179B0000}"/>
    <cellStyle name="SAPBEXHLevel1 3 2 4 2" xfId="32720" xr:uid="{00000000-0005-0000-0000-0000189B0000}"/>
    <cellStyle name="SAPBEXHLevel1 3 2 4 2 2" xfId="32721" xr:uid="{00000000-0005-0000-0000-0000199B0000}"/>
    <cellStyle name="SAPBEXHLevel1 3 2 4 3" xfId="32722" xr:uid="{00000000-0005-0000-0000-00001A9B0000}"/>
    <cellStyle name="SAPBEXHLevel1 3 2 4 4" xfId="40914" xr:uid="{00000000-0005-0000-0000-00001B9B0000}"/>
    <cellStyle name="SAPBEXHLevel1 3 2 5" xfId="32723" xr:uid="{00000000-0005-0000-0000-00001C9B0000}"/>
    <cellStyle name="SAPBEXHLevel1 3 2 5 2" xfId="32724" xr:uid="{00000000-0005-0000-0000-00001D9B0000}"/>
    <cellStyle name="SAPBEXHLevel1 3 2 5 2 2" xfId="32725" xr:uid="{00000000-0005-0000-0000-00001E9B0000}"/>
    <cellStyle name="SAPBEXHLevel1 3 2 5 3" xfId="32726" xr:uid="{00000000-0005-0000-0000-00001F9B0000}"/>
    <cellStyle name="SAPBEXHLevel1 3 2 5 4" xfId="40916" xr:uid="{00000000-0005-0000-0000-0000209B0000}"/>
    <cellStyle name="SAPBEXHLevel1 3 2 6" xfId="32727" xr:uid="{00000000-0005-0000-0000-0000219B0000}"/>
    <cellStyle name="SAPBEXHLevel1 3 3" xfId="32728" xr:uid="{00000000-0005-0000-0000-0000229B0000}"/>
    <cellStyle name="SAPBEXHLevel1 3 3 2" xfId="32729" xr:uid="{00000000-0005-0000-0000-0000239B0000}"/>
    <cellStyle name="SAPBEXHLevel1 3 3 2 2" xfId="32730" xr:uid="{00000000-0005-0000-0000-0000249B0000}"/>
    <cellStyle name="SAPBEXHLevel1 3 3 2 2 2" xfId="32731" xr:uid="{00000000-0005-0000-0000-0000259B0000}"/>
    <cellStyle name="SAPBEXHLevel1 3 3 2 2 2 2" xfId="32732" xr:uid="{00000000-0005-0000-0000-0000269B0000}"/>
    <cellStyle name="SAPBEXHLevel1 3 3 2 2 3" xfId="32733" xr:uid="{00000000-0005-0000-0000-0000279B0000}"/>
    <cellStyle name="SAPBEXHLevel1 3 3 2 3" xfId="32734" xr:uid="{00000000-0005-0000-0000-0000289B0000}"/>
    <cellStyle name="SAPBEXHLevel1 3 3 3" xfId="32735" xr:uid="{00000000-0005-0000-0000-0000299B0000}"/>
    <cellStyle name="SAPBEXHLevel1 3 3 3 2" xfId="32736" xr:uid="{00000000-0005-0000-0000-00002A9B0000}"/>
    <cellStyle name="SAPBEXHLevel1 3 3 3 2 2" xfId="32737" xr:uid="{00000000-0005-0000-0000-00002B9B0000}"/>
    <cellStyle name="SAPBEXHLevel1 3 3 3 3" xfId="32738" xr:uid="{00000000-0005-0000-0000-00002C9B0000}"/>
    <cellStyle name="SAPBEXHLevel1 3 3 4" xfId="32739" xr:uid="{00000000-0005-0000-0000-00002D9B0000}"/>
    <cellStyle name="SAPBEXHLevel1 3 3 4 2" xfId="32740" xr:uid="{00000000-0005-0000-0000-00002E9B0000}"/>
    <cellStyle name="SAPBEXHLevel1 3 3 4 2 2" xfId="32741" xr:uid="{00000000-0005-0000-0000-00002F9B0000}"/>
    <cellStyle name="SAPBEXHLevel1 3 3 4 3" xfId="32742" xr:uid="{00000000-0005-0000-0000-0000309B0000}"/>
    <cellStyle name="SAPBEXHLevel1 3 3 4 4" xfId="40924" xr:uid="{00000000-0005-0000-0000-0000319B0000}"/>
    <cellStyle name="SAPBEXHLevel1 3 3 5" xfId="32743" xr:uid="{00000000-0005-0000-0000-0000329B0000}"/>
    <cellStyle name="SAPBEXHLevel1 3 3 5 2" xfId="32744" xr:uid="{00000000-0005-0000-0000-0000339B0000}"/>
    <cellStyle name="SAPBEXHLevel1 3 3 5 2 2" xfId="32745" xr:uid="{00000000-0005-0000-0000-0000349B0000}"/>
    <cellStyle name="SAPBEXHLevel1 3 3 5 3" xfId="32746" xr:uid="{00000000-0005-0000-0000-0000359B0000}"/>
    <cellStyle name="SAPBEXHLevel1 3 3 5 4" xfId="40926" xr:uid="{00000000-0005-0000-0000-0000369B0000}"/>
    <cellStyle name="SAPBEXHLevel1 3 3 6" xfId="32747" xr:uid="{00000000-0005-0000-0000-0000379B0000}"/>
    <cellStyle name="SAPBEXHLevel1 3 4" xfId="32748" xr:uid="{00000000-0005-0000-0000-0000389B0000}"/>
    <cellStyle name="SAPBEXHLevel1 3 4 2" xfId="32749" xr:uid="{00000000-0005-0000-0000-0000399B0000}"/>
    <cellStyle name="SAPBEXHLevel1 3 4 2 2" xfId="32750" xr:uid="{00000000-0005-0000-0000-00003A9B0000}"/>
    <cellStyle name="SAPBEXHLevel1 3 4 2 2 2" xfId="32751" xr:uid="{00000000-0005-0000-0000-00003B9B0000}"/>
    <cellStyle name="SAPBEXHLevel1 3 4 2 3" xfId="32752" xr:uid="{00000000-0005-0000-0000-00003C9B0000}"/>
    <cellStyle name="SAPBEXHLevel1 3 4 3" xfId="32753" xr:uid="{00000000-0005-0000-0000-00003D9B0000}"/>
    <cellStyle name="SAPBEXHLevel1 3 4 3 2" xfId="32754" xr:uid="{00000000-0005-0000-0000-00003E9B0000}"/>
    <cellStyle name="SAPBEXHLevel1 3 4 3 2 2" xfId="32755" xr:uid="{00000000-0005-0000-0000-00003F9B0000}"/>
    <cellStyle name="SAPBEXHLevel1 3 4 3 3" xfId="32756" xr:uid="{00000000-0005-0000-0000-0000409B0000}"/>
    <cellStyle name="SAPBEXHLevel1 3 4 4" xfId="32757" xr:uid="{00000000-0005-0000-0000-0000419B0000}"/>
    <cellStyle name="SAPBEXHLevel1 3 4 4 2" xfId="32758" xr:uid="{00000000-0005-0000-0000-0000429B0000}"/>
    <cellStyle name="SAPBEXHLevel1 3 4 4 2 2" xfId="32759" xr:uid="{00000000-0005-0000-0000-0000439B0000}"/>
    <cellStyle name="SAPBEXHLevel1 3 4 4 3" xfId="32760" xr:uid="{00000000-0005-0000-0000-0000449B0000}"/>
    <cellStyle name="SAPBEXHLevel1 3 4 5" xfId="32761" xr:uid="{00000000-0005-0000-0000-0000459B0000}"/>
    <cellStyle name="SAPBEXHLevel1 3 5" xfId="32762" xr:uid="{00000000-0005-0000-0000-0000469B0000}"/>
    <cellStyle name="SAPBEXHLevel1 3 5 2" xfId="32763" xr:uid="{00000000-0005-0000-0000-0000479B0000}"/>
    <cellStyle name="SAPBEXHLevel1 3 5 2 2" xfId="32764" xr:uid="{00000000-0005-0000-0000-0000489B0000}"/>
    <cellStyle name="SAPBEXHLevel1 3 5 2 2 2" xfId="32765" xr:uid="{00000000-0005-0000-0000-0000499B0000}"/>
    <cellStyle name="SAPBEXHLevel1 3 5 2 3" xfId="32766" xr:uid="{00000000-0005-0000-0000-00004A9B0000}"/>
    <cellStyle name="SAPBEXHLevel1 3 5 3" xfId="32767" xr:uid="{00000000-0005-0000-0000-00004B9B0000}"/>
    <cellStyle name="SAPBEXHLevel1 3 5 3 2" xfId="32768" xr:uid="{00000000-0005-0000-0000-00004C9B0000}"/>
    <cellStyle name="SAPBEXHLevel1 3 5 3 2 2" xfId="32769" xr:uid="{00000000-0005-0000-0000-00004D9B0000}"/>
    <cellStyle name="SAPBEXHLevel1 3 5 3 3" xfId="32770" xr:uid="{00000000-0005-0000-0000-00004E9B0000}"/>
    <cellStyle name="SAPBEXHLevel1 3 5 4" xfId="32771" xr:uid="{00000000-0005-0000-0000-00004F9B0000}"/>
    <cellStyle name="SAPBEXHLevel1 3 5 4 2" xfId="32772" xr:uid="{00000000-0005-0000-0000-0000509B0000}"/>
    <cellStyle name="SAPBEXHLevel1 3 5 5" xfId="32773" xr:uid="{00000000-0005-0000-0000-0000519B0000}"/>
    <cellStyle name="SAPBEXHLevel1 3 6" xfId="32774" xr:uid="{00000000-0005-0000-0000-0000529B0000}"/>
    <cellStyle name="SAPBEXHLevel1 3 6 2" xfId="32775" xr:uid="{00000000-0005-0000-0000-0000539B0000}"/>
    <cellStyle name="SAPBEXHLevel1 3 6 2 2" xfId="32776" xr:uid="{00000000-0005-0000-0000-0000549B0000}"/>
    <cellStyle name="SAPBEXHLevel1 3 6 3" xfId="32777" xr:uid="{00000000-0005-0000-0000-0000559B0000}"/>
    <cellStyle name="SAPBEXHLevel1 3 7" xfId="32778" xr:uid="{00000000-0005-0000-0000-0000569B0000}"/>
    <cellStyle name="SAPBEXHLevel1 3 7 2" xfId="32779" xr:uid="{00000000-0005-0000-0000-0000579B0000}"/>
    <cellStyle name="SAPBEXHLevel1 3 7 2 2" xfId="32780" xr:uid="{00000000-0005-0000-0000-0000589B0000}"/>
    <cellStyle name="SAPBEXHLevel1 3 7 3" xfId="32781" xr:uid="{00000000-0005-0000-0000-0000599B0000}"/>
    <cellStyle name="SAPBEXHLevel1 3 8" xfId="32782" xr:uid="{00000000-0005-0000-0000-00005A9B0000}"/>
    <cellStyle name="SAPBEXHLevel1 3 8 2" xfId="32783" xr:uid="{00000000-0005-0000-0000-00005B9B0000}"/>
    <cellStyle name="SAPBEXHLevel1 3 8 2 2" xfId="32784" xr:uid="{00000000-0005-0000-0000-00005C9B0000}"/>
    <cellStyle name="SAPBEXHLevel1 3 8 3" xfId="32785" xr:uid="{00000000-0005-0000-0000-00005D9B0000}"/>
    <cellStyle name="SAPBEXHLevel1 3 9" xfId="32786" xr:uid="{00000000-0005-0000-0000-00005E9B0000}"/>
    <cellStyle name="SAPBEXHLevel1 3 9 2" xfId="32787" xr:uid="{00000000-0005-0000-0000-00005F9B0000}"/>
    <cellStyle name="SAPBEXHLevel1 3 9 2 2" xfId="32788" xr:uid="{00000000-0005-0000-0000-0000609B0000}"/>
    <cellStyle name="SAPBEXHLevel1 3 9 3" xfId="32789" xr:uid="{00000000-0005-0000-0000-0000619B0000}"/>
    <cellStyle name="SAPBEXHLevel1 3 9 4" xfId="40955" xr:uid="{00000000-0005-0000-0000-0000629B0000}"/>
    <cellStyle name="SAPBEXHLevel1 4" xfId="32790" xr:uid="{00000000-0005-0000-0000-0000639B0000}"/>
    <cellStyle name="SAPBEXHLevel1 4 2" xfId="32791" xr:uid="{00000000-0005-0000-0000-0000649B0000}"/>
    <cellStyle name="SAPBEXHLevel1 4 2 2" xfId="32792" xr:uid="{00000000-0005-0000-0000-0000659B0000}"/>
    <cellStyle name="SAPBEXHLevel1 4 2 2 2" xfId="32793" xr:uid="{00000000-0005-0000-0000-0000669B0000}"/>
    <cellStyle name="SAPBEXHLevel1 4 2 2 2 2" xfId="32794" xr:uid="{00000000-0005-0000-0000-0000679B0000}"/>
    <cellStyle name="SAPBEXHLevel1 4 2 2 2 2 2" xfId="32795" xr:uid="{00000000-0005-0000-0000-0000689B0000}"/>
    <cellStyle name="SAPBEXHLevel1 4 2 2 2 3" xfId="32796" xr:uid="{00000000-0005-0000-0000-0000699B0000}"/>
    <cellStyle name="SAPBEXHLevel1 4 2 2 3" xfId="32797" xr:uid="{00000000-0005-0000-0000-00006A9B0000}"/>
    <cellStyle name="SAPBEXHLevel1 4 2 3" xfId="32798" xr:uid="{00000000-0005-0000-0000-00006B9B0000}"/>
    <cellStyle name="SAPBEXHLevel1 4 2 3 2" xfId="32799" xr:uid="{00000000-0005-0000-0000-00006C9B0000}"/>
    <cellStyle name="SAPBEXHLevel1 4 2 3 2 2" xfId="32800" xr:uid="{00000000-0005-0000-0000-00006D9B0000}"/>
    <cellStyle name="SAPBEXHLevel1 4 2 3 3" xfId="32801" xr:uid="{00000000-0005-0000-0000-00006E9B0000}"/>
    <cellStyle name="SAPBEXHLevel1 4 2 4" xfId="32802" xr:uid="{00000000-0005-0000-0000-00006F9B0000}"/>
    <cellStyle name="SAPBEXHLevel1 4 2 4 2" xfId="32803" xr:uid="{00000000-0005-0000-0000-0000709B0000}"/>
    <cellStyle name="SAPBEXHLevel1 4 2 4 2 2" xfId="32804" xr:uid="{00000000-0005-0000-0000-0000719B0000}"/>
    <cellStyle name="SAPBEXHLevel1 4 2 4 3" xfId="32805" xr:uid="{00000000-0005-0000-0000-0000729B0000}"/>
    <cellStyle name="SAPBEXHLevel1 4 2 4 4" xfId="40963" xr:uid="{00000000-0005-0000-0000-0000739B0000}"/>
    <cellStyle name="SAPBEXHLevel1 4 2 5" xfId="32806" xr:uid="{00000000-0005-0000-0000-0000749B0000}"/>
    <cellStyle name="SAPBEXHLevel1 4 2 5 2" xfId="32807" xr:uid="{00000000-0005-0000-0000-0000759B0000}"/>
    <cellStyle name="SAPBEXHLevel1 4 2 5 2 2" xfId="32808" xr:uid="{00000000-0005-0000-0000-0000769B0000}"/>
    <cellStyle name="SAPBEXHLevel1 4 2 5 3" xfId="32809" xr:uid="{00000000-0005-0000-0000-0000779B0000}"/>
    <cellStyle name="SAPBEXHLevel1 4 2 5 4" xfId="40965" xr:uid="{00000000-0005-0000-0000-0000789B0000}"/>
    <cellStyle name="SAPBEXHLevel1 4 2 6" xfId="32810" xr:uid="{00000000-0005-0000-0000-0000799B0000}"/>
    <cellStyle name="SAPBEXHLevel1 4 3" xfId="32811" xr:uid="{00000000-0005-0000-0000-00007A9B0000}"/>
    <cellStyle name="SAPBEXHLevel1 4 3 2" xfId="32812" xr:uid="{00000000-0005-0000-0000-00007B9B0000}"/>
    <cellStyle name="SAPBEXHLevel1 4 3 2 2" xfId="32813" xr:uid="{00000000-0005-0000-0000-00007C9B0000}"/>
    <cellStyle name="SAPBEXHLevel1 4 3 2 2 2" xfId="32814" xr:uid="{00000000-0005-0000-0000-00007D9B0000}"/>
    <cellStyle name="SAPBEXHLevel1 4 3 2 2 2 2" xfId="32815" xr:uid="{00000000-0005-0000-0000-00007E9B0000}"/>
    <cellStyle name="SAPBEXHLevel1 4 3 2 2 3" xfId="32816" xr:uid="{00000000-0005-0000-0000-00007F9B0000}"/>
    <cellStyle name="SAPBEXHLevel1 4 3 2 3" xfId="32817" xr:uid="{00000000-0005-0000-0000-0000809B0000}"/>
    <cellStyle name="SAPBEXHLevel1 4 3 3" xfId="32818" xr:uid="{00000000-0005-0000-0000-0000819B0000}"/>
    <cellStyle name="SAPBEXHLevel1 4 3 3 2" xfId="32819" xr:uid="{00000000-0005-0000-0000-0000829B0000}"/>
    <cellStyle name="SAPBEXHLevel1 4 3 3 2 2" xfId="32820" xr:uid="{00000000-0005-0000-0000-0000839B0000}"/>
    <cellStyle name="SAPBEXHLevel1 4 3 3 3" xfId="32821" xr:uid="{00000000-0005-0000-0000-0000849B0000}"/>
    <cellStyle name="SAPBEXHLevel1 4 3 4" xfId="32822" xr:uid="{00000000-0005-0000-0000-0000859B0000}"/>
    <cellStyle name="SAPBEXHLevel1 4 3 4 2" xfId="32823" xr:uid="{00000000-0005-0000-0000-0000869B0000}"/>
    <cellStyle name="SAPBEXHLevel1 4 3 4 2 2" xfId="32824" xr:uid="{00000000-0005-0000-0000-0000879B0000}"/>
    <cellStyle name="SAPBEXHLevel1 4 3 4 3" xfId="32825" xr:uid="{00000000-0005-0000-0000-0000889B0000}"/>
    <cellStyle name="SAPBEXHLevel1 4 3 4 4" xfId="40973" xr:uid="{00000000-0005-0000-0000-0000899B0000}"/>
    <cellStyle name="SAPBEXHLevel1 4 3 5" xfId="32826" xr:uid="{00000000-0005-0000-0000-00008A9B0000}"/>
    <cellStyle name="SAPBEXHLevel1 4 3 5 2" xfId="32827" xr:uid="{00000000-0005-0000-0000-00008B9B0000}"/>
    <cellStyle name="SAPBEXHLevel1 4 3 5 2 2" xfId="32828" xr:uid="{00000000-0005-0000-0000-00008C9B0000}"/>
    <cellStyle name="SAPBEXHLevel1 4 3 5 3" xfId="32829" xr:uid="{00000000-0005-0000-0000-00008D9B0000}"/>
    <cellStyle name="SAPBEXHLevel1 4 3 5 4" xfId="40975" xr:uid="{00000000-0005-0000-0000-00008E9B0000}"/>
    <cellStyle name="SAPBEXHLevel1 4 3 6" xfId="32830" xr:uid="{00000000-0005-0000-0000-00008F9B0000}"/>
    <cellStyle name="SAPBEXHLevel1 4 4" xfId="32831" xr:uid="{00000000-0005-0000-0000-0000909B0000}"/>
    <cellStyle name="SAPBEXHLevel1 4 4 2" xfId="32832" xr:uid="{00000000-0005-0000-0000-0000919B0000}"/>
    <cellStyle name="SAPBEXHLevel1 4 4 2 2" xfId="32833" xr:uid="{00000000-0005-0000-0000-0000929B0000}"/>
    <cellStyle name="SAPBEXHLevel1 4 4 2 2 2" xfId="32834" xr:uid="{00000000-0005-0000-0000-0000939B0000}"/>
    <cellStyle name="SAPBEXHLevel1 4 4 2 3" xfId="32835" xr:uid="{00000000-0005-0000-0000-0000949B0000}"/>
    <cellStyle name="SAPBEXHLevel1 4 4 3" xfId="32836" xr:uid="{00000000-0005-0000-0000-0000959B0000}"/>
    <cellStyle name="SAPBEXHLevel1 4 4 3 2" xfId="32837" xr:uid="{00000000-0005-0000-0000-0000969B0000}"/>
    <cellStyle name="SAPBEXHLevel1 4 4 3 2 2" xfId="32838" xr:uid="{00000000-0005-0000-0000-0000979B0000}"/>
    <cellStyle name="SAPBEXHLevel1 4 4 3 3" xfId="32839" xr:uid="{00000000-0005-0000-0000-0000989B0000}"/>
    <cellStyle name="SAPBEXHLevel1 4 4 4" xfId="32840" xr:uid="{00000000-0005-0000-0000-0000999B0000}"/>
    <cellStyle name="SAPBEXHLevel1 4 4 4 2" xfId="32841" xr:uid="{00000000-0005-0000-0000-00009A9B0000}"/>
    <cellStyle name="SAPBEXHLevel1 4 4 4 2 2" xfId="32842" xr:uid="{00000000-0005-0000-0000-00009B9B0000}"/>
    <cellStyle name="SAPBEXHLevel1 4 4 4 3" xfId="32843" xr:uid="{00000000-0005-0000-0000-00009C9B0000}"/>
    <cellStyle name="SAPBEXHLevel1 4 4 5" xfId="32844" xr:uid="{00000000-0005-0000-0000-00009D9B0000}"/>
    <cellStyle name="SAPBEXHLevel1 4 5" xfId="32845" xr:uid="{00000000-0005-0000-0000-00009E9B0000}"/>
    <cellStyle name="SAPBEXHLevel1 4 5 2" xfId="32846" xr:uid="{00000000-0005-0000-0000-00009F9B0000}"/>
    <cellStyle name="SAPBEXHLevel1 4 5 2 2" xfId="32847" xr:uid="{00000000-0005-0000-0000-0000A09B0000}"/>
    <cellStyle name="SAPBEXHLevel1 4 5 2 2 2" xfId="32848" xr:uid="{00000000-0005-0000-0000-0000A19B0000}"/>
    <cellStyle name="SAPBEXHLevel1 4 5 2 3" xfId="32849" xr:uid="{00000000-0005-0000-0000-0000A29B0000}"/>
    <cellStyle name="SAPBEXHLevel1 4 5 3" xfId="32850" xr:uid="{00000000-0005-0000-0000-0000A39B0000}"/>
    <cellStyle name="SAPBEXHLevel1 4 5 3 2" xfId="32851" xr:uid="{00000000-0005-0000-0000-0000A49B0000}"/>
    <cellStyle name="SAPBEXHLevel1 4 5 3 2 2" xfId="32852" xr:uid="{00000000-0005-0000-0000-0000A59B0000}"/>
    <cellStyle name="SAPBEXHLevel1 4 5 3 3" xfId="32853" xr:uid="{00000000-0005-0000-0000-0000A69B0000}"/>
    <cellStyle name="SAPBEXHLevel1 4 5 4" xfId="32854" xr:uid="{00000000-0005-0000-0000-0000A79B0000}"/>
    <cellStyle name="SAPBEXHLevel1 4 5 4 2" xfId="32855" xr:uid="{00000000-0005-0000-0000-0000A89B0000}"/>
    <cellStyle name="SAPBEXHLevel1 4 5 5" xfId="32856" xr:uid="{00000000-0005-0000-0000-0000A99B0000}"/>
    <cellStyle name="SAPBEXHLevel1 4 6" xfId="32857" xr:uid="{00000000-0005-0000-0000-0000AA9B0000}"/>
    <cellStyle name="SAPBEXHLevel1 4 6 2" xfId="32858" xr:uid="{00000000-0005-0000-0000-0000AB9B0000}"/>
    <cellStyle name="SAPBEXHLevel1 4 6 2 2" xfId="32859" xr:uid="{00000000-0005-0000-0000-0000AC9B0000}"/>
    <cellStyle name="SAPBEXHLevel1 4 6 3" xfId="32860" xr:uid="{00000000-0005-0000-0000-0000AD9B0000}"/>
    <cellStyle name="SAPBEXHLevel1 4 7" xfId="32861" xr:uid="{00000000-0005-0000-0000-0000AE9B0000}"/>
    <cellStyle name="SAPBEXHLevel1 4 7 2" xfId="32862" xr:uid="{00000000-0005-0000-0000-0000AF9B0000}"/>
    <cellStyle name="SAPBEXHLevel1 4 7 2 2" xfId="32863" xr:uid="{00000000-0005-0000-0000-0000B09B0000}"/>
    <cellStyle name="SAPBEXHLevel1 4 7 3" xfId="32864" xr:uid="{00000000-0005-0000-0000-0000B19B0000}"/>
    <cellStyle name="SAPBEXHLevel1 4 7 4" xfId="40997" xr:uid="{00000000-0005-0000-0000-0000B29B0000}"/>
    <cellStyle name="SAPBEXHLevel1 4 8" xfId="32865" xr:uid="{00000000-0005-0000-0000-0000B39B0000}"/>
    <cellStyle name="SAPBEXHLevel1 4 8 2" xfId="32866" xr:uid="{00000000-0005-0000-0000-0000B49B0000}"/>
    <cellStyle name="SAPBEXHLevel1 4 8 2 2" xfId="32867" xr:uid="{00000000-0005-0000-0000-0000B59B0000}"/>
    <cellStyle name="SAPBEXHLevel1 4 8 3" xfId="32868" xr:uid="{00000000-0005-0000-0000-0000B69B0000}"/>
    <cellStyle name="SAPBEXHLevel1 4 8 4" xfId="40999" xr:uid="{00000000-0005-0000-0000-0000B79B0000}"/>
    <cellStyle name="SAPBEXHLevel1 4 9" xfId="32869" xr:uid="{00000000-0005-0000-0000-0000B89B0000}"/>
    <cellStyle name="SAPBEXHLevel1 5" xfId="32870" xr:uid="{00000000-0005-0000-0000-0000B99B0000}"/>
    <cellStyle name="SAPBEXHLevel1 5 2" xfId="32871" xr:uid="{00000000-0005-0000-0000-0000BA9B0000}"/>
    <cellStyle name="SAPBEXHLevel1 5 2 2" xfId="32872" xr:uid="{00000000-0005-0000-0000-0000BB9B0000}"/>
    <cellStyle name="SAPBEXHLevel1 5 2 2 2" xfId="32873" xr:uid="{00000000-0005-0000-0000-0000BC9B0000}"/>
    <cellStyle name="SAPBEXHLevel1 5 2 2 2 2" xfId="32874" xr:uid="{00000000-0005-0000-0000-0000BD9B0000}"/>
    <cellStyle name="SAPBEXHLevel1 5 2 2 2 2 2" xfId="32875" xr:uid="{00000000-0005-0000-0000-0000BE9B0000}"/>
    <cellStyle name="SAPBEXHLevel1 5 2 2 2 3" xfId="32876" xr:uid="{00000000-0005-0000-0000-0000BF9B0000}"/>
    <cellStyle name="SAPBEXHLevel1 5 2 2 3" xfId="32877" xr:uid="{00000000-0005-0000-0000-0000C09B0000}"/>
    <cellStyle name="SAPBEXHLevel1 5 2 3" xfId="32878" xr:uid="{00000000-0005-0000-0000-0000C19B0000}"/>
    <cellStyle name="SAPBEXHLevel1 5 2 3 2" xfId="32879" xr:uid="{00000000-0005-0000-0000-0000C29B0000}"/>
    <cellStyle name="SAPBEXHLevel1 5 2 3 2 2" xfId="32880" xr:uid="{00000000-0005-0000-0000-0000C39B0000}"/>
    <cellStyle name="SAPBEXHLevel1 5 2 3 3" xfId="32881" xr:uid="{00000000-0005-0000-0000-0000C49B0000}"/>
    <cellStyle name="SAPBEXHLevel1 5 2 4" xfId="32882" xr:uid="{00000000-0005-0000-0000-0000C59B0000}"/>
    <cellStyle name="SAPBEXHLevel1 5 2 4 2" xfId="32883" xr:uid="{00000000-0005-0000-0000-0000C69B0000}"/>
    <cellStyle name="SAPBEXHLevel1 5 2 4 2 2" xfId="32884" xr:uid="{00000000-0005-0000-0000-0000C79B0000}"/>
    <cellStyle name="SAPBEXHLevel1 5 2 4 3" xfId="32885" xr:uid="{00000000-0005-0000-0000-0000C89B0000}"/>
    <cellStyle name="SAPBEXHLevel1 5 2 4 4" xfId="41007" xr:uid="{00000000-0005-0000-0000-0000C99B0000}"/>
    <cellStyle name="SAPBEXHLevel1 5 2 5" xfId="32886" xr:uid="{00000000-0005-0000-0000-0000CA9B0000}"/>
    <cellStyle name="SAPBEXHLevel1 5 2 5 2" xfId="32887" xr:uid="{00000000-0005-0000-0000-0000CB9B0000}"/>
    <cellStyle name="SAPBEXHLevel1 5 2 5 2 2" xfId="32888" xr:uid="{00000000-0005-0000-0000-0000CC9B0000}"/>
    <cellStyle name="SAPBEXHLevel1 5 2 5 3" xfId="32889" xr:uid="{00000000-0005-0000-0000-0000CD9B0000}"/>
    <cellStyle name="SAPBEXHLevel1 5 2 5 4" xfId="41009" xr:uid="{00000000-0005-0000-0000-0000CE9B0000}"/>
    <cellStyle name="SAPBEXHLevel1 5 2 6" xfId="32890" xr:uid="{00000000-0005-0000-0000-0000CF9B0000}"/>
    <cellStyle name="SAPBEXHLevel1 5 3" xfId="32891" xr:uid="{00000000-0005-0000-0000-0000D09B0000}"/>
    <cellStyle name="SAPBEXHLevel1 5 3 2" xfId="32892" xr:uid="{00000000-0005-0000-0000-0000D19B0000}"/>
    <cellStyle name="SAPBEXHLevel1 5 3 2 2" xfId="32893" xr:uid="{00000000-0005-0000-0000-0000D29B0000}"/>
    <cellStyle name="SAPBEXHLevel1 5 3 2 2 2" xfId="32894" xr:uid="{00000000-0005-0000-0000-0000D39B0000}"/>
    <cellStyle name="SAPBEXHLevel1 5 3 2 2 2 2" xfId="32895" xr:uid="{00000000-0005-0000-0000-0000D49B0000}"/>
    <cellStyle name="SAPBEXHLevel1 5 3 2 2 3" xfId="32896" xr:uid="{00000000-0005-0000-0000-0000D59B0000}"/>
    <cellStyle name="SAPBEXHLevel1 5 3 2 3" xfId="32897" xr:uid="{00000000-0005-0000-0000-0000D69B0000}"/>
    <cellStyle name="SAPBEXHLevel1 5 3 3" xfId="32898" xr:uid="{00000000-0005-0000-0000-0000D79B0000}"/>
    <cellStyle name="SAPBEXHLevel1 5 3 3 2" xfId="32899" xr:uid="{00000000-0005-0000-0000-0000D89B0000}"/>
    <cellStyle name="SAPBEXHLevel1 5 3 3 2 2" xfId="32900" xr:uid="{00000000-0005-0000-0000-0000D99B0000}"/>
    <cellStyle name="SAPBEXHLevel1 5 3 3 3" xfId="32901" xr:uid="{00000000-0005-0000-0000-0000DA9B0000}"/>
    <cellStyle name="SAPBEXHLevel1 5 3 4" xfId="32902" xr:uid="{00000000-0005-0000-0000-0000DB9B0000}"/>
    <cellStyle name="SAPBEXHLevel1 5 3 4 2" xfId="32903" xr:uid="{00000000-0005-0000-0000-0000DC9B0000}"/>
    <cellStyle name="SAPBEXHLevel1 5 3 4 2 2" xfId="32904" xr:uid="{00000000-0005-0000-0000-0000DD9B0000}"/>
    <cellStyle name="SAPBEXHLevel1 5 3 4 3" xfId="32905" xr:uid="{00000000-0005-0000-0000-0000DE9B0000}"/>
    <cellStyle name="SAPBEXHLevel1 5 3 4 4" xfId="41016" xr:uid="{00000000-0005-0000-0000-0000DF9B0000}"/>
    <cellStyle name="SAPBEXHLevel1 5 3 5" xfId="32906" xr:uid="{00000000-0005-0000-0000-0000E09B0000}"/>
    <cellStyle name="SAPBEXHLevel1 5 3 5 2" xfId="32907" xr:uid="{00000000-0005-0000-0000-0000E19B0000}"/>
    <cellStyle name="SAPBEXHLevel1 5 3 5 2 2" xfId="32908" xr:uid="{00000000-0005-0000-0000-0000E29B0000}"/>
    <cellStyle name="SAPBEXHLevel1 5 3 5 3" xfId="32909" xr:uid="{00000000-0005-0000-0000-0000E39B0000}"/>
    <cellStyle name="SAPBEXHLevel1 5 3 5 4" xfId="41018" xr:uid="{00000000-0005-0000-0000-0000E49B0000}"/>
    <cellStyle name="SAPBEXHLevel1 5 3 6" xfId="32910" xr:uid="{00000000-0005-0000-0000-0000E59B0000}"/>
    <cellStyle name="SAPBEXHLevel1 5 4" xfId="32911" xr:uid="{00000000-0005-0000-0000-0000E69B0000}"/>
    <cellStyle name="SAPBEXHLevel1 5 4 2" xfId="32912" xr:uid="{00000000-0005-0000-0000-0000E79B0000}"/>
    <cellStyle name="SAPBEXHLevel1 5 4 2 2" xfId="32913" xr:uid="{00000000-0005-0000-0000-0000E89B0000}"/>
    <cellStyle name="SAPBEXHLevel1 5 4 2 2 2" xfId="32914" xr:uid="{00000000-0005-0000-0000-0000E99B0000}"/>
    <cellStyle name="SAPBEXHLevel1 5 4 2 3" xfId="32915" xr:uid="{00000000-0005-0000-0000-0000EA9B0000}"/>
    <cellStyle name="SAPBEXHLevel1 5 4 3" xfId="32916" xr:uid="{00000000-0005-0000-0000-0000EB9B0000}"/>
    <cellStyle name="SAPBEXHLevel1 5 4 3 2" xfId="32917" xr:uid="{00000000-0005-0000-0000-0000EC9B0000}"/>
    <cellStyle name="SAPBEXHLevel1 5 4 3 2 2" xfId="32918" xr:uid="{00000000-0005-0000-0000-0000ED9B0000}"/>
    <cellStyle name="SAPBEXHLevel1 5 4 3 3" xfId="32919" xr:uid="{00000000-0005-0000-0000-0000EE9B0000}"/>
    <cellStyle name="SAPBEXHLevel1 5 4 4" xfId="32920" xr:uid="{00000000-0005-0000-0000-0000EF9B0000}"/>
    <cellStyle name="SAPBEXHLevel1 5 4 4 2" xfId="32921" xr:uid="{00000000-0005-0000-0000-0000F09B0000}"/>
    <cellStyle name="SAPBEXHLevel1 5 4 4 2 2" xfId="32922" xr:uid="{00000000-0005-0000-0000-0000F19B0000}"/>
    <cellStyle name="SAPBEXHLevel1 5 4 4 3" xfId="32923" xr:uid="{00000000-0005-0000-0000-0000F29B0000}"/>
    <cellStyle name="SAPBEXHLevel1 5 4 5" xfId="32924" xr:uid="{00000000-0005-0000-0000-0000F39B0000}"/>
    <cellStyle name="SAPBEXHLevel1 5 5" xfId="32925" xr:uid="{00000000-0005-0000-0000-0000F49B0000}"/>
    <cellStyle name="SAPBEXHLevel1 5 5 2" xfId="32926" xr:uid="{00000000-0005-0000-0000-0000F59B0000}"/>
    <cellStyle name="SAPBEXHLevel1 5 5 2 2" xfId="32927" xr:uid="{00000000-0005-0000-0000-0000F69B0000}"/>
    <cellStyle name="SAPBEXHLevel1 5 5 2 2 2" xfId="32928" xr:uid="{00000000-0005-0000-0000-0000F79B0000}"/>
    <cellStyle name="SAPBEXHLevel1 5 5 2 3" xfId="32929" xr:uid="{00000000-0005-0000-0000-0000F89B0000}"/>
    <cellStyle name="SAPBEXHLevel1 5 5 3" xfId="32930" xr:uid="{00000000-0005-0000-0000-0000F99B0000}"/>
    <cellStyle name="SAPBEXHLevel1 5 5 3 2" xfId="32931" xr:uid="{00000000-0005-0000-0000-0000FA9B0000}"/>
    <cellStyle name="SAPBEXHLevel1 5 5 3 2 2" xfId="32932" xr:uid="{00000000-0005-0000-0000-0000FB9B0000}"/>
    <cellStyle name="SAPBEXHLevel1 5 5 3 3" xfId="32933" xr:uid="{00000000-0005-0000-0000-0000FC9B0000}"/>
    <cellStyle name="SAPBEXHLevel1 5 5 4" xfId="32934" xr:uid="{00000000-0005-0000-0000-0000FD9B0000}"/>
    <cellStyle name="SAPBEXHLevel1 5 5 4 2" xfId="32935" xr:uid="{00000000-0005-0000-0000-0000FE9B0000}"/>
    <cellStyle name="SAPBEXHLevel1 5 5 5" xfId="32936" xr:uid="{00000000-0005-0000-0000-0000FF9B0000}"/>
    <cellStyle name="SAPBEXHLevel1 5 6" xfId="32937" xr:uid="{00000000-0005-0000-0000-0000009C0000}"/>
    <cellStyle name="SAPBEXHLevel1 5 6 2" xfId="32938" xr:uid="{00000000-0005-0000-0000-0000019C0000}"/>
    <cellStyle name="SAPBEXHLevel1 5 6 2 2" xfId="32939" xr:uid="{00000000-0005-0000-0000-0000029C0000}"/>
    <cellStyle name="SAPBEXHLevel1 5 6 3" xfId="32940" xr:uid="{00000000-0005-0000-0000-0000039C0000}"/>
    <cellStyle name="SAPBEXHLevel1 5 7" xfId="32941" xr:uid="{00000000-0005-0000-0000-0000049C0000}"/>
    <cellStyle name="SAPBEXHLevel1 5 7 2" xfId="32942" xr:uid="{00000000-0005-0000-0000-0000059C0000}"/>
    <cellStyle name="SAPBEXHLevel1 5 7 2 2" xfId="32943" xr:uid="{00000000-0005-0000-0000-0000069C0000}"/>
    <cellStyle name="SAPBEXHLevel1 5 7 3" xfId="32944" xr:uid="{00000000-0005-0000-0000-0000079C0000}"/>
    <cellStyle name="SAPBEXHLevel1 5 7 4" xfId="41041" xr:uid="{00000000-0005-0000-0000-0000089C0000}"/>
    <cellStyle name="SAPBEXHLevel1 5 8" xfId="32945" xr:uid="{00000000-0005-0000-0000-0000099C0000}"/>
    <cellStyle name="SAPBEXHLevel1 5 8 2" xfId="32946" xr:uid="{00000000-0005-0000-0000-00000A9C0000}"/>
    <cellStyle name="SAPBEXHLevel1 5 8 2 2" xfId="32947" xr:uid="{00000000-0005-0000-0000-00000B9C0000}"/>
    <cellStyle name="SAPBEXHLevel1 5 8 3" xfId="32948" xr:uid="{00000000-0005-0000-0000-00000C9C0000}"/>
    <cellStyle name="SAPBEXHLevel1 5 8 4" xfId="41043" xr:uid="{00000000-0005-0000-0000-00000D9C0000}"/>
    <cellStyle name="SAPBEXHLevel1 5 9" xfId="32949" xr:uid="{00000000-0005-0000-0000-00000E9C0000}"/>
    <cellStyle name="SAPBEXHLevel1 6" xfId="32950" xr:uid="{00000000-0005-0000-0000-00000F9C0000}"/>
    <cellStyle name="SAPBEXHLevel1 6 2" xfId="32951" xr:uid="{00000000-0005-0000-0000-0000109C0000}"/>
    <cellStyle name="SAPBEXHLevel1 6 2 2" xfId="32952" xr:uid="{00000000-0005-0000-0000-0000119C0000}"/>
    <cellStyle name="SAPBEXHLevel1 6 2 2 2" xfId="32953" xr:uid="{00000000-0005-0000-0000-0000129C0000}"/>
    <cellStyle name="SAPBEXHLevel1 6 2 2 2 2" xfId="32954" xr:uid="{00000000-0005-0000-0000-0000139C0000}"/>
    <cellStyle name="SAPBEXHLevel1 6 2 2 2 2 2" xfId="32955" xr:uid="{00000000-0005-0000-0000-0000149C0000}"/>
    <cellStyle name="SAPBEXHLevel1 6 2 2 2 3" xfId="32956" xr:uid="{00000000-0005-0000-0000-0000159C0000}"/>
    <cellStyle name="SAPBEXHLevel1 6 2 2 3" xfId="32957" xr:uid="{00000000-0005-0000-0000-0000169C0000}"/>
    <cellStyle name="SAPBEXHLevel1 6 2 3" xfId="32958" xr:uid="{00000000-0005-0000-0000-0000179C0000}"/>
    <cellStyle name="SAPBEXHLevel1 6 2 3 2" xfId="32959" xr:uid="{00000000-0005-0000-0000-0000189C0000}"/>
    <cellStyle name="SAPBEXHLevel1 6 2 3 2 2" xfId="32960" xr:uid="{00000000-0005-0000-0000-0000199C0000}"/>
    <cellStyle name="SAPBEXHLevel1 6 2 3 3" xfId="32961" xr:uid="{00000000-0005-0000-0000-00001A9C0000}"/>
    <cellStyle name="SAPBEXHLevel1 6 2 4" xfId="32962" xr:uid="{00000000-0005-0000-0000-00001B9C0000}"/>
    <cellStyle name="SAPBEXHLevel1 6 2 4 2" xfId="32963" xr:uid="{00000000-0005-0000-0000-00001C9C0000}"/>
    <cellStyle name="SAPBEXHLevel1 6 2 4 2 2" xfId="32964" xr:uid="{00000000-0005-0000-0000-00001D9C0000}"/>
    <cellStyle name="SAPBEXHLevel1 6 2 4 3" xfId="32965" xr:uid="{00000000-0005-0000-0000-00001E9C0000}"/>
    <cellStyle name="SAPBEXHLevel1 6 2 4 4" xfId="41051" xr:uid="{00000000-0005-0000-0000-00001F9C0000}"/>
    <cellStyle name="SAPBEXHLevel1 6 2 5" xfId="32966" xr:uid="{00000000-0005-0000-0000-0000209C0000}"/>
    <cellStyle name="SAPBEXHLevel1 6 2 5 2" xfId="32967" xr:uid="{00000000-0005-0000-0000-0000219C0000}"/>
    <cellStyle name="SAPBEXHLevel1 6 2 5 2 2" xfId="32968" xr:uid="{00000000-0005-0000-0000-0000229C0000}"/>
    <cellStyle name="SAPBEXHLevel1 6 2 5 3" xfId="32969" xr:uid="{00000000-0005-0000-0000-0000239C0000}"/>
    <cellStyle name="SAPBEXHLevel1 6 2 5 4" xfId="41053" xr:uid="{00000000-0005-0000-0000-0000249C0000}"/>
    <cellStyle name="SAPBEXHLevel1 6 2 6" xfId="32970" xr:uid="{00000000-0005-0000-0000-0000259C0000}"/>
    <cellStyle name="SAPBEXHLevel1 6 3" xfId="32971" xr:uid="{00000000-0005-0000-0000-0000269C0000}"/>
    <cellStyle name="SAPBEXHLevel1 6 3 2" xfId="32972" xr:uid="{00000000-0005-0000-0000-0000279C0000}"/>
    <cellStyle name="SAPBEXHLevel1 6 3 2 2" xfId="32973" xr:uid="{00000000-0005-0000-0000-0000289C0000}"/>
    <cellStyle name="SAPBEXHLevel1 6 3 2 2 2" xfId="32974" xr:uid="{00000000-0005-0000-0000-0000299C0000}"/>
    <cellStyle name="SAPBEXHLevel1 6 3 2 2 2 2" xfId="32975" xr:uid="{00000000-0005-0000-0000-00002A9C0000}"/>
    <cellStyle name="SAPBEXHLevel1 6 3 2 2 3" xfId="32976" xr:uid="{00000000-0005-0000-0000-00002B9C0000}"/>
    <cellStyle name="SAPBEXHLevel1 6 3 2 3" xfId="32977" xr:uid="{00000000-0005-0000-0000-00002C9C0000}"/>
    <cellStyle name="SAPBEXHLevel1 6 3 3" xfId="32978" xr:uid="{00000000-0005-0000-0000-00002D9C0000}"/>
    <cellStyle name="SAPBEXHLevel1 6 3 3 2" xfId="32979" xr:uid="{00000000-0005-0000-0000-00002E9C0000}"/>
    <cellStyle name="SAPBEXHLevel1 6 3 3 2 2" xfId="32980" xr:uid="{00000000-0005-0000-0000-00002F9C0000}"/>
    <cellStyle name="SAPBEXHLevel1 6 3 3 3" xfId="32981" xr:uid="{00000000-0005-0000-0000-0000309C0000}"/>
    <cellStyle name="SAPBEXHLevel1 6 3 4" xfId="32982" xr:uid="{00000000-0005-0000-0000-0000319C0000}"/>
    <cellStyle name="SAPBEXHLevel1 6 3 4 2" xfId="32983" xr:uid="{00000000-0005-0000-0000-0000329C0000}"/>
    <cellStyle name="SAPBEXHLevel1 6 3 4 2 2" xfId="32984" xr:uid="{00000000-0005-0000-0000-0000339C0000}"/>
    <cellStyle name="SAPBEXHLevel1 6 3 4 3" xfId="32985" xr:uid="{00000000-0005-0000-0000-0000349C0000}"/>
    <cellStyle name="SAPBEXHLevel1 6 3 4 4" xfId="41054" xr:uid="{00000000-0005-0000-0000-0000359C0000}"/>
    <cellStyle name="SAPBEXHLevel1 6 3 5" xfId="32986" xr:uid="{00000000-0005-0000-0000-0000369C0000}"/>
    <cellStyle name="SAPBEXHLevel1 6 3 5 2" xfId="32987" xr:uid="{00000000-0005-0000-0000-0000379C0000}"/>
    <cellStyle name="SAPBEXHLevel1 6 3 5 2 2" xfId="32988" xr:uid="{00000000-0005-0000-0000-0000389C0000}"/>
    <cellStyle name="SAPBEXHLevel1 6 3 5 3" xfId="32989" xr:uid="{00000000-0005-0000-0000-0000399C0000}"/>
    <cellStyle name="SAPBEXHLevel1 6 3 5 4" xfId="41055" xr:uid="{00000000-0005-0000-0000-00003A9C0000}"/>
    <cellStyle name="SAPBEXHLevel1 6 3 6" xfId="32990" xr:uid="{00000000-0005-0000-0000-00003B9C0000}"/>
    <cellStyle name="SAPBEXHLevel1 6 4" xfId="32991" xr:uid="{00000000-0005-0000-0000-00003C9C0000}"/>
    <cellStyle name="SAPBEXHLevel1 6 4 2" xfId="32992" xr:uid="{00000000-0005-0000-0000-00003D9C0000}"/>
    <cellStyle name="SAPBEXHLevel1 6 4 2 2" xfId="32993" xr:uid="{00000000-0005-0000-0000-00003E9C0000}"/>
    <cellStyle name="SAPBEXHLevel1 6 4 2 2 2" xfId="32994" xr:uid="{00000000-0005-0000-0000-00003F9C0000}"/>
    <cellStyle name="SAPBEXHLevel1 6 4 2 3" xfId="32995" xr:uid="{00000000-0005-0000-0000-0000409C0000}"/>
    <cellStyle name="SAPBEXHLevel1 6 4 3" xfId="32996" xr:uid="{00000000-0005-0000-0000-0000419C0000}"/>
    <cellStyle name="SAPBEXHLevel1 6 4 3 2" xfId="32997" xr:uid="{00000000-0005-0000-0000-0000429C0000}"/>
    <cellStyle name="SAPBEXHLevel1 6 4 3 2 2" xfId="32998" xr:uid="{00000000-0005-0000-0000-0000439C0000}"/>
    <cellStyle name="SAPBEXHLevel1 6 4 3 3" xfId="32999" xr:uid="{00000000-0005-0000-0000-0000449C0000}"/>
    <cellStyle name="SAPBEXHLevel1 6 4 4" xfId="33000" xr:uid="{00000000-0005-0000-0000-0000459C0000}"/>
    <cellStyle name="SAPBEXHLevel1 6 4 4 2" xfId="33001" xr:uid="{00000000-0005-0000-0000-0000469C0000}"/>
    <cellStyle name="SAPBEXHLevel1 6 4 4 2 2" xfId="33002" xr:uid="{00000000-0005-0000-0000-0000479C0000}"/>
    <cellStyle name="SAPBEXHLevel1 6 4 4 3" xfId="33003" xr:uid="{00000000-0005-0000-0000-0000489C0000}"/>
    <cellStyle name="SAPBEXHLevel1 6 4 5" xfId="33004" xr:uid="{00000000-0005-0000-0000-0000499C0000}"/>
    <cellStyle name="SAPBEXHLevel1 6 5" xfId="33005" xr:uid="{00000000-0005-0000-0000-00004A9C0000}"/>
    <cellStyle name="SAPBEXHLevel1 6 5 2" xfId="33006" xr:uid="{00000000-0005-0000-0000-00004B9C0000}"/>
    <cellStyle name="SAPBEXHLevel1 6 5 2 2" xfId="33007" xr:uid="{00000000-0005-0000-0000-00004C9C0000}"/>
    <cellStyle name="SAPBEXHLevel1 6 5 2 2 2" xfId="33008" xr:uid="{00000000-0005-0000-0000-00004D9C0000}"/>
    <cellStyle name="SAPBEXHLevel1 6 5 2 3" xfId="33009" xr:uid="{00000000-0005-0000-0000-00004E9C0000}"/>
    <cellStyle name="SAPBEXHLevel1 6 5 3" xfId="33010" xr:uid="{00000000-0005-0000-0000-00004F9C0000}"/>
    <cellStyle name="SAPBEXHLevel1 6 5 3 2" xfId="33011" xr:uid="{00000000-0005-0000-0000-0000509C0000}"/>
    <cellStyle name="SAPBEXHLevel1 6 5 3 2 2" xfId="33012" xr:uid="{00000000-0005-0000-0000-0000519C0000}"/>
    <cellStyle name="SAPBEXHLevel1 6 5 3 3" xfId="33013" xr:uid="{00000000-0005-0000-0000-0000529C0000}"/>
    <cellStyle name="SAPBEXHLevel1 6 5 4" xfId="33014" xr:uid="{00000000-0005-0000-0000-0000539C0000}"/>
    <cellStyle name="SAPBEXHLevel1 6 5 4 2" xfId="33015" xr:uid="{00000000-0005-0000-0000-0000549C0000}"/>
    <cellStyle name="SAPBEXHLevel1 6 5 5" xfId="33016" xr:uid="{00000000-0005-0000-0000-0000559C0000}"/>
    <cellStyle name="SAPBEXHLevel1 6 6" xfId="33017" xr:uid="{00000000-0005-0000-0000-0000569C0000}"/>
    <cellStyle name="SAPBEXHLevel1 6 6 2" xfId="33018" xr:uid="{00000000-0005-0000-0000-0000579C0000}"/>
    <cellStyle name="SAPBEXHLevel1 6 6 2 2" xfId="33019" xr:uid="{00000000-0005-0000-0000-0000589C0000}"/>
    <cellStyle name="SAPBEXHLevel1 6 6 3" xfId="33020" xr:uid="{00000000-0005-0000-0000-0000599C0000}"/>
    <cellStyle name="SAPBEXHLevel1 6 7" xfId="33021" xr:uid="{00000000-0005-0000-0000-00005A9C0000}"/>
    <cellStyle name="SAPBEXHLevel1 6 7 2" xfId="33022" xr:uid="{00000000-0005-0000-0000-00005B9C0000}"/>
    <cellStyle name="SAPBEXHLevel1 6 7 2 2" xfId="33023" xr:uid="{00000000-0005-0000-0000-00005C9C0000}"/>
    <cellStyle name="SAPBEXHLevel1 6 7 3" xfId="33024" xr:uid="{00000000-0005-0000-0000-00005D9C0000}"/>
    <cellStyle name="SAPBEXHLevel1 6 7 4" xfId="41056" xr:uid="{00000000-0005-0000-0000-00005E9C0000}"/>
    <cellStyle name="SAPBEXHLevel1 6 8" xfId="33025" xr:uid="{00000000-0005-0000-0000-00005F9C0000}"/>
    <cellStyle name="SAPBEXHLevel1 6 8 2" xfId="33026" xr:uid="{00000000-0005-0000-0000-0000609C0000}"/>
    <cellStyle name="SAPBEXHLevel1 6 8 2 2" xfId="33027" xr:uid="{00000000-0005-0000-0000-0000619C0000}"/>
    <cellStyle name="SAPBEXHLevel1 6 8 3" xfId="33028" xr:uid="{00000000-0005-0000-0000-0000629C0000}"/>
    <cellStyle name="SAPBEXHLevel1 6 8 4" xfId="41057" xr:uid="{00000000-0005-0000-0000-0000639C0000}"/>
    <cellStyle name="SAPBEXHLevel1 6 9" xfId="33029" xr:uid="{00000000-0005-0000-0000-0000649C0000}"/>
    <cellStyle name="SAPBEXHLevel1 7" xfId="33030" xr:uid="{00000000-0005-0000-0000-0000659C0000}"/>
    <cellStyle name="SAPBEXHLevel1 7 2" xfId="33031" xr:uid="{00000000-0005-0000-0000-0000669C0000}"/>
    <cellStyle name="SAPBEXHLevel1 7 2 2" xfId="33032" xr:uid="{00000000-0005-0000-0000-0000679C0000}"/>
    <cellStyle name="SAPBEXHLevel1 7 2 2 2" xfId="33033" xr:uid="{00000000-0005-0000-0000-0000689C0000}"/>
    <cellStyle name="SAPBEXHLevel1 7 2 2 2 2" xfId="33034" xr:uid="{00000000-0005-0000-0000-0000699C0000}"/>
    <cellStyle name="SAPBEXHLevel1 7 2 2 2 2 2" xfId="33035" xr:uid="{00000000-0005-0000-0000-00006A9C0000}"/>
    <cellStyle name="SAPBEXHLevel1 7 2 2 2 3" xfId="33036" xr:uid="{00000000-0005-0000-0000-00006B9C0000}"/>
    <cellStyle name="SAPBEXHLevel1 7 2 2 3" xfId="33037" xr:uid="{00000000-0005-0000-0000-00006C9C0000}"/>
    <cellStyle name="SAPBEXHLevel1 7 2 3" xfId="33038" xr:uid="{00000000-0005-0000-0000-00006D9C0000}"/>
    <cellStyle name="SAPBEXHLevel1 7 2 3 2" xfId="33039" xr:uid="{00000000-0005-0000-0000-00006E9C0000}"/>
    <cellStyle name="SAPBEXHLevel1 7 2 3 2 2" xfId="33040" xr:uid="{00000000-0005-0000-0000-00006F9C0000}"/>
    <cellStyle name="SAPBEXHLevel1 7 2 3 3" xfId="33041" xr:uid="{00000000-0005-0000-0000-0000709C0000}"/>
    <cellStyle name="SAPBEXHLevel1 7 2 4" xfId="33042" xr:uid="{00000000-0005-0000-0000-0000719C0000}"/>
    <cellStyle name="SAPBEXHLevel1 7 2 4 2" xfId="33043" xr:uid="{00000000-0005-0000-0000-0000729C0000}"/>
    <cellStyle name="SAPBEXHLevel1 7 2 4 2 2" xfId="33044" xr:uid="{00000000-0005-0000-0000-0000739C0000}"/>
    <cellStyle name="SAPBEXHLevel1 7 2 4 3" xfId="33045" xr:uid="{00000000-0005-0000-0000-0000749C0000}"/>
    <cellStyle name="SAPBEXHLevel1 7 2 4 4" xfId="41058" xr:uid="{00000000-0005-0000-0000-0000759C0000}"/>
    <cellStyle name="SAPBEXHLevel1 7 2 5" xfId="33046" xr:uid="{00000000-0005-0000-0000-0000769C0000}"/>
    <cellStyle name="SAPBEXHLevel1 7 2 5 2" xfId="33047" xr:uid="{00000000-0005-0000-0000-0000779C0000}"/>
    <cellStyle name="SAPBEXHLevel1 7 2 5 2 2" xfId="33048" xr:uid="{00000000-0005-0000-0000-0000789C0000}"/>
    <cellStyle name="SAPBEXHLevel1 7 2 5 3" xfId="33049" xr:uid="{00000000-0005-0000-0000-0000799C0000}"/>
    <cellStyle name="SAPBEXHLevel1 7 2 5 4" xfId="41059" xr:uid="{00000000-0005-0000-0000-00007A9C0000}"/>
    <cellStyle name="SAPBEXHLevel1 7 2 6" xfId="33050" xr:uid="{00000000-0005-0000-0000-00007B9C0000}"/>
    <cellStyle name="SAPBEXHLevel1 7 3" xfId="33051" xr:uid="{00000000-0005-0000-0000-00007C9C0000}"/>
    <cellStyle name="SAPBEXHLevel1 7 3 2" xfId="33052" xr:uid="{00000000-0005-0000-0000-00007D9C0000}"/>
    <cellStyle name="SAPBEXHLevel1 7 3 2 2" xfId="33053" xr:uid="{00000000-0005-0000-0000-00007E9C0000}"/>
    <cellStyle name="SAPBEXHLevel1 7 3 2 2 2" xfId="33054" xr:uid="{00000000-0005-0000-0000-00007F9C0000}"/>
    <cellStyle name="SAPBEXHLevel1 7 3 2 2 2 2" xfId="33055" xr:uid="{00000000-0005-0000-0000-0000809C0000}"/>
    <cellStyle name="SAPBEXHLevel1 7 3 2 2 3" xfId="33056" xr:uid="{00000000-0005-0000-0000-0000819C0000}"/>
    <cellStyle name="SAPBEXHLevel1 7 3 2 3" xfId="33057" xr:uid="{00000000-0005-0000-0000-0000829C0000}"/>
    <cellStyle name="SAPBEXHLevel1 7 3 3" xfId="33058" xr:uid="{00000000-0005-0000-0000-0000839C0000}"/>
    <cellStyle name="SAPBEXHLevel1 7 3 3 2" xfId="33059" xr:uid="{00000000-0005-0000-0000-0000849C0000}"/>
    <cellStyle name="SAPBEXHLevel1 7 3 3 2 2" xfId="33060" xr:uid="{00000000-0005-0000-0000-0000859C0000}"/>
    <cellStyle name="SAPBEXHLevel1 7 3 3 3" xfId="33061" xr:uid="{00000000-0005-0000-0000-0000869C0000}"/>
    <cellStyle name="SAPBEXHLevel1 7 3 4" xfId="33062" xr:uid="{00000000-0005-0000-0000-0000879C0000}"/>
    <cellStyle name="SAPBEXHLevel1 7 3 4 2" xfId="33063" xr:uid="{00000000-0005-0000-0000-0000889C0000}"/>
    <cellStyle name="SAPBEXHLevel1 7 3 4 2 2" xfId="33064" xr:uid="{00000000-0005-0000-0000-0000899C0000}"/>
    <cellStyle name="SAPBEXHLevel1 7 3 4 3" xfId="33065" xr:uid="{00000000-0005-0000-0000-00008A9C0000}"/>
    <cellStyle name="SAPBEXHLevel1 7 3 4 4" xfId="41060" xr:uid="{00000000-0005-0000-0000-00008B9C0000}"/>
    <cellStyle name="SAPBEXHLevel1 7 3 5" xfId="33066" xr:uid="{00000000-0005-0000-0000-00008C9C0000}"/>
    <cellStyle name="SAPBEXHLevel1 7 3 5 2" xfId="33067" xr:uid="{00000000-0005-0000-0000-00008D9C0000}"/>
    <cellStyle name="SAPBEXHLevel1 7 3 5 2 2" xfId="33068" xr:uid="{00000000-0005-0000-0000-00008E9C0000}"/>
    <cellStyle name="SAPBEXHLevel1 7 3 5 3" xfId="33069" xr:uid="{00000000-0005-0000-0000-00008F9C0000}"/>
    <cellStyle name="SAPBEXHLevel1 7 3 5 4" xfId="41061" xr:uid="{00000000-0005-0000-0000-0000909C0000}"/>
    <cellStyle name="SAPBEXHLevel1 7 3 6" xfId="33070" xr:uid="{00000000-0005-0000-0000-0000919C0000}"/>
    <cellStyle name="SAPBEXHLevel1 7 4" xfId="33071" xr:uid="{00000000-0005-0000-0000-0000929C0000}"/>
    <cellStyle name="SAPBEXHLevel1 7 4 2" xfId="33072" xr:uid="{00000000-0005-0000-0000-0000939C0000}"/>
    <cellStyle name="SAPBEXHLevel1 7 4 2 2" xfId="33073" xr:uid="{00000000-0005-0000-0000-0000949C0000}"/>
    <cellStyle name="SAPBEXHLevel1 7 4 2 2 2" xfId="33074" xr:uid="{00000000-0005-0000-0000-0000959C0000}"/>
    <cellStyle name="SAPBEXHLevel1 7 4 2 3" xfId="33075" xr:uid="{00000000-0005-0000-0000-0000969C0000}"/>
    <cellStyle name="SAPBEXHLevel1 7 4 3" xfId="33076" xr:uid="{00000000-0005-0000-0000-0000979C0000}"/>
    <cellStyle name="SAPBEXHLevel1 7 4 3 2" xfId="33077" xr:uid="{00000000-0005-0000-0000-0000989C0000}"/>
    <cellStyle name="SAPBEXHLevel1 7 4 3 2 2" xfId="33078" xr:uid="{00000000-0005-0000-0000-0000999C0000}"/>
    <cellStyle name="SAPBEXHLevel1 7 4 3 3" xfId="33079" xr:uid="{00000000-0005-0000-0000-00009A9C0000}"/>
    <cellStyle name="SAPBEXHLevel1 7 4 4" xfId="33080" xr:uid="{00000000-0005-0000-0000-00009B9C0000}"/>
    <cellStyle name="SAPBEXHLevel1 7 4 4 2" xfId="33081" xr:uid="{00000000-0005-0000-0000-00009C9C0000}"/>
    <cellStyle name="SAPBEXHLevel1 7 4 4 2 2" xfId="33082" xr:uid="{00000000-0005-0000-0000-00009D9C0000}"/>
    <cellStyle name="SAPBEXHLevel1 7 4 4 3" xfId="33083" xr:uid="{00000000-0005-0000-0000-00009E9C0000}"/>
    <cellStyle name="SAPBEXHLevel1 7 4 5" xfId="33084" xr:uid="{00000000-0005-0000-0000-00009F9C0000}"/>
    <cellStyle name="SAPBEXHLevel1 7 5" xfId="33085" xr:uid="{00000000-0005-0000-0000-0000A09C0000}"/>
    <cellStyle name="SAPBEXHLevel1 7 5 2" xfId="33086" xr:uid="{00000000-0005-0000-0000-0000A19C0000}"/>
    <cellStyle name="SAPBEXHLevel1 7 5 2 2" xfId="33087" xr:uid="{00000000-0005-0000-0000-0000A29C0000}"/>
    <cellStyle name="SAPBEXHLevel1 7 5 2 2 2" xfId="33088" xr:uid="{00000000-0005-0000-0000-0000A39C0000}"/>
    <cellStyle name="SAPBEXHLevel1 7 5 2 3" xfId="33089" xr:uid="{00000000-0005-0000-0000-0000A49C0000}"/>
    <cellStyle name="SAPBEXHLevel1 7 5 3" xfId="33090" xr:uid="{00000000-0005-0000-0000-0000A59C0000}"/>
    <cellStyle name="SAPBEXHLevel1 7 5 3 2" xfId="33091" xr:uid="{00000000-0005-0000-0000-0000A69C0000}"/>
    <cellStyle name="SAPBEXHLevel1 7 5 3 2 2" xfId="33092" xr:uid="{00000000-0005-0000-0000-0000A79C0000}"/>
    <cellStyle name="SAPBEXHLevel1 7 5 3 3" xfId="33093" xr:uid="{00000000-0005-0000-0000-0000A89C0000}"/>
    <cellStyle name="SAPBEXHLevel1 7 5 4" xfId="33094" xr:uid="{00000000-0005-0000-0000-0000A99C0000}"/>
    <cellStyle name="SAPBEXHLevel1 7 5 4 2" xfId="33095" xr:uid="{00000000-0005-0000-0000-0000AA9C0000}"/>
    <cellStyle name="SAPBEXHLevel1 7 5 5" xfId="33096" xr:uid="{00000000-0005-0000-0000-0000AB9C0000}"/>
    <cellStyle name="SAPBEXHLevel1 7 6" xfId="33097" xr:uid="{00000000-0005-0000-0000-0000AC9C0000}"/>
    <cellStyle name="SAPBEXHLevel1 7 6 2" xfId="33098" xr:uid="{00000000-0005-0000-0000-0000AD9C0000}"/>
    <cellStyle name="SAPBEXHLevel1 7 6 2 2" xfId="33099" xr:uid="{00000000-0005-0000-0000-0000AE9C0000}"/>
    <cellStyle name="SAPBEXHLevel1 7 6 3" xfId="33100" xr:uid="{00000000-0005-0000-0000-0000AF9C0000}"/>
    <cellStyle name="SAPBEXHLevel1 7 7" xfId="33101" xr:uid="{00000000-0005-0000-0000-0000B09C0000}"/>
    <cellStyle name="SAPBEXHLevel1 7 7 2" xfId="33102" xr:uid="{00000000-0005-0000-0000-0000B19C0000}"/>
    <cellStyle name="SAPBEXHLevel1 7 7 2 2" xfId="33103" xr:uid="{00000000-0005-0000-0000-0000B29C0000}"/>
    <cellStyle name="SAPBEXHLevel1 7 7 3" xfId="33104" xr:uid="{00000000-0005-0000-0000-0000B39C0000}"/>
    <cellStyle name="SAPBEXHLevel1 7 7 4" xfId="41062" xr:uid="{00000000-0005-0000-0000-0000B49C0000}"/>
    <cellStyle name="SAPBEXHLevel1 7 8" xfId="33105" xr:uid="{00000000-0005-0000-0000-0000B59C0000}"/>
    <cellStyle name="SAPBEXHLevel1 7 8 2" xfId="33106" xr:uid="{00000000-0005-0000-0000-0000B69C0000}"/>
    <cellStyle name="SAPBEXHLevel1 7 8 2 2" xfId="33107" xr:uid="{00000000-0005-0000-0000-0000B79C0000}"/>
    <cellStyle name="SAPBEXHLevel1 7 8 3" xfId="33108" xr:uid="{00000000-0005-0000-0000-0000B89C0000}"/>
    <cellStyle name="SAPBEXHLevel1 7 8 4" xfId="41063" xr:uid="{00000000-0005-0000-0000-0000B99C0000}"/>
    <cellStyle name="SAPBEXHLevel1 7 9" xfId="33109" xr:uid="{00000000-0005-0000-0000-0000BA9C0000}"/>
    <cellStyle name="SAPBEXHLevel1 8" xfId="33110" xr:uid="{00000000-0005-0000-0000-0000BB9C0000}"/>
    <cellStyle name="SAPBEXHLevel1 8 10" xfId="33111" xr:uid="{00000000-0005-0000-0000-0000BC9C0000}"/>
    <cellStyle name="SAPBEXHLevel1 8 10 2" xfId="41064" xr:uid="{00000000-0005-0000-0000-0000BD9C0000}"/>
    <cellStyle name="SAPBEXHLevel1 8 2" xfId="33112" xr:uid="{00000000-0005-0000-0000-0000BE9C0000}"/>
    <cellStyle name="SAPBEXHLevel1 8 2 2" xfId="33113" xr:uid="{00000000-0005-0000-0000-0000BF9C0000}"/>
    <cellStyle name="SAPBEXHLevel1 8 2 2 2" xfId="33114" xr:uid="{00000000-0005-0000-0000-0000C09C0000}"/>
    <cellStyle name="SAPBEXHLevel1 8 2 2 2 2" xfId="33115" xr:uid="{00000000-0005-0000-0000-0000C19C0000}"/>
    <cellStyle name="SAPBEXHLevel1 8 2 2 2 2 2" xfId="33116" xr:uid="{00000000-0005-0000-0000-0000C29C0000}"/>
    <cellStyle name="SAPBEXHLevel1 8 2 2 2 3" xfId="33117" xr:uid="{00000000-0005-0000-0000-0000C39C0000}"/>
    <cellStyle name="SAPBEXHLevel1 8 2 2 3" xfId="33118" xr:uid="{00000000-0005-0000-0000-0000C49C0000}"/>
    <cellStyle name="SAPBEXHLevel1 8 2 3" xfId="33119" xr:uid="{00000000-0005-0000-0000-0000C59C0000}"/>
    <cellStyle name="SAPBEXHLevel1 8 2 3 2" xfId="33120" xr:uid="{00000000-0005-0000-0000-0000C69C0000}"/>
    <cellStyle name="SAPBEXHLevel1 8 2 3 2 2" xfId="33121" xr:uid="{00000000-0005-0000-0000-0000C79C0000}"/>
    <cellStyle name="SAPBEXHLevel1 8 2 3 3" xfId="33122" xr:uid="{00000000-0005-0000-0000-0000C89C0000}"/>
    <cellStyle name="SAPBEXHLevel1 8 2 4" xfId="33123" xr:uid="{00000000-0005-0000-0000-0000C99C0000}"/>
    <cellStyle name="SAPBEXHLevel1 8 2 4 2" xfId="33124" xr:uid="{00000000-0005-0000-0000-0000CA9C0000}"/>
    <cellStyle name="SAPBEXHLevel1 8 2 4 2 2" xfId="33125" xr:uid="{00000000-0005-0000-0000-0000CB9C0000}"/>
    <cellStyle name="SAPBEXHLevel1 8 2 4 3" xfId="33126" xr:uid="{00000000-0005-0000-0000-0000CC9C0000}"/>
    <cellStyle name="SAPBEXHLevel1 8 2 4 4" xfId="41065" xr:uid="{00000000-0005-0000-0000-0000CD9C0000}"/>
    <cellStyle name="SAPBEXHLevel1 8 2 5" xfId="33127" xr:uid="{00000000-0005-0000-0000-0000CE9C0000}"/>
    <cellStyle name="SAPBEXHLevel1 8 2 5 2" xfId="33128" xr:uid="{00000000-0005-0000-0000-0000CF9C0000}"/>
    <cellStyle name="SAPBEXHLevel1 8 2 5 2 2" xfId="33129" xr:uid="{00000000-0005-0000-0000-0000D09C0000}"/>
    <cellStyle name="SAPBEXHLevel1 8 2 5 3" xfId="33130" xr:uid="{00000000-0005-0000-0000-0000D19C0000}"/>
    <cellStyle name="SAPBEXHLevel1 8 2 5 4" xfId="41066" xr:uid="{00000000-0005-0000-0000-0000D29C0000}"/>
    <cellStyle name="SAPBEXHLevel1 8 2 6" xfId="33131" xr:uid="{00000000-0005-0000-0000-0000D39C0000}"/>
    <cellStyle name="SAPBEXHLevel1 8 3" xfId="33132" xr:uid="{00000000-0005-0000-0000-0000D49C0000}"/>
    <cellStyle name="SAPBEXHLevel1 8 3 2" xfId="33133" xr:uid="{00000000-0005-0000-0000-0000D59C0000}"/>
    <cellStyle name="SAPBEXHLevel1 8 3 2 2" xfId="33134" xr:uid="{00000000-0005-0000-0000-0000D69C0000}"/>
    <cellStyle name="SAPBEXHLevel1 8 3 2 2 2" xfId="33135" xr:uid="{00000000-0005-0000-0000-0000D79C0000}"/>
    <cellStyle name="SAPBEXHLevel1 8 3 2 2 2 2" xfId="33136" xr:uid="{00000000-0005-0000-0000-0000D89C0000}"/>
    <cellStyle name="SAPBEXHLevel1 8 3 2 2 3" xfId="33137" xr:uid="{00000000-0005-0000-0000-0000D99C0000}"/>
    <cellStyle name="SAPBEXHLevel1 8 3 2 3" xfId="33138" xr:uid="{00000000-0005-0000-0000-0000DA9C0000}"/>
    <cellStyle name="SAPBEXHLevel1 8 3 3" xfId="33139" xr:uid="{00000000-0005-0000-0000-0000DB9C0000}"/>
    <cellStyle name="SAPBEXHLevel1 8 3 3 2" xfId="33140" xr:uid="{00000000-0005-0000-0000-0000DC9C0000}"/>
    <cellStyle name="SAPBEXHLevel1 8 3 3 2 2" xfId="33141" xr:uid="{00000000-0005-0000-0000-0000DD9C0000}"/>
    <cellStyle name="SAPBEXHLevel1 8 3 3 3" xfId="33142" xr:uid="{00000000-0005-0000-0000-0000DE9C0000}"/>
    <cellStyle name="SAPBEXHLevel1 8 3 4" xfId="33143" xr:uid="{00000000-0005-0000-0000-0000DF9C0000}"/>
    <cellStyle name="SAPBEXHLevel1 8 3 4 2" xfId="33144" xr:uid="{00000000-0005-0000-0000-0000E09C0000}"/>
    <cellStyle name="SAPBEXHLevel1 8 3 4 2 2" xfId="33145" xr:uid="{00000000-0005-0000-0000-0000E19C0000}"/>
    <cellStyle name="SAPBEXHLevel1 8 3 4 3" xfId="33146" xr:uid="{00000000-0005-0000-0000-0000E29C0000}"/>
    <cellStyle name="SAPBEXHLevel1 8 3 4 4" xfId="41067" xr:uid="{00000000-0005-0000-0000-0000E39C0000}"/>
    <cellStyle name="SAPBEXHLevel1 8 3 5" xfId="33147" xr:uid="{00000000-0005-0000-0000-0000E49C0000}"/>
    <cellStyle name="SAPBEXHLevel1 8 3 5 2" xfId="33148" xr:uid="{00000000-0005-0000-0000-0000E59C0000}"/>
    <cellStyle name="SAPBEXHLevel1 8 3 5 2 2" xfId="33149" xr:uid="{00000000-0005-0000-0000-0000E69C0000}"/>
    <cellStyle name="SAPBEXHLevel1 8 3 5 3" xfId="33150" xr:uid="{00000000-0005-0000-0000-0000E79C0000}"/>
    <cellStyle name="SAPBEXHLevel1 8 3 5 4" xfId="41068" xr:uid="{00000000-0005-0000-0000-0000E89C0000}"/>
    <cellStyle name="SAPBEXHLevel1 8 3 6" xfId="33151" xr:uid="{00000000-0005-0000-0000-0000E99C0000}"/>
    <cellStyle name="SAPBEXHLevel1 8 4" xfId="33152" xr:uid="{00000000-0005-0000-0000-0000EA9C0000}"/>
    <cellStyle name="SAPBEXHLevel1 8 4 2" xfId="33153" xr:uid="{00000000-0005-0000-0000-0000EB9C0000}"/>
    <cellStyle name="SAPBEXHLevel1 8 4 2 2" xfId="33154" xr:uid="{00000000-0005-0000-0000-0000EC9C0000}"/>
    <cellStyle name="SAPBEXHLevel1 8 4 2 2 2" xfId="33155" xr:uid="{00000000-0005-0000-0000-0000ED9C0000}"/>
    <cellStyle name="SAPBEXHLevel1 8 4 2 3" xfId="33156" xr:uid="{00000000-0005-0000-0000-0000EE9C0000}"/>
    <cellStyle name="SAPBEXHLevel1 8 4 3" xfId="33157" xr:uid="{00000000-0005-0000-0000-0000EF9C0000}"/>
    <cellStyle name="SAPBEXHLevel1 8 4 3 2" xfId="33158" xr:uid="{00000000-0005-0000-0000-0000F09C0000}"/>
    <cellStyle name="SAPBEXHLevel1 8 4 3 2 2" xfId="33159" xr:uid="{00000000-0005-0000-0000-0000F19C0000}"/>
    <cellStyle name="SAPBEXHLevel1 8 4 3 3" xfId="33160" xr:uid="{00000000-0005-0000-0000-0000F29C0000}"/>
    <cellStyle name="SAPBEXHLevel1 8 4 4" xfId="33161" xr:uid="{00000000-0005-0000-0000-0000F39C0000}"/>
    <cellStyle name="SAPBEXHLevel1 8 4 4 2" xfId="33162" xr:uid="{00000000-0005-0000-0000-0000F49C0000}"/>
    <cellStyle name="SAPBEXHLevel1 8 4 4 2 2" xfId="33163" xr:uid="{00000000-0005-0000-0000-0000F59C0000}"/>
    <cellStyle name="SAPBEXHLevel1 8 4 4 3" xfId="33164" xr:uid="{00000000-0005-0000-0000-0000F69C0000}"/>
    <cellStyle name="SAPBEXHLevel1 8 4 5" xfId="33165" xr:uid="{00000000-0005-0000-0000-0000F79C0000}"/>
    <cellStyle name="SAPBEXHLevel1 8 5" xfId="33166" xr:uid="{00000000-0005-0000-0000-0000F89C0000}"/>
    <cellStyle name="SAPBEXHLevel1 8 5 2" xfId="33167" xr:uid="{00000000-0005-0000-0000-0000F99C0000}"/>
    <cellStyle name="SAPBEXHLevel1 8 5 2 2" xfId="33168" xr:uid="{00000000-0005-0000-0000-0000FA9C0000}"/>
    <cellStyle name="SAPBEXHLevel1 8 5 2 2 2" xfId="33169" xr:uid="{00000000-0005-0000-0000-0000FB9C0000}"/>
    <cellStyle name="SAPBEXHLevel1 8 5 2 3" xfId="33170" xr:uid="{00000000-0005-0000-0000-0000FC9C0000}"/>
    <cellStyle name="SAPBEXHLevel1 8 5 3" xfId="33171" xr:uid="{00000000-0005-0000-0000-0000FD9C0000}"/>
    <cellStyle name="SAPBEXHLevel1 8 5 3 2" xfId="33172" xr:uid="{00000000-0005-0000-0000-0000FE9C0000}"/>
    <cellStyle name="SAPBEXHLevel1 8 5 3 2 2" xfId="33173" xr:uid="{00000000-0005-0000-0000-0000FF9C0000}"/>
    <cellStyle name="SAPBEXHLevel1 8 5 3 3" xfId="33174" xr:uid="{00000000-0005-0000-0000-0000009D0000}"/>
    <cellStyle name="SAPBEXHLevel1 8 5 4" xfId="33175" xr:uid="{00000000-0005-0000-0000-0000019D0000}"/>
    <cellStyle name="SAPBEXHLevel1 8 5 4 2" xfId="33176" xr:uid="{00000000-0005-0000-0000-0000029D0000}"/>
    <cellStyle name="SAPBEXHLevel1 8 5 5" xfId="33177" xr:uid="{00000000-0005-0000-0000-0000039D0000}"/>
    <cellStyle name="SAPBEXHLevel1 8 6" xfId="33178" xr:uid="{00000000-0005-0000-0000-0000049D0000}"/>
    <cellStyle name="SAPBEXHLevel1 8 6 2" xfId="33179" xr:uid="{00000000-0005-0000-0000-0000059D0000}"/>
    <cellStyle name="SAPBEXHLevel1 8 6 2 2" xfId="33180" xr:uid="{00000000-0005-0000-0000-0000069D0000}"/>
    <cellStyle name="SAPBEXHLevel1 8 6 3" xfId="33181" xr:uid="{00000000-0005-0000-0000-0000079D0000}"/>
    <cellStyle name="SAPBEXHLevel1 8 7" xfId="33182" xr:uid="{00000000-0005-0000-0000-0000089D0000}"/>
    <cellStyle name="SAPBEXHLevel1 8 7 2" xfId="33183" xr:uid="{00000000-0005-0000-0000-0000099D0000}"/>
    <cellStyle name="SAPBEXHLevel1 8 7 2 2" xfId="33184" xr:uid="{00000000-0005-0000-0000-00000A9D0000}"/>
    <cellStyle name="SAPBEXHLevel1 8 7 3" xfId="33185" xr:uid="{00000000-0005-0000-0000-00000B9D0000}"/>
    <cellStyle name="SAPBEXHLevel1 8 8" xfId="33186" xr:uid="{00000000-0005-0000-0000-00000C9D0000}"/>
    <cellStyle name="SAPBEXHLevel1 8 8 2" xfId="33187" xr:uid="{00000000-0005-0000-0000-00000D9D0000}"/>
    <cellStyle name="SAPBEXHLevel1 8 8 2 2" xfId="33188" xr:uid="{00000000-0005-0000-0000-00000E9D0000}"/>
    <cellStyle name="SAPBEXHLevel1 8 8 3" xfId="33189" xr:uid="{00000000-0005-0000-0000-00000F9D0000}"/>
    <cellStyle name="SAPBEXHLevel1 8 8 4" xfId="41069" xr:uid="{00000000-0005-0000-0000-0000109D0000}"/>
    <cellStyle name="SAPBEXHLevel1 8 9" xfId="33190" xr:uid="{00000000-0005-0000-0000-0000119D0000}"/>
    <cellStyle name="SAPBEXHLevel1 8 9 2" xfId="33191" xr:uid="{00000000-0005-0000-0000-0000129D0000}"/>
    <cellStyle name="SAPBEXHLevel1 9" xfId="33192" xr:uid="{00000000-0005-0000-0000-0000139D0000}"/>
    <cellStyle name="SAPBEXHLevel1 9 2" xfId="33193" xr:uid="{00000000-0005-0000-0000-0000149D0000}"/>
    <cellStyle name="SAPBEXHLevel1 9 2 2" xfId="33194" xr:uid="{00000000-0005-0000-0000-0000159D0000}"/>
    <cellStyle name="SAPBEXHLevel1 9 2 2 2" xfId="33195" xr:uid="{00000000-0005-0000-0000-0000169D0000}"/>
    <cellStyle name="SAPBEXHLevel1 9 2 2 2 2" xfId="33196" xr:uid="{00000000-0005-0000-0000-0000179D0000}"/>
    <cellStyle name="SAPBEXHLevel1 9 2 2 2 2 2" xfId="33197" xr:uid="{00000000-0005-0000-0000-0000189D0000}"/>
    <cellStyle name="SAPBEXHLevel1 9 2 2 2 3" xfId="33198" xr:uid="{00000000-0005-0000-0000-0000199D0000}"/>
    <cellStyle name="SAPBEXHLevel1 9 2 2 3" xfId="33199" xr:uid="{00000000-0005-0000-0000-00001A9D0000}"/>
    <cellStyle name="SAPBEXHLevel1 9 2 3" xfId="33200" xr:uid="{00000000-0005-0000-0000-00001B9D0000}"/>
    <cellStyle name="SAPBEXHLevel1 9 2 3 2" xfId="33201" xr:uid="{00000000-0005-0000-0000-00001C9D0000}"/>
    <cellStyle name="SAPBEXHLevel1 9 2 3 2 2" xfId="33202" xr:uid="{00000000-0005-0000-0000-00001D9D0000}"/>
    <cellStyle name="SAPBEXHLevel1 9 2 3 3" xfId="33203" xr:uid="{00000000-0005-0000-0000-00001E9D0000}"/>
    <cellStyle name="SAPBEXHLevel1 9 2 4" xfId="33204" xr:uid="{00000000-0005-0000-0000-00001F9D0000}"/>
    <cellStyle name="SAPBEXHLevel1 9 2 4 2" xfId="33205" xr:uid="{00000000-0005-0000-0000-0000209D0000}"/>
    <cellStyle name="SAPBEXHLevel1 9 2 4 2 2" xfId="33206" xr:uid="{00000000-0005-0000-0000-0000219D0000}"/>
    <cellStyle name="SAPBEXHLevel1 9 2 4 3" xfId="33207" xr:uid="{00000000-0005-0000-0000-0000229D0000}"/>
    <cellStyle name="SAPBEXHLevel1 9 2 5" xfId="33208" xr:uid="{00000000-0005-0000-0000-0000239D0000}"/>
    <cellStyle name="SAPBEXHLevel1 9 3" xfId="33209" xr:uid="{00000000-0005-0000-0000-0000249D0000}"/>
    <cellStyle name="SAPBEXHLevel1 9 3 2" xfId="33210" xr:uid="{00000000-0005-0000-0000-0000259D0000}"/>
    <cellStyle name="SAPBEXHLevel1 9 3 2 2" xfId="33211" xr:uid="{00000000-0005-0000-0000-0000269D0000}"/>
    <cellStyle name="SAPBEXHLevel1 9 3 2 2 2" xfId="33212" xr:uid="{00000000-0005-0000-0000-0000279D0000}"/>
    <cellStyle name="SAPBEXHLevel1 9 3 2 2 2 2" xfId="33213" xr:uid="{00000000-0005-0000-0000-0000289D0000}"/>
    <cellStyle name="SAPBEXHLevel1 9 3 2 2 3" xfId="33214" xr:uid="{00000000-0005-0000-0000-0000299D0000}"/>
    <cellStyle name="SAPBEXHLevel1 9 3 2 3" xfId="33215" xr:uid="{00000000-0005-0000-0000-00002A9D0000}"/>
    <cellStyle name="SAPBEXHLevel1 9 3 3" xfId="33216" xr:uid="{00000000-0005-0000-0000-00002B9D0000}"/>
    <cellStyle name="SAPBEXHLevel1 9 3 3 2" xfId="33217" xr:uid="{00000000-0005-0000-0000-00002C9D0000}"/>
    <cellStyle name="SAPBEXHLevel1 9 3 3 2 2" xfId="33218" xr:uid="{00000000-0005-0000-0000-00002D9D0000}"/>
    <cellStyle name="SAPBEXHLevel1 9 3 3 3" xfId="33219" xr:uid="{00000000-0005-0000-0000-00002E9D0000}"/>
    <cellStyle name="SAPBEXHLevel1 9 3 4" xfId="33220" xr:uid="{00000000-0005-0000-0000-00002F9D0000}"/>
    <cellStyle name="SAPBEXHLevel1 9 3 4 2" xfId="33221" xr:uid="{00000000-0005-0000-0000-0000309D0000}"/>
    <cellStyle name="SAPBEXHLevel1 9 3 4 2 2" xfId="33222" xr:uid="{00000000-0005-0000-0000-0000319D0000}"/>
    <cellStyle name="SAPBEXHLevel1 9 3 4 3" xfId="33223" xr:uid="{00000000-0005-0000-0000-0000329D0000}"/>
    <cellStyle name="SAPBEXHLevel1 9 3 5" xfId="33224" xr:uid="{00000000-0005-0000-0000-0000339D0000}"/>
    <cellStyle name="SAPBEXHLevel1 9 4" xfId="33225" xr:uid="{00000000-0005-0000-0000-0000349D0000}"/>
    <cellStyle name="SAPBEXHLevel1 9 4 2" xfId="33226" xr:uid="{00000000-0005-0000-0000-0000359D0000}"/>
    <cellStyle name="SAPBEXHLevel1 9 4 2 2" xfId="33227" xr:uid="{00000000-0005-0000-0000-0000369D0000}"/>
    <cellStyle name="SAPBEXHLevel1 9 4 2 2 2" xfId="33228" xr:uid="{00000000-0005-0000-0000-0000379D0000}"/>
    <cellStyle name="SAPBEXHLevel1 9 4 2 3" xfId="33229" xr:uid="{00000000-0005-0000-0000-0000389D0000}"/>
    <cellStyle name="SAPBEXHLevel1 9 4 3" xfId="33230" xr:uid="{00000000-0005-0000-0000-0000399D0000}"/>
    <cellStyle name="SAPBEXHLevel1 9 4 3 2" xfId="33231" xr:uid="{00000000-0005-0000-0000-00003A9D0000}"/>
    <cellStyle name="SAPBEXHLevel1 9 4 3 2 2" xfId="33232" xr:uid="{00000000-0005-0000-0000-00003B9D0000}"/>
    <cellStyle name="SAPBEXHLevel1 9 4 3 3" xfId="33233" xr:uid="{00000000-0005-0000-0000-00003C9D0000}"/>
    <cellStyle name="SAPBEXHLevel1 9 4 4" xfId="33234" xr:uid="{00000000-0005-0000-0000-00003D9D0000}"/>
    <cellStyle name="SAPBEXHLevel1 9 4 4 2" xfId="33235" xr:uid="{00000000-0005-0000-0000-00003E9D0000}"/>
    <cellStyle name="SAPBEXHLevel1 9 4 4 2 2" xfId="33236" xr:uid="{00000000-0005-0000-0000-00003F9D0000}"/>
    <cellStyle name="SAPBEXHLevel1 9 4 4 3" xfId="33237" xr:uid="{00000000-0005-0000-0000-0000409D0000}"/>
    <cellStyle name="SAPBEXHLevel1 9 4 5" xfId="33238" xr:uid="{00000000-0005-0000-0000-0000419D0000}"/>
    <cellStyle name="SAPBEXHLevel1 9 5" xfId="33239" xr:uid="{00000000-0005-0000-0000-0000429D0000}"/>
    <cellStyle name="SAPBEXHLevel1 9 5 2" xfId="33240" xr:uid="{00000000-0005-0000-0000-0000439D0000}"/>
    <cellStyle name="SAPBEXHLevel1 9 5 2 2" xfId="33241" xr:uid="{00000000-0005-0000-0000-0000449D0000}"/>
    <cellStyle name="SAPBEXHLevel1 9 5 3" xfId="33242" xr:uid="{00000000-0005-0000-0000-0000459D0000}"/>
    <cellStyle name="SAPBEXHLevel1 9 6" xfId="33243" xr:uid="{00000000-0005-0000-0000-0000469D0000}"/>
    <cellStyle name="SAPBEXHLevel1 9 6 2" xfId="33244" xr:uid="{00000000-0005-0000-0000-0000479D0000}"/>
    <cellStyle name="SAPBEXHLevel1 9 6 2 2" xfId="33245" xr:uid="{00000000-0005-0000-0000-0000489D0000}"/>
    <cellStyle name="SAPBEXHLevel1 9 6 3" xfId="33246" xr:uid="{00000000-0005-0000-0000-0000499D0000}"/>
    <cellStyle name="SAPBEXHLevel1 9 7" xfId="33247" xr:uid="{00000000-0005-0000-0000-00004A9D0000}"/>
    <cellStyle name="SAPBEXHLevel1_ACS May 2012" xfId="33248" xr:uid="{00000000-0005-0000-0000-00004B9D0000}"/>
    <cellStyle name="SAPBEXstdData" xfId="33249" xr:uid="{00000000-0005-0000-0000-00004C9D0000}"/>
    <cellStyle name="SAPBEXstdData 10" xfId="33250" xr:uid="{00000000-0005-0000-0000-00004D9D0000}"/>
    <cellStyle name="SAPBEXstdData 10 2" xfId="33251" xr:uid="{00000000-0005-0000-0000-00004E9D0000}"/>
    <cellStyle name="SAPBEXstdData 10 2 2" xfId="33252" xr:uid="{00000000-0005-0000-0000-00004F9D0000}"/>
    <cellStyle name="SAPBEXstdData 10 2 2 2" xfId="33253" xr:uid="{00000000-0005-0000-0000-0000509D0000}"/>
    <cellStyle name="SAPBEXstdData 10 2 3" xfId="33254" xr:uid="{00000000-0005-0000-0000-0000519D0000}"/>
    <cellStyle name="SAPBEXstdData 10 3" xfId="33255" xr:uid="{00000000-0005-0000-0000-0000529D0000}"/>
    <cellStyle name="SAPBEXstdData 10 3 2" xfId="33256" xr:uid="{00000000-0005-0000-0000-0000539D0000}"/>
    <cellStyle name="SAPBEXstdData 10 3 2 2" xfId="33257" xr:uid="{00000000-0005-0000-0000-0000549D0000}"/>
    <cellStyle name="SAPBEXstdData 10 3 3" xfId="33258" xr:uid="{00000000-0005-0000-0000-0000559D0000}"/>
    <cellStyle name="SAPBEXstdData 10 4" xfId="33259" xr:uid="{00000000-0005-0000-0000-0000569D0000}"/>
    <cellStyle name="SAPBEXstdData 10 4 2" xfId="33260" xr:uid="{00000000-0005-0000-0000-0000579D0000}"/>
    <cellStyle name="SAPBEXstdData 10 4 2 2" xfId="33261" xr:uid="{00000000-0005-0000-0000-0000589D0000}"/>
    <cellStyle name="SAPBEXstdData 10 4 3" xfId="33262" xr:uid="{00000000-0005-0000-0000-0000599D0000}"/>
    <cellStyle name="SAPBEXstdData 10 5" xfId="33263" xr:uid="{00000000-0005-0000-0000-00005A9D0000}"/>
    <cellStyle name="SAPBEXstdData 11" xfId="33264" xr:uid="{00000000-0005-0000-0000-00005B9D0000}"/>
    <cellStyle name="SAPBEXstdData 11 2" xfId="33265" xr:uid="{00000000-0005-0000-0000-00005C9D0000}"/>
    <cellStyle name="SAPBEXstdData 11 2 2" xfId="33266" xr:uid="{00000000-0005-0000-0000-00005D9D0000}"/>
    <cellStyle name="SAPBEXstdData 11 3" xfId="33267" xr:uid="{00000000-0005-0000-0000-00005E9D0000}"/>
    <cellStyle name="SAPBEXstdData 12" xfId="33268" xr:uid="{00000000-0005-0000-0000-00005F9D0000}"/>
    <cellStyle name="SAPBEXstdData 12 2" xfId="33269" xr:uid="{00000000-0005-0000-0000-0000609D0000}"/>
    <cellStyle name="SAPBEXstdData 12 2 2" xfId="33270" xr:uid="{00000000-0005-0000-0000-0000619D0000}"/>
    <cellStyle name="SAPBEXstdData 12 3" xfId="33271" xr:uid="{00000000-0005-0000-0000-0000629D0000}"/>
    <cellStyle name="SAPBEXstdData 13" xfId="33272" xr:uid="{00000000-0005-0000-0000-0000639D0000}"/>
    <cellStyle name="SAPBEXstdData 2" xfId="33273" xr:uid="{00000000-0005-0000-0000-0000649D0000}"/>
    <cellStyle name="SAPBEXstdData 2 2" xfId="33274" xr:uid="{00000000-0005-0000-0000-0000659D0000}"/>
    <cellStyle name="SAPBEXstdData 2 2 2" xfId="33275" xr:uid="{00000000-0005-0000-0000-0000669D0000}"/>
    <cellStyle name="SAPBEXstdData 2 2 2 2" xfId="33276" xr:uid="{00000000-0005-0000-0000-0000679D0000}"/>
    <cellStyle name="SAPBEXstdData 2 2 2 2 2" xfId="33277" xr:uid="{00000000-0005-0000-0000-0000689D0000}"/>
    <cellStyle name="SAPBEXstdData 2 2 2 2 2 2" xfId="33278" xr:uid="{00000000-0005-0000-0000-0000699D0000}"/>
    <cellStyle name="SAPBEXstdData 2 2 2 2 3" xfId="33279" xr:uid="{00000000-0005-0000-0000-00006A9D0000}"/>
    <cellStyle name="SAPBEXstdData 2 2 2 3" xfId="33280" xr:uid="{00000000-0005-0000-0000-00006B9D0000}"/>
    <cellStyle name="SAPBEXstdData 2 2 3" xfId="33281" xr:uid="{00000000-0005-0000-0000-00006C9D0000}"/>
    <cellStyle name="SAPBEXstdData 2 2 3 2" xfId="33282" xr:uid="{00000000-0005-0000-0000-00006D9D0000}"/>
    <cellStyle name="SAPBEXstdData 2 2 3 2 2" xfId="33283" xr:uid="{00000000-0005-0000-0000-00006E9D0000}"/>
    <cellStyle name="SAPBEXstdData 2 2 3 3" xfId="33284" xr:uid="{00000000-0005-0000-0000-00006F9D0000}"/>
    <cellStyle name="SAPBEXstdData 2 2 4" xfId="33285" xr:uid="{00000000-0005-0000-0000-0000709D0000}"/>
    <cellStyle name="SAPBEXstdData 2 2 4 2" xfId="33286" xr:uid="{00000000-0005-0000-0000-0000719D0000}"/>
    <cellStyle name="SAPBEXstdData 2 2 4 2 2" xfId="33287" xr:uid="{00000000-0005-0000-0000-0000729D0000}"/>
    <cellStyle name="SAPBEXstdData 2 2 4 3" xfId="33288" xr:uid="{00000000-0005-0000-0000-0000739D0000}"/>
    <cellStyle name="SAPBEXstdData 2 2 5" xfId="33289" xr:uid="{00000000-0005-0000-0000-0000749D0000}"/>
    <cellStyle name="SAPBEXstdData 2 3" xfId="33290" xr:uid="{00000000-0005-0000-0000-0000759D0000}"/>
    <cellStyle name="SAPBEXstdData 2 3 2" xfId="33291" xr:uid="{00000000-0005-0000-0000-0000769D0000}"/>
    <cellStyle name="SAPBEXstdData 2 3 2 2" xfId="33292" xr:uid="{00000000-0005-0000-0000-0000779D0000}"/>
    <cellStyle name="SAPBEXstdData 2 3 2 2 2" xfId="33293" xr:uid="{00000000-0005-0000-0000-0000789D0000}"/>
    <cellStyle name="SAPBEXstdData 2 3 2 2 2 2" xfId="33294" xr:uid="{00000000-0005-0000-0000-0000799D0000}"/>
    <cellStyle name="SAPBEXstdData 2 3 2 2 3" xfId="33295" xr:uid="{00000000-0005-0000-0000-00007A9D0000}"/>
    <cellStyle name="SAPBEXstdData 2 3 2 3" xfId="33296" xr:uid="{00000000-0005-0000-0000-00007B9D0000}"/>
    <cellStyle name="SAPBEXstdData 2 3 3" xfId="33297" xr:uid="{00000000-0005-0000-0000-00007C9D0000}"/>
    <cellStyle name="SAPBEXstdData 2 3 3 2" xfId="33298" xr:uid="{00000000-0005-0000-0000-00007D9D0000}"/>
    <cellStyle name="SAPBEXstdData 2 3 3 2 2" xfId="33299" xr:uid="{00000000-0005-0000-0000-00007E9D0000}"/>
    <cellStyle name="SAPBEXstdData 2 3 3 3" xfId="33300" xr:uid="{00000000-0005-0000-0000-00007F9D0000}"/>
    <cellStyle name="SAPBEXstdData 2 3 4" xfId="33301" xr:uid="{00000000-0005-0000-0000-0000809D0000}"/>
    <cellStyle name="SAPBEXstdData 2 3 4 2" xfId="33302" xr:uid="{00000000-0005-0000-0000-0000819D0000}"/>
    <cellStyle name="SAPBEXstdData 2 3 4 2 2" xfId="33303" xr:uid="{00000000-0005-0000-0000-0000829D0000}"/>
    <cellStyle name="SAPBEXstdData 2 3 4 3" xfId="33304" xr:uid="{00000000-0005-0000-0000-0000839D0000}"/>
    <cellStyle name="SAPBEXstdData 2 3 5" xfId="33305" xr:uid="{00000000-0005-0000-0000-0000849D0000}"/>
    <cellStyle name="SAPBEXstdData 2 4" xfId="33306" xr:uid="{00000000-0005-0000-0000-0000859D0000}"/>
    <cellStyle name="SAPBEXstdData 2 4 2" xfId="33307" xr:uid="{00000000-0005-0000-0000-0000869D0000}"/>
    <cellStyle name="SAPBEXstdData 2 4 2 2" xfId="33308" xr:uid="{00000000-0005-0000-0000-0000879D0000}"/>
    <cellStyle name="SAPBEXstdData 2 4 2 2 2" xfId="33309" xr:uid="{00000000-0005-0000-0000-0000889D0000}"/>
    <cellStyle name="SAPBEXstdData 2 4 2 3" xfId="33310" xr:uid="{00000000-0005-0000-0000-0000899D0000}"/>
    <cellStyle name="SAPBEXstdData 2 4 3" xfId="33311" xr:uid="{00000000-0005-0000-0000-00008A9D0000}"/>
    <cellStyle name="SAPBEXstdData 2 4 3 2" xfId="33312" xr:uid="{00000000-0005-0000-0000-00008B9D0000}"/>
    <cellStyle name="SAPBEXstdData 2 4 3 2 2" xfId="33313" xr:uid="{00000000-0005-0000-0000-00008C9D0000}"/>
    <cellStyle name="SAPBEXstdData 2 4 3 3" xfId="33314" xr:uid="{00000000-0005-0000-0000-00008D9D0000}"/>
    <cellStyle name="SAPBEXstdData 2 4 4" xfId="33315" xr:uid="{00000000-0005-0000-0000-00008E9D0000}"/>
    <cellStyle name="SAPBEXstdData 2 4 4 2" xfId="33316" xr:uid="{00000000-0005-0000-0000-00008F9D0000}"/>
    <cellStyle name="SAPBEXstdData 2 4 4 2 2" xfId="33317" xr:uid="{00000000-0005-0000-0000-0000909D0000}"/>
    <cellStyle name="SAPBEXstdData 2 4 4 3" xfId="33318" xr:uid="{00000000-0005-0000-0000-0000919D0000}"/>
    <cellStyle name="SAPBEXstdData 2 4 5" xfId="33319" xr:uid="{00000000-0005-0000-0000-0000929D0000}"/>
    <cellStyle name="SAPBEXstdData 2 5" xfId="33320" xr:uid="{00000000-0005-0000-0000-0000939D0000}"/>
    <cellStyle name="SAPBEXstdData 2 5 2" xfId="33321" xr:uid="{00000000-0005-0000-0000-0000949D0000}"/>
    <cellStyle name="SAPBEXstdData 2 5 2 2" xfId="33322" xr:uid="{00000000-0005-0000-0000-0000959D0000}"/>
    <cellStyle name="SAPBEXstdData 2 5 2 2 2" xfId="33323" xr:uid="{00000000-0005-0000-0000-0000969D0000}"/>
    <cellStyle name="SAPBEXstdData 2 5 2 3" xfId="33324" xr:uid="{00000000-0005-0000-0000-0000979D0000}"/>
    <cellStyle name="SAPBEXstdData 2 5 3" xfId="33325" xr:uid="{00000000-0005-0000-0000-0000989D0000}"/>
    <cellStyle name="SAPBEXstdData 2 5 3 2" xfId="33326" xr:uid="{00000000-0005-0000-0000-0000999D0000}"/>
    <cellStyle name="SAPBEXstdData 2 5 3 2 2" xfId="33327" xr:uid="{00000000-0005-0000-0000-00009A9D0000}"/>
    <cellStyle name="SAPBEXstdData 2 5 3 3" xfId="33328" xr:uid="{00000000-0005-0000-0000-00009B9D0000}"/>
    <cellStyle name="SAPBEXstdData 2 5 4" xfId="33329" xr:uid="{00000000-0005-0000-0000-00009C9D0000}"/>
    <cellStyle name="SAPBEXstdData 2 5 4 2" xfId="33330" xr:uid="{00000000-0005-0000-0000-00009D9D0000}"/>
    <cellStyle name="SAPBEXstdData 2 5 5" xfId="33331" xr:uid="{00000000-0005-0000-0000-00009E9D0000}"/>
    <cellStyle name="SAPBEXstdData 2 6" xfId="33332" xr:uid="{00000000-0005-0000-0000-00009F9D0000}"/>
    <cellStyle name="SAPBEXstdData 2 6 2" xfId="33333" xr:uid="{00000000-0005-0000-0000-0000A09D0000}"/>
    <cellStyle name="SAPBEXstdData 2 6 2 2" xfId="33334" xr:uid="{00000000-0005-0000-0000-0000A19D0000}"/>
    <cellStyle name="SAPBEXstdData 2 6 3" xfId="33335" xr:uid="{00000000-0005-0000-0000-0000A29D0000}"/>
    <cellStyle name="SAPBEXstdData 2 7" xfId="33336" xr:uid="{00000000-0005-0000-0000-0000A39D0000}"/>
    <cellStyle name="SAPBEXstdData 2 7 2" xfId="33337" xr:uid="{00000000-0005-0000-0000-0000A49D0000}"/>
    <cellStyle name="SAPBEXstdData 2 7 2 2" xfId="33338" xr:uid="{00000000-0005-0000-0000-0000A59D0000}"/>
    <cellStyle name="SAPBEXstdData 2 7 3" xfId="33339" xr:uid="{00000000-0005-0000-0000-0000A69D0000}"/>
    <cellStyle name="SAPBEXstdData 2 8" xfId="33340" xr:uid="{00000000-0005-0000-0000-0000A79D0000}"/>
    <cellStyle name="SAPBEXstdData 3" xfId="33341" xr:uid="{00000000-0005-0000-0000-0000A89D0000}"/>
    <cellStyle name="SAPBEXstdData 3 2" xfId="33342" xr:uid="{00000000-0005-0000-0000-0000A99D0000}"/>
    <cellStyle name="SAPBEXstdData 3 2 2" xfId="33343" xr:uid="{00000000-0005-0000-0000-0000AA9D0000}"/>
    <cellStyle name="SAPBEXstdData 3 2 2 2" xfId="33344" xr:uid="{00000000-0005-0000-0000-0000AB9D0000}"/>
    <cellStyle name="SAPBEXstdData 3 2 2 2 2" xfId="33345" xr:uid="{00000000-0005-0000-0000-0000AC9D0000}"/>
    <cellStyle name="SAPBEXstdData 3 2 2 2 2 2" xfId="33346" xr:uid="{00000000-0005-0000-0000-0000AD9D0000}"/>
    <cellStyle name="SAPBEXstdData 3 2 2 2 3" xfId="33347" xr:uid="{00000000-0005-0000-0000-0000AE9D0000}"/>
    <cellStyle name="SAPBEXstdData 3 2 2 3" xfId="33348" xr:uid="{00000000-0005-0000-0000-0000AF9D0000}"/>
    <cellStyle name="SAPBEXstdData 3 2 3" xfId="33349" xr:uid="{00000000-0005-0000-0000-0000B09D0000}"/>
    <cellStyle name="SAPBEXstdData 3 2 3 2" xfId="33350" xr:uid="{00000000-0005-0000-0000-0000B19D0000}"/>
    <cellStyle name="SAPBEXstdData 3 2 3 2 2" xfId="33351" xr:uid="{00000000-0005-0000-0000-0000B29D0000}"/>
    <cellStyle name="SAPBEXstdData 3 2 3 3" xfId="33352" xr:uid="{00000000-0005-0000-0000-0000B39D0000}"/>
    <cellStyle name="SAPBEXstdData 3 2 4" xfId="33353" xr:uid="{00000000-0005-0000-0000-0000B49D0000}"/>
    <cellStyle name="SAPBEXstdData 3 2 4 2" xfId="33354" xr:uid="{00000000-0005-0000-0000-0000B59D0000}"/>
    <cellStyle name="SAPBEXstdData 3 2 4 2 2" xfId="33355" xr:uid="{00000000-0005-0000-0000-0000B69D0000}"/>
    <cellStyle name="SAPBEXstdData 3 2 4 3" xfId="33356" xr:uid="{00000000-0005-0000-0000-0000B79D0000}"/>
    <cellStyle name="SAPBEXstdData 3 2 5" xfId="33357" xr:uid="{00000000-0005-0000-0000-0000B89D0000}"/>
    <cellStyle name="SAPBEXstdData 3 3" xfId="33358" xr:uid="{00000000-0005-0000-0000-0000B99D0000}"/>
    <cellStyle name="SAPBEXstdData 3 3 2" xfId="33359" xr:uid="{00000000-0005-0000-0000-0000BA9D0000}"/>
    <cellStyle name="SAPBEXstdData 3 3 2 2" xfId="33360" xr:uid="{00000000-0005-0000-0000-0000BB9D0000}"/>
    <cellStyle name="SAPBEXstdData 3 3 2 2 2" xfId="33361" xr:uid="{00000000-0005-0000-0000-0000BC9D0000}"/>
    <cellStyle name="SAPBEXstdData 3 3 2 2 2 2" xfId="33362" xr:uid="{00000000-0005-0000-0000-0000BD9D0000}"/>
    <cellStyle name="SAPBEXstdData 3 3 2 2 3" xfId="33363" xr:uid="{00000000-0005-0000-0000-0000BE9D0000}"/>
    <cellStyle name="SAPBEXstdData 3 3 2 3" xfId="33364" xr:uid="{00000000-0005-0000-0000-0000BF9D0000}"/>
    <cellStyle name="SAPBEXstdData 3 3 3" xfId="33365" xr:uid="{00000000-0005-0000-0000-0000C09D0000}"/>
    <cellStyle name="SAPBEXstdData 3 3 3 2" xfId="33366" xr:uid="{00000000-0005-0000-0000-0000C19D0000}"/>
    <cellStyle name="SAPBEXstdData 3 3 3 2 2" xfId="33367" xr:uid="{00000000-0005-0000-0000-0000C29D0000}"/>
    <cellStyle name="SAPBEXstdData 3 3 3 3" xfId="33368" xr:uid="{00000000-0005-0000-0000-0000C39D0000}"/>
    <cellStyle name="SAPBEXstdData 3 3 4" xfId="33369" xr:uid="{00000000-0005-0000-0000-0000C49D0000}"/>
    <cellStyle name="SAPBEXstdData 3 3 4 2" xfId="33370" xr:uid="{00000000-0005-0000-0000-0000C59D0000}"/>
    <cellStyle name="SAPBEXstdData 3 3 4 2 2" xfId="33371" xr:uid="{00000000-0005-0000-0000-0000C69D0000}"/>
    <cellStyle name="SAPBEXstdData 3 3 4 3" xfId="33372" xr:uid="{00000000-0005-0000-0000-0000C79D0000}"/>
    <cellStyle name="SAPBEXstdData 3 3 5" xfId="33373" xr:uid="{00000000-0005-0000-0000-0000C89D0000}"/>
    <cellStyle name="SAPBEXstdData 3 4" xfId="33374" xr:uid="{00000000-0005-0000-0000-0000C99D0000}"/>
    <cellStyle name="SAPBEXstdData 3 4 2" xfId="33375" xr:uid="{00000000-0005-0000-0000-0000CA9D0000}"/>
    <cellStyle name="SAPBEXstdData 3 4 2 2" xfId="33376" xr:uid="{00000000-0005-0000-0000-0000CB9D0000}"/>
    <cellStyle name="SAPBEXstdData 3 4 2 2 2" xfId="33377" xr:uid="{00000000-0005-0000-0000-0000CC9D0000}"/>
    <cellStyle name="SAPBEXstdData 3 4 2 3" xfId="33378" xr:uid="{00000000-0005-0000-0000-0000CD9D0000}"/>
    <cellStyle name="SAPBEXstdData 3 4 3" xfId="33379" xr:uid="{00000000-0005-0000-0000-0000CE9D0000}"/>
    <cellStyle name="SAPBEXstdData 3 4 3 2" xfId="33380" xr:uid="{00000000-0005-0000-0000-0000CF9D0000}"/>
    <cellStyle name="SAPBEXstdData 3 4 3 2 2" xfId="33381" xr:uid="{00000000-0005-0000-0000-0000D09D0000}"/>
    <cellStyle name="SAPBEXstdData 3 4 3 3" xfId="33382" xr:uid="{00000000-0005-0000-0000-0000D19D0000}"/>
    <cellStyle name="SAPBEXstdData 3 4 4" xfId="33383" xr:uid="{00000000-0005-0000-0000-0000D29D0000}"/>
    <cellStyle name="SAPBEXstdData 3 4 4 2" xfId="33384" xr:uid="{00000000-0005-0000-0000-0000D39D0000}"/>
    <cellStyle name="SAPBEXstdData 3 4 4 2 2" xfId="33385" xr:uid="{00000000-0005-0000-0000-0000D49D0000}"/>
    <cellStyle name="SAPBEXstdData 3 4 4 3" xfId="33386" xr:uid="{00000000-0005-0000-0000-0000D59D0000}"/>
    <cellStyle name="SAPBEXstdData 3 4 5" xfId="33387" xr:uid="{00000000-0005-0000-0000-0000D69D0000}"/>
    <cellStyle name="SAPBEXstdData 3 5" xfId="33388" xr:uid="{00000000-0005-0000-0000-0000D79D0000}"/>
    <cellStyle name="SAPBEXstdData 3 5 2" xfId="33389" xr:uid="{00000000-0005-0000-0000-0000D89D0000}"/>
    <cellStyle name="SAPBEXstdData 3 5 2 2" xfId="33390" xr:uid="{00000000-0005-0000-0000-0000D99D0000}"/>
    <cellStyle name="SAPBEXstdData 3 5 2 2 2" xfId="33391" xr:uid="{00000000-0005-0000-0000-0000DA9D0000}"/>
    <cellStyle name="SAPBEXstdData 3 5 2 3" xfId="33392" xr:uid="{00000000-0005-0000-0000-0000DB9D0000}"/>
    <cellStyle name="SAPBEXstdData 3 5 3" xfId="33393" xr:uid="{00000000-0005-0000-0000-0000DC9D0000}"/>
    <cellStyle name="SAPBEXstdData 3 5 3 2" xfId="33394" xr:uid="{00000000-0005-0000-0000-0000DD9D0000}"/>
    <cellStyle name="SAPBEXstdData 3 5 3 2 2" xfId="33395" xr:uid="{00000000-0005-0000-0000-0000DE9D0000}"/>
    <cellStyle name="SAPBEXstdData 3 5 3 3" xfId="33396" xr:uid="{00000000-0005-0000-0000-0000DF9D0000}"/>
    <cellStyle name="SAPBEXstdData 3 5 4" xfId="33397" xr:uid="{00000000-0005-0000-0000-0000E09D0000}"/>
    <cellStyle name="SAPBEXstdData 3 5 4 2" xfId="33398" xr:uid="{00000000-0005-0000-0000-0000E19D0000}"/>
    <cellStyle name="SAPBEXstdData 3 5 5" xfId="33399" xr:uid="{00000000-0005-0000-0000-0000E29D0000}"/>
    <cellStyle name="SAPBEXstdData 3 6" xfId="33400" xr:uid="{00000000-0005-0000-0000-0000E39D0000}"/>
    <cellStyle name="SAPBEXstdData 3 6 2" xfId="33401" xr:uid="{00000000-0005-0000-0000-0000E49D0000}"/>
    <cellStyle name="SAPBEXstdData 3 6 2 2" xfId="33402" xr:uid="{00000000-0005-0000-0000-0000E59D0000}"/>
    <cellStyle name="SAPBEXstdData 3 6 3" xfId="33403" xr:uid="{00000000-0005-0000-0000-0000E69D0000}"/>
    <cellStyle name="SAPBEXstdData 3 7" xfId="33404" xr:uid="{00000000-0005-0000-0000-0000E79D0000}"/>
    <cellStyle name="SAPBEXstdData 3 7 2" xfId="33405" xr:uid="{00000000-0005-0000-0000-0000E89D0000}"/>
    <cellStyle name="SAPBEXstdData 3 7 2 2" xfId="33406" xr:uid="{00000000-0005-0000-0000-0000E99D0000}"/>
    <cellStyle name="SAPBEXstdData 3 7 3" xfId="33407" xr:uid="{00000000-0005-0000-0000-0000EA9D0000}"/>
    <cellStyle name="SAPBEXstdData 3 8" xfId="33408" xr:uid="{00000000-0005-0000-0000-0000EB9D0000}"/>
    <cellStyle name="SAPBEXstdData 4" xfId="33409" xr:uid="{00000000-0005-0000-0000-0000EC9D0000}"/>
    <cellStyle name="SAPBEXstdData 4 2" xfId="33410" xr:uid="{00000000-0005-0000-0000-0000ED9D0000}"/>
    <cellStyle name="SAPBEXstdData 4 2 2" xfId="33411" xr:uid="{00000000-0005-0000-0000-0000EE9D0000}"/>
    <cellStyle name="SAPBEXstdData 4 2 2 2" xfId="33412" xr:uid="{00000000-0005-0000-0000-0000EF9D0000}"/>
    <cellStyle name="SAPBEXstdData 4 2 2 2 2" xfId="33413" xr:uid="{00000000-0005-0000-0000-0000F09D0000}"/>
    <cellStyle name="SAPBEXstdData 4 2 2 2 2 2" xfId="33414" xr:uid="{00000000-0005-0000-0000-0000F19D0000}"/>
    <cellStyle name="SAPBEXstdData 4 2 2 2 3" xfId="33415" xr:uid="{00000000-0005-0000-0000-0000F29D0000}"/>
    <cellStyle name="SAPBEXstdData 4 2 2 3" xfId="33416" xr:uid="{00000000-0005-0000-0000-0000F39D0000}"/>
    <cellStyle name="SAPBEXstdData 4 2 3" xfId="33417" xr:uid="{00000000-0005-0000-0000-0000F49D0000}"/>
    <cellStyle name="SAPBEXstdData 4 2 3 2" xfId="33418" xr:uid="{00000000-0005-0000-0000-0000F59D0000}"/>
    <cellStyle name="SAPBEXstdData 4 2 3 2 2" xfId="33419" xr:uid="{00000000-0005-0000-0000-0000F69D0000}"/>
    <cellStyle name="SAPBEXstdData 4 2 3 3" xfId="33420" xr:uid="{00000000-0005-0000-0000-0000F79D0000}"/>
    <cellStyle name="SAPBEXstdData 4 2 4" xfId="33421" xr:uid="{00000000-0005-0000-0000-0000F89D0000}"/>
    <cellStyle name="SAPBEXstdData 4 2 4 2" xfId="33422" xr:uid="{00000000-0005-0000-0000-0000F99D0000}"/>
    <cellStyle name="SAPBEXstdData 4 2 4 2 2" xfId="33423" xr:uid="{00000000-0005-0000-0000-0000FA9D0000}"/>
    <cellStyle name="SAPBEXstdData 4 2 4 3" xfId="33424" xr:uid="{00000000-0005-0000-0000-0000FB9D0000}"/>
    <cellStyle name="SAPBEXstdData 4 2 5" xfId="33425" xr:uid="{00000000-0005-0000-0000-0000FC9D0000}"/>
    <cellStyle name="SAPBEXstdData 4 3" xfId="33426" xr:uid="{00000000-0005-0000-0000-0000FD9D0000}"/>
    <cellStyle name="SAPBEXstdData 4 3 2" xfId="33427" xr:uid="{00000000-0005-0000-0000-0000FE9D0000}"/>
    <cellStyle name="SAPBEXstdData 4 3 2 2" xfId="33428" xr:uid="{00000000-0005-0000-0000-0000FF9D0000}"/>
    <cellStyle name="SAPBEXstdData 4 3 2 2 2" xfId="33429" xr:uid="{00000000-0005-0000-0000-0000009E0000}"/>
    <cellStyle name="SAPBEXstdData 4 3 2 2 2 2" xfId="33430" xr:uid="{00000000-0005-0000-0000-0000019E0000}"/>
    <cellStyle name="SAPBEXstdData 4 3 2 2 3" xfId="33431" xr:uid="{00000000-0005-0000-0000-0000029E0000}"/>
    <cellStyle name="SAPBEXstdData 4 3 2 3" xfId="33432" xr:uid="{00000000-0005-0000-0000-0000039E0000}"/>
    <cellStyle name="SAPBEXstdData 4 3 3" xfId="33433" xr:uid="{00000000-0005-0000-0000-0000049E0000}"/>
    <cellStyle name="SAPBEXstdData 4 3 3 2" xfId="33434" xr:uid="{00000000-0005-0000-0000-0000059E0000}"/>
    <cellStyle name="SAPBEXstdData 4 3 3 2 2" xfId="33435" xr:uid="{00000000-0005-0000-0000-0000069E0000}"/>
    <cellStyle name="SAPBEXstdData 4 3 3 3" xfId="33436" xr:uid="{00000000-0005-0000-0000-0000079E0000}"/>
    <cellStyle name="SAPBEXstdData 4 3 4" xfId="33437" xr:uid="{00000000-0005-0000-0000-0000089E0000}"/>
    <cellStyle name="SAPBEXstdData 4 3 4 2" xfId="33438" xr:uid="{00000000-0005-0000-0000-0000099E0000}"/>
    <cellStyle name="SAPBEXstdData 4 3 4 2 2" xfId="33439" xr:uid="{00000000-0005-0000-0000-00000A9E0000}"/>
    <cellStyle name="SAPBEXstdData 4 3 4 3" xfId="33440" xr:uid="{00000000-0005-0000-0000-00000B9E0000}"/>
    <cellStyle name="SAPBEXstdData 4 3 5" xfId="33441" xr:uid="{00000000-0005-0000-0000-00000C9E0000}"/>
    <cellStyle name="SAPBEXstdData 4 4" xfId="33442" xr:uid="{00000000-0005-0000-0000-00000D9E0000}"/>
    <cellStyle name="SAPBEXstdData 4 4 2" xfId="33443" xr:uid="{00000000-0005-0000-0000-00000E9E0000}"/>
    <cellStyle name="SAPBEXstdData 4 4 2 2" xfId="33444" xr:uid="{00000000-0005-0000-0000-00000F9E0000}"/>
    <cellStyle name="SAPBEXstdData 4 4 2 2 2" xfId="33445" xr:uid="{00000000-0005-0000-0000-0000109E0000}"/>
    <cellStyle name="SAPBEXstdData 4 4 2 3" xfId="33446" xr:uid="{00000000-0005-0000-0000-0000119E0000}"/>
    <cellStyle name="SAPBEXstdData 4 4 3" xfId="33447" xr:uid="{00000000-0005-0000-0000-0000129E0000}"/>
    <cellStyle name="SAPBEXstdData 4 4 3 2" xfId="33448" xr:uid="{00000000-0005-0000-0000-0000139E0000}"/>
    <cellStyle name="SAPBEXstdData 4 4 3 2 2" xfId="33449" xr:uid="{00000000-0005-0000-0000-0000149E0000}"/>
    <cellStyle name="SAPBEXstdData 4 4 3 3" xfId="33450" xr:uid="{00000000-0005-0000-0000-0000159E0000}"/>
    <cellStyle name="SAPBEXstdData 4 4 4" xfId="33451" xr:uid="{00000000-0005-0000-0000-0000169E0000}"/>
    <cellStyle name="SAPBEXstdData 4 4 4 2" xfId="33452" xr:uid="{00000000-0005-0000-0000-0000179E0000}"/>
    <cellStyle name="SAPBEXstdData 4 4 4 2 2" xfId="33453" xr:uid="{00000000-0005-0000-0000-0000189E0000}"/>
    <cellStyle name="SAPBEXstdData 4 4 4 3" xfId="33454" xr:uid="{00000000-0005-0000-0000-0000199E0000}"/>
    <cellStyle name="SAPBEXstdData 4 4 5" xfId="33455" xr:uid="{00000000-0005-0000-0000-00001A9E0000}"/>
    <cellStyle name="SAPBEXstdData 4 5" xfId="33456" xr:uid="{00000000-0005-0000-0000-00001B9E0000}"/>
    <cellStyle name="SAPBEXstdData 4 5 2" xfId="33457" xr:uid="{00000000-0005-0000-0000-00001C9E0000}"/>
    <cellStyle name="SAPBEXstdData 4 5 2 2" xfId="33458" xr:uid="{00000000-0005-0000-0000-00001D9E0000}"/>
    <cellStyle name="SAPBEXstdData 4 5 2 2 2" xfId="33459" xr:uid="{00000000-0005-0000-0000-00001E9E0000}"/>
    <cellStyle name="SAPBEXstdData 4 5 2 3" xfId="33460" xr:uid="{00000000-0005-0000-0000-00001F9E0000}"/>
    <cellStyle name="SAPBEXstdData 4 5 3" xfId="33461" xr:uid="{00000000-0005-0000-0000-0000209E0000}"/>
    <cellStyle name="SAPBEXstdData 4 5 3 2" xfId="33462" xr:uid="{00000000-0005-0000-0000-0000219E0000}"/>
    <cellStyle name="SAPBEXstdData 4 5 3 2 2" xfId="33463" xr:uid="{00000000-0005-0000-0000-0000229E0000}"/>
    <cellStyle name="SAPBEXstdData 4 5 3 3" xfId="33464" xr:uid="{00000000-0005-0000-0000-0000239E0000}"/>
    <cellStyle name="SAPBEXstdData 4 5 4" xfId="33465" xr:uid="{00000000-0005-0000-0000-0000249E0000}"/>
    <cellStyle name="SAPBEXstdData 4 5 4 2" xfId="33466" xr:uid="{00000000-0005-0000-0000-0000259E0000}"/>
    <cellStyle name="SAPBEXstdData 4 5 5" xfId="33467" xr:uid="{00000000-0005-0000-0000-0000269E0000}"/>
    <cellStyle name="SAPBEXstdData 4 6" xfId="33468" xr:uid="{00000000-0005-0000-0000-0000279E0000}"/>
    <cellStyle name="SAPBEXstdData 4 6 2" xfId="33469" xr:uid="{00000000-0005-0000-0000-0000289E0000}"/>
    <cellStyle name="SAPBEXstdData 4 6 2 2" xfId="33470" xr:uid="{00000000-0005-0000-0000-0000299E0000}"/>
    <cellStyle name="SAPBEXstdData 4 6 3" xfId="33471" xr:uid="{00000000-0005-0000-0000-00002A9E0000}"/>
    <cellStyle name="SAPBEXstdData 4 7" xfId="33472" xr:uid="{00000000-0005-0000-0000-00002B9E0000}"/>
    <cellStyle name="SAPBEXstdData 4 7 2" xfId="33473" xr:uid="{00000000-0005-0000-0000-00002C9E0000}"/>
    <cellStyle name="SAPBEXstdData 4 7 2 2" xfId="33474" xr:uid="{00000000-0005-0000-0000-00002D9E0000}"/>
    <cellStyle name="SAPBEXstdData 4 7 3" xfId="33475" xr:uid="{00000000-0005-0000-0000-00002E9E0000}"/>
    <cellStyle name="SAPBEXstdData 4 8" xfId="33476" xr:uid="{00000000-0005-0000-0000-00002F9E0000}"/>
    <cellStyle name="SAPBEXstdData 5" xfId="33477" xr:uid="{00000000-0005-0000-0000-0000309E0000}"/>
    <cellStyle name="SAPBEXstdData 5 2" xfId="33478" xr:uid="{00000000-0005-0000-0000-0000319E0000}"/>
    <cellStyle name="SAPBEXstdData 5 2 2" xfId="33479" xr:uid="{00000000-0005-0000-0000-0000329E0000}"/>
    <cellStyle name="SAPBEXstdData 5 2 2 2" xfId="33480" xr:uid="{00000000-0005-0000-0000-0000339E0000}"/>
    <cellStyle name="SAPBEXstdData 5 2 2 2 2" xfId="33481" xr:uid="{00000000-0005-0000-0000-0000349E0000}"/>
    <cellStyle name="SAPBEXstdData 5 2 2 2 2 2" xfId="33482" xr:uid="{00000000-0005-0000-0000-0000359E0000}"/>
    <cellStyle name="SAPBEXstdData 5 2 2 2 3" xfId="33483" xr:uid="{00000000-0005-0000-0000-0000369E0000}"/>
    <cellStyle name="SAPBEXstdData 5 2 2 3" xfId="33484" xr:uid="{00000000-0005-0000-0000-0000379E0000}"/>
    <cellStyle name="SAPBEXstdData 5 2 3" xfId="33485" xr:uid="{00000000-0005-0000-0000-0000389E0000}"/>
    <cellStyle name="SAPBEXstdData 5 2 3 2" xfId="33486" xr:uid="{00000000-0005-0000-0000-0000399E0000}"/>
    <cellStyle name="SAPBEXstdData 5 2 3 2 2" xfId="33487" xr:uid="{00000000-0005-0000-0000-00003A9E0000}"/>
    <cellStyle name="SAPBEXstdData 5 2 3 3" xfId="33488" xr:uid="{00000000-0005-0000-0000-00003B9E0000}"/>
    <cellStyle name="SAPBEXstdData 5 2 4" xfId="33489" xr:uid="{00000000-0005-0000-0000-00003C9E0000}"/>
    <cellStyle name="SAPBEXstdData 5 2 4 2" xfId="33490" xr:uid="{00000000-0005-0000-0000-00003D9E0000}"/>
    <cellStyle name="SAPBEXstdData 5 2 4 2 2" xfId="33491" xr:uid="{00000000-0005-0000-0000-00003E9E0000}"/>
    <cellStyle name="SAPBEXstdData 5 2 4 3" xfId="33492" xr:uid="{00000000-0005-0000-0000-00003F9E0000}"/>
    <cellStyle name="SAPBEXstdData 5 2 5" xfId="33493" xr:uid="{00000000-0005-0000-0000-0000409E0000}"/>
    <cellStyle name="SAPBEXstdData 5 3" xfId="33494" xr:uid="{00000000-0005-0000-0000-0000419E0000}"/>
    <cellStyle name="SAPBEXstdData 5 3 2" xfId="33495" xr:uid="{00000000-0005-0000-0000-0000429E0000}"/>
    <cellStyle name="SAPBEXstdData 5 3 2 2" xfId="33496" xr:uid="{00000000-0005-0000-0000-0000439E0000}"/>
    <cellStyle name="SAPBEXstdData 5 3 2 2 2" xfId="33497" xr:uid="{00000000-0005-0000-0000-0000449E0000}"/>
    <cellStyle name="SAPBEXstdData 5 3 2 2 2 2" xfId="33498" xr:uid="{00000000-0005-0000-0000-0000459E0000}"/>
    <cellStyle name="SAPBEXstdData 5 3 2 2 3" xfId="33499" xr:uid="{00000000-0005-0000-0000-0000469E0000}"/>
    <cellStyle name="SAPBEXstdData 5 3 2 3" xfId="33500" xr:uid="{00000000-0005-0000-0000-0000479E0000}"/>
    <cellStyle name="SAPBEXstdData 5 3 3" xfId="33501" xr:uid="{00000000-0005-0000-0000-0000489E0000}"/>
    <cellStyle name="SAPBEXstdData 5 3 3 2" xfId="33502" xr:uid="{00000000-0005-0000-0000-0000499E0000}"/>
    <cellStyle name="SAPBEXstdData 5 3 3 2 2" xfId="33503" xr:uid="{00000000-0005-0000-0000-00004A9E0000}"/>
    <cellStyle name="SAPBEXstdData 5 3 3 3" xfId="33504" xr:uid="{00000000-0005-0000-0000-00004B9E0000}"/>
    <cellStyle name="SAPBEXstdData 5 3 4" xfId="33505" xr:uid="{00000000-0005-0000-0000-00004C9E0000}"/>
    <cellStyle name="SAPBEXstdData 5 3 4 2" xfId="33506" xr:uid="{00000000-0005-0000-0000-00004D9E0000}"/>
    <cellStyle name="SAPBEXstdData 5 3 4 2 2" xfId="33507" xr:uid="{00000000-0005-0000-0000-00004E9E0000}"/>
    <cellStyle name="SAPBEXstdData 5 3 4 3" xfId="33508" xr:uid="{00000000-0005-0000-0000-00004F9E0000}"/>
    <cellStyle name="SAPBEXstdData 5 3 5" xfId="33509" xr:uid="{00000000-0005-0000-0000-0000509E0000}"/>
    <cellStyle name="SAPBEXstdData 5 4" xfId="33510" xr:uid="{00000000-0005-0000-0000-0000519E0000}"/>
    <cellStyle name="SAPBEXstdData 5 4 2" xfId="33511" xr:uid="{00000000-0005-0000-0000-0000529E0000}"/>
    <cellStyle name="SAPBEXstdData 5 4 2 2" xfId="33512" xr:uid="{00000000-0005-0000-0000-0000539E0000}"/>
    <cellStyle name="SAPBEXstdData 5 4 2 2 2" xfId="33513" xr:uid="{00000000-0005-0000-0000-0000549E0000}"/>
    <cellStyle name="SAPBEXstdData 5 4 2 3" xfId="33514" xr:uid="{00000000-0005-0000-0000-0000559E0000}"/>
    <cellStyle name="SAPBEXstdData 5 4 3" xfId="33515" xr:uid="{00000000-0005-0000-0000-0000569E0000}"/>
    <cellStyle name="SAPBEXstdData 5 4 3 2" xfId="33516" xr:uid="{00000000-0005-0000-0000-0000579E0000}"/>
    <cellStyle name="SAPBEXstdData 5 4 3 2 2" xfId="33517" xr:uid="{00000000-0005-0000-0000-0000589E0000}"/>
    <cellStyle name="SAPBEXstdData 5 4 3 3" xfId="33518" xr:uid="{00000000-0005-0000-0000-0000599E0000}"/>
    <cellStyle name="SAPBEXstdData 5 4 4" xfId="33519" xr:uid="{00000000-0005-0000-0000-00005A9E0000}"/>
    <cellStyle name="SAPBEXstdData 5 4 4 2" xfId="33520" xr:uid="{00000000-0005-0000-0000-00005B9E0000}"/>
    <cellStyle name="SAPBEXstdData 5 4 4 2 2" xfId="33521" xr:uid="{00000000-0005-0000-0000-00005C9E0000}"/>
    <cellStyle name="SAPBEXstdData 5 4 4 3" xfId="33522" xr:uid="{00000000-0005-0000-0000-00005D9E0000}"/>
    <cellStyle name="SAPBEXstdData 5 4 5" xfId="33523" xr:uid="{00000000-0005-0000-0000-00005E9E0000}"/>
    <cellStyle name="SAPBEXstdData 5 5" xfId="33524" xr:uid="{00000000-0005-0000-0000-00005F9E0000}"/>
    <cellStyle name="SAPBEXstdData 5 5 2" xfId="33525" xr:uid="{00000000-0005-0000-0000-0000609E0000}"/>
    <cellStyle name="SAPBEXstdData 5 5 2 2" xfId="33526" xr:uid="{00000000-0005-0000-0000-0000619E0000}"/>
    <cellStyle name="SAPBEXstdData 5 5 2 2 2" xfId="33527" xr:uid="{00000000-0005-0000-0000-0000629E0000}"/>
    <cellStyle name="SAPBEXstdData 5 5 2 3" xfId="33528" xr:uid="{00000000-0005-0000-0000-0000639E0000}"/>
    <cellStyle name="SAPBEXstdData 5 5 3" xfId="33529" xr:uid="{00000000-0005-0000-0000-0000649E0000}"/>
    <cellStyle name="SAPBEXstdData 5 5 3 2" xfId="33530" xr:uid="{00000000-0005-0000-0000-0000659E0000}"/>
    <cellStyle name="SAPBEXstdData 5 5 3 2 2" xfId="33531" xr:uid="{00000000-0005-0000-0000-0000669E0000}"/>
    <cellStyle name="SAPBEXstdData 5 5 3 3" xfId="33532" xr:uid="{00000000-0005-0000-0000-0000679E0000}"/>
    <cellStyle name="SAPBEXstdData 5 5 4" xfId="33533" xr:uid="{00000000-0005-0000-0000-0000689E0000}"/>
    <cellStyle name="SAPBEXstdData 5 5 4 2" xfId="33534" xr:uid="{00000000-0005-0000-0000-0000699E0000}"/>
    <cellStyle name="SAPBEXstdData 5 5 5" xfId="33535" xr:uid="{00000000-0005-0000-0000-00006A9E0000}"/>
    <cellStyle name="SAPBEXstdData 5 6" xfId="33536" xr:uid="{00000000-0005-0000-0000-00006B9E0000}"/>
    <cellStyle name="SAPBEXstdData 5 6 2" xfId="33537" xr:uid="{00000000-0005-0000-0000-00006C9E0000}"/>
    <cellStyle name="SAPBEXstdData 5 6 2 2" xfId="33538" xr:uid="{00000000-0005-0000-0000-00006D9E0000}"/>
    <cellStyle name="SAPBEXstdData 5 6 3" xfId="33539" xr:uid="{00000000-0005-0000-0000-00006E9E0000}"/>
    <cellStyle name="SAPBEXstdData 5 7" xfId="33540" xr:uid="{00000000-0005-0000-0000-00006F9E0000}"/>
    <cellStyle name="SAPBEXstdData 5 7 2" xfId="33541" xr:uid="{00000000-0005-0000-0000-0000709E0000}"/>
    <cellStyle name="SAPBEXstdData 5 7 2 2" xfId="33542" xr:uid="{00000000-0005-0000-0000-0000719E0000}"/>
    <cellStyle name="SAPBEXstdData 5 7 3" xfId="33543" xr:uid="{00000000-0005-0000-0000-0000729E0000}"/>
    <cellStyle name="SAPBEXstdData 5 8" xfId="33544" xr:uid="{00000000-0005-0000-0000-0000739E0000}"/>
    <cellStyle name="SAPBEXstdData 6" xfId="33545" xr:uid="{00000000-0005-0000-0000-0000749E0000}"/>
    <cellStyle name="SAPBEXstdData 6 2" xfId="33546" xr:uid="{00000000-0005-0000-0000-0000759E0000}"/>
    <cellStyle name="SAPBEXstdData 6 2 2" xfId="33547" xr:uid="{00000000-0005-0000-0000-0000769E0000}"/>
    <cellStyle name="SAPBEXstdData 6 2 2 2" xfId="33548" xr:uid="{00000000-0005-0000-0000-0000779E0000}"/>
    <cellStyle name="SAPBEXstdData 6 2 2 2 2" xfId="33549" xr:uid="{00000000-0005-0000-0000-0000789E0000}"/>
    <cellStyle name="SAPBEXstdData 6 2 2 2 2 2" xfId="33550" xr:uid="{00000000-0005-0000-0000-0000799E0000}"/>
    <cellStyle name="SAPBEXstdData 6 2 2 2 3" xfId="33551" xr:uid="{00000000-0005-0000-0000-00007A9E0000}"/>
    <cellStyle name="SAPBEXstdData 6 2 2 3" xfId="33552" xr:uid="{00000000-0005-0000-0000-00007B9E0000}"/>
    <cellStyle name="SAPBEXstdData 6 2 3" xfId="33553" xr:uid="{00000000-0005-0000-0000-00007C9E0000}"/>
    <cellStyle name="SAPBEXstdData 6 2 3 2" xfId="33554" xr:uid="{00000000-0005-0000-0000-00007D9E0000}"/>
    <cellStyle name="SAPBEXstdData 6 2 3 2 2" xfId="33555" xr:uid="{00000000-0005-0000-0000-00007E9E0000}"/>
    <cellStyle name="SAPBEXstdData 6 2 3 3" xfId="33556" xr:uid="{00000000-0005-0000-0000-00007F9E0000}"/>
    <cellStyle name="SAPBEXstdData 6 2 4" xfId="33557" xr:uid="{00000000-0005-0000-0000-0000809E0000}"/>
    <cellStyle name="SAPBEXstdData 6 2 4 2" xfId="33558" xr:uid="{00000000-0005-0000-0000-0000819E0000}"/>
    <cellStyle name="SAPBEXstdData 6 2 4 2 2" xfId="33559" xr:uid="{00000000-0005-0000-0000-0000829E0000}"/>
    <cellStyle name="SAPBEXstdData 6 2 4 3" xfId="33560" xr:uid="{00000000-0005-0000-0000-0000839E0000}"/>
    <cellStyle name="SAPBEXstdData 6 2 5" xfId="33561" xr:uid="{00000000-0005-0000-0000-0000849E0000}"/>
    <cellStyle name="SAPBEXstdData 6 3" xfId="33562" xr:uid="{00000000-0005-0000-0000-0000859E0000}"/>
    <cellStyle name="SAPBEXstdData 6 3 2" xfId="33563" xr:uid="{00000000-0005-0000-0000-0000869E0000}"/>
    <cellStyle name="SAPBEXstdData 6 3 2 2" xfId="33564" xr:uid="{00000000-0005-0000-0000-0000879E0000}"/>
    <cellStyle name="SAPBEXstdData 6 3 2 2 2" xfId="33565" xr:uid="{00000000-0005-0000-0000-0000889E0000}"/>
    <cellStyle name="SAPBEXstdData 6 3 2 2 2 2" xfId="33566" xr:uid="{00000000-0005-0000-0000-0000899E0000}"/>
    <cellStyle name="SAPBEXstdData 6 3 2 2 3" xfId="33567" xr:uid="{00000000-0005-0000-0000-00008A9E0000}"/>
    <cellStyle name="SAPBEXstdData 6 3 2 3" xfId="33568" xr:uid="{00000000-0005-0000-0000-00008B9E0000}"/>
    <cellStyle name="SAPBEXstdData 6 3 3" xfId="33569" xr:uid="{00000000-0005-0000-0000-00008C9E0000}"/>
    <cellStyle name="SAPBEXstdData 6 3 3 2" xfId="33570" xr:uid="{00000000-0005-0000-0000-00008D9E0000}"/>
    <cellStyle name="SAPBEXstdData 6 3 3 2 2" xfId="33571" xr:uid="{00000000-0005-0000-0000-00008E9E0000}"/>
    <cellStyle name="SAPBEXstdData 6 3 3 3" xfId="33572" xr:uid="{00000000-0005-0000-0000-00008F9E0000}"/>
    <cellStyle name="SAPBEXstdData 6 3 4" xfId="33573" xr:uid="{00000000-0005-0000-0000-0000909E0000}"/>
    <cellStyle name="SAPBEXstdData 6 3 4 2" xfId="33574" xr:uid="{00000000-0005-0000-0000-0000919E0000}"/>
    <cellStyle name="SAPBEXstdData 6 3 4 2 2" xfId="33575" xr:uid="{00000000-0005-0000-0000-0000929E0000}"/>
    <cellStyle name="SAPBEXstdData 6 3 4 3" xfId="33576" xr:uid="{00000000-0005-0000-0000-0000939E0000}"/>
    <cellStyle name="SAPBEXstdData 6 3 5" xfId="33577" xr:uid="{00000000-0005-0000-0000-0000949E0000}"/>
    <cellStyle name="SAPBEXstdData 6 4" xfId="33578" xr:uid="{00000000-0005-0000-0000-0000959E0000}"/>
    <cellStyle name="SAPBEXstdData 6 4 2" xfId="33579" xr:uid="{00000000-0005-0000-0000-0000969E0000}"/>
    <cellStyle name="SAPBEXstdData 6 4 2 2" xfId="33580" xr:uid="{00000000-0005-0000-0000-0000979E0000}"/>
    <cellStyle name="SAPBEXstdData 6 4 2 2 2" xfId="33581" xr:uid="{00000000-0005-0000-0000-0000989E0000}"/>
    <cellStyle name="SAPBEXstdData 6 4 2 3" xfId="33582" xr:uid="{00000000-0005-0000-0000-0000999E0000}"/>
    <cellStyle name="SAPBEXstdData 6 4 3" xfId="33583" xr:uid="{00000000-0005-0000-0000-00009A9E0000}"/>
    <cellStyle name="SAPBEXstdData 6 4 3 2" xfId="33584" xr:uid="{00000000-0005-0000-0000-00009B9E0000}"/>
    <cellStyle name="SAPBEXstdData 6 4 3 2 2" xfId="33585" xr:uid="{00000000-0005-0000-0000-00009C9E0000}"/>
    <cellStyle name="SAPBEXstdData 6 4 3 3" xfId="33586" xr:uid="{00000000-0005-0000-0000-00009D9E0000}"/>
    <cellStyle name="SAPBEXstdData 6 4 4" xfId="33587" xr:uid="{00000000-0005-0000-0000-00009E9E0000}"/>
    <cellStyle name="SAPBEXstdData 6 4 4 2" xfId="33588" xr:uid="{00000000-0005-0000-0000-00009F9E0000}"/>
    <cellStyle name="SAPBEXstdData 6 4 4 2 2" xfId="33589" xr:uid="{00000000-0005-0000-0000-0000A09E0000}"/>
    <cellStyle name="SAPBEXstdData 6 4 4 3" xfId="33590" xr:uid="{00000000-0005-0000-0000-0000A19E0000}"/>
    <cellStyle name="SAPBEXstdData 6 4 5" xfId="33591" xr:uid="{00000000-0005-0000-0000-0000A29E0000}"/>
    <cellStyle name="SAPBEXstdData 6 5" xfId="33592" xr:uid="{00000000-0005-0000-0000-0000A39E0000}"/>
    <cellStyle name="SAPBEXstdData 6 5 2" xfId="33593" xr:uid="{00000000-0005-0000-0000-0000A49E0000}"/>
    <cellStyle name="SAPBEXstdData 6 5 2 2" xfId="33594" xr:uid="{00000000-0005-0000-0000-0000A59E0000}"/>
    <cellStyle name="SAPBEXstdData 6 5 2 2 2" xfId="33595" xr:uid="{00000000-0005-0000-0000-0000A69E0000}"/>
    <cellStyle name="SAPBEXstdData 6 5 2 3" xfId="33596" xr:uid="{00000000-0005-0000-0000-0000A79E0000}"/>
    <cellStyle name="SAPBEXstdData 6 5 3" xfId="33597" xr:uid="{00000000-0005-0000-0000-0000A89E0000}"/>
    <cellStyle name="SAPBEXstdData 6 5 3 2" xfId="33598" xr:uid="{00000000-0005-0000-0000-0000A99E0000}"/>
    <cellStyle name="SAPBEXstdData 6 5 3 2 2" xfId="33599" xr:uid="{00000000-0005-0000-0000-0000AA9E0000}"/>
    <cellStyle name="SAPBEXstdData 6 5 3 3" xfId="33600" xr:uid="{00000000-0005-0000-0000-0000AB9E0000}"/>
    <cellStyle name="SAPBEXstdData 6 5 4" xfId="33601" xr:uid="{00000000-0005-0000-0000-0000AC9E0000}"/>
    <cellStyle name="SAPBEXstdData 6 5 4 2" xfId="33602" xr:uid="{00000000-0005-0000-0000-0000AD9E0000}"/>
    <cellStyle name="SAPBEXstdData 6 5 5" xfId="33603" xr:uid="{00000000-0005-0000-0000-0000AE9E0000}"/>
    <cellStyle name="SAPBEXstdData 6 6" xfId="33604" xr:uid="{00000000-0005-0000-0000-0000AF9E0000}"/>
    <cellStyle name="SAPBEXstdData 6 6 2" xfId="33605" xr:uid="{00000000-0005-0000-0000-0000B09E0000}"/>
    <cellStyle name="SAPBEXstdData 6 6 2 2" xfId="33606" xr:uid="{00000000-0005-0000-0000-0000B19E0000}"/>
    <cellStyle name="SAPBEXstdData 6 6 3" xfId="33607" xr:uid="{00000000-0005-0000-0000-0000B29E0000}"/>
    <cellStyle name="SAPBEXstdData 6 7" xfId="33608" xr:uid="{00000000-0005-0000-0000-0000B39E0000}"/>
    <cellStyle name="SAPBEXstdData 6 7 2" xfId="33609" xr:uid="{00000000-0005-0000-0000-0000B49E0000}"/>
    <cellStyle name="SAPBEXstdData 6 7 2 2" xfId="33610" xr:uid="{00000000-0005-0000-0000-0000B59E0000}"/>
    <cellStyle name="SAPBEXstdData 6 7 3" xfId="33611" xr:uid="{00000000-0005-0000-0000-0000B69E0000}"/>
    <cellStyle name="SAPBEXstdData 6 8" xfId="33612" xr:uid="{00000000-0005-0000-0000-0000B79E0000}"/>
    <cellStyle name="SAPBEXstdData 7" xfId="33613" xr:uid="{00000000-0005-0000-0000-0000B89E0000}"/>
    <cellStyle name="SAPBEXstdData 7 2" xfId="33614" xr:uid="{00000000-0005-0000-0000-0000B99E0000}"/>
    <cellStyle name="SAPBEXstdData 7 2 2" xfId="33615" xr:uid="{00000000-0005-0000-0000-0000BA9E0000}"/>
    <cellStyle name="SAPBEXstdData 7 2 2 2" xfId="33616" xr:uid="{00000000-0005-0000-0000-0000BB9E0000}"/>
    <cellStyle name="SAPBEXstdData 7 2 2 2 2" xfId="33617" xr:uid="{00000000-0005-0000-0000-0000BC9E0000}"/>
    <cellStyle name="SAPBEXstdData 7 2 2 2 2 2" xfId="33618" xr:uid="{00000000-0005-0000-0000-0000BD9E0000}"/>
    <cellStyle name="SAPBEXstdData 7 2 2 2 3" xfId="33619" xr:uid="{00000000-0005-0000-0000-0000BE9E0000}"/>
    <cellStyle name="SAPBEXstdData 7 2 2 3" xfId="33620" xr:uid="{00000000-0005-0000-0000-0000BF9E0000}"/>
    <cellStyle name="SAPBEXstdData 7 2 3" xfId="33621" xr:uid="{00000000-0005-0000-0000-0000C09E0000}"/>
    <cellStyle name="SAPBEXstdData 7 2 3 2" xfId="33622" xr:uid="{00000000-0005-0000-0000-0000C19E0000}"/>
    <cellStyle name="SAPBEXstdData 7 2 3 2 2" xfId="33623" xr:uid="{00000000-0005-0000-0000-0000C29E0000}"/>
    <cellStyle name="SAPBEXstdData 7 2 3 3" xfId="33624" xr:uid="{00000000-0005-0000-0000-0000C39E0000}"/>
    <cellStyle name="SAPBEXstdData 7 2 4" xfId="33625" xr:uid="{00000000-0005-0000-0000-0000C49E0000}"/>
    <cellStyle name="SAPBEXstdData 7 2 4 2" xfId="33626" xr:uid="{00000000-0005-0000-0000-0000C59E0000}"/>
    <cellStyle name="SAPBEXstdData 7 2 4 2 2" xfId="33627" xr:uid="{00000000-0005-0000-0000-0000C69E0000}"/>
    <cellStyle name="SAPBEXstdData 7 2 4 3" xfId="33628" xr:uid="{00000000-0005-0000-0000-0000C79E0000}"/>
    <cellStyle name="SAPBEXstdData 7 2 5" xfId="33629" xr:uid="{00000000-0005-0000-0000-0000C89E0000}"/>
    <cellStyle name="SAPBEXstdData 7 3" xfId="33630" xr:uid="{00000000-0005-0000-0000-0000C99E0000}"/>
    <cellStyle name="SAPBEXstdData 7 3 2" xfId="33631" xr:uid="{00000000-0005-0000-0000-0000CA9E0000}"/>
    <cellStyle name="SAPBEXstdData 7 3 2 2" xfId="33632" xr:uid="{00000000-0005-0000-0000-0000CB9E0000}"/>
    <cellStyle name="SAPBEXstdData 7 3 2 2 2" xfId="33633" xr:uid="{00000000-0005-0000-0000-0000CC9E0000}"/>
    <cellStyle name="SAPBEXstdData 7 3 2 2 2 2" xfId="33634" xr:uid="{00000000-0005-0000-0000-0000CD9E0000}"/>
    <cellStyle name="SAPBEXstdData 7 3 2 2 3" xfId="33635" xr:uid="{00000000-0005-0000-0000-0000CE9E0000}"/>
    <cellStyle name="SAPBEXstdData 7 3 2 3" xfId="33636" xr:uid="{00000000-0005-0000-0000-0000CF9E0000}"/>
    <cellStyle name="SAPBEXstdData 7 3 3" xfId="33637" xr:uid="{00000000-0005-0000-0000-0000D09E0000}"/>
    <cellStyle name="SAPBEXstdData 7 3 3 2" xfId="33638" xr:uid="{00000000-0005-0000-0000-0000D19E0000}"/>
    <cellStyle name="SAPBEXstdData 7 3 3 2 2" xfId="33639" xr:uid="{00000000-0005-0000-0000-0000D29E0000}"/>
    <cellStyle name="SAPBEXstdData 7 3 3 3" xfId="33640" xr:uid="{00000000-0005-0000-0000-0000D39E0000}"/>
    <cellStyle name="SAPBEXstdData 7 3 4" xfId="33641" xr:uid="{00000000-0005-0000-0000-0000D49E0000}"/>
    <cellStyle name="SAPBEXstdData 7 3 4 2" xfId="33642" xr:uid="{00000000-0005-0000-0000-0000D59E0000}"/>
    <cellStyle name="SAPBEXstdData 7 3 4 2 2" xfId="33643" xr:uid="{00000000-0005-0000-0000-0000D69E0000}"/>
    <cellStyle name="SAPBEXstdData 7 3 4 3" xfId="33644" xr:uid="{00000000-0005-0000-0000-0000D79E0000}"/>
    <cellStyle name="SAPBEXstdData 7 3 5" xfId="33645" xr:uid="{00000000-0005-0000-0000-0000D89E0000}"/>
    <cellStyle name="SAPBEXstdData 7 4" xfId="33646" xr:uid="{00000000-0005-0000-0000-0000D99E0000}"/>
    <cellStyle name="SAPBEXstdData 7 4 2" xfId="33647" xr:uid="{00000000-0005-0000-0000-0000DA9E0000}"/>
    <cellStyle name="SAPBEXstdData 7 4 2 2" xfId="33648" xr:uid="{00000000-0005-0000-0000-0000DB9E0000}"/>
    <cellStyle name="SAPBEXstdData 7 4 2 2 2" xfId="33649" xr:uid="{00000000-0005-0000-0000-0000DC9E0000}"/>
    <cellStyle name="SAPBEXstdData 7 4 2 3" xfId="33650" xr:uid="{00000000-0005-0000-0000-0000DD9E0000}"/>
    <cellStyle name="SAPBEXstdData 7 4 3" xfId="33651" xr:uid="{00000000-0005-0000-0000-0000DE9E0000}"/>
    <cellStyle name="SAPBEXstdData 7 4 3 2" xfId="33652" xr:uid="{00000000-0005-0000-0000-0000DF9E0000}"/>
    <cellStyle name="SAPBEXstdData 7 4 3 2 2" xfId="33653" xr:uid="{00000000-0005-0000-0000-0000E09E0000}"/>
    <cellStyle name="SAPBEXstdData 7 4 3 3" xfId="33654" xr:uid="{00000000-0005-0000-0000-0000E19E0000}"/>
    <cellStyle name="SAPBEXstdData 7 4 4" xfId="33655" xr:uid="{00000000-0005-0000-0000-0000E29E0000}"/>
    <cellStyle name="SAPBEXstdData 7 4 4 2" xfId="33656" xr:uid="{00000000-0005-0000-0000-0000E39E0000}"/>
    <cellStyle name="SAPBEXstdData 7 4 4 2 2" xfId="33657" xr:uid="{00000000-0005-0000-0000-0000E49E0000}"/>
    <cellStyle name="SAPBEXstdData 7 4 4 3" xfId="33658" xr:uid="{00000000-0005-0000-0000-0000E59E0000}"/>
    <cellStyle name="SAPBEXstdData 7 4 5" xfId="33659" xr:uid="{00000000-0005-0000-0000-0000E69E0000}"/>
    <cellStyle name="SAPBEXstdData 7 5" xfId="33660" xr:uid="{00000000-0005-0000-0000-0000E79E0000}"/>
    <cellStyle name="SAPBEXstdData 7 5 2" xfId="33661" xr:uid="{00000000-0005-0000-0000-0000E89E0000}"/>
    <cellStyle name="SAPBEXstdData 7 5 2 2" xfId="33662" xr:uid="{00000000-0005-0000-0000-0000E99E0000}"/>
    <cellStyle name="SAPBEXstdData 7 5 2 2 2" xfId="33663" xr:uid="{00000000-0005-0000-0000-0000EA9E0000}"/>
    <cellStyle name="SAPBEXstdData 7 5 2 3" xfId="33664" xr:uid="{00000000-0005-0000-0000-0000EB9E0000}"/>
    <cellStyle name="SAPBEXstdData 7 5 3" xfId="33665" xr:uid="{00000000-0005-0000-0000-0000EC9E0000}"/>
    <cellStyle name="SAPBEXstdData 7 5 3 2" xfId="33666" xr:uid="{00000000-0005-0000-0000-0000ED9E0000}"/>
    <cellStyle name="SAPBEXstdData 7 5 3 2 2" xfId="33667" xr:uid="{00000000-0005-0000-0000-0000EE9E0000}"/>
    <cellStyle name="SAPBEXstdData 7 5 3 3" xfId="33668" xr:uid="{00000000-0005-0000-0000-0000EF9E0000}"/>
    <cellStyle name="SAPBEXstdData 7 5 4" xfId="33669" xr:uid="{00000000-0005-0000-0000-0000F09E0000}"/>
    <cellStyle name="SAPBEXstdData 7 5 4 2" xfId="33670" xr:uid="{00000000-0005-0000-0000-0000F19E0000}"/>
    <cellStyle name="SAPBEXstdData 7 5 5" xfId="33671" xr:uid="{00000000-0005-0000-0000-0000F29E0000}"/>
    <cellStyle name="SAPBEXstdData 7 6" xfId="33672" xr:uid="{00000000-0005-0000-0000-0000F39E0000}"/>
    <cellStyle name="SAPBEXstdData 7 6 2" xfId="33673" xr:uid="{00000000-0005-0000-0000-0000F49E0000}"/>
    <cellStyle name="SAPBEXstdData 7 6 2 2" xfId="33674" xr:uid="{00000000-0005-0000-0000-0000F59E0000}"/>
    <cellStyle name="SAPBEXstdData 7 6 3" xfId="33675" xr:uid="{00000000-0005-0000-0000-0000F69E0000}"/>
    <cellStyle name="SAPBEXstdData 7 7" xfId="33676" xr:uid="{00000000-0005-0000-0000-0000F79E0000}"/>
    <cellStyle name="SAPBEXstdData 7 7 2" xfId="33677" xr:uid="{00000000-0005-0000-0000-0000F89E0000}"/>
    <cellStyle name="SAPBEXstdData 7 7 2 2" xfId="33678" xr:uid="{00000000-0005-0000-0000-0000F99E0000}"/>
    <cellStyle name="SAPBEXstdData 7 7 3" xfId="33679" xr:uid="{00000000-0005-0000-0000-0000FA9E0000}"/>
    <cellStyle name="SAPBEXstdData 7 8" xfId="33680" xr:uid="{00000000-0005-0000-0000-0000FB9E0000}"/>
    <cellStyle name="SAPBEXstdData 8" xfId="33681" xr:uid="{00000000-0005-0000-0000-0000FC9E0000}"/>
    <cellStyle name="SAPBEXstdData 8 2" xfId="33682" xr:uid="{00000000-0005-0000-0000-0000FD9E0000}"/>
    <cellStyle name="SAPBEXstdData 8 2 2" xfId="33683" xr:uid="{00000000-0005-0000-0000-0000FE9E0000}"/>
    <cellStyle name="SAPBEXstdData 8 2 2 2" xfId="33684" xr:uid="{00000000-0005-0000-0000-0000FF9E0000}"/>
    <cellStyle name="SAPBEXstdData 8 2 2 2 2" xfId="33685" xr:uid="{00000000-0005-0000-0000-0000009F0000}"/>
    <cellStyle name="SAPBEXstdData 8 2 2 2 2 2" xfId="33686" xr:uid="{00000000-0005-0000-0000-0000019F0000}"/>
    <cellStyle name="SAPBEXstdData 8 2 2 2 3" xfId="33687" xr:uid="{00000000-0005-0000-0000-0000029F0000}"/>
    <cellStyle name="SAPBEXstdData 8 2 2 3" xfId="33688" xr:uid="{00000000-0005-0000-0000-0000039F0000}"/>
    <cellStyle name="SAPBEXstdData 8 2 3" xfId="33689" xr:uid="{00000000-0005-0000-0000-0000049F0000}"/>
    <cellStyle name="SAPBEXstdData 8 2 3 2" xfId="33690" xr:uid="{00000000-0005-0000-0000-0000059F0000}"/>
    <cellStyle name="SAPBEXstdData 8 2 3 2 2" xfId="33691" xr:uid="{00000000-0005-0000-0000-0000069F0000}"/>
    <cellStyle name="SAPBEXstdData 8 2 3 3" xfId="33692" xr:uid="{00000000-0005-0000-0000-0000079F0000}"/>
    <cellStyle name="SAPBEXstdData 8 2 4" xfId="33693" xr:uid="{00000000-0005-0000-0000-0000089F0000}"/>
    <cellStyle name="SAPBEXstdData 8 2 4 2" xfId="33694" xr:uid="{00000000-0005-0000-0000-0000099F0000}"/>
    <cellStyle name="SAPBEXstdData 8 2 4 2 2" xfId="33695" xr:uid="{00000000-0005-0000-0000-00000A9F0000}"/>
    <cellStyle name="SAPBEXstdData 8 2 4 3" xfId="33696" xr:uid="{00000000-0005-0000-0000-00000B9F0000}"/>
    <cellStyle name="SAPBEXstdData 8 2 5" xfId="33697" xr:uid="{00000000-0005-0000-0000-00000C9F0000}"/>
    <cellStyle name="SAPBEXstdData 8 3" xfId="33698" xr:uid="{00000000-0005-0000-0000-00000D9F0000}"/>
    <cellStyle name="SAPBEXstdData 8 3 2" xfId="33699" xr:uid="{00000000-0005-0000-0000-00000E9F0000}"/>
    <cellStyle name="SAPBEXstdData 8 3 2 2" xfId="33700" xr:uid="{00000000-0005-0000-0000-00000F9F0000}"/>
    <cellStyle name="SAPBEXstdData 8 3 2 2 2" xfId="33701" xr:uid="{00000000-0005-0000-0000-0000109F0000}"/>
    <cellStyle name="SAPBEXstdData 8 3 2 2 2 2" xfId="33702" xr:uid="{00000000-0005-0000-0000-0000119F0000}"/>
    <cellStyle name="SAPBEXstdData 8 3 2 2 3" xfId="33703" xr:uid="{00000000-0005-0000-0000-0000129F0000}"/>
    <cellStyle name="SAPBEXstdData 8 3 2 3" xfId="33704" xr:uid="{00000000-0005-0000-0000-0000139F0000}"/>
    <cellStyle name="SAPBEXstdData 8 3 3" xfId="33705" xr:uid="{00000000-0005-0000-0000-0000149F0000}"/>
    <cellStyle name="SAPBEXstdData 8 3 3 2" xfId="33706" xr:uid="{00000000-0005-0000-0000-0000159F0000}"/>
    <cellStyle name="SAPBEXstdData 8 3 3 2 2" xfId="33707" xr:uid="{00000000-0005-0000-0000-0000169F0000}"/>
    <cellStyle name="SAPBEXstdData 8 3 3 3" xfId="33708" xr:uid="{00000000-0005-0000-0000-0000179F0000}"/>
    <cellStyle name="SAPBEXstdData 8 3 4" xfId="33709" xr:uid="{00000000-0005-0000-0000-0000189F0000}"/>
    <cellStyle name="SAPBEXstdData 8 3 4 2" xfId="33710" xr:uid="{00000000-0005-0000-0000-0000199F0000}"/>
    <cellStyle name="SAPBEXstdData 8 3 4 2 2" xfId="33711" xr:uid="{00000000-0005-0000-0000-00001A9F0000}"/>
    <cellStyle name="SAPBEXstdData 8 3 4 3" xfId="33712" xr:uid="{00000000-0005-0000-0000-00001B9F0000}"/>
    <cellStyle name="SAPBEXstdData 8 3 5" xfId="33713" xr:uid="{00000000-0005-0000-0000-00001C9F0000}"/>
    <cellStyle name="SAPBEXstdData 8 4" xfId="33714" xr:uid="{00000000-0005-0000-0000-00001D9F0000}"/>
    <cellStyle name="SAPBEXstdData 8 4 2" xfId="33715" xr:uid="{00000000-0005-0000-0000-00001E9F0000}"/>
    <cellStyle name="SAPBEXstdData 8 4 2 2" xfId="33716" xr:uid="{00000000-0005-0000-0000-00001F9F0000}"/>
    <cellStyle name="SAPBEXstdData 8 4 2 2 2" xfId="33717" xr:uid="{00000000-0005-0000-0000-0000209F0000}"/>
    <cellStyle name="SAPBEXstdData 8 4 2 3" xfId="33718" xr:uid="{00000000-0005-0000-0000-0000219F0000}"/>
    <cellStyle name="SAPBEXstdData 8 4 3" xfId="33719" xr:uid="{00000000-0005-0000-0000-0000229F0000}"/>
    <cellStyle name="SAPBEXstdData 8 4 3 2" xfId="33720" xr:uid="{00000000-0005-0000-0000-0000239F0000}"/>
    <cellStyle name="SAPBEXstdData 8 4 3 2 2" xfId="33721" xr:uid="{00000000-0005-0000-0000-0000249F0000}"/>
    <cellStyle name="SAPBEXstdData 8 4 3 3" xfId="33722" xr:uid="{00000000-0005-0000-0000-0000259F0000}"/>
    <cellStyle name="SAPBEXstdData 8 4 4" xfId="33723" xr:uid="{00000000-0005-0000-0000-0000269F0000}"/>
    <cellStyle name="SAPBEXstdData 8 4 4 2" xfId="33724" xr:uid="{00000000-0005-0000-0000-0000279F0000}"/>
    <cellStyle name="SAPBEXstdData 8 4 4 2 2" xfId="33725" xr:uid="{00000000-0005-0000-0000-0000289F0000}"/>
    <cellStyle name="SAPBEXstdData 8 4 4 3" xfId="33726" xr:uid="{00000000-0005-0000-0000-0000299F0000}"/>
    <cellStyle name="SAPBEXstdData 8 4 5" xfId="33727" xr:uid="{00000000-0005-0000-0000-00002A9F0000}"/>
    <cellStyle name="SAPBEXstdData 8 5" xfId="33728" xr:uid="{00000000-0005-0000-0000-00002B9F0000}"/>
    <cellStyle name="SAPBEXstdData 8 5 2" xfId="33729" xr:uid="{00000000-0005-0000-0000-00002C9F0000}"/>
    <cellStyle name="SAPBEXstdData 8 5 2 2" xfId="33730" xr:uid="{00000000-0005-0000-0000-00002D9F0000}"/>
    <cellStyle name="SAPBEXstdData 8 5 2 2 2" xfId="33731" xr:uid="{00000000-0005-0000-0000-00002E9F0000}"/>
    <cellStyle name="SAPBEXstdData 8 5 2 3" xfId="33732" xr:uid="{00000000-0005-0000-0000-00002F9F0000}"/>
    <cellStyle name="SAPBEXstdData 8 5 3" xfId="33733" xr:uid="{00000000-0005-0000-0000-0000309F0000}"/>
    <cellStyle name="SAPBEXstdData 8 5 3 2" xfId="33734" xr:uid="{00000000-0005-0000-0000-0000319F0000}"/>
    <cellStyle name="SAPBEXstdData 8 5 3 2 2" xfId="33735" xr:uid="{00000000-0005-0000-0000-0000329F0000}"/>
    <cellStyle name="SAPBEXstdData 8 5 3 3" xfId="33736" xr:uid="{00000000-0005-0000-0000-0000339F0000}"/>
    <cellStyle name="SAPBEXstdData 8 5 4" xfId="33737" xr:uid="{00000000-0005-0000-0000-0000349F0000}"/>
    <cellStyle name="SAPBEXstdData 8 5 4 2" xfId="33738" xr:uid="{00000000-0005-0000-0000-0000359F0000}"/>
    <cellStyle name="SAPBEXstdData 8 5 5" xfId="33739" xr:uid="{00000000-0005-0000-0000-0000369F0000}"/>
    <cellStyle name="SAPBEXstdData 8 6" xfId="33740" xr:uid="{00000000-0005-0000-0000-0000379F0000}"/>
    <cellStyle name="SAPBEXstdData 8 6 2" xfId="33741" xr:uid="{00000000-0005-0000-0000-0000389F0000}"/>
    <cellStyle name="SAPBEXstdData 8 6 2 2" xfId="33742" xr:uid="{00000000-0005-0000-0000-0000399F0000}"/>
    <cellStyle name="SAPBEXstdData 8 6 3" xfId="33743" xr:uid="{00000000-0005-0000-0000-00003A9F0000}"/>
    <cellStyle name="SAPBEXstdData 8 7" xfId="33744" xr:uid="{00000000-0005-0000-0000-00003B9F0000}"/>
    <cellStyle name="SAPBEXstdData 8 7 2" xfId="33745" xr:uid="{00000000-0005-0000-0000-00003C9F0000}"/>
    <cellStyle name="SAPBEXstdData 8 7 2 2" xfId="33746" xr:uid="{00000000-0005-0000-0000-00003D9F0000}"/>
    <cellStyle name="SAPBEXstdData 8 7 3" xfId="33747" xr:uid="{00000000-0005-0000-0000-00003E9F0000}"/>
    <cellStyle name="SAPBEXstdData 8 8" xfId="33748" xr:uid="{00000000-0005-0000-0000-00003F9F0000}"/>
    <cellStyle name="SAPBEXstdData 9" xfId="33749" xr:uid="{00000000-0005-0000-0000-0000409F0000}"/>
    <cellStyle name="SAPBEXstdData 9 2" xfId="33750" xr:uid="{00000000-0005-0000-0000-0000419F0000}"/>
    <cellStyle name="SAPBEXstdData 9 2 2" xfId="33751" xr:uid="{00000000-0005-0000-0000-0000429F0000}"/>
    <cellStyle name="SAPBEXstdData 9 2 2 2" xfId="33752" xr:uid="{00000000-0005-0000-0000-0000439F0000}"/>
    <cellStyle name="SAPBEXstdData 9 2 2 2 2" xfId="33753" xr:uid="{00000000-0005-0000-0000-0000449F0000}"/>
    <cellStyle name="SAPBEXstdData 9 2 2 3" xfId="33754" xr:uid="{00000000-0005-0000-0000-0000459F0000}"/>
    <cellStyle name="SAPBEXstdData 9 2 3" xfId="33755" xr:uid="{00000000-0005-0000-0000-0000469F0000}"/>
    <cellStyle name="SAPBEXstdData 9 3" xfId="33756" xr:uid="{00000000-0005-0000-0000-0000479F0000}"/>
    <cellStyle name="SAPBEXstdData 9 3 2" xfId="33757" xr:uid="{00000000-0005-0000-0000-0000489F0000}"/>
    <cellStyle name="SAPBEXstdData 9 3 2 2" xfId="33758" xr:uid="{00000000-0005-0000-0000-0000499F0000}"/>
    <cellStyle name="SAPBEXstdData 9 3 3" xfId="33759" xr:uid="{00000000-0005-0000-0000-00004A9F0000}"/>
    <cellStyle name="SAPBEXstdData 9 4" xfId="33760" xr:uid="{00000000-0005-0000-0000-00004B9F0000}"/>
    <cellStyle name="SAPBEXstdData 9 4 2" xfId="33761" xr:uid="{00000000-0005-0000-0000-00004C9F0000}"/>
    <cellStyle name="SAPBEXstdData 9 4 2 2" xfId="33762" xr:uid="{00000000-0005-0000-0000-00004D9F0000}"/>
    <cellStyle name="SAPBEXstdData 9 4 3" xfId="33763" xr:uid="{00000000-0005-0000-0000-00004E9F0000}"/>
    <cellStyle name="SAPBEXstdData 9 5" xfId="33764" xr:uid="{00000000-0005-0000-0000-00004F9F0000}"/>
    <cellStyle name="SAPBEXstdData_ACS May 2012" xfId="33765" xr:uid="{00000000-0005-0000-0000-0000509F0000}"/>
    <cellStyle name="SAPError" xfId="36207" xr:uid="{00000000-0005-0000-0000-0000519F0000}"/>
    <cellStyle name="SAPError 2" xfId="41983" xr:uid="{AFD36A6F-0108-4BFF-BD51-44BF51B79946}"/>
    <cellStyle name="SAPKey" xfId="36208" xr:uid="{00000000-0005-0000-0000-0000529F0000}"/>
    <cellStyle name="SAPKey 2" xfId="41984" xr:uid="{77A704C7-F416-4627-891B-B93512D100DF}"/>
    <cellStyle name="SAPLocked" xfId="36209" xr:uid="{00000000-0005-0000-0000-0000539F0000}"/>
    <cellStyle name="SAPLocked 2" xfId="41985" xr:uid="{0B710394-96E6-4D03-871B-28CFBF992D9A}"/>
    <cellStyle name="SAPOutput" xfId="36210" xr:uid="{00000000-0005-0000-0000-0000549F0000}"/>
    <cellStyle name="SAPOutput 2" xfId="41986" xr:uid="{F245891F-6D76-4CA9-B3AC-0569D3845144}"/>
    <cellStyle name="SAPSpace" xfId="36211" xr:uid="{00000000-0005-0000-0000-0000559F0000}"/>
    <cellStyle name="SAPSpace 2" xfId="41987" xr:uid="{B9EBAA41-3A5D-49CC-A578-D8E1F8C65781}"/>
    <cellStyle name="SAPText" xfId="36212" xr:uid="{00000000-0005-0000-0000-0000569F0000}"/>
    <cellStyle name="SAPText 2" xfId="41988" xr:uid="{F6714F2C-CD3A-4B0E-8070-C487177CDFDF}"/>
    <cellStyle name="SAPUnLocked" xfId="36213" xr:uid="{00000000-0005-0000-0000-0000579F0000}"/>
    <cellStyle name="SAPUnLocked 2" xfId="41989" xr:uid="{8CA406BC-1752-4D7B-AC19-2B30B8523C2E}"/>
    <cellStyle name="Sheet Title" xfId="36214" xr:uid="{00000000-0005-0000-0000-0000589F0000}"/>
    <cellStyle name="SheetHeader1" xfId="33766" xr:uid="{00000000-0005-0000-0000-0000599F0000}"/>
    <cellStyle name="Smoothed Series" xfId="33767" xr:uid="{00000000-0005-0000-0000-00005A9F0000}"/>
    <cellStyle name="Smoothed Series 2" xfId="33768" xr:uid="{00000000-0005-0000-0000-00005B9F0000}"/>
    <cellStyle name="Smoothed Series 2 2" xfId="33769" xr:uid="{00000000-0005-0000-0000-00005C9F0000}"/>
    <cellStyle name="Smoothed Series 2 2 2" xfId="33770" xr:uid="{00000000-0005-0000-0000-00005D9F0000}"/>
    <cellStyle name="Smoothed Series 2 2 2 2" xfId="33771" xr:uid="{00000000-0005-0000-0000-00005E9F0000}"/>
    <cellStyle name="Smoothed Series 2 2 3" xfId="33772" xr:uid="{00000000-0005-0000-0000-00005F9F0000}"/>
    <cellStyle name="Smoothed Series 2 3" xfId="33773" xr:uid="{00000000-0005-0000-0000-0000609F0000}"/>
    <cellStyle name="Smoothed Series 2 3 2" xfId="33774" xr:uid="{00000000-0005-0000-0000-0000619F0000}"/>
    <cellStyle name="Smoothed Series 2 3 2 2" xfId="33775" xr:uid="{00000000-0005-0000-0000-0000629F0000}"/>
    <cellStyle name="Smoothed Series 2 3 3" xfId="33776" xr:uid="{00000000-0005-0000-0000-0000639F0000}"/>
    <cellStyle name="Smoothed Series 2 4" xfId="33777" xr:uid="{00000000-0005-0000-0000-0000649F0000}"/>
    <cellStyle name="Smoothed Series 3" xfId="33778" xr:uid="{00000000-0005-0000-0000-0000659F0000}"/>
    <cellStyle name="Smoothed Series 3 2" xfId="33779" xr:uid="{00000000-0005-0000-0000-0000669F0000}"/>
    <cellStyle name="Smoothed Series 3 2 2" xfId="33780" xr:uid="{00000000-0005-0000-0000-0000679F0000}"/>
    <cellStyle name="Smoothed Series 3 3" xfId="33781" xr:uid="{00000000-0005-0000-0000-0000689F0000}"/>
    <cellStyle name="Smoothed Series 4" xfId="33782" xr:uid="{00000000-0005-0000-0000-0000699F0000}"/>
    <cellStyle name="Smoothed Series 4 2" xfId="33783" xr:uid="{00000000-0005-0000-0000-00006A9F0000}"/>
    <cellStyle name="Smoothed Series 4 2 2" xfId="33784" xr:uid="{00000000-0005-0000-0000-00006B9F0000}"/>
    <cellStyle name="Smoothed Series 4 3" xfId="33785" xr:uid="{00000000-0005-0000-0000-00006C9F0000}"/>
    <cellStyle name="Smoothed Series 5" xfId="33786" xr:uid="{00000000-0005-0000-0000-00006D9F0000}"/>
    <cellStyle name="Smoothed Series 5 2" xfId="33787" xr:uid="{00000000-0005-0000-0000-00006E9F0000}"/>
    <cellStyle name="Smoothed Series 5 2 2" xfId="33788" xr:uid="{00000000-0005-0000-0000-00006F9F0000}"/>
    <cellStyle name="Smoothed Series 5 3" xfId="33789" xr:uid="{00000000-0005-0000-0000-0000709F0000}"/>
    <cellStyle name="Smoothed Series 6" xfId="33790" xr:uid="{00000000-0005-0000-0000-0000719F0000}"/>
    <cellStyle name="SRS Input" xfId="33791" xr:uid="{00000000-0005-0000-0000-0000729F0000}"/>
    <cellStyle name="SRS Input 2" xfId="33792" xr:uid="{00000000-0005-0000-0000-0000739F0000}"/>
    <cellStyle name="SRS Locked" xfId="33793" xr:uid="{00000000-0005-0000-0000-0000749F0000}"/>
    <cellStyle name="SRS Percent" xfId="33794" xr:uid="{00000000-0005-0000-0000-0000759F0000}"/>
    <cellStyle name="SRS Percent 2" xfId="33795" xr:uid="{00000000-0005-0000-0000-0000769F0000}"/>
    <cellStyle name="SRS Perimeter" xfId="33796" xr:uid="{00000000-0005-0000-0000-0000779F0000}"/>
    <cellStyle name="SRS Perimeter 2" xfId="33797" xr:uid="{00000000-0005-0000-0000-0000789F0000}"/>
    <cellStyle name="Style 1" xfId="33798" xr:uid="{00000000-0005-0000-0000-0000799F0000}"/>
    <cellStyle name="Style 1 10" xfId="33799" xr:uid="{00000000-0005-0000-0000-00007A9F0000}"/>
    <cellStyle name="Style 1 10 2" xfId="33800" xr:uid="{00000000-0005-0000-0000-00007B9F0000}"/>
    <cellStyle name="Style 1 10 3" xfId="36215" xr:uid="{00000000-0005-0000-0000-00007C9F0000}"/>
    <cellStyle name="Style 1 11" xfId="33801" xr:uid="{00000000-0005-0000-0000-00007D9F0000}"/>
    <cellStyle name="Style 1 2" xfId="33802" xr:uid="{00000000-0005-0000-0000-00007E9F0000}"/>
    <cellStyle name="Style 1 2 2" xfId="33803" xr:uid="{00000000-0005-0000-0000-00007F9F0000}"/>
    <cellStyle name="Style 1 2 2 2" xfId="36216" xr:uid="{00000000-0005-0000-0000-0000809F0000}"/>
    <cellStyle name="Style 1 2 2 3" xfId="41900" xr:uid="{A2D4D98B-CEBF-43E4-B528-F7F9494D0E4A}"/>
    <cellStyle name="Style 1 2 3" xfId="33804" xr:uid="{00000000-0005-0000-0000-0000819F0000}"/>
    <cellStyle name="Style 1 2 3 2" xfId="41071" xr:uid="{00000000-0005-0000-0000-0000829F0000}"/>
    <cellStyle name="Style 1 2 3 3" xfId="41070" xr:uid="{00000000-0005-0000-0000-0000839F0000}"/>
    <cellStyle name="Style 1 2 4" xfId="33805" xr:uid="{00000000-0005-0000-0000-0000849F0000}"/>
    <cellStyle name="Style 1 3" xfId="33806" xr:uid="{00000000-0005-0000-0000-0000859F0000}"/>
    <cellStyle name="Style 1 3 2" xfId="33807" xr:uid="{00000000-0005-0000-0000-0000869F0000}"/>
    <cellStyle name="Style 1 3 2 2" xfId="33808" xr:uid="{00000000-0005-0000-0000-0000879F0000}"/>
    <cellStyle name="Style 1 3 3" xfId="33809" xr:uid="{00000000-0005-0000-0000-0000889F0000}"/>
    <cellStyle name="Style 1 3 4" xfId="33810" xr:uid="{00000000-0005-0000-0000-0000899F0000}"/>
    <cellStyle name="Style 1 3 5" xfId="33811" xr:uid="{00000000-0005-0000-0000-00008A9F0000}"/>
    <cellStyle name="Style 1 4" xfId="33812" xr:uid="{00000000-0005-0000-0000-00008B9F0000}"/>
    <cellStyle name="Style 1 4 2" xfId="33813" xr:uid="{00000000-0005-0000-0000-00008C9F0000}"/>
    <cellStyle name="Style 1 4 3" xfId="33814" xr:uid="{00000000-0005-0000-0000-00008D9F0000}"/>
    <cellStyle name="Style 1 4 3 2" xfId="41073" xr:uid="{00000000-0005-0000-0000-00008E9F0000}"/>
    <cellStyle name="Style 1 4 3 3" xfId="41072" xr:uid="{00000000-0005-0000-0000-00008F9F0000}"/>
    <cellStyle name="Style 1 4 4" xfId="33815" xr:uid="{00000000-0005-0000-0000-0000909F0000}"/>
    <cellStyle name="Style 1 4 5" xfId="41901" xr:uid="{234479AE-9176-48F2-8131-C00F82831B51}"/>
    <cellStyle name="Style 1 5" xfId="33816" xr:uid="{00000000-0005-0000-0000-0000919F0000}"/>
    <cellStyle name="Style 1 5 2" xfId="33817" xr:uid="{00000000-0005-0000-0000-0000929F0000}"/>
    <cellStyle name="Style 1 5 2 2" xfId="33818" xr:uid="{00000000-0005-0000-0000-0000939F0000}"/>
    <cellStyle name="Style 1 5 3" xfId="33819" xr:uid="{00000000-0005-0000-0000-0000949F0000}"/>
    <cellStyle name="Style 1 5 3 2" xfId="33820" xr:uid="{00000000-0005-0000-0000-0000959F0000}"/>
    <cellStyle name="Style 1 6" xfId="33821" xr:uid="{00000000-0005-0000-0000-0000969F0000}"/>
    <cellStyle name="Style 1 6 2" xfId="33822" xr:uid="{00000000-0005-0000-0000-0000979F0000}"/>
    <cellStyle name="Style 1 6 2 2" xfId="33823" xr:uid="{00000000-0005-0000-0000-0000989F0000}"/>
    <cellStyle name="Style 1 6 3" xfId="33824" xr:uid="{00000000-0005-0000-0000-0000999F0000}"/>
    <cellStyle name="Style 1 6 3 2" xfId="33825" xr:uid="{00000000-0005-0000-0000-00009A9F0000}"/>
    <cellStyle name="Style 1 7" xfId="33826" xr:uid="{00000000-0005-0000-0000-00009B9F0000}"/>
    <cellStyle name="Style 1 7 2" xfId="33827" xr:uid="{00000000-0005-0000-0000-00009C9F0000}"/>
    <cellStyle name="Style 1 7 2 2" xfId="33828" xr:uid="{00000000-0005-0000-0000-00009D9F0000}"/>
    <cellStyle name="Style 1 7 3" xfId="33829" xr:uid="{00000000-0005-0000-0000-00009E9F0000}"/>
    <cellStyle name="Style 1 8" xfId="33830" xr:uid="{00000000-0005-0000-0000-00009F9F0000}"/>
    <cellStyle name="Style 1 8 2" xfId="33831" xr:uid="{00000000-0005-0000-0000-0000A09F0000}"/>
    <cellStyle name="Style 1 8 2 2" xfId="33832" xr:uid="{00000000-0005-0000-0000-0000A19F0000}"/>
    <cellStyle name="Style 1 8 3" xfId="33833" xr:uid="{00000000-0005-0000-0000-0000A29F0000}"/>
    <cellStyle name="Style 1 9" xfId="33834" xr:uid="{00000000-0005-0000-0000-0000A39F0000}"/>
    <cellStyle name="Style 1 9 2" xfId="33835" xr:uid="{00000000-0005-0000-0000-0000A49F0000}"/>
    <cellStyle name="Style 1_29(d) - Gas extensions -tariffs" xfId="41990" xr:uid="{BEF821B7-6854-4A10-8A26-0BE7C6AB5BB3}"/>
    <cellStyle name="Style2" xfId="36217" xr:uid="{00000000-0005-0000-0000-0000A59F0000}"/>
    <cellStyle name="Style3" xfId="36218" xr:uid="{00000000-0005-0000-0000-0000A69F0000}"/>
    <cellStyle name="Style4" xfId="36219" xr:uid="{00000000-0005-0000-0000-0000A79F0000}"/>
    <cellStyle name="Style4 2" xfId="41991" xr:uid="{768F3376-1EB4-4197-85A2-991CBEAA5870}"/>
    <cellStyle name="Style4_29(d) - Gas extensions -tariffs" xfId="41992" xr:uid="{0CDF0EB9-3EAD-4DE4-B264-69517F8A013F}"/>
    <cellStyle name="Style5" xfId="36220" xr:uid="{00000000-0005-0000-0000-0000A89F0000}"/>
    <cellStyle name="Style5 2" xfId="41993" xr:uid="{F31BE7FD-5847-4C0B-98B1-2D523DA6CAA7}"/>
    <cellStyle name="Style5_29(d) - Gas extensions -tariffs" xfId="41994" xr:uid="{F9A19B2F-3723-442A-B205-A635F06B0E1F}"/>
    <cellStyle name="Sub-heading" xfId="33836" xr:uid="{00000000-0005-0000-0000-0000A99F0000}"/>
    <cellStyle name="Sub-heading 2" xfId="33837" xr:uid="{00000000-0005-0000-0000-0000AA9F0000}"/>
    <cellStyle name="Sub-heading 3" xfId="33838" xr:uid="{00000000-0005-0000-0000-0000AB9F0000}"/>
    <cellStyle name="Sub-heading 4" xfId="33839" xr:uid="{00000000-0005-0000-0000-0000AC9F0000}"/>
    <cellStyle name="Sub-major Heading" xfId="33840" xr:uid="{00000000-0005-0000-0000-0000AD9F0000}"/>
    <cellStyle name="Sub-major Heading 2" xfId="33841" xr:uid="{00000000-0005-0000-0000-0000AE9F0000}"/>
    <cellStyle name="Sub-major Heading 3" xfId="33842" xr:uid="{00000000-0005-0000-0000-0000AF9F0000}"/>
    <cellStyle name="Sub-major Heading 4" xfId="33843" xr:uid="{00000000-0005-0000-0000-0000B09F0000}"/>
    <cellStyle name="Sub-Sub_Heading" xfId="33844" xr:uid="{00000000-0005-0000-0000-0000B19F0000}"/>
    <cellStyle name="sub-sub-heading" xfId="33845" xr:uid="{00000000-0005-0000-0000-0000B29F0000}"/>
    <cellStyle name="sub-sub-heading 2" xfId="33846" xr:uid="{00000000-0005-0000-0000-0000B39F0000}"/>
    <cellStyle name="sub-sub-heading 2 2" xfId="33847" xr:uid="{00000000-0005-0000-0000-0000B49F0000}"/>
    <cellStyle name="sub-sub-heading 2 2 2" xfId="33848" xr:uid="{00000000-0005-0000-0000-0000B59F0000}"/>
    <cellStyle name="sub-sub-heading 2 2 2 2" xfId="33849" xr:uid="{00000000-0005-0000-0000-0000B69F0000}"/>
    <cellStyle name="sub-sub-heading 2 2 2 2 2" xfId="33850" xr:uid="{00000000-0005-0000-0000-0000B79F0000}"/>
    <cellStyle name="sub-sub-heading 2 2 2 3" xfId="33851" xr:uid="{00000000-0005-0000-0000-0000B89F0000}"/>
    <cellStyle name="sub-sub-heading 2 2 3" xfId="33852" xr:uid="{00000000-0005-0000-0000-0000B99F0000}"/>
    <cellStyle name="sub-sub-heading 2 2 3 2" xfId="33853" xr:uid="{00000000-0005-0000-0000-0000BA9F0000}"/>
    <cellStyle name="sub-sub-heading 2 2 3 2 2" xfId="33854" xr:uid="{00000000-0005-0000-0000-0000BB9F0000}"/>
    <cellStyle name="sub-sub-heading 2 2 3 3" xfId="33855" xr:uid="{00000000-0005-0000-0000-0000BC9F0000}"/>
    <cellStyle name="sub-sub-heading 2 2 4" xfId="33856" xr:uid="{00000000-0005-0000-0000-0000BD9F0000}"/>
    <cellStyle name="sub-sub-heading 2 3" xfId="33857" xr:uid="{00000000-0005-0000-0000-0000BE9F0000}"/>
    <cellStyle name="sub-sub-heading 2 3 2" xfId="33858" xr:uid="{00000000-0005-0000-0000-0000BF9F0000}"/>
    <cellStyle name="sub-sub-heading 2 3 2 2" xfId="33859" xr:uid="{00000000-0005-0000-0000-0000C09F0000}"/>
    <cellStyle name="sub-sub-heading 2 3 3" xfId="33860" xr:uid="{00000000-0005-0000-0000-0000C19F0000}"/>
    <cellStyle name="sub-sub-heading 2 4" xfId="33861" xr:uid="{00000000-0005-0000-0000-0000C29F0000}"/>
    <cellStyle name="sub-sub-heading 2 4 2" xfId="33862" xr:uid="{00000000-0005-0000-0000-0000C39F0000}"/>
    <cellStyle name="sub-sub-heading 2 4 2 2" xfId="33863" xr:uid="{00000000-0005-0000-0000-0000C49F0000}"/>
    <cellStyle name="sub-sub-heading 2 4 3" xfId="33864" xr:uid="{00000000-0005-0000-0000-0000C59F0000}"/>
    <cellStyle name="sub-sub-heading 2 5" xfId="33865" xr:uid="{00000000-0005-0000-0000-0000C69F0000}"/>
    <cellStyle name="sub-sub-heading 2 5 2" xfId="33866" xr:uid="{00000000-0005-0000-0000-0000C79F0000}"/>
    <cellStyle name="sub-sub-heading 2 5 2 2" xfId="33867" xr:uid="{00000000-0005-0000-0000-0000C89F0000}"/>
    <cellStyle name="sub-sub-heading 2 5 3" xfId="33868" xr:uid="{00000000-0005-0000-0000-0000C99F0000}"/>
    <cellStyle name="sub-sub-heading 2 6" xfId="33869" xr:uid="{00000000-0005-0000-0000-0000CA9F0000}"/>
    <cellStyle name="sub-sub-heading 3" xfId="33870" xr:uid="{00000000-0005-0000-0000-0000CB9F0000}"/>
    <cellStyle name="sub-sub-heading 3 2" xfId="33871" xr:uid="{00000000-0005-0000-0000-0000CC9F0000}"/>
    <cellStyle name="sub-sub-heading 3 2 2" xfId="33872" xr:uid="{00000000-0005-0000-0000-0000CD9F0000}"/>
    <cellStyle name="sub-sub-heading 3 2 2 2" xfId="33873" xr:uid="{00000000-0005-0000-0000-0000CE9F0000}"/>
    <cellStyle name="sub-sub-heading 3 2 2 3" xfId="33874" xr:uid="{00000000-0005-0000-0000-0000CF9F0000}"/>
    <cellStyle name="sub-sub-heading 3 2 2 4" xfId="33875" xr:uid="{00000000-0005-0000-0000-0000D09F0000}"/>
    <cellStyle name="sub-sub-heading 3 2 3" xfId="33876" xr:uid="{00000000-0005-0000-0000-0000D19F0000}"/>
    <cellStyle name="sub-sub-heading 3 2 3 2" xfId="33877" xr:uid="{00000000-0005-0000-0000-0000D29F0000}"/>
    <cellStyle name="sub-sub-heading 3 2 3 2 2" xfId="33878" xr:uid="{00000000-0005-0000-0000-0000D39F0000}"/>
    <cellStyle name="sub-sub-heading 3 2 3 3" xfId="33879" xr:uid="{00000000-0005-0000-0000-0000D49F0000}"/>
    <cellStyle name="sub-sub-heading 3 2 4" xfId="33880" xr:uid="{00000000-0005-0000-0000-0000D59F0000}"/>
    <cellStyle name="sub-sub-heading 3 2 4 2" xfId="33881" xr:uid="{00000000-0005-0000-0000-0000D69F0000}"/>
    <cellStyle name="sub-sub-heading 3 2 4 2 2" xfId="33882" xr:uid="{00000000-0005-0000-0000-0000D79F0000}"/>
    <cellStyle name="sub-sub-heading 3 2 4 3" xfId="33883" xr:uid="{00000000-0005-0000-0000-0000D89F0000}"/>
    <cellStyle name="sub-sub-heading 3 2 5" xfId="33884" xr:uid="{00000000-0005-0000-0000-0000D99F0000}"/>
    <cellStyle name="sub-sub-heading 3 2 6" xfId="41074" xr:uid="{00000000-0005-0000-0000-0000DA9F0000}"/>
    <cellStyle name="sub-sub-heading 3 3" xfId="33885" xr:uid="{00000000-0005-0000-0000-0000DB9F0000}"/>
    <cellStyle name="sub-sub-heading 3 3 2" xfId="33886" xr:uid="{00000000-0005-0000-0000-0000DC9F0000}"/>
    <cellStyle name="sub-sub-heading 3 3 2 2" xfId="33887" xr:uid="{00000000-0005-0000-0000-0000DD9F0000}"/>
    <cellStyle name="sub-sub-heading 3 3 3" xfId="33888" xr:uid="{00000000-0005-0000-0000-0000DE9F0000}"/>
    <cellStyle name="sub-sub-heading 3 4" xfId="33889" xr:uid="{00000000-0005-0000-0000-0000DF9F0000}"/>
    <cellStyle name="sub-sub-heading 3 4 2" xfId="33890" xr:uid="{00000000-0005-0000-0000-0000E09F0000}"/>
    <cellStyle name="sub-sub-heading 3 4 2 2" xfId="33891" xr:uid="{00000000-0005-0000-0000-0000E19F0000}"/>
    <cellStyle name="sub-sub-heading 3 4 3" xfId="33892" xr:uid="{00000000-0005-0000-0000-0000E29F0000}"/>
    <cellStyle name="sub-sub-heading 3 5" xfId="33893" xr:uid="{00000000-0005-0000-0000-0000E39F0000}"/>
    <cellStyle name="sub-sub-heading 4" xfId="33894" xr:uid="{00000000-0005-0000-0000-0000E49F0000}"/>
    <cellStyle name="sub-sub-heading 4 2" xfId="33895" xr:uid="{00000000-0005-0000-0000-0000E59F0000}"/>
    <cellStyle name="sub-sub-heading 4 2 2" xfId="33896" xr:uid="{00000000-0005-0000-0000-0000E69F0000}"/>
    <cellStyle name="sub-sub-heading 4 2 3" xfId="33897" xr:uid="{00000000-0005-0000-0000-0000E79F0000}"/>
    <cellStyle name="sub-sub-heading 4 2 4" xfId="33898" xr:uid="{00000000-0005-0000-0000-0000E89F0000}"/>
    <cellStyle name="sub-sub-heading 4 3" xfId="33899" xr:uid="{00000000-0005-0000-0000-0000E99F0000}"/>
    <cellStyle name="sub-sub-heading 4 3 2" xfId="33900" xr:uid="{00000000-0005-0000-0000-0000EA9F0000}"/>
    <cellStyle name="sub-sub-heading 4 3 2 2" xfId="33901" xr:uid="{00000000-0005-0000-0000-0000EB9F0000}"/>
    <cellStyle name="sub-sub-heading 4 3 3" xfId="33902" xr:uid="{00000000-0005-0000-0000-0000EC9F0000}"/>
    <cellStyle name="sub-sub-heading 4 4" xfId="33903" xr:uid="{00000000-0005-0000-0000-0000ED9F0000}"/>
    <cellStyle name="sub-sub-heading 4 4 2" xfId="33904" xr:uid="{00000000-0005-0000-0000-0000EE9F0000}"/>
    <cellStyle name="sub-sub-heading 4 4 2 2" xfId="33905" xr:uid="{00000000-0005-0000-0000-0000EF9F0000}"/>
    <cellStyle name="sub-sub-heading 4 4 3" xfId="33906" xr:uid="{00000000-0005-0000-0000-0000F09F0000}"/>
    <cellStyle name="sub-sub-heading 4 5" xfId="33907" xr:uid="{00000000-0005-0000-0000-0000F19F0000}"/>
    <cellStyle name="sub-sub-heading 5" xfId="33908" xr:uid="{00000000-0005-0000-0000-0000F29F0000}"/>
    <cellStyle name="sub-sub-heading 5 2" xfId="33909" xr:uid="{00000000-0005-0000-0000-0000F39F0000}"/>
    <cellStyle name="sub-sub-heading 5 2 2" xfId="33910" xr:uid="{00000000-0005-0000-0000-0000F49F0000}"/>
    <cellStyle name="sub-sub-heading 5 3" xfId="33911" xr:uid="{00000000-0005-0000-0000-0000F59F0000}"/>
    <cellStyle name="sub-sub-heading 6" xfId="33912" xr:uid="{00000000-0005-0000-0000-0000F69F0000}"/>
    <cellStyle name="sub-sub-heading 6 2" xfId="33913" xr:uid="{00000000-0005-0000-0000-0000F79F0000}"/>
    <cellStyle name="sub-sub-heading 6 2 2" xfId="33914" xr:uid="{00000000-0005-0000-0000-0000F89F0000}"/>
    <cellStyle name="sub-sub-heading 6 3" xfId="33915" xr:uid="{00000000-0005-0000-0000-0000F99F0000}"/>
    <cellStyle name="sub-sub-heading 7" xfId="33916" xr:uid="{00000000-0005-0000-0000-0000FA9F0000}"/>
    <cellStyle name="sub-sub-heading 7 2" xfId="33917" xr:uid="{00000000-0005-0000-0000-0000FB9F0000}"/>
    <cellStyle name="sub-sub-heading 7 2 2" xfId="33918" xr:uid="{00000000-0005-0000-0000-0000FC9F0000}"/>
    <cellStyle name="sub-sub-heading 7 3" xfId="33919" xr:uid="{00000000-0005-0000-0000-0000FD9F0000}"/>
    <cellStyle name="sub-sub-heading 8" xfId="33920" xr:uid="{00000000-0005-0000-0000-0000FE9F0000}"/>
    <cellStyle name="Sub-total" xfId="33921" xr:uid="{00000000-0005-0000-0000-0000FF9F0000}"/>
    <cellStyle name="Sub-total 2" xfId="33922" xr:uid="{00000000-0005-0000-0000-000000A00000}"/>
    <cellStyle name="Sub-total 2 2" xfId="33923" xr:uid="{00000000-0005-0000-0000-000001A00000}"/>
    <cellStyle name="Sub-total 2 2 2" xfId="33924" xr:uid="{00000000-0005-0000-0000-000002A00000}"/>
    <cellStyle name="Sub-total 2 2 3" xfId="33925" xr:uid="{00000000-0005-0000-0000-000003A00000}"/>
    <cellStyle name="Sub-total 2 2 4" xfId="33926" xr:uid="{00000000-0005-0000-0000-000004A00000}"/>
    <cellStyle name="Sub-total 2 2 5" xfId="41075" xr:uid="{00000000-0005-0000-0000-000005A00000}"/>
    <cellStyle name="Sub-total 2 3" xfId="33927" xr:uid="{00000000-0005-0000-0000-000006A00000}"/>
    <cellStyle name="Sub-total 3" xfId="33928" xr:uid="{00000000-0005-0000-0000-000007A00000}"/>
    <cellStyle name="Sub-total 3 2" xfId="33929" xr:uid="{00000000-0005-0000-0000-000008A00000}"/>
    <cellStyle name="Sub-total 3 2 2" xfId="33930" xr:uid="{00000000-0005-0000-0000-000009A00000}"/>
    <cellStyle name="Sub-total 3 2 3" xfId="33931" xr:uid="{00000000-0005-0000-0000-00000AA00000}"/>
    <cellStyle name="Sub-total 3 2 4" xfId="33932" xr:uid="{00000000-0005-0000-0000-00000BA00000}"/>
    <cellStyle name="Sub-total 3 3" xfId="33933" xr:uid="{00000000-0005-0000-0000-00000CA00000}"/>
    <cellStyle name="Sub-total 3 3 2" xfId="33934" xr:uid="{00000000-0005-0000-0000-00000DA00000}"/>
    <cellStyle name="Sub-total 3 3 3" xfId="33935" xr:uid="{00000000-0005-0000-0000-00000EA00000}"/>
    <cellStyle name="Sub-total 3 3 4" xfId="33936" xr:uid="{00000000-0005-0000-0000-00000FA00000}"/>
    <cellStyle name="Sub-total 3 3 5" xfId="41076" xr:uid="{00000000-0005-0000-0000-000010A00000}"/>
    <cellStyle name="Sub-total 3 4" xfId="33937" xr:uid="{00000000-0005-0000-0000-000011A00000}"/>
    <cellStyle name="Sub-total 3 5" xfId="33938" xr:uid="{00000000-0005-0000-0000-000012A00000}"/>
    <cellStyle name="Sub-total 3 6" xfId="33939" xr:uid="{00000000-0005-0000-0000-000013A00000}"/>
    <cellStyle name="Sub-total 4" xfId="33940" xr:uid="{00000000-0005-0000-0000-000014A00000}"/>
    <cellStyle name="Sub-total 4 2" xfId="33941" xr:uid="{00000000-0005-0000-0000-000015A00000}"/>
    <cellStyle name="Sub-total 4 3" xfId="33942" xr:uid="{00000000-0005-0000-0000-000016A00000}"/>
    <cellStyle name="Sub-total 4 4" xfId="33943" xr:uid="{00000000-0005-0000-0000-000017A00000}"/>
    <cellStyle name="Table Head Green" xfId="36221" xr:uid="{00000000-0005-0000-0000-000018A00000}"/>
    <cellStyle name="Table Head Green 2" xfId="36222" xr:uid="{00000000-0005-0000-0000-000019A00000}"/>
    <cellStyle name="Table Head Green 2 2" xfId="36223" xr:uid="{00000000-0005-0000-0000-00001AA00000}"/>
    <cellStyle name="Table Head Green 3" xfId="36224" xr:uid="{00000000-0005-0000-0000-00001BA00000}"/>
    <cellStyle name="Table Head Green 4" xfId="42358" xr:uid="{23B19BC6-4B05-4425-ADDC-7BDB06E2D4BF}"/>
    <cellStyle name="Table Head Green 5" xfId="41995" xr:uid="{D8747E77-4AC1-4D0B-8A88-7EADF2708441}"/>
    <cellStyle name="Table Head_pldt" xfId="36225" xr:uid="{00000000-0005-0000-0000-00001CA00000}"/>
    <cellStyle name="Table Source" xfId="36226" xr:uid="{00000000-0005-0000-0000-00001DA00000}"/>
    <cellStyle name="Table Units" xfId="36227" xr:uid="{00000000-0005-0000-0000-00001EA00000}"/>
    <cellStyle name="Table Units 2" xfId="36228" xr:uid="{00000000-0005-0000-0000-00001FA00000}"/>
    <cellStyle name="TableCells" xfId="33944" xr:uid="{00000000-0005-0000-0000-000020A00000}"/>
    <cellStyle name="TableCells 2" xfId="33945" xr:uid="{00000000-0005-0000-0000-000021A00000}"/>
    <cellStyle name="TableCells 2 2" xfId="33946" xr:uid="{00000000-0005-0000-0000-000022A00000}"/>
    <cellStyle name="TableCells 2 2 2" xfId="33947" xr:uid="{00000000-0005-0000-0000-000023A00000}"/>
    <cellStyle name="TableCells 2 2 3" xfId="41077" xr:uid="{00000000-0005-0000-0000-000024A00000}"/>
    <cellStyle name="TableCells 2 3" xfId="33948" xr:uid="{00000000-0005-0000-0000-000025A00000}"/>
    <cellStyle name="TableCells 2 3 2" xfId="33949" xr:uid="{00000000-0005-0000-0000-000026A00000}"/>
    <cellStyle name="TableCells 2 4" xfId="41078" xr:uid="{00000000-0005-0000-0000-000027A00000}"/>
    <cellStyle name="TableCells 3" xfId="33950" xr:uid="{00000000-0005-0000-0000-000028A00000}"/>
    <cellStyle name="TableCells 3 2" xfId="33951" xr:uid="{00000000-0005-0000-0000-000029A00000}"/>
    <cellStyle name="TableCells 4" xfId="41079" xr:uid="{00000000-0005-0000-0000-00002AA00000}"/>
    <cellStyle name="TableCells_ACS Overall" xfId="33952" xr:uid="{00000000-0005-0000-0000-00002BA00000}"/>
    <cellStyle name="TableLvl2" xfId="33953" xr:uid="{00000000-0005-0000-0000-00002CA00000}"/>
    <cellStyle name="TableLvl3" xfId="33954" xr:uid="{00000000-0005-0000-0000-00002DA00000}"/>
    <cellStyle name="Text" xfId="36229" xr:uid="{00000000-0005-0000-0000-00002EA00000}"/>
    <cellStyle name="Text 2" xfId="36230" xr:uid="{00000000-0005-0000-0000-00002FA00000}"/>
    <cellStyle name="Text 3" xfId="41997" xr:uid="{0DD2DFC7-52E5-43E4-A06A-A48ADAFEC09E}"/>
    <cellStyle name="Text Head 1" xfId="36231" xr:uid="{00000000-0005-0000-0000-000030A00000}"/>
    <cellStyle name="Text Head 1 2" xfId="42359" xr:uid="{EAA98BAE-E21F-47D0-807B-577203FD122C}"/>
    <cellStyle name="Text Head 1 3" xfId="41998" xr:uid="{726F6E98-58EA-4DC2-A5BD-97CA5D7DFF9B}"/>
    <cellStyle name="Text Head 2" xfId="36232" xr:uid="{00000000-0005-0000-0000-000031A00000}"/>
    <cellStyle name="Text Head 2 2" xfId="42360" xr:uid="{95459004-8175-4959-9A21-7D79A6BBA42A}"/>
    <cellStyle name="Text Head 2 3" xfId="41999" xr:uid="{B88C12B1-E087-461D-8E82-5E6D7F2CE475}"/>
    <cellStyle name="Text Indent 2" xfId="36233" xr:uid="{00000000-0005-0000-0000-000032A00000}"/>
    <cellStyle name="Theirs" xfId="36234" xr:uid="{00000000-0005-0000-0000-000033A00000}"/>
    <cellStyle name="Times New Roman" xfId="33955" xr:uid="{00000000-0005-0000-0000-000034A00000}"/>
    <cellStyle name="Title 2" xfId="33956" xr:uid="{00000000-0005-0000-0000-000035A00000}"/>
    <cellStyle name="Title 2 2" xfId="33957" xr:uid="{00000000-0005-0000-0000-000036A00000}"/>
    <cellStyle name="Title 2 2 2" xfId="33958" xr:uid="{00000000-0005-0000-0000-000037A00000}"/>
    <cellStyle name="Title 2 2 3" xfId="33959" xr:uid="{00000000-0005-0000-0000-000038A00000}"/>
    <cellStyle name="Title 2 2 3 2" xfId="41081" xr:uid="{00000000-0005-0000-0000-000039A00000}"/>
    <cellStyle name="Title 2 2 3 3" xfId="41080" xr:uid="{00000000-0005-0000-0000-00003AA00000}"/>
    <cellStyle name="Title 2 2 4" xfId="33960" xr:uid="{00000000-0005-0000-0000-00003BA00000}"/>
    <cellStyle name="Title 2 3" xfId="33961" xr:uid="{00000000-0005-0000-0000-00003CA00000}"/>
    <cellStyle name="Title 2 3 2" xfId="33962" xr:uid="{00000000-0005-0000-0000-00003DA00000}"/>
    <cellStyle name="Title 2 4" xfId="33963" xr:uid="{00000000-0005-0000-0000-00003EA00000}"/>
    <cellStyle name="Title 2 5" xfId="33964" xr:uid="{00000000-0005-0000-0000-00003FA00000}"/>
    <cellStyle name="Title 2 6" xfId="33965" xr:uid="{00000000-0005-0000-0000-000040A00000}"/>
    <cellStyle name="Title 2 6 2" xfId="36235" xr:uid="{00000000-0005-0000-0000-000041A00000}"/>
    <cellStyle name="Title 2 7" xfId="33966" xr:uid="{00000000-0005-0000-0000-000042A00000}"/>
    <cellStyle name="Title 3" xfId="33967" xr:uid="{00000000-0005-0000-0000-000043A00000}"/>
    <cellStyle name="Title 3 2" xfId="33968" xr:uid="{00000000-0005-0000-0000-000044A00000}"/>
    <cellStyle name="Title 3 3" xfId="33969" xr:uid="{00000000-0005-0000-0000-000045A00000}"/>
    <cellStyle name="Title 3 4" xfId="33970" xr:uid="{00000000-0005-0000-0000-000046A00000}"/>
    <cellStyle name="Title 4" xfId="33971" xr:uid="{00000000-0005-0000-0000-000047A00000}"/>
    <cellStyle name="Title 4 2" xfId="33972" xr:uid="{00000000-0005-0000-0000-000048A00000}"/>
    <cellStyle name="Title 4 3" xfId="33973" xr:uid="{00000000-0005-0000-0000-000049A00000}"/>
    <cellStyle name="Title 5" xfId="33974" xr:uid="{00000000-0005-0000-0000-00004AA00000}"/>
    <cellStyle name="Title 6" xfId="33975" xr:uid="{00000000-0005-0000-0000-00004BA00000}"/>
    <cellStyle name="Title 7" xfId="33976" xr:uid="{00000000-0005-0000-0000-00004CA00000}"/>
    <cellStyle name="Title 8" xfId="33977" xr:uid="{00000000-0005-0000-0000-00004DA00000}"/>
    <cellStyle name="Title 9" xfId="33978" xr:uid="{00000000-0005-0000-0000-00004EA00000}"/>
    <cellStyle name="Titleheadding" xfId="33979" xr:uid="{00000000-0005-0000-0000-00004FA00000}"/>
    <cellStyle name="Titleheadding 2" xfId="33980" xr:uid="{00000000-0005-0000-0000-000050A00000}"/>
    <cellStyle name="TOC 1" xfId="36236" xr:uid="{00000000-0005-0000-0000-000051A00000}"/>
    <cellStyle name="TOC 2" xfId="36237" xr:uid="{00000000-0005-0000-0000-000052A00000}"/>
    <cellStyle name="TOC 3" xfId="36238" xr:uid="{00000000-0005-0000-0000-000053A00000}"/>
    <cellStyle name="Total 2" xfId="33981" xr:uid="{00000000-0005-0000-0000-000054A00000}"/>
    <cellStyle name="Total 2 10" xfId="33982" xr:uid="{00000000-0005-0000-0000-000055A00000}"/>
    <cellStyle name="Total 2 10 2" xfId="33983" xr:uid="{00000000-0005-0000-0000-000056A00000}"/>
    <cellStyle name="Total 2 10 2 2" xfId="33984" xr:uid="{00000000-0005-0000-0000-000057A00000}"/>
    <cellStyle name="Total 2 10 2 2 2" xfId="36241" xr:uid="{00000000-0005-0000-0000-000058A00000}"/>
    <cellStyle name="Total 2 10 2 3" xfId="36240" xr:uid="{00000000-0005-0000-0000-000059A00000}"/>
    <cellStyle name="Total 2 10 3" xfId="33985" xr:uid="{00000000-0005-0000-0000-00005AA00000}"/>
    <cellStyle name="Total 2 10 3 2" xfId="36243" xr:uid="{00000000-0005-0000-0000-00005BA00000}"/>
    <cellStyle name="Total 2 10 3 3" xfId="36242" xr:uid="{00000000-0005-0000-0000-00005CA00000}"/>
    <cellStyle name="Total 2 10 4" xfId="36244" xr:uid="{00000000-0005-0000-0000-00005DA00000}"/>
    <cellStyle name="Total 2 10 5" xfId="36239" xr:uid="{00000000-0005-0000-0000-00005EA00000}"/>
    <cellStyle name="Total 2 11" xfId="33986" xr:uid="{00000000-0005-0000-0000-00005FA00000}"/>
    <cellStyle name="Total 2 11 2" xfId="33987" xr:uid="{00000000-0005-0000-0000-000060A00000}"/>
    <cellStyle name="Total 2 11 2 2" xfId="33988" xr:uid="{00000000-0005-0000-0000-000061A00000}"/>
    <cellStyle name="Total 2 11 2 2 2" xfId="36247" xr:uid="{00000000-0005-0000-0000-000062A00000}"/>
    <cellStyle name="Total 2 11 2 3" xfId="36246" xr:uid="{00000000-0005-0000-0000-000063A00000}"/>
    <cellStyle name="Total 2 11 3" xfId="33989" xr:uid="{00000000-0005-0000-0000-000064A00000}"/>
    <cellStyle name="Total 2 11 3 2" xfId="36249" xr:uid="{00000000-0005-0000-0000-000065A00000}"/>
    <cellStyle name="Total 2 11 3 3" xfId="36248" xr:uid="{00000000-0005-0000-0000-000066A00000}"/>
    <cellStyle name="Total 2 11 4" xfId="36250" xr:uid="{00000000-0005-0000-0000-000067A00000}"/>
    <cellStyle name="Total 2 11 5" xfId="36245" xr:uid="{00000000-0005-0000-0000-000068A00000}"/>
    <cellStyle name="Total 2 12" xfId="36251" xr:uid="{00000000-0005-0000-0000-000069A00000}"/>
    <cellStyle name="Total 2 12 2" xfId="36252" xr:uid="{00000000-0005-0000-0000-00006AA00000}"/>
    <cellStyle name="Total 2 13" xfId="36253" xr:uid="{00000000-0005-0000-0000-00006BA00000}"/>
    <cellStyle name="Total 2 13 2" xfId="36254" xr:uid="{00000000-0005-0000-0000-00006CA00000}"/>
    <cellStyle name="Total 2 14" xfId="36255" xr:uid="{00000000-0005-0000-0000-00006DA00000}"/>
    <cellStyle name="Total 2 15" xfId="36256" xr:uid="{00000000-0005-0000-0000-00006EA00000}"/>
    <cellStyle name="Total 2 2" xfId="33990" xr:uid="{00000000-0005-0000-0000-00006FA00000}"/>
    <cellStyle name="Total 2 2 10" xfId="33991" xr:uid="{00000000-0005-0000-0000-000070A00000}"/>
    <cellStyle name="Total 2 2 10 2" xfId="33992" xr:uid="{00000000-0005-0000-0000-000071A00000}"/>
    <cellStyle name="Total 2 2 11" xfId="33993" xr:uid="{00000000-0005-0000-0000-000072A00000}"/>
    <cellStyle name="Total 2 2 11 2" xfId="41082" xr:uid="{00000000-0005-0000-0000-000073A00000}"/>
    <cellStyle name="Total 2 2 12" xfId="41083" xr:uid="{00000000-0005-0000-0000-000074A00000}"/>
    <cellStyle name="Total 2 2 2" xfId="33994" xr:uid="{00000000-0005-0000-0000-000075A00000}"/>
    <cellStyle name="Total 2 2 2 2" xfId="33995" xr:uid="{00000000-0005-0000-0000-000076A00000}"/>
    <cellStyle name="Total 2 2 2 2 2" xfId="33996" xr:uid="{00000000-0005-0000-0000-000077A00000}"/>
    <cellStyle name="Total 2 2 2 2 2 2" xfId="33997" xr:uid="{00000000-0005-0000-0000-000078A00000}"/>
    <cellStyle name="Total 2 2 2 2 2 2 2" xfId="33998" xr:uid="{00000000-0005-0000-0000-000079A00000}"/>
    <cellStyle name="Total 2 2 2 2 2 2 3" xfId="36260" xr:uid="{00000000-0005-0000-0000-00007AA00000}"/>
    <cellStyle name="Total 2 2 2 2 2 3" xfId="33999" xr:uid="{00000000-0005-0000-0000-00007BA00000}"/>
    <cellStyle name="Total 2 2 2 2 2 4" xfId="36259" xr:uid="{00000000-0005-0000-0000-00007CA00000}"/>
    <cellStyle name="Total 2 2 2 2 3" xfId="34000" xr:uid="{00000000-0005-0000-0000-00007DA00000}"/>
    <cellStyle name="Total 2 2 2 2 3 2" xfId="36262" xr:uid="{00000000-0005-0000-0000-00007EA00000}"/>
    <cellStyle name="Total 2 2 2 2 3 3" xfId="36261" xr:uid="{00000000-0005-0000-0000-00007FA00000}"/>
    <cellStyle name="Total 2 2 2 2 4" xfId="36263" xr:uid="{00000000-0005-0000-0000-000080A00000}"/>
    <cellStyle name="Total 2 2 2 2 5" xfId="36258" xr:uid="{00000000-0005-0000-0000-000081A00000}"/>
    <cellStyle name="Total 2 2 2 3" xfId="34001" xr:uid="{00000000-0005-0000-0000-000082A00000}"/>
    <cellStyle name="Total 2 2 2 3 2" xfId="34002" xr:uid="{00000000-0005-0000-0000-000083A00000}"/>
    <cellStyle name="Total 2 2 2 3 2 2" xfId="34003" xr:uid="{00000000-0005-0000-0000-000084A00000}"/>
    <cellStyle name="Total 2 2 2 3 2 2 2" xfId="36266" xr:uid="{00000000-0005-0000-0000-000085A00000}"/>
    <cellStyle name="Total 2 2 2 3 2 3" xfId="36265" xr:uid="{00000000-0005-0000-0000-000086A00000}"/>
    <cellStyle name="Total 2 2 2 3 3" xfId="34004" xr:uid="{00000000-0005-0000-0000-000087A00000}"/>
    <cellStyle name="Total 2 2 2 3 3 2" xfId="36268" xr:uid="{00000000-0005-0000-0000-000088A00000}"/>
    <cellStyle name="Total 2 2 2 3 3 3" xfId="36267" xr:uid="{00000000-0005-0000-0000-000089A00000}"/>
    <cellStyle name="Total 2 2 2 3 4" xfId="36269" xr:uid="{00000000-0005-0000-0000-00008AA00000}"/>
    <cellStyle name="Total 2 2 2 3 5" xfId="36264" xr:uid="{00000000-0005-0000-0000-00008BA00000}"/>
    <cellStyle name="Total 2 2 2 4" xfId="34005" xr:uid="{00000000-0005-0000-0000-00008CA00000}"/>
    <cellStyle name="Total 2 2 2 4 2" xfId="34006" xr:uid="{00000000-0005-0000-0000-00008DA00000}"/>
    <cellStyle name="Total 2 2 2 4 2 2" xfId="34007" xr:uid="{00000000-0005-0000-0000-00008EA00000}"/>
    <cellStyle name="Total 2 2 2 4 2 3" xfId="36271" xr:uid="{00000000-0005-0000-0000-00008FA00000}"/>
    <cellStyle name="Total 2 2 2 4 3" xfId="34008" xr:uid="{00000000-0005-0000-0000-000090A00000}"/>
    <cellStyle name="Total 2 2 2 4 4" xfId="36270" xr:uid="{00000000-0005-0000-0000-000091A00000}"/>
    <cellStyle name="Total 2 2 2 5" xfId="34009" xr:uid="{00000000-0005-0000-0000-000092A00000}"/>
    <cellStyle name="Total 2 2 2 5 2" xfId="36273" xr:uid="{00000000-0005-0000-0000-000093A00000}"/>
    <cellStyle name="Total 2 2 2 5 3" xfId="36272" xr:uid="{00000000-0005-0000-0000-000094A00000}"/>
    <cellStyle name="Total 2 2 2 6" xfId="36274" xr:uid="{00000000-0005-0000-0000-000095A00000}"/>
    <cellStyle name="Total 2 2 2 7" xfId="36257" xr:uid="{00000000-0005-0000-0000-000096A00000}"/>
    <cellStyle name="Total 2 2 3" xfId="34010" xr:uid="{00000000-0005-0000-0000-000097A00000}"/>
    <cellStyle name="Total 2 2 3 2" xfId="34011" xr:uid="{00000000-0005-0000-0000-000098A00000}"/>
    <cellStyle name="Total 2 2 3 2 2" xfId="34012" xr:uid="{00000000-0005-0000-0000-000099A00000}"/>
    <cellStyle name="Total 2 2 3 2 2 2" xfId="34013" xr:uid="{00000000-0005-0000-0000-00009AA00000}"/>
    <cellStyle name="Total 2 2 3 2 2 2 2" xfId="34014" xr:uid="{00000000-0005-0000-0000-00009BA00000}"/>
    <cellStyle name="Total 2 2 3 2 2 2 3" xfId="36278" xr:uid="{00000000-0005-0000-0000-00009CA00000}"/>
    <cellStyle name="Total 2 2 3 2 2 3" xfId="34015" xr:uid="{00000000-0005-0000-0000-00009DA00000}"/>
    <cellStyle name="Total 2 2 3 2 2 4" xfId="36277" xr:uid="{00000000-0005-0000-0000-00009EA00000}"/>
    <cellStyle name="Total 2 2 3 2 3" xfId="34016" xr:uid="{00000000-0005-0000-0000-00009FA00000}"/>
    <cellStyle name="Total 2 2 3 2 3 2" xfId="36280" xr:uid="{00000000-0005-0000-0000-0000A0A00000}"/>
    <cellStyle name="Total 2 2 3 2 3 3" xfId="36279" xr:uid="{00000000-0005-0000-0000-0000A1A00000}"/>
    <cellStyle name="Total 2 2 3 2 4" xfId="36281" xr:uid="{00000000-0005-0000-0000-0000A2A00000}"/>
    <cellStyle name="Total 2 2 3 2 5" xfId="36276" xr:uid="{00000000-0005-0000-0000-0000A3A00000}"/>
    <cellStyle name="Total 2 2 3 3" xfId="34017" xr:uid="{00000000-0005-0000-0000-0000A4A00000}"/>
    <cellStyle name="Total 2 2 3 3 2" xfId="34018" xr:uid="{00000000-0005-0000-0000-0000A5A00000}"/>
    <cellStyle name="Total 2 2 3 3 2 2" xfId="34019" xr:uid="{00000000-0005-0000-0000-0000A6A00000}"/>
    <cellStyle name="Total 2 2 3 3 2 2 2" xfId="36284" xr:uid="{00000000-0005-0000-0000-0000A7A00000}"/>
    <cellStyle name="Total 2 2 3 3 2 3" xfId="36283" xr:uid="{00000000-0005-0000-0000-0000A8A00000}"/>
    <cellStyle name="Total 2 2 3 3 3" xfId="34020" xr:uid="{00000000-0005-0000-0000-0000A9A00000}"/>
    <cellStyle name="Total 2 2 3 3 3 2" xfId="36286" xr:uid="{00000000-0005-0000-0000-0000AAA00000}"/>
    <cellStyle name="Total 2 2 3 3 3 3" xfId="36285" xr:uid="{00000000-0005-0000-0000-0000ABA00000}"/>
    <cellStyle name="Total 2 2 3 3 4" xfId="36287" xr:uid="{00000000-0005-0000-0000-0000ACA00000}"/>
    <cellStyle name="Total 2 2 3 3 5" xfId="36282" xr:uid="{00000000-0005-0000-0000-0000ADA00000}"/>
    <cellStyle name="Total 2 2 3 4" xfId="34021" xr:uid="{00000000-0005-0000-0000-0000AEA00000}"/>
    <cellStyle name="Total 2 2 3 4 2" xfId="34022" xr:uid="{00000000-0005-0000-0000-0000AFA00000}"/>
    <cellStyle name="Total 2 2 3 4 2 2" xfId="34023" xr:uid="{00000000-0005-0000-0000-0000B0A00000}"/>
    <cellStyle name="Total 2 2 3 4 2 3" xfId="36289" xr:uid="{00000000-0005-0000-0000-0000B1A00000}"/>
    <cellStyle name="Total 2 2 3 4 3" xfId="34024" xr:uid="{00000000-0005-0000-0000-0000B2A00000}"/>
    <cellStyle name="Total 2 2 3 4 4" xfId="36288" xr:uid="{00000000-0005-0000-0000-0000B3A00000}"/>
    <cellStyle name="Total 2 2 3 5" xfId="34025" xr:uid="{00000000-0005-0000-0000-0000B4A00000}"/>
    <cellStyle name="Total 2 2 3 5 2" xfId="36291" xr:uid="{00000000-0005-0000-0000-0000B5A00000}"/>
    <cellStyle name="Total 2 2 3 5 3" xfId="36290" xr:uid="{00000000-0005-0000-0000-0000B6A00000}"/>
    <cellStyle name="Total 2 2 3 6" xfId="36292" xr:uid="{00000000-0005-0000-0000-0000B7A00000}"/>
    <cellStyle name="Total 2 2 3 7" xfId="36275" xr:uid="{00000000-0005-0000-0000-0000B8A00000}"/>
    <cellStyle name="Total 2 2 4" xfId="34026" xr:uid="{00000000-0005-0000-0000-0000B9A00000}"/>
    <cellStyle name="Total 2 2 4 2" xfId="34027" xr:uid="{00000000-0005-0000-0000-0000BAA00000}"/>
    <cellStyle name="Total 2 2 4 2 2" xfId="34028" xr:uid="{00000000-0005-0000-0000-0000BBA00000}"/>
    <cellStyle name="Total 2 2 4 2 2 2" xfId="34029" xr:uid="{00000000-0005-0000-0000-0000BCA00000}"/>
    <cellStyle name="Total 2 2 4 2 2 3" xfId="36295" xr:uid="{00000000-0005-0000-0000-0000BDA00000}"/>
    <cellStyle name="Total 2 2 4 2 3" xfId="34030" xr:uid="{00000000-0005-0000-0000-0000BEA00000}"/>
    <cellStyle name="Total 2 2 4 2 4" xfId="36294" xr:uid="{00000000-0005-0000-0000-0000BFA00000}"/>
    <cellStyle name="Total 2 2 4 3" xfId="34031" xr:uid="{00000000-0005-0000-0000-0000C0A00000}"/>
    <cellStyle name="Total 2 2 4 3 2" xfId="34032" xr:uid="{00000000-0005-0000-0000-0000C1A00000}"/>
    <cellStyle name="Total 2 2 4 3 2 2" xfId="34033" xr:uid="{00000000-0005-0000-0000-0000C2A00000}"/>
    <cellStyle name="Total 2 2 4 3 2 3" xfId="36297" xr:uid="{00000000-0005-0000-0000-0000C3A00000}"/>
    <cellStyle name="Total 2 2 4 3 3" xfId="34034" xr:uid="{00000000-0005-0000-0000-0000C4A00000}"/>
    <cellStyle name="Total 2 2 4 3 4" xfId="36296" xr:uid="{00000000-0005-0000-0000-0000C5A00000}"/>
    <cellStyle name="Total 2 2 4 4" xfId="34035" xr:uid="{00000000-0005-0000-0000-0000C6A00000}"/>
    <cellStyle name="Total 2 2 4 4 2" xfId="34036" xr:uid="{00000000-0005-0000-0000-0000C7A00000}"/>
    <cellStyle name="Total 2 2 4 4 2 2" xfId="34037" xr:uid="{00000000-0005-0000-0000-0000C8A00000}"/>
    <cellStyle name="Total 2 2 4 4 3" xfId="34038" xr:uid="{00000000-0005-0000-0000-0000C9A00000}"/>
    <cellStyle name="Total 2 2 4 4 4" xfId="36298" xr:uid="{00000000-0005-0000-0000-0000CAA00000}"/>
    <cellStyle name="Total 2 2 4 5" xfId="34039" xr:uid="{00000000-0005-0000-0000-0000CBA00000}"/>
    <cellStyle name="Total 2 2 4 6" xfId="36293" xr:uid="{00000000-0005-0000-0000-0000CCA00000}"/>
    <cellStyle name="Total 2 2 5" xfId="34040" xr:uid="{00000000-0005-0000-0000-0000CDA00000}"/>
    <cellStyle name="Total 2 2 5 2" xfId="34041" xr:uid="{00000000-0005-0000-0000-0000CEA00000}"/>
    <cellStyle name="Total 2 2 5 2 2" xfId="34042" xr:uid="{00000000-0005-0000-0000-0000CFA00000}"/>
    <cellStyle name="Total 2 2 5 2 2 2" xfId="34043" xr:uid="{00000000-0005-0000-0000-0000D0A00000}"/>
    <cellStyle name="Total 2 2 5 2 2 3" xfId="36301" xr:uid="{00000000-0005-0000-0000-0000D1A00000}"/>
    <cellStyle name="Total 2 2 5 2 3" xfId="34044" xr:uid="{00000000-0005-0000-0000-0000D2A00000}"/>
    <cellStyle name="Total 2 2 5 2 4" xfId="36300" xr:uid="{00000000-0005-0000-0000-0000D3A00000}"/>
    <cellStyle name="Total 2 2 5 3" xfId="34045" xr:uid="{00000000-0005-0000-0000-0000D4A00000}"/>
    <cellStyle name="Total 2 2 5 3 2" xfId="34046" xr:uid="{00000000-0005-0000-0000-0000D5A00000}"/>
    <cellStyle name="Total 2 2 5 3 2 2" xfId="34047" xr:uid="{00000000-0005-0000-0000-0000D6A00000}"/>
    <cellStyle name="Total 2 2 5 3 2 3" xfId="36303" xr:uid="{00000000-0005-0000-0000-0000D7A00000}"/>
    <cellStyle name="Total 2 2 5 3 3" xfId="34048" xr:uid="{00000000-0005-0000-0000-0000D8A00000}"/>
    <cellStyle name="Total 2 2 5 3 4" xfId="36302" xr:uid="{00000000-0005-0000-0000-0000D9A00000}"/>
    <cellStyle name="Total 2 2 5 4" xfId="34049" xr:uid="{00000000-0005-0000-0000-0000DAA00000}"/>
    <cellStyle name="Total 2 2 5 4 2" xfId="34050" xr:uid="{00000000-0005-0000-0000-0000DBA00000}"/>
    <cellStyle name="Total 2 2 5 4 3" xfId="36304" xr:uid="{00000000-0005-0000-0000-0000DCA00000}"/>
    <cellStyle name="Total 2 2 5 5" xfId="34051" xr:uid="{00000000-0005-0000-0000-0000DDA00000}"/>
    <cellStyle name="Total 2 2 5 6" xfId="36299" xr:uid="{00000000-0005-0000-0000-0000DEA00000}"/>
    <cellStyle name="Total 2 2 6" xfId="34052" xr:uid="{00000000-0005-0000-0000-0000DFA00000}"/>
    <cellStyle name="Total 2 2 6 2" xfId="34053" xr:uid="{00000000-0005-0000-0000-0000E0A00000}"/>
    <cellStyle name="Total 2 2 6 2 2" xfId="34054" xr:uid="{00000000-0005-0000-0000-0000E1A00000}"/>
    <cellStyle name="Total 2 2 6 2 3" xfId="36306" xr:uid="{00000000-0005-0000-0000-0000E2A00000}"/>
    <cellStyle name="Total 2 2 6 3" xfId="34055" xr:uid="{00000000-0005-0000-0000-0000E3A00000}"/>
    <cellStyle name="Total 2 2 6 4" xfId="36305" xr:uid="{00000000-0005-0000-0000-0000E4A00000}"/>
    <cellStyle name="Total 2 2 7" xfId="34056" xr:uid="{00000000-0005-0000-0000-0000E5A00000}"/>
    <cellStyle name="Total 2 2 7 2" xfId="34057" xr:uid="{00000000-0005-0000-0000-0000E6A00000}"/>
    <cellStyle name="Total 2 2 7 2 2" xfId="34058" xr:uid="{00000000-0005-0000-0000-0000E7A00000}"/>
    <cellStyle name="Total 2 2 7 2 3" xfId="36308" xr:uid="{00000000-0005-0000-0000-0000E8A00000}"/>
    <cellStyle name="Total 2 2 7 3" xfId="34059" xr:uid="{00000000-0005-0000-0000-0000E9A00000}"/>
    <cellStyle name="Total 2 2 7 4" xfId="36307" xr:uid="{00000000-0005-0000-0000-0000EAA00000}"/>
    <cellStyle name="Total 2 2 8" xfId="34060" xr:uid="{00000000-0005-0000-0000-0000EBA00000}"/>
    <cellStyle name="Total 2 2 8 2" xfId="34061" xr:uid="{00000000-0005-0000-0000-0000ECA00000}"/>
    <cellStyle name="Total 2 2 8 2 2" xfId="34062" xr:uid="{00000000-0005-0000-0000-0000EDA00000}"/>
    <cellStyle name="Total 2 2 8 3" xfId="34063" xr:uid="{00000000-0005-0000-0000-0000EEA00000}"/>
    <cellStyle name="Total 2 2 8 4" xfId="36309" xr:uid="{00000000-0005-0000-0000-0000EFA00000}"/>
    <cellStyle name="Total 2 2 9" xfId="34064" xr:uid="{00000000-0005-0000-0000-0000F0A00000}"/>
    <cellStyle name="Total 2 2 9 2" xfId="34065" xr:uid="{00000000-0005-0000-0000-0000F1A00000}"/>
    <cellStyle name="Total 2 2 9 2 2" xfId="34066" xr:uid="{00000000-0005-0000-0000-0000F2A00000}"/>
    <cellStyle name="Total 2 2 9 3" xfId="34067" xr:uid="{00000000-0005-0000-0000-0000F3A00000}"/>
    <cellStyle name="Total 2 3" xfId="34068" xr:uid="{00000000-0005-0000-0000-0000F4A00000}"/>
    <cellStyle name="Total 2 3 10" xfId="34069" xr:uid="{00000000-0005-0000-0000-0000F5A00000}"/>
    <cellStyle name="Total 2 3 10 2" xfId="34070" xr:uid="{00000000-0005-0000-0000-0000F6A00000}"/>
    <cellStyle name="Total 2 3 10 2 2" xfId="34071" xr:uid="{00000000-0005-0000-0000-0000F7A00000}"/>
    <cellStyle name="Total 2 3 10 3" xfId="34072" xr:uid="{00000000-0005-0000-0000-0000F8A00000}"/>
    <cellStyle name="Total 2 3 10 4" xfId="41084" xr:uid="{00000000-0005-0000-0000-0000F9A00000}"/>
    <cellStyle name="Total 2 3 11" xfId="34073" xr:uid="{00000000-0005-0000-0000-0000FAA00000}"/>
    <cellStyle name="Total 2 3 11 2" xfId="34074" xr:uid="{00000000-0005-0000-0000-0000FBA00000}"/>
    <cellStyle name="Total 2 3 12" xfId="41085" xr:uid="{00000000-0005-0000-0000-0000FCA00000}"/>
    <cellStyle name="Total 2 3 2" xfId="34075" xr:uid="{00000000-0005-0000-0000-0000FDA00000}"/>
    <cellStyle name="Total 2 3 2 2" xfId="34076" xr:uid="{00000000-0005-0000-0000-0000FEA00000}"/>
    <cellStyle name="Total 2 3 2 2 2" xfId="34077" xr:uid="{00000000-0005-0000-0000-0000FFA00000}"/>
    <cellStyle name="Total 2 3 2 2 2 2" xfId="34078" xr:uid="{00000000-0005-0000-0000-000000A10000}"/>
    <cellStyle name="Total 2 3 2 2 2 2 2" xfId="34079" xr:uid="{00000000-0005-0000-0000-000001A10000}"/>
    <cellStyle name="Total 2 3 2 2 2 2 3" xfId="36313" xr:uid="{00000000-0005-0000-0000-000002A10000}"/>
    <cellStyle name="Total 2 3 2 2 2 3" xfId="34080" xr:uid="{00000000-0005-0000-0000-000003A10000}"/>
    <cellStyle name="Total 2 3 2 2 2 4" xfId="36312" xr:uid="{00000000-0005-0000-0000-000004A10000}"/>
    <cellStyle name="Total 2 3 2 2 3" xfId="34081" xr:uid="{00000000-0005-0000-0000-000005A10000}"/>
    <cellStyle name="Total 2 3 2 2 3 2" xfId="36315" xr:uid="{00000000-0005-0000-0000-000006A10000}"/>
    <cellStyle name="Total 2 3 2 2 3 3" xfId="36314" xr:uid="{00000000-0005-0000-0000-000007A10000}"/>
    <cellStyle name="Total 2 3 2 2 4" xfId="36316" xr:uid="{00000000-0005-0000-0000-000008A10000}"/>
    <cellStyle name="Total 2 3 2 2 5" xfId="36311" xr:uid="{00000000-0005-0000-0000-000009A10000}"/>
    <cellStyle name="Total 2 3 2 3" xfId="34082" xr:uid="{00000000-0005-0000-0000-00000AA10000}"/>
    <cellStyle name="Total 2 3 2 3 2" xfId="34083" xr:uid="{00000000-0005-0000-0000-00000BA10000}"/>
    <cellStyle name="Total 2 3 2 3 2 2" xfId="34084" xr:uid="{00000000-0005-0000-0000-00000CA10000}"/>
    <cellStyle name="Total 2 3 2 3 2 2 2" xfId="36319" xr:uid="{00000000-0005-0000-0000-00000DA10000}"/>
    <cellStyle name="Total 2 3 2 3 2 3" xfId="36318" xr:uid="{00000000-0005-0000-0000-00000EA10000}"/>
    <cellStyle name="Total 2 3 2 3 3" xfId="34085" xr:uid="{00000000-0005-0000-0000-00000FA10000}"/>
    <cellStyle name="Total 2 3 2 3 3 2" xfId="36321" xr:uid="{00000000-0005-0000-0000-000010A10000}"/>
    <cellStyle name="Total 2 3 2 3 3 3" xfId="36320" xr:uid="{00000000-0005-0000-0000-000011A10000}"/>
    <cellStyle name="Total 2 3 2 3 4" xfId="36322" xr:uid="{00000000-0005-0000-0000-000012A10000}"/>
    <cellStyle name="Total 2 3 2 3 5" xfId="36317" xr:uid="{00000000-0005-0000-0000-000013A10000}"/>
    <cellStyle name="Total 2 3 2 4" xfId="34086" xr:uid="{00000000-0005-0000-0000-000014A10000}"/>
    <cellStyle name="Total 2 3 2 4 2" xfId="34087" xr:uid="{00000000-0005-0000-0000-000015A10000}"/>
    <cellStyle name="Total 2 3 2 4 2 2" xfId="34088" xr:uid="{00000000-0005-0000-0000-000016A10000}"/>
    <cellStyle name="Total 2 3 2 4 2 3" xfId="36324" xr:uid="{00000000-0005-0000-0000-000017A10000}"/>
    <cellStyle name="Total 2 3 2 4 3" xfId="34089" xr:uid="{00000000-0005-0000-0000-000018A10000}"/>
    <cellStyle name="Total 2 3 2 4 4" xfId="36323" xr:uid="{00000000-0005-0000-0000-000019A10000}"/>
    <cellStyle name="Total 2 3 2 5" xfId="34090" xr:uid="{00000000-0005-0000-0000-00001AA10000}"/>
    <cellStyle name="Total 2 3 2 5 2" xfId="36326" xr:uid="{00000000-0005-0000-0000-00001BA10000}"/>
    <cellStyle name="Total 2 3 2 5 3" xfId="36325" xr:uid="{00000000-0005-0000-0000-00001CA10000}"/>
    <cellStyle name="Total 2 3 2 6" xfId="36327" xr:uid="{00000000-0005-0000-0000-00001DA10000}"/>
    <cellStyle name="Total 2 3 2 7" xfId="36310" xr:uid="{00000000-0005-0000-0000-00001EA10000}"/>
    <cellStyle name="Total 2 3 3" xfId="34091" xr:uid="{00000000-0005-0000-0000-00001FA10000}"/>
    <cellStyle name="Total 2 3 3 2" xfId="34092" xr:uid="{00000000-0005-0000-0000-000020A10000}"/>
    <cellStyle name="Total 2 3 3 2 2" xfId="34093" xr:uid="{00000000-0005-0000-0000-000021A10000}"/>
    <cellStyle name="Total 2 3 3 2 2 2" xfId="34094" xr:uid="{00000000-0005-0000-0000-000022A10000}"/>
    <cellStyle name="Total 2 3 3 2 2 2 2" xfId="34095" xr:uid="{00000000-0005-0000-0000-000023A10000}"/>
    <cellStyle name="Total 2 3 3 2 2 2 3" xfId="36331" xr:uid="{00000000-0005-0000-0000-000024A10000}"/>
    <cellStyle name="Total 2 3 3 2 2 3" xfId="34096" xr:uid="{00000000-0005-0000-0000-000025A10000}"/>
    <cellStyle name="Total 2 3 3 2 2 4" xfId="36330" xr:uid="{00000000-0005-0000-0000-000026A10000}"/>
    <cellStyle name="Total 2 3 3 2 3" xfId="34097" xr:uid="{00000000-0005-0000-0000-000027A10000}"/>
    <cellStyle name="Total 2 3 3 2 3 2" xfId="36333" xr:uid="{00000000-0005-0000-0000-000028A10000}"/>
    <cellStyle name="Total 2 3 3 2 3 3" xfId="36332" xr:uid="{00000000-0005-0000-0000-000029A10000}"/>
    <cellStyle name="Total 2 3 3 2 4" xfId="36334" xr:uid="{00000000-0005-0000-0000-00002AA10000}"/>
    <cellStyle name="Total 2 3 3 2 5" xfId="36329" xr:uid="{00000000-0005-0000-0000-00002BA10000}"/>
    <cellStyle name="Total 2 3 3 3" xfId="34098" xr:uid="{00000000-0005-0000-0000-00002CA10000}"/>
    <cellStyle name="Total 2 3 3 3 2" xfId="34099" xr:uid="{00000000-0005-0000-0000-00002DA10000}"/>
    <cellStyle name="Total 2 3 3 3 2 2" xfId="34100" xr:uid="{00000000-0005-0000-0000-00002EA10000}"/>
    <cellStyle name="Total 2 3 3 3 2 2 2" xfId="36337" xr:uid="{00000000-0005-0000-0000-00002FA10000}"/>
    <cellStyle name="Total 2 3 3 3 2 3" xfId="36336" xr:uid="{00000000-0005-0000-0000-000030A10000}"/>
    <cellStyle name="Total 2 3 3 3 3" xfId="34101" xr:uid="{00000000-0005-0000-0000-000031A10000}"/>
    <cellStyle name="Total 2 3 3 3 3 2" xfId="36339" xr:uid="{00000000-0005-0000-0000-000032A10000}"/>
    <cellStyle name="Total 2 3 3 3 3 3" xfId="36338" xr:uid="{00000000-0005-0000-0000-000033A10000}"/>
    <cellStyle name="Total 2 3 3 3 4" xfId="36340" xr:uid="{00000000-0005-0000-0000-000034A10000}"/>
    <cellStyle name="Total 2 3 3 3 5" xfId="36335" xr:uid="{00000000-0005-0000-0000-000035A10000}"/>
    <cellStyle name="Total 2 3 3 4" xfId="34102" xr:uid="{00000000-0005-0000-0000-000036A10000}"/>
    <cellStyle name="Total 2 3 3 4 2" xfId="34103" xr:uid="{00000000-0005-0000-0000-000037A10000}"/>
    <cellStyle name="Total 2 3 3 4 2 2" xfId="34104" xr:uid="{00000000-0005-0000-0000-000038A10000}"/>
    <cellStyle name="Total 2 3 3 4 2 3" xfId="36342" xr:uid="{00000000-0005-0000-0000-000039A10000}"/>
    <cellStyle name="Total 2 3 3 4 3" xfId="34105" xr:uid="{00000000-0005-0000-0000-00003AA10000}"/>
    <cellStyle name="Total 2 3 3 4 4" xfId="36341" xr:uid="{00000000-0005-0000-0000-00003BA10000}"/>
    <cellStyle name="Total 2 3 3 5" xfId="34106" xr:uid="{00000000-0005-0000-0000-00003CA10000}"/>
    <cellStyle name="Total 2 3 3 5 2" xfId="36344" xr:uid="{00000000-0005-0000-0000-00003DA10000}"/>
    <cellStyle name="Total 2 3 3 5 3" xfId="36343" xr:uid="{00000000-0005-0000-0000-00003EA10000}"/>
    <cellStyle name="Total 2 3 3 6" xfId="36345" xr:uid="{00000000-0005-0000-0000-00003FA10000}"/>
    <cellStyle name="Total 2 3 3 7" xfId="36328" xr:uid="{00000000-0005-0000-0000-000040A10000}"/>
    <cellStyle name="Total 2 3 4" xfId="34107" xr:uid="{00000000-0005-0000-0000-000041A10000}"/>
    <cellStyle name="Total 2 3 4 2" xfId="34108" xr:uid="{00000000-0005-0000-0000-000042A10000}"/>
    <cellStyle name="Total 2 3 4 2 2" xfId="34109" xr:uid="{00000000-0005-0000-0000-000043A10000}"/>
    <cellStyle name="Total 2 3 4 2 2 2" xfId="34110" xr:uid="{00000000-0005-0000-0000-000044A10000}"/>
    <cellStyle name="Total 2 3 4 2 2 3" xfId="36348" xr:uid="{00000000-0005-0000-0000-000045A10000}"/>
    <cellStyle name="Total 2 3 4 2 3" xfId="34111" xr:uid="{00000000-0005-0000-0000-000046A10000}"/>
    <cellStyle name="Total 2 3 4 2 4" xfId="36347" xr:uid="{00000000-0005-0000-0000-000047A10000}"/>
    <cellStyle name="Total 2 3 4 3" xfId="34112" xr:uid="{00000000-0005-0000-0000-000048A10000}"/>
    <cellStyle name="Total 2 3 4 3 2" xfId="34113" xr:uid="{00000000-0005-0000-0000-000049A10000}"/>
    <cellStyle name="Total 2 3 4 3 2 2" xfId="34114" xr:uid="{00000000-0005-0000-0000-00004AA10000}"/>
    <cellStyle name="Total 2 3 4 3 2 3" xfId="36350" xr:uid="{00000000-0005-0000-0000-00004BA10000}"/>
    <cellStyle name="Total 2 3 4 3 3" xfId="34115" xr:uid="{00000000-0005-0000-0000-00004CA10000}"/>
    <cellStyle name="Total 2 3 4 3 4" xfId="36349" xr:uid="{00000000-0005-0000-0000-00004DA10000}"/>
    <cellStyle name="Total 2 3 4 4" xfId="34116" xr:uid="{00000000-0005-0000-0000-00004EA10000}"/>
    <cellStyle name="Total 2 3 4 4 2" xfId="34117" xr:uid="{00000000-0005-0000-0000-00004FA10000}"/>
    <cellStyle name="Total 2 3 4 4 2 2" xfId="34118" xr:uid="{00000000-0005-0000-0000-000050A10000}"/>
    <cellStyle name="Total 2 3 4 4 3" xfId="34119" xr:uid="{00000000-0005-0000-0000-000051A10000}"/>
    <cellStyle name="Total 2 3 4 4 4" xfId="36351" xr:uid="{00000000-0005-0000-0000-000052A10000}"/>
    <cellStyle name="Total 2 3 4 5" xfId="34120" xr:uid="{00000000-0005-0000-0000-000053A10000}"/>
    <cellStyle name="Total 2 3 4 6" xfId="36346" xr:uid="{00000000-0005-0000-0000-000054A10000}"/>
    <cellStyle name="Total 2 3 5" xfId="34121" xr:uid="{00000000-0005-0000-0000-000055A10000}"/>
    <cellStyle name="Total 2 3 5 2" xfId="34122" xr:uid="{00000000-0005-0000-0000-000056A10000}"/>
    <cellStyle name="Total 2 3 5 2 2" xfId="34123" xr:uid="{00000000-0005-0000-0000-000057A10000}"/>
    <cellStyle name="Total 2 3 5 2 2 2" xfId="34124" xr:uid="{00000000-0005-0000-0000-000058A10000}"/>
    <cellStyle name="Total 2 3 5 2 2 3" xfId="36354" xr:uid="{00000000-0005-0000-0000-000059A10000}"/>
    <cellStyle name="Total 2 3 5 2 3" xfId="34125" xr:uid="{00000000-0005-0000-0000-00005AA10000}"/>
    <cellStyle name="Total 2 3 5 2 4" xfId="36353" xr:uid="{00000000-0005-0000-0000-00005BA10000}"/>
    <cellStyle name="Total 2 3 5 3" xfId="34126" xr:uid="{00000000-0005-0000-0000-00005CA10000}"/>
    <cellStyle name="Total 2 3 5 3 2" xfId="34127" xr:uid="{00000000-0005-0000-0000-00005DA10000}"/>
    <cellStyle name="Total 2 3 5 3 2 2" xfId="34128" xr:uid="{00000000-0005-0000-0000-00005EA10000}"/>
    <cellStyle name="Total 2 3 5 3 2 3" xfId="36356" xr:uid="{00000000-0005-0000-0000-00005FA10000}"/>
    <cellStyle name="Total 2 3 5 3 3" xfId="34129" xr:uid="{00000000-0005-0000-0000-000060A10000}"/>
    <cellStyle name="Total 2 3 5 3 4" xfId="36355" xr:uid="{00000000-0005-0000-0000-000061A10000}"/>
    <cellStyle name="Total 2 3 5 4" xfId="34130" xr:uid="{00000000-0005-0000-0000-000062A10000}"/>
    <cellStyle name="Total 2 3 5 4 2" xfId="34131" xr:uid="{00000000-0005-0000-0000-000063A10000}"/>
    <cellStyle name="Total 2 3 5 4 3" xfId="36357" xr:uid="{00000000-0005-0000-0000-000064A10000}"/>
    <cellStyle name="Total 2 3 5 5" xfId="34132" xr:uid="{00000000-0005-0000-0000-000065A10000}"/>
    <cellStyle name="Total 2 3 5 6" xfId="36352" xr:uid="{00000000-0005-0000-0000-000066A10000}"/>
    <cellStyle name="Total 2 3 6" xfId="34133" xr:uid="{00000000-0005-0000-0000-000067A10000}"/>
    <cellStyle name="Total 2 3 6 2" xfId="34134" xr:uid="{00000000-0005-0000-0000-000068A10000}"/>
    <cellStyle name="Total 2 3 6 2 2" xfId="34135" xr:uid="{00000000-0005-0000-0000-000069A10000}"/>
    <cellStyle name="Total 2 3 6 2 3" xfId="36359" xr:uid="{00000000-0005-0000-0000-00006AA10000}"/>
    <cellStyle name="Total 2 3 6 3" xfId="34136" xr:uid="{00000000-0005-0000-0000-00006BA10000}"/>
    <cellStyle name="Total 2 3 6 4" xfId="36358" xr:uid="{00000000-0005-0000-0000-00006CA10000}"/>
    <cellStyle name="Total 2 3 7" xfId="34137" xr:uid="{00000000-0005-0000-0000-00006DA10000}"/>
    <cellStyle name="Total 2 3 7 2" xfId="34138" xr:uid="{00000000-0005-0000-0000-00006EA10000}"/>
    <cellStyle name="Total 2 3 7 2 2" xfId="34139" xr:uid="{00000000-0005-0000-0000-00006FA10000}"/>
    <cellStyle name="Total 2 3 7 2 3" xfId="36361" xr:uid="{00000000-0005-0000-0000-000070A10000}"/>
    <cellStyle name="Total 2 3 7 3" xfId="34140" xr:uid="{00000000-0005-0000-0000-000071A10000}"/>
    <cellStyle name="Total 2 3 7 4" xfId="36360" xr:uid="{00000000-0005-0000-0000-000072A10000}"/>
    <cellStyle name="Total 2 3 8" xfId="34141" xr:uid="{00000000-0005-0000-0000-000073A10000}"/>
    <cellStyle name="Total 2 3 8 2" xfId="36362" xr:uid="{00000000-0005-0000-0000-000074A10000}"/>
    <cellStyle name="Total 2 3 9" xfId="34142" xr:uid="{00000000-0005-0000-0000-000075A10000}"/>
    <cellStyle name="Total 2 3 9 2" xfId="34143" xr:uid="{00000000-0005-0000-0000-000076A10000}"/>
    <cellStyle name="Total 2 3 9 2 2" xfId="34144" xr:uid="{00000000-0005-0000-0000-000077A10000}"/>
    <cellStyle name="Total 2 3 9 3" xfId="34145" xr:uid="{00000000-0005-0000-0000-000078A10000}"/>
    <cellStyle name="Total 2 3 9 4" xfId="36363" xr:uid="{00000000-0005-0000-0000-000079A10000}"/>
    <cellStyle name="Total 2 4" xfId="34146" xr:uid="{00000000-0005-0000-0000-00007AA10000}"/>
    <cellStyle name="Total 2 4 2" xfId="34147" xr:uid="{00000000-0005-0000-0000-00007BA10000}"/>
    <cellStyle name="Total 2 4 2 2" xfId="34148" xr:uid="{00000000-0005-0000-0000-00007CA10000}"/>
    <cellStyle name="Total 2 4 2 2 2" xfId="34149" xr:uid="{00000000-0005-0000-0000-00007DA10000}"/>
    <cellStyle name="Total 2 4 2 2 2 2" xfId="34150" xr:uid="{00000000-0005-0000-0000-00007EA10000}"/>
    <cellStyle name="Total 2 4 2 2 2 2 2" xfId="36367" xr:uid="{00000000-0005-0000-0000-00007FA10000}"/>
    <cellStyle name="Total 2 4 2 2 2 3" xfId="36366" xr:uid="{00000000-0005-0000-0000-000080A10000}"/>
    <cellStyle name="Total 2 4 2 2 3" xfId="34151" xr:uid="{00000000-0005-0000-0000-000081A10000}"/>
    <cellStyle name="Total 2 4 2 2 3 2" xfId="36369" xr:uid="{00000000-0005-0000-0000-000082A10000}"/>
    <cellStyle name="Total 2 4 2 2 3 3" xfId="36368" xr:uid="{00000000-0005-0000-0000-000083A10000}"/>
    <cellStyle name="Total 2 4 2 2 4" xfId="36370" xr:uid="{00000000-0005-0000-0000-000084A10000}"/>
    <cellStyle name="Total 2 4 2 2 5" xfId="36365" xr:uid="{00000000-0005-0000-0000-000085A10000}"/>
    <cellStyle name="Total 2 4 2 3" xfId="34152" xr:uid="{00000000-0005-0000-0000-000086A10000}"/>
    <cellStyle name="Total 2 4 2 3 2" xfId="34153" xr:uid="{00000000-0005-0000-0000-000087A10000}"/>
    <cellStyle name="Total 2 4 2 3 2 2" xfId="34154" xr:uid="{00000000-0005-0000-0000-000088A10000}"/>
    <cellStyle name="Total 2 4 2 3 2 2 2" xfId="36373" xr:uid="{00000000-0005-0000-0000-000089A10000}"/>
    <cellStyle name="Total 2 4 2 3 2 3" xfId="36372" xr:uid="{00000000-0005-0000-0000-00008AA10000}"/>
    <cellStyle name="Total 2 4 2 3 3" xfId="34155" xr:uid="{00000000-0005-0000-0000-00008BA10000}"/>
    <cellStyle name="Total 2 4 2 3 3 2" xfId="36375" xr:uid="{00000000-0005-0000-0000-00008CA10000}"/>
    <cellStyle name="Total 2 4 2 3 3 3" xfId="36374" xr:uid="{00000000-0005-0000-0000-00008DA10000}"/>
    <cellStyle name="Total 2 4 2 3 4" xfId="36376" xr:uid="{00000000-0005-0000-0000-00008EA10000}"/>
    <cellStyle name="Total 2 4 2 3 5" xfId="36371" xr:uid="{00000000-0005-0000-0000-00008FA10000}"/>
    <cellStyle name="Total 2 4 2 4" xfId="34156" xr:uid="{00000000-0005-0000-0000-000090A10000}"/>
    <cellStyle name="Total 2 4 2 4 2" xfId="34157" xr:uid="{00000000-0005-0000-0000-000091A10000}"/>
    <cellStyle name="Total 2 4 2 4 2 2" xfId="34158" xr:uid="{00000000-0005-0000-0000-000092A10000}"/>
    <cellStyle name="Total 2 4 2 4 2 3" xfId="36378" xr:uid="{00000000-0005-0000-0000-000093A10000}"/>
    <cellStyle name="Total 2 4 2 4 3" xfId="34159" xr:uid="{00000000-0005-0000-0000-000094A10000}"/>
    <cellStyle name="Total 2 4 2 4 4" xfId="36377" xr:uid="{00000000-0005-0000-0000-000095A10000}"/>
    <cellStyle name="Total 2 4 2 5" xfId="34160" xr:uid="{00000000-0005-0000-0000-000096A10000}"/>
    <cellStyle name="Total 2 4 2 5 2" xfId="36380" xr:uid="{00000000-0005-0000-0000-000097A10000}"/>
    <cellStyle name="Total 2 4 2 5 3" xfId="36379" xr:uid="{00000000-0005-0000-0000-000098A10000}"/>
    <cellStyle name="Total 2 4 2 6" xfId="36381" xr:uid="{00000000-0005-0000-0000-000099A10000}"/>
    <cellStyle name="Total 2 4 2 7" xfId="36364" xr:uid="{00000000-0005-0000-0000-00009AA10000}"/>
    <cellStyle name="Total 2 4 3" xfId="34161" xr:uid="{00000000-0005-0000-0000-00009BA10000}"/>
    <cellStyle name="Total 2 4 3 2" xfId="34162" xr:uid="{00000000-0005-0000-0000-00009CA10000}"/>
    <cellStyle name="Total 2 4 3 2 2" xfId="34163" xr:uid="{00000000-0005-0000-0000-00009DA10000}"/>
    <cellStyle name="Total 2 4 3 2 2 2" xfId="34164" xr:uid="{00000000-0005-0000-0000-00009EA10000}"/>
    <cellStyle name="Total 2 4 3 2 2 2 2" xfId="36385" xr:uid="{00000000-0005-0000-0000-00009FA10000}"/>
    <cellStyle name="Total 2 4 3 2 2 3" xfId="36384" xr:uid="{00000000-0005-0000-0000-0000A0A10000}"/>
    <cellStyle name="Total 2 4 3 2 3" xfId="34165" xr:uid="{00000000-0005-0000-0000-0000A1A10000}"/>
    <cellStyle name="Total 2 4 3 2 3 2" xfId="36387" xr:uid="{00000000-0005-0000-0000-0000A2A10000}"/>
    <cellStyle name="Total 2 4 3 2 3 3" xfId="36386" xr:uid="{00000000-0005-0000-0000-0000A3A10000}"/>
    <cellStyle name="Total 2 4 3 2 4" xfId="36388" xr:uid="{00000000-0005-0000-0000-0000A4A10000}"/>
    <cellStyle name="Total 2 4 3 2 5" xfId="36383" xr:uid="{00000000-0005-0000-0000-0000A5A10000}"/>
    <cellStyle name="Total 2 4 3 3" xfId="34166" xr:uid="{00000000-0005-0000-0000-0000A6A10000}"/>
    <cellStyle name="Total 2 4 3 3 2" xfId="34167" xr:uid="{00000000-0005-0000-0000-0000A7A10000}"/>
    <cellStyle name="Total 2 4 3 3 2 2" xfId="34168" xr:uid="{00000000-0005-0000-0000-0000A8A10000}"/>
    <cellStyle name="Total 2 4 3 3 2 2 2" xfId="36391" xr:uid="{00000000-0005-0000-0000-0000A9A10000}"/>
    <cellStyle name="Total 2 4 3 3 2 3" xfId="36390" xr:uid="{00000000-0005-0000-0000-0000AAA10000}"/>
    <cellStyle name="Total 2 4 3 3 3" xfId="34169" xr:uid="{00000000-0005-0000-0000-0000ABA10000}"/>
    <cellStyle name="Total 2 4 3 3 3 2" xfId="36393" xr:uid="{00000000-0005-0000-0000-0000ACA10000}"/>
    <cellStyle name="Total 2 4 3 3 3 3" xfId="36392" xr:uid="{00000000-0005-0000-0000-0000ADA10000}"/>
    <cellStyle name="Total 2 4 3 3 4" xfId="36394" xr:uid="{00000000-0005-0000-0000-0000AEA10000}"/>
    <cellStyle name="Total 2 4 3 3 5" xfId="36389" xr:uid="{00000000-0005-0000-0000-0000AFA10000}"/>
    <cellStyle name="Total 2 4 3 4" xfId="34170" xr:uid="{00000000-0005-0000-0000-0000B0A10000}"/>
    <cellStyle name="Total 2 4 3 4 2" xfId="34171" xr:uid="{00000000-0005-0000-0000-0000B1A10000}"/>
    <cellStyle name="Total 2 4 3 4 2 2" xfId="36396" xr:uid="{00000000-0005-0000-0000-0000B2A10000}"/>
    <cellStyle name="Total 2 4 3 4 3" xfId="36395" xr:uid="{00000000-0005-0000-0000-0000B3A10000}"/>
    <cellStyle name="Total 2 4 3 5" xfId="34172" xr:uid="{00000000-0005-0000-0000-0000B4A10000}"/>
    <cellStyle name="Total 2 4 3 5 2" xfId="36398" xr:uid="{00000000-0005-0000-0000-0000B5A10000}"/>
    <cellStyle name="Total 2 4 3 5 3" xfId="36397" xr:uid="{00000000-0005-0000-0000-0000B6A10000}"/>
    <cellStyle name="Total 2 4 3 6" xfId="36399" xr:uid="{00000000-0005-0000-0000-0000B7A10000}"/>
    <cellStyle name="Total 2 4 3 7" xfId="36382" xr:uid="{00000000-0005-0000-0000-0000B8A10000}"/>
    <cellStyle name="Total 2 4 4" xfId="34173" xr:uid="{00000000-0005-0000-0000-0000B9A10000}"/>
    <cellStyle name="Total 2 4 4 2" xfId="34174" xr:uid="{00000000-0005-0000-0000-0000BAA10000}"/>
    <cellStyle name="Total 2 4 4 2 2" xfId="34175" xr:uid="{00000000-0005-0000-0000-0000BBA10000}"/>
    <cellStyle name="Total 2 4 4 2 2 2" xfId="36402" xr:uid="{00000000-0005-0000-0000-0000BCA10000}"/>
    <cellStyle name="Total 2 4 4 2 3" xfId="36401" xr:uid="{00000000-0005-0000-0000-0000BDA10000}"/>
    <cellStyle name="Total 2 4 4 3" xfId="34176" xr:uid="{00000000-0005-0000-0000-0000BEA10000}"/>
    <cellStyle name="Total 2 4 4 3 2" xfId="36404" xr:uid="{00000000-0005-0000-0000-0000BFA10000}"/>
    <cellStyle name="Total 2 4 4 3 3" xfId="36403" xr:uid="{00000000-0005-0000-0000-0000C0A10000}"/>
    <cellStyle name="Total 2 4 4 4" xfId="36405" xr:uid="{00000000-0005-0000-0000-0000C1A10000}"/>
    <cellStyle name="Total 2 4 4 5" xfId="36400" xr:uid="{00000000-0005-0000-0000-0000C2A10000}"/>
    <cellStyle name="Total 2 4 5" xfId="34177" xr:uid="{00000000-0005-0000-0000-0000C3A10000}"/>
    <cellStyle name="Total 2 4 5 2" xfId="34178" xr:uid="{00000000-0005-0000-0000-0000C4A10000}"/>
    <cellStyle name="Total 2 4 5 2 2" xfId="34179" xr:uid="{00000000-0005-0000-0000-0000C5A10000}"/>
    <cellStyle name="Total 2 4 5 2 2 2" xfId="36408" xr:uid="{00000000-0005-0000-0000-0000C6A10000}"/>
    <cellStyle name="Total 2 4 5 2 3" xfId="36407" xr:uid="{00000000-0005-0000-0000-0000C7A10000}"/>
    <cellStyle name="Total 2 4 5 3" xfId="34180" xr:uid="{00000000-0005-0000-0000-0000C8A10000}"/>
    <cellStyle name="Total 2 4 5 3 2" xfId="36410" xr:uid="{00000000-0005-0000-0000-0000C9A10000}"/>
    <cellStyle name="Total 2 4 5 3 3" xfId="36409" xr:uid="{00000000-0005-0000-0000-0000CAA10000}"/>
    <cellStyle name="Total 2 4 5 4" xfId="36411" xr:uid="{00000000-0005-0000-0000-0000CBA10000}"/>
    <cellStyle name="Total 2 4 5 5" xfId="36406" xr:uid="{00000000-0005-0000-0000-0000CCA10000}"/>
    <cellStyle name="Total 2 4 6" xfId="34181" xr:uid="{00000000-0005-0000-0000-0000CDA10000}"/>
    <cellStyle name="Total 2 4 6 2" xfId="34182" xr:uid="{00000000-0005-0000-0000-0000CEA10000}"/>
    <cellStyle name="Total 2 4 6 2 2" xfId="34183" xr:uid="{00000000-0005-0000-0000-0000CFA10000}"/>
    <cellStyle name="Total 2 4 6 2 3" xfId="36413" xr:uid="{00000000-0005-0000-0000-0000D0A10000}"/>
    <cellStyle name="Total 2 4 6 3" xfId="34184" xr:uid="{00000000-0005-0000-0000-0000D1A10000}"/>
    <cellStyle name="Total 2 4 6 4" xfId="36412" xr:uid="{00000000-0005-0000-0000-0000D2A10000}"/>
    <cellStyle name="Total 2 4 7" xfId="34185" xr:uid="{00000000-0005-0000-0000-0000D3A10000}"/>
    <cellStyle name="Total 2 4 7 2" xfId="34186" xr:uid="{00000000-0005-0000-0000-0000D4A10000}"/>
    <cellStyle name="Total 2 4 7 2 2" xfId="36415" xr:uid="{00000000-0005-0000-0000-0000D5A10000}"/>
    <cellStyle name="Total 2 4 7 3" xfId="36414" xr:uid="{00000000-0005-0000-0000-0000D6A10000}"/>
    <cellStyle name="Total 2 4 8" xfId="34187" xr:uid="{00000000-0005-0000-0000-0000D7A10000}"/>
    <cellStyle name="Total 2 4 8 2" xfId="36416" xr:uid="{00000000-0005-0000-0000-0000D8A10000}"/>
    <cellStyle name="Total 2 4 9" xfId="36417" xr:uid="{00000000-0005-0000-0000-0000D9A10000}"/>
    <cellStyle name="Total 2 5" xfId="34188" xr:uid="{00000000-0005-0000-0000-0000DAA10000}"/>
    <cellStyle name="Total 2 5 2" xfId="34189" xr:uid="{00000000-0005-0000-0000-0000DBA10000}"/>
    <cellStyle name="Total 2 5 2 2" xfId="34190" xr:uid="{00000000-0005-0000-0000-0000DCA10000}"/>
    <cellStyle name="Total 2 5 2 2 2" xfId="34191" xr:uid="{00000000-0005-0000-0000-0000DDA10000}"/>
    <cellStyle name="Total 2 5 2 2 2 2" xfId="34192" xr:uid="{00000000-0005-0000-0000-0000DEA10000}"/>
    <cellStyle name="Total 2 5 2 2 2 2 2" xfId="36421" xr:uid="{00000000-0005-0000-0000-0000DFA10000}"/>
    <cellStyle name="Total 2 5 2 2 2 3" xfId="36420" xr:uid="{00000000-0005-0000-0000-0000E0A10000}"/>
    <cellStyle name="Total 2 5 2 2 3" xfId="34193" xr:uid="{00000000-0005-0000-0000-0000E1A10000}"/>
    <cellStyle name="Total 2 5 2 2 3 2" xfId="36423" xr:uid="{00000000-0005-0000-0000-0000E2A10000}"/>
    <cellStyle name="Total 2 5 2 2 3 3" xfId="36422" xr:uid="{00000000-0005-0000-0000-0000E3A10000}"/>
    <cellStyle name="Total 2 5 2 2 4" xfId="36424" xr:uid="{00000000-0005-0000-0000-0000E4A10000}"/>
    <cellStyle name="Total 2 5 2 2 5" xfId="36419" xr:uid="{00000000-0005-0000-0000-0000E5A10000}"/>
    <cellStyle name="Total 2 5 2 3" xfId="34194" xr:uid="{00000000-0005-0000-0000-0000E6A10000}"/>
    <cellStyle name="Total 2 5 2 3 2" xfId="36426" xr:uid="{00000000-0005-0000-0000-0000E7A10000}"/>
    <cellStyle name="Total 2 5 2 3 2 2" xfId="36427" xr:uid="{00000000-0005-0000-0000-0000E8A10000}"/>
    <cellStyle name="Total 2 5 2 3 3" xfId="36428" xr:uid="{00000000-0005-0000-0000-0000E9A10000}"/>
    <cellStyle name="Total 2 5 2 3 3 2" xfId="36429" xr:uid="{00000000-0005-0000-0000-0000EAA10000}"/>
    <cellStyle name="Total 2 5 2 3 4" xfId="36430" xr:uid="{00000000-0005-0000-0000-0000EBA10000}"/>
    <cellStyle name="Total 2 5 2 3 5" xfId="36425" xr:uid="{00000000-0005-0000-0000-0000ECA10000}"/>
    <cellStyle name="Total 2 5 2 4" xfId="36431" xr:uid="{00000000-0005-0000-0000-0000EDA10000}"/>
    <cellStyle name="Total 2 5 2 4 2" xfId="36432" xr:uid="{00000000-0005-0000-0000-0000EEA10000}"/>
    <cellStyle name="Total 2 5 2 5" xfId="36433" xr:uid="{00000000-0005-0000-0000-0000EFA10000}"/>
    <cellStyle name="Total 2 5 2 5 2" xfId="36434" xr:uid="{00000000-0005-0000-0000-0000F0A10000}"/>
    <cellStyle name="Total 2 5 2 6" xfId="36435" xr:uid="{00000000-0005-0000-0000-0000F1A10000}"/>
    <cellStyle name="Total 2 5 2 7" xfId="36418" xr:uid="{00000000-0005-0000-0000-0000F2A10000}"/>
    <cellStyle name="Total 2 5 3" xfId="34195" xr:uid="{00000000-0005-0000-0000-0000F3A10000}"/>
    <cellStyle name="Total 2 5 3 2" xfId="34196" xr:uid="{00000000-0005-0000-0000-0000F4A10000}"/>
    <cellStyle name="Total 2 5 3 2 2" xfId="34197" xr:uid="{00000000-0005-0000-0000-0000F5A10000}"/>
    <cellStyle name="Total 2 5 3 2 2 2" xfId="36439" xr:uid="{00000000-0005-0000-0000-0000F6A10000}"/>
    <cellStyle name="Total 2 5 3 2 2 3" xfId="36438" xr:uid="{00000000-0005-0000-0000-0000F7A10000}"/>
    <cellStyle name="Total 2 5 3 2 3" xfId="36440" xr:uid="{00000000-0005-0000-0000-0000F8A10000}"/>
    <cellStyle name="Total 2 5 3 2 3 2" xfId="36441" xr:uid="{00000000-0005-0000-0000-0000F9A10000}"/>
    <cellStyle name="Total 2 5 3 2 4" xfId="36442" xr:uid="{00000000-0005-0000-0000-0000FAA10000}"/>
    <cellStyle name="Total 2 5 3 2 5" xfId="36437" xr:uid="{00000000-0005-0000-0000-0000FBA10000}"/>
    <cellStyle name="Total 2 5 3 3" xfId="34198" xr:uid="{00000000-0005-0000-0000-0000FCA10000}"/>
    <cellStyle name="Total 2 5 3 3 2" xfId="36444" xr:uid="{00000000-0005-0000-0000-0000FDA10000}"/>
    <cellStyle name="Total 2 5 3 3 2 2" xfId="36445" xr:uid="{00000000-0005-0000-0000-0000FEA10000}"/>
    <cellStyle name="Total 2 5 3 3 3" xfId="36446" xr:uid="{00000000-0005-0000-0000-0000FFA10000}"/>
    <cellStyle name="Total 2 5 3 3 3 2" xfId="36447" xr:uid="{00000000-0005-0000-0000-000000A20000}"/>
    <cellStyle name="Total 2 5 3 3 4" xfId="36448" xr:uid="{00000000-0005-0000-0000-000001A20000}"/>
    <cellStyle name="Total 2 5 3 3 5" xfId="36443" xr:uid="{00000000-0005-0000-0000-000002A20000}"/>
    <cellStyle name="Total 2 5 3 4" xfId="36449" xr:uid="{00000000-0005-0000-0000-000003A20000}"/>
    <cellStyle name="Total 2 5 3 4 2" xfId="36450" xr:uid="{00000000-0005-0000-0000-000004A20000}"/>
    <cellStyle name="Total 2 5 3 5" xfId="36451" xr:uid="{00000000-0005-0000-0000-000005A20000}"/>
    <cellStyle name="Total 2 5 3 5 2" xfId="36452" xr:uid="{00000000-0005-0000-0000-000006A20000}"/>
    <cellStyle name="Total 2 5 3 6" xfId="36453" xr:uid="{00000000-0005-0000-0000-000007A20000}"/>
    <cellStyle name="Total 2 5 3 7" xfId="36436" xr:uid="{00000000-0005-0000-0000-000008A20000}"/>
    <cellStyle name="Total 2 5 4" xfId="34199" xr:uid="{00000000-0005-0000-0000-000009A20000}"/>
    <cellStyle name="Total 2 5 4 2" xfId="36455" xr:uid="{00000000-0005-0000-0000-00000AA20000}"/>
    <cellStyle name="Total 2 5 4 2 2" xfId="36456" xr:uid="{00000000-0005-0000-0000-00000BA20000}"/>
    <cellStyle name="Total 2 5 4 3" xfId="36457" xr:uid="{00000000-0005-0000-0000-00000CA20000}"/>
    <cellStyle name="Total 2 5 4 3 2" xfId="36458" xr:uid="{00000000-0005-0000-0000-00000DA20000}"/>
    <cellStyle name="Total 2 5 4 4" xfId="36459" xr:uid="{00000000-0005-0000-0000-00000EA20000}"/>
    <cellStyle name="Total 2 5 4 5" xfId="36454" xr:uid="{00000000-0005-0000-0000-00000FA20000}"/>
    <cellStyle name="Total 2 5 5" xfId="34200" xr:uid="{00000000-0005-0000-0000-000010A20000}"/>
    <cellStyle name="Total 2 5 5 2" xfId="34201" xr:uid="{00000000-0005-0000-0000-000011A20000}"/>
    <cellStyle name="Total 2 5 5 2 2" xfId="34202" xr:uid="{00000000-0005-0000-0000-000012A20000}"/>
    <cellStyle name="Total 2 5 5 2 2 2" xfId="36462" xr:uid="{00000000-0005-0000-0000-000013A20000}"/>
    <cellStyle name="Total 2 5 5 2 3" xfId="36461" xr:uid="{00000000-0005-0000-0000-000014A20000}"/>
    <cellStyle name="Total 2 5 5 3" xfId="34203" xr:uid="{00000000-0005-0000-0000-000015A20000}"/>
    <cellStyle name="Total 2 5 5 3 2" xfId="36464" xr:uid="{00000000-0005-0000-0000-000016A20000}"/>
    <cellStyle name="Total 2 5 5 3 3" xfId="36463" xr:uid="{00000000-0005-0000-0000-000017A20000}"/>
    <cellStyle name="Total 2 5 5 4" xfId="36465" xr:uid="{00000000-0005-0000-0000-000018A20000}"/>
    <cellStyle name="Total 2 5 5 5" xfId="36460" xr:uid="{00000000-0005-0000-0000-000019A20000}"/>
    <cellStyle name="Total 2 5 6" xfId="34204" xr:uid="{00000000-0005-0000-0000-00001AA20000}"/>
    <cellStyle name="Total 2 5 6 2" xfId="34205" xr:uid="{00000000-0005-0000-0000-00001BA20000}"/>
    <cellStyle name="Total 2 5 6 2 2" xfId="36467" xr:uid="{00000000-0005-0000-0000-00001CA20000}"/>
    <cellStyle name="Total 2 5 6 3" xfId="36466" xr:uid="{00000000-0005-0000-0000-00001DA20000}"/>
    <cellStyle name="Total 2 5 7" xfId="36468" xr:uid="{00000000-0005-0000-0000-00001EA20000}"/>
    <cellStyle name="Total 2 5 7 2" xfId="36469" xr:uid="{00000000-0005-0000-0000-00001FA20000}"/>
    <cellStyle name="Total 2 5 8" xfId="36470" xr:uid="{00000000-0005-0000-0000-000020A20000}"/>
    <cellStyle name="Total 2 5 9" xfId="36471" xr:uid="{00000000-0005-0000-0000-000021A20000}"/>
    <cellStyle name="Total 2 6" xfId="34206" xr:uid="{00000000-0005-0000-0000-000022A20000}"/>
    <cellStyle name="Total 2 6 2" xfId="34207" xr:uid="{00000000-0005-0000-0000-000023A20000}"/>
    <cellStyle name="Total 2 6 2 2" xfId="34208" xr:uid="{00000000-0005-0000-0000-000024A20000}"/>
    <cellStyle name="Total 2 6 2 2 2" xfId="34209" xr:uid="{00000000-0005-0000-0000-000025A20000}"/>
    <cellStyle name="Total 2 6 2 2 2 2" xfId="34210" xr:uid="{00000000-0005-0000-0000-000026A20000}"/>
    <cellStyle name="Total 2 6 2 2 2 2 2" xfId="36475" xr:uid="{00000000-0005-0000-0000-000027A20000}"/>
    <cellStyle name="Total 2 6 2 2 2 3" xfId="36474" xr:uid="{00000000-0005-0000-0000-000028A20000}"/>
    <cellStyle name="Total 2 6 2 2 3" xfId="34211" xr:uid="{00000000-0005-0000-0000-000029A20000}"/>
    <cellStyle name="Total 2 6 2 2 3 2" xfId="36477" xr:uid="{00000000-0005-0000-0000-00002AA20000}"/>
    <cellStyle name="Total 2 6 2 2 3 3" xfId="36476" xr:uid="{00000000-0005-0000-0000-00002BA20000}"/>
    <cellStyle name="Total 2 6 2 2 4" xfId="36478" xr:uid="{00000000-0005-0000-0000-00002CA20000}"/>
    <cellStyle name="Total 2 6 2 2 5" xfId="36473" xr:uid="{00000000-0005-0000-0000-00002DA20000}"/>
    <cellStyle name="Total 2 6 2 3" xfId="34212" xr:uid="{00000000-0005-0000-0000-00002EA20000}"/>
    <cellStyle name="Total 2 6 2 3 2" xfId="36480" xr:uid="{00000000-0005-0000-0000-00002FA20000}"/>
    <cellStyle name="Total 2 6 2 3 2 2" xfId="36481" xr:uid="{00000000-0005-0000-0000-000030A20000}"/>
    <cellStyle name="Total 2 6 2 3 3" xfId="36482" xr:uid="{00000000-0005-0000-0000-000031A20000}"/>
    <cellStyle name="Total 2 6 2 3 3 2" xfId="36483" xr:uid="{00000000-0005-0000-0000-000032A20000}"/>
    <cellStyle name="Total 2 6 2 3 4" xfId="36484" xr:uid="{00000000-0005-0000-0000-000033A20000}"/>
    <cellStyle name="Total 2 6 2 3 5" xfId="36479" xr:uid="{00000000-0005-0000-0000-000034A20000}"/>
    <cellStyle name="Total 2 6 2 4" xfId="36485" xr:uid="{00000000-0005-0000-0000-000035A20000}"/>
    <cellStyle name="Total 2 6 2 4 2" xfId="36486" xr:uid="{00000000-0005-0000-0000-000036A20000}"/>
    <cellStyle name="Total 2 6 2 5" xfId="36487" xr:uid="{00000000-0005-0000-0000-000037A20000}"/>
    <cellStyle name="Total 2 6 2 5 2" xfId="36488" xr:uid="{00000000-0005-0000-0000-000038A20000}"/>
    <cellStyle name="Total 2 6 2 6" xfId="36489" xr:uid="{00000000-0005-0000-0000-000039A20000}"/>
    <cellStyle name="Total 2 6 2 7" xfId="36472" xr:uid="{00000000-0005-0000-0000-00003AA20000}"/>
    <cellStyle name="Total 2 6 3" xfId="34213" xr:uid="{00000000-0005-0000-0000-00003BA20000}"/>
    <cellStyle name="Total 2 6 3 2" xfId="34214" xr:uid="{00000000-0005-0000-0000-00003CA20000}"/>
    <cellStyle name="Total 2 6 3 2 2" xfId="34215" xr:uid="{00000000-0005-0000-0000-00003DA20000}"/>
    <cellStyle name="Total 2 6 3 2 2 2" xfId="36493" xr:uid="{00000000-0005-0000-0000-00003EA20000}"/>
    <cellStyle name="Total 2 6 3 2 2 3" xfId="36492" xr:uid="{00000000-0005-0000-0000-00003FA20000}"/>
    <cellStyle name="Total 2 6 3 2 3" xfId="36494" xr:uid="{00000000-0005-0000-0000-000040A20000}"/>
    <cellStyle name="Total 2 6 3 2 3 2" xfId="36495" xr:uid="{00000000-0005-0000-0000-000041A20000}"/>
    <cellStyle name="Total 2 6 3 2 4" xfId="36496" xr:uid="{00000000-0005-0000-0000-000042A20000}"/>
    <cellStyle name="Total 2 6 3 2 5" xfId="36491" xr:uid="{00000000-0005-0000-0000-000043A20000}"/>
    <cellStyle name="Total 2 6 3 3" xfId="34216" xr:uid="{00000000-0005-0000-0000-000044A20000}"/>
    <cellStyle name="Total 2 6 3 3 2" xfId="36498" xr:uid="{00000000-0005-0000-0000-000045A20000}"/>
    <cellStyle name="Total 2 6 3 3 2 2" xfId="36499" xr:uid="{00000000-0005-0000-0000-000046A20000}"/>
    <cellStyle name="Total 2 6 3 3 3" xfId="36500" xr:uid="{00000000-0005-0000-0000-000047A20000}"/>
    <cellStyle name="Total 2 6 3 3 3 2" xfId="36501" xr:uid="{00000000-0005-0000-0000-000048A20000}"/>
    <cellStyle name="Total 2 6 3 3 4" xfId="36502" xr:uid="{00000000-0005-0000-0000-000049A20000}"/>
    <cellStyle name="Total 2 6 3 3 5" xfId="36497" xr:uid="{00000000-0005-0000-0000-00004AA20000}"/>
    <cellStyle name="Total 2 6 3 4" xfId="36503" xr:uid="{00000000-0005-0000-0000-00004BA20000}"/>
    <cellStyle name="Total 2 6 3 4 2" xfId="36504" xr:uid="{00000000-0005-0000-0000-00004CA20000}"/>
    <cellStyle name="Total 2 6 3 5" xfId="36505" xr:uid="{00000000-0005-0000-0000-00004DA20000}"/>
    <cellStyle name="Total 2 6 3 5 2" xfId="36506" xr:uid="{00000000-0005-0000-0000-00004EA20000}"/>
    <cellStyle name="Total 2 6 3 6" xfId="36507" xr:uid="{00000000-0005-0000-0000-00004FA20000}"/>
    <cellStyle name="Total 2 6 3 7" xfId="36490" xr:uid="{00000000-0005-0000-0000-000050A20000}"/>
    <cellStyle name="Total 2 6 4" xfId="34217" xr:uid="{00000000-0005-0000-0000-000051A20000}"/>
    <cellStyle name="Total 2 6 4 2" xfId="34218" xr:uid="{00000000-0005-0000-0000-000052A20000}"/>
    <cellStyle name="Total 2 6 4 2 2" xfId="34219" xr:uid="{00000000-0005-0000-0000-000053A20000}"/>
    <cellStyle name="Total 2 6 4 2 2 2" xfId="36510" xr:uid="{00000000-0005-0000-0000-000054A20000}"/>
    <cellStyle name="Total 2 6 4 2 3" xfId="36509" xr:uid="{00000000-0005-0000-0000-000055A20000}"/>
    <cellStyle name="Total 2 6 4 3" xfId="34220" xr:uid="{00000000-0005-0000-0000-000056A20000}"/>
    <cellStyle name="Total 2 6 4 3 2" xfId="36512" xr:uid="{00000000-0005-0000-0000-000057A20000}"/>
    <cellStyle name="Total 2 6 4 3 3" xfId="36511" xr:uid="{00000000-0005-0000-0000-000058A20000}"/>
    <cellStyle name="Total 2 6 4 4" xfId="36513" xr:uid="{00000000-0005-0000-0000-000059A20000}"/>
    <cellStyle name="Total 2 6 4 5" xfId="36508" xr:uid="{00000000-0005-0000-0000-00005AA20000}"/>
    <cellStyle name="Total 2 6 5" xfId="34221" xr:uid="{00000000-0005-0000-0000-00005BA20000}"/>
    <cellStyle name="Total 2 6 5 2" xfId="34222" xr:uid="{00000000-0005-0000-0000-00005CA20000}"/>
    <cellStyle name="Total 2 6 5 2 2" xfId="34223" xr:uid="{00000000-0005-0000-0000-00005DA20000}"/>
    <cellStyle name="Total 2 6 5 2 2 2" xfId="36516" xr:uid="{00000000-0005-0000-0000-00005EA20000}"/>
    <cellStyle name="Total 2 6 5 2 3" xfId="36515" xr:uid="{00000000-0005-0000-0000-00005FA20000}"/>
    <cellStyle name="Total 2 6 5 3" xfId="34224" xr:uid="{00000000-0005-0000-0000-000060A20000}"/>
    <cellStyle name="Total 2 6 5 3 2" xfId="36518" xr:uid="{00000000-0005-0000-0000-000061A20000}"/>
    <cellStyle name="Total 2 6 5 3 3" xfId="36517" xr:uid="{00000000-0005-0000-0000-000062A20000}"/>
    <cellStyle name="Total 2 6 5 4" xfId="36519" xr:uid="{00000000-0005-0000-0000-000063A20000}"/>
    <cellStyle name="Total 2 6 5 5" xfId="36514" xr:uid="{00000000-0005-0000-0000-000064A20000}"/>
    <cellStyle name="Total 2 6 6" xfId="34225" xr:uid="{00000000-0005-0000-0000-000065A20000}"/>
    <cellStyle name="Total 2 6 6 2" xfId="34226" xr:uid="{00000000-0005-0000-0000-000066A20000}"/>
    <cellStyle name="Total 2 6 6 2 2" xfId="36521" xr:uid="{00000000-0005-0000-0000-000067A20000}"/>
    <cellStyle name="Total 2 6 6 3" xfId="36520" xr:uid="{00000000-0005-0000-0000-000068A20000}"/>
    <cellStyle name="Total 2 6 7" xfId="34227" xr:uid="{00000000-0005-0000-0000-000069A20000}"/>
    <cellStyle name="Total 2 6 7 2" xfId="36523" xr:uid="{00000000-0005-0000-0000-00006AA20000}"/>
    <cellStyle name="Total 2 6 7 3" xfId="36522" xr:uid="{00000000-0005-0000-0000-00006BA20000}"/>
    <cellStyle name="Total 2 6 8" xfId="36524" xr:uid="{00000000-0005-0000-0000-00006CA20000}"/>
    <cellStyle name="Total 2 6 9" xfId="36525" xr:uid="{00000000-0005-0000-0000-00006DA20000}"/>
    <cellStyle name="Total 2 7" xfId="34228" xr:uid="{00000000-0005-0000-0000-00006EA20000}"/>
    <cellStyle name="Total 2 7 2" xfId="34229" xr:uid="{00000000-0005-0000-0000-00006FA20000}"/>
    <cellStyle name="Total 2 7 2 2" xfId="36528" xr:uid="{00000000-0005-0000-0000-000070A20000}"/>
    <cellStyle name="Total 2 7 2 2 2" xfId="36529" xr:uid="{00000000-0005-0000-0000-000071A20000}"/>
    <cellStyle name="Total 2 7 2 2 2 2" xfId="36530" xr:uid="{00000000-0005-0000-0000-000072A20000}"/>
    <cellStyle name="Total 2 7 2 2 3" xfId="36531" xr:uid="{00000000-0005-0000-0000-000073A20000}"/>
    <cellStyle name="Total 2 7 2 2 3 2" xfId="36532" xr:uid="{00000000-0005-0000-0000-000074A20000}"/>
    <cellStyle name="Total 2 7 2 2 4" xfId="36533" xr:uid="{00000000-0005-0000-0000-000075A20000}"/>
    <cellStyle name="Total 2 7 2 3" xfId="36534" xr:uid="{00000000-0005-0000-0000-000076A20000}"/>
    <cellStyle name="Total 2 7 2 3 2" xfId="36535" xr:uid="{00000000-0005-0000-0000-000077A20000}"/>
    <cellStyle name="Total 2 7 2 3 2 2" xfId="36536" xr:uid="{00000000-0005-0000-0000-000078A20000}"/>
    <cellStyle name="Total 2 7 2 3 3" xfId="36537" xr:uid="{00000000-0005-0000-0000-000079A20000}"/>
    <cellStyle name="Total 2 7 2 3 3 2" xfId="36538" xr:uid="{00000000-0005-0000-0000-00007AA20000}"/>
    <cellStyle name="Total 2 7 2 3 4" xfId="36539" xr:uid="{00000000-0005-0000-0000-00007BA20000}"/>
    <cellStyle name="Total 2 7 2 4" xfId="36540" xr:uid="{00000000-0005-0000-0000-00007CA20000}"/>
    <cellStyle name="Total 2 7 2 4 2" xfId="36541" xr:uid="{00000000-0005-0000-0000-00007DA20000}"/>
    <cellStyle name="Total 2 7 2 5" xfId="36542" xr:uid="{00000000-0005-0000-0000-00007EA20000}"/>
    <cellStyle name="Total 2 7 2 5 2" xfId="36543" xr:uid="{00000000-0005-0000-0000-00007FA20000}"/>
    <cellStyle name="Total 2 7 2 6" xfId="36544" xr:uid="{00000000-0005-0000-0000-000080A20000}"/>
    <cellStyle name="Total 2 7 2 7" xfId="36527" xr:uid="{00000000-0005-0000-0000-000081A20000}"/>
    <cellStyle name="Total 2 7 3" xfId="34230" xr:uid="{00000000-0005-0000-0000-000082A20000}"/>
    <cellStyle name="Total 2 7 3 2" xfId="36546" xr:uid="{00000000-0005-0000-0000-000083A20000}"/>
    <cellStyle name="Total 2 7 3 2 2" xfId="36547" xr:uid="{00000000-0005-0000-0000-000084A20000}"/>
    <cellStyle name="Total 2 7 3 2 2 2" xfId="36548" xr:uid="{00000000-0005-0000-0000-000085A20000}"/>
    <cellStyle name="Total 2 7 3 2 3" xfId="36549" xr:uid="{00000000-0005-0000-0000-000086A20000}"/>
    <cellStyle name="Total 2 7 3 2 3 2" xfId="36550" xr:uid="{00000000-0005-0000-0000-000087A20000}"/>
    <cellStyle name="Total 2 7 3 2 4" xfId="36551" xr:uid="{00000000-0005-0000-0000-000088A20000}"/>
    <cellStyle name="Total 2 7 3 3" xfId="36552" xr:uid="{00000000-0005-0000-0000-000089A20000}"/>
    <cellStyle name="Total 2 7 3 3 2" xfId="36553" xr:uid="{00000000-0005-0000-0000-00008AA20000}"/>
    <cellStyle name="Total 2 7 3 3 2 2" xfId="36554" xr:uid="{00000000-0005-0000-0000-00008BA20000}"/>
    <cellStyle name="Total 2 7 3 3 3" xfId="36555" xr:uid="{00000000-0005-0000-0000-00008CA20000}"/>
    <cellStyle name="Total 2 7 3 3 3 2" xfId="36556" xr:uid="{00000000-0005-0000-0000-00008DA20000}"/>
    <cellStyle name="Total 2 7 3 3 4" xfId="36557" xr:uid="{00000000-0005-0000-0000-00008EA20000}"/>
    <cellStyle name="Total 2 7 3 4" xfId="36558" xr:uid="{00000000-0005-0000-0000-00008FA20000}"/>
    <cellStyle name="Total 2 7 3 4 2" xfId="36559" xr:uid="{00000000-0005-0000-0000-000090A20000}"/>
    <cellStyle name="Total 2 7 3 5" xfId="36560" xr:uid="{00000000-0005-0000-0000-000091A20000}"/>
    <cellStyle name="Total 2 7 3 5 2" xfId="36561" xr:uid="{00000000-0005-0000-0000-000092A20000}"/>
    <cellStyle name="Total 2 7 3 6" xfId="36562" xr:uid="{00000000-0005-0000-0000-000093A20000}"/>
    <cellStyle name="Total 2 7 3 7" xfId="36545" xr:uid="{00000000-0005-0000-0000-000094A20000}"/>
    <cellStyle name="Total 2 7 4" xfId="36563" xr:uid="{00000000-0005-0000-0000-000095A20000}"/>
    <cellStyle name="Total 2 7 4 2" xfId="36564" xr:uid="{00000000-0005-0000-0000-000096A20000}"/>
    <cellStyle name="Total 2 7 4 2 2" xfId="36565" xr:uid="{00000000-0005-0000-0000-000097A20000}"/>
    <cellStyle name="Total 2 7 4 3" xfId="36566" xr:uid="{00000000-0005-0000-0000-000098A20000}"/>
    <cellStyle name="Total 2 7 4 3 2" xfId="36567" xr:uid="{00000000-0005-0000-0000-000099A20000}"/>
    <cellStyle name="Total 2 7 4 4" xfId="36568" xr:uid="{00000000-0005-0000-0000-00009AA20000}"/>
    <cellStyle name="Total 2 7 5" xfId="36569" xr:uid="{00000000-0005-0000-0000-00009BA20000}"/>
    <cellStyle name="Total 2 7 5 2" xfId="36570" xr:uid="{00000000-0005-0000-0000-00009CA20000}"/>
    <cellStyle name="Total 2 7 5 2 2" xfId="36571" xr:uid="{00000000-0005-0000-0000-00009DA20000}"/>
    <cellStyle name="Total 2 7 5 3" xfId="36572" xr:uid="{00000000-0005-0000-0000-00009EA20000}"/>
    <cellStyle name="Total 2 7 5 3 2" xfId="36573" xr:uid="{00000000-0005-0000-0000-00009FA20000}"/>
    <cellStyle name="Total 2 7 5 4" xfId="36574" xr:uid="{00000000-0005-0000-0000-0000A0A20000}"/>
    <cellStyle name="Total 2 7 6" xfId="36575" xr:uid="{00000000-0005-0000-0000-0000A1A20000}"/>
    <cellStyle name="Total 2 7 6 2" xfId="36576" xr:uid="{00000000-0005-0000-0000-0000A2A20000}"/>
    <cellStyle name="Total 2 7 7" xfId="36577" xr:uid="{00000000-0005-0000-0000-0000A3A20000}"/>
    <cellStyle name="Total 2 7 7 2" xfId="36578" xr:uid="{00000000-0005-0000-0000-0000A4A20000}"/>
    <cellStyle name="Total 2 7 8" xfId="36579" xr:uid="{00000000-0005-0000-0000-0000A5A20000}"/>
    <cellStyle name="Total 2 7 9" xfId="36526" xr:uid="{00000000-0005-0000-0000-0000A6A20000}"/>
    <cellStyle name="Total 2 8" xfId="34231" xr:uid="{00000000-0005-0000-0000-0000A7A20000}"/>
    <cellStyle name="Total 2 8 2" xfId="34232" xr:uid="{00000000-0005-0000-0000-0000A8A20000}"/>
    <cellStyle name="Total 2 8 2 2" xfId="34233" xr:uid="{00000000-0005-0000-0000-0000A9A20000}"/>
    <cellStyle name="Total 2 8 2 2 2" xfId="34234" xr:uid="{00000000-0005-0000-0000-0000AAA20000}"/>
    <cellStyle name="Total 2 8 2 2 2 2" xfId="36583" xr:uid="{00000000-0005-0000-0000-0000ABA20000}"/>
    <cellStyle name="Total 2 8 2 2 3" xfId="36582" xr:uid="{00000000-0005-0000-0000-0000ACA20000}"/>
    <cellStyle name="Total 2 8 2 3" xfId="34235" xr:uid="{00000000-0005-0000-0000-0000ADA20000}"/>
    <cellStyle name="Total 2 8 2 3 2" xfId="36585" xr:uid="{00000000-0005-0000-0000-0000AEA20000}"/>
    <cellStyle name="Total 2 8 2 3 3" xfId="36584" xr:uid="{00000000-0005-0000-0000-0000AFA20000}"/>
    <cellStyle name="Total 2 8 2 4" xfId="36586" xr:uid="{00000000-0005-0000-0000-0000B0A20000}"/>
    <cellStyle name="Total 2 8 2 5" xfId="36581" xr:uid="{00000000-0005-0000-0000-0000B1A20000}"/>
    <cellStyle name="Total 2 8 3" xfId="34236" xr:uid="{00000000-0005-0000-0000-0000B2A20000}"/>
    <cellStyle name="Total 2 8 3 2" xfId="34237" xr:uid="{00000000-0005-0000-0000-0000B3A20000}"/>
    <cellStyle name="Total 2 8 3 2 2" xfId="34238" xr:uid="{00000000-0005-0000-0000-0000B4A20000}"/>
    <cellStyle name="Total 2 8 3 2 2 2" xfId="36589" xr:uid="{00000000-0005-0000-0000-0000B5A20000}"/>
    <cellStyle name="Total 2 8 3 2 3" xfId="36588" xr:uid="{00000000-0005-0000-0000-0000B6A20000}"/>
    <cellStyle name="Total 2 8 3 3" xfId="34239" xr:uid="{00000000-0005-0000-0000-0000B7A20000}"/>
    <cellStyle name="Total 2 8 3 3 2" xfId="36591" xr:uid="{00000000-0005-0000-0000-0000B8A20000}"/>
    <cellStyle name="Total 2 8 3 3 3" xfId="36590" xr:uid="{00000000-0005-0000-0000-0000B9A20000}"/>
    <cellStyle name="Total 2 8 3 4" xfId="36592" xr:uid="{00000000-0005-0000-0000-0000BAA20000}"/>
    <cellStyle name="Total 2 8 3 5" xfId="36587" xr:uid="{00000000-0005-0000-0000-0000BBA20000}"/>
    <cellStyle name="Total 2 8 4" xfId="34240" xr:uid="{00000000-0005-0000-0000-0000BCA20000}"/>
    <cellStyle name="Total 2 8 4 2" xfId="34241" xr:uid="{00000000-0005-0000-0000-0000BDA20000}"/>
    <cellStyle name="Total 2 8 4 2 2" xfId="36594" xr:uid="{00000000-0005-0000-0000-0000BEA20000}"/>
    <cellStyle name="Total 2 8 4 3" xfId="36593" xr:uid="{00000000-0005-0000-0000-0000BFA20000}"/>
    <cellStyle name="Total 2 8 5" xfId="34242" xr:uid="{00000000-0005-0000-0000-0000C0A20000}"/>
    <cellStyle name="Total 2 8 5 2" xfId="36596" xr:uid="{00000000-0005-0000-0000-0000C1A20000}"/>
    <cellStyle name="Total 2 8 5 3" xfId="36595" xr:uid="{00000000-0005-0000-0000-0000C2A20000}"/>
    <cellStyle name="Total 2 8 6" xfId="36597" xr:uid="{00000000-0005-0000-0000-0000C3A20000}"/>
    <cellStyle name="Total 2 8 7" xfId="36580" xr:uid="{00000000-0005-0000-0000-0000C4A20000}"/>
    <cellStyle name="Total 2 9" xfId="34243" xr:uid="{00000000-0005-0000-0000-0000C5A20000}"/>
    <cellStyle name="Total 2 9 2" xfId="34244" xr:uid="{00000000-0005-0000-0000-0000C6A20000}"/>
    <cellStyle name="Total 2 9 2 2" xfId="34245" xr:uid="{00000000-0005-0000-0000-0000C7A20000}"/>
    <cellStyle name="Total 2 9 2 2 2" xfId="36601" xr:uid="{00000000-0005-0000-0000-0000C8A20000}"/>
    <cellStyle name="Total 2 9 2 2 3" xfId="36600" xr:uid="{00000000-0005-0000-0000-0000C9A20000}"/>
    <cellStyle name="Total 2 9 2 3" xfId="36602" xr:uid="{00000000-0005-0000-0000-0000CAA20000}"/>
    <cellStyle name="Total 2 9 2 3 2" xfId="36603" xr:uid="{00000000-0005-0000-0000-0000CBA20000}"/>
    <cellStyle name="Total 2 9 2 4" xfId="36604" xr:uid="{00000000-0005-0000-0000-0000CCA20000}"/>
    <cellStyle name="Total 2 9 2 5" xfId="36599" xr:uid="{00000000-0005-0000-0000-0000CDA20000}"/>
    <cellStyle name="Total 2 9 3" xfId="34246" xr:uid="{00000000-0005-0000-0000-0000CEA20000}"/>
    <cellStyle name="Total 2 9 3 2" xfId="36606" xr:uid="{00000000-0005-0000-0000-0000CFA20000}"/>
    <cellStyle name="Total 2 9 3 2 2" xfId="36607" xr:uid="{00000000-0005-0000-0000-0000D0A20000}"/>
    <cellStyle name="Total 2 9 3 3" xfId="36608" xr:uid="{00000000-0005-0000-0000-0000D1A20000}"/>
    <cellStyle name="Total 2 9 3 3 2" xfId="36609" xr:uid="{00000000-0005-0000-0000-0000D2A20000}"/>
    <cellStyle name="Total 2 9 3 4" xfId="36610" xr:uid="{00000000-0005-0000-0000-0000D3A20000}"/>
    <cellStyle name="Total 2 9 3 5" xfId="36605" xr:uid="{00000000-0005-0000-0000-0000D4A20000}"/>
    <cellStyle name="Total 2 9 4" xfId="36611" xr:uid="{00000000-0005-0000-0000-0000D5A20000}"/>
    <cellStyle name="Total 2 9 4 2" xfId="36612" xr:uid="{00000000-0005-0000-0000-0000D6A20000}"/>
    <cellStyle name="Total 2 9 5" xfId="36613" xr:uid="{00000000-0005-0000-0000-0000D7A20000}"/>
    <cellStyle name="Total 2 9 5 2" xfId="36614" xr:uid="{00000000-0005-0000-0000-0000D8A20000}"/>
    <cellStyle name="Total 2 9 6" xfId="36615" xr:uid="{00000000-0005-0000-0000-0000D9A20000}"/>
    <cellStyle name="Total 2 9 7" xfId="36598" xr:uid="{00000000-0005-0000-0000-0000DAA20000}"/>
    <cellStyle name="Total 3" xfId="34247" xr:uid="{00000000-0005-0000-0000-0000DBA20000}"/>
    <cellStyle name="Total 3 2" xfId="34248" xr:uid="{00000000-0005-0000-0000-0000DCA20000}"/>
    <cellStyle name="Total 3 2 2" xfId="34249" xr:uid="{00000000-0005-0000-0000-0000DDA20000}"/>
    <cellStyle name="Total 3 2 2 2" xfId="34250" xr:uid="{00000000-0005-0000-0000-0000DEA20000}"/>
    <cellStyle name="Total 3 2 2 2 2" xfId="34251" xr:uid="{00000000-0005-0000-0000-0000DFA20000}"/>
    <cellStyle name="Total 3 2 2 2 2 2" xfId="34252" xr:uid="{00000000-0005-0000-0000-0000E0A20000}"/>
    <cellStyle name="Total 3 2 2 2 3" xfId="34253" xr:uid="{00000000-0005-0000-0000-0000E1A20000}"/>
    <cellStyle name="Total 3 2 2 3" xfId="34254" xr:uid="{00000000-0005-0000-0000-0000E2A20000}"/>
    <cellStyle name="Total 3 2 3" xfId="34255" xr:uid="{00000000-0005-0000-0000-0000E3A20000}"/>
    <cellStyle name="Total 3 2 3 2" xfId="34256" xr:uid="{00000000-0005-0000-0000-0000E4A20000}"/>
    <cellStyle name="Total 3 2 3 2 2" xfId="34257" xr:uid="{00000000-0005-0000-0000-0000E5A20000}"/>
    <cellStyle name="Total 3 2 3 3" xfId="34258" xr:uid="{00000000-0005-0000-0000-0000E6A20000}"/>
    <cellStyle name="Total 3 2 4" xfId="34259" xr:uid="{00000000-0005-0000-0000-0000E7A20000}"/>
    <cellStyle name="Total 3 2 4 2" xfId="34260" xr:uid="{00000000-0005-0000-0000-0000E8A20000}"/>
    <cellStyle name="Total 3 2 4 2 2" xfId="34261" xr:uid="{00000000-0005-0000-0000-0000E9A20000}"/>
    <cellStyle name="Total 3 2 4 3" xfId="34262" xr:uid="{00000000-0005-0000-0000-0000EAA20000}"/>
    <cellStyle name="Total 3 2 4 4" xfId="41086" xr:uid="{00000000-0005-0000-0000-0000EBA20000}"/>
    <cellStyle name="Total 3 2 5" xfId="34263" xr:uid="{00000000-0005-0000-0000-0000ECA20000}"/>
    <cellStyle name="Total 3 3" xfId="34264" xr:uid="{00000000-0005-0000-0000-0000EDA20000}"/>
    <cellStyle name="Total 3 3 2" xfId="34265" xr:uid="{00000000-0005-0000-0000-0000EEA20000}"/>
    <cellStyle name="Total 3 3 2 2" xfId="34266" xr:uid="{00000000-0005-0000-0000-0000EFA20000}"/>
    <cellStyle name="Total 3 3 2 2 2" xfId="34267" xr:uid="{00000000-0005-0000-0000-0000F0A20000}"/>
    <cellStyle name="Total 3 3 2 2 2 2" xfId="34268" xr:uid="{00000000-0005-0000-0000-0000F1A20000}"/>
    <cellStyle name="Total 3 3 2 2 3" xfId="34269" xr:uid="{00000000-0005-0000-0000-0000F2A20000}"/>
    <cellStyle name="Total 3 3 2 3" xfId="34270" xr:uid="{00000000-0005-0000-0000-0000F3A20000}"/>
    <cellStyle name="Total 3 3 3" xfId="34271" xr:uid="{00000000-0005-0000-0000-0000F4A20000}"/>
    <cellStyle name="Total 3 3 3 2" xfId="34272" xr:uid="{00000000-0005-0000-0000-0000F5A20000}"/>
    <cellStyle name="Total 3 3 3 2 2" xfId="34273" xr:uid="{00000000-0005-0000-0000-0000F6A20000}"/>
    <cellStyle name="Total 3 3 3 3" xfId="34274" xr:uid="{00000000-0005-0000-0000-0000F7A20000}"/>
    <cellStyle name="Total 3 3 4" xfId="34275" xr:uid="{00000000-0005-0000-0000-0000F8A20000}"/>
    <cellStyle name="Total 3 3 4 2" xfId="34276" xr:uid="{00000000-0005-0000-0000-0000F9A20000}"/>
    <cellStyle name="Total 3 3 4 2 2" xfId="34277" xr:uid="{00000000-0005-0000-0000-0000FAA20000}"/>
    <cellStyle name="Total 3 3 4 3" xfId="34278" xr:uid="{00000000-0005-0000-0000-0000FBA20000}"/>
    <cellStyle name="Total 3 3 4 4" xfId="41087" xr:uid="{00000000-0005-0000-0000-0000FCA20000}"/>
    <cellStyle name="Total 3 3 5" xfId="34279" xr:uid="{00000000-0005-0000-0000-0000FDA20000}"/>
    <cellStyle name="Total 3 4" xfId="34280" xr:uid="{00000000-0005-0000-0000-0000FEA20000}"/>
    <cellStyle name="Total 3 4 2" xfId="34281" xr:uid="{00000000-0005-0000-0000-0000FFA20000}"/>
    <cellStyle name="Total 3 4 2 2" xfId="34282" xr:uid="{00000000-0005-0000-0000-000000A30000}"/>
    <cellStyle name="Total 3 4 2 2 2" xfId="34283" xr:uid="{00000000-0005-0000-0000-000001A30000}"/>
    <cellStyle name="Total 3 4 2 3" xfId="34284" xr:uid="{00000000-0005-0000-0000-000002A30000}"/>
    <cellStyle name="Total 3 4 3" xfId="34285" xr:uid="{00000000-0005-0000-0000-000003A30000}"/>
    <cellStyle name="Total 3 4 3 2" xfId="34286" xr:uid="{00000000-0005-0000-0000-000004A30000}"/>
    <cellStyle name="Total 3 4 3 2 2" xfId="34287" xr:uid="{00000000-0005-0000-0000-000005A30000}"/>
    <cellStyle name="Total 3 4 3 3" xfId="34288" xr:uid="{00000000-0005-0000-0000-000006A30000}"/>
    <cellStyle name="Total 3 4 4" xfId="34289" xr:uid="{00000000-0005-0000-0000-000007A30000}"/>
    <cellStyle name="Total 3 4 4 2" xfId="34290" xr:uid="{00000000-0005-0000-0000-000008A30000}"/>
    <cellStyle name="Total 3 4 4 2 2" xfId="34291" xr:uid="{00000000-0005-0000-0000-000009A30000}"/>
    <cellStyle name="Total 3 4 4 3" xfId="34292" xr:uid="{00000000-0005-0000-0000-00000AA30000}"/>
    <cellStyle name="Total 3 4 5" xfId="34293" xr:uid="{00000000-0005-0000-0000-00000BA30000}"/>
    <cellStyle name="Total 3 5" xfId="34294" xr:uid="{00000000-0005-0000-0000-00000CA30000}"/>
    <cellStyle name="Total 3 5 2" xfId="34295" xr:uid="{00000000-0005-0000-0000-00000DA30000}"/>
    <cellStyle name="Total 3 5 2 2" xfId="34296" xr:uid="{00000000-0005-0000-0000-00000EA30000}"/>
    <cellStyle name="Total 3 5 3" xfId="34297" xr:uid="{00000000-0005-0000-0000-00000FA30000}"/>
    <cellStyle name="Total 3 6" xfId="34298" xr:uid="{00000000-0005-0000-0000-000010A30000}"/>
    <cellStyle name="Total 3 6 2" xfId="34299" xr:uid="{00000000-0005-0000-0000-000011A30000}"/>
    <cellStyle name="Total 3 6 2 2" xfId="34300" xr:uid="{00000000-0005-0000-0000-000012A30000}"/>
    <cellStyle name="Total 3 6 3" xfId="34301" xr:uid="{00000000-0005-0000-0000-000013A30000}"/>
    <cellStyle name="Total 3 7" xfId="34302" xr:uid="{00000000-0005-0000-0000-000014A30000}"/>
    <cellStyle name="Total 3 7 2" xfId="34303" xr:uid="{00000000-0005-0000-0000-000015A30000}"/>
    <cellStyle name="Total 3 7 2 2" xfId="34304" xr:uid="{00000000-0005-0000-0000-000016A30000}"/>
    <cellStyle name="Total 3 7 3" xfId="34305" xr:uid="{00000000-0005-0000-0000-000017A30000}"/>
    <cellStyle name="Total 3 7 4" xfId="41088" xr:uid="{00000000-0005-0000-0000-000018A30000}"/>
    <cellStyle name="Total 3 8" xfId="34306" xr:uid="{00000000-0005-0000-0000-000019A30000}"/>
    <cellStyle name="Total 3 9" xfId="36616" xr:uid="{00000000-0005-0000-0000-00001AA30000}"/>
    <cellStyle name="Total 4" xfId="34307" xr:uid="{00000000-0005-0000-0000-00001BA30000}"/>
    <cellStyle name="Total 4 2" xfId="34308" xr:uid="{00000000-0005-0000-0000-00001CA30000}"/>
    <cellStyle name="Total 4 3" xfId="34309" xr:uid="{00000000-0005-0000-0000-00001DA30000}"/>
    <cellStyle name="Total 4 3 2" xfId="34310" xr:uid="{00000000-0005-0000-0000-00001EA30000}"/>
    <cellStyle name="Total 4 3 2 2" xfId="34311" xr:uid="{00000000-0005-0000-0000-00001FA30000}"/>
    <cellStyle name="Total 4 3 3" xfId="34312" xr:uid="{00000000-0005-0000-0000-000020A30000}"/>
    <cellStyle name="Total 4 4" xfId="34313" xr:uid="{00000000-0005-0000-0000-000021A30000}"/>
    <cellStyle name="Total 5" xfId="34314" xr:uid="{00000000-0005-0000-0000-000022A30000}"/>
    <cellStyle name="Total 5 2" xfId="34315" xr:uid="{00000000-0005-0000-0000-000023A30000}"/>
    <cellStyle name="Total 6" xfId="34316" xr:uid="{00000000-0005-0000-0000-000024A30000}"/>
    <cellStyle name="Total 6 2" xfId="34317" xr:uid="{00000000-0005-0000-0000-000025A30000}"/>
    <cellStyle name="Total 6 2 2" xfId="41090" xr:uid="{00000000-0005-0000-0000-000026A30000}"/>
    <cellStyle name="Total 6 2 3" xfId="41089" xr:uid="{00000000-0005-0000-0000-000027A30000}"/>
    <cellStyle name="Total 6 3" xfId="34318" xr:uid="{00000000-0005-0000-0000-000028A30000}"/>
    <cellStyle name="Total 6 3 2" xfId="34319" xr:uid="{00000000-0005-0000-0000-000029A30000}"/>
    <cellStyle name="Total 6 4" xfId="34320" xr:uid="{00000000-0005-0000-0000-00002AA30000}"/>
    <cellStyle name="Total 7" xfId="34321" xr:uid="{00000000-0005-0000-0000-00002BA30000}"/>
    <cellStyle name="Total 7 2" xfId="34322" xr:uid="{00000000-0005-0000-0000-00002CA30000}"/>
    <cellStyle name="Total 7 2 2" xfId="34323" xr:uid="{00000000-0005-0000-0000-00002DA30000}"/>
    <cellStyle name="Total 7 3" xfId="34324" xr:uid="{00000000-0005-0000-0000-00002EA30000}"/>
    <cellStyle name="Total 7 4" xfId="41091" xr:uid="{00000000-0005-0000-0000-00002FA30000}"/>
    <cellStyle name="Total 8" xfId="34325" xr:uid="{00000000-0005-0000-0000-000030A30000}"/>
    <cellStyle name="Total 8 2" xfId="34326" xr:uid="{00000000-0005-0000-0000-000031A30000}"/>
    <cellStyle name="Total 8 2 2" xfId="34327" xr:uid="{00000000-0005-0000-0000-000032A30000}"/>
    <cellStyle name="Total 8 3" xfId="41092" xr:uid="{00000000-0005-0000-0000-000033A30000}"/>
    <cellStyle name="Total 8 4" xfId="41093" xr:uid="{00000000-0005-0000-0000-000034A30000}"/>
    <cellStyle name="Total 9" xfId="34328" xr:uid="{00000000-0005-0000-0000-000035A30000}"/>
    <cellStyle name="Warning Text 2" xfId="34329" xr:uid="{00000000-0005-0000-0000-000036A30000}"/>
    <cellStyle name="Warning Text 2 2" xfId="34330" xr:uid="{00000000-0005-0000-0000-000037A30000}"/>
    <cellStyle name="Warning Text 2 2 2" xfId="34331" xr:uid="{00000000-0005-0000-0000-000038A30000}"/>
    <cellStyle name="Warning Text 2 3" xfId="34332" xr:uid="{00000000-0005-0000-0000-000039A30000}"/>
    <cellStyle name="Warning Text 2 3 2" xfId="34333" xr:uid="{00000000-0005-0000-0000-00003AA30000}"/>
    <cellStyle name="Warning Text 2 4" xfId="34334" xr:uid="{00000000-0005-0000-0000-00003BA30000}"/>
    <cellStyle name="Warning Text 2 4 2" xfId="34335" xr:uid="{00000000-0005-0000-0000-00003CA30000}"/>
    <cellStyle name="Warning Text 2 4 3" xfId="36617" xr:uid="{00000000-0005-0000-0000-00003DA30000}"/>
    <cellStyle name="Warning Text 2 5" xfId="34336" xr:uid="{00000000-0005-0000-0000-00003EA30000}"/>
    <cellStyle name="Warning Text 3" xfId="34337" xr:uid="{00000000-0005-0000-0000-00003FA30000}"/>
    <cellStyle name="Warning Text 3 2" xfId="34338" xr:uid="{00000000-0005-0000-0000-000040A30000}"/>
    <cellStyle name="Warning Text 3 3" xfId="34339" xr:uid="{00000000-0005-0000-0000-000041A30000}"/>
    <cellStyle name="Warning Text 3 4" xfId="34340" xr:uid="{00000000-0005-0000-0000-000042A30000}"/>
    <cellStyle name="Warning Text 4" xfId="34341" xr:uid="{00000000-0005-0000-0000-000043A30000}"/>
    <cellStyle name="Warning Text 4 2" xfId="34342" xr:uid="{00000000-0005-0000-0000-000044A30000}"/>
    <cellStyle name="Warning Text 4 2 2" xfId="34343" xr:uid="{00000000-0005-0000-0000-000045A30000}"/>
    <cellStyle name="Warning Text 4 3" xfId="34344" xr:uid="{00000000-0005-0000-0000-000046A30000}"/>
    <cellStyle name="Warning Text 5" xfId="34345" xr:uid="{00000000-0005-0000-0000-000047A30000}"/>
    <cellStyle name="Warning Text 6" xfId="34346" xr:uid="{00000000-0005-0000-0000-000048A30000}"/>
    <cellStyle name="Warning Text 7" xfId="34347" xr:uid="{00000000-0005-0000-0000-000049A30000}"/>
    <cellStyle name="year" xfId="36618" xr:uid="{00000000-0005-0000-0000-00004AA30000}"/>
    <cellStyle name="year 2" xfId="36619" xr:uid="{00000000-0005-0000-0000-00004BA30000}"/>
    <cellStyle name="year 2 2" xfId="36620" xr:uid="{00000000-0005-0000-0000-00004CA30000}"/>
    <cellStyle name="year 3" xfId="36621" xr:uid="{00000000-0005-0000-0000-00004DA30000}"/>
    <cellStyle name="year_29(d) - Gas extensions -tariffs" xfId="42000" xr:uid="{5E732A8A-A6F3-4280-A773-60B22862B183}"/>
    <cellStyle name="표준_KZ-DRAWING-NO" xfId="34348" xr:uid="{00000000-0005-0000-0000-00004EA30000}"/>
  </cellStyles>
  <dxfs count="45">
    <dxf>
      <fill>
        <patternFill>
          <bgColor rgb="FFFFFFCC"/>
        </patternFill>
      </fill>
    </dxf>
    <dxf>
      <fill>
        <patternFill>
          <bgColor theme="0" tint="-0.14996795556505021"/>
        </patternFill>
      </fill>
    </dxf>
    <dxf>
      <fill>
        <patternFill>
          <bgColor rgb="FFFFFFCC"/>
        </patternFill>
      </fill>
    </dxf>
    <dxf>
      <fill>
        <patternFill>
          <bgColor rgb="FFFFFFCC"/>
        </patternFill>
      </fill>
    </dxf>
    <dxf>
      <fill>
        <patternFill>
          <bgColor theme="0" tint="-0.14996795556505021"/>
        </patternFill>
      </fill>
    </dxf>
    <dxf>
      <fill>
        <patternFill>
          <bgColor rgb="FFFFFFCC"/>
        </patternFill>
      </fill>
    </dxf>
    <dxf>
      <numFmt numFmtId="0" formatCode="General"/>
      <fill>
        <patternFill patternType="solid">
          <fgColor rgb="FF000000"/>
          <bgColor rgb="FFBFBFBF"/>
        </patternFill>
      </fill>
    </dxf>
    <dxf>
      <numFmt numFmtId="0" formatCode="General"/>
      <fill>
        <patternFill patternType="solid">
          <fgColor rgb="FF000000"/>
          <bgColor rgb="FFBFBFBF"/>
        </patternFill>
      </fill>
    </dxf>
    <dxf>
      <numFmt numFmtId="0" formatCode="General"/>
      <fill>
        <patternFill patternType="solid">
          <fgColor rgb="FF000000"/>
          <bgColor rgb="FFBFBFBF"/>
        </patternFill>
      </fill>
    </dxf>
    <dxf>
      <numFmt numFmtId="0" formatCode="General"/>
      <fill>
        <patternFill patternType="solid">
          <fgColor rgb="FF000000"/>
          <bgColor rgb="FFBFBFBF"/>
        </patternFill>
      </fill>
    </dxf>
    <dxf>
      <numFmt numFmtId="0" formatCode="General"/>
      <fill>
        <patternFill patternType="solid">
          <fgColor rgb="FF000000"/>
          <bgColor rgb="FFBFBFBF"/>
        </patternFill>
      </fill>
    </dxf>
    <dxf>
      <numFmt numFmtId="0" formatCode="General"/>
      <fill>
        <patternFill patternType="solid">
          <fgColor rgb="FF000000"/>
          <bgColor rgb="FFBFBFB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CC"/>
        </patternFill>
      </fill>
    </dxf>
    <dxf>
      <fill>
        <patternFill>
          <bgColor theme="0" tint="-0.14996795556505021"/>
        </patternFill>
      </fill>
    </dxf>
    <dxf>
      <fill>
        <patternFill>
          <bgColor theme="4" tint="0.59996337778862885"/>
        </patternFill>
      </fill>
    </dxf>
    <dxf>
      <fill>
        <patternFill>
          <bgColor rgb="FFFFFFCC"/>
        </patternFill>
      </fill>
    </dxf>
    <dxf>
      <fill>
        <patternFill>
          <bgColor rgb="FFFFFFCC"/>
        </patternFill>
      </fill>
    </dxf>
    <dxf>
      <fill>
        <patternFill>
          <bgColor theme="0" tint="-0.14996795556505021"/>
        </patternFill>
      </fill>
    </dxf>
    <dxf>
      <fill>
        <patternFill>
          <bgColor theme="4" tint="0.59996337778862885"/>
        </patternFill>
      </fill>
    </dxf>
    <dxf>
      <fill>
        <patternFill>
          <bgColor rgb="FFFFFFCC"/>
        </patternFill>
      </fill>
    </dxf>
    <dxf>
      <fill>
        <patternFill>
          <bgColor rgb="FFFFFFCC"/>
        </patternFill>
      </fill>
    </dxf>
    <dxf>
      <fill>
        <patternFill>
          <bgColor theme="0" tint="-0.14996795556505021"/>
        </patternFill>
      </fill>
    </dxf>
    <dxf>
      <fill>
        <patternFill>
          <bgColor theme="4" tint="0.59996337778862885"/>
        </patternFill>
      </fill>
    </dxf>
    <dxf>
      <fill>
        <patternFill>
          <bgColor rgb="FFFFFFCC"/>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ill>
        <patternFill>
          <bgColor rgb="FF92D050"/>
        </patternFill>
      </fill>
    </dxf>
    <dxf>
      <fill>
        <patternFill>
          <bgColor rgb="FFFF0000"/>
        </patternFill>
      </fill>
    </dxf>
    <dxf>
      <font>
        <b/>
        <i val="0"/>
        <color rgb="FFFF0000"/>
      </font>
    </dxf>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s>
  <tableStyles count="0" defaultTableStyle="TableStyleMedium2" defaultPivotStyle="PivotStyleLight16"/>
  <colors>
    <mruColors>
      <color rgb="FFFFFFCC"/>
      <color rgb="FF0000FF"/>
      <color rgb="FFCCFFCC"/>
      <color rgb="FFCCFF99"/>
      <color rgb="FF66FFFF"/>
      <color rgb="FFFFCCFF"/>
      <color rgb="FFFFFF66"/>
      <color rgb="FFFFFF99"/>
      <color rgb="FFFF66FF"/>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'TBL Forecasts'!$J$4</c:f>
              <c:strCache>
                <c:ptCount val="1"/>
                <c:pt idx="0">
                  <c:v>Total energy delivered</c:v>
                </c:pt>
              </c:strCache>
            </c:strRef>
          </c:tx>
          <c:spPr>
            <a:ln w="28575" cap="rnd">
              <a:solidFill>
                <a:schemeClr val="accent1"/>
              </a:solidFill>
              <a:round/>
            </a:ln>
            <a:effectLst/>
          </c:spPr>
          <c:marker>
            <c:symbol val="none"/>
          </c:marker>
          <c:cat>
            <c:strRef>
              <c:f>'TBL Forecasts'!$L$3:$S$3</c:f>
              <c:strCache>
                <c:ptCount val="8"/>
                <c:pt idx="0">
                  <c:v>2017-18 
Actual</c:v>
                </c:pt>
                <c:pt idx="1">
                  <c:v>2018-19  Actual</c:v>
                </c:pt>
                <c:pt idx="2">
                  <c:v>2019-20  
Actual</c:v>
                </c:pt>
                <c:pt idx="3">
                  <c:v>2020-21 
Pricing Proposal Forecast</c:v>
                </c:pt>
                <c:pt idx="4">
                  <c:v>2021-22 Forecast </c:v>
                </c:pt>
                <c:pt idx="5">
                  <c:v>2022-23 Forecast </c:v>
                </c:pt>
                <c:pt idx="6">
                  <c:v>2023-24 Forecast </c:v>
                </c:pt>
                <c:pt idx="7">
                  <c:v>2024-25 Forecast </c:v>
                </c:pt>
              </c:strCache>
            </c:strRef>
          </c:cat>
          <c:val>
            <c:numRef>
              <c:f>'TBL Forecasts'!$L$4:$S$4</c:f>
              <c:numCache>
                <c:formatCode>_-* #,##0_-;\-* #,##0_-;_-* "-"??_-;_-@_-</c:formatCode>
                <c:ptCount val="8"/>
                <c:pt idx="0">
                  <c:v>13243.175958469006</c:v>
                </c:pt>
                <c:pt idx="1">
                  <c:v>13504</c:v>
                </c:pt>
                <c:pt idx="2">
                  <c:v>13567</c:v>
                </c:pt>
                <c:pt idx="3">
                  <c:v>13482</c:v>
                </c:pt>
                <c:pt idx="4">
                  <c:v>13253.956012636185</c:v>
                </c:pt>
                <c:pt idx="5">
                  <c:v>13170</c:v>
                </c:pt>
                <c:pt idx="6">
                  <c:v>13141</c:v>
                </c:pt>
                <c:pt idx="7">
                  <c:v>13160</c:v>
                </c:pt>
              </c:numCache>
            </c:numRef>
          </c:val>
          <c:smooth val="0"/>
          <c:extLst>
            <c:ext xmlns:c16="http://schemas.microsoft.com/office/drawing/2014/chart" uri="{C3380CC4-5D6E-409C-BE32-E72D297353CC}">
              <c16:uniqueId val="{00000000-5875-4732-8FC9-96001541990F}"/>
            </c:ext>
          </c:extLst>
        </c:ser>
        <c:dLbls>
          <c:showLegendKey val="0"/>
          <c:showVal val="0"/>
          <c:showCatName val="0"/>
          <c:showSerName val="0"/>
          <c:showPercent val="0"/>
          <c:showBubbleSize val="0"/>
        </c:dLbls>
        <c:smooth val="0"/>
        <c:axId val="606171544"/>
        <c:axId val="606173512"/>
      </c:lineChart>
      <c:catAx>
        <c:axId val="606171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173512"/>
        <c:crosses val="autoZero"/>
        <c:auto val="1"/>
        <c:lblAlgn val="ctr"/>
        <c:lblOffset val="100"/>
        <c:noMultiLvlLbl val="0"/>
      </c:catAx>
      <c:valAx>
        <c:axId val="606173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Energy delivered (GWh)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6171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drawings/_rels/drawing4.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23.wmf"/><Relationship Id="rId2" Type="http://schemas.openxmlformats.org/officeDocument/2006/relationships/image" Target="../media/image22.wmf"/><Relationship Id="rId1" Type="http://schemas.openxmlformats.org/officeDocument/2006/relationships/image" Target="../media/image21.wmf"/><Relationship Id="rId5" Type="http://schemas.openxmlformats.org/officeDocument/2006/relationships/image" Target="../media/image25.wmf"/><Relationship Id="rId4" Type="http://schemas.openxmlformats.org/officeDocument/2006/relationships/image" Target="../media/image24.w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3.wmf"/><Relationship Id="rId2" Type="http://schemas.openxmlformats.org/officeDocument/2006/relationships/image" Target="../media/image22.wmf"/><Relationship Id="rId1" Type="http://schemas.openxmlformats.org/officeDocument/2006/relationships/image" Target="../media/image21.wmf"/><Relationship Id="rId5" Type="http://schemas.openxmlformats.org/officeDocument/2006/relationships/image" Target="../media/image25.wmf"/><Relationship Id="rId4" Type="http://schemas.openxmlformats.org/officeDocument/2006/relationships/image" Target="../media/image24.wmf"/></Relationships>
</file>

<file path=xl/drawings/drawing1.xml><?xml version="1.0" encoding="utf-8"?>
<xdr:wsDr xmlns:xdr="http://schemas.openxmlformats.org/drawingml/2006/spreadsheetDrawing" xmlns:a="http://schemas.openxmlformats.org/drawingml/2006/main">
  <xdr:twoCellAnchor editAs="oneCell">
    <xdr:from>
      <xdr:col>0</xdr:col>
      <xdr:colOff>41605</xdr:colOff>
      <xdr:row>0</xdr:row>
      <xdr:rowOff>49846</xdr:rowOff>
    </xdr:from>
    <xdr:to>
      <xdr:col>14</xdr:col>
      <xdr:colOff>571500</xdr:colOff>
      <xdr:row>84</xdr:row>
      <xdr:rowOff>121920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1605" y="49846"/>
          <a:ext cx="9064295" cy="14153834"/>
        </a:xfrm>
        <a:prstGeom prst="rect">
          <a:avLst/>
        </a:prstGeom>
      </xdr:spPr>
    </xdr:pic>
    <xdr:clientData/>
  </xdr:twoCellAnchor>
  <xdr:twoCellAnchor>
    <xdr:from>
      <xdr:col>1</xdr:col>
      <xdr:colOff>66674</xdr:colOff>
      <xdr:row>0</xdr:row>
      <xdr:rowOff>38099</xdr:rowOff>
    </xdr:from>
    <xdr:to>
      <xdr:col>10</xdr:col>
      <xdr:colOff>380999</xdr:colOff>
      <xdr:row>9</xdr:row>
      <xdr:rowOff>28575</xdr:rowOff>
    </xdr:to>
    <xdr:sp macro="" textlink="">
      <xdr:nvSpPr>
        <xdr:cNvPr id="4" name="Text Box 5">
          <a:extLst>
            <a:ext uri="{FF2B5EF4-FFF2-40B4-BE49-F238E27FC236}">
              <a16:creationId xmlns:a16="http://schemas.microsoft.com/office/drawing/2014/main" id="{00000000-0008-0000-0000-000004000000}"/>
            </a:ext>
          </a:extLst>
        </xdr:cNvPr>
        <xdr:cNvSpPr txBox="1">
          <a:spLocks noChangeAspect="1" noChangeArrowheads="1"/>
        </xdr:cNvSpPr>
      </xdr:nvSpPr>
      <xdr:spPr bwMode="auto">
        <a:xfrm>
          <a:off x="676274" y="38099"/>
          <a:ext cx="5800725" cy="1447801"/>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chemeClr val="tx2"/>
              </a:solidFill>
              <a:effectLst/>
              <a:latin typeface="Arial Black"/>
              <a:ea typeface="Calibri"/>
              <a:cs typeface="Arial"/>
            </a:rPr>
            <a:t>Ergon Energy</a:t>
          </a:r>
        </a:p>
      </xdr:txBody>
    </xdr:sp>
    <xdr:clientData/>
  </xdr:twoCellAnchor>
  <xdr:twoCellAnchor>
    <xdr:from>
      <xdr:col>0</xdr:col>
      <xdr:colOff>0</xdr:colOff>
      <xdr:row>9</xdr:row>
      <xdr:rowOff>16508</xdr:rowOff>
    </xdr:from>
    <xdr:to>
      <xdr:col>10</xdr:col>
      <xdr:colOff>459740</xdr:colOff>
      <xdr:row>15</xdr:row>
      <xdr:rowOff>114299</xdr:rowOff>
    </xdr:to>
    <xdr:sp macro="" textlink="">
      <xdr:nvSpPr>
        <xdr:cNvPr id="5" name="Text Box 8">
          <a:extLst>
            <a:ext uri="{FF2B5EF4-FFF2-40B4-BE49-F238E27FC236}">
              <a16:creationId xmlns:a16="http://schemas.microsoft.com/office/drawing/2014/main" id="{00000000-0008-0000-0000-000005000000}"/>
            </a:ext>
          </a:extLst>
        </xdr:cNvPr>
        <xdr:cNvSpPr txBox="1">
          <a:spLocks noChangeArrowheads="1"/>
        </xdr:cNvSpPr>
      </xdr:nvSpPr>
      <xdr:spPr bwMode="auto">
        <a:xfrm>
          <a:off x="0" y="1516696"/>
          <a:ext cx="6571615" cy="1097916"/>
        </a:xfrm>
        <a:prstGeom prst="rect">
          <a:avLst/>
        </a:prstGeom>
        <a:noFill/>
        <a:ln w="9525">
          <a:noFill/>
          <a:miter lim="800000"/>
          <a:headEnd/>
          <a:tailEnd/>
        </a:ln>
      </xdr:spPr>
      <xdr:txBody>
        <a:bodyPr rot="0" vert="horz" wrap="square" lIns="91440" tIns="45720" rIns="91440" bIns="45720" anchor="ctr" anchorCtr="0">
          <a:noAutofit/>
        </a:bodyPr>
        <a:lstStyle/>
        <a:p>
          <a:pPr algn="r">
            <a:spcBef>
              <a:spcPts val="600"/>
            </a:spcBef>
            <a:spcAft>
              <a:spcPts val="600"/>
            </a:spcAft>
          </a:pPr>
          <a:r>
            <a:rPr lang="en-AU" sz="2600" b="1" baseline="0">
              <a:solidFill>
                <a:schemeClr val="tx2"/>
              </a:solidFill>
              <a:effectLst/>
              <a:latin typeface="Arial"/>
              <a:ea typeface="Calibri"/>
            </a:rPr>
            <a:t>Public </a:t>
          </a:r>
          <a:r>
            <a:rPr lang="en-AU" sz="2600" b="1">
              <a:solidFill>
                <a:schemeClr val="tx2"/>
              </a:solidFill>
              <a:effectLst/>
              <a:latin typeface="Arial"/>
              <a:ea typeface="Calibri"/>
            </a:rPr>
            <a:t>Tariff Approval Model: </a:t>
          </a:r>
        </a:p>
        <a:p>
          <a:pPr algn="r">
            <a:spcBef>
              <a:spcPts val="600"/>
            </a:spcBef>
            <a:spcAft>
              <a:spcPts val="600"/>
            </a:spcAft>
          </a:pPr>
          <a:r>
            <a:rPr lang="en-AU" sz="2600" b="1">
              <a:solidFill>
                <a:schemeClr val="tx2"/>
              </a:solidFill>
              <a:effectLst/>
              <a:latin typeface="Arial"/>
              <a:ea typeface="Calibri"/>
            </a:rPr>
            <a:t>SCS</a:t>
          </a:r>
          <a:r>
            <a:rPr lang="en-AU" sz="2600" b="1" baseline="0">
              <a:solidFill>
                <a:schemeClr val="tx2"/>
              </a:solidFill>
              <a:effectLst/>
              <a:latin typeface="Arial"/>
              <a:ea typeface="Calibri"/>
            </a:rPr>
            <a:t> and ACS prices </a:t>
          </a:r>
          <a:endParaRPr lang="en-AU" sz="2600" b="1">
            <a:solidFill>
              <a:schemeClr val="tx2"/>
            </a:solidFill>
            <a:effectLst/>
            <a:latin typeface="Arial"/>
            <a:ea typeface="Calibri"/>
          </a:endParaRPr>
        </a:p>
      </xdr:txBody>
    </xdr:sp>
    <xdr:clientData/>
  </xdr:twoCellAnchor>
  <xdr:twoCellAnchor>
    <xdr:from>
      <xdr:col>0</xdr:col>
      <xdr:colOff>485775</xdr:colOff>
      <xdr:row>16</xdr:row>
      <xdr:rowOff>161924</xdr:rowOff>
    </xdr:from>
    <xdr:to>
      <xdr:col>10</xdr:col>
      <xdr:colOff>289560</xdr:colOff>
      <xdr:row>19</xdr:row>
      <xdr:rowOff>95249</xdr:rowOff>
    </xdr:to>
    <xdr:sp macro="" textlink="">
      <xdr:nvSpPr>
        <xdr:cNvPr id="6" name="Text Box 12">
          <a:extLst>
            <a:ext uri="{FF2B5EF4-FFF2-40B4-BE49-F238E27FC236}">
              <a16:creationId xmlns:a16="http://schemas.microsoft.com/office/drawing/2014/main" id="{00000000-0008-0000-0000-000006000000}"/>
            </a:ext>
          </a:extLst>
        </xdr:cNvPr>
        <xdr:cNvSpPr txBox="1">
          <a:spLocks noChangeArrowheads="1"/>
        </xdr:cNvSpPr>
      </xdr:nvSpPr>
      <xdr:spPr bwMode="auto">
        <a:xfrm>
          <a:off x="485775" y="2752724"/>
          <a:ext cx="5899785" cy="419100"/>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chemeClr val="tx2"/>
              </a:solidFill>
              <a:effectLst/>
              <a:latin typeface="Arial"/>
              <a:ea typeface="Calibri"/>
            </a:rPr>
            <a:t>1 July 2021 to 30 June 2022</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200025</xdr:colOff>
      <xdr:row>223</xdr:row>
      <xdr:rowOff>57150</xdr:rowOff>
    </xdr:from>
    <xdr:to>
      <xdr:col>1</xdr:col>
      <xdr:colOff>452090</xdr:colOff>
      <xdr:row>224</xdr:row>
      <xdr:rowOff>146656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41985" y="38591490"/>
          <a:ext cx="241905" cy="241906"/>
        </a:xfrm>
        <a:prstGeom prst="rect">
          <a:avLst/>
        </a:prstGeom>
      </xdr:spPr>
    </xdr:pic>
    <xdr:clientData/>
  </xdr:twoCellAnchor>
  <xdr:twoCellAnchor editAs="oneCell">
    <xdr:from>
      <xdr:col>1</xdr:col>
      <xdr:colOff>152400</xdr:colOff>
      <xdr:row>227</xdr:row>
      <xdr:rowOff>28575</xdr:rowOff>
    </xdr:from>
    <xdr:to>
      <xdr:col>1</xdr:col>
      <xdr:colOff>528275</xdr:colOff>
      <xdr:row>228</xdr:row>
      <xdr:rowOff>147285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594360" y="39233475"/>
          <a:ext cx="365715" cy="272380"/>
        </a:xfrm>
        <a:prstGeom prst="rect">
          <a:avLst/>
        </a:prstGeom>
      </xdr:spPr>
    </xdr:pic>
    <xdr:clientData/>
  </xdr:twoCellAnchor>
  <xdr:twoCellAnchor editAs="oneCell">
    <xdr:from>
      <xdr:col>1</xdr:col>
      <xdr:colOff>114300</xdr:colOff>
      <xdr:row>232</xdr:row>
      <xdr:rowOff>40005</xdr:rowOff>
    </xdr:from>
    <xdr:to>
      <xdr:col>1</xdr:col>
      <xdr:colOff>577157</xdr:colOff>
      <xdr:row>233</xdr:row>
      <xdr:rowOff>79340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556260" y="40151685"/>
          <a:ext cx="474287" cy="281905"/>
        </a:xfrm>
        <a:prstGeom prst="rect">
          <a:avLst/>
        </a:prstGeom>
      </xdr:spPr>
    </xdr:pic>
    <xdr:clientData/>
  </xdr:twoCellAnchor>
  <xdr:twoCellAnchor editAs="oneCell">
    <xdr:from>
      <xdr:col>1</xdr:col>
      <xdr:colOff>219075</xdr:colOff>
      <xdr:row>235</xdr:row>
      <xdr:rowOff>47625</xdr:rowOff>
    </xdr:from>
    <xdr:to>
      <xdr:col>1</xdr:col>
      <xdr:colOff>491458</xdr:colOff>
      <xdr:row>236</xdr:row>
      <xdr:rowOff>146018</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661035" y="40867965"/>
          <a:ext cx="260953" cy="253333"/>
        </a:xfrm>
        <a:prstGeom prst="rect">
          <a:avLst/>
        </a:prstGeom>
      </xdr:spPr>
    </xdr:pic>
    <xdr:clientData/>
  </xdr:twoCellAnchor>
  <xdr:twoCellAnchor editAs="oneCell">
    <xdr:from>
      <xdr:col>1</xdr:col>
      <xdr:colOff>219075</xdr:colOff>
      <xdr:row>237</xdr:row>
      <xdr:rowOff>38100</xdr:rowOff>
    </xdr:from>
    <xdr:to>
      <xdr:col>1</xdr:col>
      <xdr:colOff>450821</xdr:colOff>
      <xdr:row>238</xdr:row>
      <xdr:rowOff>145384</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661035" y="41193720"/>
          <a:ext cx="219046" cy="260954"/>
        </a:xfrm>
        <a:prstGeom prst="rect">
          <a:avLst/>
        </a:prstGeom>
      </xdr:spPr>
    </xdr:pic>
    <xdr:clientData/>
  </xdr:twoCellAnchor>
  <xdr:oneCellAnchor>
    <xdr:from>
      <xdr:col>1</xdr:col>
      <xdr:colOff>91440</xdr:colOff>
      <xdr:row>262</xdr:row>
      <xdr:rowOff>62865</xdr:rowOff>
    </xdr:from>
    <xdr:ext cx="466667" cy="276190"/>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a:stretch>
          <a:fillRect/>
        </a:stretch>
      </xdr:blipFill>
      <xdr:spPr>
        <a:xfrm>
          <a:off x="533400" y="45386625"/>
          <a:ext cx="466667" cy="276190"/>
        </a:xfrm>
        <a:prstGeom prst="rect">
          <a:avLst/>
        </a:prstGeom>
      </xdr:spPr>
    </xdr:pic>
    <xdr:clientData/>
  </xdr:oneCellAnchor>
  <xdr:oneCellAnchor>
    <xdr:from>
      <xdr:col>1</xdr:col>
      <xdr:colOff>219075</xdr:colOff>
      <xdr:row>265</xdr:row>
      <xdr:rowOff>47625</xdr:rowOff>
    </xdr:from>
    <xdr:ext cx="257143" cy="257143"/>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a:stretch>
          <a:fillRect/>
        </a:stretch>
      </xdr:blipFill>
      <xdr:spPr>
        <a:xfrm>
          <a:off x="661035" y="46080045"/>
          <a:ext cx="257143" cy="257143"/>
        </a:xfrm>
        <a:prstGeom prst="rect">
          <a:avLst/>
        </a:prstGeom>
      </xdr:spPr>
    </xdr:pic>
    <xdr:clientData/>
  </xdr:oneCellAnchor>
  <xdr:twoCellAnchor editAs="oneCell">
    <xdr:from>
      <xdr:col>1</xdr:col>
      <xdr:colOff>91440</xdr:colOff>
      <xdr:row>2</xdr:row>
      <xdr:rowOff>30481</xdr:rowOff>
    </xdr:from>
    <xdr:to>
      <xdr:col>4</xdr:col>
      <xdr:colOff>72390</xdr:colOff>
      <xdr:row>2</xdr:row>
      <xdr:rowOff>642620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33400" y="518161"/>
          <a:ext cx="1912620" cy="601979"/>
        </a:xfrm>
        <a:prstGeom prst="rect">
          <a:avLst/>
        </a:prstGeom>
      </xdr:spPr>
    </xdr:pic>
    <xdr:clientData/>
  </xdr:twoCellAnchor>
  <xdr:twoCellAnchor editAs="oneCell">
    <xdr:from>
      <xdr:col>1</xdr:col>
      <xdr:colOff>83821</xdr:colOff>
      <xdr:row>3</xdr:row>
      <xdr:rowOff>15240</xdr:rowOff>
    </xdr:from>
    <xdr:to>
      <xdr:col>5</xdr:col>
      <xdr:colOff>71499</xdr:colOff>
      <xdr:row>3</xdr:row>
      <xdr:rowOff>415290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7"/>
        <a:stretch>
          <a:fillRect/>
        </a:stretch>
      </xdr:blipFill>
      <xdr:spPr>
        <a:xfrm>
          <a:off x="525781" y="1158240"/>
          <a:ext cx="2596258" cy="396240"/>
        </a:xfrm>
        <a:prstGeom prst="rect">
          <a:avLst/>
        </a:prstGeom>
      </xdr:spPr>
    </xdr:pic>
    <xdr:clientData/>
  </xdr:twoCellAnchor>
  <xdr:twoCellAnchor editAs="oneCell">
    <xdr:from>
      <xdr:col>1</xdr:col>
      <xdr:colOff>68581</xdr:colOff>
      <xdr:row>4</xdr:row>
      <xdr:rowOff>45721</xdr:rowOff>
    </xdr:from>
    <xdr:to>
      <xdr:col>4</xdr:col>
      <xdr:colOff>303530</xdr:colOff>
      <xdr:row>4</xdr:row>
      <xdr:rowOff>424476</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8"/>
        <a:stretch>
          <a:fillRect/>
        </a:stretch>
      </xdr:blipFill>
      <xdr:spPr>
        <a:xfrm>
          <a:off x="510541" y="1684021"/>
          <a:ext cx="2164079" cy="391455"/>
        </a:xfrm>
        <a:prstGeom prst="rect">
          <a:avLst/>
        </a:prstGeom>
      </xdr:spPr>
    </xdr:pic>
    <xdr:clientData/>
  </xdr:twoCellAnchor>
  <xdr:twoCellAnchor editAs="oneCell">
    <xdr:from>
      <xdr:col>1</xdr:col>
      <xdr:colOff>114300</xdr:colOff>
      <xdr:row>5</xdr:row>
      <xdr:rowOff>91441</xdr:rowOff>
    </xdr:from>
    <xdr:to>
      <xdr:col>7</xdr:col>
      <xdr:colOff>606020</xdr:colOff>
      <xdr:row>5</xdr:row>
      <xdr:rowOff>421640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9"/>
        <a:stretch>
          <a:fillRect/>
        </a:stretch>
      </xdr:blipFill>
      <xdr:spPr>
        <a:xfrm>
          <a:off x="556260" y="2171701"/>
          <a:ext cx="4483330" cy="335279"/>
        </a:xfrm>
        <a:prstGeom prst="rect">
          <a:avLst/>
        </a:prstGeom>
      </xdr:spPr>
    </xdr:pic>
    <xdr:clientData/>
  </xdr:twoCellAnchor>
  <xdr:twoCellAnchor editAs="oneCell">
    <xdr:from>
      <xdr:col>1</xdr:col>
      <xdr:colOff>83821</xdr:colOff>
      <xdr:row>6</xdr:row>
      <xdr:rowOff>76200</xdr:rowOff>
    </xdr:from>
    <xdr:to>
      <xdr:col>6</xdr:col>
      <xdr:colOff>411481</xdr:colOff>
      <xdr:row>6</xdr:row>
      <xdr:rowOff>421925</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0"/>
        <a:stretch>
          <a:fillRect/>
        </a:stretch>
      </xdr:blipFill>
      <xdr:spPr>
        <a:xfrm>
          <a:off x="525781" y="2636520"/>
          <a:ext cx="3619500" cy="349535"/>
        </a:xfrm>
        <a:prstGeom prst="rect">
          <a:avLst/>
        </a:prstGeom>
      </xdr:spPr>
    </xdr:pic>
    <xdr:clientData/>
  </xdr:twoCellAnchor>
  <xdr:twoCellAnchor>
    <xdr:from>
      <xdr:col>1</xdr:col>
      <xdr:colOff>53340</xdr:colOff>
      <xdr:row>20</xdr:row>
      <xdr:rowOff>0</xdr:rowOff>
    </xdr:from>
    <xdr:to>
      <xdr:col>1</xdr:col>
      <xdr:colOff>647700</xdr:colOff>
      <xdr:row>21</xdr:row>
      <xdr:rowOff>137160</xdr:rowOff>
    </xdr:to>
    <mc:AlternateContent xmlns:mc="http://schemas.openxmlformats.org/markup-compatibility/2006" xmlns:a14="http://schemas.microsoft.com/office/drawing/2010/main">
      <mc:Choice Requires="a14">
        <xdr:sp macro="" textlink="">
          <xdr:nvSpPr>
            <xdr:cNvPr id="14" name="Object 173">
              <a:extLst>
                <a:ext uri="{FF2B5EF4-FFF2-40B4-BE49-F238E27FC236}">
                  <a16:creationId xmlns:a16="http://schemas.microsoft.com/office/drawing/2014/main" id="{00000000-0008-0000-0300-00000E000000}"/>
                </a:ext>
              </a:extLst>
            </xdr:cNvPr>
            <xdr:cNvSpPr txBox="1"/>
          </xdr:nvSpPr>
          <xdr:spPr>
            <a:xfrm>
              <a:off x="495300" y="4663440"/>
              <a:ext cx="594360" cy="297180"/>
            </a:xfrm>
            <a:prstGeom prst="rect">
              <a:avLst/>
            </a:prstGeom>
          </xdr:spPr>
          <xdr:txBody>
            <a:bodyPr vertOverflow="clip" horzOverflow="clip" wrap="square">
              <a:noAutofit/>
            </a:bodyPr>
            <a:lstStyle/>
            <a:p>
              <a:pPr/>
              <a14:m>
                <m:oMathPara xmlns:m="http://schemas.openxmlformats.org/officeDocument/2006/math">
                  <m:oMathParaPr>
                    <m:jc m:val="left"/>
                  </m:oMathParaPr>
                  <m:oMath xmlns:m="http://schemas.openxmlformats.org/officeDocument/2006/math">
                    <m:r>
                      <a:rPr lang="en-AU" i="1">
                        <a:solidFill>
                          <a:srgbClr val="000000"/>
                        </a:solidFill>
                        <a:latin typeface="Cambria Math" panose="02040503050406030204" pitchFamily="18" charset="0"/>
                      </a:rPr>
                      <m:t>𝐴</m:t>
                    </m:r>
                    <m:r>
                      <a:rPr lang="en-AU" b="0" i="1">
                        <a:solidFill>
                          <a:srgbClr val="000000"/>
                        </a:solidFill>
                        <a:latin typeface="Cambria Math" panose="02040503050406030204" pitchFamily="18" charset="0"/>
                      </a:rPr>
                      <m:t>𝐴</m:t>
                    </m:r>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𝑅</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14" name="Object 173">
              <a:extLst>
                <a:ext uri="{FF2B5EF4-FFF2-40B4-BE49-F238E27FC236}">
                  <a16:creationId xmlns:a16="http://schemas.microsoft.com/office/drawing/2014/main" id="{57EB518E-6C45-40C7-842A-3A789B2EF338}"/>
                </a:ext>
              </a:extLst>
            </xdr:cNvPr>
            <xdr:cNvSpPr txBox="1"/>
          </xdr:nvSpPr>
          <xdr:spPr>
            <a:xfrm>
              <a:off x="495300" y="4663440"/>
              <a:ext cx="594360" cy="297180"/>
            </a:xfrm>
            <a:prstGeom prst="rect">
              <a:avLst/>
            </a:prstGeom>
          </xdr:spPr>
          <xdr:txBody>
            <a:bodyPr vertOverflow="clip" horzOverflow="clip" wrap="square">
              <a:noAutofit/>
            </a:bodyPr>
            <a:lstStyle/>
            <a:p>
              <a:pPr/>
              <a:r>
                <a:rPr lang="en-AU" i="0">
                  <a:solidFill>
                    <a:srgbClr val="000000"/>
                  </a:solidFill>
                  <a:latin typeface="Cambria Math" panose="02040503050406030204" pitchFamily="18" charset="0"/>
                </a:rPr>
                <a:t>𝐴</a:t>
              </a:r>
              <a:r>
                <a:rPr lang="en-AU" b="0" i="0">
                  <a:solidFill>
                    <a:srgbClr val="000000"/>
                  </a:solidFill>
                  <a:latin typeface="Cambria Math" panose="02040503050406030204" pitchFamily="18" charset="0"/>
                </a:rPr>
                <a:t>𝐴</a:t>
              </a:r>
              <a:r>
                <a:rPr lang="en-AU" i="0">
                  <a:solidFill>
                    <a:srgbClr val="000000"/>
                  </a:solidFill>
                  <a:latin typeface="Cambria Math" panose="02040503050406030204" pitchFamily="18" charset="0"/>
                </a:rPr>
                <a:t>𝑅_𝑡</a:t>
              </a:r>
              <a:endParaRPr lang="en-AU"/>
            </a:p>
          </xdr:txBody>
        </xdr:sp>
      </mc:Fallback>
    </mc:AlternateContent>
    <xdr:clientData/>
  </xdr:twoCellAnchor>
  <xdr:twoCellAnchor>
    <xdr:from>
      <xdr:col>1</xdr:col>
      <xdr:colOff>121920</xdr:colOff>
      <xdr:row>9</xdr:row>
      <xdr:rowOff>60960</xdr:rowOff>
    </xdr:from>
    <xdr:to>
      <xdr:col>1</xdr:col>
      <xdr:colOff>654438</xdr:colOff>
      <xdr:row>10</xdr:row>
      <xdr:rowOff>157880</xdr:rowOff>
    </xdr:to>
    <mc:AlternateContent xmlns:mc="http://schemas.openxmlformats.org/markup-compatibility/2006" xmlns:a14="http://schemas.microsoft.com/office/drawing/2010/main">
      <mc:Choice Requires="a14">
        <xdr:sp macro="" textlink="">
          <xdr:nvSpPr>
            <xdr:cNvPr id="15" name="Object 91">
              <a:extLst>
                <a:ext uri="{63B3BB69-23CF-44E3-9099-C40C66FF867C}">
                  <a14:compatExt spid="_x0000_s68699"/>
                </a:ext>
                <a:ext uri="{FF2B5EF4-FFF2-40B4-BE49-F238E27FC236}">
                  <a16:creationId xmlns:a16="http://schemas.microsoft.com/office/drawing/2014/main" id="{00000000-0008-0000-0300-00000F000000}"/>
                </a:ext>
              </a:extLst>
            </xdr:cNvPr>
            <xdr:cNvSpPr txBox="1"/>
          </xdr:nvSpPr>
          <xdr:spPr>
            <a:xfrm>
              <a:off x="563880" y="3398520"/>
              <a:ext cx="532518"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n-AU" i="1">
                        <a:solidFill>
                          <a:srgbClr val="000000"/>
                        </a:solidFill>
                        <a:latin typeface="Cambria Math" panose="02040503050406030204" pitchFamily="18" charset="0"/>
                      </a:rPr>
                      <m:t>𝑇𝐴</m:t>
                    </m:r>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𝑅</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15" name="Object 91">
              <a:extLst>
                <a:ext uri="{63B3BB69-23CF-44E3-9099-C40C66FF867C}">
                  <a14:compatExt xmlns:a14="http://schemas.microsoft.com/office/drawing/2010/main" spid="_x0000_s68699"/>
                </a:ext>
                <a:ext uri="{FF2B5EF4-FFF2-40B4-BE49-F238E27FC236}">
                  <a16:creationId xmlns:a16="http://schemas.microsoft.com/office/drawing/2014/main" id="{6BC1B865-A7DD-4BB9-90F6-2223A24DEACF}"/>
                </a:ext>
              </a:extLst>
            </xdr:cNvPr>
            <xdr:cNvSpPr txBox="1"/>
          </xdr:nvSpPr>
          <xdr:spPr>
            <a:xfrm>
              <a:off x="563880" y="3398520"/>
              <a:ext cx="532518"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𝑇𝐴𝑅_𝑡</a:t>
              </a:r>
              <a:endParaRPr lang="en-AU"/>
            </a:p>
          </xdr:txBody>
        </xdr:sp>
      </mc:Fallback>
    </mc:AlternateContent>
    <xdr:clientData/>
  </xdr:twoCellAnchor>
  <xdr:twoCellAnchor>
    <xdr:from>
      <xdr:col>1</xdr:col>
      <xdr:colOff>152400</xdr:colOff>
      <xdr:row>12</xdr:row>
      <xdr:rowOff>45720</xdr:rowOff>
    </xdr:from>
    <xdr:to>
      <xdr:col>1</xdr:col>
      <xdr:colOff>544495</xdr:colOff>
      <xdr:row>15</xdr:row>
      <xdr:rowOff>8663</xdr:rowOff>
    </xdr:to>
    <mc:AlternateContent xmlns:mc="http://schemas.openxmlformats.org/markup-compatibility/2006" xmlns:a14="http://schemas.microsoft.com/office/drawing/2010/main">
      <mc:Choice Requires="a14">
        <xdr:sp macro="" textlink="">
          <xdr:nvSpPr>
            <xdr:cNvPr id="16" name="Object 93">
              <a:extLst>
                <a:ext uri="{63B3BB69-23CF-44E3-9099-C40C66FF867C}">
                  <a14:compatExt spid="_x0000_s68701"/>
                </a:ext>
                <a:ext uri="{FF2B5EF4-FFF2-40B4-BE49-F238E27FC236}">
                  <a16:creationId xmlns:a16="http://schemas.microsoft.com/office/drawing/2014/main" id="{00000000-0008-0000-0300-000010000000}"/>
                </a:ext>
              </a:extLst>
            </xdr:cNvPr>
            <xdr:cNvSpPr txBox="1"/>
          </xdr:nvSpPr>
          <xdr:spPr>
            <a:xfrm>
              <a:off x="594360" y="3718560"/>
              <a:ext cx="392095" cy="298223"/>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Sup>
                      <m:sSubSupPr>
                        <m:ctrlPr>
                          <a:rPr lang="en-AU" i="1">
                            <a:solidFill>
                              <a:srgbClr val="000000"/>
                            </a:solidFill>
                            <a:latin typeface="Cambria Math" panose="02040503050406030204" pitchFamily="18" charset="0"/>
                          </a:rPr>
                        </m:ctrlPr>
                      </m:sSubSupPr>
                      <m:e>
                        <m:r>
                          <a:rPr lang="en-AU" i="1">
                            <a:solidFill>
                              <a:srgbClr val="000000"/>
                            </a:solidFill>
                            <a:latin typeface="Cambria Math" panose="02040503050406030204" pitchFamily="18" charset="0"/>
                          </a:rPr>
                          <m:t>𝑝</m:t>
                        </m:r>
                      </m:e>
                      <m:sub>
                        <m:r>
                          <a:rPr lang="en-AU" i="1">
                            <a:solidFill>
                              <a:srgbClr val="000000"/>
                            </a:solidFill>
                            <a:latin typeface="Cambria Math" panose="02040503050406030204" pitchFamily="18" charset="0"/>
                          </a:rPr>
                          <m:t>𝑡</m:t>
                        </m:r>
                      </m:sub>
                      <m:sup>
                        <m:r>
                          <a:rPr lang="en-AU" i="1">
                            <a:solidFill>
                              <a:srgbClr val="000000"/>
                            </a:solidFill>
                            <a:latin typeface="Cambria Math" panose="02040503050406030204" pitchFamily="18" charset="0"/>
                          </a:rPr>
                          <m:t>𝑖𝑗</m:t>
                        </m:r>
                      </m:sup>
                    </m:sSubSup>
                  </m:oMath>
                </m:oMathPara>
              </a14:m>
              <a:endParaRPr lang="en-AU"/>
            </a:p>
          </xdr:txBody>
        </xdr:sp>
      </mc:Choice>
      <mc:Fallback xmlns="">
        <xdr:sp macro="" textlink="">
          <xdr:nvSpPr>
            <xdr:cNvPr id="16" name="Object 93">
              <a:extLst>
                <a:ext uri="{63B3BB69-23CF-44E3-9099-C40C66FF867C}">
                  <a14:compatExt xmlns:a14="http://schemas.microsoft.com/office/drawing/2010/main" spid="_x0000_s68701"/>
                </a:ext>
                <a:ext uri="{FF2B5EF4-FFF2-40B4-BE49-F238E27FC236}">
                  <a16:creationId xmlns:a16="http://schemas.microsoft.com/office/drawing/2014/main" id="{739481B0-DC67-4450-B88C-AD6F6684784F}"/>
                </a:ext>
              </a:extLst>
            </xdr:cNvPr>
            <xdr:cNvSpPr txBox="1"/>
          </xdr:nvSpPr>
          <xdr:spPr>
            <a:xfrm>
              <a:off x="594360" y="3718560"/>
              <a:ext cx="392095" cy="298223"/>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𝑝_𝑡^𝑖𝑗</a:t>
              </a:r>
              <a:endParaRPr lang="en-AU"/>
            </a:p>
          </xdr:txBody>
        </xdr:sp>
      </mc:Fallback>
    </mc:AlternateContent>
    <xdr:clientData/>
  </xdr:twoCellAnchor>
  <xdr:twoCellAnchor>
    <xdr:from>
      <xdr:col>1</xdr:col>
      <xdr:colOff>175260</xdr:colOff>
      <xdr:row>15</xdr:row>
      <xdr:rowOff>22860</xdr:rowOff>
    </xdr:from>
    <xdr:to>
      <xdr:col>1</xdr:col>
      <xdr:colOff>565880</xdr:colOff>
      <xdr:row>16</xdr:row>
      <xdr:rowOff>153443</xdr:rowOff>
    </xdr:to>
    <mc:AlternateContent xmlns:mc="http://schemas.openxmlformats.org/markup-compatibility/2006" xmlns:a14="http://schemas.microsoft.com/office/drawing/2010/main">
      <mc:Choice Requires="a14">
        <xdr:sp macro="" textlink="">
          <xdr:nvSpPr>
            <xdr:cNvPr id="17" name="Object 95">
              <a:extLst>
                <a:ext uri="{63B3BB69-23CF-44E3-9099-C40C66FF867C}">
                  <a14:compatExt spid="_x0000_s68703"/>
                </a:ext>
                <a:ext uri="{FF2B5EF4-FFF2-40B4-BE49-F238E27FC236}">
                  <a16:creationId xmlns:a16="http://schemas.microsoft.com/office/drawing/2014/main" id="{00000000-0008-0000-0300-000011000000}"/>
                </a:ext>
              </a:extLst>
            </xdr:cNvPr>
            <xdr:cNvSpPr txBox="1"/>
          </xdr:nvSpPr>
          <xdr:spPr>
            <a:xfrm>
              <a:off x="617220" y="4030980"/>
              <a:ext cx="390620" cy="298223"/>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Sup>
                      <m:sSubSupPr>
                        <m:ctrlPr>
                          <a:rPr lang="en-AU" i="1">
                            <a:solidFill>
                              <a:srgbClr val="000000"/>
                            </a:solidFill>
                            <a:latin typeface="Cambria Math" panose="02040503050406030204" pitchFamily="18" charset="0"/>
                          </a:rPr>
                        </m:ctrlPr>
                      </m:sSubSupPr>
                      <m:e>
                        <m:r>
                          <a:rPr lang="en-AU" i="1">
                            <a:solidFill>
                              <a:srgbClr val="000000"/>
                            </a:solidFill>
                            <a:latin typeface="Cambria Math" panose="02040503050406030204" pitchFamily="18" charset="0"/>
                          </a:rPr>
                          <m:t>𝑞</m:t>
                        </m:r>
                      </m:e>
                      <m:sub>
                        <m:r>
                          <a:rPr lang="en-AU" i="1">
                            <a:solidFill>
                              <a:srgbClr val="000000"/>
                            </a:solidFill>
                            <a:latin typeface="Cambria Math" panose="02040503050406030204" pitchFamily="18" charset="0"/>
                          </a:rPr>
                          <m:t>𝑡</m:t>
                        </m:r>
                      </m:sub>
                      <m:sup>
                        <m:r>
                          <a:rPr lang="en-AU" i="1">
                            <a:solidFill>
                              <a:srgbClr val="000000"/>
                            </a:solidFill>
                            <a:latin typeface="Cambria Math" panose="02040503050406030204" pitchFamily="18" charset="0"/>
                          </a:rPr>
                          <m:t>𝑖𝑗</m:t>
                        </m:r>
                      </m:sup>
                    </m:sSubSup>
                  </m:oMath>
                </m:oMathPara>
              </a14:m>
              <a:endParaRPr lang="en-AU"/>
            </a:p>
          </xdr:txBody>
        </xdr:sp>
      </mc:Choice>
      <mc:Fallback xmlns="">
        <xdr:sp macro="" textlink="">
          <xdr:nvSpPr>
            <xdr:cNvPr id="17" name="Object 95">
              <a:extLst>
                <a:ext uri="{63B3BB69-23CF-44E3-9099-C40C66FF867C}">
                  <a14:compatExt xmlns:a14="http://schemas.microsoft.com/office/drawing/2010/main" spid="_x0000_s68703"/>
                </a:ext>
                <a:ext uri="{FF2B5EF4-FFF2-40B4-BE49-F238E27FC236}">
                  <a16:creationId xmlns:a16="http://schemas.microsoft.com/office/drawing/2014/main" id="{34A9B571-A864-44CA-9BEB-80CF29CE6024}"/>
                </a:ext>
              </a:extLst>
            </xdr:cNvPr>
            <xdr:cNvSpPr txBox="1"/>
          </xdr:nvSpPr>
          <xdr:spPr>
            <a:xfrm>
              <a:off x="617220" y="4030980"/>
              <a:ext cx="390620" cy="298223"/>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𝑞_𝑡^𝑖𝑗</a:t>
              </a:r>
              <a:endParaRPr lang="en-AU"/>
            </a:p>
          </xdr:txBody>
        </xdr:sp>
      </mc:Fallback>
    </mc:AlternateContent>
    <xdr:clientData/>
  </xdr:twoCellAnchor>
  <xdr:twoCellAnchor>
    <xdr:from>
      <xdr:col>1</xdr:col>
      <xdr:colOff>45720</xdr:colOff>
      <xdr:row>35</xdr:row>
      <xdr:rowOff>45720</xdr:rowOff>
    </xdr:from>
    <xdr:to>
      <xdr:col>1</xdr:col>
      <xdr:colOff>620557</xdr:colOff>
      <xdr:row>36</xdr:row>
      <xdr:rowOff>142640</xdr:rowOff>
    </xdr:to>
    <mc:AlternateContent xmlns:mc="http://schemas.openxmlformats.org/markup-compatibility/2006" xmlns:a14="http://schemas.microsoft.com/office/drawing/2010/main">
      <mc:Choice Requires="a14">
        <xdr:sp macro="" textlink="">
          <xdr:nvSpPr>
            <xdr:cNvPr id="18" name="Object 107">
              <a:extLst>
                <a:ext uri="{63B3BB69-23CF-44E3-9099-C40C66FF867C}">
                  <a14:compatExt spid="_x0000_s68715"/>
                </a:ext>
                <a:ext uri="{FF2B5EF4-FFF2-40B4-BE49-F238E27FC236}">
                  <a16:creationId xmlns:a16="http://schemas.microsoft.com/office/drawing/2014/main" id="{00000000-0008-0000-0300-000012000000}"/>
                </a:ext>
              </a:extLst>
            </xdr:cNvPr>
            <xdr:cNvSpPr txBox="1"/>
          </xdr:nvSpPr>
          <xdr:spPr>
            <a:xfrm>
              <a:off x="487680" y="6576060"/>
              <a:ext cx="574837"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m:rPr>
                        <m:sty m:val="p"/>
                      </m:rPr>
                      <a:rPr lang="en-AU" i="1">
                        <a:solidFill>
                          <a:srgbClr val="000000"/>
                        </a:solidFill>
                        <a:latin typeface="Cambria Math" panose="02040503050406030204" pitchFamily="18" charset="0"/>
                      </a:rPr>
                      <m:t>Δ</m:t>
                    </m:r>
                    <m:r>
                      <a:rPr lang="en-AU" i="1">
                        <a:solidFill>
                          <a:srgbClr val="000000"/>
                        </a:solidFill>
                        <a:latin typeface="Cambria Math" panose="02040503050406030204" pitchFamily="18" charset="0"/>
                      </a:rPr>
                      <m:t>𝐶𝑃</m:t>
                    </m:r>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𝐼</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18" name="Object 107">
              <a:extLst>
                <a:ext uri="{63B3BB69-23CF-44E3-9099-C40C66FF867C}">
                  <a14:compatExt xmlns:a14="http://schemas.microsoft.com/office/drawing/2010/main" spid="_x0000_s68715"/>
                </a:ext>
                <a:ext uri="{FF2B5EF4-FFF2-40B4-BE49-F238E27FC236}">
                  <a16:creationId xmlns:a16="http://schemas.microsoft.com/office/drawing/2014/main" id="{A16D981B-B4DD-4B69-9DDF-1A31754B1E51}"/>
                </a:ext>
              </a:extLst>
            </xdr:cNvPr>
            <xdr:cNvSpPr txBox="1"/>
          </xdr:nvSpPr>
          <xdr:spPr>
            <a:xfrm>
              <a:off x="487680" y="6576060"/>
              <a:ext cx="574837"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Δ𝐶𝑃𝐼_𝑡</a:t>
              </a:r>
              <a:endParaRPr lang="en-AU"/>
            </a:p>
          </xdr:txBody>
        </xdr:sp>
      </mc:Fallback>
    </mc:AlternateContent>
    <xdr:clientData/>
  </xdr:twoCellAnchor>
  <xdr:twoCellAnchor>
    <xdr:from>
      <xdr:col>1</xdr:col>
      <xdr:colOff>144780</xdr:colOff>
      <xdr:row>25</xdr:row>
      <xdr:rowOff>114300</xdr:rowOff>
    </xdr:from>
    <xdr:to>
      <xdr:col>1</xdr:col>
      <xdr:colOff>501609</xdr:colOff>
      <xdr:row>27</xdr:row>
      <xdr:rowOff>43580</xdr:rowOff>
    </xdr:to>
    <mc:AlternateContent xmlns:mc="http://schemas.openxmlformats.org/markup-compatibility/2006" xmlns:a14="http://schemas.microsoft.com/office/drawing/2010/main">
      <mc:Choice Requires="a14">
        <xdr:sp macro="" textlink="">
          <xdr:nvSpPr>
            <xdr:cNvPr id="19" name="Object 114">
              <a:extLst>
                <a:ext uri="{63B3BB69-23CF-44E3-9099-C40C66FF867C}">
                  <a14:compatExt spid="_x0000_s68722"/>
                </a:ext>
                <a:ext uri="{FF2B5EF4-FFF2-40B4-BE49-F238E27FC236}">
                  <a16:creationId xmlns:a16="http://schemas.microsoft.com/office/drawing/2014/main" id="{00000000-0008-0000-0300-000013000000}"/>
                </a:ext>
              </a:extLst>
            </xdr:cNvPr>
            <xdr:cNvSpPr txBox="1"/>
          </xdr:nvSpPr>
          <xdr:spPr>
            <a:xfrm>
              <a:off x="586740" y="5425440"/>
              <a:ext cx="356829"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𝐵</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19" name="Object 114">
              <a:extLst>
                <a:ext uri="{63B3BB69-23CF-44E3-9099-C40C66FF867C}">
                  <a14:compatExt xmlns:a14="http://schemas.microsoft.com/office/drawing/2010/main" spid="_x0000_s68722"/>
                </a:ext>
                <a:ext uri="{FF2B5EF4-FFF2-40B4-BE49-F238E27FC236}">
                  <a16:creationId xmlns:a16="http://schemas.microsoft.com/office/drawing/2014/main" id="{FC848A6C-85BF-4591-8139-47271FAC1D7C}"/>
                </a:ext>
              </a:extLst>
            </xdr:cNvPr>
            <xdr:cNvSpPr txBox="1"/>
          </xdr:nvSpPr>
          <xdr:spPr>
            <a:xfrm>
              <a:off x="586740" y="5425440"/>
              <a:ext cx="356829"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𝐵_𝑡</a:t>
              </a:r>
              <a:endParaRPr lang="en-AU"/>
            </a:p>
          </xdr:txBody>
        </xdr:sp>
      </mc:Fallback>
    </mc:AlternateContent>
    <xdr:clientData/>
  </xdr:twoCellAnchor>
  <xdr:twoCellAnchor>
    <xdr:from>
      <xdr:col>1</xdr:col>
      <xdr:colOff>114300</xdr:colOff>
      <xdr:row>29</xdr:row>
      <xdr:rowOff>114300</xdr:rowOff>
    </xdr:from>
    <xdr:to>
      <xdr:col>1</xdr:col>
      <xdr:colOff>460677</xdr:colOff>
      <xdr:row>31</xdr:row>
      <xdr:rowOff>43580</xdr:rowOff>
    </xdr:to>
    <mc:AlternateContent xmlns:mc="http://schemas.openxmlformats.org/markup-compatibility/2006" xmlns:a14="http://schemas.microsoft.com/office/drawing/2010/main">
      <mc:Choice Requires="a14">
        <xdr:sp macro="" textlink="">
          <xdr:nvSpPr>
            <xdr:cNvPr id="20" name="Object 116">
              <a:extLst>
                <a:ext uri="{63B3BB69-23CF-44E3-9099-C40C66FF867C}">
                  <a14:compatExt spid="_x0000_s68724"/>
                </a:ext>
                <a:ext uri="{FF2B5EF4-FFF2-40B4-BE49-F238E27FC236}">
                  <a16:creationId xmlns:a16="http://schemas.microsoft.com/office/drawing/2014/main" id="{00000000-0008-0000-0300-000014000000}"/>
                </a:ext>
              </a:extLst>
            </xdr:cNvPr>
            <xdr:cNvSpPr txBox="1"/>
          </xdr:nvSpPr>
          <xdr:spPr>
            <a:xfrm>
              <a:off x="556260" y="5928360"/>
              <a:ext cx="346377"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𝐶</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0" name="Object 116">
              <a:extLst>
                <a:ext uri="{63B3BB69-23CF-44E3-9099-C40C66FF867C}">
                  <a14:compatExt xmlns:a14="http://schemas.microsoft.com/office/drawing/2010/main" spid="_x0000_s68724"/>
                </a:ext>
                <a:ext uri="{FF2B5EF4-FFF2-40B4-BE49-F238E27FC236}">
                  <a16:creationId xmlns:a16="http://schemas.microsoft.com/office/drawing/2014/main" id="{4346D72F-9AEA-4C3C-BA96-F206E89F2783}"/>
                </a:ext>
              </a:extLst>
            </xdr:cNvPr>
            <xdr:cNvSpPr txBox="1"/>
          </xdr:nvSpPr>
          <xdr:spPr>
            <a:xfrm>
              <a:off x="556260" y="5928360"/>
              <a:ext cx="346377"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𝐶_𝑡</a:t>
              </a:r>
              <a:endParaRPr lang="en-AU"/>
            </a:p>
          </xdr:txBody>
        </xdr:sp>
      </mc:Fallback>
    </mc:AlternateContent>
    <xdr:clientData/>
  </xdr:twoCellAnchor>
  <xdr:twoCellAnchor>
    <xdr:from>
      <xdr:col>1</xdr:col>
      <xdr:colOff>175260</xdr:colOff>
      <xdr:row>73</xdr:row>
      <xdr:rowOff>22860</xdr:rowOff>
    </xdr:from>
    <xdr:to>
      <xdr:col>1</xdr:col>
      <xdr:colOff>565880</xdr:colOff>
      <xdr:row>74</xdr:row>
      <xdr:rowOff>153443</xdr:rowOff>
    </xdr:to>
    <mc:AlternateContent xmlns:mc="http://schemas.openxmlformats.org/markup-compatibility/2006" xmlns:a14="http://schemas.microsoft.com/office/drawing/2010/main">
      <mc:Choice Requires="a14">
        <xdr:sp macro="" textlink="">
          <xdr:nvSpPr>
            <xdr:cNvPr id="21" name="Object 144">
              <a:extLst>
                <a:ext uri="{63B3BB69-23CF-44E3-9099-C40C66FF867C}">
                  <a14:compatExt spid="_x0000_s68752"/>
                </a:ext>
                <a:ext uri="{FF2B5EF4-FFF2-40B4-BE49-F238E27FC236}">
                  <a16:creationId xmlns:a16="http://schemas.microsoft.com/office/drawing/2014/main" id="{00000000-0008-0000-0300-000015000000}"/>
                </a:ext>
              </a:extLst>
            </xdr:cNvPr>
            <xdr:cNvSpPr txBox="1"/>
          </xdr:nvSpPr>
          <xdr:spPr>
            <a:xfrm>
              <a:off x="617220" y="12710160"/>
              <a:ext cx="390620" cy="298223"/>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Sup>
                      <m:sSubSupPr>
                        <m:ctrlPr>
                          <a:rPr lang="en-AU" i="1">
                            <a:solidFill>
                              <a:srgbClr val="000000"/>
                            </a:solidFill>
                            <a:latin typeface="Cambria Math" panose="02040503050406030204" pitchFamily="18" charset="0"/>
                          </a:rPr>
                        </m:ctrlPr>
                      </m:sSubSupPr>
                      <m:e>
                        <m:r>
                          <a:rPr lang="en-AU" i="1">
                            <a:solidFill>
                              <a:srgbClr val="000000"/>
                            </a:solidFill>
                            <a:latin typeface="Cambria Math" panose="02040503050406030204" pitchFamily="18" charset="0"/>
                          </a:rPr>
                          <m:t>𝑞</m:t>
                        </m:r>
                      </m:e>
                      <m:sub>
                        <m:r>
                          <a:rPr lang="en-AU" i="1">
                            <a:solidFill>
                              <a:srgbClr val="000000"/>
                            </a:solidFill>
                            <a:latin typeface="Cambria Math" panose="02040503050406030204" pitchFamily="18" charset="0"/>
                          </a:rPr>
                          <m:t>𝑡</m:t>
                        </m:r>
                      </m:sub>
                      <m:sup>
                        <m:r>
                          <a:rPr lang="en-AU" i="1">
                            <a:solidFill>
                              <a:srgbClr val="000000"/>
                            </a:solidFill>
                            <a:latin typeface="Cambria Math" panose="02040503050406030204" pitchFamily="18" charset="0"/>
                          </a:rPr>
                          <m:t>𝑖𝑗</m:t>
                        </m:r>
                      </m:sup>
                    </m:sSubSup>
                  </m:oMath>
                </m:oMathPara>
              </a14:m>
              <a:endParaRPr lang="en-AU"/>
            </a:p>
          </xdr:txBody>
        </xdr:sp>
      </mc:Choice>
      <mc:Fallback xmlns="">
        <xdr:sp macro="" textlink="">
          <xdr:nvSpPr>
            <xdr:cNvPr id="21" name="Object 144">
              <a:extLst>
                <a:ext uri="{63B3BB69-23CF-44E3-9099-C40C66FF867C}">
                  <a14:compatExt xmlns:a14="http://schemas.microsoft.com/office/drawing/2010/main" spid="_x0000_s68752"/>
                </a:ext>
                <a:ext uri="{FF2B5EF4-FFF2-40B4-BE49-F238E27FC236}">
                  <a16:creationId xmlns:a16="http://schemas.microsoft.com/office/drawing/2014/main" id="{17828766-20E1-4F22-AD4C-32CD59FA8C48}"/>
                </a:ext>
              </a:extLst>
            </xdr:cNvPr>
            <xdr:cNvSpPr txBox="1"/>
          </xdr:nvSpPr>
          <xdr:spPr>
            <a:xfrm>
              <a:off x="617220" y="12710160"/>
              <a:ext cx="390620" cy="298223"/>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𝑞_𝑡^𝑖𝑗</a:t>
              </a:r>
              <a:endParaRPr lang="en-AU"/>
            </a:p>
          </xdr:txBody>
        </xdr:sp>
      </mc:Fallback>
    </mc:AlternateContent>
    <xdr:clientData/>
  </xdr:twoCellAnchor>
  <xdr:twoCellAnchor>
    <xdr:from>
      <xdr:col>1</xdr:col>
      <xdr:colOff>45720</xdr:colOff>
      <xdr:row>77</xdr:row>
      <xdr:rowOff>30480</xdr:rowOff>
    </xdr:from>
    <xdr:to>
      <xdr:col>1</xdr:col>
      <xdr:colOff>620557</xdr:colOff>
      <xdr:row>78</xdr:row>
      <xdr:rowOff>127400</xdr:rowOff>
    </xdr:to>
    <mc:AlternateContent xmlns:mc="http://schemas.openxmlformats.org/markup-compatibility/2006" xmlns:a14="http://schemas.microsoft.com/office/drawing/2010/main">
      <mc:Choice Requires="a14">
        <xdr:sp macro="" textlink="">
          <xdr:nvSpPr>
            <xdr:cNvPr id="22" name="Object 150">
              <a:extLst>
                <a:ext uri="{63B3BB69-23CF-44E3-9099-C40C66FF867C}">
                  <a14:compatExt spid="_x0000_s68758"/>
                </a:ext>
                <a:ext uri="{FF2B5EF4-FFF2-40B4-BE49-F238E27FC236}">
                  <a16:creationId xmlns:a16="http://schemas.microsoft.com/office/drawing/2014/main" id="{00000000-0008-0000-0300-000016000000}"/>
                </a:ext>
              </a:extLst>
            </xdr:cNvPr>
            <xdr:cNvSpPr txBox="1"/>
          </xdr:nvSpPr>
          <xdr:spPr>
            <a:xfrm>
              <a:off x="487680" y="13388340"/>
              <a:ext cx="574837"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m:rPr>
                        <m:sty m:val="p"/>
                      </m:rPr>
                      <a:rPr lang="en-AU" i="1">
                        <a:solidFill>
                          <a:srgbClr val="000000"/>
                        </a:solidFill>
                        <a:latin typeface="Cambria Math" panose="02040503050406030204" pitchFamily="18" charset="0"/>
                      </a:rPr>
                      <m:t>Δ</m:t>
                    </m:r>
                    <m:r>
                      <a:rPr lang="en-AU" i="1">
                        <a:solidFill>
                          <a:srgbClr val="000000"/>
                        </a:solidFill>
                        <a:latin typeface="Cambria Math" panose="02040503050406030204" pitchFamily="18" charset="0"/>
                      </a:rPr>
                      <m:t>𝐶𝑃</m:t>
                    </m:r>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𝐼</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2" name="Object 150">
              <a:extLst>
                <a:ext uri="{63B3BB69-23CF-44E3-9099-C40C66FF867C}">
                  <a14:compatExt xmlns:a14="http://schemas.microsoft.com/office/drawing/2010/main" spid="_x0000_s68758"/>
                </a:ext>
                <a:ext uri="{FF2B5EF4-FFF2-40B4-BE49-F238E27FC236}">
                  <a16:creationId xmlns:a16="http://schemas.microsoft.com/office/drawing/2014/main" id="{CF293128-BB5E-4777-917C-E80EC6E90F14}"/>
                </a:ext>
              </a:extLst>
            </xdr:cNvPr>
            <xdr:cNvSpPr txBox="1"/>
          </xdr:nvSpPr>
          <xdr:spPr>
            <a:xfrm>
              <a:off x="487680" y="13388340"/>
              <a:ext cx="574837"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Δ𝐶𝑃𝐼_𝑡</a:t>
              </a:r>
              <a:endParaRPr lang="en-AU"/>
            </a:p>
          </xdr:txBody>
        </xdr:sp>
      </mc:Fallback>
    </mc:AlternateContent>
    <xdr:clientData/>
  </xdr:twoCellAnchor>
  <xdr:twoCellAnchor>
    <xdr:from>
      <xdr:col>1</xdr:col>
      <xdr:colOff>190500</xdr:colOff>
      <xdr:row>85</xdr:row>
      <xdr:rowOff>38100</xdr:rowOff>
    </xdr:from>
    <xdr:to>
      <xdr:col>1</xdr:col>
      <xdr:colOff>529375</xdr:colOff>
      <xdr:row>86</xdr:row>
      <xdr:rowOff>135020</xdr:rowOff>
    </xdr:to>
    <mc:AlternateContent xmlns:mc="http://schemas.openxmlformats.org/markup-compatibility/2006" xmlns:a14="http://schemas.microsoft.com/office/drawing/2010/main">
      <mc:Choice Requires="a14">
        <xdr:sp macro="" textlink="">
          <xdr:nvSpPr>
            <xdr:cNvPr id="23" name="Object 152">
              <a:extLst>
                <a:ext uri="{63B3BB69-23CF-44E3-9099-C40C66FF867C}">
                  <a14:compatExt spid="_x0000_s68760"/>
                </a:ext>
                <a:ext uri="{FF2B5EF4-FFF2-40B4-BE49-F238E27FC236}">
                  <a16:creationId xmlns:a16="http://schemas.microsoft.com/office/drawing/2014/main" id="{00000000-0008-0000-0300-000017000000}"/>
                </a:ext>
              </a:extLst>
            </xdr:cNvPr>
            <xdr:cNvSpPr txBox="1"/>
          </xdr:nvSpPr>
          <xdr:spPr>
            <a:xfrm>
              <a:off x="632460" y="14470380"/>
              <a:ext cx="338875"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𝑆</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3" name="Object 152">
              <a:extLst>
                <a:ext uri="{63B3BB69-23CF-44E3-9099-C40C66FF867C}">
                  <a14:compatExt xmlns:a14="http://schemas.microsoft.com/office/drawing/2010/main" spid="_x0000_s68760"/>
                </a:ext>
                <a:ext uri="{FF2B5EF4-FFF2-40B4-BE49-F238E27FC236}">
                  <a16:creationId xmlns:a16="http://schemas.microsoft.com/office/drawing/2014/main" id="{553082E5-374C-49CF-B7D5-A46C29042635}"/>
                </a:ext>
              </a:extLst>
            </xdr:cNvPr>
            <xdr:cNvSpPr txBox="1"/>
          </xdr:nvSpPr>
          <xdr:spPr>
            <a:xfrm>
              <a:off x="632460" y="14470380"/>
              <a:ext cx="338875"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𝑆_𝑡</a:t>
              </a:r>
              <a:endParaRPr lang="en-AU"/>
            </a:p>
          </xdr:txBody>
        </xdr:sp>
      </mc:Fallback>
    </mc:AlternateContent>
    <xdr:clientData/>
  </xdr:twoCellAnchor>
  <xdr:twoCellAnchor>
    <xdr:from>
      <xdr:col>1</xdr:col>
      <xdr:colOff>144780</xdr:colOff>
      <xdr:row>91</xdr:row>
      <xdr:rowOff>114300</xdr:rowOff>
    </xdr:from>
    <xdr:to>
      <xdr:col>1</xdr:col>
      <xdr:colOff>501609</xdr:colOff>
      <xdr:row>93</xdr:row>
      <xdr:rowOff>35960</xdr:rowOff>
    </xdr:to>
    <mc:AlternateContent xmlns:mc="http://schemas.openxmlformats.org/markup-compatibility/2006" xmlns:a14="http://schemas.microsoft.com/office/drawing/2010/main">
      <mc:Choice Requires="a14">
        <xdr:sp macro="" textlink="">
          <xdr:nvSpPr>
            <xdr:cNvPr id="24" name="Object 153">
              <a:extLst>
                <a:ext uri="{63B3BB69-23CF-44E3-9099-C40C66FF867C}">
                  <a14:compatExt spid="_x0000_s68761"/>
                </a:ext>
                <a:ext uri="{FF2B5EF4-FFF2-40B4-BE49-F238E27FC236}">
                  <a16:creationId xmlns:a16="http://schemas.microsoft.com/office/drawing/2014/main" id="{00000000-0008-0000-0300-000018000000}"/>
                </a:ext>
              </a:extLst>
            </xdr:cNvPr>
            <xdr:cNvSpPr txBox="1"/>
          </xdr:nvSpPr>
          <xdr:spPr>
            <a:xfrm>
              <a:off x="586740" y="15636240"/>
              <a:ext cx="356829"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𝐵</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4" name="Object 153">
              <a:extLst>
                <a:ext uri="{63B3BB69-23CF-44E3-9099-C40C66FF867C}">
                  <a14:compatExt xmlns:a14="http://schemas.microsoft.com/office/drawing/2010/main" spid="_x0000_s68761"/>
                </a:ext>
                <a:ext uri="{FF2B5EF4-FFF2-40B4-BE49-F238E27FC236}">
                  <a16:creationId xmlns:a16="http://schemas.microsoft.com/office/drawing/2014/main" id="{BF5006C2-8B32-4A9B-B511-B75D45D83F31}"/>
                </a:ext>
              </a:extLst>
            </xdr:cNvPr>
            <xdr:cNvSpPr txBox="1"/>
          </xdr:nvSpPr>
          <xdr:spPr>
            <a:xfrm>
              <a:off x="586740" y="15636240"/>
              <a:ext cx="356829"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𝐵_𝑡</a:t>
              </a:r>
              <a:endParaRPr lang="en-AU"/>
            </a:p>
          </xdr:txBody>
        </xdr:sp>
      </mc:Fallback>
    </mc:AlternateContent>
    <xdr:clientData/>
  </xdr:twoCellAnchor>
  <xdr:twoCellAnchor>
    <xdr:from>
      <xdr:col>1</xdr:col>
      <xdr:colOff>198120</xdr:colOff>
      <xdr:row>67</xdr:row>
      <xdr:rowOff>38100</xdr:rowOff>
    </xdr:from>
    <xdr:to>
      <xdr:col>1</xdr:col>
      <xdr:colOff>590215</xdr:colOff>
      <xdr:row>69</xdr:row>
      <xdr:rowOff>1043</xdr:rowOff>
    </xdr:to>
    <mc:AlternateContent xmlns:mc="http://schemas.openxmlformats.org/markup-compatibility/2006" xmlns:a14="http://schemas.microsoft.com/office/drawing/2010/main">
      <mc:Choice Requires="a14">
        <xdr:sp macro="" textlink="">
          <xdr:nvSpPr>
            <xdr:cNvPr id="25" name="Object 156">
              <a:extLst>
                <a:ext uri="{63B3BB69-23CF-44E3-9099-C40C66FF867C}">
                  <a14:compatExt spid="_x0000_s68764"/>
                </a:ext>
                <a:ext uri="{FF2B5EF4-FFF2-40B4-BE49-F238E27FC236}">
                  <a16:creationId xmlns:a16="http://schemas.microsoft.com/office/drawing/2014/main" id="{00000000-0008-0000-0300-000019000000}"/>
                </a:ext>
              </a:extLst>
            </xdr:cNvPr>
            <xdr:cNvSpPr txBox="1"/>
          </xdr:nvSpPr>
          <xdr:spPr>
            <a:xfrm>
              <a:off x="640080" y="12054840"/>
              <a:ext cx="392095" cy="29718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Sup>
                      <m:sSubSupPr>
                        <m:ctrlPr>
                          <a:rPr lang="en-AU" i="1">
                            <a:solidFill>
                              <a:srgbClr val="000000"/>
                            </a:solidFill>
                            <a:latin typeface="Cambria Math" panose="02040503050406030204" pitchFamily="18" charset="0"/>
                          </a:rPr>
                        </m:ctrlPr>
                      </m:sSubSupPr>
                      <m:e>
                        <m:r>
                          <a:rPr lang="en-AU" b="0" i="1">
                            <a:solidFill>
                              <a:srgbClr val="000000"/>
                            </a:solidFill>
                            <a:latin typeface="Cambria Math" panose="02040503050406030204" pitchFamily="18" charset="0"/>
                          </a:rPr>
                          <m:t>𝑝</m:t>
                        </m:r>
                      </m:e>
                      <m:sub>
                        <m:r>
                          <a:rPr lang="en-AU" i="1">
                            <a:solidFill>
                              <a:srgbClr val="000000"/>
                            </a:solidFill>
                            <a:latin typeface="Cambria Math" panose="02040503050406030204" pitchFamily="18" charset="0"/>
                          </a:rPr>
                          <m:t>𝑡</m:t>
                        </m:r>
                      </m:sub>
                      <m:sup>
                        <m:r>
                          <a:rPr lang="en-AU" i="1">
                            <a:solidFill>
                              <a:srgbClr val="000000"/>
                            </a:solidFill>
                            <a:latin typeface="Cambria Math" panose="02040503050406030204" pitchFamily="18" charset="0"/>
                          </a:rPr>
                          <m:t>𝑖𝑗</m:t>
                        </m:r>
                      </m:sup>
                    </m:sSubSup>
                  </m:oMath>
                </m:oMathPara>
              </a14:m>
              <a:endParaRPr lang="en-AU"/>
            </a:p>
          </xdr:txBody>
        </xdr:sp>
      </mc:Choice>
      <mc:Fallback xmlns="">
        <xdr:sp macro="" textlink="">
          <xdr:nvSpPr>
            <xdr:cNvPr id="25" name="Object 156">
              <a:extLst>
                <a:ext uri="{63B3BB69-23CF-44E3-9099-C40C66FF867C}">
                  <a14:compatExt xmlns:a14="http://schemas.microsoft.com/office/drawing/2010/main" spid="_x0000_s68764"/>
                </a:ext>
                <a:ext uri="{FF2B5EF4-FFF2-40B4-BE49-F238E27FC236}">
                  <a16:creationId xmlns:a16="http://schemas.microsoft.com/office/drawing/2014/main" id="{82A4FAEE-6E33-46D0-81E7-A5B1A05BD9F0}"/>
                </a:ext>
              </a:extLst>
            </xdr:cNvPr>
            <xdr:cNvSpPr txBox="1"/>
          </xdr:nvSpPr>
          <xdr:spPr>
            <a:xfrm>
              <a:off x="640080" y="12054840"/>
              <a:ext cx="392095" cy="297180"/>
            </a:xfrm>
            <a:prstGeom prst="rect">
              <a:avLst/>
            </a:prstGeom>
          </xdr:spPr>
          <xdr:txBody>
            <a:bodyPr vertOverflow="clip" horzOverflow="clip" wrap="none">
              <a:spAutoFit/>
            </a:bodyPr>
            <a:lstStyle/>
            <a:p>
              <a:pPr/>
              <a:r>
                <a:rPr lang="en-AU" b="0" i="0">
                  <a:solidFill>
                    <a:srgbClr val="000000"/>
                  </a:solidFill>
                  <a:latin typeface="Cambria Math" panose="02040503050406030204" pitchFamily="18" charset="0"/>
                </a:rPr>
                <a:t>𝑝_</a:t>
              </a:r>
              <a:r>
                <a:rPr lang="en-AU" i="0">
                  <a:solidFill>
                    <a:srgbClr val="000000"/>
                  </a:solidFill>
                  <a:latin typeface="Cambria Math" panose="02040503050406030204" pitchFamily="18" charset="0"/>
                </a:rPr>
                <a:t>𝑡^𝑖𝑗</a:t>
              </a:r>
              <a:endParaRPr lang="en-AU"/>
            </a:p>
          </xdr:txBody>
        </xdr:sp>
      </mc:Fallback>
    </mc:AlternateContent>
    <xdr:clientData/>
  </xdr:twoCellAnchor>
  <xdr:twoCellAnchor>
    <xdr:from>
      <xdr:col>1</xdr:col>
      <xdr:colOff>213360</xdr:colOff>
      <xdr:row>70</xdr:row>
      <xdr:rowOff>7620</xdr:rowOff>
    </xdr:from>
    <xdr:to>
      <xdr:col>2</xdr:col>
      <xdr:colOff>28500</xdr:colOff>
      <xdr:row>71</xdr:row>
      <xdr:rowOff>139036</xdr:rowOff>
    </xdr:to>
    <mc:AlternateContent xmlns:mc="http://schemas.openxmlformats.org/markup-compatibility/2006" xmlns:a14="http://schemas.microsoft.com/office/drawing/2010/main">
      <mc:Choice Requires="a14">
        <xdr:sp macro="" textlink="">
          <xdr:nvSpPr>
            <xdr:cNvPr id="26" name="Object 157">
              <a:extLst>
                <a:ext uri="{63B3BB69-23CF-44E3-9099-C40C66FF867C}">
                  <a14:compatExt spid="_x0000_s68765"/>
                </a:ext>
                <a:ext uri="{FF2B5EF4-FFF2-40B4-BE49-F238E27FC236}">
                  <a16:creationId xmlns:a16="http://schemas.microsoft.com/office/drawing/2014/main" id="{00000000-0008-0000-0300-00001A000000}"/>
                </a:ext>
              </a:extLst>
            </xdr:cNvPr>
            <xdr:cNvSpPr txBox="1"/>
          </xdr:nvSpPr>
          <xdr:spPr>
            <a:xfrm>
              <a:off x="655320" y="12359640"/>
              <a:ext cx="478080" cy="29905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Sup>
                      <m:sSubSupPr>
                        <m:ctrlPr>
                          <a:rPr lang="en-AU" i="1">
                            <a:solidFill>
                              <a:srgbClr val="000000"/>
                            </a:solidFill>
                            <a:latin typeface="Cambria Math" panose="02040503050406030204" pitchFamily="18" charset="0"/>
                          </a:rPr>
                        </m:ctrlPr>
                      </m:sSubSupPr>
                      <m:e>
                        <m:r>
                          <a:rPr lang="en-AU" b="0" i="1">
                            <a:solidFill>
                              <a:srgbClr val="000000"/>
                            </a:solidFill>
                            <a:latin typeface="Cambria Math" panose="02040503050406030204" pitchFamily="18" charset="0"/>
                          </a:rPr>
                          <m:t>𝑝</m:t>
                        </m:r>
                      </m:e>
                      <m:sub>
                        <m:r>
                          <a:rPr lang="en-AU" i="1">
                            <a:solidFill>
                              <a:srgbClr val="000000"/>
                            </a:solidFill>
                            <a:latin typeface="Cambria Math" panose="02040503050406030204" pitchFamily="18" charset="0"/>
                          </a:rPr>
                          <m:t>𝑡</m:t>
                        </m:r>
                        <m:r>
                          <a:rPr lang="en-AU" i="1">
                            <a:solidFill>
                              <a:srgbClr val="000000"/>
                            </a:solidFill>
                            <a:latin typeface="Cambria Math" panose="02040503050406030204" pitchFamily="18" charset="0"/>
                          </a:rPr>
                          <m:t>−1</m:t>
                        </m:r>
                      </m:sub>
                      <m:sup>
                        <m:r>
                          <a:rPr lang="en-AU" i="1">
                            <a:solidFill>
                              <a:srgbClr val="000000"/>
                            </a:solidFill>
                            <a:latin typeface="Cambria Math" panose="02040503050406030204" pitchFamily="18" charset="0"/>
                          </a:rPr>
                          <m:t>𝑖𝑗</m:t>
                        </m:r>
                      </m:sup>
                    </m:sSubSup>
                  </m:oMath>
                </m:oMathPara>
              </a14:m>
              <a:endParaRPr lang="en-AU"/>
            </a:p>
          </xdr:txBody>
        </xdr:sp>
      </mc:Choice>
      <mc:Fallback xmlns="">
        <xdr:sp macro="" textlink="">
          <xdr:nvSpPr>
            <xdr:cNvPr id="26" name="Object 157">
              <a:extLst>
                <a:ext uri="{63B3BB69-23CF-44E3-9099-C40C66FF867C}">
                  <a14:compatExt xmlns:a14="http://schemas.microsoft.com/office/drawing/2010/main" spid="_x0000_s68765"/>
                </a:ext>
                <a:ext uri="{FF2B5EF4-FFF2-40B4-BE49-F238E27FC236}">
                  <a16:creationId xmlns:a16="http://schemas.microsoft.com/office/drawing/2014/main" id="{A8D3D6CE-71A0-4598-BF91-75BB0F7710F4}"/>
                </a:ext>
              </a:extLst>
            </xdr:cNvPr>
            <xdr:cNvSpPr txBox="1"/>
          </xdr:nvSpPr>
          <xdr:spPr>
            <a:xfrm>
              <a:off x="655320" y="12359640"/>
              <a:ext cx="478080" cy="299056"/>
            </a:xfrm>
            <a:prstGeom prst="rect">
              <a:avLst/>
            </a:prstGeom>
          </xdr:spPr>
          <xdr:txBody>
            <a:bodyPr vertOverflow="clip" horzOverflow="clip" wrap="none">
              <a:spAutoFit/>
            </a:bodyPr>
            <a:lstStyle/>
            <a:p>
              <a:pPr/>
              <a:r>
                <a:rPr lang="en-AU" b="0" i="0">
                  <a:solidFill>
                    <a:srgbClr val="000000"/>
                  </a:solidFill>
                  <a:latin typeface="Cambria Math" panose="02040503050406030204" pitchFamily="18" charset="0"/>
                </a:rPr>
                <a:t>𝑝_(</a:t>
              </a:r>
              <a:r>
                <a:rPr lang="en-AU" i="0">
                  <a:solidFill>
                    <a:srgbClr val="000000"/>
                  </a:solidFill>
                  <a:latin typeface="Cambria Math" panose="02040503050406030204" pitchFamily="18" charset="0"/>
                </a:rPr>
                <a:t>𝑡−1)^𝑖𝑗</a:t>
              </a:r>
              <a:endParaRPr lang="en-AU"/>
            </a:p>
          </xdr:txBody>
        </xdr:sp>
      </mc:Fallback>
    </mc:AlternateContent>
    <xdr:clientData/>
  </xdr:twoCellAnchor>
  <xdr:twoCellAnchor>
    <xdr:from>
      <xdr:col>1</xdr:col>
      <xdr:colOff>83819</xdr:colOff>
      <xdr:row>17</xdr:row>
      <xdr:rowOff>0</xdr:rowOff>
    </xdr:from>
    <xdr:to>
      <xdr:col>1</xdr:col>
      <xdr:colOff>532403</xdr:colOff>
      <xdr:row>19</xdr:row>
      <xdr:rowOff>104540</xdr:rowOff>
    </xdr:to>
    <mc:AlternateContent xmlns:mc="http://schemas.openxmlformats.org/markup-compatibility/2006" xmlns:a14="http://schemas.microsoft.com/office/drawing/2010/main">
      <mc:Choice Requires="a14">
        <xdr:sp macro="" textlink="">
          <xdr:nvSpPr>
            <xdr:cNvPr id="27" name="Object 160">
              <a:extLst>
                <a:ext uri="{63B3BB69-23CF-44E3-9099-C40C66FF867C}">
                  <a14:compatExt spid="_x0000_s68768"/>
                </a:ext>
                <a:ext uri="{FF2B5EF4-FFF2-40B4-BE49-F238E27FC236}">
                  <a16:creationId xmlns:a16="http://schemas.microsoft.com/office/drawing/2014/main" id="{00000000-0008-0000-0300-00001B000000}"/>
                </a:ext>
              </a:extLst>
            </xdr:cNvPr>
            <xdr:cNvSpPr txBox="1"/>
          </xdr:nvSpPr>
          <xdr:spPr>
            <a:xfrm>
              <a:off x="525779" y="4343400"/>
              <a:ext cx="448584"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n-AU" i="1">
                        <a:solidFill>
                          <a:srgbClr val="000000"/>
                        </a:solidFill>
                        <a:latin typeface="Cambria Math" panose="02040503050406030204" pitchFamily="18" charset="0"/>
                      </a:rPr>
                      <m:t>𝐴</m:t>
                    </m:r>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𝑅</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7" name="Object 160">
              <a:extLst>
                <a:ext uri="{63B3BB69-23CF-44E3-9099-C40C66FF867C}">
                  <a14:compatExt xmlns:a14="http://schemas.microsoft.com/office/drawing/2010/main" spid="_x0000_s68768"/>
                </a:ext>
                <a:ext uri="{FF2B5EF4-FFF2-40B4-BE49-F238E27FC236}">
                  <a16:creationId xmlns:a16="http://schemas.microsoft.com/office/drawing/2014/main" id="{55491708-5944-44D4-A899-B500976511CD}"/>
                </a:ext>
              </a:extLst>
            </xdr:cNvPr>
            <xdr:cNvSpPr txBox="1"/>
          </xdr:nvSpPr>
          <xdr:spPr>
            <a:xfrm>
              <a:off x="525779" y="4343400"/>
              <a:ext cx="448584"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𝐴𝑅_𝑡</a:t>
              </a:r>
              <a:endParaRPr lang="en-AU"/>
            </a:p>
          </xdr:txBody>
        </xdr:sp>
      </mc:Fallback>
    </mc:AlternateContent>
    <xdr:clientData/>
  </xdr:twoCellAnchor>
  <xdr:twoCellAnchor>
    <xdr:from>
      <xdr:col>1</xdr:col>
      <xdr:colOff>182880</xdr:colOff>
      <xdr:row>22</xdr:row>
      <xdr:rowOff>38100</xdr:rowOff>
    </xdr:from>
    <xdr:to>
      <xdr:col>1</xdr:col>
      <xdr:colOff>498544</xdr:colOff>
      <xdr:row>23</xdr:row>
      <xdr:rowOff>142640</xdr:rowOff>
    </xdr:to>
    <mc:AlternateContent xmlns:mc="http://schemas.openxmlformats.org/markup-compatibility/2006" xmlns:a14="http://schemas.microsoft.com/office/drawing/2010/main">
      <mc:Choice Requires="a14">
        <xdr:sp macro="" textlink="">
          <xdr:nvSpPr>
            <xdr:cNvPr id="28" name="Object 162">
              <a:extLst>
                <a:ext uri="{63B3BB69-23CF-44E3-9099-C40C66FF867C}">
                  <a14:compatExt spid="_x0000_s68770"/>
                </a:ext>
                <a:ext uri="{FF2B5EF4-FFF2-40B4-BE49-F238E27FC236}">
                  <a16:creationId xmlns:a16="http://schemas.microsoft.com/office/drawing/2014/main" id="{00000000-0008-0000-0300-00001C000000}"/>
                </a:ext>
              </a:extLst>
            </xdr:cNvPr>
            <xdr:cNvSpPr txBox="1"/>
          </xdr:nvSpPr>
          <xdr:spPr>
            <a:xfrm>
              <a:off x="624840" y="5021580"/>
              <a:ext cx="315664"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𝐼</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8" name="Object 162">
              <a:extLst>
                <a:ext uri="{63B3BB69-23CF-44E3-9099-C40C66FF867C}">
                  <a14:compatExt xmlns:a14="http://schemas.microsoft.com/office/drawing/2010/main" spid="_x0000_s68770"/>
                </a:ext>
                <a:ext uri="{FF2B5EF4-FFF2-40B4-BE49-F238E27FC236}">
                  <a16:creationId xmlns:a16="http://schemas.microsoft.com/office/drawing/2014/main" id="{B5B3395E-5486-4B5E-A163-DE5A5465B7CD}"/>
                </a:ext>
              </a:extLst>
            </xdr:cNvPr>
            <xdr:cNvSpPr txBox="1"/>
          </xdr:nvSpPr>
          <xdr:spPr>
            <a:xfrm>
              <a:off x="624840" y="5021580"/>
              <a:ext cx="315664"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𝐼_𝑡</a:t>
              </a:r>
              <a:endParaRPr lang="en-AU"/>
            </a:p>
          </xdr:txBody>
        </xdr:sp>
      </mc:Fallback>
    </mc:AlternateContent>
    <xdr:clientData/>
  </xdr:twoCellAnchor>
  <xdr:twoCellAnchor>
    <xdr:from>
      <xdr:col>1</xdr:col>
      <xdr:colOff>160020</xdr:colOff>
      <xdr:row>39</xdr:row>
      <xdr:rowOff>121920</xdr:rowOff>
    </xdr:from>
    <xdr:to>
      <xdr:col>1</xdr:col>
      <xdr:colOff>515245</xdr:colOff>
      <xdr:row>40</xdr:row>
      <xdr:rowOff>226460</xdr:rowOff>
    </xdr:to>
    <mc:AlternateContent xmlns:mc="http://schemas.openxmlformats.org/markup-compatibility/2006" xmlns:a14="http://schemas.microsoft.com/office/drawing/2010/main">
      <mc:Choice Requires="a14">
        <xdr:sp macro="" textlink="">
          <xdr:nvSpPr>
            <xdr:cNvPr id="29" name="Object 166">
              <a:extLst>
                <a:ext uri="{63B3BB69-23CF-44E3-9099-C40C66FF867C}">
                  <a14:compatExt spid="_x0000_s68774"/>
                </a:ext>
                <a:ext uri="{FF2B5EF4-FFF2-40B4-BE49-F238E27FC236}">
                  <a16:creationId xmlns:a16="http://schemas.microsoft.com/office/drawing/2014/main" id="{00000000-0008-0000-0300-00001D000000}"/>
                </a:ext>
              </a:extLst>
            </xdr:cNvPr>
            <xdr:cNvSpPr txBox="1"/>
          </xdr:nvSpPr>
          <xdr:spPr>
            <a:xfrm>
              <a:off x="601980" y="7170420"/>
              <a:ext cx="355225"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𝑋</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29" name="Object 166">
              <a:extLst>
                <a:ext uri="{63B3BB69-23CF-44E3-9099-C40C66FF867C}">
                  <a14:compatExt xmlns:a14="http://schemas.microsoft.com/office/drawing/2010/main" spid="_x0000_s68774"/>
                </a:ext>
                <a:ext uri="{FF2B5EF4-FFF2-40B4-BE49-F238E27FC236}">
                  <a16:creationId xmlns:a16="http://schemas.microsoft.com/office/drawing/2014/main" id="{2A4F2C00-23C0-4EC8-8BA2-59A65E867006}"/>
                </a:ext>
              </a:extLst>
            </xdr:cNvPr>
            <xdr:cNvSpPr txBox="1"/>
          </xdr:nvSpPr>
          <xdr:spPr>
            <a:xfrm>
              <a:off x="601980" y="7170420"/>
              <a:ext cx="355225"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𝑋_𝑡</a:t>
              </a:r>
              <a:endParaRPr lang="en-AU"/>
            </a:p>
          </xdr:txBody>
        </xdr:sp>
      </mc:Fallback>
    </mc:AlternateContent>
    <xdr:clientData/>
  </xdr:twoCellAnchor>
  <xdr:twoCellAnchor>
    <xdr:from>
      <xdr:col>1</xdr:col>
      <xdr:colOff>152400</xdr:colOff>
      <xdr:row>82</xdr:row>
      <xdr:rowOff>30480</xdr:rowOff>
    </xdr:from>
    <xdr:to>
      <xdr:col>1</xdr:col>
      <xdr:colOff>507625</xdr:colOff>
      <xdr:row>83</xdr:row>
      <xdr:rowOff>135020</xdr:rowOff>
    </xdr:to>
    <mc:AlternateContent xmlns:mc="http://schemas.openxmlformats.org/markup-compatibility/2006" xmlns:a14="http://schemas.microsoft.com/office/drawing/2010/main">
      <mc:Choice Requires="a14">
        <xdr:sp macro="" textlink="">
          <xdr:nvSpPr>
            <xdr:cNvPr id="30" name="Object 169">
              <a:extLst>
                <a:ext uri="{63B3BB69-23CF-44E3-9099-C40C66FF867C}">
                  <a14:compatExt spid="_x0000_s68777"/>
                </a:ext>
                <a:ext uri="{FF2B5EF4-FFF2-40B4-BE49-F238E27FC236}">
                  <a16:creationId xmlns:a16="http://schemas.microsoft.com/office/drawing/2014/main" id="{00000000-0008-0000-0300-00001E000000}"/>
                </a:ext>
              </a:extLst>
            </xdr:cNvPr>
            <xdr:cNvSpPr txBox="1"/>
          </xdr:nvSpPr>
          <xdr:spPr>
            <a:xfrm>
              <a:off x="594360" y="13906500"/>
              <a:ext cx="355225"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𝑋</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30" name="Object 169">
              <a:extLst>
                <a:ext uri="{63B3BB69-23CF-44E3-9099-C40C66FF867C}">
                  <a14:compatExt xmlns:a14="http://schemas.microsoft.com/office/drawing/2010/main" spid="_x0000_s68777"/>
                </a:ext>
                <a:ext uri="{FF2B5EF4-FFF2-40B4-BE49-F238E27FC236}">
                  <a16:creationId xmlns:a16="http://schemas.microsoft.com/office/drawing/2014/main" id="{C857BEDE-39BD-46F3-9115-25B0D9FA76EC}"/>
                </a:ext>
              </a:extLst>
            </xdr:cNvPr>
            <xdr:cNvSpPr txBox="1"/>
          </xdr:nvSpPr>
          <xdr:spPr>
            <a:xfrm>
              <a:off x="594360" y="13906500"/>
              <a:ext cx="355225"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𝑋_𝑡</a:t>
              </a:r>
              <a:endParaRPr lang="en-AU"/>
            </a:p>
          </xdr:txBody>
        </xdr:sp>
      </mc:Fallback>
    </mc:AlternateContent>
    <xdr:clientData/>
  </xdr:twoCellAnchor>
  <xdr:twoCellAnchor>
    <xdr:from>
      <xdr:col>1</xdr:col>
      <xdr:colOff>190500</xdr:colOff>
      <xdr:row>88</xdr:row>
      <xdr:rowOff>38100</xdr:rowOff>
    </xdr:from>
    <xdr:to>
      <xdr:col>1</xdr:col>
      <xdr:colOff>506164</xdr:colOff>
      <xdr:row>89</xdr:row>
      <xdr:rowOff>142640</xdr:rowOff>
    </xdr:to>
    <mc:AlternateContent xmlns:mc="http://schemas.openxmlformats.org/markup-compatibility/2006" xmlns:a14="http://schemas.microsoft.com/office/drawing/2010/main">
      <mc:Choice Requires="a14">
        <xdr:sp macro="" textlink="">
          <xdr:nvSpPr>
            <xdr:cNvPr id="31" name="Object 172">
              <a:extLst>
                <a:ext uri="{63B3BB69-23CF-44E3-9099-C40C66FF867C}">
                  <a14:compatExt spid="_x0000_s68780"/>
                </a:ext>
                <a:ext uri="{FF2B5EF4-FFF2-40B4-BE49-F238E27FC236}">
                  <a16:creationId xmlns:a16="http://schemas.microsoft.com/office/drawing/2014/main" id="{00000000-0008-0000-0300-00001F000000}"/>
                </a:ext>
              </a:extLst>
            </xdr:cNvPr>
            <xdr:cNvSpPr txBox="1"/>
          </xdr:nvSpPr>
          <xdr:spPr>
            <a:xfrm>
              <a:off x="632460" y="14805660"/>
              <a:ext cx="315664"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i="1">
                            <a:solidFill>
                              <a:srgbClr val="000000"/>
                            </a:solidFill>
                            <a:latin typeface="Cambria Math" panose="02040503050406030204" pitchFamily="18" charset="0"/>
                          </a:rPr>
                          <m:t>𝐼</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31" name="Object 172">
              <a:extLst>
                <a:ext uri="{63B3BB69-23CF-44E3-9099-C40C66FF867C}">
                  <a14:compatExt xmlns:a14="http://schemas.microsoft.com/office/drawing/2010/main" spid="_x0000_s68780"/>
                </a:ext>
                <a:ext uri="{FF2B5EF4-FFF2-40B4-BE49-F238E27FC236}">
                  <a16:creationId xmlns:a16="http://schemas.microsoft.com/office/drawing/2014/main" id="{E801488C-961C-4A8B-B82F-E05BC297F8D6}"/>
                </a:ext>
              </a:extLst>
            </xdr:cNvPr>
            <xdr:cNvSpPr txBox="1"/>
          </xdr:nvSpPr>
          <xdr:spPr>
            <a:xfrm>
              <a:off x="632460" y="14805660"/>
              <a:ext cx="315664" cy="264560"/>
            </a:xfrm>
            <a:prstGeom prst="rect">
              <a:avLst/>
            </a:prstGeom>
          </xdr:spPr>
          <xdr:txBody>
            <a:bodyPr vertOverflow="clip" horzOverflow="clip" wrap="none">
              <a:spAutoFit/>
            </a:bodyPr>
            <a:lstStyle/>
            <a:p>
              <a:pPr/>
              <a:r>
                <a:rPr lang="en-AU" i="0">
                  <a:solidFill>
                    <a:srgbClr val="000000"/>
                  </a:solidFill>
                  <a:latin typeface="Cambria Math" panose="02040503050406030204" pitchFamily="18" charset="0"/>
                </a:rPr>
                <a:t>𝐼_𝑡</a:t>
              </a:r>
              <a:endParaRPr lang="en-AU"/>
            </a:p>
          </xdr:txBody>
        </xdr:sp>
      </mc:Fallback>
    </mc:AlternateContent>
    <xdr:clientData/>
  </xdr:twoCellAnchor>
  <xdr:twoCellAnchor>
    <xdr:from>
      <xdr:col>1</xdr:col>
      <xdr:colOff>220980</xdr:colOff>
      <xdr:row>41</xdr:row>
      <xdr:rowOff>15240</xdr:rowOff>
    </xdr:from>
    <xdr:to>
      <xdr:col>1</xdr:col>
      <xdr:colOff>559855</xdr:colOff>
      <xdr:row>42</xdr:row>
      <xdr:rowOff>127400</xdr:rowOff>
    </xdr:to>
    <mc:AlternateContent xmlns:mc="http://schemas.openxmlformats.org/markup-compatibility/2006" xmlns:a14="http://schemas.microsoft.com/office/drawing/2010/main">
      <mc:Choice Requires="a14">
        <xdr:sp macro="" textlink="">
          <xdr:nvSpPr>
            <xdr:cNvPr id="32" name="Object 166">
              <a:extLst>
                <a:ext uri="{63B3BB69-23CF-44E3-9099-C40C66FF867C}">
                  <a14:compatExt spid="_x0000_s68774"/>
                </a:ext>
                <a:ext uri="{FF2B5EF4-FFF2-40B4-BE49-F238E27FC236}">
                  <a16:creationId xmlns:a16="http://schemas.microsoft.com/office/drawing/2014/main" id="{00000000-0008-0000-0300-000020000000}"/>
                </a:ext>
              </a:extLst>
            </xdr:cNvPr>
            <xdr:cNvSpPr txBox="1"/>
          </xdr:nvSpPr>
          <xdr:spPr>
            <a:xfrm>
              <a:off x="662940" y="7566660"/>
              <a:ext cx="338875"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n-AU" i="1">
                            <a:solidFill>
                              <a:srgbClr val="000000"/>
                            </a:solidFill>
                            <a:latin typeface="Cambria Math" panose="02040503050406030204" pitchFamily="18" charset="0"/>
                          </a:rPr>
                        </m:ctrlPr>
                      </m:sSubPr>
                      <m:e>
                        <m:r>
                          <a:rPr lang="en-AU" b="0" i="1">
                            <a:solidFill>
                              <a:srgbClr val="000000"/>
                            </a:solidFill>
                            <a:latin typeface="Cambria Math" panose="02040503050406030204" pitchFamily="18" charset="0"/>
                          </a:rPr>
                          <m:t>𝑆</m:t>
                        </m:r>
                      </m:e>
                      <m:sub>
                        <m:r>
                          <a:rPr lang="en-AU" i="1">
                            <a:solidFill>
                              <a:srgbClr val="000000"/>
                            </a:solidFill>
                            <a:latin typeface="Cambria Math" panose="02040503050406030204" pitchFamily="18" charset="0"/>
                          </a:rPr>
                          <m:t>𝑡</m:t>
                        </m:r>
                      </m:sub>
                    </m:sSub>
                  </m:oMath>
                </m:oMathPara>
              </a14:m>
              <a:endParaRPr lang="en-AU"/>
            </a:p>
          </xdr:txBody>
        </xdr:sp>
      </mc:Choice>
      <mc:Fallback xmlns="">
        <xdr:sp macro="" textlink="">
          <xdr:nvSpPr>
            <xdr:cNvPr id="32" name="Object 166">
              <a:extLst>
                <a:ext uri="{63B3BB69-23CF-44E3-9099-C40C66FF867C}">
                  <a14:compatExt xmlns:a14="http://schemas.microsoft.com/office/drawing/2010/main" spid="_x0000_s68774"/>
                </a:ext>
                <a:ext uri="{FF2B5EF4-FFF2-40B4-BE49-F238E27FC236}">
                  <a16:creationId xmlns:a16="http://schemas.microsoft.com/office/drawing/2014/main" id="{9DFD2355-2ECD-4D97-84EB-F74050EDFC6C}"/>
                </a:ext>
              </a:extLst>
            </xdr:cNvPr>
            <xdr:cNvSpPr txBox="1"/>
          </xdr:nvSpPr>
          <xdr:spPr>
            <a:xfrm>
              <a:off x="662940" y="7566660"/>
              <a:ext cx="338875" cy="264560"/>
            </a:xfrm>
            <a:prstGeom prst="rect">
              <a:avLst/>
            </a:prstGeom>
          </xdr:spPr>
          <xdr:txBody>
            <a:bodyPr vertOverflow="clip" horzOverflow="clip" wrap="none">
              <a:spAutoFit/>
            </a:bodyPr>
            <a:lstStyle/>
            <a:p>
              <a:pPr/>
              <a:r>
                <a:rPr lang="en-AU" b="0" i="0">
                  <a:solidFill>
                    <a:srgbClr val="000000"/>
                  </a:solidFill>
                  <a:latin typeface="Cambria Math" panose="02040503050406030204" pitchFamily="18" charset="0"/>
                </a:rPr>
                <a:t>𝑆_</a:t>
              </a:r>
              <a:r>
                <a:rPr lang="en-AU" i="0">
                  <a:solidFill>
                    <a:srgbClr val="000000"/>
                  </a:solidFill>
                  <a:latin typeface="Cambria Math" panose="02040503050406030204" pitchFamily="18" charset="0"/>
                </a:rPr>
                <a:t>𝑡</a:t>
              </a:r>
              <a:endParaRPr lang="en-AU"/>
            </a:p>
          </xdr:txBody>
        </xdr:sp>
      </mc:Fallback>
    </mc:AlternateContent>
    <xdr:clientData/>
  </xdr:twoCellAnchor>
  <xdr:twoCellAnchor editAs="oneCell">
    <xdr:from>
      <xdr:col>0</xdr:col>
      <xdr:colOff>0</xdr:colOff>
      <xdr:row>49</xdr:row>
      <xdr:rowOff>1</xdr:rowOff>
    </xdr:from>
    <xdr:to>
      <xdr:col>10</xdr:col>
      <xdr:colOff>603250</xdr:colOff>
      <xdr:row>55</xdr:row>
      <xdr:rowOff>81280</xdr:rowOff>
    </xdr:to>
    <xdr:pic>
      <xdr:nvPicPr>
        <xdr:cNvPr id="33" name="Picture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1"/>
        <a:stretch>
          <a:fillRect/>
        </a:stretch>
      </xdr:blipFill>
      <xdr:spPr>
        <a:xfrm>
          <a:off x="0" y="9159241"/>
          <a:ext cx="6301740" cy="1082039"/>
        </a:xfrm>
        <a:prstGeom prst="rect">
          <a:avLst/>
        </a:prstGeom>
      </xdr:spPr>
    </xdr:pic>
    <xdr:clientData/>
  </xdr:twoCellAnchor>
  <xdr:twoCellAnchor editAs="oneCell">
    <xdr:from>
      <xdr:col>0</xdr:col>
      <xdr:colOff>0</xdr:colOff>
      <xdr:row>57</xdr:row>
      <xdr:rowOff>0</xdr:rowOff>
    </xdr:from>
    <xdr:to>
      <xdr:col>8</xdr:col>
      <xdr:colOff>383540</xdr:colOff>
      <xdr:row>64</xdr:row>
      <xdr:rowOff>154940</xdr:rowOff>
    </xdr:to>
    <xdr:pic>
      <xdr:nvPicPr>
        <xdr:cNvPr id="34" name="Picture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2"/>
        <a:stretch>
          <a:fillRect/>
        </a:stretch>
      </xdr:blipFill>
      <xdr:spPr>
        <a:xfrm>
          <a:off x="0" y="10500360"/>
          <a:ext cx="5554980" cy="1318260"/>
        </a:xfrm>
        <a:prstGeom prst="rect">
          <a:avLst/>
        </a:prstGeom>
      </xdr:spPr>
    </xdr:pic>
    <xdr:clientData/>
  </xdr:twoCellAnchor>
  <xdr:twoCellAnchor>
    <xdr:from>
      <xdr:col>1</xdr:col>
      <xdr:colOff>129540</xdr:colOff>
      <xdr:row>97</xdr:row>
      <xdr:rowOff>129540</xdr:rowOff>
    </xdr:from>
    <xdr:to>
      <xdr:col>1</xdr:col>
      <xdr:colOff>481046</xdr:colOff>
      <xdr:row>97</xdr:row>
      <xdr:rowOff>394100</xdr:rowOff>
    </xdr:to>
    <mc:AlternateContent xmlns:mc="http://schemas.openxmlformats.org/markup-compatibility/2006" xmlns:a14="http://schemas.microsoft.com/office/drawing/2010/main">
      <mc:Choice Requires="a14">
        <xdr:sp macro="" textlink="">
          <xdr:nvSpPr>
            <xdr:cNvPr id="35" name="Object 157">
              <a:extLst>
                <a:ext uri="{63B3BB69-23CF-44E3-9099-C40C66FF867C}">
                  <a14:compatExt spid="_x0000_s68765"/>
                </a:ext>
                <a:ext uri="{FF2B5EF4-FFF2-40B4-BE49-F238E27FC236}">
                  <a16:creationId xmlns:a16="http://schemas.microsoft.com/office/drawing/2014/main" id="{00000000-0008-0000-0300-000023000000}"/>
                </a:ext>
              </a:extLst>
            </xdr:cNvPr>
            <xdr:cNvSpPr txBox="1"/>
          </xdr:nvSpPr>
          <xdr:spPr>
            <a:xfrm>
              <a:off x="571500" y="16520160"/>
              <a:ext cx="351506" cy="26456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Sup>
                      <m:sSubSupPr>
                        <m:ctrlPr>
                          <a:rPr lang="en-AU" i="1">
                            <a:solidFill>
                              <a:srgbClr val="000000"/>
                            </a:solidFill>
                            <a:latin typeface="Cambria Math" panose="02040503050406030204" pitchFamily="18" charset="0"/>
                          </a:rPr>
                        </m:ctrlPr>
                      </m:sSubSupPr>
                      <m:e>
                        <m:r>
                          <a:rPr lang="en-AU" b="0" i="1">
                            <a:solidFill>
                              <a:srgbClr val="000000"/>
                            </a:solidFill>
                            <a:latin typeface="Cambria Math" panose="02040503050406030204" pitchFamily="18" charset="0"/>
                          </a:rPr>
                          <m:t>𝐶</m:t>
                        </m:r>
                      </m:e>
                      <m:sub>
                        <m:r>
                          <a:rPr lang="en-AU" i="1">
                            <a:solidFill>
                              <a:srgbClr val="000000"/>
                            </a:solidFill>
                            <a:latin typeface="Cambria Math" panose="02040503050406030204" pitchFamily="18" charset="0"/>
                          </a:rPr>
                          <m:t>𝑡</m:t>
                        </m:r>
                      </m:sub>
                      <m:sup>
                        <m:r>
                          <a:rPr lang="en-AU" b="0" i="1">
                            <a:solidFill>
                              <a:srgbClr val="000000"/>
                            </a:solidFill>
                            <a:latin typeface="Cambria Math" panose="02040503050406030204" pitchFamily="18" charset="0"/>
                          </a:rPr>
                          <m:t>′</m:t>
                        </m:r>
                      </m:sup>
                    </m:sSubSup>
                  </m:oMath>
                </m:oMathPara>
              </a14:m>
              <a:endParaRPr lang="en-AU"/>
            </a:p>
          </xdr:txBody>
        </xdr:sp>
      </mc:Choice>
      <mc:Fallback xmlns="">
        <xdr:sp macro="" textlink="">
          <xdr:nvSpPr>
            <xdr:cNvPr id="35" name="Object 157">
              <a:extLst>
                <a:ext uri="{63B3BB69-23CF-44E3-9099-C40C66FF867C}">
                  <a14:compatExt xmlns:a14="http://schemas.microsoft.com/office/drawing/2010/main" spid="_x0000_s68765"/>
                </a:ext>
                <a:ext uri="{FF2B5EF4-FFF2-40B4-BE49-F238E27FC236}">
                  <a16:creationId xmlns:a16="http://schemas.microsoft.com/office/drawing/2014/main" id="{AB3F2058-94A4-43E0-8295-1375127C5811}"/>
                </a:ext>
              </a:extLst>
            </xdr:cNvPr>
            <xdr:cNvSpPr txBox="1"/>
          </xdr:nvSpPr>
          <xdr:spPr>
            <a:xfrm>
              <a:off x="571500" y="16520160"/>
              <a:ext cx="351506" cy="264560"/>
            </a:xfrm>
            <a:prstGeom prst="rect">
              <a:avLst/>
            </a:prstGeom>
          </xdr:spPr>
          <xdr:txBody>
            <a:bodyPr vertOverflow="clip" horzOverflow="clip" wrap="none">
              <a:spAutoFit/>
            </a:bodyPr>
            <a:lstStyle/>
            <a:p>
              <a:pPr/>
              <a:r>
                <a:rPr lang="en-AU" b="0" i="0">
                  <a:solidFill>
                    <a:srgbClr val="000000"/>
                  </a:solidFill>
                  <a:latin typeface="Cambria Math" panose="02040503050406030204" pitchFamily="18" charset="0"/>
                </a:rPr>
                <a:t>𝐶_</a:t>
              </a:r>
              <a:r>
                <a:rPr lang="en-AU" i="0">
                  <a:solidFill>
                    <a:srgbClr val="000000"/>
                  </a:solidFill>
                  <a:latin typeface="Cambria Math" panose="02040503050406030204" pitchFamily="18" charset="0"/>
                </a:rPr>
                <a:t>𝑡^</a:t>
              </a:r>
              <a:r>
                <a:rPr lang="en-AU" b="0" i="0">
                  <a:solidFill>
                    <a:srgbClr val="000000"/>
                  </a:solidFill>
                  <a:latin typeface="Cambria Math" panose="02040503050406030204" pitchFamily="18" charset="0"/>
                </a:rPr>
                <a:t>′</a:t>
              </a:r>
              <a:endParaRPr lang="en-AU"/>
            </a:p>
          </xdr:txBody>
        </xdr:sp>
      </mc:Fallback>
    </mc:AlternateContent>
    <xdr:clientData/>
  </xdr:twoCellAnchor>
  <xdr:twoCellAnchor editAs="oneCell">
    <xdr:from>
      <xdr:col>0</xdr:col>
      <xdr:colOff>0</xdr:colOff>
      <xdr:row>102</xdr:row>
      <xdr:rowOff>175260</xdr:rowOff>
    </xdr:from>
    <xdr:to>
      <xdr:col>10</xdr:col>
      <xdr:colOff>459740</xdr:colOff>
      <xdr:row>136</xdr:row>
      <xdr:rowOff>724</xdr:rowOff>
    </xdr:to>
    <xdr:pic>
      <xdr:nvPicPr>
        <xdr:cNvPr id="36" name="Picture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3"/>
        <a:stretch>
          <a:fillRect/>
        </a:stretch>
      </xdr:blipFill>
      <xdr:spPr>
        <a:xfrm>
          <a:off x="0" y="17571720"/>
          <a:ext cx="6172200" cy="5424894"/>
        </a:xfrm>
        <a:prstGeom prst="rect">
          <a:avLst/>
        </a:prstGeom>
      </xdr:spPr>
    </xdr:pic>
    <xdr:clientData/>
  </xdr:twoCellAnchor>
  <xdr:twoCellAnchor editAs="oneCell">
    <xdr:from>
      <xdr:col>0</xdr:col>
      <xdr:colOff>0</xdr:colOff>
      <xdr:row>145</xdr:row>
      <xdr:rowOff>0</xdr:rowOff>
    </xdr:from>
    <xdr:to>
      <xdr:col>10</xdr:col>
      <xdr:colOff>110789</xdr:colOff>
      <xdr:row>171</xdr:row>
      <xdr:rowOff>106905</xdr:rowOff>
    </xdr:to>
    <xdr:pic>
      <xdr:nvPicPr>
        <xdr:cNvPr id="37" name="Picture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4"/>
        <a:stretch>
          <a:fillRect/>
        </a:stretch>
      </xdr:blipFill>
      <xdr:spPr>
        <a:xfrm>
          <a:off x="0" y="25054560"/>
          <a:ext cx="5810549" cy="4381725"/>
        </a:xfrm>
        <a:prstGeom prst="rect">
          <a:avLst/>
        </a:prstGeom>
      </xdr:spPr>
    </xdr:pic>
    <xdr:clientData/>
  </xdr:twoCellAnchor>
  <xdr:twoCellAnchor editAs="oneCell">
    <xdr:from>
      <xdr:col>0</xdr:col>
      <xdr:colOff>0</xdr:colOff>
      <xdr:row>179</xdr:row>
      <xdr:rowOff>0</xdr:rowOff>
    </xdr:from>
    <xdr:to>
      <xdr:col>11</xdr:col>
      <xdr:colOff>307915</xdr:colOff>
      <xdr:row>208</xdr:row>
      <xdr:rowOff>34717</xdr:rowOff>
    </xdr:to>
    <xdr:pic>
      <xdr:nvPicPr>
        <xdr:cNvPr id="38" name="Picture 37">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15"/>
        <a:stretch>
          <a:fillRect/>
        </a:stretch>
      </xdr:blipFill>
      <xdr:spPr>
        <a:xfrm>
          <a:off x="0" y="31021020"/>
          <a:ext cx="6629975" cy="4922947"/>
        </a:xfrm>
        <a:prstGeom prst="rect">
          <a:avLst/>
        </a:prstGeom>
      </xdr:spPr>
    </xdr:pic>
    <xdr:clientData/>
  </xdr:twoCellAnchor>
  <xdr:twoCellAnchor editAs="oneCell">
    <xdr:from>
      <xdr:col>0</xdr:col>
      <xdr:colOff>53339</xdr:colOff>
      <xdr:row>216</xdr:row>
      <xdr:rowOff>45720</xdr:rowOff>
    </xdr:from>
    <xdr:to>
      <xdr:col>4</xdr:col>
      <xdr:colOff>263744</xdr:colOff>
      <xdr:row>220</xdr:row>
      <xdr:rowOff>148589</xdr:rowOff>
    </xdr:to>
    <xdr:pic>
      <xdr:nvPicPr>
        <xdr:cNvPr id="39" name="Picture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16"/>
        <a:stretch>
          <a:fillRect/>
        </a:stretch>
      </xdr:blipFill>
      <xdr:spPr>
        <a:xfrm>
          <a:off x="53339" y="37391340"/>
          <a:ext cx="2581495" cy="754379"/>
        </a:xfrm>
        <a:prstGeom prst="rect">
          <a:avLst/>
        </a:prstGeom>
      </xdr:spPr>
    </xdr:pic>
    <xdr:clientData/>
  </xdr:twoCellAnchor>
  <xdr:twoCellAnchor editAs="oneCell">
    <xdr:from>
      <xdr:col>1</xdr:col>
      <xdr:colOff>190500</xdr:colOff>
      <xdr:row>225</xdr:row>
      <xdr:rowOff>15240</xdr:rowOff>
    </xdr:from>
    <xdr:to>
      <xdr:col>1</xdr:col>
      <xdr:colOff>563899</xdr:colOff>
      <xdr:row>226</xdr:row>
      <xdr:rowOff>148605</xdr:rowOff>
    </xdr:to>
    <xdr:pic>
      <xdr:nvPicPr>
        <xdr:cNvPr id="40" name="Picture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17"/>
        <a:stretch>
          <a:fillRect/>
        </a:stretch>
      </xdr:blipFill>
      <xdr:spPr>
        <a:xfrm>
          <a:off x="632460" y="38884860"/>
          <a:ext cx="361969" cy="292115"/>
        </a:xfrm>
        <a:prstGeom prst="rect">
          <a:avLst/>
        </a:prstGeom>
      </xdr:spPr>
    </xdr:pic>
    <xdr:clientData/>
  </xdr:twoCellAnchor>
  <xdr:twoCellAnchor editAs="oneCell">
    <xdr:from>
      <xdr:col>1</xdr:col>
      <xdr:colOff>129540</xdr:colOff>
      <xdr:row>229</xdr:row>
      <xdr:rowOff>38100</xdr:rowOff>
    </xdr:from>
    <xdr:to>
      <xdr:col>1</xdr:col>
      <xdr:colOff>537232</xdr:colOff>
      <xdr:row>230</xdr:row>
      <xdr:rowOff>154955</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8"/>
        <a:stretch>
          <a:fillRect/>
        </a:stretch>
      </xdr:blipFill>
      <xdr:spPr>
        <a:xfrm>
          <a:off x="571500" y="39578280"/>
          <a:ext cx="419122" cy="285765"/>
        </a:xfrm>
        <a:prstGeom prst="rect">
          <a:avLst/>
        </a:prstGeom>
      </xdr:spPr>
    </xdr:pic>
    <xdr:clientData/>
  </xdr:twoCellAnchor>
  <xdr:twoCellAnchor editAs="oneCell">
    <xdr:from>
      <xdr:col>0</xdr:col>
      <xdr:colOff>106680</xdr:colOff>
      <xdr:row>250</xdr:row>
      <xdr:rowOff>99060</xdr:rowOff>
    </xdr:from>
    <xdr:to>
      <xdr:col>5</xdr:col>
      <xdr:colOff>383712</xdr:colOff>
      <xdr:row>252</xdr:row>
      <xdr:rowOff>76216</xdr:rowOff>
    </xdr:to>
    <xdr:pic>
      <xdr:nvPicPr>
        <xdr:cNvPr id="42" name="Picture 41">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19"/>
        <a:stretch>
          <a:fillRect/>
        </a:stretch>
      </xdr:blipFill>
      <xdr:spPr>
        <a:xfrm>
          <a:off x="106680" y="43327320"/>
          <a:ext cx="3340272" cy="304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152400</xdr:colOff>
          <xdr:row>5</xdr:row>
          <xdr:rowOff>68580</xdr:rowOff>
        </xdr:from>
        <xdr:to>
          <xdr:col>1</xdr:col>
          <xdr:colOff>731520</xdr:colOff>
          <xdr:row>5</xdr:row>
          <xdr:rowOff>297180</xdr:rowOff>
        </xdr:to>
        <xdr:sp macro="" textlink="">
          <xdr:nvSpPr>
            <xdr:cNvPr id="100353" name="Object 1" hidden="1">
              <a:extLst>
                <a:ext uri="{63B3BB69-23CF-44E3-9099-C40C66FF867C}">
                  <a14:compatExt spid="_x0000_s100353"/>
                </a:ext>
                <a:ext uri="{FF2B5EF4-FFF2-40B4-BE49-F238E27FC236}">
                  <a16:creationId xmlns:a16="http://schemas.microsoft.com/office/drawing/2014/main" id="{00000000-0008-0000-1500-00000188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198120</xdr:colOff>
          <xdr:row>6</xdr:row>
          <xdr:rowOff>45720</xdr:rowOff>
        </xdr:from>
        <xdr:to>
          <xdr:col>1</xdr:col>
          <xdr:colOff>449580</xdr:colOff>
          <xdr:row>7</xdr:row>
          <xdr:rowOff>0</xdr:rowOff>
        </xdr:to>
        <xdr:sp macro="" textlink="">
          <xdr:nvSpPr>
            <xdr:cNvPr id="100354" name="Object 2" hidden="1">
              <a:extLst>
                <a:ext uri="{63B3BB69-23CF-44E3-9099-C40C66FF867C}">
                  <a14:compatExt spid="_x0000_s100354"/>
                </a:ext>
                <a:ext uri="{FF2B5EF4-FFF2-40B4-BE49-F238E27FC236}">
                  <a16:creationId xmlns:a16="http://schemas.microsoft.com/office/drawing/2014/main" id="{00000000-0008-0000-1500-00000288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213360</xdr:colOff>
          <xdr:row>11</xdr:row>
          <xdr:rowOff>45720</xdr:rowOff>
        </xdr:from>
        <xdr:to>
          <xdr:col>1</xdr:col>
          <xdr:colOff>403860</xdr:colOff>
          <xdr:row>12</xdr:row>
          <xdr:rowOff>7620</xdr:rowOff>
        </xdr:to>
        <xdr:sp macro="" textlink="">
          <xdr:nvSpPr>
            <xdr:cNvPr id="100355" name="Object 3" hidden="1">
              <a:extLst>
                <a:ext uri="{63B3BB69-23CF-44E3-9099-C40C66FF867C}">
                  <a14:compatExt spid="_x0000_s100355"/>
                </a:ext>
                <a:ext uri="{FF2B5EF4-FFF2-40B4-BE49-F238E27FC236}">
                  <a16:creationId xmlns:a16="http://schemas.microsoft.com/office/drawing/2014/main" id="{00000000-0008-0000-1500-00000388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180975</xdr:colOff>
      <xdr:row>7</xdr:row>
      <xdr:rowOff>76200</xdr:rowOff>
    </xdr:from>
    <xdr:to>
      <xdr:col>1</xdr:col>
      <xdr:colOff>399415</xdr:colOff>
      <xdr:row>7</xdr:row>
      <xdr:rowOff>314325</xdr:rowOff>
    </xdr:to>
    <xdr:pic>
      <xdr:nvPicPr>
        <xdr:cNvPr id="5" name="Picture 4">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stretch>
          <a:fillRect/>
        </a:stretch>
      </xdr:blipFill>
      <xdr:spPr>
        <a:xfrm>
          <a:off x="3712845" y="1778000"/>
          <a:ext cx="214630" cy="23622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228600</xdr:colOff>
          <xdr:row>9</xdr:row>
          <xdr:rowOff>45720</xdr:rowOff>
        </xdr:from>
        <xdr:to>
          <xdr:col>1</xdr:col>
          <xdr:colOff>381000</xdr:colOff>
          <xdr:row>10</xdr:row>
          <xdr:rowOff>0</xdr:rowOff>
        </xdr:to>
        <xdr:sp macro="" textlink="">
          <xdr:nvSpPr>
            <xdr:cNvPr id="100356" name="Object 4" hidden="1">
              <a:extLst>
                <a:ext uri="{63B3BB69-23CF-44E3-9099-C40C66FF867C}">
                  <a14:compatExt spid="_x0000_s100356"/>
                </a:ext>
                <a:ext uri="{FF2B5EF4-FFF2-40B4-BE49-F238E27FC236}">
                  <a16:creationId xmlns:a16="http://schemas.microsoft.com/office/drawing/2014/main" id="{00000000-0008-0000-1500-00000488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10</xdr:row>
          <xdr:rowOff>45720</xdr:rowOff>
        </xdr:from>
        <xdr:to>
          <xdr:col>1</xdr:col>
          <xdr:colOff>541020</xdr:colOff>
          <xdr:row>10</xdr:row>
          <xdr:rowOff>304800</xdr:rowOff>
        </xdr:to>
        <xdr:sp macro="" textlink="">
          <xdr:nvSpPr>
            <xdr:cNvPr id="100357" name="Object 5" hidden="1">
              <a:extLst>
                <a:ext uri="{63B3BB69-23CF-44E3-9099-C40C66FF867C}">
                  <a14:compatExt spid="_x0000_s100357"/>
                </a:ext>
                <a:ext uri="{FF2B5EF4-FFF2-40B4-BE49-F238E27FC236}">
                  <a16:creationId xmlns:a16="http://schemas.microsoft.com/office/drawing/2014/main" id="{00000000-0008-0000-1500-00000588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8</xdr:row>
      <xdr:rowOff>65936</xdr:rowOff>
    </xdr:from>
    <xdr:to>
      <xdr:col>1</xdr:col>
      <xdr:colOff>3180080</xdr:colOff>
      <xdr:row>8</xdr:row>
      <xdr:rowOff>275555</xdr:rowOff>
    </xdr:to>
    <xdr:pic>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2"/>
        <a:stretch>
          <a:fillRect/>
        </a:stretch>
      </xdr:blipFill>
      <xdr:spPr>
        <a:xfrm>
          <a:off x="3530600" y="2099206"/>
          <a:ext cx="3183890" cy="207714"/>
        </a:xfrm>
        <a:prstGeom prst="rect">
          <a:avLst/>
        </a:prstGeom>
      </xdr:spPr>
    </xdr:pic>
    <xdr:clientData/>
  </xdr:twoCellAnchor>
  <xdr:twoCellAnchor editAs="oneCell">
    <xdr:from>
      <xdr:col>1</xdr:col>
      <xdr:colOff>148167</xdr:colOff>
      <xdr:row>12</xdr:row>
      <xdr:rowOff>74082</xdr:rowOff>
    </xdr:from>
    <xdr:to>
      <xdr:col>1</xdr:col>
      <xdr:colOff>2193246</xdr:colOff>
      <xdr:row>12</xdr:row>
      <xdr:rowOff>295698</xdr:rowOff>
    </xdr:to>
    <xdr:pic>
      <xdr:nvPicPr>
        <xdr:cNvPr id="9" name="Picture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3"/>
        <a:stretch>
          <a:fillRect/>
        </a:stretch>
      </xdr:blipFill>
      <xdr:spPr>
        <a:xfrm>
          <a:off x="3680037" y="3426882"/>
          <a:ext cx="2048889" cy="223521"/>
        </a:xfrm>
        <a:prstGeom prst="rect">
          <a:avLst/>
        </a:prstGeom>
      </xdr:spPr>
    </xdr:pic>
    <xdr:clientData/>
  </xdr:twoCellAnchor>
  <xdr:twoCellAnchor editAs="oneCell">
    <xdr:from>
      <xdr:col>1</xdr:col>
      <xdr:colOff>127000</xdr:colOff>
      <xdr:row>4</xdr:row>
      <xdr:rowOff>74084</xdr:rowOff>
    </xdr:from>
    <xdr:to>
      <xdr:col>1</xdr:col>
      <xdr:colOff>679239</xdr:colOff>
      <xdr:row>4</xdr:row>
      <xdr:rowOff>306917</xdr:rowOff>
    </xdr:to>
    <xdr:pic>
      <xdr:nvPicPr>
        <xdr:cNvPr id="10" name="Picture 9">
          <a:extLst>
            <a:ext uri="{FF2B5EF4-FFF2-40B4-BE49-F238E27FC236}">
              <a16:creationId xmlns:a16="http://schemas.microsoft.com/office/drawing/2014/main" id="{00000000-0008-0000-1500-00000A000000}"/>
            </a:ext>
          </a:extLst>
        </xdr:cNvPr>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0016" t="-4456" r="60346" b="6417"/>
        <a:stretch/>
      </xdr:blipFill>
      <xdr:spPr bwMode="auto">
        <a:xfrm>
          <a:off x="3655060" y="785284"/>
          <a:ext cx="554144" cy="232833"/>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4</xdr:row>
          <xdr:rowOff>68580</xdr:rowOff>
        </xdr:from>
        <xdr:to>
          <xdr:col>2</xdr:col>
          <xdr:colOff>731520</xdr:colOff>
          <xdr:row>4</xdr:row>
          <xdr:rowOff>297180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1800-0000018C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198120</xdr:colOff>
          <xdr:row>5</xdr:row>
          <xdr:rowOff>45720</xdr:rowOff>
        </xdr:from>
        <xdr:to>
          <xdr:col>2</xdr:col>
          <xdr:colOff>449580</xdr:colOff>
          <xdr:row>6</xdr:row>
          <xdr:rowOff>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1800-0000028C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220980</xdr:colOff>
          <xdr:row>9</xdr:row>
          <xdr:rowOff>45720</xdr:rowOff>
        </xdr:from>
        <xdr:to>
          <xdr:col>2</xdr:col>
          <xdr:colOff>426720</xdr:colOff>
          <xdr:row>10</xdr:row>
          <xdr:rowOff>7620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1800-0000038C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xdr:col>
      <xdr:colOff>180975</xdr:colOff>
      <xdr:row>6</xdr:row>
      <xdr:rowOff>76200</xdr:rowOff>
    </xdr:from>
    <xdr:to>
      <xdr:col>2</xdr:col>
      <xdr:colOff>400050</xdr:colOff>
      <xdr:row>6</xdr:row>
      <xdr:rowOff>321310</xdr:rowOff>
    </xdr:to>
    <xdr:pic>
      <xdr:nvPicPr>
        <xdr:cNvPr id="5" name="Picture 4">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stretch>
          <a:fillRect/>
        </a:stretch>
      </xdr:blipFill>
      <xdr:spPr>
        <a:xfrm>
          <a:off x="3319145" y="1638300"/>
          <a:ext cx="212090" cy="23495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228600</xdr:colOff>
          <xdr:row>7</xdr:row>
          <xdr:rowOff>45720</xdr:rowOff>
        </xdr:from>
        <xdr:to>
          <xdr:col>2</xdr:col>
          <xdr:colOff>381000</xdr:colOff>
          <xdr:row>8</xdr:row>
          <xdr:rowOff>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1800-0000048C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2</xdr:col>
      <xdr:colOff>1</xdr:colOff>
      <xdr:row>10</xdr:row>
      <xdr:rowOff>38100</xdr:rowOff>
    </xdr:from>
    <xdr:to>
      <xdr:col>2</xdr:col>
      <xdr:colOff>3598545</xdr:colOff>
      <xdr:row>10</xdr:row>
      <xdr:rowOff>326813</xdr:rowOff>
    </xdr:to>
    <xdr:pic>
      <xdr:nvPicPr>
        <xdr:cNvPr id="7" name="Picture 6">
          <a:extLst>
            <a:ext uri="{FF2B5EF4-FFF2-40B4-BE49-F238E27FC236}">
              <a16:creationId xmlns:a16="http://schemas.microsoft.com/office/drawing/2014/main" id="{00000000-0008-0000-1800-000007000000}"/>
            </a:ext>
          </a:extLst>
        </xdr:cNvPr>
        <xdr:cNvPicPr>
          <a:picLocks noChangeAspect="1"/>
        </xdr:cNvPicPr>
      </xdr:nvPicPr>
      <xdr:blipFill rotWithShape="1">
        <a:blip xmlns:r="http://schemas.openxmlformats.org/officeDocument/2006/relationships" r:embed="rId2"/>
        <a:srcRect b="31117"/>
        <a:stretch/>
      </xdr:blipFill>
      <xdr:spPr>
        <a:xfrm>
          <a:off x="3136901" y="2971800"/>
          <a:ext cx="3605529" cy="29506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190500</xdr:colOff>
          <xdr:row>8</xdr:row>
          <xdr:rowOff>45720</xdr:rowOff>
        </xdr:from>
        <xdr:to>
          <xdr:col>2</xdr:col>
          <xdr:colOff>541020</xdr:colOff>
          <xdr:row>8</xdr:row>
          <xdr:rowOff>304800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1800-0000058C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607482</xdr:colOff>
      <xdr:row>4</xdr:row>
      <xdr:rowOff>175684</xdr:rowOff>
    </xdr:from>
    <xdr:to>
      <xdr:col>20</xdr:col>
      <xdr:colOff>19050</xdr:colOff>
      <xdr:row>18</xdr:row>
      <xdr:rowOff>285750</xdr:rowOff>
    </xdr:to>
    <xdr:graphicFrame macro="">
      <xdr:nvGraphicFramePr>
        <xdr:cNvPr id="3" name="Chart 2">
          <a:extLst>
            <a:ext uri="{FF2B5EF4-FFF2-40B4-BE49-F238E27FC236}">
              <a16:creationId xmlns:a16="http://schemas.microsoft.com/office/drawing/2014/main" id="{00000000-0008-0000-1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Philippe Laspeyres" id="{12354781-63E1-4131-A242-216CD9340BC5}" userId="S::philippe.laspeyres@energyq.com.au::24628664-6434-4231-96d3-0fd23da374e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18" dT="2020-03-12T22:08:37.91" personId="{12354781-63E1-4131-A242-216CD9340BC5}" id="{D84C3C95-CB81-4603-B812-13BAB013124F}">
    <text>Override formula to reflect CPI applied in control mechanism for 2015-16 as per draft AER decision and what was included in 2015-16 PP</text>
  </threadedComment>
  <threadedComment ref="D135" dT="2020-12-11T00:43:09.52" personId="{12354781-63E1-4131-A242-216CD9340BC5}" id="{A51670D0-8BFF-4B2A-86BA-1685859B6FCD}">
    <text>Adjustment to account for incorrect 2013-14 Avoided TUOS amount.</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25.wmf"/><Relationship Id="rId3" Type="http://schemas.openxmlformats.org/officeDocument/2006/relationships/vmlDrawing" Target="../drawings/vmlDrawing2.vml"/><Relationship Id="rId7" Type="http://schemas.openxmlformats.org/officeDocument/2006/relationships/image" Target="../media/image22.wmf"/><Relationship Id="rId12" Type="http://schemas.openxmlformats.org/officeDocument/2006/relationships/oleObject" Target="../embeddings/oleObject5.bin"/><Relationship Id="rId2" Type="http://schemas.openxmlformats.org/officeDocument/2006/relationships/drawing" Target="../drawings/drawing3.xml"/><Relationship Id="rId1" Type="http://schemas.openxmlformats.org/officeDocument/2006/relationships/printerSettings" Target="../printerSettings/printerSettings14.bin"/><Relationship Id="rId6" Type="http://schemas.openxmlformats.org/officeDocument/2006/relationships/oleObject" Target="../embeddings/oleObject2.bin"/><Relationship Id="rId11" Type="http://schemas.openxmlformats.org/officeDocument/2006/relationships/image" Target="../media/image24.wmf"/><Relationship Id="rId5" Type="http://schemas.openxmlformats.org/officeDocument/2006/relationships/image" Target="../media/image21.w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23.w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8" Type="http://schemas.openxmlformats.org/officeDocument/2006/relationships/oleObject" Target="../embeddings/oleObject8.bin"/><Relationship Id="rId13" Type="http://schemas.openxmlformats.org/officeDocument/2006/relationships/image" Target="../media/image25.wmf"/><Relationship Id="rId3" Type="http://schemas.openxmlformats.org/officeDocument/2006/relationships/vmlDrawing" Target="../drawings/vmlDrawing3.vml"/><Relationship Id="rId7" Type="http://schemas.openxmlformats.org/officeDocument/2006/relationships/image" Target="../media/image22.wmf"/><Relationship Id="rId12" Type="http://schemas.openxmlformats.org/officeDocument/2006/relationships/oleObject" Target="../embeddings/oleObject10.bin"/><Relationship Id="rId2" Type="http://schemas.openxmlformats.org/officeDocument/2006/relationships/drawing" Target="../drawings/drawing4.xml"/><Relationship Id="rId1" Type="http://schemas.openxmlformats.org/officeDocument/2006/relationships/printerSettings" Target="../printerSettings/printerSettings17.bin"/><Relationship Id="rId6" Type="http://schemas.openxmlformats.org/officeDocument/2006/relationships/oleObject" Target="../embeddings/oleObject7.bin"/><Relationship Id="rId11" Type="http://schemas.openxmlformats.org/officeDocument/2006/relationships/image" Target="../media/image24.wmf"/><Relationship Id="rId5" Type="http://schemas.openxmlformats.org/officeDocument/2006/relationships/image" Target="../media/image21.wmf"/><Relationship Id="rId10" Type="http://schemas.openxmlformats.org/officeDocument/2006/relationships/oleObject" Target="../embeddings/oleObject9.bin"/><Relationship Id="rId4" Type="http://schemas.openxmlformats.org/officeDocument/2006/relationships/oleObject" Target="../embeddings/oleObject6.bin"/><Relationship Id="rId9" Type="http://schemas.openxmlformats.org/officeDocument/2006/relationships/image" Target="../media/image23.wmf"/></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hyperlink" Target="https://www.aer.gov.au/node/27172" TargetMode="Externa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23.bin"/><Relationship Id="rId1" Type="http://schemas.openxmlformats.org/officeDocument/2006/relationships/hyperlink" Target="https://www.aer.gov.au/system/files/AER%20-%20Final%20Decision%20-%20Ergon%20Energy%20Distribution%20Determination%202020-25%20-%20Fee-based%20and%20quoted%20services%20model%20-%20ACS%20-%20June%202020.xlsx"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A1"/>
  <sheetViews>
    <sheetView tabSelected="1" zoomScaleNormal="100" workbookViewId="0">
      <selection activeCell="W34" sqref="W34"/>
    </sheetView>
  </sheetViews>
  <sheetFormatPr defaultRowHeight="13.2"/>
  <sheetData/>
  <pageMargins left="0.31496062992125984" right="0.31496062992125984" top="0.55118110236220474" bottom="0.35433070866141736" header="0.31496062992125984" footer="0.31496062992125984"/>
  <pageSetup paperSize="9" scale="7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C99B6-1727-47D1-8F62-01BB996785AC}">
  <sheetPr>
    <tabColor theme="0" tint="-0.14999847407452621"/>
  </sheetPr>
  <dimension ref="A1"/>
  <sheetViews>
    <sheetView workbookViewId="0">
      <selection activeCell="F16" sqref="F16"/>
    </sheetView>
  </sheetViews>
  <sheetFormatPr defaultRowHeight="13.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9848D-0C57-412F-9596-AA0437D656FA}">
  <dimension ref="A1:C4"/>
  <sheetViews>
    <sheetView workbookViewId="0">
      <selection activeCell="C4" sqref="C4"/>
    </sheetView>
  </sheetViews>
  <sheetFormatPr defaultRowHeight="13.2"/>
  <cols>
    <col min="2" max="2" width="10.6640625" customWidth="1"/>
    <col min="3" max="3" width="67.33203125" customWidth="1"/>
  </cols>
  <sheetData>
    <row r="1" spans="1:3">
      <c r="A1" s="333" t="s">
        <v>941</v>
      </c>
      <c r="B1" s="333" t="s">
        <v>942</v>
      </c>
      <c r="C1" s="333" t="s">
        <v>943</v>
      </c>
    </row>
    <row r="2" spans="1:3">
      <c r="A2" t="s">
        <v>944</v>
      </c>
      <c r="B2" s="358">
        <v>44285</v>
      </c>
      <c r="C2" t="s">
        <v>1904</v>
      </c>
    </row>
    <row r="3" spans="1:3">
      <c r="A3" t="s">
        <v>957</v>
      </c>
      <c r="B3" s="358">
        <v>44310</v>
      </c>
      <c r="C3" t="s">
        <v>1905</v>
      </c>
    </row>
    <row r="4" spans="1:3">
      <c r="A4" t="s">
        <v>1906</v>
      </c>
      <c r="B4" s="358">
        <v>44316</v>
      </c>
      <c r="C4" t="s">
        <v>1905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EC4E2-FF70-4AD6-AAA9-3D7FFC4858E4}">
  <dimension ref="A1:Q271"/>
  <sheetViews>
    <sheetView topLeftCell="A55" workbookViewId="0">
      <selection activeCell="M4" sqref="M4"/>
    </sheetView>
  </sheetViews>
  <sheetFormatPr defaultRowHeight="13.2"/>
  <cols>
    <col min="1" max="1" width="6.44140625" bestFit="1" customWidth="1"/>
    <col min="2" max="2" width="9.6640625" customWidth="1"/>
    <col min="4" max="4" width="9.6640625" customWidth="1"/>
    <col min="5" max="6" width="10" customWidth="1"/>
    <col min="7" max="7" width="10.109375" bestFit="1" customWidth="1"/>
    <col min="8" max="8" width="10.5546875" customWidth="1"/>
    <col min="9" max="9" width="8" customWidth="1"/>
    <col min="10" max="10" width="1.44140625" hidden="1" customWidth="1"/>
    <col min="15" max="15" width="19.109375" customWidth="1"/>
  </cols>
  <sheetData>
    <row r="1" spans="1:17" ht="24.6" customHeight="1" thickBot="1">
      <c r="A1" s="1823" t="s">
        <v>97</v>
      </c>
      <c r="B1" s="1824"/>
      <c r="C1" s="1824"/>
      <c r="D1" s="1824"/>
      <c r="E1" s="1824"/>
      <c r="F1" s="1824"/>
      <c r="G1" s="1824"/>
      <c r="H1" s="1824"/>
      <c r="I1" s="1824"/>
      <c r="J1" s="1825"/>
      <c r="K1" s="1875" t="s">
        <v>1632</v>
      </c>
      <c r="L1" s="1875"/>
      <c r="M1" s="1875"/>
      <c r="N1" s="1875"/>
      <c r="O1" s="1876"/>
    </row>
    <row r="2" spans="1:17" ht="13.8" thickBot="1">
      <c r="A2" s="1826"/>
      <c r="B2" s="1827"/>
      <c r="C2" s="1827"/>
      <c r="D2" s="1827"/>
      <c r="E2" s="1827"/>
      <c r="F2" s="1827"/>
      <c r="G2" s="1827"/>
      <c r="H2" s="1827"/>
      <c r="I2" s="1827"/>
      <c r="J2" s="1827"/>
      <c r="K2" s="1827"/>
      <c r="L2" s="1827"/>
      <c r="M2" s="1827"/>
      <c r="N2" s="1827"/>
      <c r="O2" s="1828"/>
    </row>
    <row r="3" spans="1:17" ht="51.6" customHeight="1">
      <c r="A3" s="1326" t="s">
        <v>101</v>
      </c>
      <c r="B3" s="1327"/>
      <c r="C3" s="1328"/>
      <c r="D3" s="1328"/>
      <c r="E3" s="1328"/>
      <c r="F3" s="1328"/>
      <c r="G3" s="1328"/>
      <c r="H3" s="1328"/>
      <c r="I3" s="1329"/>
      <c r="J3" s="1330"/>
      <c r="K3" s="1331" t="s">
        <v>1633</v>
      </c>
      <c r="L3" s="1332"/>
      <c r="M3" s="1332"/>
      <c r="N3" s="1332"/>
      <c r="O3" s="1333"/>
    </row>
    <row r="4" spans="1:17" ht="39" customHeight="1">
      <c r="A4" s="1334" t="s">
        <v>1634</v>
      </c>
      <c r="B4" s="1335"/>
      <c r="C4" s="1336"/>
      <c r="D4" s="1336"/>
      <c r="E4" s="1336"/>
      <c r="F4" s="1336"/>
      <c r="G4" s="1336"/>
      <c r="H4" s="1336"/>
      <c r="I4" s="1337"/>
      <c r="J4" s="1338"/>
      <c r="K4" s="1339" t="s">
        <v>0</v>
      </c>
      <c r="L4" s="1340"/>
      <c r="M4" s="1340"/>
      <c r="N4" s="1340"/>
      <c r="O4" s="1338"/>
    </row>
    <row r="5" spans="1:17" ht="34.950000000000003" customHeight="1">
      <c r="A5" s="1341" t="s">
        <v>1635</v>
      </c>
      <c r="B5" s="1342"/>
      <c r="C5" s="1343"/>
      <c r="D5" s="1343"/>
      <c r="E5" s="1343"/>
      <c r="F5" s="1343"/>
      <c r="G5" s="1343"/>
      <c r="H5" s="1343"/>
      <c r="I5" s="1344"/>
      <c r="J5" s="1345"/>
      <c r="K5" s="1346" t="s">
        <v>1636</v>
      </c>
      <c r="L5" s="1347"/>
      <c r="M5" s="1347"/>
      <c r="N5" s="1347"/>
      <c r="O5" s="1345"/>
    </row>
    <row r="6" spans="1:17" ht="37.950000000000003" customHeight="1">
      <c r="A6" s="1348" t="s">
        <v>1637</v>
      </c>
      <c r="B6" s="1336"/>
      <c r="C6" s="1336"/>
      <c r="D6" s="1336"/>
      <c r="E6" s="1336"/>
      <c r="F6" s="1336"/>
      <c r="G6" s="1336"/>
      <c r="H6" s="1336"/>
      <c r="I6" s="1337"/>
      <c r="J6" s="1349"/>
      <c r="K6" s="1350" t="s">
        <v>1638</v>
      </c>
      <c r="L6" s="1336"/>
      <c r="M6" s="1336"/>
      <c r="N6" s="1336"/>
      <c r="O6" s="1349"/>
    </row>
    <row r="7" spans="1:17" ht="39.6" customHeight="1">
      <c r="A7" s="1351" t="s">
        <v>1639</v>
      </c>
      <c r="B7" s="1335"/>
      <c r="C7" s="1336"/>
      <c r="D7" s="1336"/>
      <c r="E7" s="1336"/>
      <c r="F7" s="1336"/>
      <c r="G7" s="1336"/>
      <c r="H7" s="1336"/>
      <c r="I7" s="1337"/>
      <c r="J7" s="1336"/>
      <c r="K7" s="1352" t="s">
        <v>1640</v>
      </c>
      <c r="L7" s="1340"/>
      <c r="M7" s="1340"/>
      <c r="N7" s="1340"/>
      <c r="O7" s="1338"/>
      <c r="Q7" s="2"/>
    </row>
    <row r="8" spans="1:17" ht="8.4" customHeight="1">
      <c r="A8" s="1353"/>
      <c r="B8" s="1354"/>
      <c r="C8" s="1355"/>
      <c r="D8" s="1355"/>
      <c r="E8" s="1355"/>
      <c r="F8" s="1355"/>
      <c r="G8" s="1355"/>
      <c r="H8" s="1355"/>
      <c r="I8" s="1355"/>
      <c r="J8" s="1356"/>
      <c r="K8" s="1356"/>
      <c r="L8" s="1356"/>
      <c r="M8" s="1356"/>
      <c r="N8" s="1356"/>
      <c r="O8" s="1357"/>
    </row>
    <row r="9" spans="1:17">
      <c r="A9" s="1841" t="s">
        <v>1</v>
      </c>
      <c r="B9" s="1877"/>
      <c r="C9" s="1878"/>
      <c r="D9" s="1878"/>
      <c r="E9" s="1878"/>
      <c r="F9" s="1878"/>
      <c r="G9" s="1878"/>
      <c r="H9" s="1878"/>
      <c r="I9" s="1878"/>
      <c r="J9" s="1878"/>
      <c r="K9" s="1878"/>
      <c r="L9" s="1878"/>
      <c r="M9" s="1878"/>
      <c r="N9" s="1878"/>
      <c r="O9" s="1879"/>
    </row>
    <row r="10" spans="1:17">
      <c r="A10" s="1841"/>
      <c r="B10" s="1811"/>
      <c r="C10" s="1847" t="s">
        <v>98</v>
      </c>
      <c r="D10" s="1848"/>
      <c r="E10" s="1848"/>
      <c r="F10" s="1848"/>
      <c r="G10" s="1848"/>
      <c r="H10" s="1848"/>
      <c r="I10" s="1848"/>
      <c r="J10" s="1848"/>
      <c r="K10" s="1848"/>
      <c r="L10" s="1848"/>
      <c r="M10" s="1848"/>
      <c r="N10" s="1848"/>
      <c r="O10" s="1849"/>
    </row>
    <row r="11" spans="1:17">
      <c r="A11" s="1841"/>
      <c r="B11" s="1813"/>
      <c r="C11" s="1850"/>
      <c r="D11" s="1851"/>
      <c r="E11" s="1851"/>
      <c r="F11" s="1851"/>
      <c r="G11" s="1851"/>
      <c r="H11" s="1851"/>
      <c r="I11" s="1851"/>
      <c r="J11" s="1851"/>
      <c r="K11" s="1851"/>
      <c r="L11" s="1851"/>
      <c r="M11" s="1851"/>
      <c r="N11" s="1851"/>
      <c r="O11" s="1852"/>
    </row>
    <row r="12" spans="1:17" ht="12.75" hidden="1" customHeight="1">
      <c r="A12" s="1841"/>
      <c r="B12" s="98"/>
      <c r="O12" s="95"/>
    </row>
    <row r="13" spans="1:17">
      <c r="A13" s="1841"/>
      <c r="B13" s="1812"/>
      <c r="C13" s="1872" t="s">
        <v>2</v>
      </c>
      <c r="D13" s="1873"/>
      <c r="E13" s="1873"/>
      <c r="F13" s="1873"/>
      <c r="G13" s="1873"/>
      <c r="H13" s="1873"/>
      <c r="I13" s="1873"/>
      <c r="J13" s="1873"/>
      <c r="K13" s="1873"/>
      <c r="L13" s="1873"/>
      <c r="M13" s="1873"/>
      <c r="N13" s="1873"/>
      <c r="O13" s="1874"/>
    </row>
    <row r="14" spans="1:17">
      <c r="A14" s="1841"/>
      <c r="B14" s="1813"/>
      <c r="C14" s="1850"/>
      <c r="D14" s="1851"/>
      <c r="E14" s="1851"/>
      <c r="F14" s="1851"/>
      <c r="G14" s="1851"/>
      <c r="H14" s="1851"/>
      <c r="I14" s="1851"/>
      <c r="J14" s="1851"/>
      <c r="K14" s="1851"/>
      <c r="L14" s="1851"/>
      <c r="M14" s="1851"/>
      <c r="N14" s="1851"/>
      <c r="O14" s="1852"/>
    </row>
    <row r="15" spans="1:17" ht="12.75" hidden="1" customHeight="1">
      <c r="A15" s="1841"/>
      <c r="B15" s="98"/>
      <c r="O15" s="95"/>
    </row>
    <row r="16" spans="1:17">
      <c r="A16" s="1841"/>
      <c r="B16" s="1812"/>
      <c r="C16" s="1872" t="s">
        <v>3</v>
      </c>
      <c r="D16" s="1873"/>
      <c r="E16" s="1873"/>
      <c r="F16" s="1873"/>
      <c r="G16" s="1873"/>
      <c r="H16" s="1873"/>
      <c r="I16" s="1873"/>
      <c r="J16" s="1873"/>
      <c r="K16" s="1873"/>
      <c r="L16" s="1873"/>
      <c r="M16" s="1873"/>
      <c r="N16" s="1873"/>
      <c r="O16" s="1874"/>
    </row>
    <row r="17" spans="1:15">
      <c r="A17" s="1841"/>
      <c r="B17" s="1813"/>
      <c r="C17" s="1850"/>
      <c r="D17" s="1851"/>
      <c r="E17" s="1851"/>
      <c r="F17" s="1851"/>
      <c r="G17" s="1851"/>
      <c r="H17" s="1851"/>
      <c r="I17" s="1851"/>
      <c r="J17" s="1851"/>
      <c r="K17" s="1851"/>
      <c r="L17" s="1851"/>
      <c r="M17" s="1851"/>
      <c r="N17" s="1851"/>
      <c r="O17" s="1852"/>
    </row>
    <row r="18" spans="1:15" ht="12.75" hidden="1" customHeight="1">
      <c r="A18" s="1841"/>
      <c r="B18" s="98"/>
      <c r="O18" s="95"/>
    </row>
    <row r="19" spans="1:15" ht="12.75" customHeight="1">
      <c r="A19" s="1841"/>
      <c r="B19" s="1812"/>
      <c r="C19" s="1868" t="s">
        <v>287</v>
      </c>
      <c r="D19" s="1798"/>
      <c r="E19" s="1798"/>
      <c r="F19" s="1798"/>
      <c r="G19" s="1798"/>
      <c r="H19" s="1798"/>
      <c r="I19" s="1798"/>
      <c r="J19" s="1798"/>
      <c r="K19" s="1798"/>
      <c r="L19" s="1798"/>
      <c r="M19" s="1798"/>
      <c r="N19" s="1798"/>
      <c r="O19" s="1799"/>
    </row>
    <row r="20" spans="1:15" ht="12.75" customHeight="1">
      <c r="A20" s="1841"/>
      <c r="B20" s="1813"/>
      <c r="C20" s="1808"/>
      <c r="D20" s="1809"/>
      <c r="E20" s="1809"/>
      <c r="F20" s="1809"/>
      <c r="G20" s="1809"/>
      <c r="H20" s="1809"/>
      <c r="I20" s="1809"/>
      <c r="J20" s="1809"/>
      <c r="K20" s="1809"/>
      <c r="L20" s="1809"/>
      <c r="M20" s="1809"/>
      <c r="N20" s="1809"/>
      <c r="O20" s="1810"/>
    </row>
    <row r="21" spans="1:15" ht="12.75" customHeight="1">
      <c r="A21" s="1841"/>
      <c r="B21" s="1811"/>
      <c r="C21" s="1805" t="s">
        <v>1641</v>
      </c>
      <c r="D21" s="1806"/>
      <c r="E21" s="1806"/>
      <c r="F21" s="1806"/>
      <c r="G21" s="1806"/>
      <c r="H21" s="1806"/>
      <c r="I21" s="1806"/>
      <c r="J21" s="1806"/>
      <c r="K21" s="1806"/>
      <c r="L21" s="1806"/>
      <c r="M21" s="1806"/>
      <c r="N21" s="1806"/>
      <c r="O21" s="1807"/>
    </row>
    <row r="22" spans="1:15" ht="12.75" customHeight="1">
      <c r="A22" s="1841"/>
      <c r="B22" s="1813"/>
      <c r="C22" s="1808"/>
      <c r="D22" s="1809"/>
      <c r="E22" s="1809"/>
      <c r="F22" s="1809"/>
      <c r="G22" s="1809"/>
      <c r="H22" s="1809"/>
      <c r="I22" s="1809"/>
      <c r="J22" s="1809"/>
      <c r="K22" s="1809"/>
      <c r="L22" s="1809"/>
      <c r="M22" s="1809"/>
      <c r="N22" s="1809"/>
      <c r="O22" s="1810"/>
    </row>
    <row r="23" spans="1:15" ht="12.75" customHeight="1">
      <c r="A23" s="1841"/>
      <c r="B23" s="1812"/>
      <c r="C23" s="1868" t="s">
        <v>1642</v>
      </c>
      <c r="D23" s="1798"/>
      <c r="E23" s="1798"/>
      <c r="F23" s="1798"/>
      <c r="G23" s="1798"/>
      <c r="H23" s="1798"/>
      <c r="I23" s="1798"/>
      <c r="J23" s="1798"/>
      <c r="K23" s="1798"/>
      <c r="L23" s="1798"/>
      <c r="M23" s="1798"/>
      <c r="N23" s="1798"/>
      <c r="O23" s="1799"/>
    </row>
    <row r="24" spans="1:15">
      <c r="A24" s="1841"/>
      <c r="B24" s="1813"/>
      <c r="C24" s="1808"/>
      <c r="D24" s="1809"/>
      <c r="E24" s="1809"/>
      <c r="F24" s="1809"/>
      <c r="G24" s="1809"/>
      <c r="H24" s="1809"/>
      <c r="I24" s="1809"/>
      <c r="J24" s="1809"/>
      <c r="K24" s="1809"/>
      <c r="L24" s="1809"/>
      <c r="M24" s="1809"/>
      <c r="N24" s="1809"/>
      <c r="O24" s="1810"/>
    </row>
    <row r="25" spans="1:15" ht="12.75" hidden="1" customHeight="1">
      <c r="A25" s="1841"/>
      <c r="B25" s="98"/>
      <c r="O25" s="95"/>
    </row>
    <row r="26" spans="1:15" ht="13.2" customHeight="1">
      <c r="A26" s="1841"/>
      <c r="B26" s="1812"/>
      <c r="C26" s="1817" t="s">
        <v>284</v>
      </c>
      <c r="D26" s="1818"/>
      <c r="E26" s="1818"/>
      <c r="F26" s="1818"/>
      <c r="G26" s="1818"/>
      <c r="H26" s="1818"/>
      <c r="I26" s="1818"/>
      <c r="J26" s="1818"/>
      <c r="K26" s="1818"/>
      <c r="L26" s="1818"/>
      <c r="M26" s="1818"/>
      <c r="N26" s="1818"/>
      <c r="O26" s="1819"/>
    </row>
    <row r="27" spans="1:15">
      <c r="A27" s="1841"/>
      <c r="B27" s="1812"/>
      <c r="C27" s="1817"/>
      <c r="D27" s="1818"/>
      <c r="E27" s="1818"/>
      <c r="F27" s="1818"/>
      <c r="G27" s="1818"/>
      <c r="H27" s="1818"/>
      <c r="I27" s="1818"/>
      <c r="J27" s="1818"/>
      <c r="K27" s="1818"/>
      <c r="L27" s="1818"/>
      <c r="M27" s="1818"/>
      <c r="N27" s="1818"/>
      <c r="O27" s="1819"/>
    </row>
    <row r="28" spans="1:15">
      <c r="A28" s="1841"/>
      <c r="B28" s="1813"/>
      <c r="C28" s="1820"/>
      <c r="D28" s="1821"/>
      <c r="E28" s="1821"/>
      <c r="F28" s="1821"/>
      <c r="G28" s="1821"/>
      <c r="H28" s="1821"/>
      <c r="I28" s="1821"/>
      <c r="J28" s="1821"/>
      <c r="K28" s="1821"/>
      <c r="L28" s="1821"/>
      <c r="M28" s="1821"/>
      <c r="N28" s="1821"/>
      <c r="O28" s="1822"/>
    </row>
    <row r="29" spans="1:15" ht="12.75" hidden="1" customHeight="1">
      <c r="A29" s="1841"/>
      <c r="B29" s="98"/>
      <c r="O29" s="95"/>
    </row>
    <row r="30" spans="1:15" ht="13.2" customHeight="1">
      <c r="A30" s="1841"/>
      <c r="B30" s="1812"/>
      <c r="C30" s="1817" t="s">
        <v>285</v>
      </c>
      <c r="D30" s="1818"/>
      <c r="E30" s="1818"/>
      <c r="F30" s="1818"/>
      <c r="G30" s="1818"/>
      <c r="H30" s="1818"/>
      <c r="I30" s="1818"/>
      <c r="J30" s="1818"/>
      <c r="K30" s="1818"/>
      <c r="L30" s="1818"/>
      <c r="M30" s="1818"/>
      <c r="N30" s="1818"/>
      <c r="O30" s="1819"/>
    </row>
    <row r="31" spans="1:15">
      <c r="A31" s="1841"/>
      <c r="B31" s="1812"/>
      <c r="C31" s="1817"/>
      <c r="D31" s="1818"/>
      <c r="E31" s="1818"/>
      <c r="F31" s="1818"/>
      <c r="G31" s="1818"/>
      <c r="H31" s="1818"/>
      <c r="I31" s="1818"/>
      <c r="J31" s="1818"/>
      <c r="K31" s="1818"/>
      <c r="L31" s="1818"/>
      <c r="M31" s="1818"/>
      <c r="N31" s="1818"/>
      <c r="O31" s="1819"/>
    </row>
    <row r="32" spans="1:15" ht="3.6" customHeight="1">
      <c r="A32" s="1841"/>
      <c r="B32" s="1813"/>
      <c r="C32" s="1820"/>
      <c r="D32" s="1821"/>
      <c r="E32" s="1821"/>
      <c r="F32" s="1821"/>
      <c r="G32" s="1821"/>
      <c r="H32" s="1821"/>
      <c r="I32" s="1821"/>
      <c r="J32" s="1821"/>
      <c r="K32" s="1821"/>
      <c r="L32" s="1821"/>
      <c r="M32" s="1821"/>
      <c r="N32" s="1821"/>
      <c r="O32" s="1822"/>
    </row>
    <row r="33" spans="1:15" ht="12.75" hidden="1" customHeight="1">
      <c r="A33" s="1841"/>
      <c r="B33" s="98"/>
      <c r="O33" s="95"/>
    </row>
    <row r="34" spans="1:15" ht="13.2" customHeight="1">
      <c r="A34" s="1841"/>
      <c r="B34" s="1812"/>
      <c r="C34" s="1817" t="s">
        <v>286</v>
      </c>
      <c r="D34" s="1818"/>
      <c r="E34" s="1818"/>
      <c r="F34" s="1818"/>
      <c r="G34" s="1818"/>
      <c r="H34" s="1818"/>
      <c r="I34" s="1818"/>
      <c r="J34" s="1818"/>
      <c r="K34" s="1818"/>
      <c r="L34" s="1818"/>
      <c r="M34" s="1818"/>
      <c r="N34" s="1818"/>
      <c r="O34" s="1819"/>
    </row>
    <row r="35" spans="1:15">
      <c r="A35" s="1841"/>
      <c r="B35" s="1812"/>
      <c r="C35" s="1817"/>
      <c r="D35" s="1818"/>
      <c r="E35" s="1818"/>
      <c r="F35" s="1818"/>
      <c r="G35" s="1818"/>
      <c r="H35" s="1818"/>
      <c r="I35" s="1818"/>
      <c r="J35" s="1818"/>
      <c r="K35" s="1818"/>
      <c r="L35" s="1818"/>
      <c r="M35" s="1818"/>
      <c r="N35" s="1818"/>
      <c r="O35" s="1819"/>
    </row>
    <row r="36" spans="1:15">
      <c r="A36" s="1841"/>
      <c r="B36" s="1812"/>
      <c r="C36" s="1817"/>
      <c r="D36" s="1818"/>
      <c r="E36" s="1818"/>
      <c r="F36" s="1818"/>
      <c r="G36" s="1818"/>
      <c r="H36" s="1818"/>
      <c r="I36" s="1818"/>
      <c r="J36" s="1818"/>
      <c r="K36" s="1818"/>
      <c r="L36" s="1818"/>
      <c r="M36" s="1818"/>
      <c r="N36" s="1818"/>
      <c r="O36" s="1819"/>
    </row>
    <row r="37" spans="1:15">
      <c r="A37" s="1841"/>
      <c r="B37" s="1812"/>
      <c r="C37" s="1817"/>
      <c r="D37" s="1818"/>
      <c r="E37" s="1818"/>
      <c r="F37" s="1818"/>
      <c r="G37" s="1818"/>
      <c r="H37" s="1818"/>
      <c r="I37" s="1818"/>
      <c r="J37" s="1818"/>
      <c r="K37" s="1818"/>
      <c r="L37" s="1818"/>
      <c r="M37" s="1818"/>
      <c r="N37" s="1818"/>
      <c r="O37" s="1819"/>
    </row>
    <row r="38" spans="1:15" ht="12.6" customHeight="1">
      <c r="A38" s="1841"/>
      <c r="B38" s="1812"/>
      <c r="C38" s="1817"/>
      <c r="D38" s="1818"/>
      <c r="E38" s="1818"/>
      <c r="F38" s="1818"/>
      <c r="G38" s="1818"/>
      <c r="H38" s="1818"/>
      <c r="I38" s="1818"/>
      <c r="J38" s="1818"/>
      <c r="K38" s="1818"/>
      <c r="L38" s="1818"/>
      <c r="M38" s="1818"/>
      <c r="N38" s="1818"/>
      <c r="O38" s="1819"/>
    </row>
    <row r="39" spans="1:15" ht="1.95" customHeight="1">
      <c r="A39" s="1841"/>
      <c r="B39" s="1813"/>
      <c r="C39" s="1820"/>
      <c r="D39" s="1821"/>
      <c r="E39" s="1821"/>
      <c r="F39" s="1821"/>
      <c r="G39" s="1821"/>
      <c r="H39" s="1821"/>
      <c r="I39" s="1821"/>
      <c r="J39" s="1821"/>
      <c r="K39" s="1821"/>
      <c r="L39" s="1821"/>
      <c r="M39" s="1821"/>
      <c r="N39" s="1821"/>
      <c r="O39" s="1822"/>
    </row>
    <row r="40" spans="1:15" ht="12.75" customHeight="1">
      <c r="A40" s="1841"/>
      <c r="B40" s="1812"/>
      <c r="C40" s="1814" t="s">
        <v>288</v>
      </c>
      <c r="D40" s="1815"/>
      <c r="E40" s="1815"/>
      <c r="F40" s="1815"/>
      <c r="G40" s="1815"/>
      <c r="H40" s="1815"/>
      <c r="I40" s="1815"/>
      <c r="J40" s="1815"/>
      <c r="K40" s="1815"/>
      <c r="L40" s="1815"/>
      <c r="M40" s="1815"/>
      <c r="N40" s="1815"/>
      <c r="O40" s="1816"/>
    </row>
    <row r="41" spans="1:15" ht="27" customHeight="1">
      <c r="A41" s="1841"/>
      <c r="B41" s="1813"/>
      <c r="C41" s="1820"/>
      <c r="D41" s="1821"/>
      <c r="E41" s="1821"/>
      <c r="F41" s="1821"/>
      <c r="G41" s="1821"/>
      <c r="H41" s="1821"/>
      <c r="I41" s="1821"/>
      <c r="J41" s="1821"/>
      <c r="K41" s="1821"/>
      <c r="L41" s="1821"/>
      <c r="M41" s="1821"/>
      <c r="N41" s="1821"/>
      <c r="O41" s="1822"/>
    </row>
    <row r="42" spans="1:15" ht="12" customHeight="1">
      <c r="A42" s="1841"/>
      <c r="B42" s="1880"/>
      <c r="C42" s="1862" t="s">
        <v>1643</v>
      </c>
      <c r="D42" s="1862"/>
      <c r="E42" s="1862"/>
      <c r="F42" s="1862"/>
      <c r="G42" s="1862"/>
      <c r="H42" s="1862"/>
      <c r="I42" s="1862"/>
      <c r="J42" s="1862"/>
      <c r="K42" s="1862"/>
      <c r="L42" s="1862"/>
      <c r="M42" s="1862"/>
      <c r="N42" s="1862"/>
      <c r="O42" s="1863"/>
    </row>
    <row r="43" spans="1:15" ht="31.95" customHeight="1">
      <c r="A43" s="96"/>
      <c r="B43" s="1881"/>
      <c r="C43" s="1882"/>
      <c r="D43" s="1882"/>
      <c r="E43" s="1882"/>
      <c r="F43" s="1882"/>
      <c r="G43" s="1882"/>
      <c r="H43" s="1882"/>
      <c r="I43" s="1882"/>
      <c r="J43" s="1882"/>
      <c r="K43" s="1882"/>
      <c r="L43" s="1882"/>
      <c r="M43" s="1882"/>
      <c r="N43" s="1882"/>
      <c r="O43" s="1883"/>
    </row>
    <row r="44" spans="1:15" ht="13.2" customHeight="1">
      <c r="A44" s="1322" t="s">
        <v>99</v>
      </c>
      <c r="B44" s="1820" t="s">
        <v>100</v>
      </c>
      <c r="C44" s="1821"/>
      <c r="D44" s="1821"/>
      <c r="E44" s="1821"/>
      <c r="F44" s="1821"/>
      <c r="G44" s="1821"/>
      <c r="H44" s="1821"/>
      <c r="I44" s="1821"/>
      <c r="J44" s="1821"/>
      <c r="K44" s="1821"/>
      <c r="L44" s="1821"/>
      <c r="M44" s="1821"/>
      <c r="N44" s="1821"/>
      <c r="O44" s="1822"/>
    </row>
    <row r="45" spans="1:15" hidden="1">
      <c r="A45" s="1321"/>
      <c r="B45" s="1358"/>
      <c r="C45" s="1358"/>
      <c r="D45" s="1358"/>
      <c r="E45" s="1358"/>
      <c r="F45" s="1358"/>
      <c r="G45" s="1358"/>
      <c r="H45" s="1358"/>
      <c r="I45" s="1358"/>
      <c r="J45" s="1358"/>
      <c r="K45" s="1358"/>
      <c r="L45" s="1358"/>
      <c r="M45" s="1358"/>
      <c r="N45" s="1358"/>
      <c r="O45" s="1323"/>
    </row>
    <row r="46" spans="1:15" ht="13.8" thickBot="1"/>
    <row r="47" spans="1:15" ht="28.95" customHeight="1" thickBot="1">
      <c r="A47" s="1823" t="s">
        <v>102</v>
      </c>
      <c r="B47" s="1824"/>
      <c r="C47" s="1824"/>
      <c r="D47" s="1824"/>
      <c r="E47" s="1824"/>
      <c r="F47" s="1824"/>
      <c r="G47" s="1824"/>
      <c r="H47" s="1824"/>
      <c r="I47" s="1824"/>
      <c r="J47" s="1825"/>
      <c r="K47" s="1875" t="s">
        <v>1644</v>
      </c>
      <c r="L47" s="1875"/>
      <c r="M47" s="1875"/>
      <c r="N47" s="1875"/>
      <c r="O47" s="1876"/>
    </row>
    <row r="48" spans="1:15" ht="13.8" thickBot="1">
      <c r="A48" s="1869"/>
      <c r="B48" s="1870"/>
      <c r="C48" s="1870"/>
      <c r="D48" s="1870"/>
      <c r="E48" s="1870"/>
      <c r="F48" s="1870"/>
      <c r="G48" s="1870"/>
      <c r="H48" s="1870"/>
      <c r="I48" s="1870"/>
      <c r="J48" s="1870"/>
      <c r="K48" s="1870"/>
      <c r="L48" s="1870"/>
      <c r="M48" s="1870"/>
      <c r="N48" s="1870"/>
      <c r="O48" s="1871"/>
    </row>
    <row r="49" spans="1:15">
      <c r="A49" s="1359" t="s">
        <v>1645</v>
      </c>
      <c r="B49" s="1360"/>
      <c r="C49" s="1360"/>
      <c r="D49" s="1360"/>
      <c r="E49" s="1360"/>
      <c r="F49" s="1360"/>
      <c r="G49" s="1360"/>
      <c r="H49" s="1360"/>
      <c r="I49" s="1360"/>
      <c r="J49" s="1360"/>
      <c r="K49" s="1360"/>
      <c r="L49" s="1360"/>
      <c r="M49" s="1360"/>
      <c r="N49" s="1360"/>
      <c r="O49" s="1361"/>
    </row>
    <row r="50" spans="1:15">
      <c r="A50" s="1362"/>
      <c r="B50" s="1356"/>
      <c r="C50" s="1356"/>
      <c r="D50" s="1356"/>
      <c r="E50" s="1356"/>
      <c r="F50" s="1356"/>
      <c r="G50" s="1356"/>
      <c r="H50" s="1356"/>
      <c r="I50" s="1356"/>
      <c r="J50" s="1356"/>
      <c r="K50" s="1356"/>
      <c r="L50" s="1356"/>
      <c r="M50" s="1356"/>
      <c r="N50" s="1356"/>
      <c r="O50" s="1357"/>
    </row>
    <row r="51" spans="1:15">
      <c r="A51" s="1362"/>
      <c r="B51" s="1356"/>
      <c r="C51" s="1356"/>
      <c r="D51" s="1356"/>
      <c r="E51" s="1356"/>
      <c r="F51" s="1356"/>
      <c r="G51" s="1356"/>
      <c r="H51" s="1356"/>
      <c r="I51" s="1356"/>
      <c r="J51" s="1356"/>
      <c r="K51" s="1356"/>
      <c r="L51" s="1356"/>
      <c r="M51" s="1356"/>
      <c r="N51" s="1356"/>
      <c r="O51" s="1357"/>
    </row>
    <row r="52" spans="1:15">
      <c r="A52" s="1362"/>
      <c r="B52" s="1356"/>
      <c r="C52" s="1356"/>
      <c r="D52" s="1356"/>
      <c r="E52" s="1356"/>
      <c r="F52" s="1356"/>
      <c r="G52" s="1356"/>
      <c r="H52" s="1356"/>
      <c r="I52" s="1356"/>
      <c r="J52" s="1356"/>
      <c r="K52" s="1356"/>
      <c r="L52" s="1356"/>
      <c r="M52" s="1356"/>
      <c r="N52" s="1356"/>
      <c r="O52" s="1357"/>
    </row>
    <row r="53" spans="1:15">
      <c r="A53" s="1362"/>
      <c r="B53" s="1356"/>
      <c r="C53" s="1356"/>
      <c r="D53" s="1356"/>
      <c r="E53" s="1356"/>
      <c r="F53" s="1356"/>
      <c r="G53" s="1356"/>
      <c r="H53" s="1356"/>
      <c r="I53" s="1356"/>
      <c r="J53" s="1356"/>
      <c r="K53" s="1356"/>
      <c r="L53" s="1356"/>
      <c r="M53" s="1356"/>
      <c r="N53" s="1356"/>
      <c r="O53" s="1357"/>
    </row>
    <row r="54" spans="1:15">
      <c r="A54" s="1362"/>
      <c r="B54" s="1356"/>
      <c r="C54" s="1356"/>
      <c r="D54" s="1356"/>
      <c r="E54" s="1356"/>
      <c r="F54" s="1356"/>
      <c r="G54" s="1356"/>
      <c r="H54" s="1356"/>
      <c r="I54" s="1356"/>
      <c r="J54" s="1356"/>
      <c r="K54" s="1356"/>
      <c r="L54" s="1356"/>
      <c r="M54" s="1356"/>
      <c r="N54" s="1356"/>
      <c r="O54" s="1357"/>
    </row>
    <row r="55" spans="1:15">
      <c r="A55" s="1362"/>
      <c r="B55" s="1356"/>
      <c r="C55" s="1356"/>
      <c r="D55" s="1356"/>
      <c r="E55" s="1356"/>
      <c r="F55" s="1356"/>
      <c r="G55" s="1356"/>
      <c r="H55" s="1356"/>
      <c r="I55" s="1356"/>
      <c r="J55" s="1356"/>
      <c r="K55" s="1356"/>
      <c r="L55" s="1356"/>
      <c r="M55" s="1356"/>
      <c r="N55" s="1356"/>
      <c r="O55" s="1357"/>
    </row>
    <row r="56" spans="1:15">
      <c r="A56" s="1362"/>
      <c r="B56" s="1356"/>
      <c r="C56" s="1356"/>
      <c r="D56" s="1356"/>
      <c r="E56" s="1356"/>
      <c r="F56" s="1356"/>
      <c r="G56" s="1356"/>
      <c r="H56" s="1356"/>
      <c r="I56" s="1356"/>
      <c r="J56" s="1356"/>
      <c r="K56" s="1356"/>
      <c r="L56" s="1356"/>
      <c r="M56" s="1356"/>
      <c r="N56" s="1356"/>
      <c r="O56" s="1357"/>
    </row>
    <row r="57" spans="1:15">
      <c r="A57" s="1362" t="s">
        <v>1646</v>
      </c>
      <c r="B57" s="1356"/>
      <c r="C57" s="1356"/>
      <c r="D57" s="1356"/>
      <c r="E57" s="1356"/>
      <c r="F57" s="1356"/>
      <c r="G57" s="1356"/>
      <c r="H57" s="1356"/>
      <c r="I57" s="1356"/>
      <c r="J57" s="1356"/>
      <c r="K57" s="1356"/>
      <c r="L57" s="1356"/>
      <c r="M57" s="1356"/>
      <c r="N57" s="1356"/>
      <c r="O57" s="1357"/>
    </row>
    <row r="58" spans="1:15">
      <c r="A58" s="1362"/>
      <c r="B58" s="1356"/>
      <c r="C58" s="1356"/>
      <c r="D58" s="1356"/>
      <c r="E58" s="1356"/>
      <c r="F58" s="1356"/>
      <c r="G58" s="1356"/>
      <c r="H58" s="1356"/>
      <c r="I58" s="1356"/>
      <c r="J58" s="1356"/>
      <c r="K58" s="1356"/>
      <c r="L58" s="1356"/>
      <c r="M58" s="1356"/>
      <c r="N58" s="1356"/>
      <c r="O58" s="1357"/>
    </row>
    <row r="59" spans="1:15">
      <c r="A59" s="1362"/>
      <c r="B59" s="1356"/>
      <c r="C59" s="1356"/>
      <c r="D59" s="1356"/>
      <c r="E59" s="1356"/>
      <c r="F59" s="1356"/>
      <c r="G59" s="1356"/>
      <c r="H59" s="1356"/>
      <c r="I59" s="1356"/>
      <c r="J59" s="1356"/>
      <c r="K59" s="1356"/>
      <c r="L59" s="1356"/>
      <c r="M59" s="1356"/>
      <c r="N59" s="1356"/>
      <c r="O59" s="1357"/>
    </row>
    <row r="60" spans="1:15">
      <c r="A60" s="1362"/>
      <c r="B60" s="1356"/>
      <c r="C60" s="1356"/>
      <c r="D60" s="1356"/>
      <c r="E60" s="1356"/>
      <c r="F60" s="1356"/>
      <c r="G60" s="1356"/>
      <c r="H60" s="1356"/>
      <c r="I60" s="1356"/>
      <c r="J60" s="1356"/>
      <c r="K60" s="1356"/>
      <c r="L60" s="1356"/>
      <c r="M60" s="1356"/>
      <c r="N60" s="1356"/>
      <c r="O60" s="1357"/>
    </row>
    <row r="61" spans="1:15">
      <c r="A61" s="1362"/>
      <c r="B61" s="1356"/>
      <c r="C61" s="1356"/>
      <c r="D61" s="1356"/>
      <c r="E61" s="1356"/>
      <c r="F61" s="1356"/>
      <c r="G61" s="1356"/>
      <c r="H61" s="1356"/>
      <c r="I61" s="1356"/>
      <c r="J61" s="1356"/>
      <c r="K61" s="1356"/>
      <c r="L61" s="1356"/>
      <c r="M61" s="1356"/>
      <c r="N61" s="1356"/>
      <c r="O61" s="1357"/>
    </row>
    <row r="62" spans="1:15">
      <c r="A62" s="1362"/>
      <c r="B62" s="1356"/>
      <c r="C62" s="1356"/>
      <c r="D62" s="1356"/>
      <c r="E62" s="1356"/>
      <c r="F62" s="1356"/>
      <c r="G62" s="1356"/>
      <c r="H62" s="1356"/>
      <c r="I62" s="1356"/>
      <c r="J62" s="1356"/>
      <c r="K62" s="1356"/>
      <c r="L62" s="1356"/>
      <c r="M62" s="1356"/>
      <c r="N62" s="1356"/>
      <c r="O62" s="1357"/>
    </row>
    <row r="63" spans="1:15">
      <c r="A63" s="1362"/>
      <c r="B63" s="1356"/>
      <c r="C63" s="1356"/>
      <c r="D63" s="1356"/>
      <c r="E63" s="1356"/>
      <c r="F63" s="1356"/>
      <c r="G63" s="1356"/>
      <c r="H63" s="1356"/>
      <c r="I63" s="1356"/>
      <c r="J63" s="1356"/>
      <c r="K63" s="1356"/>
      <c r="L63" s="1356"/>
      <c r="M63" s="1356"/>
      <c r="N63" s="1356"/>
      <c r="O63" s="1357"/>
    </row>
    <row r="64" spans="1:15">
      <c r="A64" s="1362"/>
      <c r="B64" s="1356"/>
      <c r="C64" s="1356"/>
      <c r="D64" s="1356"/>
      <c r="E64" s="1356"/>
      <c r="F64" s="1356"/>
      <c r="G64" s="1356"/>
      <c r="H64" s="1356"/>
      <c r="I64" s="1356"/>
      <c r="J64" s="1356"/>
      <c r="K64" s="1356"/>
      <c r="L64" s="1356"/>
      <c r="M64" s="1356"/>
      <c r="N64" s="1356"/>
      <c r="O64" s="1357"/>
    </row>
    <row r="65" spans="1:15" ht="13.8" thickBot="1">
      <c r="A65" s="1363"/>
      <c r="B65" s="1364"/>
      <c r="C65" s="1364"/>
      <c r="D65" s="1364"/>
      <c r="E65" s="1364"/>
      <c r="F65" s="1364"/>
      <c r="G65" s="1364"/>
      <c r="H65" s="1364"/>
      <c r="I65" s="1364"/>
      <c r="J65" s="1364"/>
      <c r="K65" s="1364"/>
      <c r="L65" s="1364"/>
      <c r="M65" s="1364"/>
      <c r="N65" s="1364"/>
      <c r="O65" s="1365"/>
    </row>
    <row r="66" spans="1:15" ht="13.8" hidden="1" thickBot="1">
      <c r="A66" s="94"/>
      <c r="O66" s="95"/>
    </row>
    <row r="67" spans="1:15" ht="13.2" customHeight="1">
      <c r="A67" s="1838" t="s">
        <v>4</v>
      </c>
      <c r="B67" s="1839"/>
      <c r="C67" s="1839"/>
      <c r="D67" s="1839"/>
      <c r="E67" s="1839"/>
      <c r="F67" s="1839"/>
      <c r="G67" s="1839"/>
      <c r="H67" s="1839"/>
      <c r="I67" s="1839"/>
      <c r="J67" s="1839"/>
      <c r="K67" s="1839"/>
      <c r="L67" s="1839"/>
      <c r="M67" s="1839"/>
      <c r="N67" s="1839"/>
      <c r="O67" s="1840"/>
    </row>
    <row r="68" spans="1:15">
      <c r="A68" s="1841"/>
      <c r="B68" s="1811"/>
      <c r="C68" s="1847" t="s">
        <v>1647</v>
      </c>
      <c r="D68" s="1848"/>
      <c r="E68" s="1848"/>
      <c r="F68" s="1848"/>
      <c r="G68" s="1848"/>
      <c r="H68" s="1848"/>
      <c r="I68" s="1848"/>
      <c r="J68" s="1848"/>
      <c r="K68" s="1848"/>
      <c r="L68" s="1848"/>
      <c r="M68" s="1848"/>
      <c r="N68" s="1848"/>
      <c r="O68" s="1849"/>
    </row>
    <row r="69" spans="1:15">
      <c r="A69" s="1841"/>
      <c r="B69" s="1813"/>
      <c r="C69" s="1850"/>
      <c r="D69" s="1851"/>
      <c r="E69" s="1851"/>
      <c r="F69" s="1851"/>
      <c r="G69" s="1851"/>
      <c r="H69" s="1851"/>
      <c r="I69" s="1851"/>
      <c r="J69" s="1851"/>
      <c r="K69" s="1851"/>
      <c r="L69" s="1851"/>
      <c r="M69" s="1851"/>
      <c r="N69" s="1851"/>
      <c r="O69" s="1852"/>
    </row>
    <row r="70" spans="1:15" ht="12.75" hidden="1" customHeight="1">
      <c r="A70" s="1841"/>
      <c r="B70" s="98"/>
      <c r="O70" s="95"/>
    </row>
    <row r="71" spans="1:15">
      <c r="A71" s="1841"/>
      <c r="B71" s="1812"/>
      <c r="C71" s="1872" t="s">
        <v>5</v>
      </c>
      <c r="D71" s="1873"/>
      <c r="E71" s="1873"/>
      <c r="F71" s="1873"/>
      <c r="G71" s="1873"/>
      <c r="H71" s="1873"/>
      <c r="I71" s="1873"/>
      <c r="J71" s="1873"/>
      <c r="K71" s="1873"/>
      <c r="L71" s="1873"/>
      <c r="M71" s="1873"/>
      <c r="N71" s="1873"/>
      <c r="O71" s="1874"/>
    </row>
    <row r="72" spans="1:15">
      <c r="A72" s="1841"/>
      <c r="B72" s="1813"/>
      <c r="C72" s="1850"/>
      <c r="D72" s="1851"/>
      <c r="E72" s="1851"/>
      <c r="F72" s="1851"/>
      <c r="G72" s="1851"/>
      <c r="H72" s="1851"/>
      <c r="I72" s="1851"/>
      <c r="J72" s="1851"/>
      <c r="K72" s="1851"/>
      <c r="L72" s="1851"/>
      <c r="M72" s="1851"/>
      <c r="N72" s="1851"/>
      <c r="O72" s="1852"/>
    </row>
    <row r="73" spans="1:15" ht="12.75" hidden="1" customHeight="1">
      <c r="A73" s="1841"/>
      <c r="B73" s="98"/>
      <c r="O73" s="95"/>
    </row>
    <row r="74" spans="1:15">
      <c r="A74" s="1841"/>
      <c r="B74" s="1812"/>
      <c r="C74" s="1872" t="s">
        <v>3</v>
      </c>
      <c r="D74" s="1873"/>
      <c r="E74" s="1873"/>
      <c r="F74" s="1873"/>
      <c r="G74" s="1873"/>
      <c r="H74" s="1873"/>
      <c r="I74" s="1873"/>
      <c r="J74" s="1873"/>
      <c r="K74" s="1873"/>
      <c r="L74" s="1873"/>
      <c r="M74" s="1873"/>
      <c r="N74" s="1873"/>
      <c r="O74" s="1874"/>
    </row>
    <row r="75" spans="1:15">
      <c r="A75" s="1841"/>
      <c r="B75" s="1813"/>
      <c r="C75" s="1850"/>
      <c r="D75" s="1851"/>
      <c r="E75" s="1851"/>
      <c r="F75" s="1851"/>
      <c r="G75" s="1851"/>
      <c r="H75" s="1851"/>
      <c r="I75" s="1851"/>
      <c r="J75" s="1851"/>
      <c r="K75" s="1851"/>
      <c r="L75" s="1851"/>
      <c r="M75" s="1851"/>
      <c r="N75" s="1851"/>
      <c r="O75" s="1852"/>
    </row>
    <row r="76" spans="1:15" ht="13.2" customHeight="1">
      <c r="A76" s="1841"/>
      <c r="B76" s="1811"/>
      <c r="C76" s="1814" t="s">
        <v>1648</v>
      </c>
      <c r="D76" s="1815"/>
      <c r="E76" s="1815"/>
      <c r="F76" s="1815"/>
      <c r="G76" s="1815"/>
      <c r="H76" s="1815"/>
      <c r="I76" s="1815"/>
      <c r="J76" s="1815"/>
      <c r="K76" s="1815"/>
      <c r="L76" s="1815"/>
      <c r="M76" s="1815"/>
      <c r="N76" s="1815"/>
      <c r="O76" s="1816"/>
    </row>
    <row r="77" spans="1:15">
      <c r="A77" s="1841"/>
      <c r="B77" s="1812"/>
      <c r="C77" s="1817"/>
      <c r="D77" s="1818"/>
      <c r="E77" s="1818"/>
      <c r="F77" s="1818"/>
      <c r="G77" s="1818"/>
      <c r="H77" s="1818"/>
      <c r="I77" s="1818"/>
      <c r="J77" s="1818"/>
      <c r="K77" s="1818"/>
      <c r="L77" s="1818"/>
      <c r="M77" s="1818"/>
      <c r="N77" s="1818"/>
      <c r="O77" s="1819"/>
    </row>
    <row r="78" spans="1:15">
      <c r="A78" s="1841"/>
      <c r="B78" s="1812"/>
      <c r="C78" s="1817"/>
      <c r="D78" s="1818"/>
      <c r="E78" s="1818"/>
      <c r="F78" s="1818"/>
      <c r="G78" s="1818"/>
      <c r="H78" s="1818"/>
      <c r="I78" s="1818"/>
      <c r="J78" s="1818"/>
      <c r="K78" s="1818"/>
      <c r="L78" s="1818"/>
      <c r="M78" s="1818"/>
      <c r="N78" s="1818"/>
      <c r="O78" s="1819"/>
    </row>
    <row r="79" spans="1:15">
      <c r="A79" s="1841"/>
      <c r="B79" s="1812"/>
      <c r="C79" s="1817"/>
      <c r="D79" s="1818"/>
      <c r="E79" s="1818"/>
      <c r="F79" s="1818"/>
      <c r="G79" s="1818"/>
      <c r="H79" s="1818"/>
      <c r="I79" s="1818"/>
      <c r="J79" s="1818"/>
      <c r="K79" s="1818"/>
      <c r="L79" s="1818"/>
      <c r="M79" s="1818"/>
      <c r="N79" s="1818"/>
      <c r="O79" s="1819"/>
    </row>
    <row r="80" spans="1:15">
      <c r="A80" s="1841"/>
      <c r="B80" s="1812"/>
      <c r="C80" s="1817"/>
      <c r="D80" s="1818"/>
      <c r="E80" s="1818"/>
      <c r="F80" s="1818"/>
      <c r="G80" s="1818"/>
      <c r="H80" s="1818"/>
      <c r="I80" s="1818"/>
      <c r="J80" s="1818"/>
      <c r="K80" s="1818"/>
      <c r="L80" s="1818"/>
      <c r="M80" s="1818"/>
      <c r="N80" s="1818"/>
      <c r="O80" s="1819"/>
    </row>
    <row r="81" spans="1:17" ht="1.2" customHeight="1">
      <c r="A81" s="1841"/>
      <c r="B81" s="1813"/>
      <c r="C81" s="1820"/>
      <c r="D81" s="1821"/>
      <c r="E81" s="1821"/>
      <c r="F81" s="1821"/>
      <c r="G81" s="1821"/>
      <c r="H81" s="1821"/>
      <c r="I81" s="1821"/>
      <c r="J81" s="1821"/>
      <c r="K81" s="1821"/>
      <c r="L81" s="1821"/>
      <c r="M81" s="1821"/>
      <c r="N81" s="1821"/>
      <c r="O81" s="1822"/>
    </row>
    <row r="82" spans="1:17" ht="12.75" hidden="1" customHeight="1">
      <c r="A82" s="1841"/>
      <c r="B82" s="98"/>
      <c r="O82" s="95"/>
    </row>
    <row r="83" spans="1:17" ht="12.75" customHeight="1">
      <c r="A83" s="1841"/>
      <c r="B83" s="1812"/>
      <c r="C83" s="1817" t="s">
        <v>1649</v>
      </c>
      <c r="D83" s="1818"/>
      <c r="E83" s="1818"/>
      <c r="F83" s="1818"/>
      <c r="G83" s="1818"/>
      <c r="H83" s="1818"/>
      <c r="I83" s="1818"/>
      <c r="J83" s="1818"/>
      <c r="K83" s="1818"/>
      <c r="L83" s="1818"/>
      <c r="M83" s="1818"/>
      <c r="N83" s="1818"/>
      <c r="O83" s="1819"/>
    </row>
    <row r="84" spans="1:17" ht="31.5" customHeight="1">
      <c r="A84" s="1841"/>
      <c r="B84" s="1813"/>
      <c r="C84" s="1820"/>
      <c r="D84" s="1821"/>
      <c r="E84" s="1821"/>
      <c r="F84" s="1821"/>
      <c r="G84" s="1821"/>
      <c r="H84" s="1821"/>
      <c r="I84" s="1821"/>
      <c r="J84" s="1821"/>
      <c r="K84" s="1821"/>
      <c r="L84" s="1821"/>
      <c r="M84" s="1821"/>
      <c r="N84" s="1821"/>
      <c r="O84" s="1822"/>
      <c r="Q84" s="2"/>
    </row>
    <row r="85" spans="1:17" ht="12.75" hidden="1" customHeight="1">
      <c r="A85" s="1841"/>
      <c r="B85" s="98"/>
      <c r="O85" s="95"/>
    </row>
    <row r="86" spans="1:17" ht="13.2" customHeight="1">
      <c r="A86" s="1841"/>
      <c r="B86" s="1812"/>
      <c r="C86" s="1868" t="s">
        <v>1650</v>
      </c>
      <c r="D86" s="1798"/>
      <c r="E86" s="1798"/>
      <c r="F86" s="1798"/>
      <c r="G86" s="1798"/>
      <c r="H86" s="1798"/>
      <c r="I86" s="1798"/>
      <c r="J86" s="1798"/>
      <c r="K86" s="1798"/>
      <c r="L86" s="1798"/>
      <c r="M86" s="1798"/>
      <c r="N86" s="1798"/>
      <c r="O86" s="1799"/>
    </row>
    <row r="87" spans="1:17">
      <c r="A87" s="1841"/>
      <c r="B87" s="1813"/>
      <c r="C87" s="1808"/>
      <c r="D87" s="1809"/>
      <c r="E87" s="1809"/>
      <c r="F87" s="1809"/>
      <c r="G87" s="1809"/>
      <c r="H87" s="1809"/>
      <c r="I87" s="1809"/>
      <c r="J87" s="1809"/>
      <c r="K87" s="1809"/>
      <c r="L87" s="1809"/>
      <c r="M87" s="1809"/>
      <c r="N87" s="1809"/>
      <c r="O87" s="1810"/>
    </row>
    <row r="88" spans="1:17" ht="12.75" hidden="1" customHeight="1">
      <c r="A88" s="1841"/>
      <c r="B88" s="98"/>
      <c r="O88" s="95"/>
    </row>
    <row r="89" spans="1:17" ht="12.75" customHeight="1">
      <c r="A89" s="1841"/>
      <c r="B89" s="1812"/>
      <c r="C89" s="1817" t="s">
        <v>1651</v>
      </c>
      <c r="D89" s="1818"/>
      <c r="E89" s="1818"/>
      <c r="F89" s="1818"/>
      <c r="G89" s="1818"/>
      <c r="H89" s="1818"/>
      <c r="I89" s="1818"/>
      <c r="J89" s="1818"/>
      <c r="K89" s="1818"/>
      <c r="L89" s="1818"/>
      <c r="M89" s="1818"/>
      <c r="N89" s="1818"/>
      <c r="O89" s="1819"/>
      <c r="Q89" s="2"/>
    </row>
    <row r="90" spans="1:17" ht="42" customHeight="1">
      <c r="A90" s="1841"/>
      <c r="B90" s="1813"/>
      <c r="C90" s="1820"/>
      <c r="D90" s="1821"/>
      <c r="E90" s="1821"/>
      <c r="F90" s="1821"/>
      <c r="G90" s="1821"/>
      <c r="H90" s="1821"/>
      <c r="I90" s="1821"/>
      <c r="J90" s="1821"/>
      <c r="K90" s="1821"/>
      <c r="L90" s="1821"/>
      <c r="M90" s="1821"/>
      <c r="N90" s="1821"/>
      <c r="O90" s="1822"/>
    </row>
    <row r="91" spans="1:17" ht="4.95" customHeight="1">
      <c r="A91" s="1841"/>
      <c r="B91" s="1366"/>
      <c r="C91" s="1355"/>
      <c r="D91" s="1355"/>
      <c r="E91" s="1355"/>
      <c r="F91" s="1355"/>
      <c r="G91" s="1355"/>
      <c r="H91" s="1355"/>
      <c r="I91" s="1355"/>
      <c r="J91" s="1355"/>
      <c r="K91" s="1355"/>
      <c r="L91" s="1355"/>
      <c r="M91" s="1355"/>
      <c r="N91" s="1355"/>
      <c r="O91" s="1367"/>
    </row>
    <row r="92" spans="1:17" ht="13.2" customHeight="1">
      <c r="A92" s="1841"/>
      <c r="B92" s="1812"/>
      <c r="C92" s="1817" t="s">
        <v>1652</v>
      </c>
      <c r="D92" s="1818"/>
      <c r="E92" s="1818"/>
      <c r="F92" s="1818"/>
      <c r="G92" s="1818"/>
      <c r="H92" s="1818"/>
      <c r="I92" s="1818"/>
      <c r="J92" s="1818"/>
      <c r="K92" s="1818"/>
      <c r="L92" s="1818"/>
      <c r="M92" s="1818"/>
      <c r="N92" s="1818"/>
      <c r="O92" s="1819"/>
    </row>
    <row r="93" spans="1:17" ht="13.8">
      <c r="A93" s="1841"/>
      <c r="B93" s="1812"/>
      <c r="C93" s="1817"/>
      <c r="D93" s="1818"/>
      <c r="E93" s="1818"/>
      <c r="F93" s="1818"/>
      <c r="G93" s="1818"/>
      <c r="H93" s="1818"/>
      <c r="I93" s="1818"/>
      <c r="J93" s="1818"/>
      <c r="K93" s="1818"/>
      <c r="L93" s="1818"/>
      <c r="M93" s="1818"/>
      <c r="N93" s="1818"/>
      <c r="O93" s="1819"/>
      <c r="Q93" s="2"/>
    </row>
    <row r="94" spans="1:17" ht="29.25" customHeight="1">
      <c r="A94" s="1841"/>
      <c r="B94" s="1813"/>
      <c r="C94" s="1820"/>
      <c r="D94" s="1821"/>
      <c r="E94" s="1821"/>
      <c r="F94" s="1821"/>
      <c r="G94" s="1821"/>
      <c r="H94" s="1821"/>
      <c r="I94" s="1821"/>
      <c r="J94" s="1821"/>
      <c r="K94" s="1821"/>
      <c r="L94" s="1821"/>
      <c r="M94" s="1821"/>
      <c r="N94" s="1821"/>
      <c r="O94" s="1822"/>
      <c r="Q94" s="103"/>
    </row>
    <row r="95" spans="1:17" ht="12.75" hidden="1" customHeight="1">
      <c r="A95" s="1841"/>
      <c r="B95" s="98"/>
      <c r="O95" s="95"/>
      <c r="Q95" s="103" t="s">
        <v>116</v>
      </c>
    </row>
    <row r="96" spans="1:17" ht="12.75" hidden="1" customHeight="1">
      <c r="A96" s="99"/>
      <c r="B96" s="100"/>
      <c r="C96" s="91"/>
      <c r="D96" s="91"/>
      <c r="E96" s="91"/>
      <c r="F96" s="91"/>
      <c r="G96" s="91"/>
      <c r="H96" s="91"/>
      <c r="I96" s="91"/>
      <c r="J96" s="91"/>
      <c r="K96" s="91"/>
      <c r="L96" s="91"/>
      <c r="M96" s="91"/>
      <c r="N96" s="91"/>
      <c r="O96" s="97"/>
    </row>
    <row r="97" spans="1:15" ht="12.75" customHeight="1">
      <c r="A97" s="1368"/>
      <c r="B97" s="1369"/>
      <c r="C97" s="1862" t="s">
        <v>1653</v>
      </c>
      <c r="D97" s="1862"/>
      <c r="E97" s="1862"/>
      <c r="F97" s="1862"/>
      <c r="G97" s="1862"/>
      <c r="H97" s="1862"/>
      <c r="I97" s="1862"/>
      <c r="J97" s="1862"/>
      <c r="K97" s="1862"/>
      <c r="L97" s="1862"/>
      <c r="M97" s="1862"/>
      <c r="N97" s="1862"/>
      <c r="O97" s="1863"/>
    </row>
    <row r="98" spans="1:15" ht="44.4" customHeight="1">
      <c r="A98" s="1368"/>
      <c r="B98" s="1342"/>
      <c r="C98" s="1864"/>
      <c r="D98" s="1864"/>
      <c r="E98" s="1864"/>
      <c r="F98" s="1864"/>
      <c r="G98" s="1864"/>
      <c r="H98" s="1864"/>
      <c r="I98" s="1864"/>
      <c r="J98" s="1864"/>
      <c r="K98" s="1864"/>
      <c r="L98" s="1864"/>
      <c r="M98" s="1864"/>
      <c r="N98" s="1864"/>
      <c r="O98" s="1865"/>
    </row>
    <row r="99" spans="1:15" ht="9" customHeight="1">
      <c r="A99" s="96"/>
      <c r="O99" s="95"/>
    </row>
    <row r="100" spans="1:15" ht="12.75" customHeight="1">
      <c r="A100" s="1322" t="s">
        <v>99</v>
      </c>
      <c r="B100" s="1820" t="s">
        <v>100</v>
      </c>
      <c r="C100" s="1821"/>
      <c r="D100" s="1821"/>
      <c r="E100" s="1821"/>
      <c r="F100" s="1821"/>
      <c r="G100" s="1821"/>
      <c r="H100" s="1821"/>
      <c r="I100" s="1821"/>
      <c r="J100" s="1821"/>
      <c r="K100" s="1821"/>
      <c r="L100" s="1821"/>
      <c r="M100" s="1821"/>
      <c r="N100" s="1821"/>
      <c r="O100" s="1822"/>
    </row>
    <row r="101" spans="1:15" ht="12.75" hidden="1" customHeight="1">
      <c r="A101" s="1321"/>
      <c r="B101" s="1358"/>
      <c r="C101" s="1358"/>
      <c r="D101" s="1358"/>
      <c r="E101" s="1358"/>
      <c r="F101" s="1358"/>
      <c r="G101" s="1358"/>
      <c r="H101" s="1358"/>
      <c r="I101" s="1358"/>
      <c r="J101" s="1358"/>
      <c r="K101" s="1358"/>
      <c r="L101" s="1358"/>
      <c r="M101" s="1358"/>
      <c r="N101" s="1358"/>
      <c r="O101" s="1323"/>
    </row>
    <row r="103" spans="1:15" ht="15.6">
      <c r="A103" s="1866" t="s">
        <v>289</v>
      </c>
      <c r="B103" s="1866"/>
      <c r="C103" s="1866"/>
      <c r="D103" s="1866"/>
      <c r="E103" s="1866"/>
      <c r="F103" s="1866"/>
      <c r="G103" s="1866"/>
      <c r="H103" s="1866"/>
      <c r="I103" s="510" t="s">
        <v>1654</v>
      </c>
      <c r="J103" s="1"/>
      <c r="K103" s="1"/>
      <c r="L103" s="1"/>
      <c r="M103" s="1"/>
      <c r="N103" s="1"/>
      <c r="O103" s="1"/>
    </row>
    <row r="104" spans="1:15">
      <c r="A104" s="1867"/>
      <c r="B104" s="1867"/>
      <c r="C104" s="1867"/>
      <c r="D104" s="1867"/>
      <c r="E104" s="1867"/>
      <c r="F104" s="1867"/>
      <c r="G104" s="1370"/>
      <c r="H104" s="1370"/>
    </row>
    <row r="105" spans="1:15">
      <c r="A105" s="1867"/>
      <c r="B105" s="1867"/>
      <c r="C105" s="1867"/>
      <c r="D105" s="1867"/>
      <c r="E105" s="1867"/>
      <c r="F105" s="1867"/>
      <c r="G105" s="1370"/>
      <c r="H105" s="1370"/>
    </row>
    <row r="106" spans="1:15" ht="12.75" customHeight="1">
      <c r="A106" s="1856"/>
      <c r="B106" s="1856"/>
      <c r="C106" s="1856"/>
      <c r="D106" s="1856"/>
      <c r="E106" s="1856"/>
      <c r="F106" s="1856"/>
      <c r="G106" s="1371"/>
      <c r="H106" s="1371"/>
    </row>
    <row r="107" spans="1:15" ht="12.75" customHeight="1">
      <c r="A107" s="1856"/>
      <c r="B107" s="1856"/>
      <c r="C107" s="1856"/>
      <c r="D107" s="1856"/>
      <c r="E107" s="1856"/>
      <c r="F107" s="1856"/>
      <c r="G107" s="1371"/>
      <c r="H107" s="1371"/>
    </row>
    <row r="108" spans="1:15" ht="12.75" customHeight="1">
      <c r="A108" s="1854"/>
      <c r="B108" s="1854"/>
      <c r="C108" s="1854"/>
      <c r="D108" s="1854"/>
      <c r="E108" s="1854"/>
      <c r="F108" s="1854"/>
      <c r="G108" s="1372"/>
      <c r="H108" s="1372"/>
    </row>
    <row r="109" spans="1:15" ht="12.75" customHeight="1">
      <c r="A109" s="1854"/>
      <c r="B109" s="1854"/>
      <c r="C109" s="1854"/>
      <c r="D109" s="1854"/>
      <c r="E109" s="1854"/>
      <c r="F109" s="1854"/>
      <c r="G109" s="1372"/>
      <c r="H109" s="1372"/>
    </row>
    <row r="110" spans="1:15" ht="12.75" customHeight="1">
      <c r="A110" s="1854"/>
      <c r="B110" s="1854"/>
      <c r="C110" s="1854"/>
      <c r="D110" s="1854"/>
      <c r="E110" s="1854"/>
      <c r="F110" s="1854"/>
      <c r="G110" s="1372"/>
      <c r="H110" s="1372"/>
    </row>
    <row r="111" spans="1:15" ht="12.75" customHeight="1">
      <c r="A111" s="1861"/>
      <c r="B111" s="1861"/>
      <c r="C111" s="1861"/>
      <c r="D111" s="1861"/>
      <c r="E111" s="1861"/>
      <c r="F111" s="1861"/>
      <c r="G111" s="1373"/>
      <c r="H111" s="1373"/>
    </row>
    <row r="112" spans="1:15" ht="13.2" customHeight="1">
      <c r="A112" s="1861"/>
      <c r="B112" s="1861"/>
      <c r="C112" s="1861"/>
      <c r="D112" s="1861"/>
      <c r="E112" s="1861"/>
      <c r="F112" s="1861"/>
      <c r="G112" s="1374"/>
      <c r="H112" s="1375"/>
      <c r="K112" s="101"/>
    </row>
    <row r="113" spans="1:8" ht="12.75" customHeight="1">
      <c r="A113" s="1854"/>
      <c r="B113" s="1854"/>
      <c r="C113" s="1854"/>
      <c r="D113" s="1854"/>
      <c r="E113" s="1854"/>
      <c r="F113" s="1854"/>
      <c r="G113" s="1372"/>
      <c r="H113" s="1372"/>
    </row>
    <row r="114" spans="1:8" ht="12.75" customHeight="1">
      <c r="A114" s="1861"/>
      <c r="B114" s="1861"/>
      <c r="C114" s="1861"/>
      <c r="D114" s="1861"/>
      <c r="E114" s="1861"/>
      <c r="F114" s="1861"/>
      <c r="G114" s="1374"/>
      <c r="H114" s="1374"/>
    </row>
    <row r="115" spans="1:8" ht="12.75" customHeight="1">
      <c r="A115" s="1861"/>
      <c r="B115" s="1861"/>
      <c r="C115" s="1861"/>
      <c r="D115" s="1861"/>
      <c r="E115" s="1861"/>
      <c r="F115" s="1861"/>
      <c r="G115" s="1374"/>
      <c r="H115" s="1374"/>
    </row>
    <row r="116" spans="1:8">
      <c r="A116" s="1858"/>
      <c r="B116" s="1858"/>
      <c r="C116" s="1858"/>
      <c r="D116" s="1858"/>
      <c r="E116" s="1858"/>
      <c r="F116" s="1858"/>
      <c r="G116" s="1372"/>
      <c r="H116" s="1372"/>
    </row>
    <row r="117" spans="1:8" ht="14.25" customHeight="1">
      <c r="A117" s="1856"/>
      <c r="B117" s="1856"/>
      <c r="C117" s="1856"/>
      <c r="D117" s="1856"/>
      <c r="E117" s="1856"/>
      <c r="F117" s="1856"/>
      <c r="G117" s="1371"/>
      <c r="H117" s="1371"/>
    </row>
    <row r="118" spans="1:8">
      <c r="A118" s="1858"/>
      <c r="B118" s="1858"/>
      <c r="C118" s="1858"/>
      <c r="D118" s="1858"/>
      <c r="E118" s="1858"/>
      <c r="F118" s="1858"/>
      <c r="G118" s="4"/>
      <c r="H118" s="4"/>
    </row>
    <row r="119" spans="1:8" ht="12.75" customHeight="1">
      <c r="A119" s="1859"/>
      <c r="B119" s="1859"/>
      <c r="C119" s="1859"/>
      <c r="D119" s="1859"/>
      <c r="E119" s="1859"/>
      <c r="F119" s="1859"/>
      <c r="G119" s="83"/>
      <c r="H119" s="83"/>
    </row>
    <row r="120" spans="1:8" ht="13.2" customHeight="1">
      <c r="A120" s="1854"/>
      <c r="B120" s="1854"/>
      <c r="C120" s="1854"/>
      <c r="D120" s="1854"/>
      <c r="E120" s="1854"/>
      <c r="F120" s="1854"/>
      <c r="G120" s="1376"/>
    </row>
    <row r="121" spans="1:8" ht="13.2" customHeight="1">
      <c r="A121" s="1324"/>
      <c r="B121" s="1324"/>
      <c r="C121" s="1324"/>
      <c r="D121" s="1324"/>
      <c r="E121" s="1324"/>
      <c r="F121" s="1324"/>
      <c r="G121" s="1376"/>
    </row>
    <row r="122" spans="1:8" ht="13.2" customHeight="1">
      <c r="A122" s="1324"/>
      <c r="B122" s="1324"/>
      <c r="C122" s="1324"/>
      <c r="D122" s="1324"/>
      <c r="E122" s="1324"/>
      <c r="F122" s="1324"/>
      <c r="G122" s="1376"/>
    </row>
    <row r="123" spans="1:8" ht="13.2" customHeight="1">
      <c r="A123" s="1324"/>
      <c r="B123" s="1324"/>
      <c r="C123" s="1324"/>
      <c r="D123" s="1324"/>
      <c r="E123" s="1324"/>
      <c r="F123" s="1324"/>
      <c r="G123" s="1376"/>
    </row>
    <row r="124" spans="1:8" ht="13.2" customHeight="1">
      <c r="A124" s="1324"/>
      <c r="B124" s="1324"/>
      <c r="C124" s="1324"/>
      <c r="D124" s="1324"/>
      <c r="E124" s="1324"/>
      <c r="F124" s="1324"/>
      <c r="G124" s="1376"/>
    </row>
    <row r="125" spans="1:8" ht="13.2" customHeight="1">
      <c r="A125" s="1324"/>
      <c r="B125" s="1324"/>
      <c r="C125" s="1324"/>
      <c r="D125" s="1324"/>
      <c r="E125" s="1324"/>
      <c r="F125" s="1324"/>
      <c r="G125" s="1376"/>
    </row>
    <row r="126" spans="1:8" ht="13.2" customHeight="1">
      <c r="A126" s="1324"/>
      <c r="B126" s="1324"/>
      <c r="C126" s="1324"/>
      <c r="D126" s="1324"/>
      <c r="E126" s="1324"/>
      <c r="F126" s="1324"/>
      <c r="G126" s="1376"/>
    </row>
    <row r="127" spans="1:8" ht="13.2" customHeight="1">
      <c r="A127" s="1324"/>
      <c r="B127" s="1324"/>
      <c r="C127" s="1324"/>
      <c r="D127" s="1324"/>
      <c r="E127" s="1324"/>
      <c r="F127" s="1324"/>
      <c r="G127" s="1376"/>
    </row>
    <row r="128" spans="1:8" ht="13.2" customHeight="1">
      <c r="A128" s="1324"/>
      <c r="B128" s="1324"/>
      <c r="C128" s="1324"/>
      <c r="D128" s="1324"/>
      <c r="E128" s="1324"/>
      <c r="F128" s="1324"/>
      <c r="G128" s="1376"/>
    </row>
    <row r="129" spans="1:15" ht="13.2" customHeight="1">
      <c r="A129" s="1324"/>
      <c r="B129" s="1324"/>
      <c r="C129" s="1324"/>
      <c r="D129" s="1324"/>
      <c r="E129" s="1324"/>
      <c r="F129" s="1324"/>
      <c r="G129" s="1376"/>
    </row>
    <row r="130" spans="1:15" ht="13.2" customHeight="1">
      <c r="A130" s="1324"/>
      <c r="B130" s="1324"/>
      <c r="C130" s="1324"/>
      <c r="D130" s="1324"/>
      <c r="E130" s="1324"/>
      <c r="F130" s="1324"/>
      <c r="G130" s="1376"/>
    </row>
    <row r="131" spans="1:15" ht="13.2" customHeight="1">
      <c r="A131" s="1854"/>
      <c r="B131" s="1854"/>
      <c r="C131" s="1854"/>
      <c r="D131" s="1854"/>
      <c r="E131" s="1854"/>
      <c r="F131" s="1854"/>
      <c r="G131" s="1376"/>
    </row>
    <row r="132" spans="1:15" ht="13.2" customHeight="1">
      <c r="A132" s="1860"/>
      <c r="B132" s="1860"/>
      <c r="C132" s="1860"/>
      <c r="D132" s="1860"/>
      <c r="E132" s="1860"/>
      <c r="F132" s="1860"/>
      <c r="G132" s="1372"/>
      <c r="H132" s="1372"/>
    </row>
    <row r="133" spans="1:15" ht="13.2" customHeight="1">
      <c r="A133" s="1854"/>
      <c r="B133" s="1854"/>
      <c r="C133" s="1854"/>
      <c r="D133" s="1854"/>
      <c r="E133" s="1854"/>
      <c r="F133" s="1854"/>
      <c r="G133" s="1372"/>
      <c r="H133" s="1372"/>
    </row>
    <row r="134" spans="1:15" ht="13.2" customHeight="1">
      <c r="A134" s="1854"/>
      <c r="B134" s="1854"/>
      <c r="C134" s="1854"/>
      <c r="D134" s="1854"/>
      <c r="E134" s="1854"/>
      <c r="F134" s="1854"/>
      <c r="G134" s="1372"/>
      <c r="H134" s="1372"/>
    </row>
    <row r="135" spans="1:15" ht="13.2" customHeight="1">
      <c r="A135" s="1324"/>
      <c r="B135" s="1324"/>
      <c r="C135" s="1324"/>
      <c r="D135" s="1324"/>
      <c r="E135" s="1324"/>
      <c r="F135" s="1324"/>
      <c r="G135" s="1372"/>
      <c r="H135" s="1372"/>
    </row>
    <row r="136" spans="1:15" ht="13.95" customHeight="1">
      <c r="A136" s="1856"/>
      <c r="B136" s="1856"/>
      <c r="C136" s="1856"/>
      <c r="D136" s="1856"/>
      <c r="E136" s="1856"/>
      <c r="F136" s="1856"/>
      <c r="G136" s="1371"/>
      <c r="H136" s="1371"/>
    </row>
    <row r="137" spans="1:15">
      <c r="A137" s="5" t="s">
        <v>14</v>
      </c>
      <c r="B137" s="1371"/>
      <c r="C137" s="1371"/>
      <c r="D137" s="1371"/>
      <c r="E137" s="1371"/>
      <c r="F137" s="1371"/>
    </row>
    <row r="138" spans="1:15" ht="21.6" customHeight="1">
      <c r="A138" s="1854" t="s">
        <v>1655</v>
      </c>
      <c r="B138" s="1854"/>
      <c r="C138" s="1854"/>
      <c r="D138" s="1854"/>
      <c r="E138" s="1854"/>
      <c r="F138" s="1854"/>
      <c r="G138" s="1854"/>
      <c r="H138" s="1854"/>
      <c r="I138" s="1854"/>
      <c r="J138" s="4"/>
      <c r="K138" s="4"/>
      <c r="L138" s="4"/>
      <c r="M138" s="4"/>
      <c r="N138" s="4"/>
      <c r="O138" s="4"/>
    </row>
    <row r="139" spans="1:15" ht="27.6" customHeight="1">
      <c r="A139" s="1854" t="s">
        <v>1656</v>
      </c>
      <c r="B139" s="1854"/>
      <c r="C139" s="1854"/>
      <c r="D139" s="1854"/>
      <c r="E139" s="1854"/>
      <c r="F139" s="1854"/>
      <c r="G139" s="1854"/>
      <c r="H139" s="1854"/>
      <c r="I139" s="1854"/>
      <c r="J139" s="4"/>
      <c r="K139" s="4"/>
      <c r="L139" s="4"/>
      <c r="M139" s="4"/>
      <c r="N139" s="4"/>
      <c r="O139" s="4"/>
    </row>
    <row r="140" spans="1:15">
      <c r="A140" s="1853" t="s">
        <v>1657</v>
      </c>
      <c r="B140" s="1853"/>
      <c r="C140" s="1853"/>
      <c r="D140" s="1853"/>
      <c r="E140" s="1853"/>
      <c r="F140" s="1853"/>
      <c r="G140" s="1853"/>
      <c r="H140" s="1853"/>
      <c r="I140" s="4"/>
      <c r="J140" s="4"/>
      <c r="K140" s="4"/>
      <c r="L140" s="4"/>
      <c r="M140" s="4"/>
      <c r="N140" s="4"/>
      <c r="O140" s="4"/>
    </row>
    <row r="141" spans="1:15">
      <c r="A141" s="1377" t="s">
        <v>1658</v>
      </c>
      <c r="B141" s="4"/>
      <c r="C141" s="4"/>
      <c r="D141" s="4"/>
      <c r="E141" s="4"/>
      <c r="F141" s="4"/>
      <c r="G141" s="4"/>
      <c r="H141" s="4"/>
      <c r="I141" s="1324"/>
      <c r="J141" s="1324"/>
      <c r="K141" s="1324"/>
      <c r="L141" s="1324"/>
      <c r="M141" s="1324"/>
      <c r="N141" s="1324"/>
      <c r="O141" s="1324"/>
    </row>
    <row r="142" spans="1:15">
      <c r="A142" s="1377" t="s">
        <v>1659</v>
      </c>
    </row>
    <row r="143" spans="1:15" ht="14.25" customHeight="1">
      <c r="C143" s="3"/>
      <c r="D143" s="3"/>
      <c r="E143" s="3"/>
      <c r="F143" s="3"/>
    </row>
    <row r="144" spans="1:15" ht="27.75" customHeight="1">
      <c r="A144" s="1857" t="s">
        <v>290</v>
      </c>
      <c r="B144" s="1857"/>
      <c r="C144" s="1857"/>
      <c r="D144" s="1857"/>
      <c r="E144" s="1857"/>
      <c r="F144" s="1857"/>
      <c r="G144" s="1857"/>
      <c r="H144" s="1857"/>
    </row>
    <row r="145" spans="1:8">
      <c r="A145" s="1378"/>
      <c r="B145" s="1378"/>
      <c r="C145" s="1378"/>
      <c r="D145" s="1378"/>
      <c r="E145" s="1378"/>
      <c r="F145" s="1378"/>
      <c r="G145" s="1370"/>
      <c r="H145" s="1370"/>
    </row>
    <row r="146" spans="1:8">
      <c r="A146" s="1378"/>
      <c r="B146" s="1378"/>
      <c r="C146" s="1378"/>
      <c r="D146" s="1378"/>
      <c r="E146" s="1378"/>
      <c r="F146" s="1378"/>
      <c r="G146" s="1370"/>
      <c r="H146" s="1370"/>
    </row>
    <row r="147" spans="1:8" ht="13.2" customHeight="1">
      <c r="A147" s="1379"/>
      <c r="B147" s="1379"/>
      <c r="C147" s="1379"/>
      <c r="D147" s="1379"/>
      <c r="E147" s="1379"/>
      <c r="F147" s="1379"/>
      <c r="G147" s="1371"/>
      <c r="H147" s="1371"/>
    </row>
    <row r="148" spans="1:8" ht="13.2" customHeight="1">
      <c r="A148" s="1380"/>
      <c r="B148" s="1380"/>
      <c r="C148" s="1380"/>
      <c r="D148" s="1380"/>
      <c r="E148" s="1380"/>
      <c r="F148" s="1380"/>
      <c r="G148" s="1371"/>
      <c r="H148" s="1371"/>
    </row>
    <row r="149" spans="1:8" ht="13.2" customHeight="1">
      <c r="A149" s="1380"/>
      <c r="B149" s="1380"/>
      <c r="C149" s="1380"/>
      <c r="D149" s="1380"/>
      <c r="E149" s="1380"/>
      <c r="F149" s="1380"/>
      <c r="G149" s="1371"/>
      <c r="H149" s="1371"/>
    </row>
    <row r="150" spans="1:8" ht="13.2" customHeight="1">
      <c r="A150" s="1380"/>
      <c r="B150" s="1380"/>
      <c r="C150" s="1380"/>
      <c r="D150" s="1380"/>
      <c r="E150" s="1380"/>
      <c r="F150" s="1380"/>
      <c r="G150" s="1371"/>
      <c r="H150" s="1371"/>
    </row>
    <row r="151" spans="1:8" ht="13.2" customHeight="1">
      <c r="A151" s="1380"/>
      <c r="B151" s="1380"/>
      <c r="C151" s="1380"/>
      <c r="D151" s="1380"/>
      <c r="E151" s="1380"/>
      <c r="F151" s="1380"/>
      <c r="G151" s="1371"/>
      <c r="H151" s="1371"/>
    </row>
    <row r="152" spans="1:8" ht="13.2" customHeight="1">
      <c r="A152" s="1380"/>
      <c r="B152" s="1380"/>
      <c r="C152" s="1380"/>
      <c r="D152" s="1380"/>
      <c r="E152" s="1380"/>
      <c r="F152" s="1380"/>
      <c r="G152" s="1371"/>
      <c r="H152" s="1371"/>
    </row>
    <row r="153" spans="1:8" ht="13.2" customHeight="1">
      <c r="A153" s="1380"/>
      <c r="B153" s="1380"/>
      <c r="C153" s="1380"/>
      <c r="D153" s="1380"/>
      <c r="E153" s="1380"/>
      <c r="F153" s="1380"/>
      <c r="G153" s="1371"/>
      <c r="H153" s="1371"/>
    </row>
    <row r="154" spans="1:8" ht="13.2" customHeight="1">
      <c r="A154" s="1380"/>
      <c r="B154" s="1380"/>
      <c r="C154" s="1380"/>
      <c r="D154" s="1380"/>
      <c r="E154" s="1380"/>
      <c r="F154" s="1380"/>
      <c r="G154" s="1371"/>
      <c r="H154" s="1371"/>
    </row>
    <row r="155" spans="1:8" ht="13.2" customHeight="1">
      <c r="A155" s="1380"/>
      <c r="B155" s="1380"/>
      <c r="C155" s="1380"/>
      <c r="D155" s="1380"/>
      <c r="E155" s="1380"/>
      <c r="F155" s="1380"/>
      <c r="G155" s="1371"/>
      <c r="H155" s="1371"/>
    </row>
    <row r="156" spans="1:8" ht="13.2" customHeight="1">
      <c r="A156" s="1380"/>
      <c r="B156" s="1380"/>
      <c r="C156" s="1380"/>
      <c r="D156" s="1380"/>
      <c r="E156" s="1380"/>
      <c r="F156" s="1380"/>
      <c r="G156" s="1371"/>
      <c r="H156" s="1371"/>
    </row>
    <row r="157" spans="1:8" ht="13.2" customHeight="1">
      <c r="A157" s="1380"/>
      <c r="B157" s="1380"/>
      <c r="C157" s="1380"/>
      <c r="D157" s="1380"/>
      <c r="E157" s="1380"/>
      <c r="F157" s="1380"/>
      <c r="G157" s="1371"/>
      <c r="H157" s="1371"/>
    </row>
    <row r="158" spans="1:8" ht="13.2" customHeight="1">
      <c r="A158" s="1380"/>
      <c r="B158" s="1380"/>
      <c r="C158" s="1380"/>
      <c r="D158" s="1380"/>
      <c r="E158" s="1380"/>
      <c r="F158" s="1380"/>
      <c r="G158" s="1371"/>
      <c r="H158" s="1371"/>
    </row>
    <row r="159" spans="1:8" ht="13.2" customHeight="1">
      <c r="A159" s="1380"/>
      <c r="B159" s="1380"/>
      <c r="C159" s="1380"/>
      <c r="D159" s="1380"/>
      <c r="E159" s="1380"/>
      <c r="F159" s="1380"/>
      <c r="G159" s="1371"/>
      <c r="H159" s="1371"/>
    </row>
    <row r="160" spans="1:8" ht="13.2" customHeight="1">
      <c r="A160" s="1380"/>
      <c r="B160" s="1380"/>
      <c r="C160" s="1380"/>
      <c r="D160" s="1380"/>
      <c r="E160" s="1380"/>
      <c r="F160" s="1380"/>
      <c r="G160" s="1371"/>
      <c r="H160" s="1371"/>
    </row>
    <row r="161" spans="1:8" ht="13.2" customHeight="1">
      <c r="A161" s="1380"/>
      <c r="B161" s="1380"/>
      <c r="C161" s="1380"/>
      <c r="D161" s="1380"/>
      <c r="E161" s="1380"/>
      <c r="F161" s="1380"/>
      <c r="G161" s="1371"/>
      <c r="H161" s="1371"/>
    </row>
    <row r="162" spans="1:8" ht="13.2" customHeight="1">
      <c r="A162" s="1380"/>
      <c r="B162" s="1380"/>
      <c r="C162" s="1380"/>
      <c r="D162" s="1380"/>
      <c r="E162" s="1380"/>
      <c r="F162" s="1380"/>
      <c r="G162" s="1371"/>
      <c r="H162" s="1371"/>
    </row>
    <row r="163" spans="1:8" ht="13.2" customHeight="1">
      <c r="A163" s="1379"/>
      <c r="B163" s="1379"/>
      <c r="C163" s="1379"/>
      <c r="D163" s="1379"/>
      <c r="E163" s="1379"/>
      <c r="F163" s="1379"/>
      <c r="G163" s="1371"/>
      <c r="H163" s="1371"/>
    </row>
    <row r="164" spans="1:8" ht="13.2" customHeight="1">
      <c r="A164" s="4"/>
      <c r="B164" s="4"/>
      <c r="C164" s="4"/>
      <c r="D164" s="4"/>
      <c r="E164" s="4"/>
      <c r="F164" s="4"/>
      <c r="G164" s="1372"/>
      <c r="H164" s="1372"/>
    </row>
    <row r="165" spans="1:8" ht="13.2" customHeight="1">
      <c r="A165" s="4"/>
      <c r="B165" s="4"/>
      <c r="C165" s="4"/>
      <c r="D165" s="4"/>
      <c r="E165" s="4"/>
      <c r="F165" s="4"/>
      <c r="G165" s="1372"/>
      <c r="H165" s="1372"/>
    </row>
    <row r="166" spans="1:8" ht="13.2" customHeight="1">
      <c r="A166" s="4"/>
      <c r="B166" s="4"/>
      <c r="C166" s="4"/>
      <c r="D166" s="4"/>
      <c r="E166" s="4"/>
      <c r="F166" s="4"/>
      <c r="G166" s="1372"/>
      <c r="H166" s="1372"/>
    </row>
    <row r="167" spans="1:8" ht="13.2" customHeight="1">
      <c r="A167" s="4"/>
      <c r="B167" s="4"/>
      <c r="C167" s="4"/>
      <c r="D167" s="4"/>
      <c r="E167" s="4"/>
      <c r="F167" s="4"/>
      <c r="G167" s="1372"/>
      <c r="H167" s="1372"/>
    </row>
    <row r="168" spans="1:8">
      <c r="A168" s="4"/>
      <c r="B168" s="4"/>
      <c r="C168" s="4"/>
      <c r="D168" s="4"/>
      <c r="E168" s="4"/>
      <c r="F168" s="4"/>
      <c r="G168" s="1372"/>
      <c r="H168" s="1372"/>
    </row>
    <row r="169" spans="1:8" ht="13.2" customHeight="1">
      <c r="A169" s="1379"/>
      <c r="B169" s="1379"/>
      <c r="C169" s="1379"/>
      <c r="D169" s="1379"/>
      <c r="E169" s="1379"/>
      <c r="F169" s="1379"/>
      <c r="G169" s="1371"/>
      <c r="H169" s="1371"/>
    </row>
    <row r="170" spans="1:8">
      <c r="A170" s="4"/>
      <c r="B170" s="4"/>
      <c r="C170" s="4"/>
      <c r="D170" s="4"/>
      <c r="E170" s="4"/>
      <c r="F170" s="4"/>
      <c r="G170" s="1372"/>
      <c r="H170" s="1372"/>
    </row>
    <row r="171" spans="1:8" ht="12.75" customHeight="1">
      <c r="A171" s="83"/>
      <c r="B171" s="83"/>
      <c r="C171" s="83"/>
      <c r="D171" s="83"/>
      <c r="E171" s="83"/>
      <c r="F171" s="83"/>
      <c r="G171" s="1381"/>
      <c r="H171" s="1381"/>
    </row>
    <row r="172" spans="1:8" ht="13.2" customHeight="1">
      <c r="A172" s="4"/>
      <c r="B172" s="4"/>
      <c r="C172" s="4"/>
      <c r="D172" s="4"/>
      <c r="E172" s="4"/>
      <c r="F172" s="4"/>
      <c r="G172" s="1376"/>
      <c r="H172" s="1372"/>
    </row>
    <row r="173" spans="1:8">
      <c r="A173" s="5" t="s">
        <v>14</v>
      </c>
    </row>
    <row r="174" spans="1:8">
      <c r="A174" s="1853" t="s">
        <v>1660</v>
      </c>
      <c r="B174" s="1853"/>
      <c r="C174" s="1853"/>
      <c r="D174" s="1853"/>
      <c r="E174" s="1853"/>
      <c r="F174" s="1853"/>
      <c r="G174" s="1853"/>
      <c r="H174" s="1853"/>
    </row>
    <row r="175" spans="1:8">
      <c r="A175" s="1853" t="s">
        <v>1661</v>
      </c>
      <c r="B175" s="1853"/>
      <c r="C175" s="1853"/>
      <c r="D175" s="1853"/>
      <c r="E175" s="1853"/>
      <c r="F175" s="1853"/>
      <c r="G175" s="1853"/>
      <c r="H175" s="1853"/>
    </row>
    <row r="176" spans="1:8" ht="13.2" customHeight="1">
      <c r="A176" s="1854" t="s">
        <v>1662</v>
      </c>
      <c r="B176" s="1854"/>
      <c r="C176" s="1854"/>
      <c r="D176" s="1854"/>
      <c r="E176" s="1854"/>
      <c r="F176" s="1854"/>
      <c r="G176" s="1854"/>
      <c r="H176" s="1854"/>
    </row>
    <row r="177" spans="1:8">
      <c r="A177" s="1854"/>
      <c r="B177" s="1854"/>
      <c r="C177" s="1854"/>
      <c r="D177" s="1854"/>
      <c r="E177" s="1854"/>
      <c r="F177" s="1854"/>
      <c r="G177" s="1854"/>
      <c r="H177" s="1854"/>
    </row>
    <row r="179" spans="1:8" ht="34.950000000000003" customHeight="1">
      <c r="A179" s="1855" t="s">
        <v>1663</v>
      </c>
      <c r="B179" s="1855"/>
      <c r="C179" s="1855"/>
      <c r="D179" s="1855"/>
      <c r="E179" s="1855"/>
      <c r="F179" s="1855"/>
      <c r="G179" s="1855"/>
      <c r="H179" s="1855"/>
    </row>
    <row r="180" spans="1:8">
      <c r="A180" s="1378"/>
      <c r="B180" s="1378"/>
      <c r="C180" s="1378"/>
      <c r="D180" s="1378"/>
      <c r="E180" s="1378"/>
      <c r="F180" s="1378"/>
      <c r="G180" s="1370"/>
      <c r="H180" s="1370"/>
    </row>
    <row r="181" spans="1:8">
      <c r="A181" s="1378"/>
      <c r="B181" s="1378"/>
      <c r="C181" s="1378"/>
      <c r="D181" s="1378"/>
      <c r="E181" s="1378"/>
      <c r="F181" s="1378"/>
      <c r="G181" s="1370"/>
      <c r="H181" s="1370"/>
    </row>
    <row r="182" spans="1:8">
      <c r="A182" s="1382"/>
      <c r="B182" s="1382"/>
      <c r="C182" s="1382"/>
      <c r="D182" s="1382"/>
      <c r="E182" s="1382"/>
      <c r="F182" s="1382"/>
      <c r="G182" s="1370"/>
      <c r="H182" s="1370"/>
    </row>
    <row r="183" spans="1:8">
      <c r="A183" s="1382"/>
      <c r="B183" s="1382"/>
      <c r="C183" s="1382"/>
      <c r="D183" s="1382"/>
      <c r="E183" s="1382"/>
      <c r="F183" s="1382"/>
      <c r="G183" s="1370"/>
      <c r="H183" s="1370"/>
    </row>
    <row r="184" spans="1:8">
      <c r="A184" s="1382"/>
      <c r="B184" s="1382"/>
      <c r="C184" s="1382"/>
      <c r="D184" s="1382"/>
      <c r="E184" s="1382"/>
      <c r="F184" s="1382"/>
      <c r="G184" s="1370"/>
      <c r="H184" s="1370"/>
    </row>
    <row r="185" spans="1:8">
      <c r="A185" s="1382"/>
      <c r="B185" s="1382"/>
      <c r="C185" s="1382"/>
      <c r="D185" s="1382"/>
      <c r="E185" s="1382"/>
      <c r="F185" s="1382"/>
      <c r="G185" s="1370"/>
      <c r="H185" s="1370"/>
    </row>
    <row r="186" spans="1:8">
      <c r="A186" s="1382"/>
      <c r="B186" s="1382"/>
      <c r="C186" s="1382"/>
      <c r="D186" s="1382"/>
      <c r="E186" s="1382"/>
      <c r="F186" s="1382"/>
      <c r="G186" s="1370"/>
      <c r="H186" s="1370"/>
    </row>
    <row r="187" spans="1:8">
      <c r="A187" s="1382"/>
      <c r="B187" s="1382"/>
      <c r="C187" s="1382"/>
      <c r="D187" s="1382"/>
      <c r="E187" s="1382"/>
      <c r="F187" s="1382"/>
      <c r="G187" s="1370"/>
      <c r="H187" s="1370"/>
    </row>
    <row r="188" spans="1:8">
      <c r="A188" s="1382"/>
      <c r="B188" s="1382"/>
      <c r="C188" s="1382"/>
      <c r="D188" s="1382"/>
      <c r="E188" s="1382"/>
      <c r="F188" s="1382"/>
      <c r="G188" s="1370"/>
      <c r="H188" s="1370"/>
    </row>
    <row r="189" spans="1:8">
      <c r="A189" s="1382"/>
      <c r="B189" s="1382"/>
      <c r="C189" s="1382"/>
      <c r="D189" s="1382"/>
      <c r="E189" s="1382"/>
      <c r="F189" s="1382"/>
      <c r="G189" s="1370"/>
      <c r="H189" s="1370"/>
    </row>
    <row r="190" spans="1:8">
      <c r="A190" s="1382"/>
      <c r="B190" s="1382"/>
      <c r="C190" s="1382"/>
      <c r="D190" s="1382"/>
      <c r="E190" s="1382"/>
      <c r="F190" s="1382"/>
      <c r="G190" s="1370"/>
      <c r="H190" s="1370"/>
    </row>
    <row r="191" spans="1:8">
      <c r="A191" s="1382"/>
      <c r="B191" s="1382"/>
      <c r="C191" s="1382"/>
      <c r="D191" s="1382"/>
      <c r="E191" s="1382"/>
      <c r="F191" s="1382"/>
      <c r="G191" s="1370"/>
      <c r="H191" s="1370"/>
    </row>
    <row r="192" spans="1:8">
      <c r="A192" s="1382"/>
      <c r="B192" s="1382"/>
      <c r="C192" s="1382"/>
      <c r="D192" s="1382"/>
      <c r="E192" s="1382"/>
      <c r="F192" s="1382"/>
      <c r="G192" s="1370"/>
      <c r="H192" s="1370"/>
    </row>
    <row r="193" spans="1:14">
      <c r="A193" s="1382"/>
      <c r="B193" s="1382"/>
      <c r="C193" s="1382"/>
      <c r="D193" s="1382"/>
      <c r="E193" s="1382"/>
      <c r="F193" s="1382"/>
      <c r="G193" s="1370"/>
      <c r="H193" s="1370"/>
    </row>
    <row r="194" spans="1:14">
      <c r="A194" s="1382"/>
      <c r="B194" s="1382"/>
      <c r="C194" s="1382"/>
      <c r="D194" s="1382"/>
      <c r="E194" s="1382"/>
      <c r="F194" s="1382"/>
      <c r="G194" s="1370"/>
      <c r="H194" s="1370"/>
    </row>
    <row r="195" spans="1:14">
      <c r="A195" s="1382"/>
      <c r="B195" s="1382"/>
      <c r="C195" s="1382"/>
      <c r="D195" s="1382"/>
      <c r="E195" s="1382"/>
      <c r="F195" s="1382"/>
      <c r="G195" s="1370"/>
      <c r="H195" s="1370"/>
    </row>
    <row r="196" spans="1:14">
      <c r="A196" s="1382"/>
      <c r="B196" s="1382"/>
      <c r="C196" s="1382"/>
      <c r="D196" s="1382"/>
      <c r="E196" s="1382"/>
      <c r="F196" s="1382"/>
      <c r="G196" s="1370"/>
      <c r="H196" s="1370"/>
    </row>
    <row r="197" spans="1:14" ht="13.2" customHeight="1">
      <c r="A197" s="1383"/>
      <c r="B197" s="1383"/>
      <c r="C197" s="1383"/>
      <c r="D197" s="1383"/>
      <c r="E197" s="1383"/>
      <c r="F197" s="1383"/>
      <c r="G197" s="1384"/>
      <c r="H197" s="1384"/>
    </row>
    <row r="198" spans="1:14" ht="13.2" customHeight="1">
      <c r="A198" s="1383"/>
      <c r="B198" s="1383"/>
      <c r="C198" s="1383"/>
      <c r="D198" s="1383"/>
      <c r="E198" s="1383"/>
      <c r="F198" s="1383"/>
      <c r="G198" s="1384"/>
      <c r="H198" s="1384"/>
    </row>
    <row r="199" spans="1:14" ht="13.2" customHeight="1">
      <c r="A199" s="1377"/>
      <c r="B199" s="1377"/>
      <c r="C199" s="1377"/>
      <c r="D199" s="1377"/>
      <c r="E199" s="1377"/>
      <c r="F199" s="1377"/>
      <c r="G199" s="1385"/>
      <c r="H199" s="1385"/>
    </row>
    <row r="200" spans="1:14" ht="13.2" customHeight="1">
      <c r="A200" s="1377"/>
      <c r="B200" s="1377"/>
      <c r="C200" s="1377"/>
      <c r="D200" s="1377"/>
      <c r="E200" s="1377"/>
      <c r="F200" s="1377"/>
      <c r="G200" s="1385"/>
      <c r="H200" s="1385"/>
    </row>
    <row r="201" spans="1:14" ht="13.2" customHeight="1">
      <c r="A201" s="1377"/>
      <c r="B201" s="1377"/>
      <c r="C201" s="1377"/>
      <c r="D201" s="1377"/>
      <c r="E201" s="1377"/>
      <c r="F201" s="1377"/>
      <c r="G201" s="1385"/>
      <c r="H201" s="1385"/>
    </row>
    <row r="202" spans="1:14">
      <c r="A202" s="1377"/>
      <c r="B202" s="1377"/>
      <c r="C202" s="1377"/>
      <c r="D202" s="1377"/>
      <c r="E202" s="1377"/>
      <c r="F202" s="1377"/>
      <c r="G202" s="1385"/>
      <c r="H202" s="1385"/>
    </row>
    <row r="203" spans="1:14" ht="13.2" customHeight="1">
      <c r="A203" s="1383"/>
      <c r="B203" s="1383"/>
      <c r="C203" s="1383"/>
      <c r="D203" s="1383"/>
      <c r="E203" s="1383"/>
      <c r="F203" s="1383"/>
      <c r="G203" s="1384"/>
      <c r="H203" s="1384"/>
    </row>
    <row r="204" spans="1:14">
      <c r="A204" s="1377"/>
      <c r="B204" s="1377"/>
      <c r="C204" s="1377"/>
      <c r="D204" s="1377"/>
      <c r="E204" s="1377"/>
      <c r="F204" s="1377"/>
      <c r="G204" s="1385"/>
      <c r="H204" s="1385"/>
    </row>
    <row r="205" spans="1:14" ht="21" customHeight="1">
      <c r="A205" s="1386"/>
      <c r="B205" s="1386"/>
      <c r="C205" s="1386"/>
      <c r="D205" s="1386"/>
      <c r="E205" s="1386"/>
      <c r="F205" s="1386"/>
      <c r="G205" s="1386"/>
      <c r="H205" s="1386"/>
      <c r="I205" s="1386"/>
      <c r="J205" s="1386"/>
      <c r="K205" s="1386"/>
      <c r="L205" s="1386"/>
      <c r="M205" s="1386"/>
      <c r="N205" s="1386"/>
    </row>
    <row r="206" spans="1:14" ht="13.2" customHeight="1">
      <c r="A206" s="1377"/>
      <c r="B206" s="1377"/>
      <c r="C206" s="1377"/>
      <c r="D206" s="1377"/>
      <c r="E206" s="1377"/>
      <c r="F206" s="1377"/>
      <c r="G206" s="1387"/>
      <c r="H206" s="1385"/>
    </row>
    <row r="207" spans="1:14" ht="13.2" customHeight="1">
      <c r="A207" s="1377"/>
      <c r="B207" s="1377"/>
      <c r="C207" s="1377"/>
      <c r="D207" s="1377"/>
      <c r="E207" s="1377"/>
      <c r="F207" s="1377"/>
      <c r="G207" s="1387"/>
      <c r="H207" s="1385"/>
    </row>
    <row r="208" spans="1:14" ht="13.2" customHeight="1">
      <c r="A208" s="1377"/>
      <c r="B208" s="1377"/>
      <c r="C208" s="1377"/>
      <c r="D208" s="1377"/>
      <c r="E208" s="1377"/>
      <c r="F208" s="1377"/>
      <c r="G208" s="1385"/>
      <c r="H208" s="1385"/>
    </row>
    <row r="209" spans="1:15">
      <c r="A209" s="5" t="s">
        <v>14</v>
      </c>
      <c r="B209" s="5"/>
      <c r="C209" s="5"/>
      <c r="D209" s="5"/>
      <c r="E209" s="5"/>
      <c r="F209" s="5"/>
    </row>
    <row r="210" spans="1:15">
      <c r="A210" s="1853" t="s">
        <v>1664</v>
      </c>
      <c r="B210" s="1853"/>
      <c r="C210" s="1853"/>
      <c r="D210" s="1853"/>
      <c r="E210" s="1853"/>
      <c r="F210" s="1853"/>
      <c r="G210" s="1853"/>
      <c r="H210" s="1853"/>
    </row>
    <row r="211" spans="1:15">
      <c r="A211" s="1853" t="s">
        <v>1661</v>
      </c>
      <c r="B211" s="1853"/>
      <c r="C211" s="1853"/>
      <c r="D211" s="1853"/>
      <c r="E211" s="1853"/>
      <c r="F211" s="1853"/>
      <c r="G211" s="1853"/>
      <c r="H211" s="1853"/>
    </row>
    <row r="212" spans="1:15" ht="13.2" customHeight="1">
      <c r="A212" s="1377" t="s">
        <v>1665</v>
      </c>
      <c r="B212" s="1377"/>
      <c r="C212" s="1377"/>
      <c r="D212" s="1377"/>
      <c r="E212" s="1377"/>
      <c r="F212" s="1377"/>
      <c r="G212" s="1377"/>
      <c r="H212" s="1377"/>
    </row>
    <row r="213" spans="1:15">
      <c r="A213" s="1377"/>
      <c r="B213" s="1377"/>
      <c r="C213" s="1377"/>
      <c r="D213" s="1377"/>
      <c r="E213" s="1377"/>
      <c r="F213" s="1377"/>
      <c r="G213" s="1377"/>
      <c r="H213" s="1377"/>
    </row>
    <row r="214" spans="1:15" ht="13.8" thickBot="1"/>
    <row r="215" spans="1:15" ht="13.8" thickBot="1">
      <c r="A215" s="1823" t="s">
        <v>138</v>
      </c>
      <c r="B215" s="1824"/>
      <c r="C215" s="1824"/>
      <c r="D215" s="1824"/>
      <c r="E215" s="1824"/>
      <c r="F215" s="1824"/>
      <c r="G215" s="1824"/>
      <c r="H215" s="1824"/>
      <c r="I215" s="1824"/>
      <c r="J215" s="1825"/>
      <c r="K215" s="1824" t="s">
        <v>1666</v>
      </c>
      <c r="L215" s="1824"/>
      <c r="M215" s="1824"/>
      <c r="N215" s="1824"/>
      <c r="O215" s="1825"/>
    </row>
    <row r="216" spans="1:15" ht="13.8" thickBot="1">
      <c r="A216" s="1826"/>
      <c r="B216" s="1827"/>
      <c r="C216" s="1827"/>
      <c r="D216" s="1827"/>
      <c r="E216" s="1827"/>
      <c r="F216" s="1827"/>
      <c r="G216" s="1827"/>
      <c r="H216" s="1827"/>
      <c r="I216" s="1827"/>
      <c r="J216" s="1827"/>
      <c r="K216" s="1827"/>
      <c r="L216" s="1827"/>
      <c r="M216" s="1827"/>
      <c r="N216" s="1827"/>
      <c r="O216" s="1828"/>
    </row>
    <row r="217" spans="1:15">
      <c r="A217" s="1388"/>
      <c r="B217" s="1389"/>
      <c r="C217" s="1389"/>
      <c r="D217" s="1389"/>
      <c r="E217" s="1389"/>
      <c r="F217" s="1389"/>
      <c r="G217" s="1389"/>
      <c r="H217" s="1389"/>
      <c r="I217" s="1389"/>
      <c r="J217" s="1389"/>
      <c r="K217" s="1389"/>
      <c r="L217" s="1389"/>
      <c r="M217" s="1389"/>
      <c r="N217" s="1389"/>
      <c r="O217" s="1390"/>
    </row>
    <row r="218" spans="1:15">
      <c r="A218" s="1391"/>
      <c r="B218" s="1392"/>
      <c r="C218" s="1392"/>
      <c r="D218" s="1392"/>
      <c r="E218" s="1392"/>
      <c r="F218" s="1392"/>
      <c r="G218" s="1392"/>
      <c r="H218" s="1392"/>
      <c r="I218" s="1392"/>
      <c r="J218" s="1392"/>
      <c r="K218" s="1392"/>
      <c r="L218" s="1392"/>
      <c r="M218" s="1392"/>
      <c r="N218" s="1392"/>
      <c r="O218" s="1393"/>
    </row>
    <row r="219" spans="1:15">
      <c r="A219" s="1391"/>
      <c r="B219" s="1392"/>
      <c r="C219" s="1392"/>
      <c r="D219" s="1392"/>
      <c r="E219" s="1392"/>
      <c r="F219" s="1392"/>
      <c r="G219" s="1392"/>
      <c r="H219" s="1392" t="s">
        <v>1667</v>
      </c>
      <c r="I219" s="1392"/>
      <c r="J219" s="1392"/>
      <c r="K219" s="1392"/>
      <c r="L219" s="1392"/>
      <c r="M219" s="1392"/>
      <c r="N219" s="1392"/>
      <c r="O219" s="1393"/>
    </row>
    <row r="220" spans="1:15">
      <c r="A220" s="1391"/>
      <c r="B220" s="1392"/>
      <c r="C220" s="1392"/>
      <c r="D220" s="1392"/>
      <c r="E220" s="1392"/>
      <c r="F220" s="1392"/>
      <c r="G220" s="1392"/>
      <c r="H220" s="1392"/>
      <c r="I220" s="1392"/>
      <c r="J220" s="1392"/>
      <c r="K220" s="1392"/>
      <c r="L220" s="1392"/>
      <c r="M220" s="1392"/>
      <c r="N220" s="1392"/>
      <c r="O220" s="1393"/>
    </row>
    <row r="221" spans="1:15" ht="13.8" thickBot="1">
      <c r="A221" s="1394"/>
      <c r="B221" s="1395"/>
      <c r="C221" s="1395"/>
      <c r="D221" s="1395"/>
      <c r="E221" s="1395"/>
      <c r="F221" s="1395"/>
      <c r="G221" s="1395"/>
      <c r="H221" s="1395"/>
      <c r="I221" s="1395"/>
      <c r="J221" s="1395"/>
      <c r="K221" s="1395"/>
      <c r="L221" s="1395"/>
      <c r="M221" s="1395"/>
      <c r="N221" s="1395"/>
      <c r="O221" s="1396"/>
    </row>
    <row r="222" spans="1:15" ht="13.8" thickBot="1">
      <c r="A222" s="94"/>
      <c r="O222" s="95"/>
    </row>
    <row r="223" spans="1:15" ht="13.2" customHeight="1">
      <c r="A223" s="1838" t="s">
        <v>129</v>
      </c>
      <c r="B223" s="1839"/>
      <c r="C223" s="1839"/>
      <c r="D223" s="1839"/>
      <c r="E223" s="1839"/>
      <c r="F223" s="1839"/>
      <c r="G223" s="1839"/>
      <c r="H223" s="1839"/>
      <c r="I223" s="1839"/>
      <c r="J223" s="1839"/>
      <c r="K223" s="1839"/>
      <c r="L223" s="1839"/>
      <c r="M223" s="1839"/>
      <c r="N223" s="1839"/>
      <c r="O223" s="1840"/>
    </row>
    <row r="224" spans="1:15">
      <c r="A224" s="1397"/>
      <c r="B224" s="1811"/>
      <c r="C224" s="1805" t="s">
        <v>1668</v>
      </c>
      <c r="D224" s="1806"/>
      <c r="E224" s="1806"/>
      <c r="F224" s="1806"/>
      <c r="G224" s="1806"/>
      <c r="H224" s="1806"/>
      <c r="I224" s="1806"/>
      <c r="J224" s="1806"/>
      <c r="K224" s="1806"/>
      <c r="L224" s="1806"/>
      <c r="M224" s="1806"/>
      <c r="N224" s="1806"/>
      <c r="O224" s="1807"/>
    </row>
    <row r="225" spans="1:15">
      <c r="A225" s="1397"/>
      <c r="B225" s="1813"/>
      <c r="C225" s="1808"/>
      <c r="D225" s="1809"/>
      <c r="E225" s="1809"/>
      <c r="F225" s="1809"/>
      <c r="G225" s="1809"/>
      <c r="H225" s="1809"/>
      <c r="I225" s="1809"/>
      <c r="J225" s="1809"/>
      <c r="K225" s="1809"/>
      <c r="L225" s="1809"/>
      <c r="M225" s="1809"/>
      <c r="N225" s="1809"/>
      <c r="O225" s="1810"/>
    </row>
    <row r="226" spans="1:15">
      <c r="A226" s="1397"/>
      <c r="B226" s="1398"/>
      <c r="C226" s="1847" t="s">
        <v>130</v>
      </c>
      <c r="D226" s="1848"/>
      <c r="E226" s="1848"/>
      <c r="F226" s="1848"/>
      <c r="G226" s="1848"/>
      <c r="H226" s="1848"/>
      <c r="I226" s="1848"/>
      <c r="J226" s="1848"/>
      <c r="K226" s="1848"/>
      <c r="L226" s="1848"/>
      <c r="M226" s="1848"/>
      <c r="N226" s="1848"/>
      <c r="O226" s="1849"/>
    </row>
    <row r="227" spans="1:15">
      <c r="A227" s="1397"/>
      <c r="B227" s="1399"/>
      <c r="C227" s="1850"/>
      <c r="D227" s="1851"/>
      <c r="E227" s="1851"/>
      <c r="F227" s="1851"/>
      <c r="G227" s="1851"/>
      <c r="H227" s="1851"/>
      <c r="I227" s="1851"/>
      <c r="J227" s="1851"/>
      <c r="K227" s="1851"/>
      <c r="L227" s="1851"/>
      <c r="M227" s="1851"/>
      <c r="N227" s="1851"/>
      <c r="O227" s="1852"/>
    </row>
    <row r="228" spans="1:15">
      <c r="A228" s="1397"/>
      <c r="B228" s="1812"/>
      <c r="C228" s="1847" t="s">
        <v>131</v>
      </c>
      <c r="D228" s="1848"/>
      <c r="E228" s="1848"/>
      <c r="F228" s="1848"/>
      <c r="G228" s="1848"/>
      <c r="H228" s="1848"/>
      <c r="I228" s="1848"/>
      <c r="J228" s="1848"/>
      <c r="K228" s="1848"/>
      <c r="L228" s="1848"/>
      <c r="M228" s="1848"/>
      <c r="N228" s="1848"/>
      <c r="O228" s="1849"/>
    </row>
    <row r="229" spans="1:15">
      <c r="A229" s="1397"/>
      <c r="B229" s="1813"/>
      <c r="C229" s="1850"/>
      <c r="D229" s="1851"/>
      <c r="E229" s="1851"/>
      <c r="F229" s="1851"/>
      <c r="G229" s="1851"/>
      <c r="H229" s="1851"/>
      <c r="I229" s="1851"/>
      <c r="J229" s="1851"/>
      <c r="K229" s="1851"/>
      <c r="L229" s="1851"/>
      <c r="M229" s="1851"/>
      <c r="N229" s="1851"/>
      <c r="O229" s="1852"/>
    </row>
    <row r="230" spans="1:15">
      <c r="A230" s="1397"/>
      <c r="B230" s="1398"/>
      <c r="C230" s="1847" t="s">
        <v>1669</v>
      </c>
      <c r="D230" s="1848"/>
      <c r="E230" s="1848"/>
      <c r="F230" s="1848"/>
      <c r="G230" s="1848"/>
      <c r="H230" s="1848"/>
      <c r="I230" s="1848"/>
      <c r="J230" s="1848"/>
      <c r="K230" s="1848"/>
      <c r="L230" s="1848"/>
      <c r="M230" s="1848"/>
      <c r="N230" s="1848"/>
      <c r="O230" s="1849"/>
    </row>
    <row r="231" spans="1:15">
      <c r="A231" s="1397"/>
      <c r="B231" s="1398"/>
      <c r="C231" s="1850"/>
      <c r="D231" s="1851"/>
      <c r="E231" s="1851"/>
      <c r="F231" s="1851"/>
      <c r="G231" s="1851"/>
      <c r="H231" s="1851"/>
      <c r="I231" s="1851"/>
      <c r="J231" s="1851"/>
      <c r="K231" s="1851"/>
      <c r="L231" s="1851"/>
      <c r="M231" s="1851"/>
      <c r="N231" s="1851"/>
      <c r="O231" s="1852"/>
    </row>
    <row r="232" spans="1:15" ht="18.75" customHeight="1">
      <c r="A232" s="1397"/>
      <c r="B232" s="1811"/>
      <c r="C232" s="1814" t="s">
        <v>1670</v>
      </c>
      <c r="D232" s="1815"/>
      <c r="E232" s="1815"/>
      <c r="F232" s="1815"/>
      <c r="G232" s="1815"/>
      <c r="H232" s="1815"/>
      <c r="I232" s="1815"/>
      <c r="J232" s="1815"/>
      <c r="K232" s="1815"/>
      <c r="L232" s="1815"/>
      <c r="M232" s="1815"/>
      <c r="N232" s="1815"/>
      <c r="O232" s="1816"/>
    </row>
    <row r="233" spans="1:15" ht="18.75" customHeight="1">
      <c r="A233" s="1397"/>
      <c r="B233" s="1812"/>
      <c r="C233" s="1817"/>
      <c r="D233" s="1818"/>
      <c r="E233" s="1818"/>
      <c r="F233" s="1818"/>
      <c r="G233" s="1818"/>
      <c r="H233" s="1818"/>
      <c r="I233" s="1818"/>
      <c r="J233" s="1818"/>
      <c r="K233" s="1818"/>
      <c r="L233" s="1818"/>
      <c r="M233" s="1818"/>
      <c r="N233" s="1818"/>
      <c r="O233" s="1819"/>
    </row>
    <row r="234" spans="1:15" ht="18.75" customHeight="1">
      <c r="A234" s="1397"/>
      <c r="B234" s="1812"/>
      <c r="C234" s="1817"/>
      <c r="D234" s="1818"/>
      <c r="E234" s="1818"/>
      <c r="F234" s="1818"/>
      <c r="G234" s="1818"/>
      <c r="H234" s="1818"/>
      <c r="I234" s="1818"/>
      <c r="J234" s="1818"/>
      <c r="K234" s="1818"/>
      <c r="L234" s="1818"/>
      <c r="M234" s="1818"/>
      <c r="N234" s="1818"/>
      <c r="O234" s="1819"/>
    </row>
    <row r="235" spans="1:15" ht="18.75" customHeight="1">
      <c r="A235" s="1397"/>
      <c r="B235" s="1813"/>
      <c r="C235" s="1820"/>
      <c r="D235" s="1821"/>
      <c r="E235" s="1821"/>
      <c r="F235" s="1821"/>
      <c r="G235" s="1821"/>
      <c r="H235" s="1821"/>
      <c r="I235" s="1821"/>
      <c r="J235" s="1821"/>
      <c r="K235" s="1821"/>
      <c r="L235" s="1821"/>
      <c r="M235" s="1821"/>
      <c r="N235" s="1821"/>
      <c r="O235" s="1822"/>
    </row>
    <row r="236" spans="1:15" ht="13.2" customHeight="1">
      <c r="A236" s="1397"/>
      <c r="B236" s="1812"/>
      <c r="C236" s="1805" t="s">
        <v>1671</v>
      </c>
      <c r="D236" s="1806"/>
      <c r="E236" s="1806"/>
      <c r="F236" s="1806"/>
      <c r="G236" s="1806"/>
      <c r="H236" s="1806"/>
      <c r="I236" s="1806"/>
      <c r="J236" s="1806"/>
      <c r="K236" s="1806"/>
      <c r="L236" s="1806"/>
      <c r="M236" s="1806"/>
      <c r="N236" s="1806"/>
      <c r="O236" s="1807"/>
    </row>
    <row r="237" spans="1:15">
      <c r="A237" s="1397"/>
      <c r="B237" s="1813"/>
      <c r="C237" s="1808"/>
      <c r="D237" s="1809"/>
      <c r="E237" s="1809"/>
      <c r="F237" s="1809"/>
      <c r="G237" s="1809"/>
      <c r="H237" s="1809"/>
      <c r="I237" s="1809"/>
      <c r="J237" s="1809"/>
      <c r="K237" s="1809"/>
      <c r="L237" s="1809"/>
      <c r="M237" s="1809"/>
      <c r="N237" s="1809"/>
      <c r="O237" s="1810"/>
    </row>
    <row r="238" spans="1:15" ht="13.2" customHeight="1">
      <c r="A238" s="1397"/>
      <c r="B238" s="1812"/>
      <c r="C238" s="1805" t="s">
        <v>1672</v>
      </c>
      <c r="D238" s="1806"/>
      <c r="E238" s="1806"/>
      <c r="F238" s="1806"/>
      <c r="G238" s="1806"/>
      <c r="H238" s="1806"/>
      <c r="I238" s="1806"/>
      <c r="J238" s="1806"/>
      <c r="K238" s="1806"/>
      <c r="L238" s="1806"/>
      <c r="M238" s="1806"/>
      <c r="N238" s="1806"/>
      <c r="O238" s="1807"/>
    </row>
    <row r="239" spans="1:15">
      <c r="A239" s="1397"/>
      <c r="B239" s="1813"/>
      <c r="C239" s="1808"/>
      <c r="D239" s="1809"/>
      <c r="E239" s="1809"/>
      <c r="F239" s="1809"/>
      <c r="G239" s="1809"/>
      <c r="H239" s="1809"/>
      <c r="I239" s="1809"/>
      <c r="J239" s="1809"/>
      <c r="K239" s="1809"/>
      <c r="L239" s="1809"/>
      <c r="M239" s="1809"/>
      <c r="N239" s="1809"/>
      <c r="O239" s="1810"/>
    </row>
    <row r="240" spans="1:15">
      <c r="A240" s="99"/>
      <c r="B240" s="100"/>
      <c r="C240" s="91"/>
      <c r="D240" s="91"/>
      <c r="E240" s="91"/>
      <c r="F240" s="91"/>
      <c r="G240" s="91"/>
      <c r="H240" s="91"/>
      <c r="I240" s="91"/>
      <c r="J240" s="91"/>
      <c r="K240" s="91"/>
      <c r="L240" s="91"/>
      <c r="M240" s="91"/>
      <c r="N240" s="91"/>
      <c r="O240" s="97"/>
    </row>
    <row r="241" spans="1:15" ht="13.2" customHeight="1" thickBot="1">
      <c r="A241" s="1322" t="s">
        <v>99</v>
      </c>
      <c r="B241" s="1844" t="s">
        <v>100</v>
      </c>
      <c r="C241" s="1845"/>
      <c r="D241" s="1845"/>
      <c r="E241" s="1845"/>
      <c r="F241" s="1845"/>
      <c r="G241" s="1845"/>
      <c r="H241" s="1845"/>
      <c r="I241" s="1845"/>
      <c r="J241" s="1845"/>
      <c r="K241" s="1845"/>
      <c r="L241" s="1845"/>
      <c r="M241" s="1845"/>
      <c r="N241" s="1845"/>
      <c r="O241" s="1846"/>
    </row>
    <row r="242" spans="1:15" ht="2.4" customHeight="1">
      <c r="A242" s="1794" t="s">
        <v>292</v>
      </c>
      <c r="B242" s="1795"/>
      <c r="C242" s="1795"/>
      <c r="D242" s="1795"/>
      <c r="E242" s="1795"/>
      <c r="F242" s="1795"/>
      <c r="G242" s="1795"/>
      <c r="H242" s="1795"/>
      <c r="I242" s="1795"/>
      <c r="J242" s="1795"/>
      <c r="K242" s="1795"/>
      <c r="L242" s="1795"/>
      <c r="M242" s="1795"/>
      <c r="N242" s="1795"/>
      <c r="O242" s="1796"/>
    </row>
    <row r="243" spans="1:15">
      <c r="A243" s="1797"/>
      <c r="B243" s="1798"/>
      <c r="C243" s="1798"/>
      <c r="D243" s="1798"/>
      <c r="E243" s="1798"/>
      <c r="F243" s="1798"/>
      <c r="G243" s="1798"/>
      <c r="H243" s="1798"/>
      <c r="I243" s="1798"/>
      <c r="J243" s="1798"/>
      <c r="K243" s="1798"/>
      <c r="L243" s="1798"/>
      <c r="M243" s="1798"/>
      <c r="N243" s="1798"/>
      <c r="O243" s="1799"/>
    </row>
    <row r="244" spans="1:15">
      <c r="A244" s="1797"/>
      <c r="B244" s="1798"/>
      <c r="C244" s="1798"/>
      <c r="D244" s="1798"/>
      <c r="E244" s="1798"/>
      <c r="F244" s="1798"/>
      <c r="G244" s="1798"/>
      <c r="H244" s="1798"/>
      <c r="I244" s="1798"/>
      <c r="J244" s="1798"/>
      <c r="K244" s="1798"/>
      <c r="L244" s="1798"/>
      <c r="M244" s="1798"/>
      <c r="N244" s="1798"/>
      <c r="O244" s="1799"/>
    </row>
    <row r="245" spans="1:15">
      <c r="A245" s="1797"/>
      <c r="B245" s="1798"/>
      <c r="C245" s="1798"/>
      <c r="D245" s="1798"/>
      <c r="E245" s="1798"/>
      <c r="F245" s="1798"/>
      <c r="G245" s="1798"/>
      <c r="H245" s="1798"/>
      <c r="I245" s="1798"/>
      <c r="J245" s="1798"/>
      <c r="K245" s="1798"/>
      <c r="L245" s="1798"/>
      <c r="M245" s="1798"/>
      <c r="N245" s="1798"/>
      <c r="O245" s="1799"/>
    </row>
    <row r="246" spans="1:15">
      <c r="A246" s="1797"/>
      <c r="B246" s="1798"/>
      <c r="C246" s="1798"/>
      <c r="D246" s="1798"/>
      <c r="E246" s="1798"/>
      <c r="F246" s="1798"/>
      <c r="G246" s="1798"/>
      <c r="H246" s="1798"/>
      <c r="I246" s="1798"/>
      <c r="J246" s="1798"/>
      <c r="K246" s="1798"/>
      <c r="L246" s="1798"/>
      <c r="M246" s="1798"/>
      <c r="N246" s="1798"/>
      <c r="O246" s="1799"/>
    </row>
    <row r="247" spans="1:15" ht="13.8" thickBot="1">
      <c r="A247" s="1800"/>
      <c r="B247" s="1801"/>
      <c r="C247" s="1801"/>
      <c r="D247" s="1801"/>
      <c r="E247" s="1801"/>
      <c r="F247" s="1801"/>
      <c r="G247" s="1801"/>
      <c r="H247" s="1801"/>
      <c r="I247" s="1801"/>
      <c r="J247" s="1801"/>
      <c r="K247" s="1801"/>
      <c r="L247" s="1801"/>
      <c r="M247" s="1801"/>
      <c r="N247" s="1801"/>
      <c r="O247" s="1802"/>
    </row>
    <row r="248" spans="1:15" ht="13.8" thickBot="1"/>
    <row r="249" spans="1:15" ht="13.8" thickBot="1">
      <c r="A249" s="1823" t="s">
        <v>132</v>
      </c>
      <c r="B249" s="1824"/>
      <c r="C249" s="1824"/>
      <c r="D249" s="1824"/>
      <c r="E249" s="1824"/>
      <c r="F249" s="1824"/>
      <c r="G249" s="1824"/>
      <c r="H249" s="1824"/>
      <c r="I249" s="1824"/>
      <c r="J249" s="1825"/>
      <c r="K249" s="1824" t="s">
        <v>1673</v>
      </c>
      <c r="L249" s="1824"/>
      <c r="M249" s="1824"/>
      <c r="N249" s="1824"/>
      <c r="O249" s="1825"/>
    </row>
    <row r="250" spans="1:15" ht="13.8" thickBot="1">
      <c r="A250" s="1826"/>
      <c r="B250" s="1827"/>
      <c r="C250" s="1827"/>
      <c r="D250" s="1827"/>
      <c r="E250" s="1827"/>
      <c r="F250" s="1827"/>
      <c r="G250" s="1827"/>
      <c r="H250" s="1827"/>
      <c r="I250" s="1827"/>
      <c r="J250" s="1827"/>
      <c r="K250" s="1827"/>
      <c r="L250" s="1827"/>
      <c r="M250" s="1827"/>
      <c r="N250" s="1827"/>
      <c r="O250" s="1828"/>
    </row>
    <row r="251" spans="1:15">
      <c r="A251" s="1829"/>
      <c r="B251" s="1830"/>
      <c r="C251" s="1830"/>
      <c r="D251" s="1830"/>
      <c r="E251" s="1830"/>
      <c r="F251" s="1830"/>
      <c r="G251" s="1830"/>
      <c r="H251" s="1830"/>
      <c r="I251" s="1830"/>
      <c r="J251" s="1830"/>
      <c r="K251" s="1830"/>
      <c r="L251" s="1830"/>
      <c r="M251" s="1830"/>
      <c r="N251" s="1830"/>
      <c r="O251" s="1831"/>
    </row>
    <row r="252" spans="1:15">
      <c r="A252" s="1832"/>
      <c r="B252" s="1833"/>
      <c r="C252" s="1833"/>
      <c r="D252" s="1833"/>
      <c r="E252" s="1833"/>
      <c r="F252" s="1833"/>
      <c r="G252" s="1833"/>
      <c r="H252" s="1833"/>
      <c r="I252" s="1833"/>
      <c r="J252" s="1833"/>
      <c r="K252" s="1833"/>
      <c r="L252" s="1833"/>
      <c r="M252" s="1833"/>
      <c r="N252" s="1833"/>
      <c r="O252" s="1834"/>
    </row>
    <row r="253" spans="1:15" ht="13.8" thickBot="1">
      <c r="A253" s="1835"/>
      <c r="B253" s="1836"/>
      <c r="C253" s="1836"/>
      <c r="D253" s="1836"/>
      <c r="E253" s="1836"/>
      <c r="F253" s="1836"/>
      <c r="G253" s="1836"/>
      <c r="H253" s="1836"/>
      <c r="I253" s="1836"/>
      <c r="J253" s="1836"/>
      <c r="K253" s="1836"/>
      <c r="L253" s="1836"/>
      <c r="M253" s="1836"/>
      <c r="N253" s="1836"/>
      <c r="O253" s="1837"/>
    </row>
    <row r="254" spans="1:15" ht="13.8" thickBot="1">
      <c r="A254" s="94"/>
      <c r="O254" s="95"/>
    </row>
    <row r="255" spans="1:15" ht="13.2" customHeight="1">
      <c r="A255" s="1838" t="s">
        <v>129</v>
      </c>
      <c r="B255" s="1839"/>
      <c r="C255" s="1839"/>
      <c r="D255" s="1839"/>
      <c r="E255" s="1839"/>
      <c r="F255" s="1839"/>
      <c r="G255" s="1839"/>
      <c r="H255" s="1839"/>
      <c r="I255" s="1839"/>
      <c r="J255" s="1839"/>
      <c r="K255" s="1839"/>
      <c r="L255" s="1839"/>
      <c r="M255" s="1839"/>
      <c r="N255" s="1839"/>
      <c r="O255" s="1840"/>
    </row>
    <row r="256" spans="1:15" ht="13.2" customHeight="1">
      <c r="A256" s="1841"/>
      <c r="B256" s="1842" t="s">
        <v>133</v>
      </c>
      <c r="C256" s="1805" t="s">
        <v>293</v>
      </c>
      <c r="D256" s="1806"/>
      <c r="E256" s="1806"/>
      <c r="F256" s="1806"/>
      <c r="G256" s="1806"/>
      <c r="H256" s="1806"/>
      <c r="I256" s="1806"/>
      <c r="J256" s="1806"/>
      <c r="K256" s="1806"/>
      <c r="L256" s="1806"/>
      <c r="M256" s="1806"/>
      <c r="N256" s="1806"/>
      <c r="O256" s="1807"/>
    </row>
    <row r="257" spans="1:15">
      <c r="A257" s="1841"/>
      <c r="B257" s="1843"/>
      <c r="C257" s="1808"/>
      <c r="D257" s="1809"/>
      <c r="E257" s="1809"/>
      <c r="F257" s="1809"/>
      <c r="G257" s="1809"/>
      <c r="H257" s="1809"/>
      <c r="I257" s="1809"/>
      <c r="J257" s="1809"/>
      <c r="K257" s="1809"/>
      <c r="L257" s="1809"/>
      <c r="M257" s="1809"/>
      <c r="N257" s="1809"/>
      <c r="O257" s="1810"/>
    </row>
    <row r="258" spans="1:15" ht="13.2" customHeight="1">
      <c r="A258" s="1841"/>
      <c r="B258" s="1803" t="s">
        <v>134</v>
      </c>
      <c r="C258" s="1805" t="s">
        <v>135</v>
      </c>
      <c r="D258" s="1806"/>
      <c r="E258" s="1806"/>
      <c r="F258" s="1806"/>
      <c r="G258" s="1806"/>
      <c r="H258" s="1806"/>
      <c r="I258" s="1806"/>
      <c r="J258" s="1806"/>
      <c r="K258" s="1806"/>
      <c r="L258" s="1806"/>
      <c r="M258" s="1806"/>
      <c r="N258" s="1806"/>
      <c r="O258" s="1807"/>
    </row>
    <row r="259" spans="1:15">
      <c r="A259" s="1841"/>
      <c r="B259" s="1804"/>
      <c r="C259" s="1808"/>
      <c r="D259" s="1809"/>
      <c r="E259" s="1809"/>
      <c r="F259" s="1809"/>
      <c r="G259" s="1809"/>
      <c r="H259" s="1809"/>
      <c r="I259" s="1809"/>
      <c r="J259" s="1809"/>
      <c r="K259" s="1809"/>
      <c r="L259" s="1809"/>
      <c r="M259" s="1809"/>
      <c r="N259" s="1809"/>
      <c r="O259" s="1810"/>
    </row>
    <row r="260" spans="1:15" ht="13.2" customHeight="1">
      <c r="A260" s="1841"/>
      <c r="B260" s="1803" t="s">
        <v>136</v>
      </c>
      <c r="C260" s="1805" t="s">
        <v>137</v>
      </c>
      <c r="D260" s="1806"/>
      <c r="E260" s="1806"/>
      <c r="F260" s="1806"/>
      <c r="G260" s="1806"/>
      <c r="H260" s="1806"/>
      <c r="I260" s="1806"/>
      <c r="J260" s="1806"/>
      <c r="K260" s="1806"/>
      <c r="L260" s="1806"/>
      <c r="M260" s="1806"/>
      <c r="N260" s="1806"/>
      <c r="O260" s="1807"/>
    </row>
    <row r="261" spans="1:15">
      <c r="A261" s="1841"/>
      <c r="B261" s="1804"/>
      <c r="C261" s="1808"/>
      <c r="D261" s="1809"/>
      <c r="E261" s="1809"/>
      <c r="F261" s="1809"/>
      <c r="G261" s="1809"/>
      <c r="H261" s="1809"/>
      <c r="I261" s="1809"/>
      <c r="J261" s="1809"/>
      <c r="K261" s="1809"/>
      <c r="L261" s="1809"/>
      <c r="M261" s="1809"/>
      <c r="N261" s="1809"/>
      <c r="O261" s="1810"/>
    </row>
    <row r="262" spans="1:15" ht="18.75" customHeight="1">
      <c r="A262" s="1841"/>
      <c r="B262" s="1811"/>
      <c r="C262" s="1814" t="s">
        <v>291</v>
      </c>
      <c r="D262" s="1815"/>
      <c r="E262" s="1815"/>
      <c r="F262" s="1815"/>
      <c r="G262" s="1815"/>
      <c r="H262" s="1815"/>
      <c r="I262" s="1815"/>
      <c r="J262" s="1815"/>
      <c r="K262" s="1815"/>
      <c r="L262" s="1815"/>
      <c r="M262" s="1815"/>
      <c r="N262" s="1815"/>
      <c r="O262" s="1816"/>
    </row>
    <row r="263" spans="1:15" ht="18.75" customHeight="1">
      <c r="A263" s="1841"/>
      <c r="B263" s="1812"/>
      <c r="C263" s="1817"/>
      <c r="D263" s="1818"/>
      <c r="E263" s="1818"/>
      <c r="F263" s="1818"/>
      <c r="G263" s="1818"/>
      <c r="H263" s="1818"/>
      <c r="I263" s="1818"/>
      <c r="J263" s="1818"/>
      <c r="K263" s="1818"/>
      <c r="L263" s="1818"/>
      <c r="M263" s="1818"/>
      <c r="N263" s="1818"/>
      <c r="O263" s="1819"/>
    </row>
    <row r="264" spans="1:15" ht="18.75" customHeight="1">
      <c r="A264" s="1841"/>
      <c r="B264" s="1812"/>
      <c r="C264" s="1817"/>
      <c r="D264" s="1818"/>
      <c r="E264" s="1818"/>
      <c r="F264" s="1818"/>
      <c r="G264" s="1818"/>
      <c r="H264" s="1818"/>
      <c r="I264" s="1818"/>
      <c r="J264" s="1818"/>
      <c r="K264" s="1818"/>
      <c r="L264" s="1818"/>
      <c r="M264" s="1818"/>
      <c r="N264" s="1818"/>
      <c r="O264" s="1819"/>
    </row>
    <row r="265" spans="1:15" ht="18.75" customHeight="1">
      <c r="A265" s="1841"/>
      <c r="B265" s="1813"/>
      <c r="C265" s="1820"/>
      <c r="D265" s="1821"/>
      <c r="E265" s="1821"/>
      <c r="F265" s="1821"/>
      <c r="G265" s="1821"/>
      <c r="H265" s="1821"/>
      <c r="I265" s="1821"/>
      <c r="J265" s="1821"/>
      <c r="K265" s="1821"/>
      <c r="L265" s="1821"/>
      <c r="M265" s="1821"/>
      <c r="N265" s="1821"/>
      <c r="O265" s="1822"/>
    </row>
    <row r="266" spans="1:15" ht="13.2" customHeight="1">
      <c r="A266" s="1841"/>
      <c r="B266" s="1812"/>
      <c r="C266" s="1805" t="s">
        <v>1674</v>
      </c>
      <c r="D266" s="1806"/>
      <c r="E266" s="1806"/>
      <c r="F266" s="1806"/>
      <c r="G266" s="1806"/>
      <c r="H266" s="1806"/>
      <c r="I266" s="1806"/>
      <c r="J266" s="1806"/>
      <c r="K266" s="1806"/>
      <c r="L266" s="1806"/>
      <c r="M266" s="1806"/>
      <c r="N266" s="1806"/>
      <c r="O266" s="1807"/>
    </row>
    <row r="267" spans="1:15">
      <c r="A267" s="1841"/>
      <c r="B267" s="1813"/>
      <c r="C267" s="1808"/>
      <c r="D267" s="1809"/>
      <c r="E267" s="1809"/>
      <c r="F267" s="1809"/>
      <c r="G267" s="1809"/>
      <c r="H267" s="1809"/>
      <c r="I267" s="1809"/>
      <c r="J267" s="1809"/>
      <c r="K267" s="1809"/>
      <c r="L267" s="1809"/>
      <c r="M267" s="1809"/>
      <c r="N267" s="1809"/>
      <c r="O267" s="1810"/>
    </row>
    <row r="268" spans="1:15" ht="13.2" customHeight="1" thickBot="1">
      <c r="A268" s="1322" t="s">
        <v>99</v>
      </c>
      <c r="B268" s="1791" t="s">
        <v>100</v>
      </c>
      <c r="C268" s="1792"/>
      <c r="D268" s="1792"/>
      <c r="E268" s="1792"/>
      <c r="F268" s="1792"/>
      <c r="G268" s="1792"/>
      <c r="H268" s="1792"/>
      <c r="I268" s="1792"/>
      <c r="J268" s="1792"/>
      <c r="K268" s="1792"/>
      <c r="L268" s="1792"/>
      <c r="M268" s="1792"/>
      <c r="N268" s="1792"/>
      <c r="O268" s="1793"/>
    </row>
    <row r="269" spans="1:15">
      <c r="A269" s="1794"/>
      <c r="B269" s="1795"/>
      <c r="C269" s="1795"/>
      <c r="D269" s="1795"/>
      <c r="E269" s="1795"/>
      <c r="F269" s="1795"/>
      <c r="G269" s="1795"/>
      <c r="H269" s="1795"/>
      <c r="I269" s="1795"/>
      <c r="J269" s="1795"/>
      <c r="K269" s="1795"/>
      <c r="L269" s="1795"/>
      <c r="M269" s="1795"/>
      <c r="N269" s="1795"/>
      <c r="O269" s="1796"/>
    </row>
    <row r="270" spans="1:15">
      <c r="A270" s="1797"/>
      <c r="B270" s="1798"/>
      <c r="C270" s="1798"/>
      <c r="D270" s="1798"/>
      <c r="E270" s="1798"/>
      <c r="F270" s="1798"/>
      <c r="G270" s="1798"/>
      <c r="H270" s="1798"/>
      <c r="I270" s="1798"/>
      <c r="J270" s="1798"/>
      <c r="K270" s="1798"/>
      <c r="L270" s="1798"/>
      <c r="M270" s="1798"/>
      <c r="N270" s="1798"/>
      <c r="O270" s="1799"/>
    </row>
    <row r="271" spans="1:15" ht="13.8" thickBot="1">
      <c r="A271" s="1800"/>
      <c r="B271" s="1801"/>
      <c r="C271" s="1801"/>
      <c r="D271" s="1801"/>
      <c r="E271" s="1801"/>
      <c r="F271" s="1801"/>
      <c r="G271" s="1801"/>
      <c r="H271" s="1801"/>
      <c r="I271" s="1801"/>
      <c r="J271" s="1801"/>
      <c r="K271" s="1801"/>
      <c r="L271" s="1801"/>
      <c r="M271" s="1801"/>
      <c r="N271" s="1801"/>
      <c r="O271" s="1802"/>
    </row>
  </sheetData>
  <mergeCells count="119">
    <mergeCell ref="C16:O17"/>
    <mergeCell ref="B19:B20"/>
    <mergeCell ref="C19:O20"/>
    <mergeCell ref="B21:B22"/>
    <mergeCell ref="C21:O22"/>
    <mergeCell ref="B23:B24"/>
    <mergeCell ref="C23:O24"/>
    <mergeCell ref="A1:J1"/>
    <mergeCell ref="K1:O1"/>
    <mergeCell ref="A2:O2"/>
    <mergeCell ref="A9:A42"/>
    <mergeCell ref="B9:O9"/>
    <mergeCell ref="B10:B11"/>
    <mergeCell ref="C10:O11"/>
    <mergeCell ref="B13:B14"/>
    <mergeCell ref="C13:O14"/>
    <mergeCell ref="B16:B17"/>
    <mergeCell ref="B40:B41"/>
    <mergeCell ref="C40:O41"/>
    <mergeCell ref="B42:B43"/>
    <mergeCell ref="C42:O43"/>
    <mergeCell ref="B44:O44"/>
    <mergeCell ref="A47:J47"/>
    <mergeCell ref="K47:O47"/>
    <mergeCell ref="B26:B28"/>
    <mergeCell ref="C26:O28"/>
    <mergeCell ref="B30:B32"/>
    <mergeCell ref="C30:O32"/>
    <mergeCell ref="B34:B39"/>
    <mergeCell ref="C34:O39"/>
    <mergeCell ref="A48:O48"/>
    <mergeCell ref="A67:O67"/>
    <mergeCell ref="A68:A95"/>
    <mergeCell ref="B68:B69"/>
    <mergeCell ref="C68:O69"/>
    <mergeCell ref="B71:B72"/>
    <mergeCell ref="C71:O72"/>
    <mergeCell ref="B74:B75"/>
    <mergeCell ref="C74:O75"/>
    <mergeCell ref="B76:B81"/>
    <mergeCell ref="B92:B94"/>
    <mergeCell ref="C92:O94"/>
    <mergeCell ref="C97:O98"/>
    <mergeCell ref="B100:O100"/>
    <mergeCell ref="A103:H103"/>
    <mergeCell ref="A104:F105"/>
    <mergeCell ref="C76:O81"/>
    <mergeCell ref="B83:B84"/>
    <mergeCell ref="C83:O84"/>
    <mergeCell ref="B86:B87"/>
    <mergeCell ref="C86:O87"/>
    <mergeCell ref="B89:B90"/>
    <mergeCell ref="C89:O90"/>
    <mergeCell ref="A112:F112"/>
    <mergeCell ref="A113:F113"/>
    <mergeCell ref="A114:F114"/>
    <mergeCell ref="A115:F115"/>
    <mergeCell ref="A116:F116"/>
    <mergeCell ref="A117:F117"/>
    <mergeCell ref="A106:F106"/>
    <mergeCell ref="A107:F107"/>
    <mergeCell ref="A108:F108"/>
    <mergeCell ref="A109:F109"/>
    <mergeCell ref="A110:F110"/>
    <mergeCell ref="A111:F111"/>
    <mergeCell ref="A134:F134"/>
    <mergeCell ref="A136:F136"/>
    <mergeCell ref="A138:I138"/>
    <mergeCell ref="A139:I139"/>
    <mergeCell ref="A140:H140"/>
    <mergeCell ref="A144:H144"/>
    <mergeCell ref="A118:F118"/>
    <mergeCell ref="A119:F119"/>
    <mergeCell ref="A120:F120"/>
    <mergeCell ref="A131:F131"/>
    <mergeCell ref="A132:F132"/>
    <mergeCell ref="A133:F133"/>
    <mergeCell ref="A215:J215"/>
    <mergeCell ref="K215:O215"/>
    <mergeCell ref="A216:O216"/>
    <mergeCell ref="A223:O223"/>
    <mergeCell ref="B224:B225"/>
    <mergeCell ref="C224:O225"/>
    <mergeCell ref="A174:H174"/>
    <mergeCell ref="A175:H175"/>
    <mergeCell ref="A176:H177"/>
    <mergeCell ref="A179:H179"/>
    <mergeCell ref="A210:H210"/>
    <mergeCell ref="A211:H211"/>
    <mergeCell ref="B236:B237"/>
    <mergeCell ref="C236:O237"/>
    <mergeCell ref="B238:B239"/>
    <mergeCell ref="C238:O239"/>
    <mergeCell ref="B241:O241"/>
    <mergeCell ref="A242:O247"/>
    <mergeCell ref="C226:O227"/>
    <mergeCell ref="B228:B229"/>
    <mergeCell ref="C228:O229"/>
    <mergeCell ref="C230:O231"/>
    <mergeCell ref="B232:B235"/>
    <mergeCell ref="C232:O235"/>
    <mergeCell ref="B268:O268"/>
    <mergeCell ref="A269:O271"/>
    <mergeCell ref="B260:B261"/>
    <mergeCell ref="C260:O261"/>
    <mergeCell ref="B262:B265"/>
    <mergeCell ref="C262:O265"/>
    <mergeCell ref="B266:B267"/>
    <mergeCell ref="C266:O267"/>
    <mergeCell ref="A249:J249"/>
    <mergeCell ref="K249:O249"/>
    <mergeCell ref="A250:O250"/>
    <mergeCell ref="A251:O253"/>
    <mergeCell ref="A255:O255"/>
    <mergeCell ref="A256:A267"/>
    <mergeCell ref="B256:B257"/>
    <mergeCell ref="C256:O257"/>
    <mergeCell ref="B258:B259"/>
    <mergeCell ref="C258:O25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D13"/>
  <sheetViews>
    <sheetView zoomScale="80" zoomScaleNormal="80" workbookViewId="0">
      <selection activeCell="A15" sqref="A15"/>
    </sheetView>
  </sheetViews>
  <sheetFormatPr defaultRowHeight="13.8"/>
  <cols>
    <col min="1" max="1" width="130.88671875" customWidth="1"/>
    <col min="2" max="2" width="31.6640625" style="293" customWidth="1"/>
    <col min="3" max="3" width="19.44140625" customWidth="1"/>
    <col min="4" max="4" width="83.88671875" bestFit="1" customWidth="1"/>
  </cols>
  <sheetData>
    <row r="1" spans="1:4">
      <c r="A1" s="293" t="s">
        <v>917</v>
      </c>
    </row>
    <row r="2" spans="1:4">
      <c r="A2" s="293"/>
    </row>
    <row r="3" spans="1:4">
      <c r="A3" s="334" t="s">
        <v>877</v>
      </c>
      <c r="D3" s="338"/>
    </row>
    <row r="4" spans="1:4" ht="10.5" customHeight="1">
      <c r="A4" s="338"/>
    </row>
    <row r="5" spans="1:4">
      <c r="A5" s="339" t="s">
        <v>918</v>
      </c>
    </row>
    <row r="6" spans="1:4" s="287" customFormat="1">
      <c r="A6" s="339" t="s">
        <v>919</v>
      </c>
      <c r="B6" s="293"/>
      <c r="C6" s="339"/>
    </row>
    <row r="7" spans="1:4" ht="10.5" customHeight="1">
      <c r="A7" s="338"/>
    </row>
    <row r="8" spans="1:4" ht="10.5" customHeight="1">
      <c r="A8" s="338"/>
    </row>
    <row r="9" spans="1:4">
      <c r="A9" s="292" t="s">
        <v>945</v>
      </c>
    </row>
    <row r="10" spans="1:4">
      <c r="A10" s="359" t="s">
        <v>980</v>
      </c>
    </row>
    <row r="11" spans="1:4">
      <c r="A11" t="s">
        <v>981</v>
      </c>
    </row>
    <row r="12" spans="1:4">
      <c r="A12" t="s">
        <v>982</v>
      </c>
    </row>
    <row r="13" spans="1:4">
      <c r="A13" t="s">
        <v>983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F6D48-B872-4FD6-B2AF-F4F2ECDC2685}">
  <sheetPr>
    <tabColor theme="3" tint="0.59999389629810485"/>
  </sheetPr>
  <dimension ref="A1"/>
  <sheetViews>
    <sheetView workbookViewId="0">
      <selection activeCell="E14" sqref="E14"/>
    </sheetView>
  </sheetViews>
  <sheetFormatPr defaultRowHeight="13.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3" tint="0.59999389629810485"/>
  </sheetPr>
  <dimension ref="A1:W196"/>
  <sheetViews>
    <sheetView topLeftCell="A79" zoomScaleNormal="100" zoomScaleSheetLayoutView="90" workbookViewId="0">
      <selection activeCell="I113" sqref="I113:I114"/>
    </sheetView>
  </sheetViews>
  <sheetFormatPr defaultColWidth="9.109375" defaultRowHeight="13.2"/>
  <cols>
    <col min="1" max="1" width="48.109375" style="73" customWidth="1"/>
    <col min="2" max="3" width="16.6640625" style="73" customWidth="1"/>
    <col min="4" max="4" width="17" style="73" customWidth="1"/>
    <col min="5" max="6" width="16.6640625" style="73" customWidth="1"/>
    <col min="7" max="7" width="18.6640625" style="73" customWidth="1"/>
    <col min="8" max="8" width="5.6640625" style="73" customWidth="1"/>
    <col min="9" max="9" width="15.6640625" style="73" customWidth="1"/>
    <col min="10" max="10" width="16.33203125" style="73" customWidth="1"/>
    <col min="11" max="11" width="14.33203125" style="73" bestFit="1" customWidth="1"/>
    <col min="12" max="12" width="15.6640625" style="73" customWidth="1"/>
    <col min="13" max="13" width="16.88671875" style="73" customWidth="1"/>
    <col min="14" max="14" width="3.33203125" style="73" customWidth="1"/>
    <col min="15" max="15" width="11.88671875" style="73" customWidth="1"/>
    <col min="16" max="16384" width="9.109375" style="73"/>
  </cols>
  <sheetData>
    <row r="1" spans="1:11">
      <c r="A1" s="72"/>
    </row>
    <row r="2" spans="1:11">
      <c r="A2" s="72"/>
      <c r="F2" s="82"/>
    </row>
    <row r="3" spans="1:11">
      <c r="A3" s="74" t="s">
        <v>21</v>
      </c>
      <c r="B3" s="212" t="s">
        <v>179</v>
      </c>
      <c r="E3" s="255"/>
    </row>
    <row r="6" spans="1:11">
      <c r="A6" s="73" t="s">
        <v>154</v>
      </c>
      <c r="B6" s="104" t="s">
        <v>309</v>
      </c>
    </row>
    <row r="7" spans="1:11">
      <c r="A7" s="73" t="s">
        <v>22</v>
      </c>
      <c r="B7" s="105" t="str">
        <f>B6</f>
        <v>2021-22</v>
      </c>
    </row>
    <row r="8" spans="1:11">
      <c r="A8" s="73" t="s">
        <v>23</v>
      </c>
      <c r="B8" s="105" t="str">
        <f>LEFT(B7,4)-1&amp;"-"&amp;MID(B7,3,2)</f>
        <v>2020-21</v>
      </c>
    </row>
    <row r="9" spans="1:11">
      <c r="A9" s="73" t="s">
        <v>24</v>
      </c>
      <c r="B9" s="105" t="str">
        <f>LEFT(B8,4)-1&amp;"-"&amp;MID(B8,3,2)</f>
        <v>2019-20</v>
      </c>
    </row>
    <row r="10" spans="1:11">
      <c r="A10" s="73" t="s">
        <v>923</v>
      </c>
      <c r="B10" s="105" t="str">
        <f>LEFT(B9,4)-1&amp;"-"&amp;MID(B9,3,2)</f>
        <v>2018-19</v>
      </c>
    </row>
    <row r="11" spans="1:11">
      <c r="A11" s="73" t="s">
        <v>924</v>
      </c>
      <c r="B11" s="105" t="str">
        <f>LEFT(B10,4)-1&amp;"-"&amp;MID(B10,3,2)</f>
        <v>2017-18</v>
      </c>
    </row>
    <row r="13" spans="1:11">
      <c r="A13" s="73" t="s">
        <v>25</v>
      </c>
    </row>
    <row r="14" spans="1:11" ht="13.8" thickBot="1">
      <c r="I14" s="77" t="s">
        <v>909</v>
      </c>
    </row>
    <row r="15" spans="1:11" ht="24" customHeight="1">
      <c r="A15" s="114" t="s">
        <v>26</v>
      </c>
      <c r="B15" s="115"/>
      <c r="C15" s="115"/>
      <c r="D15" s="115"/>
      <c r="E15" s="115"/>
      <c r="F15" s="116"/>
      <c r="I15" s="335" t="s">
        <v>910</v>
      </c>
      <c r="J15" s="336" t="s">
        <v>911</v>
      </c>
      <c r="K15"/>
    </row>
    <row r="16" spans="1:11">
      <c r="A16" s="117" t="s">
        <v>148</v>
      </c>
      <c r="B16" s="119">
        <v>102</v>
      </c>
      <c r="C16" s="118"/>
      <c r="D16" s="75"/>
      <c r="E16" s="75"/>
      <c r="F16" s="213"/>
      <c r="I16" s="232" t="s">
        <v>294</v>
      </c>
      <c r="J16" s="213">
        <v>365</v>
      </c>
      <c r="K16"/>
    </row>
    <row r="17" spans="1:11">
      <c r="A17" s="117" t="s">
        <v>145</v>
      </c>
      <c r="B17" s="119">
        <v>104.8</v>
      </c>
      <c r="C17" s="118"/>
      <c r="D17" s="120" t="s">
        <v>146</v>
      </c>
      <c r="E17" s="121" t="s">
        <v>147</v>
      </c>
      <c r="F17" s="294">
        <f>IF(OR(B16="",B17=""),0,B17/B16-1)</f>
        <v>2.7450980392156765E-2</v>
      </c>
      <c r="I17" s="214" t="s">
        <v>309</v>
      </c>
      <c r="J17" s="213">
        <v>365</v>
      </c>
      <c r="K17"/>
    </row>
    <row r="18" spans="1:11">
      <c r="A18" s="117" t="s">
        <v>104</v>
      </c>
      <c r="B18" s="119">
        <v>106.6</v>
      </c>
      <c r="C18" s="118"/>
      <c r="D18" s="122" t="s">
        <v>42</v>
      </c>
      <c r="E18" s="123" t="s">
        <v>140</v>
      </c>
      <c r="F18" s="295">
        <v>2.5499999999999998E-2</v>
      </c>
      <c r="H18" s="255" t="s">
        <v>922</v>
      </c>
      <c r="I18" s="214" t="s">
        <v>310</v>
      </c>
      <c r="J18" s="213">
        <v>365</v>
      </c>
      <c r="K18"/>
    </row>
    <row r="19" spans="1:11">
      <c r="A19" s="117" t="s">
        <v>105</v>
      </c>
      <c r="B19" s="124">
        <v>108.4</v>
      </c>
      <c r="C19" s="67"/>
      <c r="D19" s="122" t="s">
        <v>43</v>
      </c>
      <c r="E19" s="123" t="s">
        <v>141</v>
      </c>
      <c r="F19" s="289">
        <f>IF(OR(B18="",B19=""),F18,ROUND(B19/B18-1,4))</f>
        <v>1.6899999999999998E-2</v>
      </c>
      <c r="H19" s="255"/>
      <c r="I19" s="214" t="s">
        <v>311</v>
      </c>
      <c r="J19" s="213">
        <v>366</v>
      </c>
      <c r="K19"/>
    </row>
    <row r="20" spans="1:11" ht="13.8" thickBot="1">
      <c r="A20" s="117" t="s">
        <v>106</v>
      </c>
      <c r="B20" s="124">
        <v>110</v>
      </c>
      <c r="C20" s="67"/>
      <c r="D20" s="122" t="s">
        <v>44</v>
      </c>
      <c r="E20" s="123" t="s">
        <v>142</v>
      </c>
      <c r="F20" s="289">
        <f>IF(OR(B19="",B20=""),F19,ROUND(B20/B19-1,4))</f>
        <v>1.4800000000000001E-2</v>
      </c>
      <c r="H20" s="255"/>
      <c r="I20" s="234" t="s">
        <v>312</v>
      </c>
      <c r="J20" s="337">
        <v>365</v>
      </c>
      <c r="K20"/>
    </row>
    <row r="21" spans="1:11">
      <c r="A21" s="117" t="s">
        <v>222</v>
      </c>
      <c r="B21" s="124">
        <v>112.1</v>
      </c>
      <c r="C21" s="67"/>
      <c r="D21" s="122" t="s">
        <v>45</v>
      </c>
      <c r="E21" s="123" t="s">
        <v>143</v>
      </c>
      <c r="F21" s="289">
        <f>IF(OR(B20="",B21=""),F20,B21/B20-1)</f>
        <v>1.9090909090909047E-2</v>
      </c>
      <c r="H21" s="255"/>
      <c r="K21"/>
    </row>
    <row r="22" spans="1:11">
      <c r="A22" s="117" t="s">
        <v>107</v>
      </c>
      <c r="B22" s="124">
        <v>114.1</v>
      </c>
      <c r="C22" s="67"/>
      <c r="D22" s="122" t="s">
        <v>46</v>
      </c>
      <c r="E22" s="123" t="s">
        <v>144</v>
      </c>
      <c r="F22" s="289">
        <f t="shared" ref="F22:F27" si="0">IF(OR(B21="",B22=""),F21,B22/B21-1)</f>
        <v>1.7841213202497874E-2</v>
      </c>
      <c r="G22" s="255"/>
      <c r="J22"/>
    </row>
    <row r="23" spans="1:11">
      <c r="A23" s="117" t="s">
        <v>108</v>
      </c>
      <c r="B23" s="124">
        <v>116.2</v>
      </c>
      <c r="C23" s="67"/>
      <c r="D23" s="122" t="s">
        <v>47</v>
      </c>
      <c r="E23" s="123" t="s">
        <v>303</v>
      </c>
      <c r="F23" s="289">
        <f t="shared" si="0"/>
        <v>1.8404907975460238E-2</v>
      </c>
      <c r="G23" s="255"/>
      <c r="J23"/>
    </row>
    <row r="24" spans="1:11">
      <c r="A24" s="117" t="s">
        <v>295</v>
      </c>
      <c r="B24" s="124">
        <v>117.2</v>
      </c>
      <c r="C24" s="67"/>
      <c r="D24" s="122" t="s">
        <v>299</v>
      </c>
      <c r="E24" s="123" t="s">
        <v>304</v>
      </c>
      <c r="F24" s="289">
        <f t="shared" si="0"/>
        <v>8.6058519793459354E-3</v>
      </c>
      <c r="J24"/>
    </row>
    <row r="25" spans="1:11">
      <c r="A25" s="117" t="s">
        <v>296</v>
      </c>
      <c r="B25" s="124"/>
      <c r="C25" s="67"/>
      <c r="D25" s="122" t="s">
        <v>300</v>
      </c>
      <c r="E25" s="123" t="s">
        <v>305</v>
      </c>
      <c r="F25" s="289">
        <f t="shared" si="0"/>
        <v>8.6058519793459354E-3</v>
      </c>
      <c r="G25" s="255"/>
      <c r="J25"/>
    </row>
    <row r="26" spans="1:11">
      <c r="A26" s="117" t="s">
        <v>297</v>
      </c>
      <c r="B26" s="124"/>
      <c r="C26" s="67"/>
      <c r="D26" s="122" t="s">
        <v>301</v>
      </c>
      <c r="E26" s="123" t="s">
        <v>306</v>
      </c>
      <c r="F26" s="289">
        <f t="shared" si="0"/>
        <v>8.6058519793459354E-3</v>
      </c>
      <c r="G26" s="255"/>
      <c r="J26"/>
    </row>
    <row r="27" spans="1:11">
      <c r="A27" s="117" t="s">
        <v>298</v>
      </c>
      <c r="B27" s="124"/>
      <c r="C27" s="67"/>
      <c r="D27" s="125" t="s">
        <v>302</v>
      </c>
      <c r="E27" s="126" t="s">
        <v>307</v>
      </c>
      <c r="F27" s="296">
        <f t="shared" si="0"/>
        <v>8.6058519793459354E-3</v>
      </c>
      <c r="G27" s="255"/>
      <c r="J27"/>
    </row>
    <row r="28" spans="1:11">
      <c r="A28" s="127"/>
      <c r="B28" s="128"/>
      <c r="C28" s="118"/>
      <c r="D28" s="67"/>
      <c r="E28" s="67"/>
      <c r="F28" s="129"/>
      <c r="J28"/>
    </row>
    <row r="29" spans="1:11">
      <c r="A29" s="127" t="str">
        <f>"CPI " &amp;$B$9</f>
        <v>CPI 2019-20</v>
      </c>
      <c r="B29" s="303">
        <f>VLOOKUP(A29,E$17:F$27,2,FALSE)</f>
        <v>1.7841213202497874E-2</v>
      </c>
      <c r="C29" s="130" t="s">
        <v>89</v>
      </c>
      <c r="D29" s="67"/>
      <c r="E29" s="67"/>
      <c r="F29" s="129"/>
      <c r="J29"/>
    </row>
    <row r="30" spans="1:11">
      <c r="A30" s="127" t="str">
        <f>"CPI " &amp;$B$8</f>
        <v>CPI 2020-21</v>
      </c>
      <c r="B30" s="303">
        <f>VLOOKUP(A30,E$17:F$27,2,FALSE)</f>
        <v>1.8404907975460238E-2</v>
      </c>
      <c r="C30" s="131" t="s">
        <v>88</v>
      </c>
      <c r="D30" s="67"/>
      <c r="E30" s="67"/>
      <c r="F30" s="129"/>
    </row>
    <row r="31" spans="1:11">
      <c r="A31" s="127" t="str">
        <f>"CPI " &amp;$B$6</f>
        <v>CPI 2021-22</v>
      </c>
      <c r="B31" s="303">
        <f>VLOOKUP(A31,E$18:F$27,2,FALSE)</f>
        <v>8.6058519793459354E-3</v>
      </c>
      <c r="C31" s="131" t="s">
        <v>92</v>
      </c>
      <c r="D31" s="67"/>
      <c r="E31" s="67"/>
      <c r="F31" s="129"/>
    </row>
    <row r="32" spans="1:11" ht="13.8" thickBot="1">
      <c r="A32" s="132"/>
      <c r="B32" s="536"/>
      <c r="C32" s="375"/>
      <c r="D32" s="133"/>
      <c r="E32" s="133"/>
      <c r="F32" s="134"/>
    </row>
    <row r="33" spans="1:16">
      <c r="A33" s="118"/>
      <c r="B33" s="1441"/>
      <c r="C33" s="130"/>
      <c r="D33" s="118"/>
      <c r="E33" s="118"/>
      <c r="F33" s="118"/>
    </row>
    <row r="34" spans="1:16" ht="13.8">
      <c r="A34" s="1440" t="s">
        <v>1439</v>
      </c>
    </row>
    <row r="35" spans="1:16" ht="13.8" thickBot="1">
      <c r="B35" s="302">
        <f>COLUMN()</f>
        <v>2</v>
      </c>
      <c r="C35" s="302">
        <f>COLUMN()</f>
        <v>3</v>
      </c>
      <c r="D35" s="302">
        <f>COLUMN()</f>
        <v>4</v>
      </c>
      <c r="E35" s="302">
        <f>COLUMN()</f>
        <v>5</v>
      </c>
      <c r="F35" s="302">
        <f>COLUMN()</f>
        <v>6</v>
      </c>
      <c r="G35" s="302">
        <f>COLUMN()</f>
        <v>7</v>
      </c>
      <c r="I35" s="73">
        <f>COLUMN()</f>
        <v>9</v>
      </c>
      <c r="J35" s="73">
        <f>COLUMN()</f>
        <v>10</v>
      </c>
      <c r="K35" s="73">
        <f>COLUMN()</f>
        <v>11</v>
      </c>
      <c r="L35" s="73">
        <f>COLUMN()</f>
        <v>12</v>
      </c>
      <c r="M35" s="73">
        <f>COLUMN()</f>
        <v>13</v>
      </c>
      <c r="O35" s="266" t="s">
        <v>1420</v>
      </c>
    </row>
    <row r="36" spans="1:16" ht="13.8" thickBot="1">
      <c r="A36" s="77"/>
      <c r="C36" s="1887" t="s">
        <v>313</v>
      </c>
      <c r="D36" s="1888"/>
      <c r="E36" s="1888"/>
      <c r="F36" s="1888"/>
      <c r="G36" s="1889"/>
      <c r="I36" s="1884" t="s">
        <v>308</v>
      </c>
      <c r="J36" s="1885"/>
      <c r="K36" s="1885"/>
      <c r="L36" s="1885"/>
      <c r="M36" s="1886"/>
    </row>
    <row r="37" spans="1:16" ht="13.8" thickBot="1">
      <c r="A37" s="384" t="s">
        <v>1340</v>
      </c>
      <c r="B37" s="525" t="s">
        <v>153</v>
      </c>
      <c r="C37" s="526" t="s">
        <v>149</v>
      </c>
      <c r="D37" s="526" t="s">
        <v>139</v>
      </c>
      <c r="E37" s="526" t="s">
        <v>150</v>
      </c>
      <c r="F37" s="526" t="s">
        <v>151</v>
      </c>
      <c r="G37" s="519" t="s">
        <v>152</v>
      </c>
      <c r="I37" s="109" t="s">
        <v>294</v>
      </c>
      <c r="J37" s="110" t="s">
        <v>309</v>
      </c>
      <c r="K37" s="110" t="s">
        <v>310</v>
      </c>
      <c r="L37" s="110" t="s">
        <v>311</v>
      </c>
      <c r="M37" s="344" t="s">
        <v>312</v>
      </c>
    </row>
    <row r="38" spans="1:16">
      <c r="A38" s="385" t="s">
        <v>109</v>
      </c>
      <c r="B38" s="527" t="s">
        <v>230</v>
      </c>
      <c r="C38" s="528"/>
      <c r="D38" s="528"/>
      <c r="E38" s="528"/>
      <c r="F38" s="528" t="s">
        <v>230</v>
      </c>
      <c r="G38" s="529" t="s">
        <v>230</v>
      </c>
      <c r="I38" s="314"/>
      <c r="J38" s="312"/>
      <c r="K38" s="312"/>
      <c r="L38" s="312"/>
      <c r="M38" s="313"/>
      <c r="P38" s="1539"/>
    </row>
    <row r="39" spans="1:16">
      <c r="A39" s="242" t="s">
        <v>1407</v>
      </c>
      <c r="B39" s="138"/>
      <c r="C39" s="136"/>
      <c r="D39" s="136"/>
      <c r="E39" s="136"/>
      <c r="F39" s="136"/>
      <c r="G39" s="313"/>
      <c r="I39" s="138"/>
      <c r="J39" s="136"/>
      <c r="K39" s="136"/>
      <c r="L39" s="136"/>
      <c r="M39" s="313"/>
    </row>
    <row r="40" spans="1:16">
      <c r="A40" s="242" t="s">
        <v>1408</v>
      </c>
      <c r="B40" s="138"/>
      <c r="C40" s="136"/>
      <c r="D40" s="136"/>
      <c r="E40" s="136"/>
      <c r="F40" s="136"/>
      <c r="G40" s="313"/>
      <c r="I40" s="138"/>
      <c r="J40" s="136"/>
      <c r="K40" s="136"/>
      <c r="L40" s="136"/>
      <c r="M40" s="313"/>
    </row>
    <row r="41" spans="1:16">
      <c r="A41" s="385" t="s">
        <v>179</v>
      </c>
      <c r="B41" s="214"/>
      <c r="C41" s="215"/>
      <c r="D41" s="75"/>
      <c r="E41" s="523">
        <v>2.3018863117840738E-6</v>
      </c>
      <c r="F41" s="522"/>
      <c r="G41" s="524"/>
      <c r="I41" s="352"/>
      <c r="J41" s="353"/>
      <c r="K41" s="354"/>
      <c r="L41" s="354"/>
      <c r="M41" s="355"/>
      <c r="P41" s="1539"/>
    </row>
    <row r="42" spans="1:16">
      <c r="A42" s="242" t="s">
        <v>1407</v>
      </c>
      <c r="B42" s="220"/>
      <c r="C42" s="223">
        <f>B43*(1+F18)*(1-C47)*(1+C61)</f>
        <v>1137712670.5381773</v>
      </c>
      <c r="D42" s="223">
        <f>(C43-C62)*(1+F19)*(1-D47)</f>
        <v>1136611526.5492849</v>
      </c>
      <c r="E42" s="223">
        <f>(D42+E41)*(1+F20)*(1-E47)</f>
        <v>1315575600.8515103</v>
      </c>
      <c r="F42" s="223">
        <f>E42*(1+F21)*(1-F47)</f>
        <v>1306454344.3159947</v>
      </c>
      <c r="G42" s="224">
        <f>F42*(1+F22)*(1-G47)-3147.22554683685</f>
        <v>1299466339.2853911</v>
      </c>
      <c r="H42" s="1680"/>
      <c r="I42" s="220">
        <v>1178598705.7323899</v>
      </c>
      <c r="J42" s="223">
        <f>I42*(1+F24)*(1-J47)</f>
        <v>1164549680.2948508</v>
      </c>
      <c r="K42" s="223"/>
      <c r="L42" s="223"/>
      <c r="M42" s="224"/>
    </row>
    <row r="43" spans="1:16" ht="13.8" thickBot="1">
      <c r="A43" s="386" t="s">
        <v>1408</v>
      </c>
      <c r="B43" s="350">
        <v>1750770434.7395401</v>
      </c>
      <c r="C43" s="351">
        <f>B43*(1+F18)*(1-C47)*(1+C60)</f>
        <v>1160466923.9489408</v>
      </c>
      <c r="D43" s="351">
        <f>C43*(1+F19)*(1-D47)*(1+D61)</f>
        <v>1157523587.3816545</v>
      </c>
      <c r="E43" s="351">
        <f>D43*(1+F20)*(1-E47)*(1+E61)</f>
        <v>1341803418.4299867</v>
      </c>
      <c r="F43" s="351">
        <f>E43*(1+F21)*(1-F47)*(1+F61)</f>
        <v>1332580267.0599213</v>
      </c>
      <c r="G43" s="349">
        <f>F43*(1+F22)*(1-G47)*(1+G61)</f>
        <v>1325455729.0156076</v>
      </c>
      <c r="H43" s="1681"/>
      <c r="I43" s="1677">
        <f>I42+I62</f>
        <v>1205053524.3024337</v>
      </c>
      <c r="J43" s="403">
        <f>I43*(1+F24)*(1-J47)*(1+J61)</f>
        <v>1164549680.2948508</v>
      </c>
      <c r="K43" s="413"/>
      <c r="L43" s="413"/>
      <c r="M43" s="414"/>
    </row>
    <row r="44" spans="1:16" ht="13.8" thickBot="1">
      <c r="A44" s="216"/>
      <c r="B44" s="113"/>
      <c r="C44" s="113"/>
      <c r="D44" s="113"/>
      <c r="E44" s="113"/>
      <c r="F44" s="113"/>
      <c r="G44" s="113"/>
      <c r="H44" s="63"/>
      <c r="I44" s="113"/>
      <c r="J44" s="113"/>
      <c r="K44" s="113"/>
      <c r="L44" s="113"/>
      <c r="M44" s="113"/>
      <c r="N44" s="63"/>
    </row>
    <row r="45" spans="1:16">
      <c r="A45" s="384" t="s">
        <v>155</v>
      </c>
      <c r="B45" s="109" t="s">
        <v>153</v>
      </c>
      <c r="C45" s="204" t="s">
        <v>149</v>
      </c>
      <c r="D45" s="110" t="s">
        <v>139</v>
      </c>
      <c r="E45" s="110" t="s">
        <v>150</v>
      </c>
      <c r="F45" s="110" t="s">
        <v>151</v>
      </c>
      <c r="G45" s="344" t="s">
        <v>152</v>
      </c>
      <c r="I45" s="109" t="s">
        <v>294</v>
      </c>
      <c r="J45" s="110" t="s">
        <v>309</v>
      </c>
      <c r="K45" s="110" t="s">
        <v>310</v>
      </c>
      <c r="L45" s="110" t="s">
        <v>311</v>
      </c>
      <c r="M45" s="344" t="s">
        <v>312</v>
      </c>
    </row>
    <row r="46" spans="1:16">
      <c r="A46" s="242" t="s">
        <v>109</v>
      </c>
      <c r="B46" s="308"/>
      <c r="C46" s="309"/>
      <c r="D46" s="310"/>
      <c r="E46" s="310"/>
      <c r="F46" s="310"/>
      <c r="G46" s="311" t="s">
        <v>230</v>
      </c>
      <c r="I46" s="308"/>
      <c r="J46" s="310"/>
      <c r="K46" s="310"/>
      <c r="L46" s="310"/>
      <c r="M46" s="311"/>
    </row>
    <row r="47" spans="1:16" ht="13.8" thickBot="1">
      <c r="A47" s="386" t="s">
        <v>179</v>
      </c>
      <c r="B47" s="388"/>
      <c r="C47" s="389">
        <v>0.36632331838543902</v>
      </c>
      <c r="D47" s="389">
        <f>1.75709093498516%</f>
        <v>1.7570909349851602E-2</v>
      </c>
      <c r="E47" s="389">
        <v>-0.14057354930288404</v>
      </c>
      <c r="F47" s="389">
        <v>2.5536672719420693E-2</v>
      </c>
      <c r="G47" s="390">
        <v>2.2781192285403679E-2</v>
      </c>
      <c r="I47" s="1682">
        <f>'PTRM extract - March 2021'!G16</f>
        <v>0.10899255106646009</v>
      </c>
      <c r="J47" s="1683">
        <f>'PTRM extract - March 2021'!H16</f>
        <v>2.0350825128281194E-2</v>
      </c>
      <c r="K47" s="391"/>
      <c r="L47" s="391"/>
      <c r="M47" s="392"/>
      <c r="O47" s="73" t="s">
        <v>1419</v>
      </c>
    </row>
    <row r="48" spans="1:16" ht="13.8" thickBot="1">
      <c r="A48" s="76"/>
      <c r="F48" s="535"/>
    </row>
    <row r="49" spans="1:15">
      <c r="A49" s="384" t="s">
        <v>156</v>
      </c>
      <c r="B49" s="135" t="s">
        <v>153</v>
      </c>
      <c r="C49" s="110" t="s">
        <v>149</v>
      </c>
      <c r="D49" s="110" t="s">
        <v>139</v>
      </c>
      <c r="E49" s="110" t="s">
        <v>150</v>
      </c>
      <c r="F49" s="110" t="s">
        <v>151</v>
      </c>
      <c r="G49" s="344" t="s">
        <v>152</v>
      </c>
      <c r="I49" s="109" t="s">
        <v>294</v>
      </c>
      <c r="J49" s="110" t="s">
        <v>309</v>
      </c>
      <c r="K49" s="110" t="s">
        <v>310</v>
      </c>
      <c r="L49" s="110" t="s">
        <v>311</v>
      </c>
      <c r="M49" s="344" t="s">
        <v>312</v>
      </c>
    </row>
    <row r="50" spans="1:15">
      <c r="A50" s="242" t="s">
        <v>109</v>
      </c>
      <c r="B50" s="308"/>
      <c r="C50" s="310"/>
      <c r="D50" s="310"/>
      <c r="E50" s="310"/>
      <c r="F50" s="310"/>
      <c r="G50" s="311" t="s">
        <v>230</v>
      </c>
      <c r="I50" s="308"/>
      <c r="J50" s="310"/>
      <c r="K50" s="310"/>
      <c r="L50" s="310"/>
      <c r="M50" s="315"/>
    </row>
    <row r="51" spans="1:15">
      <c r="A51" s="242" t="s">
        <v>952</v>
      </c>
      <c r="B51" s="275">
        <v>9.7199999999999995E-2</v>
      </c>
      <c r="C51" s="276">
        <v>6.0100000000000001E-2</v>
      </c>
      <c r="D51" s="276">
        <f>6.03890398025498%</f>
        <v>6.0389039802549796E-2</v>
      </c>
      <c r="E51" s="276">
        <v>6.0448020399790817E-2</v>
      </c>
      <c r="F51" s="276">
        <v>6.0148041164888158E-2</v>
      </c>
      <c r="G51" s="278">
        <v>5.9824761261038563E-2</v>
      </c>
      <c r="I51" s="1684">
        <f>(1+I52)*(1+F23)-1</f>
        <v>4.2845042391632671E-2</v>
      </c>
      <c r="J51" s="1685">
        <f>(1+J52)*(1+F24)-1</f>
        <v>3.1228392305169494E-2</v>
      </c>
      <c r="K51" s="276"/>
      <c r="L51" s="276"/>
      <c r="M51" s="277"/>
    </row>
    <row r="52" spans="1:15" ht="13.95" customHeight="1" thickBot="1">
      <c r="A52" s="386" t="s">
        <v>953</v>
      </c>
      <c r="B52" s="394"/>
      <c r="C52" s="395"/>
      <c r="D52" s="395"/>
      <c r="E52" s="395"/>
      <c r="F52" s="395"/>
      <c r="G52" s="396"/>
      <c r="I52" s="1682">
        <f>'PTRM extract - March 2021'!G7</f>
        <v>2.3998445239976629E-2</v>
      </c>
      <c r="J52" s="1683">
        <f>'PTRM extract - March 2021'!H7</f>
        <v>2.2429515237719279E-2</v>
      </c>
      <c r="K52" s="397"/>
      <c r="L52" s="397"/>
      <c r="M52" s="398"/>
      <c r="O52" s="73" t="s">
        <v>1419</v>
      </c>
    </row>
    <row r="53" spans="1:15" ht="13.8" thickBot="1">
      <c r="B53" s="67"/>
      <c r="D53" s="521"/>
      <c r="F53" s="425"/>
    </row>
    <row r="54" spans="1:15">
      <c r="A54" s="401" t="s">
        <v>94</v>
      </c>
      <c r="B54" s="137" t="s">
        <v>153</v>
      </c>
      <c r="C54" s="106" t="s">
        <v>149</v>
      </c>
      <c r="D54" s="520" t="s">
        <v>139</v>
      </c>
      <c r="E54" s="107" t="s">
        <v>150</v>
      </c>
      <c r="F54" s="107" t="s">
        <v>151</v>
      </c>
      <c r="G54" s="108" t="s">
        <v>152</v>
      </c>
      <c r="H54" s="75"/>
      <c r="I54" s="109" t="s">
        <v>294</v>
      </c>
      <c r="J54" s="110" t="s">
        <v>309</v>
      </c>
      <c r="K54" s="110" t="s">
        <v>310</v>
      </c>
      <c r="L54" s="110" t="s">
        <v>311</v>
      </c>
      <c r="M54" s="344" t="s">
        <v>312</v>
      </c>
    </row>
    <row r="55" spans="1:15">
      <c r="A55" s="385" t="s">
        <v>109</v>
      </c>
      <c r="B55" s="304"/>
      <c r="C55" s="305"/>
      <c r="D55" s="306"/>
      <c r="E55" s="306"/>
      <c r="F55" s="306"/>
      <c r="G55" s="307" t="s">
        <v>230</v>
      </c>
      <c r="H55" s="75"/>
      <c r="I55" s="304"/>
      <c r="J55" s="306"/>
      <c r="K55" s="306"/>
      <c r="L55" s="306"/>
      <c r="M55" s="307"/>
    </row>
    <row r="56" spans="1:15">
      <c r="A56" s="242" t="s">
        <v>1404</v>
      </c>
      <c r="B56" s="304"/>
      <c r="C56" s="305"/>
      <c r="D56" s="306"/>
      <c r="E56" s="306"/>
      <c r="F56" s="306"/>
      <c r="G56" s="600"/>
      <c r="H56" s="75"/>
      <c r="I56" s="304"/>
      <c r="J56" s="306"/>
      <c r="K56" s="306"/>
      <c r="L56" s="306"/>
      <c r="M56" s="307"/>
    </row>
    <row r="57" spans="1:15">
      <c r="A57" s="242" t="s">
        <v>1405</v>
      </c>
      <c r="B57" s="304"/>
      <c r="C57" s="305"/>
      <c r="D57" s="305"/>
      <c r="E57" s="305"/>
      <c r="F57" s="305"/>
      <c r="G57" s="600"/>
      <c r="H57" s="75"/>
      <c r="I57" s="304"/>
      <c r="J57" s="306"/>
      <c r="K57" s="306"/>
      <c r="L57" s="306"/>
      <c r="M57" s="307"/>
    </row>
    <row r="58" spans="1:15">
      <c r="A58" s="242" t="s">
        <v>1406</v>
      </c>
      <c r="B58" s="304"/>
      <c r="C58" s="305"/>
      <c r="D58" s="305"/>
      <c r="E58" s="305"/>
      <c r="F58" s="305"/>
      <c r="G58" s="307"/>
      <c r="H58" s="75"/>
      <c r="I58" s="304"/>
      <c r="J58" s="306"/>
      <c r="K58" s="306"/>
      <c r="L58" s="306"/>
      <c r="M58" s="307"/>
    </row>
    <row r="59" spans="1:15">
      <c r="A59" s="385" t="s">
        <v>179</v>
      </c>
      <c r="B59" s="304"/>
      <c r="C59" s="305"/>
      <c r="D59" s="305"/>
      <c r="E59" s="530"/>
      <c r="F59" s="305"/>
      <c r="G59" s="307"/>
      <c r="H59" s="75"/>
      <c r="I59" s="304"/>
      <c r="J59" s="306"/>
      <c r="K59" s="306"/>
      <c r="L59" s="306"/>
      <c r="M59" s="307"/>
    </row>
    <row r="60" spans="1:15">
      <c r="A60" s="242" t="s">
        <v>1404</v>
      </c>
      <c r="B60" s="264"/>
      <c r="C60" s="288">
        <v>0.02</v>
      </c>
      <c r="D60" s="288">
        <v>1.8409999999999999E-2</v>
      </c>
      <c r="E60" s="265">
        <v>1.9939999999999999E-2</v>
      </c>
      <c r="F60" s="265">
        <v>0.02</v>
      </c>
      <c r="G60" s="279">
        <v>0.02</v>
      </c>
      <c r="H60" s="75"/>
      <c r="I60" s="264">
        <f>'S-factors'!M29</f>
        <v>2.2445993230244134E-2</v>
      </c>
      <c r="J60" s="1678">
        <f>'S-factors'!N29</f>
        <v>0</v>
      </c>
      <c r="K60" s="341"/>
      <c r="L60" s="341"/>
      <c r="M60" s="533"/>
      <c r="O60" s="73" t="s">
        <v>1593</v>
      </c>
    </row>
    <row r="61" spans="1:15">
      <c r="A61" s="242" t="s">
        <v>1405</v>
      </c>
      <c r="B61" s="264"/>
      <c r="C61" s="288">
        <v>0</v>
      </c>
      <c r="D61" s="288">
        <v>-1.57E-3</v>
      </c>
      <c r="E61" s="265">
        <v>1.5100000000000001E-3</v>
      </c>
      <c r="F61" s="288">
        <v>6.0000000000000002E-5</v>
      </c>
      <c r="G61" s="279">
        <v>0</v>
      </c>
      <c r="H61" s="75"/>
      <c r="I61" s="264">
        <f>'S-factors'!M31</f>
        <v>2.2445993230244134E-2</v>
      </c>
      <c r="J61" s="265">
        <f>'S-factors'!N31</f>
        <v>-2.1953231152414987E-2</v>
      </c>
      <c r="K61" s="341"/>
      <c r="L61" s="341"/>
      <c r="M61" s="342"/>
    </row>
    <row r="62" spans="1:15" ht="18" customHeight="1" thickBot="1">
      <c r="A62" s="386" t="s">
        <v>1406</v>
      </c>
      <c r="B62" s="400"/>
      <c r="C62" s="351">
        <f>C60*C42</f>
        <v>22754253.410763547</v>
      </c>
      <c r="D62" s="351">
        <f>D42*D60</f>
        <v>20925018.203772336</v>
      </c>
      <c r="E62" s="351">
        <f>E42*E60</f>
        <v>26232577.480979115</v>
      </c>
      <c r="F62" s="351">
        <f t="shared" ref="F62" si="1">F42*F60</f>
        <v>26129086.886319894</v>
      </c>
      <c r="G62" s="537">
        <f>G42*G60+62.94</f>
        <v>25989389.725707825</v>
      </c>
      <c r="H62" s="75"/>
      <c r="I62" s="1677">
        <f>I42*I60</f>
        <v>26454818.57004372</v>
      </c>
      <c r="J62" s="1679">
        <f>J42*J60</f>
        <v>0</v>
      </c>
      <c r="K62" s="531"/>
      <c r="L62" s="531"/>
      <c r="M62" s="532"/>
      <c r="O62" s="599"/>
    </row>
    <row r="63" spans="1:15" ht="13.8" thickBot="1">
      <c r="B63" s="67"/>
      <c r="C63" s="78"/>
      <c r="I63" s="78"/>
    </row>
    <row r="64" spans="1:15">
      <c r="A64" s="401" t="s">
        <v>962</v>
      </c>
      <c r="B64" s="109" t="s">
        <v>153</v>
      </c>
      <c r="C64" s="106" t="s">
        <v>149</v>
      </c>
      <c r="D64" s="107" t="s">
        <v>139</v>
      </c>
      <c r="E64" s="107" t="s">
        <v>150</v>
      </c>
      <c r="F64" s="107" t="s">
        <v>151</v>
      </c>
      <c r="G64" s="108" t="s">
        <v>152</v>
      </c>
      <c r="I64" s="109" t="s">
        <v>294</v>
      </c>
      <c r="J64" s="110" t="s">
        <v>309</v>
      </c>
      <c r="K64" s="110" t="s">
        <v>310</v>
      </c>
      <c r="L64" s="110" t="s">
        <v>311</v>
      </c>
      <c r="M64" s="344" t="s">
        <v>312</v>
      </c>
    </row>
    <row r="65" spans="1:14">
      <c r="A65" s="242" t="s">
        <v>109</v>
      </c>
      <c r="B65" s="138"/>
      <c r="C65" s="205"/>
      <c r="D65" s="136"/>
      <c r="E65" s="136"/>
      <c r="F65" s="136"/>
      <c r="G65" s="90"/>
      <c r="I65" s="138"/>
      <c r="J65" s="136"/>
      <c r="K65" s="136"/>
      <c r="L65" s="136"/>
      <c r="M65" s="90"/>
    </row>
    <row r="66" spans="1:14" ht="13.8" thickBot="1">
      <c r="A66" s="386" t="s">
        <v>179</v>
      </c>
      <c r="B66" s="350"/>
      <c r="C66" s="402">
        <v>135031449.71440932</v>
      </c>
      <c r="D66" s="402">
        <v>128067846.07212083</v>
      </c>
      <c r="E66" s="402">
        <v>0</v>
      </c>
      <c r="F66" s="403">
        <v>-2455678.5628925744</v>
      </c>
      <c r="G66" s="393">
        <v>0</v>
      </c>
      <c r="I66" s="350">
        <v>0</v>
      </c>
      <c r="J66" s="351">
        <v>0</v>
      </c>
      <c r="K66" s="351"/>
      <c r="L66" s="351"/>
      <c r="M66" s="349"/>
    </row>
    <row r="67" spans="1:14" ht="13.8" thickBot="1">
      <c r="B67" s="67"/>
      <c r="C67" s="78"/>
      <c r="I67" s="78"/>
    </row>
    <row r="68" spans="1:14">
      <c r="A68" s="399" t="s">
        <v>96</v>
      </c>
      <c r="B68" s="137" t="s">
        <v>153</v>
      </c>
      <c r="C68" s="106" t="s">
        <v>149</v>
      </c>
      <c r="D68" s="107" t="s">
        <v>139</v>
      </c>
      <c r="E68" s="107" t="s">
        <v>150</v>
      </c>
      <c r="F68" s="107" t="s">
        <v>151</v>
      </c>
      <c r="G68" s="108" t="s">
        <v>152</v>
      </c>
      <c r="I68" s="109" t="s">
        <v>294</v>
      </c>
      <c r="J68" s="110" t="s">
        <v>309</v>
      </c>
      <c r="K68" s="110" t="s">
        <v>310</v>
      </c>
      <c r="L68" s="110" t="s">
        <v>311</v>
      </c>
      <c r="M68" s="344" t="s">
        <v>312</v>
      </c>
    </row>
    <row r="69" spans="1:14">
      <c r="A69" s="242" t="s">
        <v>109</v>
      </c>
      <c r="B69" s="138" t="s">
        <v>230</v>
      </c>
      <c r="C69" s="205" t="s">
        <v>230</v>
      </c>
      <c r="D69" s="316"/>
      <c r="E69" s="136" t="s">
        <v>230</v>
      </c>
      <c r="F69" s="136" t="s">
        <v>230</v>
      </c>
      <c r="G69" s="90" t="s">
        <v>230</v>
      </c>
      <c r="I69" s="317"/>
      <c r="J69" s="316"/>
      <c r="K69" s="316"/>
      <c r="L69" s="316"/>
      <c r="M69" s="318"/>
    </row>
    <row r="70" spans="1:14" ht="13.8" thickBot="1">
      <c r="A70" s="386" t="s">
        <v>179</v>
      </c>
      <c r="B70" s="404"/>
      <c r="C70" s="405"/>
      <c r="D70" s="403">
        <v>-2575803.1243882999</v>
      </c>
      <c r="E70" s="406"/>
      <c r="F70" s="406"/>
      <c r="G70" s="407"/>
      <c r="I70" s="404"/>
      <c r="J70" s="403">
        <f>-1158714.36+112000</f>
        <v>-1046714.3600000001</v>
      </c>
      <c r="K70" s="408"/>
      <c r="L70" s="408"/>
      <c r="M70" s="409"/>
    </row>
    <row r="71" spans="1:14" ht="13.8" thickBot="1">
      <c r="B71" s="67"/>
      <c r="C71" s="78"/>
      <c r="I71" s="78"/>
    </row>
    <row r="72" spans="1:14">
      <c r="A72" s="399" t="s">
        <v>171</v>
      </c>
      <c r="B72" s="137" t="s">
        <v>153</v>
      </c>
      <c r="C72" s="106" t="s">
        <v>149</v>
      </c>
      <c r="D72" s="107" t="s">
        <v>139</v>
      </c>
      <c r="E72" s="107" t="s">
        <v>150</v>
      </c>
      <c r="F72" s="106" t="s">
        <v>151</v>
      </c>
      <c r="G72" s="108" t="s">
        <v>152</v>
      </c>
      <c r="I72" s="137" t="s">
        <v>294</v>
      </c>
      <c r="J72" s="107" t="s">
        <v>309</v>
      </c>
      <c r="K72" s="107" t="s">
        <v>310</v>
      </c>
      <c r="L72" s="106" t="s">
        <v>311</v>
      </c>
      <c r="M72" s="108" t="s">
        <v>312</v>
      </c>
    </row>
    <row r="73" spans="1:14">
      <c r="A73" s="242" t="s">
        <v>109</v>
      </c>
      <c r="B73" s="138"/>
      <c r="C73" s="205"/>
      <c r="D73" s="205"/>
      <c r="E73" s="205" t="s">
        <v>230</v>
      </c>
      <c r="F73" s="205" t="s">
        <v>230</v>
      </c>
      <c r="G73" s="90" t="s">
        <v>230</v>
      </c>
      <c r="I73" s="138"/>
      <c r="J73" s="136"/>
      <c r="K73" s="205"/>
      <c r="L73" s="205"/>
      <c r="M73" s="90"/>
    </row>
    <row r="74" spans="1:14" ht="13.8" thickBot="1">
      <c r="A74" s="386" t="s">
        <v>179</v>
      </c>
      <c r="B74" s="350"/>
      <c r="C74" s="402">
        <v>81545041.138079971</v>
      </c>
      <c r="D74" s="402">
        <v>108129297.25106706</v>
      </c>
      <c r="E74" s="405"/>
      <c r="F74" s="405"/>
      <c r="G74" s="407"/>
      <c r="I74" s="404"/>
      <c r="J74" s="406"/>
      <c r="K74" s="405"/>
      <c r="L74" s="405"/>
      <c r="M74" s="407"/>
      <c r="N74" s="255"/>
    </row>
    <row r="75" spans="1:14" s="63" customFormat="1" ht="13.8" thickBot="1">
      <c r="A75" s="216"/>
      <c r="B75" s="113"/>
      <c r="C75" s="113"/>
      <c r="D75" s="113"/>
      <c r="E75" s="113"/>
      <c r="F75" s="113"/>
      <c r="G75" s="113"/>
      <c r="I75" s="73"/>
      <c r="J75" s="73"/>
      <c r="K75" s="73"/>
      <c r="L75" s="73"/>
      <c r="M75" s="73"/>
    </row>
    <row r="76" spans="1:14">
      <c r="A76" s="384" t="s">
        <v>1390</v>
      </c>
      <c r="B76" s="109" t="s">
        <v>153</v>
      </c>
      <c r="C76" s="204" t="s">
        <v>149</v>
      </c>
      <c r="D76" s="110" t="s">
        <v>139</v>
      </c>
      <c r="E76" s="110" t="s">
        <v>150</v>
      </c>
      <c r="F76" s="110" t="s">
        <v>151</v>
      </c>
      <c r="G76" s="344" t="s">
        <v>152</v>
      </c>
      <c r="I76" s="109" t="s">
        <v>294</v>
      </c>
      <c r="J76" s="110" t="s">
        <v>309</v>
      </c>
      <c r="K76" s="110" t="s">
        <v>310</v>
      </c>
      <c r="L76" s="110" t="s">
        <v>311</v>
      </c>
      <c r="M76" s="344" t="s">
        <v>312</v>
      </c>
      <c r="N76" s="63"/>
    </row>
    <row r="77" spans="1:14">
      <c r="A77" s="242" t="s">
        <v>109</v>
      </c>
      <c r="B77" s="138" t="s">
        <v>230</v>
      </c>
      <c r="C77" s="312"/>
      <c r="D77" s="312"/>
      <c r="E77" s="312"/>
      <c r="F77" s="312" t="s">
        <v>230</v>
      </c>
      <c r="G77" s="313" t="s">
        <v>230</v>
      </c>
      <c r="I77" s="314"/>
      <c r="J77" s="312"/>
      <c r="K77" s="312"/>
      <c r="L77" s="312"/>
      <c r="M77" s="313"/>
      <c r="N77" s="63"/>
    </row>
    <row r="78" spans="1:14" ht="13.8" thickBot="1">
      <c r="A78" s="386" t="s">
        <v>179</v>
      </c>
      <c r="B78" s="350"/>
      <c r="C78" s="351">
        <v>1444147033.33653</v>
      </c>
      <c r="D78" s="351">
        <f>D43+D66+D70+D74+D90</f>
        <v>1463199900.3555994</v>
      </c>
      <c r="E78" s="351">
        <f>E43+E90</f>
        <v>1334982739.8049366</v>
      </c>
      <c r="F78" s="351">
        <f>F43+F66+F90</f>
        <v>1284149724.1858511</v>
      </c>
      <c r="G78" s="351">
        <f>G43+G90</f>
        <v>1293364812.8699095</v>
      </c>
      <c r="I78" s="1677">
        <f>I43+I90</f>
        <v>1177038329.5256321</v>
      </c>
      <c r="J78" s="412"/>
      <c r="K78" s="413"/>
      <c r="L78" s="413"/>
      <c r="M78" s="414"/>
      <c r="N78" s="63"/>
    </row>
    <row r="79" spans="1:14" ht="8.4" customHeight="1">
      <c r="A79" s="76"/>
      <c r="B79" s="410"/>
      <c r="C79" s="410"/>
      <c r="D79" s="92"/>
      <c r="E79" s="92"/>
      <c r="F79" s="92"/>
      <c r="G79" s="92"/>
      <c r="I79" s="411"/>
      <c r="J79" s="92"/>
      <c r="K79" s="92"/>
      <c r="L79" s="92"/>
      <c r="M79" s="92"/>
      <c r="N79" s="63"/>
    </row>
    <row r="80" spans="1:14" s="63" customFormat="1" ht="15" customHeight="1" thickBot="1">
      <c r="A80" s="217"/>
      <c r="B80" s="511"/>
      <c r="C80" s="112" t="s">
        <v>964</v>
      </c>
      <c r="D80" s="112" t="s">
        <v>964</v>
      </c>
      <c r="E80" s="112" t="s">
        <v>964</v>
      </c>
      <c r="F80" s="112" t="s">
        <v>964</v>
      </c>
      <c r="G80" s="112" t="s">
        <v>964</v>
      </c>
      <c r="I80" s="63" t="s">
        <v>965</v>
      </c>
    </row>
    <row r="81" spans="1:15" s="63" customFormat="1">
      <c r="A81" s="384" t="s">
        <v>951</v>
      </c>
      <c r="B81" s="109" t="s">
        <v>153</v>
      </c>
      <c r="C81" s="204" t="s">
        <v>149</v>
      </c>
      <c r="D81" s="110" t="s">
        <v>139</v>
      </c>
      <c r="E81" s="110" t="s">
        <v>150</v>
      </c>
      <c r="F81" s="110" t="s">
        <v>151</v>
      </c>
      <c r="G81" s="344" t="s">
        <v>152</v>
      </c>
      <c r="I81" s="137" t="s">
        <v>294</v>
      </c>
      <c r="J81" s="107" t="s">
        <v>309</v>
      </c>
      <c r="K81" s="107" t="s">
        <v>310</v>
      </c>
      <c r="L81" s="106" t="s">
        <v>311</v>
      </c>
      <c r="M81" s="108" t="s">
        <v>312</v>
      </c>
    </row>
    <row r="82" spans="1:15" s="63" customFormat="1">
      <c r="A82" s="242" t="s">
        <v>109</v>
      </c>
      <c r="B82" s="138"/>
      <c r="C82" s="205"/>
      <c r="D82" s="205"/>
      <c r="E82" s="312" t="s">
        <v>230</v>
      </c>
      <c r="F82" s="205" t="s">
        <v>230</v>
      </c>
      <c r="G82" s="90" t="s">
        <v>230</v>
      </c>
      <c r="I82" s="138"/>
      <c r="J82" s="205"/>
      <c r="K82" s="312"/>
      <c r="L82" s="205"/>
      <c r="M82" s="90"/>
    </row>
    <row r="83" spans="1:15" s="63" customFormat="1">
      <c r="A83" s="242" t="s">
        <v>179</v>
      </c>
      <c r="B83" s="138"/>
      <c r="C83" s="205"/>
      <c r="D83" s="205"/>
      <c r="E83" s="205"/>
      <c r="F83" s="205"/>
      <c r="G83" s="90"/>
      <c r="I83" s="138"/>
      <c r="J83" s="205"/>
      <c r="K83" s="136"/>
      <c r="L83" s="205"/>
      <c r="M83" s="90"/>
    </row>
    <row r="84" spans="1:15" s="63" customFormat="1">
      <c r="A84" s="242" t="s">
        <v>1356</v>
      </c>
      <c r="B84" s="220"/>
      <c r="C84" s="222"/>
      <c r="D84" s="223">
        <f>RINs!$F$52</f>
        <v>1500905751.7900002</v>
      </c>
      <c r="E84" s="223">
        <f>RINs!$F$87</f>
        <v>1360225218</v>
      </c>
      <c r="F84" s="223">
        <f>RINs!$F$123</f>
        <v>1309118439.6800001</v>
      </c>
      <c r="G84" s="224">
        <f>RINs!$F$161</f>
        <v>1314823133.6600001</v>
      </c>
      <c r="I84" s="220">
        <v>1155346277.7570159</v>
      </c>
      <c r="J84" s="205"/>
      <c r="K84" s="136"/>
      <c r="L84" s="205"/>
      <c r="M84" s="90"/>
      <c r="O84" s="63" t="s">
        <v>1872</v>
      </c>
    </row>
    <row r="85" spans="1:15" s="63" customFormat="1">
      <c r="A85" s="242" t="s">
        <v>1401</v>
      </c>
      <c r="B85" s="220"/>
      <c r="C85" s="222"/>
      <c r="D85" s="223">
        <f>RINs!$O$52</f>
        <v>3179321.6100000003</v>
      </c>
      <c r="E85" s="223">
        <f>RINs!$O$89</f>
        <v>3302269.8000000007</v>
      </c>
      <c r="F85" s="223">
        <f>RINs!$O$123</f>
        <v>2841515.4</v>
      </c>
      <c r="G85" s="224">
        <f>RINs!$O$162</f>
        <v>2547781.4400000004</v>
      </c>
      <c r="I85" s="220">
        <v>2456722.3429840002</v>
      </c>
      <c r="J85" s="205"/>
      <c r="K85" s="136"/>
      <c r="L85" s="205"/>
      <c r="M85" s="90"/>
      <c r="O85" s="63" t="s">
        <v>1872</v>
      </c>
    </row>
    <row r="86" spans="1:15" s="63" customFormat="1" ht="13.8" thickBot="1">
      <c r="A86" s="386" t="s">
        <v>1400</v>
      </c>
      <c r="B86" s="516"/>
      <c r="C86" s="1308">
        <v>1450214613.4927273</v>
      </c>
      <c r="D86" s="1308">
        <f>D84+D85</f>
        <v>1504085073.4000001</v>
      </c>
      <c r="E86" s="1308">
        <f t="shared" ref="E86:I86" si="2">E84+E85</f>
        <v>1363527487.8</v>
      </c>
      <c r="F86" s="1308">
        <f t="shared" si="2"/>
        <v>1311959955.0800002</v>
      </c>
      <c r="G86" s="1309">
        <f t="shared" si="2"/>
        <v>1317370915.1000001</v>
      </c>
      <c r="I86" s="1310">
        <f t="shared" si="2"/>
        <v>1157803000.0999999</v>
      </c>
      <c r="J86" s="1311"/>
      <c r="K86" s="1311"/>
      <c r="L86" s="1312"/>
      <c r="M86" s="419"/>
    </row>
    <row r="87" spans="1:15" ht="13.8" thickBot="1">
      <c r="E87" s="425"/>
    </row>
    <row r="88" spans="1:15">
      <c r="A88" s="384" t="s">
        <v>1691</v>
      </c>
      <c r="B88" s="137" t="s">
        <v>153</v>
      </c>
      <c r="C88" s="106" t="s">
        <v>149</v>
      </c>
      <c r="D88" s="107" t="s">
        <v>139</v>
      </c>
      <c r="E88" s="107" t="s">
        <v>150</v>
      </c>
      <c r="F88" s="106" t="s">
        <v>151</v>
      </c>
      <c r="G88" s="108" t="s">
        <v>152</v>
      </c>
      <c r="I88" s="137" t="s">
        <v>294</v>
      </c>
      <c r="J88" s="107" t="s">
        <v>309</v>
      </c>
      <c r="K88" s="107" t="s">
        <v>310</v>
      </c>
      <c r="L88" s="106" t="s">
        <v>311</v>
      </c>
      <c r="M88" s="108" t="s">
        <v>312</v>
      </c>
    </row>
    <row r="89" spans="1:15">
      <c r="A89" s="242" t="s">
        <v>109</v>
      </c>
      <c r="B89" s="319" t="s">
        <v>230</v>
      </c>
      <c r="C89" s="205"/>
      <c r="D89" s="205"/>
      <c r="E89" s="320" t="s">
        <v>230</v>
      </c>
      <c r="F89" s="321" t="s">
        <v>230</v>
      </c>
      <c r="G89" s="322" t="s">
        <v>230</v>
      </c>
      <c r="I89" s="319"/>
      <c r="J89" s="323"/>
      <c r="K89" s="320"/>
      <c r="L89" s="321"/>
      <c r="M89" s="322"/>
    </row>
    <row r="90" spans="1:15" ht="13.8" thickBot="1">
      <c r="A90" s="386" t="s">
        <v>179</v>
      </c>
      <c r="B90" s="1759"/>
      <c r="C90" s="1760">
        <v>67103618.535105295</v>
      </c>
      <c r="D90" s="1761">
        <v>72054972.775144979</v>
      </c>
      <c r="E90" s="1762">
        <f>(C78-C86)*(1+C51)*(1+D51)</f>
        <v>-6820678.6250499496</v>
      </c>
      <c r="F90" s="1762">
        <f>(D78-D86)*(1+D51)*(1+E51)</f>
        <v>-45974864.311177567</v>
      </c>
      <c r="G90" s="1763">
        <f>((E78-E86)*(1+E51)*(1+F51))*0-32090916.1456981</f>
        <v>-32090916.1456981</v>
      </c>
      <c r="H90" s="1764"/>
      <c r="I90" s="1762">
        <f>'TAM 20-21 DUOS unders_overs'!E51</f>
        <v>-28015194.776801586</v>
      </c>
      <c r="J90" s="1765">
        <v>-9312824.350192856</v>
      </c>
      <c r="K90" s="1765"/>
      <c r="L90" s="1766"/>
      <c r="M90" s="1767"/>
    </row>
    <row r="91" spans="1:15">
      <c r="E91" s="425"/>
    </row>
    <row r="92" spans="1:15" ht="13.8">
      <c r="A92" s="1442" t="s">
        <v>1438</v>
      </c>
      <c r="J92" s="255"/>
    </row>
    <row r="93" spans="1:15" ht="13.8" thickBot="1">
      <c r="B93" s="105" t="s">
        <v>964</v>
      </c>
      <c r="C93" s="105" t="s">
        <v>964</v>
      </c>
      <c r="D93" s="105" t="s">
        <v>964</v>
      </c>
      <c r="E93" s="105" t="s">
        <v>964</v>
      </c>
      <c r="F93" s="105" t="s">
        <v>964</v>
      </c>
      <c r="G93" s="105" t="s">
        <v>964</v>
      </c>
      <c r="I93" s="73" t="s">
        <v>965</v>
      </c>
    </row>
    <row r="94" spans="1:15">
      <c r="A94" s="384" t="s">
        <v>963</v>
      </c>
      <c r="B94" s="137" t="s">
        <v>153</v>
      </c>
      <c r="C94" s="106" t="s">
        <v>149</v>
      </c>
      <c r="D94" s="107" t="s">
        <v>139</v>
      </c>
      <c r="E94" s="107" t="s">
        <v>150</v>
      </c>
      <c r="F94" s="106" t="s">
        <v>151</v>
      </c>
      <c r="G94" s="108" t="s">
        <v>152</v>
      </c>
      <c r="I94" s="137" t="s">
        <v>294</v>
      </c>
      <c r="J94" s="107" t="s">
        <v>309</v>
      </c>
      <c r="K94" s="107" t="s">
        <v>310</v>
      </c>
      <c r="L94" s="106" t="s">
        <v>311</v>
      </c>
      <c r="M94" s="108" t="s">
        <v>312</v>
      </c>
    </row>
    <row r="95" spans="1:15">
      <c r="A95" s="385" t="s">
        <v>109</v>
      </c>
      <c r="B95" s="138"/>
      <c r="C95" s="205"/>
      <c r="D95" s="205"/>
      <c r="E95" s="312"/>
      <c r="F95" s="205"/>
      <c r="G95" s="90"/>
      <c r="I95" s="138"/>
      <c r="J95" s="136"/>
      <c r="K95" s="312"/>
      <c r="L95" s="205"/>
      <c r="M95" s="90"/>
    </row>
    <row r="96" spans="1:15">
      <c r="A96" s="420" t="s">
        <v>127</v>
      </c>
      <c r="B96" s="138" t="s">
        <v>230</v>
      </c>
      <c r="C96" s="205" t="s">
        <v>230</v>
      </c>
      <c r="D96" s="205"/>
      <c r="E96" s="136"/>
      <c r="F96" s="205" t="s">
        <v>230</v>
      </c>
      <c r="G96" s="90" t="s">
        <v>230</v>
      </c>
      <c r="I96" s="138"/>
      <c r="J96" s="136"/>
      <c r="K96" s="136"/>
      <c r="L96" s="205"/>
      <c r="M96" s="90"/>
    </row>
    <row r="97" spans="1:15">
      <c r="A97" s="420" t="s">
        <v>61</v>
      </c>
      <c r="B97" s="138" t="s">
        <v>230</v>
      </c>
      <c r="C97" s="205" t="s">
        <v>230</v>
      </c>
      <c r="D97" s="205"/>
      <c r="E97" s="136"/>
      <c r="F97" s="205" t="s">
        <v>230</v>
      </c>
      <c r="G97" s="90" t="s">
        <v>230</v>
      </c>
      <c r="I97" s="138"/>
      <c r="J97" s="136"/>
      <c r="K97" s="136"/>
      <c r="L97" s="324"/>
      <c r="M97" s="90"/>
    </row>
    <row r="98" spans="1:15">
      <c r="A98" s="422" t="s">
        <v>966</v>
      </c>
      <c r="B98" s="1444" t="s">
        <v>230</v>
      </c>
      <c r="C98" s="1445" t="s">
        <v>230</v>
      </c>
      <c r="D98" s="1445"/>
      <c r="E98" s="1446"/>
      <c r="F98" s="1445" t="s">
        <v>230</v>
      </c>
      <c r="G98" s="1447" t="s">
        <v>230</v>
      </c>
      <c r="I98" s="1444"/>
      <c r="J98" s="1446"/>
      <c r="K98" s="1446"/>
      <c r="L98" s="1446"/>
      <c r="M98" s="1448"/>
    </row>
    <row r="99" spans="1:15" ht="6.6" customHeight="1">
      <c r="A99" s="420"/>
      <c r="B99" s="236"/>
      <c r="C99" s="237"/>
      <c r="D99" s="238"/>
      <c r="E99" s="238"/>
      <c r="F99" s="237"/>
      <c r="G99" s="239"/>
      <c r="I99" s="236"/>
      <c r="J99" s="238"/>
      <c r="K99" s="238"/>
      <c r="L99" s="237"/>
      <c r="M99" s="239"/>
    </row>
    <row r="100" spans="1:15">
      <c r="A100" s="385" t="s">
        <v>179</v>
      </c>
      <c r="B100" s="220"/>
      <c r="C100" s="222"/>
      <c r="D100" s="223"/>
      <c r="E100" s="223"/>
      <c r="F100" s="222"/>
      <c r="G100" s="224"/>
      <c r="I100" s="220"/>
      <c r="J100" s="223"/>
      <c r="K100" s="223"/>
      <c r="L100" s="222"/>
      <c r="M100" s="224"/>
    </row>
    <row r="101" spans="1:15">
      <c r="A101" s="420" t="s">
        <v>127</v>
      </c>
      <c r="B101" s="220">
        <v>314472575.75465202</v>
      </c>
      <c r="C101" s="222">
        <f>RINs!F28</f>
        <v>347580516.48000008</v>
      </c>
      <c r="D101" s="223">
        <f>RINs!F64</f>
        <v>378570531.96999997</v>
      </c>
      <c r="E101" s="223">
        <f>RINs!F98</f>
        <v>270564690</v>
      </c>
      <c r="F101" s="223">
        <f>RINs!F135</f>
        <v>246627484.59999999</v>
      </c>
      <c r="G101" s="274">
        <f>RINs!F173</f>
        <v>244848286.41</v>
      </c>
      <c r="I101" s="220"/>
      <c r="J101" s="223">
        <v>262450965.55665201</v>
      </c>
      <c r="K101" s="223"/>
      <c r="L101" s="222"/>
      <c r="M101" s="224"/>
      <c r="O101" s="73" t="s">
        <v>1434</v>
      </c>
    </row>
    <row r="102" spans="1:15">
      <c r="A102" s="420" t="s">
        <v>61</v>
      </c>
      <c r="B102" s="220">
        <v>1911753.4636363639</v>
      </c>
      <c r="C102" s="222">
        <f>RINs!F29</f>
        <v>2072438.87</v>
      </c>
      <c r="D102" s="223">
        <f>RINs!F65</f>
        <v>3138604.78</v>
      </c>
      <c r="E102" s="223">
        <f>RINs!F99</f>
        <v>1929638</v>
      </c>
      <c r="F102" s="223">
        <f>RINs!F136</f>
        <v>2234695.4300000002</v>
      </c>
      <c r="G102" s="274">
        <f>RINs!F174</f>
        <v>2532451</v>
      </c>
      <c r="I102" s="220"/>
      <c r="J102" s="223">
        <v>2634104</v>
      </c>
      <c r="K102" s="223"/>
      <c r="L102" s="222"/>
      <c r="M102" s="224"/>
      <c r="O102" s="73" t="s">
        <v>1434</v>
      </c>
    </row>
    <row r="103" spans="1:15">
      <c r="A103" s="420" t="s">
        <v>966</v>
      </c>
      <c r="B103" s="220">
        <v>6036544.5936363637</v>
      </c>
      <c r="C103" s="222">
        <f>RINs!F30</f>
        <v>6293588.5699999994</v>
      </c>
      <c r="D103" s="223">
        <f>RINs!F66</f>
        <v>5259435.1500000004</v>
      </c>
      <c r="E103" s="223">
        <f>RINs!F100</f>
        <v>5656661</v>
      </c>
      <c r="F103" s="223">
        <f>RINs!F137</f>
        <v>4188945.4</v>
      </c>
      <c r="G103" s="274">
        <f>RINs!F175</f>
        <v>3575515.57</v>
      </c>
      <c r="I103" s="220"/>
      <c r="J103" s="223">
        <v>3125021.9176883427</v>
      </c>
      <c r="K103" s="223"/>
      <c r="L103" s="222"/>
      <c r="M103" s="224"/>
      <c r="O103" s="73" t="s">
        <v>1434</v>
      </c>
    </row>
    <row r="104" spans="1:15" ht="13.8" thickBot="1">
      <c r="A104" s="421"/>
      <c r="B104" s="81">
        <f t="shared" ref="B104:G104" si="3">SUM(B100:B103)</f>
        <v>322420873.8119247</v>
      </c>
      <c r="C104" s="79">
        <f t="shared" si="3"/>
        <v>355946543.92000008</v>
      </c>
      <c r="D104" s="102">
        <f t="shared" si="3"/>
        <v>386968571.89999992</v>
      </c>
      <c r="E104" s="102">
        <f t="shared" si="3"/>
        <v>278150989</v>
      </c>
      <c r="F104" s="79">
        <f t="shared" si="3"/>
        <v>253051125.43000001</v>
      </c>
      <c r="G104" s="80">
        <f t="shared" si="3"/>
        <v>250956252.97999999</v>
      </c>
      <c r="I104" s="81">
        <f>SUM(I100:I103)</f>
        <v>0</v>
      </c>
      <c r="J104" s="102">
        <f>SUM(J100:J103)</f>
        <v>268210091.47434035</v>
      </c>
      <c r="K104" s="102">
        <f>SUM(K100:K103)</f>
        <v>0</v>
      </c>
      <c r="L104" s="79">
        <f>SUM(L100:L103)</f>
        <v>0</v>
      </c>
      <c r="M104" s="80">
        <f>SUM(M100:M103)</f>
        <v>0</v>
      </c>
    </row>
    <row r="105" spans="1:15" s="63" customFormat="1">
      <c r="A105" s="216"/>
      <c r="B105" s="113"/>
      <c r="C105" s="113"/>
      <c r="D105" s="113"/>
      <c r="E105" s="113"/>
      <c r="F105" s="113"/>
      <c r="G105" s="113"/>
      <c r="I105" s="113"/>
      <c r="J105" s="113"/>
      <c r="K105" s="113"/>
      <c r="L105" s="113"/>
      <c r="M105" s="113"/>
    </row>
    <row r="106" spans="1:15" ht="13.8" thickBot="1">
      <c r="A106" s="216"/>
      <c r="B106" s="105" t="s">
        <v>964</v>
      </c>
      <c r="C106" s="105" t="s">
        <v>964</v>
      </c>
      <c r="D106" s="105" t="s">
        <v>964</v>
      </c>
      <c r="E106" s="105" t="s">
        <v>964</v>
      </c>
      <c r="F106" s="105" t="s">
        <v>964</v>
      </c>
      <c r="G106" s="105" t="s">
        <v>964</v>
      </c>
      <c r="H106" s="63"/>
      <c r="I106" s="73" t="s">
        <v>965</v>
      </c>
    </row>
    <row r="107" spans="1:15">
      <c r="A107" s="384" t="s">
        <v>1442</v>
      </c>
      <c r="B107" s="137" t="s">
        <v>153</v>
      </c>
      <c r="C107" s="106" t="s">
        <v>149</v>
      </c>
      <c r="D107" s="107" t="s">
        <v>139</v>
      </c>
      <c r="E107" s="107" t="s">
        <v>150</v>
      </c>
      <c r="F107" s="106" t="s">
        <v>151</v>
      </c>
      <c r="G107" s="108" t="s">
        <v>152</v>
      </c>
      <c r="H107" s="63"/>
      <c r="I107" s="137" t="s">
        <v>294</v>
      </c>
      <c r="J107" s="107" t="s">
        <v>309</v>
      </c>
      <c r="K107" s="107" t="s">
        <v>310</v>
      </c>
      <c r="L107" s="106" t="s">
        <v>311</v>
      </c>
      <c r="M107" s="108" t="s">
        <v>312</v>
      </c>
    </row>
    <row r="108" spans="1:15">
      <c r="A108" s="385" t="s">
        <v>109</v>
      </c>
      <c r="B108" s="138" t="s">
        <v>230</v>
      </c>
      <c r="C108" s="136" t="s">
        <v>230</v>
      </c>
      <c r="D108" s="136"/>
      <c r="E108" s="320" t="s">
        <v>230</v>
      </c>
      <c r="F108" s="321" t="s">
        <v>230</v>
      </c>
      <c r="G108" s="322" t="s">
        <v>230</v>
      </c>
      <c r="H108" s="63"/>
      <c r="I108" s="319"/>
      <c r="J108" s="323"/>
      <c r="K108" s="320"/>
      <c r="L108" s="321"/>
      <c r="M108" s="322"/>
    </row>
    <row r="109" spans="1:15">
      <c r="A109" s="601" t="s">
        <v>932</v>
      </c>
      <c r="B109" s="138"/>
      <c r="C109" s="136"/>
      <c r="D109" s="136"/>
      <c r="E109" s="323"/>
      <c r="F109" s="321"/>
      <c r="G109" s="322"/>
      <c r="H109" s="63"/>
      <c r="I109" s="319"/>
      <c r="J109" s="323"/>
      <c r="K109" s="323"/>
      <c r="L109" s="321"/>
      <c r="M109" s="322"/>
    </row>
    <row r="110" spans="1:15">
      <c r="A110" s="601" t="s">
        <v>1435</v>
      </c>
      <c r="B110" s="138"/>
      <c r="C110" s="136"/>
      <c r="D110" s="136"/>
      <c r="E110" s="323"/>
      <c r="F110" s="321"/>
      <c r="G110" s="322"/>
      <c r="H110" s="63"/>
      <c r="I110" s="319"/>
      <c r="J110" s="323"/>
      <c r="K110" s="323"/>
      <c r="L110" s="321"/>
      <c r="M110" s="322"/>
    </row>
    <row r="111" spans="1:15">
      <c r="A111" s="1449" t="s">
        <v>37</v>
      </c>
      <c r="B111" s="1444"/>
      <c r="C111" s="1446"/>
      <c r="D111" s="1446"/>
      <c r="E111" s="1450"/>
      <c r="F111" s="1451"/>
      <c r="G111" s="1452"/>
      <c r="H111" s="63"/>
      <c r="I111" s="1453"/>
      <c r="J111" s="1450"/>
      <c r="K111" s="1450"/>
      <c r="L111" s="1451"/>
      <c r="M111" s="1452"/>
    </row>
    <row r="112" spans="1:15">
      <c r="A112" s="385" t="s">
        <v>179</v>
      </c>
      <c r="B112" s="220"/>
      <c r="C112" s="646"/>
      <c r="D112" s="605"/>
      <c r="E112" s="605"/>
      <c r="F112" s="605"/>
      <c r="G112" s="647"/>
      <c r="H112" s="63"/>
      <c r="I112" s="221"/>
      <c r="J112" s="227"/>
      <c r="K112" s="227"/>
      <c r="L112" s="226"/>
      <c r="M112" s="229"/>
    </row>
    <row r="113" spans="1:15">
      <c r="A113" s="601" t="s">
        <v>932</v>
      </c>
      <c r="B113" s="220">
        <v>315488409.64366806</v>
      </c>
      <c r="C113" s="223">
        <v>370102679.89999992</v>
      </c>
      <c r="D113" s="223">
        <f>RINs!F58</f>
        <v>391134673.41999996</v>
      </c>
      <c r="E113" s="227">
        <f>RINs!F93</f>
        <v>258984041</v>
      </c>
      <c r="F113" s="227">
        <f>RINs!F129</f>
        <v>252531311.78999999</v>
      </c>
      <c r="G113" s="280">
        <f>RINs!F167</f>
        <v>247811070.22</v>
      </c>
      <c r="H113" s="63"/>
      <c r="I113" s="221">
        <v>258685733.33540159</v>
      </c>
      <c r="J113" s="227"/>
      <c r="K113" s="227"/>
      <c r="L113" s="226"/>
      <c r="M113" s="229"/>
      <c r="O113" s="73" t="s">
        <v>1434</v>
      </c>
    </row>
    <row r="114" spans="1:15">
      <c r="A114" s="601" t="s">
        <v>1441</v>
      </c>
      <c r="B114" s="220"/>
      <c r="C114" s="223"/>
      <c r="D114" s="223">
        <f>RINs!O53</f>
        <v>2156198.35</v>
      </c>
      <c r="E114" s="227">
        <f>RINs!O90</f>
        <v>1590887.6800000002</v>
      </c>
      <c r="F114" s="227">
        <f>RINs!O124</f>
        <v>1635653.33</v>
      </c>
      <c r="G114" s="229">
        <f>+RINs!O163</f>
        <v>1636259.29</v>
      </c>
      <c r="H114" s="63"/>
      <c r="I114" s="221">
        <v>1439266.4596904002</v>
      </c>
      <c r="J114" s="227"/>
      <c r="K114" s="227"/>
      <c r="L114" s="226"/>
      <c r="M114" s="229"/>
    </row>
    <row r="115" spans="1:15" ht="15.6" customHeight="1">
      <c r="A115" s="601" t="s">
        <v>1435</v>
      </c>
      <c r="B115" s="1474">
        <f>-B135</f>
        <v>-103696.60404446314</v>
      </c>
      <c r="C115" s="1474">
        <f t="shared" ref="C115:F115" si="4">-C135</f>
        <v>-3232259.9957077885</v>
      </c>
      <c r="D115" s="1474">
        <f t="shared" si="4"/>
        <v>-6081174.6628908049</v>
      </c>
      <c r="E115" s="223">
        <f t="shared" si="4"/>
        <v>12279730.223696483</v>
      </c>
      <c r="F115" s="223">
        <f t="shared" si="4"/>
        <v>271142.27122909535</v>
      </c>
      <c r="G115" s="1474">
        <f>-G135</f>
        <v>-5954303.2026206935</v>
      </c>
      <c r="H115" s="63"/>
      <c r="I115" s="604"/>
      <c r="J115" s="602"/>
      <c r="K115" s="602"/>
      <c r="L115" s="602"/>
      <c r="M115" s="603"/>
    </row>
    <row r="116" spans="1:15" ht="13.8" thickBot="1">
      <c r="A116" s="1443" t="s">
        <v>37</v>
      </c>
      <c r="B116" s="81">
        <f>SUM(B113:B115)</f>
        <v>315384713.03962362</v>
      </c>
      <c r="C116" s="102">
        <f>SUM(C113:C115)</f>
        <v>366870419.90429211</v>
      </c>
      <c r="D116" s="102">
        <f t="shared" ref="D116:F116" si="5">SUM(D113:D115)</f>
        <v>387209697.10710919</v>
      </c>
      <c r="E116" s="79">
        <f t="shared" si="5"/>
        <v>272854658.90369648</v>
      </c>
      <c r="F116" s="79">
        <f t="shared" si="5"/>
        <v>254438107.39122909</v>
      </c>
      <c r="G116" s="648">
        <f>SUM(G113:G115)</f>
        <v>243493026.30737931</v>
      </c>
      <c r="H116" s="63"/>
      <c r="I116" s="81">
        <f t="shared" ref="I116:M116" si="6">SUM(I113:I115)</f>
        <v>260124999.79509199</v>
      </c>
      <c r="J116" s="79">
        <f t="shared" si="6"/>
        <v>0</v>
      </c>
      <c r="K116" s="79">
        <f t="shared" si="6"/>
        <v>0</v>
      </c>
      <c r="L116" s="79">
        <f t="shared" si="6"/>
        <v>0</v>
      </c>
      <c r="M116" s="80">
        <f t="shared" si="6"/>
        <v>0</v>
      </c>
    </row>
    <row r="117" spans="1:15" ht="13.8" thickBot="1"/>
    <row r="118" spans="1:15" customFormat="1" ht="12" customHeight="1">
      <c r="A118" s="384" t="s">
        <v>181</v>
      </c>
      <c r="B118" s="137" t="s">
        <v>153</v>
      </c>
      <c r="C118" s="106" t="s">
        <v>149</v>
      </c>
      <c r="D118" s="107" t="s">
        <v>139</v>
      </c>
      <c r="E118" s="107" t="s">
        <v>150</v>
      </c>
      <c r="F118" s="106" t="s">
        <v>151</v>
      </c>
      <c r="G118" s="108" t="s">
        <v>152</v>
      </c>
      <c r="I118" s="137" t="s">
        <v>294</v>
      </c>
      <c r="J118" s="107" t="s">
        <v>309</v>
      </c>
      <c r="K118" s="107" t="s">
        <v>310</v>
      </c>
      <c r="L118" s="106" t="s">
        <v>311</v>
      </c>
      <c r="M118" s="108" t="s">
        <v>312</v>
      </c>
    </row>
    <row r="119" spans="1:15" customFormat="1">
      <c r="A119" s="385" t="s">
        <v>109</v>
      </c>
      <c r="B119" s="138"/>
      <c r="C119" s="205"/>
      <c r="D119" s="136"/>
      <c r="E119" s="136"/>
      <c r="F119" s="136"/>
      <c r="G119" s="325"/>
      <c r="I119" s="138"/>
      <c r="J119" s="136"/>
      <c r="K119" s="312"/>
      <c r="L119" s="205"/>
      <c r="M119" s="90"/>
    </row>
    <row r="120" spans="1:15" customFormat="1">
      <c r="A120" s="420" t="s">
        <v>127</v>
      </c>
      <c r="B120" s="138" t="s">
        <v>230</v>
      </c>
      <c r="C120" s="205" t="s">
        <v>230</v>
      </c>
      <c r="D120" s="136"/>
      <c r="E120" s="136"/>
      <c r="F120" s="136"/>
      <c r="G120" s="326" t="s">
        <v>230</v>
      </c>
      <c r="I120" s="138"/>
      <c r="J120" s="136"/>
      <c r="K120" s="136"/>
      <c r="L120" s="205"/>
      <c r="M120" s="90"/>
    </row>
    <row r="121" spans="1:15" customFormat="1">
      <c r="A121" s="420" t="s">
        <v>61</v>
      </c>
      <c r="B121" s="138" t="s">
        <v>230</v>
      </c>
      <c r="C121" s="205" t="s">
        <v>230</v>
      </c>
      <c r="D121" s="136"/>
      <c r="E121" s="136"/>
      <c r="F121" s="136"/>
      <c r="G121" s="326" t="s">
        <v>230</v>
      </c>
      <c r="I121" s="138"/>
      <c r="J121" s="136"/>
      <c r="K121" s="136"/>
      <c r="L121" s="205"/>
      <c r="M121" s="90"/>
    </row>
    <row r="122" spans="1:15">
      <c r="A122" s="420" t="s">
        <v>966</v>
      </c>
      <c r="B122" s="138" t="s">
        <v>230</v>
      </c>
      <c r="C122" s="205" t="s">
        <v>230</v>
      </c>
      <c r="D122" s="136"/>
      <c r="E122" s="136"/>
      <c r="F122" s="136"/>
      <c r="G122" s="326" t="s">
        <v>230</v>
      </c>
      <c r="I122" s="138"/>
      <c r="J122" s="136"/>
      <c r="K122" s="136"/>
      <c r="L122" s="205"/>
      <c r="M122" s="90"/>
    </row>
    <row r="123" spans="1:15" ht="16.2" customHeight="1">
      <c r="A123" s="420" t="s">
        <v>225</v>
      </c>
      <c r="B123" s="205" t="s">
        <v>230</v>
      </c>
      <c r="C123" s="205" t="s">
        <v>230</v>
      </c>
      <c r="D123" s="136"/>
      <c r="E123" s="136"/>
      <c r="F123" s="136"/>
      <c r="G123" s="326" t="s">
        <v>230</v>
      </c>
      <c r="I123" s="138"/>
      <c r="J123" s="136"/>
      <c r="K123" s="136"/>
      <c r="L123" s="205"/>
      <c r="M123" s="90"/>
    </row>
    <row r="124" spans="1:15">
      <c r="A124" s="422"/>
      <c r="B124" s="244">
        <f t="shared" ref="B124:G124" si="7">SUM(B120:B122)</f>
        <v>0</v>
      </c>
      <c r="C124" s="245">
        <f t="shared" si="7"/>
        <v>0</v>
      </c>
      <c r="D124" s="245">
        <f t="shared" si="7"/>
        <v>0</v>
      </c>
      <c r="E124" s="245">
        <f t="shared" si="7"/>
        <v>0</v>
      </c>
      <c r="F124" s="245">
        <f t="shared" si="7"/>
        <v>0</v>
      </c>
      <c r="G124" s="246">
        <f t="shared" si="7"/>
        <v>0</v>
      </c>
      <c r="I124" s="244">
        <f>SUM(I120:I123)</f>
        <v>0</v>
      </c>
      <c r="J124" s="245">
        <f>SUM(J120:J123)</f>
        <v>0</v>
      </c>
      <c r="K124" s="245">
        <f>SUM(K120:K123)</f>
        <v>0</v>
      </c>
      <c r="L124" s="245">
        <f>SUM(L120:L123)</f>
        <v>0</v>
      </c>
      <c r="M124" s="246">
        <f>SUM(M120:M123)</f>
        <v>0</v>
      </c>
      <c r="O124" s="63"/>
    </row>
    <row r="125" spans="1:15">
      <c r="A125" s="420"/>
      <c r="B125" s="236"/>
      <c r="C125" s="237"/>
      <c r="D125" s="238"/>
      <c r="E125" s="238"/>
      <c r="F125" s="237"/>
      <c r="G125" s="281"/>
      <c r="I125" s="236"/>
      <c r="J125" s="238"/>
      <c r="K125" s="238"/>
      <c r="L125" s="237"/>
      <c r="M125" s="239"/>
      <c r="O125" s="1676"/>
    </row>
    <row r="126" spans="1:15">
      <c r="A126" s="385" t="s">
        <v>179</v>
      </c>
      <c r="B126" s="300"/>
      <c r="C126" s="300"/>
      <c r="D126" s="300"/>
      <c r="E126" s="300"/>
      <c r="F126" s="300"/>
      <c r="G126" s="645"/>
      <c r="I126" s="298"/>
      <c r="J126" s="299"/>
      <c r="K126" s="299"/>
      <c r="L126" s="300"/>
      <c r="M126" s="301"/>
      <c r="O126" s="63"/>
    </row>
    <row r="127" spans="1:15">
      <c r="A127" s="420" t="s">
        <v>127</v>
      </c>
      <c r="B127" s="220">
        <v>313578804.71963888</v>
      </c>
      <c r="C127" s="223">
        <v>349856187.58276302</v>
      </c>
      <c r="D127" s="223">
        <v>380706992.02275473</v>
      </c>
      <c r="E127" s="223">
        <v>270260719.94594711</v>
      </c>
      <c r="F127" s="223">
        <v>248814490.69743112</v>
      </c>
      <c r="G127" s="1707">
        <f>RINs!$F$173</f>
        <v>244848286.41</v>
      </c>
      <c r="I127" s="220">
        <f>'TAM 20-21 TUOS unders_overs'!E37</f>
        <v>253129669.28280124</v>
      </c>
      <c r="J127" s="223">
        <v>262450965.55665201</v>
      </c>
      <c r="K127" s="223"/>
      <c r="L127" s="222"/>
      <c r="M127" s="224"/>
      <c r="O127" s="651"/>
    </row>
    <row r="128" spans="1:15">
      <c r="A128" s="420" t="s">
        <v>61</v>
      </c>
      <c r="B128" s="220">
        <v>2626417.2089306582</v>
      </c>
      <c r="C128" s="223">
        <v>2499036.7612562841</v>
      </c>
      <c r="D128" s="223">
        <v>2359779.5092739826</v>
      </c>
      <c r="E128" s="223">
        <v>1961518.0654425151</v>
      </c>
      <c r="F128" s="223">
        <v>2207072.0160682569</v>
      </c>
      <c r="G128" s="1707">
        <f>RINs!$F$174</f>
        <v>2532451</v>
      </c>
      <c r="I128" s="220">
        <f>'TAM 20-21 TUOS unders_overs'!E38</f>
        <v>2239469.13260188</v>
      </c>
      <c r="J128" s="223">
        <v>2634104</v>
      </c>
      <c r="K128" s="223"/>
      <c r="L128" s="222"/>
      <c r="M128" s="224"/>
      <c r="O128"/>
    </row>
    <row r="129" spans="1:15">
      <c r="A129" s="420" t="s">
        <v>966</v>
      </c>
      <c r="B129" s="220">
        <v>3526617.0589945703</v>
      </c>
      <c r="C129" s="223">
        <v>5049938.9787125336</v>
      </c>
      <c r="D129" s="223">
        <v>3276262.6133380001</v>
      </c>
      <c r="E129" s="223">
        <v>4008381.3105165842</v>
      </c>
      <c r="F129" s="223">
        <v>5486321.9693282023</v>
      </c>
      <c r="G129" s="1707">
        <f>RINs!$F$175</f>
        <v>3575515.57</v>
      </c>
      <c r="I129" s="220">
        <f>'TAM 20-21 TUOS unders_overs'!E39</f>
        <v>3179952.44</v>
      </c>
      <c r="J129" s="223">
        <v>3125021.9176883427</v>
      </c>
      <c r="K129" s="223"/>
      <c r="L129" s="222"/>
      <c r="M129" s="224"/>
      <c r="O129"/>
    </row>
    <row r="130" spans="1:15">
      <c r="A130" s="420" t="s">
        <v>950</v>
      </c>
      <c r="B130" s="220">
        <f>B135</f>
        <v>103696.60404446314</v>
      </c>
      <c r="C130" s="223">
        <f t="shared" ref="C130:E130" si="8">C135</f>
        <v>3232259.9957077885</v>
      </c>
      <c r="D130" s="223">
        <f t="shared" si="8"/>
        <v>6081174.6628908049</v>
      </c>
      <c r="E130" s="1474">
        <f t="shared" si="8"/>
        <v>-12279730.223696483</v>
      </c>
      <c r="F130" s="1474">
        <f>F135</f>
        <v>-271142.27122909535</v>
      </c>
      <c r="G130" s="223">
        <f>G135</f>
        <v>5954303.2026206935</v>
      </c>
      <c r="I130" s="220">
        <f>I135</f>
        <v>829138.67007482052</v>
      </c>
      <c r="J130" s="223">
        <v>4899488.836920551</v>
      </c>
      <c r="K130" s="223"/>
      <c r="L130" s="223"/>
      <c r="M130" s="224"/>
    </row>
    <row r="131" spans="1:15" ht="13.8" thickBot="1">
      <c r="A131" s="421"/>
      <c r="B131" s="81">
        <f t="shared" ref="B131:G131" si="9">SUM(B126:B130)</f>
        <v>319835535.59160858</v>
      </c>
      <c r="C131" s="79">
        <f t="shared" si="9"/>
        <v>360637423.31843966</v>
      </c>
      <c r="D131" s="102">
        <f t="shared" si="9"/>
        <v>392424208.80825752</v>
      </c>
      <c r="E131" s="102">
        <f t="shared" si="9"/>
        <v>263950889.09820974</v>
      </c>
      <c r="F131" s="79">
        <f>SUM(F126:F130)</f>
        <v>256236742.41159847</v>
      </c>
      <c r="G131" s="80">
        <f t="shared" si="9"/>
        <v>256910556.18262067</v>
      </c>
      <c r="I131" s="81">
        <f>SUM(I126:I130)</f>
        <v>259378229.52547795</v>
      </c>
      <c r="J131" s="102">
        <f t="shared" ref="J131:M131" si="10">SUM(J126:J130)</f>
        <v>273109580.31126088</v>
      </c>
      <c r="K131" s="102">
        <f t="shared" si="10"/>
        <v>0</v>
      </c>
      <c r="L131" s="79">
        <f t="shared" si="10"/>
        <v>0</v>
      </c>
      <c r="M131" s="80">
        <f t="shared" si="10"/>
        <v>0</v>
      </c>
    </row>
    <row r="132" spans="1:15" ht="13.8" thickBot="1"/>
    <row r="133" spans="1:15">
      <c r="A133" s="384" t="s">
        <v>182</v>
      </c>
      <c r="B133" s="137" t="s">
        <v>153</v>
      </c>
      <c r="C133" s="106" t="s">
        <v>149</v>
      </c>
      <c r="D133" s="107" t="s">
        <v>139</v>
      </c>
      <c r="E133" s="107" t="s">
        <v>150</v>
      </c>
      <c r="F133" s="106" t="s">
        <v>151</v>
      </c>
      <c r="G133" s="108" t="s">
        <v>152</v>
      </c>
      <c r="I133" s="137" t="s">
        <v>294</v>
      </c>
      <c r="J133" s="107" t="s">
        <v>309</v>
      </c>
      <c r="K133" s="107" t="s">
        <v>310</v>
      </c>
      <c r="L133" s="106" t="s">
        <v>311</v>
      </c>
      <c r="M133" s="108" t="s">
        <v>312</v>
      </c>
    </row>
    <row r="134" spans="1:15">
      <c r="A134" s="242" t="s">
        <v>109</v>
      </c>
      <c r="B134" s="319"/>
      <c r="C134" s="321"/>
      <c r="D134" s="323"/>
      <c r="E134" s="320" t="s">
        <v>230</v>
      </c>
      <c r="F134" s="321" t="s">
        <v>230</v>
      </c>
      <c r="G134" s="322" t="s">
        <v>230</v>
      </c>
      <c r="I134" s="319"/>
      <c r="J134" s="323"/>
      <c r="K134" s="320"/>
      <c r="L134" s="321"/>
      <c r="M134" s="322"/>
    </row>
    <row r="135" spans="1:15" ht="13.8" thickBot="1">
      <c r="A135" s="386" t="s">
        <v>179</v>
      </c>
      <c r="B135" s="415">
        <v>103696.60404446314</v>
      </c>
      <c r="C135" s="417">
        <v>3232259.9957077885</v>
      </c>
      <c r="D135" s="416">
        <f>((B104-B116)*(1+B51)*(1+C51))-2102877.48</f>
        <v>6081174.6628908049</v>
      </c>
      <c r="E135" s="403">
        <f>(C104-C116)*(1+C51)*(1+D51)</f>
        <v>-12279730.223696483</v>
      </c>
      <c r="F135" s="416">
        <f>(D104-D116)*(1+D51)*(1+E51)</f>
        <v>-271142.27122909535</v>
      </c>
      <c r="G135" s="393">
        <f>(E104-E116)*(1+E51)*(1+F51)</f>
        <v>5954303.2026206935</v>
      </c>
      <c r="I135" s="415">
        <f>'TAM 20-21 TUOS unders_overs'!C18</f>
        <v>829138.67007482052</v>
      </c>
      <c r="J135" s="416"/>
      <c r="K135" s="416"/>
      <c r="L135" s="417"/>
      <c r="M135" s="418"/>
    </row>
    <row r="137" spans="1:15" ht="13.8">
      <c r="A137" s="1442" t="s">
        <v>1440</v>
      </c>
    </row>
    <row r="138" spans="1:15" ht="13.8">
      <c r="A138" s="218"/>
    </row>
    <row r="139" spans="1:15" ht="11.4" customHeight="1" thickBot="1">
      <c r="B139" s="266" t="s">
        <v>964</v>
      </c>
      <c r="C139" s="266" t="s">
        <v>964</v>
      </c>
      <c r="D139" s="266" t="s">
        <v>964</v>
      </c>
      <c r="E139" s="266" t="s">
        <v>964</v>
      </c>
      <c r="F139" s="266" t="s">
        <v>964</v>
      </c>
      <c r="G139" s="266" t="s">
        <v>965</v>
      </c>
    </row>
    <row r="140" spans="1:15">
      <c r="A140" s="384" t="s">
        <v>969</v>
      </c>
      <c r="B140" s="137" t="s">
        <v>153</v>
      </c>
      <c r="C140" s="106" t="s">
        <v>149</v>
      </c>
      <c r="D140" s="107" t="s">
        <v>139</v>
      </c>
      <c r="E140" s="107" t="s">
        <v>150</v>
      </c>
      <c r="F140" s="106" t="s">
        <v>151</v>
      </c>
      <c r="G140" s="108" t="s">
        <v>152</v>
      </c>
      <c r="I140" s="137" t="s">
        <v>294</v>
      </c>
      <c r="J140" s="107" t="s">
        <v>309</v>
      </c>
      <c r="K140" s="107" t="s">
        <v>310</v>
      </c>
      <c r="L140" s="106" t="s">
        <v>311</v>
      </c>
      <c r="M140" s="108" t="s">
        <v>312</v>
      </c>
    </row>
    <row r="141" spans="1:15">
      <c r="A141" s="385" t="s">
        <v>109</v>
      </c>
      <c r="B141" s="319"/>
      <c r="C141" s="321"/>
      <c r="D141" s="323"/>
      <c r="E141" s="320"/>
      <c r="F141" s="321"/>
      <c r="G141" s="322"/>
      <c r="I141" s="319"/>
      <c r="J141" s="323"/>
      <c r="K141" s="320"/>
      <c r="L141" s="321"/>
      <c r="M141" s="322"/>
    </row>
    <row r="142" spans="1:15">
      <c r="A142" s="420" t="s">
        <v>224</v>
      </c>
      <c r="B142" s="319" t="s">
        <v>230</v>
      </c>
      <c r="C142" s="321" t="s">
        <v>230</v>
      </c>
      <c r="D142" s="323"/>
      <c r="E142" s="323" t="s">
        <v>230</v>
      </c>
      <c r="F142" s="321" t="s">
        <v>230</v>
      </c>
      <c r="G142" s="322" t="s">
        <v>230</v>
      </c>
      <c r="I142" s="319"/>
      <c r="J142" s="323"/>
      <c r="K142" s="323"/>
      <c r="L142" s="321"/>
      <c r="M142" s="322"/>
    </row>
    <row r="143" spans="1:15">
      <c r="A143" s="420" t="s">
        <v>119</v>
      </c>
      <c r="B143" s="319" t="s">
        <v>230</v>
      </c>
      <c r="C143" s="321" t="s">
        <v>230</v>
      </c>
      <c r="D143" s="323"/>
      <c r="E143" s="323" t="s">
        <v>230</v>
      </c>
      <c r="F143" s="321" t="s">
        <v>230</v>
      </c>
      <c r="G143" s="322" t="s">
        <v>230</v>
      </c>
      <c r="I143" s="319"/>
      <c r="J143" s="323"/>
      <c r="K143" s="323"/>
      <c r="L143" s="321"/>
      <c r="M143" s="322"/>
    </row>
    <row r="144" spans="1:15" ht="10.199999999999999" customHeight="1">
      <c r="A144" s="420"/>
      <c r="B144" s="267"/>
      <c r="C144" s="268"/>
      <c r="D144" s="269"/>
      <c r="E144" s="269"/>
      <c r="F144" s="268"/>
      <c r="G144" s="270"/>
      <c r="I144" s="267"/>
      <c r="J144" s="269"/>
      <c r="K144" s="269"/>
      <c r="L144" s="268"/>
      <c r="M144" s="270"/>
    </row>
    <row r="145" spans="1:13">
      <c r="A145" s="424"/>
      <c r="B145" s="244">
        <f>SUM(B142:B143)</f>
        <v>0</v>
      </c>
      <c r="C145" s="245">
        <f t="shared" ref="C145:G145" si="11">SUM(C142:C143)</f>
        <v>0</v>
      </c>
      <c r="D145" s="245">
        <f t="shared" si="11"/>
        <v>0</v>
      </c>
      <c r="E145" s="245">
        <f t="shared" si="11"/>
        <v>0</v>
      </c>
      <c r="F145" s="245">
        <f t="shared" si="11"/>
        <v>0</v>
      </c>
      <c r="G145" s="246">
        <f t="shared" si="11"/>
        <v>0</v>
      </c>
      <c r="I145" s="244">
        <f t="shared" ref="I145:M145" si="12">SUM(I142:I143)</f>
        <v>0</v>
      </c>
      <c r="J145" s="245">
        <f t="shared" si="12"/>
        <v>0</v>
      </c>
      <c r="K145" s="245">
        <f t="shared" si="12"/>
        <v>0</v>
      </c>
      <c r="L145" s="245">
        <f t="shared" si="12"/>
        <v>0</v>
      </c>
      <c r="M145" s="246">
        <f t="shared" si="12"/>
        <v>0</v>
      </c>
    </row>
    <row r="146" spans="1:13">
      <c r="A146" s="385" t="s">
        <v>179</v>
      </c>
      <c r="B146" s="267"/>
      <c r="C146" s="268"/>
      <c r="D146" s="269"/>
      <c r="E146" s="269"/>
      <c r="F146" s="268"/>
      <c r="G146" s="270"/>
      <c r="I146" s="267"/>
      <c r="J146" s="269"/>
      <c r="K146" s="269"/>
      <c r="L146" s="268"/>
      <c r="M146" s="270"/>
    </row>
    <row r="147" spans="1:13">
      <c r="A147" s="420" t="s">
        <v>224</v>
      </c>
      <c r="B147" s="319"/>
      <c r="C147" s="226">
        <v>109044843</v>
      </c>
      <c r="D147" s="227">
        <v>100153303.98000017</v>
      </c>
      <c r="E147" s="227">
        <v>99770385.099999994</v>
      </c>
      <c r="F147" s="433">
        <f>RINs!F141-F148</f>
        <v>94815139.979999989</v>
      </c>
      <c r="G147" s="229">
        <f>RINs!F179-G148</f>
        <v>91324686.599999994</v>
      </c>
      <c r="I147" s="221"/>
      <c r="J147" s="227"/>
      <c r="K147" s="227"/>
      <c r="L147" s="226"/>
      <c r="M147" s="229"/>
    </row>
    <row r="148" spans="1:13">
      <c r="A148" s="420" t="s">
        <v>119</v>
      </c>
      <c r="B148" s="319"/>
      <c r="C148" s="226">
        <v>77041</v>
      </c>
      <c r="D148" s="227">
        <v>83936</v>
      </c>
      <c r="E148" s="227">
        <v>91720</v>
      </c>
      <c r="F148" s="433">
        <v>107038.15</v>
      </c>
      <c r="G148" s="229">
        <v>107000</v>
      </c>
      <c r="I148" s="221"/>
      <c r="J148" s="227"/>
      <c r="K148" s="227"/>
      <c r="L148" s="226"/>
      <c r="M148" s="229"/>
    </row>
    <row r="149" spans="1:13" ht="13.8" thickBot="1">
      <c r="A149" s="421"/>
      <c r="B149" s="81">
        <f t="shared" ref="B149:E149" si="13">SUM(B147:B148)</f>
        <v>0</v>
      </c>
      <c r="C149" s="79">
        <f t="shared" si="13"/>
        <v>109121884</v>
      </c>
      <c r="D149" s="291">
        <f t="shared" si="13"/>
        <v>100237239.98000017</v>
      </c>
      <c r="E149" s="79">
        <f t="shared" si="13"/>
        <v>99862105.099999994</v>
      </c>
      <c r="F149" s="79">
        <f t="shared" ref="F149" si="14">SUM(F147:F148)</f>
        <v>94922178.129999995</v>
      </c>
      <c r="G149" s="80">
        <f t="shared" ref="G149" si="15">SUM(G147:G148)</f>
        <v>91431686.599999994</v>
      </c>
      <c r="I149" s="81">
        <f>SUM(I147:I148)</f>
        <v>0</v>
      </c>
      <c r="J149" s="81">
        <f>SUM(J147:J148)</f>
        <v>0</v>
      </c>
      <c r="K149" s="102">
        <f>SUM(K147:K148)</f>
        <v>0</v>
      </c>
      <c r="L149" s="79">
        <f>SUM(L147:L148)</f>
        <v>0</v>
      </c>
      <c r="M149" s="80">
        <f>SUM(M147:M148)</f>
        <v>0</v>
      </c>
    </row>
    <row r="150" spans="1:13" ht="13.8" thickBot="1">
      <c r="B150" s="73" t="s">
        <v>964</v>
      </c>
      <c r="C150" s="73" t="s">
        <v>964</v>
      </c>
      <c r="D150" s="73" t="s">
        <v>964</v>
      </c>
      <c r="E150" s="73" t="s">
        <v>964</v>
      </c>
      <c r="F150" s="73" t="s">
        <v>964</v>
      </c>
      <c r="G150" s="73" t="s">
        <v>964</v>
      </c>
      <c r="I150" s="73" t="s">
        <v>965</v>
      </c>
    </row>
    <row r="151" spans="1:13">
      <c r="A151" s="384" t="s">
        <v>968</v>
      </c>
      <c r="B151" s="137" t="s">
        <v>153</v>
      </c>
      <c r="C151" s="106" t="s">
        <v>149</v>
      </c>
      <c r="D151" s="107" t="s">
        <v>139</v>
      </c>
      <c r="E151" s="107" t="s">
        <v>150</v>
      </c>
      <c r="F151" s="106" t="s">
        <v>151</v>
      </c>
      <c r="G151" s="108" t="s">
        <v>152</v>
      </c>
      <c r="H151" s="63"/>
      <c r="I151" s="137" t="s">
        <v>294</v>
      </c>
      <c r="J151" s="107" t="s">
        <v>309</v>
      </c>
      <c r="K151" s="107" t="s">
        <v>310</v>
      </c>
      <c r="L151" s="106" t="s">
        <v>311</v>
      </c>
      <c r="M151" s="108" t="s">
        <v>312</v>
      </c>
    </row>
    <row r="152" spans="1:13">
      <c r="A152" s="242" t="s">
        <v>109</v>
      </c>
      <c r="B152" s="434" t="s">
        <v>230</v>
      </c>
      <c r="C152" s="436" t="s">
        <v>230</v>
      </c>
      <c r="D152" s="436" t="s">
        <v>230</v>
      </c>
      <c r="E152" s="320" t="s">
        <v>230</v>
      </c>
      <c r="F152" s="321" t="s">
        <v>230</v>
      </c>
      <c r="G152" s="322" t="s">
        <v>230</v>
      </c>
      <c r="H152" s="63"/>
      <c r="I152" s="652"/>
      <c r="J152" s="320"/>
      <c r="K152" s="320"/>
      <c r="L152" s="321"/>
      <c r="M152" s="322"/>
    </row>
    <row r="153" spans="1:13">
      <c r="A153" s="242" t="s">
        <v>179</v>
      </c>
      <c r="B153" s="434"/>
      <c r="C153" s="435"/>
      <c r="D153" s="435"/>
      <c r="E153" s="435"/>
      <c r="F153" s="435"/>
      <c r="G153" s="280"/>
      <c r="H153" s="63"/>
      <c r="I153" s="221"/>
      <c r="J153" s="227"/>
      <c r="K153" s="227"/>
      <c r="L153" s="227"/>
      <c r="M153" s="229"/>
    </row>
    <row r="154" spans="1:13">
      <c r="A154" s="420" t="s">
        <v>224</v>
      </c>
      <c r="B154" s="432"/>
      <c r="C154" s="435"/>
      <c r="D154" s="435"/>
      <c r="E154" s="435"/>
      <c r="F154" s="435"/>
      <c r="G154" s="435"/>
      <c r="H154" s="63"/>
      <c r="I154" s="221"/>
      <c r="J154" s="227"/>
      <c r="K154" s="227"/>
      <c r="L154" s="227"/>
      <c r="M154" s="229"/>
    </row>
    <row r="155" spans="1:13">
      <c r="A155" s="420" t="s">
        <v>119</v>
      </c>
      <c r="B155" s="432"/>
      <c r="C155" s="435"/>
      <c r="D155" s="435"/>
      <c r="E155" s="435"/>
      <c r="F155" s="435"/>
      <c r="G155" s="435"/>
      <c r="H155" s="63"/>
      <c r="I155" s="221"/>
      <c r="J155" s="227"/>
      <c r="K155" s="227"/>
      <c r="L155" s="227"/>
      <c r="M155" s="229"/>
    </row>
    <row r="156" spans="1:13" ht="13.8" thickBot="1">
      <c r="A156" s="643" t="s">
        <v>37</v>
      </c>
      <c r="B156" s="644"/>
      <c r="C156" s="653">
        <v>114136302.98545454</v>
      </c>
      <c r="D156" s="653">
        <v>106860917.76000001</v>
      </c>
      <c r="E156" s="653">
        <v>93551260.109999985</v>
      </c>
      <c r="F156" s="654">
        <f>SUM(F154:F155)</f>
        <v>0</v>
      </c>
      <c r="G156" s="655">
        <f>SUM(G154:G155)</f>
        <v>0</v>
      </c>
      <c r="H156" s="656"/>
      <c r="I156" s="657">
        <v>92626000</v>
      </c>
      <c r="J156" s="658">
        <f t="shared" ref="J156:M156" si="16">SUM(J154:J155)</f>
        <v>0</v>
      </c>
      <c r="K156" s="658">
        <f t="shared" si="16"/>
        <v>0</v>
      </c>
      <c r="L156" s="658">
        <f t="shared" si="16"/>
        <v>0</v>
      </c>
      <c r="M156" s="655">
        <f t="shared" si="16"/>
        <v>0</v>
      </c>
    </row>
    <row r="157" spans="1:13" ht="13.8" thickBot="1"/>
    <row r="158" spans="1:13">
      <c r="A158" s="384" t="s">
        <v>227</v>
      </c>
      <c r="B158" s="137" t="s">
        <v>153</v>
      </c>
      <c r="C158" s="106" t="s">
        <v>149</v>
      </c>
      <c r="D158" s="107" t="s">
        <v>139</v>
      </c>
      <c r="E158" s="107" t="s">
        <v>150</v>
      </c>
      <c r="F158" s="106" t="s">
        <v>151</v>
      </c>
      <c r="G158" s="108" t="s">
        <v>152</v>
      </c>
      <c r="H158" s="63"/>
      <c r="I158" s="137" t="s">
        <v>294</v>
      </c>
      <c r="J158" s="107" t="s">
        <v>309</v>
      </c>
      <c r="K158" s="107" t="s">
        <v>310</v>
      </c>
      <c r="L158" s="106" t="s">
        <v>311</v>
      </c>
      <c r="M158" s="108" t="s">
        <v>312</v>
      </c>
    </row>
    <row r="159" spans="1:13">
      <c r="A159" s="385" t="s">
        <v>109</v>
      </c>
      <c r="B159" s="138"/>
      <c r="C159" s="205"/>
      <c r="D159" s="136"/>
      <c r="E159" s="312"/>
      <c r="F159" s="205"/>
      <c r="G159" s="90"/>
      <c r="H159" s="63"/>
      <c r="I159" s="138"/>
      <c r="J159" s="136"/>
      <c r="K159" s="312"/>
      <c r="L159" s="205"/>
      <c r="M159" s="90"/>
    </row>
    <row r="160" spans="1:13">
      <c r="A160" s="420" t="s">
        <v>223</v>
      </c>
      <c r="B160" s="138" t="s">
        <v>230</v>
      </c>
      <c r="C160" s="205" t="s">
        <v>230</v>
      </c>
      <c r="D160" s="136" t="s">
        <v>230</v>
      </c>
      <c r="E160" s="136" t="s">
        <v>230</v>
      </c>
      <c r="F160" s="205"/>
      <c r="G160" s="90" t="s">
        <v>230</v>
      </c>
      <c r="H160" s="63"/>
      <c r="I160" s="138"/>
      <c r="J160" s="136"/>
      <c r="K160" s="136"/>
      <c r="L160" s="205"/>
      <c r="M160" s="90"/>
    </row>
    <row r="161" spans="1:13">
      <c r="A161" s="420" t="s">
        <v>119</v>
      </c>
      <c r="B161" s="138" t="s">
        <v>230</v>
      </c>
      <c r="C161" s="205" t="s">
        <v>230</v>
      </c>
      <c r="D161" s="136" t="s">
        <v>230</v>
      </c>
      <c r="E161" s="136" t="s">
        <v>230</v>
      </c>
      <c r="F161" s="324"/>
      <c r="G161" s="90" t="s">
        <v>230</v>
      </c>
      <c r="H161" s="63"/>
      <c r="I161" s="138"/>
      <c r="J161" s="136"/>
      <c r="K161" s="136"/>
      <c r="L161" s="324"/>
      <c r="M161" s="90"/>
    </row>
    <row r="162" spans="1:13">
      <c r="A162" s="420"/>
      <c r="B162" s="240"/>
      <c r="C162" s="240"/>
      <c r="D162" s="241"/>
      <c r="E162" s="241"/>
      <c r="F162" s="240"/>
      <c r="G162" s="243"/>
      <c r="H162" s="63"/>
      <c r="I162" s="297"/>
      <c r="J162" s="241"/>
      <c r="K162" s="241"/>
      <c r="L162" s="240"/>
      <c r="M162" s="243"/>
    </row>
    <row r="163" spans="1:13">
      <c r="A163" s="422"/>
      <c r="B163" s="244">
        <f t="shared" ref="B163:G163" si="17">SUM(B160:B161)</f>
        <v>0</v>
      </c>
      <c r="C163" s="245">
        <f t="shared" si="17"/>
        <v>0</v>
      </c>
      <c r="D163" s="245">
        <f t="shared" si="17"/>
        <v>0</v>
      </c>
      <c r="E163" s="245">
        <f t="shared" si="17"/>
        <v>0</v>
      </c>
      <c r="F163" s="245">
        <f t="shared" si="17"/>
        <v>0</v>
      </c>
      <c r="G163" s="246">
        <f t="shared" si="17"/>
        <v>0</v>
      </c>
      <c r="H163" s="63"/>
      <c r="I163" s="244">
        <f>SUM(I160:I161)</f>
        <v>0</v>
      </c>
      <c r="J163" s="245">
        <f t="shared" ref="J163:M163" si="18">SUM(J160:J161)</f>
        <v>0</v>
      </c>
      <c r="K163" s="245">
        <f t="shared" si="18"/>
        <v>0</v>
      </c>
      <c r="L163" s="245">
        <f t="shared" si="18"/>
        <v>0</v>
      </c>
      <c r="M163" s="246">
        <f t="shared" si="18"/>
        <v>0</v>
      </c>
    </row>
    <row r="164" spans="1:13">
      <c r="A164" s="385" t="s">
        <v>179</v>
      </c>
      <c r="B164" s="138"/>
      <c r="C164" s="282"/>
      <c r="D164" s="283"/>
      <c r="E164" s="283"/>
      <c r="F164" s="282"/>
      <c r="G164" s="224"/>
      <c r="H164" s="63"/>
      <c r="I164" s="220"/>
      <c r="J164" s="223"/>
      <c r="K164" s="223"/>
      <c r="L164" s="222"/>
      <c r="M164" s="224"/>
    </row>
    <row r="165" spans="1:13">
      <c r="A165" s="420" t="s">
        <v>223</v>
      </c>
      <c r="B165" s="138"/>
      <c r="C165" s="222">
        <v>114244904</v>
      </c>
      <c r="D165" s="223">
        <v>107639528</v>
      </c>
      <c r="E165" s="223">
        <v>99770385.099999994</v>
      </c>
      <c r="F165" s="222"/>
      <c r="G165" s="224">
        <v>91316836.030000001</v>
      </c>
      <c r="H165" s="63"/>
      <c r="I165" s="221">
        <f>'TAM 2020-21 JS unders_overs'!E37</f>
        <v>90384082</v>
      </c>
      <c r="J165" s="223">
        <v>84131244</v>
      </c>
      <c r="K165" s="223"/>
      <c r="L165" s="222"/>
      <c r="M165" s="224"/>
    </row>
    <row r="166" spans="1:13">
      <c r="A166" s="420" t="s">
        <v>119</v>
      </c>
      <c r="B166" s="138"/>
      <c r="C166" s="222" t="s">
        <v>230</v>
      </c>
      <c r="D166" s="223">
        <v>160977</v>
      </c>
      <c r="E166" s="223">
        <v>91720</v>
      </c>
      <c r="F166" s="222"/>
      <c r="G166" s="224">
        <v>114850.57</v>
      </c>
      <c r="H166" s="63"/>
      <c r="I166" s="221">
        <f>'TAM 2020-21 JS unders_overs'!E38</f>
        <v>117279</v>
      </c>
      <c r="J166" s="223">
        <f>I166</f>
        <v>117279</v>
      </c>
      <c r="K166" s="223"/>
      <c r="L166" s="222"/>
      <c r="M166" s="224"/>
    </row>
    <row r="167" spans="1:13">
      <c r="A167" s="420"/>
      <c r="B167" s="214"/>
      <c r="C167" s="225"/>
      <c r="D167" s="215"/>
      <c r="E167" s="215"/>
      <c r="F167" s="225"/>
      <c r="G167" s="213"/>
      <c r="H167" s="63"/>
      <c r="I167" s="214"/>
      <c r="J167" s="215"/>
      <c r="K167" s="215"/>
      <c r="L167" s="225"/>
      <c r="M167" s="213"/>
    </row>
    <row r="168" spans="1:13" s="63" customFormat="1" ht="13.8" thickBot="1">
      <c r="A168" s="387" t="str">
        <f>B$6</f>
        <v>2021-22</v>
      </c>
      <c r="B168" s="81">
        <f t="shared" ref="B168:G168" si="19">SUM(B164:B166)</f>
        <v>0</v>
      </c>
      <c r="C168" s="79">
        <f t="shared" si="19"/>
        <v>114244904</v>
      </c>
      <c r="D168" s="102">
        <f t="shared" si="19"/>
        <v>107800505</v>
      </c>
      <c r="E168" s="102">
        <f t="shared" si="19"/>
        <v>99862105.099999994</v>
      </c>
      <c r="F168" s="79">
        <f t="shared" si="19"/>
        <v>0</v>
      </c>
      <c r="G168" s="80">
        <f t="shared" si="19"/>
        <v>91431686.599999994</v>
      </c>
      <c r="I168" s="81">
        <f>SUM(I164:I166)</f>
        <v>90501361</v>
      </c>
      <c r="J168" s="102">
        <f t="shared" ref="J168:M168" si="20">SUM(J164:J166)</f>
        <v>84248523</v>
      </c>
      <c r="K168" s="102">
        <f t="shared" si="20"/>
        <v>0</v>
      </c>
      <c r="L168" s="79">
        <f t="shared" si="20"/>
        <v>0</v>
      </c>
      <c r="M168" s="80">
        <f t="shared" si="20"/>
        <v>0</v>
      </c>
    </row>
    <row r="169" spans="1:13" ht="13.8" thickBot="1"/>
    <row r="170" spans="1:13">
      <c r="A170" s="384" t="s">
        <v>228</v>
      </c>
      <c r="B170" s="137" t="s">
        <v>153</v>
      </c>
      <c r="C170" s="106" t="s">
        <v>149</v>
      </c>
      <c r="D170" s="107" t="s">
        <v>139</v>
      </c>
      <c r="E170" s="107" t="s">
        <v>150</v>
      </c>
      <c r="F170" s="106" t="s">
        <v>151</v>
      </c>
      <c r="G170" s="108" t="s">
        <v>152</v>
      </c>
      <c r="I170" s="137" t="s">
        <v>294</v>
      </c>
      <c r="J170" s="107" t="s">
        <v>309</v>
      </c>
      <c r="K170" s="107" t="s">
        <v>310</v>
      </c>
      <c r="L170" s="106" t="s">
        <v>311</v>
      </c>
      <c r="M170" s="108" t="s">
        <v>312</v>
      </c>
    </row>
    <row r="171" spans="1:13">
      <c r="A171" s="242" t="s">
        <v>109</v>
      </c>
      <c r="B171" s="138"/>
      <c r="C171" s="205"/>
      <c r="D171" s="205"/>
      <c r="E171" s="205"/>
      <c r="F171" s="205"/>
      <c r="G171" s="90"/>
      <c r="I171" s="221"/>
      <c r="J171" s="227"/>
      <c r="K171" s="228"/>
      <c r="L171" s="226"/>
      <c r="M171" s="229"/>
    </row>
    <row r="172" spans="1:13" ht="13.8" thickBot="1">
      <c r="A172" s="386" t="s">
        <v>179</v>
      </c>
      <c r="B172" s="415"/>
      <c r="C172" s="417">
        <v>0</v>
      </c>
      <c r="D172" s="416">
        <v>0</v>
      </c>
      <c r="E172" s="403">
        <v>-5636800.7526363796</v>
      </c>
      <c r="F172" s="416">
        <v>0</v>
      </c>
      <c r="G172" s="423">
        <v>-9755.7099999934435</v>
      </c>
      <c r="I172" s="415">
        <v>0</v>
      </c>
      <c r="J172" s="416"/>
      <c r="K172" s="416"/>
      <c r="L172" s="417"/>
      <c r="M172" s="418"/>
    </row>
    <row r="174" spans="1:13" ht="13.8">
      <c r="A174" s="1440" t="s">
        <v>1681</v>
      </c>
    </row>
    <row r="175" spans="1:13" ht="13.8" thickBot="1"/>
    <row r="176" spans="1:13">
      <c r="A176" s="1454" t="s">
        <v>1682</v>
      </c>
      <c r="B176" s="109"/>
      <c r="C176" s="106" t="s">
        <v>149</v>
      </c>
      <c r="D176" s="107" t="s">
        <v>139</v>
      </c>
      <c r="E176" s="107" t="s">
        <v>150</v>
      </c>
      <c r="F176" s="106" t="s">
        <v>151</v>
      </c>
      <c r="G176" s="108" t="s">
        <v>152</v>
      </c>
      <c r="I176" s="137" t="s">
        <v>294</v>
      </c>
      <c r="J176" s="107" t="s">
        <v>309</v>
      </c>
      <c r="K176" s="107" t="s">
        <v>310</v>
      </c>
      <c r="L176" s="106" t="s">
        <v>311</v>
      </c>
      <c r="M176" s="108" t="s">
        <v>312</v>
      </c>
    </row>
    <row r="177" spans="1:23">
      <c r="A177" s="1455" t="s">
        <v>109</v>
      </c>
      <c r="B177" s="298"/>
      <c r="C177" s="205"/>
      <c r="D177" s="205"/>
      <c r="E177" s="205"/>
      <c r="F177" s="205"/>
      <c r="G177" s="205"/>
      <c r="I177" s="138"/>
      <c r="J177" s="136"/>
      <c r="K177" s="136"/>
      <c r="L177" s="136"/>
      <c r="M177" s="326"/>
    </row>
    <row r="178" spans="1:23">
      <c r="A178" s="1456" t="s">
        <v>1683</v>
      </c>
      <c r="B178" s="298"/>
      <c r="C178" s="205"/>
      <c r="D178" s="205"/>
      <c r="E178" s="205"/>
      <c r="F178" s="205"/>
      <c r="G178" s="205"/>
      <c r="I178" s="138"/>
      <c r="J178" s="136"/>
      <c r="K178" s="136"/>
      <c r="L178" s="136"/>
      <c r="M178" s="326"/>
    </row>
    <row r="179" spans="1:23">
      <c r="A179" s="1456" t="s">
        <v>164</v>
      </c>
      <c r="B179" s="298"/>
      <c r="C179" s="205"/>
      <c r="D179" s="205"/>
      <c r="E179" s="205"/>
      <c r="F179" s="205"/>
      <c r="G179" s="205"/>
      <c r="I179" s="138"/>
      <c r="J179" s="136"/>
      <c r="K179" s="136"/>
      <c r="L179" s="136"/>
      <c r="M179" s="326"/>
    </row>
    <row r="180" spans="1:23">
      <c r="A180" s="1456" t="s">
        <v>163</v>
      </c>
      <c r="B180" s="298"/>
      <c r="C180" s="205"/>
      <c r="D180" s="205"/>
      <c r="E180" s="205"/>
      <c r="F180" s="205"/>
      <c r="G180" s="205"/>
      <c r="I180" s="138"/>
      <c r="J180" s="136"/>
      <c r="K180" s="136"/>
      <c r="L180" s="136"/>
      <c r="M180" s="326"/>
    </row>
    <row r="181" spans="1:23">
      <c r="A181" s="1456" t="s">
        <v>1883</v>
      </c>
      <c r="B181" s="298"/>
      <c r="C181" s="205"/>
      <c r="D181" s="205"/>
      <c r="E181" s="205"/>
      <c r="F181" s="205"/>
      <c r="G181" s="205"/>
      <c r="I181" s="138"/>
      <c r="J181" s="136"/>
      <c r="K181" s="136"/>
      <c r="L181" s="136"/>
      <c r="M181" s="326"/>
    </row>
    <row r="182" spans="1:23">
      <c r="A182" s="1456" t="s">
        <v>1684</v>
      </c>
      <c r="B182" s="298"/>
      <c r="C182" s="205"/>
      <c r="D182" s="205"/>
      <c r="E182" s="205"/>
      <c r="F182" s="205"/>
      <c r="G182" s="205"/>
      <c r="I182" s="138"/>
      <c r="J182" s="136"/>
      <c r="K182" s="136"/>
      <c r="L182" s="136"/>
      <c r="M182" s="326"/>
    </row>
    <row r="183" spans="1:23">
      <c r="A183" s="1456"/>
      <c r="B183" s="1459"/>
      <c r="C183" s="237"/>
      <c r="D183" s="238"/>
      <c r="E183" s="238"/>
      <c r="F183" s="237"/>
      <c r="G183" s="239"/>
      <c r="I183" s="1460"/>
      <c r="J183" s="238"/>
      <c r="K183" s="238"/>
      <c r="L183" s="237"/>
      <c r="M183" s="239"/>
    </row>
    <row r="184" spans="1:23">
      <c r="A184" s="1455" t="s">
        <v>179</v>
      </c>
      <c r="B184" s="298"/>
      <c r="C184" s="205"/>
      <c r="D184" s="136"/>
      <c r="E184" s="136"/>
      <c r="F184" s="205"/>
      <c r="G184" s="90"/>
      <c r="I184" s="319"/>
      <c r="J184" s="227"/>
      <c r="K184" s="227"/>
      <c r="L184" s="227"/>
      <c r="M184" s="229"/>
    </row>
    <row r="185" spans="1:23">
      <c r="A185" s="1463" t="s">
        <v>1685</v>
      </c>
      <c r="B185" s="298"/>
      <c r="C185" s="205"/>
      <c r="D185" s="136"/>
      <c r="E185" s="136"/>
      <c r="F185" s="205"/>
      <c r="G185" s="90"/>
      <c r="I185" s="319"/>
      <c r="J185" s="227"/>
      <c r="K185" s="227"/>
      <c r="L185" s="227"/>
      <c r="M185" s="229"/>
    </row>
    <row r="186" spans="1:23">
      <c r="A186" s="1456" t="s">
        <v>1293</v>
      </c>
      <c r="B186" s="298"/>
      <c r="C186" s="205"/>
      <c r="D186" s="136"/>
      <c r="E186" s="136"/>
      <c r="F186" s="205"/>
      <c r="G186" s="90"/>
      <c r="I186" s="319"/>
      <c r="J186" s="1457">
        <v>-9.8252646141938002E-3</v>
      </c>
      <c r="K186" s="1457">
        <v>-1.0493456191476618E-2</v>
      </c>
      <c r="L186" s="1457">
        <v>-1.0262247478872492E-2</v>
      </c>
      <c r="M186" s="1458">
        <v>-9.6681803386212059E-3</v>
      </c>
    </row>
    <row r="187" spans="1:23">
      <c r="A187" s="1456" t="s">
        <v>1294</v>
      </c>
      <c r="B187" s="298"/>
      <c r="C187" s="205"/>
      <c r="D187" s="136"/>
      <c r="E187" s="136"/>
      <c r="F187" s="205"/>
      <c r="G187" s="90"/>
      <c r="I187" s="319"/>
      <c r="J187" s="1457">
        <v>-5.6176616047959003E-3</v>
      </c>
      <c r="K187" s="1457">
        <v>-5.9997046657967266E-3</v>
      </c>
      <c r="L187" s="1457">
        <v>-5.8675095180330582E-3</v>
      </c>
      <c r="M187" s="1458">
        <v>-5.5278476060638421E-3</v>
      </c>
      <c r="O187" s="73" t="s">
        <v>1298</v>
      </c>
      <c r="P187" s="73" t="s">
        <v>542</v>
      </c>
      <c r="Q187" s="73" t="s">
        <v>544</v>
      </c>
      <c r="R187" s="73" t="s">
        <v>546</v>
      </c>
      <c r="S187" s="73" t="s">
        <v>548</v>
      </c>
      <c r="T187" s="73" t="s">
        <v>550</v>
      </c>
      <c r="U187" s="73" t="s">
        <v>552</v>
      </c>
      <c r="V187" s="73" t="s">
        <v>1297</v>
      </c>
      <c r="W187" s="73" t="s">
        <v>555</v>
      </c>
    </row>
    <row r="188" spans="1:23">
      <c r="A188" s="1456" t="s">
        <v>1295</v>
      </c>
      <c r="B188" s="298"/>
      <c r="C188" s="205"/>
      <c r="D188" s="136"/>
      <c r="E188" s="136"/>
      <c r="F188" s="205"/>
      <c r="G188" s="90"/>
      <c r="I188" s="319"/>
      <c r="J188" s="1457">
        <v>-7.1123954104066918E-3</v>
      </c>
      <c r="K188" s="1457">
        <v>-7.5960915645716621E-3</v>
      </c>
      <c r="L188" s="1457">
        <v>-7.4287222517904049E-3</v>
      </c>
      <c r="M188" s="1458">
        <v>-6.9986839202331261E-3</v>
      </c>
      <c r="O188" s="73" t="s">
        <v>1298</v>
      </c>
      <c r="P188" s="73" t="s">
        <v>543</v>
      </c>
      <c r="Q188" s="73" t="s">
        <v>545</v>
      </c>
      <c r="R188" s="73" t="s">
        <v>547</v>
      </c>
      <c r="S188" s="73" t="s">
        <v>549</v>
      </c>
      <c r="T188" s="73" t="s">
        <v>551</v>
      </c>
      <c r="U188" s="73" t="s">
        <v>553</v>
      </c>
      <c r="V188" s="73" t="s">
        <v>554</v>
      </c>
      <c r="W188" s="73" t="s">
        <v>556</v>
      </c>
    </row>
    <row r="189" spans="1:23">
      <c r="A189" s="1456" t="s">
        <v>164</v>
      </c>
      <c r="B189" s="298"/>
      <c r="C189" s="205"/>
      <c r="D189" s="136"/>
      <c r="E189" s="136"/>
      <c r="F189" s="205"/>
      <c r="G189" s="90"/>
      <c r="I189" s="319"/>
      <c r="J189" s="1457">
        <v>0</v>
      </c>
      <c r="K189" s="1457">
        <v>0</v>
      </c>
      <c r="L189" s="1457">
        <v>0</v>
      </c>
      <c r="M189" s="1458">
        <v>0</v>
      </c>
    </row>
    <row r="190" spans="1:23">
      <c r="A190" s="1456" t="s">
        <v>163</v>
      </c>
      <c r="B190" s="298"/>
      <c r="C190" s="205"/>
      <c r="D190" s="136"/>
      <c r="E190" s="136"/>
      <c r="F190" s="205"/>
      <c r="G190" s="90"/>
      <c r="I190" s="319"/>
      <c r="J190" s="1457">
        <v>0</v>
      </c>
      <c r="K190" s="1457">
        <v>0</v>
      </c>
      <c r="L190" s="1457">
        <v>0</v>
      </c>
      <c r="M190" s="1458">
        <v>0</v>
      </c>
    </row>
    <row r="191" spans="1:23">
      <c r="A191" s="1456" t="s">
        <v>1883</v>
      </c>
      <c r="B191" s="298"/>
      <c r="C191" s="205"/>
      <c r="D191" s="136"/>
      <c r="E191" s="136"/>
      <c r="F191" s="205"/>
      <c r="G191" s="90"/>
      <c r="I191" s="319"/>
      <c r="J191" s="1457">
        <v>0</v>
      </c>
      <c r="K191" s="1457">
        <v>0</v>
      </c>
      <c r="L191" s="1457">
        <v>0</v>
      </c>
      <c r="M191" s="1458">
        <v>0</v>
      </c>
    </row>
    <row r="192" spans="1:23" ht="13.8" thickBot="1">
      <c r="A192" s="1461" t="s">
        <v>1684</v>
      </c>
      <c r="B192" s="1462"/>
      <c r="C192" s="405"/>
      <c r="D192" s="406"/>
      <c r="E192" s="406"/>
      <c r="F192" s="405"/>
      <c r="G192" s="407"/>
      <c r="I192" s="1464"/>
      <c r="J192" s="1465">
        <v>-7.4339698815084889E-3</v>
      </c>
      <c r="K192" s="1465">
        <v>-7.9395355080486736E-3</v>
      </c>
      <c r="L192" s="1465">
        <v>-7.7645988856437937E-3</v>
      </c>
      <c r="M192" s="1466">
        <v>-7.3151171259523435E-3</v>
      </c>
    </row>
    <row r="193" spans="1:13" ht="13.8" thickBot="1"/>
    <row r="194" spans="1:13">
      <c r="A194" s="1454" t="s">
        <v>1688</v>
      </c>
      <c r="B194" s="109"/>
      <c r="C194" s="106" t="s">
        <v>149</v>
      </c>
      <c r="D194" s="107" t="s">
        <v>139</v>
      </c>
      <c r="E194" s="107" t="s">
        <v>150</v>
      </c>
      <c r="F194" s="106" t="s">
        <v>151</v>
      </c>
      <c r="G194" s="108" t="s">
        <v>152</v>
      </c>
      <c r="I194" s="137" t="s">
        <v>294</v>
      </c>
      <c r="J194" s="107" t="s">
        <v>309</v>
      </c>
      <c r="K194" s="107" t="s">
        <v>310</v>
      </c>
      <c r="L194" s="106" t="s">
        <v>311</v>
      </c>
      <c r="M194" s="108" t="s">
        <v>312</v>
      </c>
    </row>
    <row r="195" spans="1:13">
      <c r="A195" s="76" t="s">
        <v>109</v>
      </c>
      <c r="B195" s="267"/>
      <c r="C195" s="321"/>
      <c r="D195" s="323"/>
      <c r="E195" s="320"/>
      <c r="F195" s="321"/>
      <c r="G195" s="322"/>
      <c r="I195" s="319"/>
      <c r="J195" s="323"/>
      <c r="K195" s="320"/>
      <c r="L195" s="321"/>
      <c r="M195" s="322"/>
    </row>
    <row r="196" spans="1:13" ht="13.8" thickBot="1">
      <c r="A196" s="1468" t="s">
        <v>179</v>
      </c>
      <c r="B196" s="1469"/>
      <c r="C196" s="417">
        <v>0</v>
      </c>
      <c r="D196" s="416">
        <v>0</v>
      </c>
      <c r="E196" s="416">
        <v>0</v>
      </c>
      <c r="F196" s="417">
        <v>0</v>
      </c>
      <c r="G196" s="418">
        <v>0</v>
      </c>
      <c r="I196" s="415">
        <v>0</v>
      </c>
      <c r="J196" s="416">
        <v>0</v>
      </c>
      <c r="K196" s="416"/>
      <c r="L196" s="417"/>
      <c r="M196" s="418"/>
    </row>
  </sheetData>
  <mergeCells count="2">
    <mergeCell ref="I36:M36"/>
    <mergeCell ref="C36:G36"/>
  </mergeCells>
  <dataValidations disablePrompts="1" count="1">
    <dataValidation type="list" allowBlank="1" showInputMessage="1" showErrorMessage="1" promptTitle="Select a name" prompt="Please select either Energex or Ergon Energy" sqref="B3" xr:uid="{00000000-0002-0000-0400-000000000000}">
      <formula1>#REF!</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29B63-62EF-4484-8104-478F00C79E95}">
  <sheetPr>
    <tabColor theme="7" tint="0.59999389629810485"/>
  </sheetPr>
  <dimension ref="A2"/>
  <sheetViews>
    <sheetView workbookViewId="0"/>
  </sheetViews>
  <sheetFormatPr defaultRowHeight="13.2"/>
  <sheetData>
    <row r="2" spans="1:1">
      <c r="A2" t="s">
        <v>1594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7" tint="0.59999389629810485"/>
  </sheetPr>
  <dimension ref="A1:XFD424"/>
  <sheetViews>
    <sheetView topLeftCell="A130" zoomScale="80" zoomScaleNormal="80" workbookViewId="0">
      <selection activeCell="H190" sqref="H190"/>
    </sheetView>
  </sheetViews>
  <sheetFormatPr defaultColWidth="9.109375" defaultRowHeight="13.2"/>
  <cols>
    <col min="1" max="1" width="5.6640625" style="63" customWidth="1"/>
    <col min="2" max="2" width="16.109375" style="63" customWidth="1"/>
    <col min="3" max="3" width="17.5546875" style="63" customWidth="1"/>
    <col min="4" max="4" width="28.5546875" style="63" customWidth="1"/>
    <col min="5" max="5" width="24.88671875" style="63" customWidth="1"/>
    <col min="6" max="6" width="60.33203125" style="63" customWidth="1"/>
    <col min="7" max="7" width="32.109375" style="63" customWidth="1"/>
    <col min="8" max="9" width="17.6640625" style="63" customWidth="1"/>
    <col min="10" max="10" width="18.33203125" style="63" customWidth="1"/>
    <col min="11" max="11" width="15.109375" style="63" customWidth="1"/>
    <col min="12" max="12" width="16.33203125" style="63" customWidth="1"/>
    <col min="13" max="13" width="8.109375" style="63" customWidth="1"/>
    <col min="28" max="16384" width="9.109375" style="63"/>
  </cols>
  <sheetData>
    <row r="1" spans="2:13" ht="13.8">
      <c r="B1" s="62" t="str">
        <f>"Tariff Approval - "&amp;'Model update'!B3</f>
        <v>Tariff Approval - Ergon Energy</v>
      </c>
      <c r="C1" s="69"/>
      <c r="D1" s="62"/>
      <c r="E1" s="62"/>
      <c r="F1" s="62"/>
      <c r="G1" s="62"/>
      <c r="H1" s="62"/>
      <c r="I1" s="62"/>
      <c r="J1" s="85"/>
      <c r="K1" s="69"/>
      <c r="L1" s="69"/>
      <c r="M1" s="69"/>
    </row>
    <row r="2" spans="2:13">
      <c r="B2" s="69"/>
      <c r="C2" s="69"/>
      <c r="D2" s="69"/>
      <c r="E2" s="69"/>
      <c r="F2" s="69"/>
      <c r="G2" s="69"/>
      <c r="H2" s="69"/>
      <c r="I2" s="69"/>
      <c r="J2" s="69"/>
      <c r="K2" s="69"/>
      <c r="L2" s="69"/>
      <c r="M2" s="69"/>
    </row>
    <row r="3" spans="2:13" ht="13.8" thickBot="1">
      <c r="B3" s="64" t="str">
        <f>"PROPOSED "&amp;'Model update'!B6&amp;" FEE BASED SERVICES"</f>
        <v>PROPOSED 2021-22 FEE BASED SERVICES</v>
      </c>
      <c r="C3" s="69"/>
      <c r="D3" s="64"/>
      <c r="E3" s="64"/>
      <c r="F3" s="64"/>
      <c r="G3" s="64"/>
      <c r="H3" s="64"/>
      <c r="I3" s="64"/>
      <c r="J3" s="69"/>
      <c r="K3" s="69"/>
      <c r="L3" s="69"/>
      <c r="M3" s="69"/>
    </row>
    <row r="4" spans="2:13" ht="36" customHeight="1" thickBot="1">
      <c r="B4" s="65"/>
      <c r="C4" s="65"/>
      <c r="D4" s="65"/>
      <c r="E4" s="65"/>
      <c r="F4" s="65"/>
      <c r="G4" s="65"/>
      <c r="H4" s="65"/>
      <c r="I4" s="65"/>
      <c r="J4" s="66" t="str">
        <f>'Model update'!$B$8&amp;" rates"</f>
        <v>2020-21 rates</v>
      </c>
      <c r="K4" s="66" t="str">
        <f>'Model update'!$B$6&amp;" "&amp;"X-factor"</f>
        <v>2021-22 X-factor</v>
      </c>
      <c r="L4" s="66" t="str">
        <f>"Proposed "&amp;'Model update'!$B$7&amp;" rates"</f>
        <v>Proposed 2021-22 rates</v>
      </c>
      <c r="M4" s="211"/>
    </row>
    <row r="5" spans="2:13" ht="43.95" customHeight="1" thickBot="1">
      <c r="B5" s="329" t="s">
        <v>1339</v>
      </c>
      <c r="C5" s="329" t="s">
        <v>985</v>
      </c>
      <c r="D5" s="209" t="s">
        <v>846</v>
      </c>
      <c r="E5" s="209" t="s">
        <v>847</v>
      </c>
      <c r="F5" s="209" t="s">
        <v>169</v>
      </c>
      <c r="G5" s="209" t="s">
        <v>165</v>
      </c>
      <c r="H5" s="209" t="s">
        <v>623</v>
      </c>
      <c r="I5" s="209" t="s">
        <v>167</v>
      </c>
      <c r="J5" s="210" t="s">
        <v>1296</v>
      </c>
      <c r="K5" s="461" t="s">
        <v>1299</v>
      </c>
      <c r="L5" s="463" t="s">
        <v>87</v>
      </c>
      <c r="M5" s="211"/>
    </row>
    <row r="6" spans="2:13" ht="52.8">
      <c r="B6" s="253" t="s">
        <v>314</v>
      </c>
      <c r="C6" s="253" t="str">
        <f>VLOOKUP(B6,'2020-21 feebased approved'!$A$4:$H$313,2,FALSE)</f>
        <v>DNV1MBU</v>
      </c>
      <c r="D6" s="328" t="s">
        <v>624</v>
      </c>
      <c r="E6" s="328" t="s">
        <v>848</v>
      </c>
      <c r="F6" s="328" t="s">
        <v>625</v>
      </c>
      <c r="G6" s="328" t="s">
        <v>626</v>
      </c>
      <c r="H6" s="249" t="s">
        <v>627</v>
      </c>
      <c r="I6" s="250" t="s">
        <v>170</v>
      </c>
      <c r="J6" s="1642">
        <f>VLOOKUP(B6,'2020-21 feebased approved'!$A$4:$H$313,'2020-21 feebased approved'!$H$1,FALSE)</f>
        <v>116.05118139608</v>
      </c>
      <c r="K6" s="1467">
        <f>IF(OR(B6='Model update'!$P$187,B6='Model update'!$Q$187,B6='Model update'!$R$187,B6='Model update'!$S$187,B6='Model update'!$T$187,B6='Model update'!$U$187,B6='Model update'!$V$187,B6='Model update'!$W$187),'Model update'!$J$187,IF(OR(B6='Model update'!$P$188,B6='Model update'!$Q$188,B6='Model update'!$R$188,B6='Model update'!$S$188,B6='Model update'!$T$188,B6='Model update'!$U$188,B6='Model update'!$V$188,B6='Model update'!$W$188),'Model update'!$J$188,'Model update'!$J$186))</f>
        <v>-9.8252646141938002E-3</v>
      </c>
      <c r="L6" s="464">
        <f>J6*(1+'Model update'!$B$31)*(1-'2021_ACS service &amp; prices'!K6)+'Model update'!$J$196</f>
        <v>118.19994693250011</v>
      </c>
      <c r="M6" s="211"/>
    </row>
    <row r="7" spans="2:13" ht="52.8">
      <c r="B7" s="253" t="s">
        <v>315</v>
      </c>
      <c r="C7" s="253" t="str">
        <f>VLOOKUP(B7,'2020-21 feebased approved'!$A$4:$H$313,2,FALSE)</f>
        <v>DNV1MBL
DNV1MBI</v>
      </c>
      <c r="D7" s="253" t="s">
        <v>624</v>
      </c>
      <c r="E7" s="253" t="s">
        <v>848</v>
      </c>
      <c r="F7" s="253" t="s">
        <v>625</v>
      </c>
      <c r="G7" s="253" t="s">
        <v>626</v>
      </c>
      <c r="H7" s="251" t="s">
        <v>628</v>
      </c>
      <c r="I7" s="252" t="s">
        <v>170</v>
      </c>
      <c r="J7" s="458">
        <f>VLOOKUP(B7,'2020-21 feebased approved'!$A$4:$H$313,'2020-21 feebased approved'!$H$1,FALSE)</f>
        <v>408.22023606661304</v>
      </c>
      <c r="K7" s="461">
        <f>IF(OR(B7='Model update'!$P$187,B7='Model update'!$Q$187,B7='Model update'!$R$187,B7='Model update'!$S$187,B7='Model update'!$T$187,B7='Model update'!$U$187,B7='Model update'!$V$187,B7='Model update'!$W$187),'Model update'!$J$187,IF(OR(B7='Model update'!$P$188,B7='Model update'!$Q$188,B7='Model update'!$R$188,B7='Model update'!$S$188,B7='Model update'!$T$188,B7='Model update'!$U$188,B7='Model update'!$V$188,B7='Model update'!$W$188),'Model update'!$J$188,'Model update'!$J$186))</f>
        <v>-9.8252646141938002E-3</v>
      </c>
      <c r="L7" s="465">
        <f>J7*(1+'Model update'!$B$31)*(1-'2021_ACS service &amp; prices'!K7)+'Model update'!$J$196</f>
        <v>415.77870780276419</v>
      </c>
      <c r="M7" s="211"/>
    </row>
    <row r="8" spans="2:13" ht="52.8">
      <c r="B8" s="253" t="s">
        <v>316</v>
      </c>
      <c r="C8" s="253" t="str">
        <f>VLOOKUP(B8,'2020-21 feebased approved'!$A$4:$H$313,2,FALSE)</f>
        <v>DNV1MAU</v>
      </c>
      <c r="D8" s="253" t="s">
        <v>624</v>
      </c>
      <c r="E8" s="253" t="s">
        <v>848</v>
      </c>
      <c r="F8" s="253" t="s">
        <v>625</v>
      </c>
      <c r="G8" s="330" t="s">
        <v>629</v>
      </c>
      <c r="H8" s="285" t="s">
        <v>627</v>
      </c>
      <c r="I8" s="253" t="s">
        <v>170</v>
      </c>
      <c r="J8" s="458">
        <f>VLOOKUP(B8,'2020-21 feebased approved'!$A$4:$H$313,'2020-21 feebased approved'!$H$1,FALSE)</f>
        <v>152.55607731949493</v>
      </c>
      <c r="K8" s="461">
        <f>IF(OR(B8='Model update'!$P$187,B8='Model update'!$Q$187,B8='Model update'!$R$187,B8='Model update'!$S$187,B8='Model update'!$T$187,B8='Model update'!$U$187,B8='Model update'!$V$187,B8='Model update'!$W$187),'Model update'!$J$187,IF(OR(B8='Model update'!$P$188,B8='Model update'!$Q$188,B8='Model update'!$R$188,B8='Model update'!$S$188,B8='Model update'!$T$188,B8='Model update'!$U$188,B8='Model update'!$V$188,B8='Model update'!$W$188),'Model update'!$J$188,'Model update'!$J$186))</f>
        <v>-9.8252646141938002E-3</v>
      </c>
      <c r="L8" s="465">
        <f>J8*(1+'Model update'!$B$31)*(1-'2021_ACS service &amp; prices'!K8)+'Model update'!$J$196</f>
        <v>155.38075551210011</v>
      </c>
      <c r="M8" s="211"/>
    </row>
    <row r="9" spans="2:13" ht="52.8">
      <c r="B9" s="253" t="s">
        <v>317</v>
      </c>
      <c r="C9" s="253" t="str">
        <f>VLOOKUP(B9,'2020-21 feebased approved'!$A$4:$H$313,2,FALSE)</f>
        <v>DNV1MAL
DNV1MAI</v>
      </c>
      <c r="D9" s="253" t="s">
        <v>624</v>
      </c>
      <c r="E9" s="253" t="s">
        <v>848</v>
      </c>
      <c r="F9" s="253" t="s">
        <v>625</v>
      </c>
      <c r="G9" s="253" t="s">
        <v>629</v>
      </c>
      <c r="H9" s="251" t="s">
        <v>628</v>
      </c>
      <c r="I9" s="253" t="s">
        <v>170</v>
      </c>
      <c r="J9" s="458">
        <f>VLOOKUP(B9,'2020-21 feebased approved'!$A$4:$H$313,'2020-21 feebased approved'!$H$1,FALSE)</f>
        <v>536.62941770676605</v>
      </c>
      <c r="K9" s="461">
        <f>IF(OR(B9='Model update'!$P$187,B9='Model update'!$Q$187,B9='Model update'!$R$187,B9='Model update'!$S$187,B9='Model update'!$T$187,B9='Model update'!$U$187,B9='Model update'!$V$187,B9='Model update'!$W$187),'Model update'!$J$187,IF(OR(B9='Model update'!$P$188,B9='Model update'!$Q$188,B9='Model update'!$R$188,B9='Model update'!$S$188,B9='Model update'!$T$188,B9='Model update'!$U$188,B9='Model update'!$V$188,B9='Model update'!$W$188),'Model update'!$J$188,'Model update'!$J$186))</f>
        <v>-9.8252646141938002E-3</v>
      </c>
      <c r="L9" s="465">
        <f>J9*(1+'Model update'!$B$31)*(1-'2021_ACS service &amp; prices'!K9)+'Model update'!$J$196</f>
        <v>546.56547165060329</v>
      </c>
      <c r="M9" s="211"/>
    </row>
    <row r="10" spans="2:13" ht="52.8">
      <c r="B10" s="253" t="s">
        <v>318</v>
      </c>
      <c r="C10" s="253" t="str">
        <f>VLOOKUP(B10,'2020-21 feebased approved'!$A$4:$H$313,2,FALSE)</f>
        <v>DNV2MBU</v>
      </c>
      <c r="D10" s="253" t="s">
        <v>624</v>
      </c>
      <c r="E10" s="253" t="s">
        <v>848</v>
      </c>
      <c r="F10" s="286" t="s">
        <v>625</v>
      </c>
      <c r="G10" s="253" t="s">
        <v>630</v>
      </c>
      <c r="H10" s="251" t="s">
        <v>627</v>
      </c>
      <c r="I10" s="253" t="s">
        <v>170</v>
      </c>
      <c r="J10" s="458">
        <f>VLOOKUP(B10,'2020-21 feebased approved'!$A$4:$H$313,'2020-21 feebased approved'!$H$1,FALSE)</f>
        <v>349.90305948566834</v>
      </c>
      <c r="K10" s="461">
        <f>IF(OR(B10='Model update'!$P$187,B10='Model update'!$Q$187,B10='Model update'!$R$187,B10='Model update'!$S$187,B10='Model update'!$T$187,B10='Model update'!$U$187,B10='Model update'!$V$187,B10='Model update'!$W$187),'Model update'!$J$187,IF(OR(B10='Model update'!$P$188,B10='Model update'!$Q$188,B10='Model update'!$R$188,B10='Model update'!$S$188,B10='Model update'!$T$188,B10='Model update'!$U$188,B10='Model update'!$V$188,B10='Model update'!$W$188),'Model update'!$J$188,'Model update'!$J$186))</f>
        <v>-9.8252646141938002E-3</v>
      </c>
      <c r="L10" s="465">
        <f>J10*(1+'Model update'!$B$31)*(1-'2021_ACS service &amp; prices'!K10)+'Model update'!$J$196</f>
        <v>356.38174954522646</v>
      </c>
      <c r="M10" s="211"/>
    </row>
    <row r="11" spans="2:13" ht="26.4">
      <c r="B11" s="253" t="s">
        <v>319</v>
      </c>
      <c r="C11" s="253" t="str">
        <f>VLOOKUP(B11,'2020-21 feebased approved'!$A$4:$H$313,2,FALSE)</f>
        <v>DNV2MBL
DNV2MBI</v>
      </c>
      <c r="D11" s="253" t="s">
        <v>624</v>
      </c>
      <c r="E11" s="253" t="s">
        <v>848</v>
      </c>
      <c r="F11" s="251" t="s">
        <v>625</v>
      </c>
      <c r="G11" s="253" t="s">
        <v>630</v>
      </c>
      <c r="H11" s="251" t="s">
        <v>631</v>
      </c>
      <c r="I11" s="253" t="s">
        <v>170</v>
      </c>
      <c r="J11" s="458">
        <f>VLOOKUP(B11,'2020-21 feebased approved'!$A$4:$H$313,'2020-21 feebased approved'!$H$1,FALSE)</f>
        <v>934.24116882673445</v>
      </c>
      <c r="K11" s="461">
        <f>IF(OR(B11='Model update'!$P$187,B11='Model update'!$Q$187,B11='Model update'!$R$187,B11='Model update'!$S$187,B11='Model update'!$T$187,B11='Model update'!$U$187,B11='Model update'!$V$187,B11='Model update'!$W$187),'Model update'!$J$187,IF(OR(B11='Model update'!$P$188,B11='Model update'!$Q$188,B11='Model update'!$R$188,B11='Model update'!$S$188,B11='Model update'!$T$188,B11='Model update'!$U$188,B11='Model update'!$V$188,B11='Model update'!$W$188),'Model update'!$J$188,'Model update'!$J$186))</f>
        <v>-9.8252646141938002E-3</v>
      </c>
      <c r="L11" s="465">
        <f>J11*(1+'Model update'!$B$31)*(1-'2021_ACS service &amp; prices'!K11)+'Model update'!$J$196</f>
        <v>951.53927128575469</v>
      </c>
      <c r="M11" s="211"/>
    </row>
    <row r="12" spans="2:13" ht="52.8">
      <c r="B12" s="253" t="s">
        <v>320</v>
      </c>
      <c r="C12" s="253" t="str">
        <f>VLOOKUP(B12,'2020-21 feebased approved'!$A$4:$H$313,2,FALSE)</f>
        <v>DNV2MAU</v>
      </c>
      <c r="D12" s="253" t="s">
        <v>624</v>
      </c>
      <c r="E12" s="253" t="s">
        <v>848</v>
      </c>
      <c r="F12" s="253" t="s">
        <v>625</v>
      </c>
      <c r="G12" s="253" t="s">
        <v>632</v>
      </c>
      <c r="H12" s="251" t="s">
        <v>627</v>
      </c>
      <c r="I12" s="253" t="s">
        <v>170</v>
      </c>
      <c r="J12" s="458">
        <f>VLOOKUP(B12,'2020-21 feebased approved'!$A$4:$H$313,'2020-21 feebased approved'!$H$1,FALSE)</f>
        <v>459.96807232008518</v>
      </c>
      <c r="K12" s="461">
        <f>IF(OR(B12='Model update'!$P$187,B12='Model update'!$Q$187,B12='Model update'!$R$187,B12='Model update'!$S$187,B12='Model update'!$T$187,B12='Model update'!$U$187,B12='Model update'!$V$187,B12='Model update'!$W$187),'Model update'!$J$187,IF(OR(B12='Model update'!$P$188,B12='Model update'!$Q$188,B12='Model update'!$R$188,B12='Model update'!$S$188,B12='Model update'!$T$188,B12='Model update'!$U$188,B12='Model update'!$V$188,B12='Model update'!$W$188),'Model update'!$J$188,'Model update'!$J$186))</f>
        <v>-9.8252646141938002E-3</v>
      </c>
      <c r="L12" s="465">
        <f>J12*(1+'Model update'!$B$31)*(1-'2021_ACS service &amp; prices'!K12)+'Model update'!$J$196</f>
        <v>468.48468998623144</v>
      </c>
      <c r="M12" s="211"/>
    </row>
    <row r="13" spans="2:13" ht="52.8">
      <c r="B13" s="253" t="s">
        <v>321</v>
      </c>
      <c r="C13" s="253" t="str">
        <f>VLOOKUP(B13,'2020-21 feebased approved'!$A$4:$H$313,2,FALSE)</f>
        <v>DNV2MAL
DNV2MAI</v>
      </c>
      <c r="D13" s="253" t="s">
        <v>624</v>
      </c>
      <c r="E13" s="253" t="s">
        <v>848</v>
      </c>
      <c r="F13" s="253" t="s">
        <v>625</v>
      </c>
      <c r="G13" s="253" t="s">
        <v>632</v>
      </c>
      <c r="H13" s="251" t="s">
        <v>628</v>
      </c>
      <c r="I13" s="252" t="s">
        <v>170</v>
      </c>
      <c r="J13" s="458">
        <f>VLOOKUP(B13,'2020-21 feebased approved'!$A$4:$H$313,'2020-21 feebased approved'!$H$1,FALSE)</f>
        <v>1228.1147530946275</v>
      </c>
      <c r="K13" s="461">
        <f>IF(OR(B13='Model update'!$P$187,B13='Model update'!$Q$187,B13='Model update'!$R$187,B13='Model update'!$S$187,B13='Model update'!$T$187,B13='Model update'!$U$187,B13='Model update'!$V$187,B13='Model update'!$W$187),'Model update'!$J$187,IF(OR(B13='Model update'!$P$188,B13='Model update'!$Q$188,B13='Model update'!$R$188,B13='Model update'!$S$188,B13='Model update'!$T$188,B13='Model update'!$U$188,B13='Model update'!$V$188,B13='Model update'!$W$188),'Model update'!$J$188,'Model update'!$J$186))</f>
        <v>-9.8252646141938002E-3</v>
      </c>
      <c r="L13" s="465">
        <f>J13*(1+'Model update'!$B$31)*(1-'2021_ACS service &amp; prices'!K13)+'Model update'!$J$196</f>
        <v>1250.854122263238</v>
      </c>
      <c r="M13" s="211"/>
    </row>
    <row r="14" spans="2:13" ht="52.8">
      <c r="B14" s="253" t="s">
        <v>322</v>
      </c>
      <c r="C14" s="253" t="str">
        <f>VLOOKUP(B14,'2020-21 feebased approved'!$A$4:$H$313,2,FALSE)</f>
        <v>DN$1MBU</v>
      </c>
      <c r="D14" s="253" t="s">
        <v>624</v>
      </c>
      <c r="E14" s="253" t="s">
        <v>848</v>
      </c>
      <c r="F14" s="253" t="s">
        <v>625</v>
      </c>
      <c r="G14" s="253" t="s">
        <v>633</v>
      </c>
      <c r="H14" s="251" t="s">
        <v>627</v>
      </c>
      <c r="I14" s="253" t="s">
        <v>170</v>
      </c>
      <c r="J14" s="458">
        <f>VLOOKUP(B14,'2020-21 feebased approved'!$A$4:$H$313,'2020-21 feebased approved'!$H$1,FALSE)</f>
        <v>232.10236279215999</v>
      </c>
      <c r="K14" s="461">
        <f>IF(OR(B14='Model update'!$P$187,B14='Model update'!$Q$187,B14='Model update'!$R$187,B14='Model update'!$S$187,B14='Model update'!$T$187,B14='Model update'!$U$187,B14='Model update'!$V$187,B14='Model update'!$W$187),'Model update'!$J$187,IF(OR(B14='Model update'!$P$188,B14='Model update'!$Q$188,B14='Model update'!$R$188,B14='Model update'!$S$188,B14='Model update'!$T$188,B14='Model update'!$U$188,B14='Model update'!$V$188,B14='Model update'!$W$188),'Model update'!$J$188,'Model update'!$J$186))</f>
        <v>-9.8252646141938002E-3</v>
      </c>
      <c r="L14" s="465">
        <f>J14*(1+'Model update'!$B$31)*(1-'2021_ACS service &amp; prices'!K14)+'Model update'!$J$196</f>
        <v>236.39989386500022</v>
      </c>
      <c r="M14" s="211"/>
    </row>
    <row r="15" spans="2:13" ht="52.8">
      <c r="B15" s="253" t="s">
        <v>323</v>
      </c>
      <c r="C15" s="253" t="str">
        <f>VLOOKUP(B15,'2020-21 feebased approved'!$A$4:$H$313,2,FALSE)</f>
        <v>DN$1MBL
DN$1MBI</v>
      </c>
      <c r="D15" s="253" t="s">
        <v>624</v>
      </c>
      <c r="E15" s="253" t="s">
        <v>848</v>
      </c>
      <c r="F15" s="253" t="s">
        <v>625</v>
      </c>
      <c r="G15" s="253" t="s">
        <v>633</v>
      </c>
      <c r="H15" s="251" t="s">
        <v>628</v>
      </c>
      <c r="I15" s="253" t="s">
        <v>170</v>
      </c>
      <c r="J15" s="458">
        <f>VLOOKUP(B15,'2020-21 feebased approved'!$A$4:$H$313,'2020-21 feebased approved'!$H$1,FALSE)</f>
        <v>816.44047213322619</v>
      </c>
      <c r="K15" s="461">
        <f>IF(OR(B15='Model update'!$P$187,B15='Model update'!$Q$187,B15='Model update'!$R$187,B15='Model update'!$S$187,B15='Model update'!$T$187,B15='Model update'!$U$187,B15='Model update'!$V$187,B15='Model update'!$W$187),'Model update'!$J$187,IF(OR(B15='Model update'!$P$188,B15='Model update'!$Q$188,B15='Model update'!$R$188,B15='Model update'!$S$188,B15='Model update'!$T$188,B15='Model update'!$U$188,B15='Model update'!$V$188,B15='Model update'!$W$188),'Model update'!$J$188,'Model update'!$J$186))</f>
        <v>-9.8252646141938002E-3</v>
      </c>
      <c r="L15" s="465">
        <f>J15*(1+'Model update'!$B$31)*(1-'2021_ACS service &amp; prices'!K15)+'Model update'!$J$196</f>
        <v>831.55741560552849</v>
      </c>
      <c r="M15" s="211"/>
    </row>
    <row r="16" spans="2:13" ht="52.8">
      <c r="B16" s="253" t="s">
        <v>324</v>
      </c>
      <c r="C16" s="253" t="str">
        <f>VLOOKUP(B16,'2020-21 feebased approved'!$A$4:$H$313,2,FALSE)</f>
        <v>DN$2MBU</v>
      </c>
      <c r="D16" s="253" t="s">
        <v>624</v>
      </c>
      <c r="E16" s="253" t="s">
        <v>848</v>
      </c>
      <c r="F16" s="253" t="s">
        <v>625</v>
      </c>
      <c r="G16" s="253" t="s">
        <v>634</v>
      </c>
      <c r="H16" s="251" t="s">
        <v>627</v>
      </c>
      <c r="I16" s="253" t="s">
        <v>170</v>
      </c>
      <c r="J16" s="458">
        <f>VLOOKUP(B16,'2020-21 feebased approved'!$A$4:$H$313,'2020-21 feebased approved'!$H$1,FALSE)</f>
        <v>349.90305948566834</v>
      </c>
      <c r="K16" s="461">
        <f>IF(OR(B16='Model update'!$P$187,B16='Model update'!$Q$187,B16='Model update'!$R$187,B16='Model update'!$S$187,B16='Model update'!$T$187,B16='Model update'!$U$187,B16='Model update'!$V$187,B16='Model update'!$W$187),'Model update'!$J$187,IF(OR(B16='Model update'!$P$188,B16='Model update'!$Q$188,B16='Model update'!$R$188,B16='Model update'!$S$188,B16='Model update'!$T$188,B16='Model update'!$U$188,B16='Model update'!$V$188,B16='Model update'!$W$188),'Model update'!$J$188,'Model update'!$J$186))</f>
        <v>-9.8252646141938002E-3</v>
      </c>
      <c r="L16" s="465">
        <f>J16*(1+'Model update'!$B$31)*(1-'2021_ACS service &amp; prices'!K16)+'Model update'!$J$196</f>
        <v>356.38174954522646</v>
      </c>
      <c r="M16" s="211"/>
    </row>
    <row r="17" spans="2:13" ht="52.8">
      <c r="B17" s="253" t="s">
        <v>325</v>
      </c>
      <c r="C17" s="253" t="str">
        <f>VLOOKUP(B17,'2020-21 feebased approved'!$A$4:$H$313,2,FALSE)</f>
        <v>DN$2MBL
DN$2MBI</v>
      </c>
      <c r="D17" s="253" t="s">
        <v>624</v>
      </c>
      <c r="E17" s="253" t="s">
        <v>848</v>
      </c>
      <c r="F17" s="253" t="s">
        <v>625</v>
      </c>
      <c r="G17" s="253" t="s">
        <v>634</v>
      </c>
      <c r="H17" s="251" t="s">
        <v>628</v>
      </c>
      <c r="I17" s="253" t="s">
        <v>170</v>
      </c>
      <c r="J17" s="458">
        <f>VLOOKUP(B17,'2020-21 feebased approved'!$A$4:$H$313,'2020-21 feebased approved'!$H$1,FALSE)</f>
        <v>934.24116882673445</v>
      </c>
      <c r="K17" s="461">
        <f>IF(OR(B17='Model update'!$P$187,B17='Model update'!$Q$187,B17='Model update'!$R$187,B17='Model update'!$S$187,B17='Model update'!$T$187,B17='Model update'!$U$187,B17='Model update'!$V$187,B17='Model update'!$W$187),'Model update'!$J$187,IF(OR(B17='Model update'!$P$188,B17='Model update'!$Q$188,B17='Model update'!$R$188,B17='Model update'!$S$188,B17='Model update'!$T$188,B17='Model update'!$U$188,B17='Model update'!$V$188,B17='Model update'!$W$188),'Model update'!$J$188,'Model update'!$J$186))</f>
        <v>-9.8252646141938002E-3</v>
      </c>
      <c r="L17" s="465">
        <f>J17*(1+'Model update'!$B$31)*(1-'2021_ACS service &amp; prices'!K17)+'Model update'!$J$196</f>
        <v>951.53927128575469</v>
      </c>
      <c r="M17" s="211"/>
    </row>
    <row r="18" spans="2:13" ht="27.6" customHeight="1">
      <c r="B18" s="253" t="s">
        <v>326</v>
      </c>
      <c r="C18" s="253" t="str">
        <f>VLOOKUP(B18,'2020-21 feebased approved'!$A$4:$H$313,2,FALSE)</f>
        <v>DNMS1MBU</v>
      </c>
      <c r="D18" s="253" t="s">
        <v>624</v>
      </c>
      <c r="E18" s="253" t="s">
        <v>848</v>
      </c>
      <c r="F18" s="251" t="s">
        <v>635</v>
      </c>
      <c r="G18" s="253" t="s">
        <v>636</v>
      </c>
      <c r="H18" s="251" t="s">
        <v>627</v>
      </c>
      <c r="I18" s="253"/>
      <c r="J18" s="458">
        <f>VLOOKUP(B18,'2020-21 feebased approved'!$A$4:$H$313,'2020-21 feebased approved'!$H$1,FALSE)</f>
        <v>101.47188725084382</v>
      </c>
      <c r="K18" s="461">
        <f>IF(OR(B18='Model update'!$P$187,B18='Model update'!$Q$187,B18='Model update'!$R$187,B18='Model update'!$S$187,B18='Model update'!$T$187,B18='Model update'!$U$187,B18='Model update'!$V$187,B18='Model update'!$W$187),'Model update'!$J$187,IF(OR(B18='Model update'!$P$188,B18='Model update'!$Q$188,B18='Model update'!$R$188,B18='Model update'!$S$188,B18='Model update'!$T$188,B18='Model update'!$U$188,B18='Model update'!$V$188,B18='Model update'!$W$188),'Model update'!$J$188,'Model update'!$J$186))</f>
        <v>-9.8252646141938002E-3</v>
      </c>
      <c r="L18" s="465">
        <f>J18*(1+'Model update'!$B$31)*(1-'2021_ACS service &amp; prices'!K18)+'Model update'!$J$196</f>
        <v>103.35070736811569</v>
      </c>
      <c r="M18" s="211"/>
    </row>
    <row r="19" spans="2:13" ht="26.4">
      <c r="B19" s="253" t="s">
        <v>327</v>
      </c>
      <c r="C19" s="253" t="str">
        <f>VLOOKUP(B19,'2020-21 feebased approved'!$A$4:$H$313,2,FALSE)</f>
        <v>DNMS1MBL
DNMS1MBI</v>
      </c>
      <c r="D19" s="253" t="s">
        <v>624</v>
      </c>
      <c r="E19" s="253" t="s">
        <v>848</v>
      </c>
      <c r="F19" s="253" t="s">
        <v>635</v>
      </c>
      <c r="G19" s="253" t="s">
        <v>636</v>
      </c>
      <c r="H19" s="251" t="s">
        <v>631</v>
      </c>
      <c r="I19" s="253" t="s">
        <v>170</v>
      </c>
      <c r="J19" s="458">
        <f>VLOOKUP(B19,'2020-21 feebased approved'!$A$4:$H$313,'2020-21 feebased approved'!$H$1,FALSE)</f>
        <v>393.64094192137691</v>
      </c>
      <c r="K19" s="461">
        <f>IF(OR(B19='Model update'!$P$187,B19='Model update'!$Q$187,B19='Model update'!$R$187,B19='Model update'!$S$187,B19='Model update'!$T$187,B19='Model update'!$U$187,B19='Model update'!$V$187,B19='Model update'!$W$187),'Model update'!$J$187,IF(OR(B19='Model update'!$P$188,B19='Model update'!$Q$188,B19='Model update'!$R$188,B19='Model update'!$S$188,B19='Model update'!$T$188,B19='Model update'!$U$188,B19='Model update'!$V$188,B19='Model update'!$W$188),'Model update'!$J$188,'Model update'!$J$186))</f>
        <v>-9.8252646141938002E-3</v>
      </c>
      <c r="L19" s="465">
        <f>J19*(1+'Model update'!$B$31)*(1-'2021_ACS service &amp; prices'!K19)+'Model update'!$J$196</f>
        <v>400.9294682383798</v>
      </c>
      <c r="M19" s="211"/>
    </row>
    <row r="20" spans="2:13" ht="26.4">
      <c r="B20" s="253" t="s">
        <v>328</v>
      </c>
      <c r="C20" s="253" t="str">
        <f>VLOOKUP(B20,'2020-21 feebased approved'!$A$4:$H$313,2,FALSE)</f>
        <v>DNMS1MAU</v>
      </c>
      <c r="D20" s="286" t="s">
        <v>624</v>
      </c>
      <c r="E20" s="286" t="s">
        <v>848</v>
      </c>
      <c r="F20" s="253" t="s">
        <v>635</v>
      </c>
      <c r="G20" s="253" t="s">
        <v>637</v>
      </c>
      <c r="H20" s="251" t="s">
        <v>627</v>
      </c>
      <c r="I20" s="251" t="s">
        <v>170</v>
      </c>
      <c r="J20" s="459">
        <f>VLOOKUP(B20,'2020-21 feebased approved'!$A$4:$H$313,'2020-21 feebased approved'!$H$1,FALSE)</f>
        <v>133.39074097282469</v>
      </c>
      <c r="K20" s="461">
        <f>IF(OR(B20='Model update'!$P$187,B20='Model update'!$Q$187,B20='Model update'!$R$187,B20='Model update'!$S$187,B20='Model update'!$T$187,B20='Model update'!$U$187,B20='Model update'!$V$187,B20='Model update'!$W$187),'Model update'!$J$187,IF(OR(B20='Model update'!$P$188,B20='Model update'!$Q$188,B20='Model update'!$R$188,B20='Model update'!$S$188,B20='Model update'!$T$188,B20='Model update'!$U$188,B20='Model update'!$V$188,B20='Model update'!$W$188),'Model update'!$J$188,'Model update'!$J$186))</f>
        <v>-9.8252646141938002E-3</v>
      </c>
      <c r="L20" s="465">
        <f>J20*(1+'Model update'!$B$31)*(1-'2021_ACS service &amp; prices'!K20)+'Model update'!$J$196</f>
        <v>135.86056009600711</v>
      </c>
      <c r="M20" s="211"/>
    </row>
    <row r="21" spans="2:13" ht="26.4">
      <c r="B21" s="253" t="s">
        <v>329</v>
      </c>
      <c r="C21" s="253" t="str">
        <f>VLOOKUP(B21,'2020-21 feebased approved'!$A$4:$H$313,2,FALSE)</f>
        <v>DNMS1MAL
DNMS1MAI</v>
      </c>
      <c r="D21" s="253" t="s">
        <v>624</v>
      </c>
      <c r="E21" s="253" t="s">
        <v>848</v>
      </c>
      <c r="F21" s="253" t="s">
        <v>635</v>
      </c>
      <c r="G21" s="253" t="s">
        <v>637</v>
      </c>
      <c r="H21" s="251" t="s">
        <v>628</v>
      </c>
      <c r="I21" s="253" t="s">
        <v>170</v>
      </c>
      <c r="J21" s="458">
        <f>VLOOKUP(B21,'2020-21 feebased approved'!$A$4:$H$313,'2020-21 feebased approved'!$H$1,FALSE)</f>
        <v>517.46408136009586</v>
      </c>
      <c r="K21" s="461">
        <f>IF(OR(B21='Model update'!$P$187,B21='Model update'!$Q$187,B21='Model update'!$R$187,B21='Model update'!$S$187,B21='Model update'!$T$187,B21='Model update'!$U$187,B21='Model update'!$V$187,B21='Model update'!$W$187),'Model update'!$J$187,IF(OR(B21='Model update'!$P$188,B21='Model update'!$Q$188,B21='Model update'!$R$188,B21='Model update'!$S$188,B21='Model update'!$T$188,B21='Model update'!$U$188,B21='Model update'!$V$188,B21='Model update'!$W$188),'Model update'!$J$188,'Model update'!$J$186))</f>
        <v>-9.8252646141938002E-3</v>
      </c>
      <c r="L21" s="465">
        <f>J21*(1+'Model update'!$B$31)*(1-'2021_ACS service &amp; prices'!K21)+'Model update'!$J$196</f>
        <v>527.04527623451042</v>
      </c>
      <c r="M21" s="211"/>
    </row>
    <row r="22" spans="2:13" ht="26.4">
      <c r="B22" s="253" t="s">
        <v>330</v>
      </c>
      <c r="C22" s="253" t="str">
        <f>VLOOKUP(B22,'2020-21 feebased approved'!$A$4:$H$313,2,FALSE)</f>
        <v>DNS$1MBU</v>
      </c>
      <c r="D22" s="253" t="s">
        <v>624</v>
      </c>
      <c r="E22" s="253" t="s">
        <v>848</v>
      </c>
      <c r="F22" s="253" t="s">
        <v>635</v>
      </c>
      <c r="G22" s="253" t="s">
        <v>638</v>
      </c>
      <c r="H22" s="251" t="s">
        <v>627</v>
      </c>
      <c r="I22" s="252" t="s">
        <v>170</v>
      </c>
      <c r="J22" s="458">
        <f>VLOOKUP(B22,'2020-21 feebased approved'!$A$4:$H$313,'2020-21 feebased approved'!$H$1,FALSE)</f>
        <v>202.94377450168764</v>
      </c>
      <c r="K22" s="461">
        <f>IF(OR(B22='Model update'!$P$187,B22='Model update'!$Q$187,B22='Model update'!$R$187,B22='Model update'!$S$187,B22='Model update'!$T$187,B22='Model update'!$U$187,B22='Model update'!$V$187,B22='Model update'!$W$187),'Model update'!$J$187,IF(OR(B22='Model update'!$P$188,B22='Model update'!$Q$188,B22='Model update'!$R$188,B22='Model update'!$S$188,B22='Model update'!$T$188,B22='Model update'!$U$188,B22='Model update'!$V$188,B22='Model update'!$W$188),'Model update'!$J$188,'Model update'!$J$186))</f>
        <v>-9.8252646141938002E-3</v>
      </c>
      <c r="L22" s="465">
        <f>J22*(1+'Model update'!$B$31)*(1-'2021_ACS service &amp; prices'!K22)+'Model update'!$J$196</f>
        <v>206.70141473623138</v>
      </c>
      <c r="M22" s="211"/>
    </row>
    <row r="23" spans="2:13" ht="26.4">
      <c r="B23" s="253" t="s">
        <v>331</v>
      </c>
      <c r="C23" s="253" t="str">
        <f>VLOOKUP(B23,'2020-21 feebased approved'!$A$4:$H$313,2,FALSE)</f>
        <v>DNS$1MBL
DNS$1MBI</v>
      </c>
      <c r="D23" s="253" t="s">
        <v>624</v>
      </c>
      <c r="E23" s="253" t="s">
        <v>848</v>
      </c>
      <c r="F23" s="253" t="s">
        <v>635</v>
      </c>
      <c r="G23" s="253" t="s">
        <v>638</v>
      </c>
      <c r="H23" s="251" t="s">
        <v>628</v>
      </c>
      <c r="I23" s="252" t="s">
        <v>170</v>
      </c>
      <c r="J23" s="458">
        <f>VLOOKUP(B23,'2020-21 feebased approved'!$A$4:$H$313,'2020-21 feebased approved'!$H$1,FALSE)</f>
        <v>787.28188384275381</v>
      </c>
      <c r="K23" s="461">
        <f>IF(OR(B23='Model update'!$P$187,B23='Model update'!$Q$187,B23='Model update'!$R$187,B23='Model update'!$S$187,B23='Model update'!$T$187,B23='Model update'!$U$187,B23='Model update'!$V$187,B23='Model update'!$W$187),'Model update'!$J$187,IF(OR(B23='Model update'!$P$188,B23='Model update'!$Q$188,B23='Model update'!$R$188,B23='Model update'!$S$188,B23='Model update'!$T$188,B23='Model update'!$U$188,B23='Model update'!$V$188,B23='Model update'!$W$188),'Model update'!$J$188,'Model update'!$J$186))</f>
        <v>-9.8252646141938002E-3</v>
      </c>
      <c r="L23" s="465">
        <f>J23*(1+'Model update'!$B$31)*(1-'2021_ACS service &amp; prices'!K23)+'Model update'!$J$196</f>
        <v>801.8589364767596</v>
      </c>
      <c r="M23" s="211"/>
    </row>
    <row r="24" spans="2:13" ht="26.4">
      <c r="B24" s="253" t="s">
        <v>332</v>
      </c>
      <c r="C24" s="253" t="str">
        <f>VLOOKUP(B24,'2020-21 feebased approved'!$A$4:$H$313,2,FALSE)</f>
        <v>DNR$BU</v>
      </c>
      <c r="D24" s="253" t="s">
        <v>624</v>
      </c>
      <c r="E24" s="253" t="s">
        <v>848</v>
      </c>
      <c r="F24" s="286" t="s">
        <v>639</v>
      </c>
      <c r="G24" s="253" t="s">
        <v>636</v>
      </c>
      <c r="H24" s="251" t="s">
        <v>110</v>
      </c>
      <c r="I24" s="252" t="s">
        <v>170</v>
      </c>
      <c r="J24" s="458">
        <f>VLOOKUP(B24,'2020-21 feebased approved'!$A$4:$H$313,'2020-21 feebased approved'!$H$1,FALSE)</f>
        <v>94.748453049168077</v>
      </c>
      <c r="K24" s="461">
        <f>IF(OR(B24='Model update'!$P$187,B24='Model update'!$Q$187,B24='Model update'!$R$187,B24='Model update'!$S$187,B24='Model update'!$T$187,B24='Model update'!$U$187,B24='Model update'!$V$187,B24='Model update'!$W$187),'Model update'!$J$187,IF(OR(B24='Model update'!$P$188,B24='Model update'!$Q$188,B24='Model update'!$R$188,B24='Model update'!$S$188,B24='Model update'!$T$188,B24='Model update'!$U$188,B24='Model update'!$V$188,B24='Model update'!$W$188),'Model update'!$J$188,'Model update'!$J$186))</f>
        <v>-9.8252646141938002E-3</v>
      </c>
      <c r="L24" s="465">
        <f>J24*(1+'Model update'!$B$31)*(1-'2021_ACS service &amp; prices'!K24)+'Model update'!$J$196</f>
        <v>96.502784268307636</v>
      </c>
      <c r="M24" s="211"/>
    </row>
    <row r="25" spans="2:13" ht="26.25" customHeight="1">
      <c r="B25" s="253" t="s">
        <v>333</v>
      </c>
      <c r="C25" s="253" t="str">
        <f>VLOOKUP(B25,'2020-21 feebased approved'!$A$4:$H$313,2,FALSE)</f>
        <v>DNR$AU</v>
      </c>
      <c r="D25" s="253" t="s">
        <v>624</v>
      </c>
      <c r="E25" s="253" t="s">
        <v>848</v>
      </c>
      <c r="F25" s="253" t="s">
        <v>639</v>
      </c>
      <c r="G25" s="253" t="s">
        <v>637</v>
      </c>
      <c r="H25" s="251" t="s">
        <v>110</v>
      </c>
      <c r="I25" s="252" t="s">
        <v>170</v>
      </c>
      <c r="J25" s="458">
        <f>VLOOKUP(B25,'2020-21 feebased approved'!$A$4:$H$313,'2020-21 feebased approved'!$H$1,FALSE)</f>
        <v>119.28708134847214</v>
      </c>
      <c r="K25" s="461">
        <f>IF(OR(B25='Model update'!$P$187,B25='Model update'!$Q$187,B25='Model update'!$R$187,B25='Model update'!$S$187,B25='Model update'!$T$187,B25='Model update'!$U$187,B25='Model update'!$V$187,B25='Model update'!$W$187),'Model update'!$J$187,IF(OR(B25='Model update'!$P$188,B25='Model update'!$Q$188,B25='Model update'!$R$188,B25='Model update'!$S$188,B25='Model update'!$T$188,B25='Model update'!$U$188,B25='Model update'!$V$188,B25='Model update'!$W$188),'Model update'!$J$188,'Model update'!$J$186))</f>
        <v>-9.8252646141938002E-3</v>
      </c>
      <c r="L25" s="465">
        <f>J25*(1+'Model update'!$B$31)*(1-'2021_ACS service &amp; prices'!K25)+'Model update'!$J$196</f>
        <v>121.49576174498551</v>
      </c>
      <c r="M25" s="211"/>
    </row>
    <row r="26" spans="2:13" ht="26.4">
      <c r="B26" s="253" t="s">
        <v>334</v>
      </c>
      <c r="C26" s="253" t="str">
        <f>VLOOKUP(B26,'2020-21 feebased approved'!$A$4:$H$313,2,FALSE)</f>
        <v>DNRVBU</v>
      </c>
      <c r="D26" s="253" t="s">
        <v>624</v>
      </c>
      <c r="E26" s="253" t="s">
        <v>848</v>
      </c>
      <c r="F26" s="253" t="s">
        <v>640</v>
      </c>
      <c r="G26" s="253" t="s">
        <v>636</v>
      </c>
      <c r="H26" s="251" t="s">
        <v>110</v>
      </c>
      <c r="I26" s="252" t="s">
        <v>170</v>
      </c>
      <c r="J26" s="458">
        <f>VLOOKUP(B26,'2020-21 feebased approved'!$A$4:$H$313,'2020-21 feebased approved'!$H$1,FALSE)</f>
        <v>94.748453049168077</v>
      </c>
      <c r="K26" s="461">
        <f>IF(OR(B26='Model update'!$P$187,B26='Model update'!$Q$187,B26='Model update'!$R$187,B26='Model update'!$S$187,B26='Model update'!$T$187,B26='Model update'!$U$187,B26='Model update'!$V$187,B26='Model update'!$W$187),'Model update'!$J$187,IF(OR(B26='Model update'!$P$188,B26='Model update'!$Q$188,B26='Model update'!$R$188,B26='Model update'!$S$188,B26='Model update'!$T$188,B26='Model update'!$U$188,B26='Model update'!$V$188,B26='Model update'!$W$188),'Model update'!$J$188,'Model update'!$J$186))</f>
        <v>-9.8252646141938002E-3</v>
      </c>
      <c r="L26" s="465">
        <f>J26*(1+'Model update'!$B$31)*(1-'2021_ACS service &amp; prices'!K26)+'Model update'!$J$196</f>
        <v>96.502784268307636</v>
      </c>
      <c r="M26" s="211"/>
    </row>
    <row r="27" spans="2:13" ht="26.4">
      <c r="B27" s="253" t="s">
        <v>335</v>
      </c>
      <c r="C27" s="253" t="str">
        <f>VLOOKUP(B27,'2020-21 feebased approved'!$A$4:$H$313,2,FALSE)</f>
        <v>DNRVAU</v>
      </c>
      <c r="D27" s="253" t="s">
        <v>624</v>
      </c>
      <c r="E27" s="253" t="s">
        <v>848</v>
      </c>
      <c r="F27" s="253" t="s">
        <v>640</v>
      </c>
      <c r="G27" s="253" t="s">
        <v>637</v>
      </c>
      <c r="H27" s="251" t="s">
        <v>110</v>
      </c>
      <c r="I27" s="252" t="s">
        <v>170</v>
      </c>
      <c r="J27" s="458">
        <f>VLOOKUP(B27,'2020-21 feebased approved'!$A$4:$H$313,'2020-21 feebased approved'!$H$1,FALSE)</f>
        <v>119.28708134847214</v>
      </c>
      <c r="K27" s="461">
        <f>IF(OR(B27='Model update'!$P$187,B27='Model update'!$Q$187,B27='Model update'!$R$187,B27='Model update'!$S$187,B27='Model update'!$T$187,B27='Model update'!$U$187,B27='Model update'!$V$187,B27='Model update'!$W$187),'Model update'!$J$187,IF(OR(B27='Model update'!$P$188,B27='Model update'!$Q$188,B27='Model update'!$R$188,B27='Model update'!$S$188,B27='Model update'!$T$188,B27='Model update'!$U$188,B27='Model update'!$V$188,B27='Model update'!$W$188),'Model update'!$J$188,'Model update'!$J$186))</f>
        <v>-9.8252646141938002E-3</v>
      </c>
      <c r="L27" s="465">
        <f>J27*(1+'Model update'!$B$31)*(1-'2021_ACS service &amp; prices'!K27)+'Model update'!$J$196</f>
        <v>121.49576174498551</v>
      </c>
      <c r="M27" s="211"/>
    </row>
    <row r="28" spans="2:13" ht="26.4">
      <c r="B28" s="253" t="s">
        <v>336</v>
      </c>
      <c r="C28" s="253" t="str">
        <f>VLOOKUP(B28,'2020-21 feebased approved'!$A$4:$H$313,2,FALSE)</f>
        <v>RN$1MBU</v>
      </c>
      <c r="D28" s="253" t="s">
        <v>624</v>
      </c>
      <c r="E28" s="253" t="s">
        <v>849</v>
      </c>
      <c r="F28" s="251" t="s">
        <v>641</v>
      </c>
      <c r="G28" s="253" t="s">
        <v>626</v>
      </c>
      <c r="H28" s="251" t="s">
        <v>627</v>
      </c>
      <c r="I28" s="252" t="s">
        <v>170</v>
      </c>
      <c r="J28" s="458">
        <f>VLOOKUP(B28,'2020-21 feebased approved'!$A$4:$H$313,'2020-21 feebased approved'!$H$1,FALSE)</f>
        <v>202.94377450168764</v>
      </c>
      <c r="K28" s="461">
        <f>IF(OR(B28='Model update'!$P$187,B28='Model update'!$Q$187,B28='Model update'!$R$187,B28='Model update'!$S$187,B28='Model update'!$T$187,B28='Model update'!$U$187,B28='Model update'!$V$187,B28='Model update'!$W$187),'Model update'!$J$187,IF(OR(B28='Model update'!$P$188,B28='Model update'!$Q$188,B28='Model update'!$R$188,B28='Model update'!$S$188,B28='Model update'!$T$188,B28='Model update'!$U$188,B28='Model update'!$V$188,B28='Model update'!$W$188),'Model update'!$J$188,'Model update'!$J$186))</f>
        <v>-9.8252646141938002E-3</v>
      </c>
      <c r="L28" s="465">
        <f>J28*(1+'Model update'!$B$31)*(1-'2021_ACS service &amp; prices'!K28)+'Model update'!$J$196</f>
        <v>206.70141473623138</v>
      </c>
      <c r="M28" s="211"/>
    </row>
    <row r="29" spans="2:13" ht="26.4">
      <c r="B29" s="253" t="s">
        <v>337</v>
      </c>
      <c r="C29" s="253" t="str">
        <f>VLOOKUP(B29,'2020-21 feebased approved'!$A$4:$H$313,2,FALSE)</f>
        <v>RN$1MBL
RN$1MBI</v>
      </c>
      <c r="D29" s="253" t="s">
        <v>624</v>
      </c>
      <c r="E29" s="253" t="s">
        <v>849</v>
      </c>
      <c r="F29" s="253" t="s">
        <v>641</v>
      </c>
      <c r="G29" s="253" t="s">
        <v>626</v>
      </c>
      <c r="H29" s="251" t="s">
        <v>628</v>
      </c>
      <c r="I29" s="252"/>
      <c r="J29" s="458">
        <f>VLOOKUP(B29,'2020-21 feebased approved'!$A$4:$H$313,'2020-21 feebased approved'!$H$1,FALSE)</f>
        <v>787.28188384275381</v>
      </c>
      <c r="K29" s="461">
        <f>IF(OR(B29='Model update'!$P$187,B29='Model update'!$Q$187,B29='Model update'!$R$187,B29='Model update'!$S$187,B29='Model update'!$T$187,B29='Model update'!$U$187,B29='Model update'!$V$187,B29='Model update'!$W$187),'Model update'!$J$187,IF(OR(B29='Model update'!$P$188,B29='Model update'!$Q$188,B29='Model update'!$R$188,B29='Model update'!$S$188,B29='Model update'!$T$188,B29='Model update'!$U$188,B29='Model update'!$V$188,B29='Model update'!$W$188),'Model update'!$J$188,'Model update'!$J$186))</f>
        <v>-9.8252646141938002E-3</v>
      </c>
      <c r="L29" s="465">
        <f>J29*(1+'Model update'!$B$31)*(1-'2021_ACS service &amp; prices'!K29)+'Model update'!$J$196</f>
        <v>801.8589364767596</v>
      </c>
      <c r="M29" s="211"/>
    </row>
    <row r="30" spans="2:13" ht="26.4">
      <c r="B30" s="253" t="s">
        <v>338</v>
      </c>
      <c r="C30" s="253" t="str">
        <f>VLOOKUP(B30,'2020-21 feebased approved'!$A$4:$H$313,2,FALSE)</f>
        <v>RN$2MBU</v>
      </c>
      <c r="D30" s="253" t="s">
        <v>624</v>
      </c>
      <c r="E30" s="253" t="s">
        <v>849</v>
      </c>
      <c r="F30" s="253" t="s">
        <v>641</v>
      </c>
      <c r="G30" s="253" t="s">
        <v>630</v>
      </c>
      <c r="H30" s="251" t="s">
        <v>627</v>
      </c>
      <c r="I30" s="252" t="s">
        <v>170</v>
      </c>
      <c r="J30" s="458">
        <f>VLOOKUP(B30,'2020-21 feebased approved'!$A$4:$H$313,'2020-21 feebased approved'!$H$1,FALSE)</f>
        <v>261.26095108263235</v>
      </c>
      <c r="K30" s="461">
        <f>IF(OR(B30='Model update'!$P$187,B30='Model update'!$Q$187,B30='Model update'!$R$187,B30='Model update'!$S$187,B30='Model update'!$T$187,B30='Model update'!$U$187,B30='Model update'!$V$187,B30='Model update'!$W$187),'Model update'!$J$187,IF(OR(B30='Model update'!$P$188,B30='Model update'!$Q$188,B30='Model update'!$R$188,B30='Model update'!$S$188,B30='Model update'!$T$188,B30='Model update'!$U$188,B30='Model update'!$V$188,B30='Model update'!$W$188),'Model update'!$J$188,'Model update'!$J$186))</f>
        <v>-9.8252646141938002E-3</v>
      </c>
      <c r="L30" s="465">
        <f>J30*(1+'Model update'!$B$31)*(1-'2021_ACS service &amp; prices'!K30)+'Model update'!$J$196</f>
        <v>266.09837299376909</v>
      </c>
      <c r="M30" s="211"/>
    </row>
    <row r="31" spans="2:13" ht="28.5" customHeight="1">
      <c r="B31" s="253" t="s">
        <v>339</v>
      </c>
      <c r="C31" s="253" t="str">
        <f>VLOOKUP(B31,'2020-21 feebased approved'!$A$4:$H$313,2,FALSE)</f>
        <v>RN$2MBL
RN$2MBI</v>
      </c>
      <c r="D31" s="253" t="s">
        <v>624</v>
      </c>
      <c r="E31" s="253" t="s">
        <v>849</v>
      </c>
      <c r="F31" s="253" t="s">
        <v>641</v>
      </c>
      <c r="G31" s="253" t="s">
        <v>630</v>
      </c>
      <c r="H31" s="251" t="s">
        <v>628</v>
      </c>
      <c r="I31" s="252" t="s">
        <v>170</v>
      </c>
      <c r="J31" s="458">
        <f>VLOOKUP(B31,'2020-21 feebased approved'!$A$4:$H$313,'2020-21 feebased approved'!$H$1,FALSE)</f>
        <v>845.59906042369857</v>
      </c>
      <c r="K31" s="461">
        <f>IF(OR(B31='Model update'!$P$187,B31='Model update'!$Q$187,B31='Model update'!$R$187,B31='Model update'!$S$187,B31='Model update'!$T$187,B31='Model update'!$U$187,B31='Model update'!$V$187,B31='Model update'!$W$187),'Model update'!$J$187,IF(OR(B31='Model update'!$P$188,B31='Model update'!$Q$188,B31='Model update'!$R$188,B31='Model update'!$S$188,B31='Model update'!$T$188,B31='Model update'!$U$188,B31='Model update'!$V$188,B31='Model update'!$W$188),'Model update'!$J$188,'Model update'!$J$186))</f>
        <v>-9.8252646141938002E-3</v>
      </c>
      <c r="L31" s="465">
        <f>J31*(1+'Model update'!$B$31)*(1-'2021_ACS service &amp; prices'!K31)+'Model update'!$J$196</f>
        <v>861.2558947342975</v>
      </c>
      <c r="M31" s="211"/>
    </row>
    <row r="32" spans="2:13" ht="26.4">
      <c r="B32" s="253" t="s">
        <v>340</v>
      </c>
      <c r="C32" s="253" t="str">
        <f>VLOOKUP(B32,'2020-21 feebased approved'!$A$4:$H$313,2,FALSE)</f>
        <v>RN$1MAU</v>
      </c>
      <c r="D32" s="253" t="s">
        <v>624</v>
      </c>
      <c r="E32" s="253" t="s">
        <v>849</v>
      </c>
      <c r="F32" s="253" t="s">
        <v>641</v>
      </c>
      <c r="G32" s="253" t="s">
        <v>629</v>
      </c>
      <c r="H32" s="251" t="s">
        <v>627</v>
      </c>
      <c r="I32" s="252" t="s">
        <v>170</v>
      </c>
      <c r="J32" s="458">
        <f>VLOOKUP(B32,'2020-21 feebased approved'!$A$4:$H$313,'2020-21 feebased approved'!$H$1,FALSE)</f>
        <v>266.78148194564938</v>
      </c>
      <c r="K32" s="461">
        <f>IF(OR(B32='Model update'!$P$187,B32='Model update'!$Q$187,B32='Model update'!$R$187,B32='Model update'!$S$187,B32='Model update'!$T$187,B32='Model update'!$U$187,B32='Model update'!$V$187,B32='Model update'!$W$187),'Model update'!$J$187,IF(OR(B32='Model update'!$P$188,B32='Model update'!$Q$188,B32='Model update'!$R$188,B32='Model update'!$S$188,B32='Model update'!$T$188,B32='Model update'!$U$188,B32='Model update'!$V$188,B32='Model update'!$W$188),'Model update'!$J$188,'Model update'!$J$186))</f>
        <v>-9.8252646141938002E-3</v>
      </c>
      <c r="L32" s="465">
        <f>J32*(1+'Model update'!$B$31)*(1-'2021_ACS service &amp; prices'!K32)+'Model update'!$J$196</f>
        <v>271.72112019201421</v>
      </c>
      <c r="M32" s="211"/>
    </row>
    <row r="33" spans="2:13" ht="26.4">
      <c r="B33" s="253" t="s">
        <v>341</v>
      </c>
      <c r="C33" s="253" t="str">
        <f>VLOOKUP(B33,'2020-21 feebased approved'!$A$4:$H$313,2,FALSE)</f>
        <v>RN$1MAL
RN$1MAI</v>
      </c>
      <c r="D33" s="253" t="s">
        <v>624</v>
      </c>
      <c r="E33" s="253" t="s">
        <v>849</v>
      </c>
      <c r="F33" s="253" t="s">
        <v>641</v>
      </c>
      <c r="G33" s="253" t="s">
        <v>629</v>
      </c>
      <c r="H33" s="251" t="s">
        <v>628</v>
      </c>
      <c r="I33" s="252" t="s">
        <v>170</v>
      </c>
      <c r="J33" s="458">
        <f>VLOOKUP(B33,'2020-21 feebased approved'!$A$4:$H$313,'2020-21 feebased approved'!$H$1,FALSE)</f>
        <v>1034.9281627201917</v>
      </c>
      <c r="K33" s="461">
        <f>IF(OR(B33='Model update'!$P$187,B33='Model update'!$Q$187,B33='Model update'!$R$187,B33='Model update'!$S$187,B33='Model update'!$T$187,B33='Model update'!$U$187,B33='Model update'!$V$187,B33='Model update'!$W$187),'Model update'!$J$187,IF(OR(B33='Model update'!$P$188,B33='Model update'!$Q$188,B33='Model update'!$R$188,B33='Model update'!$S$188,B33='Model update'!$T$188,B33='Model update'!$U$188,B33='Model update'!$V$188,B33='Model update'!$W$188),'Model update'!$J$188,'Model update'!$J$186))</f>
        <v>-9.8252646141938002E-3</v>
      </c>
      <c r="L33" s="465">
        <f>J33*(1+'Model update'!$B$31)*(1-'2021_ACS service &amp; prices'!K33)+'Model update'!$J$196</f>
        <v>1054.0905524690208</v>
      </c>
      <c r="M33" s="211"/>
    </row>
    <row r="34" spans="2:13" ht="26.4">
      <c r="B34" s="253" t="s">
        <v>342</v>
      </c>
      <c r="C34" s="253" t="str">
        <f>VLOOKUP(B34,'2020-21 feebased approved'!$A$4:$H$313,2,FALSE)</f>
        <v>RN$1MTU</v>
      </c>
      <c r="D34" s="253" t="s">
        <v>624</v>
      </c>
      <c r="E34" s="253" t="s">
        <v>849</v>
      </c>
      <c r="F34" s="253" t="s">
        <v>641</v>
      </c>
      <c r="G34" s="253" t="s">
        <v>642</v>
      </c>
      <c r="H34" s="251" t="s">
        <v>627</v>
      </c>
      <c r="I34" s="252" t="s">
        <v>170</v>
      </c>
      <c r="J34" s="458">
        <f>VLOOKUP(B34,'2020-21 feebased approved'!$A$4:$H$313,'2020-21 feebased approved'!$H$1,FALSE)</f>
        <v>266.78148194564938</v>
      </c>
      <c r="K34" s="461">
        <f>IF(OR(B34='Model update'!$P$187,B34='Model update'!$Q$187,B34='Model update'!$R$187,B34='Model update'!$S$187,B34='Model update'!$T$187,B34='Model update'!$U$187,B34='Model update'!$V$187,B34='Model update'!$W$187),'Model update'!$J$187,IF(OR(B34='Model update'!$P$188,B34='Model update'!$Q$188,B34='Model update'!$R$188,B34='Model update'!$S$188,B34='Model update'!$T$188,B34='Model update'!$U$188,B34='Model update'!$V$188,B34='Model update'!$W$188),'Model update'!$J$188,'Model update'!$J$186))</f>
        <v>-9.8252646141938002E-3</v>
      </c>
      <c r="L34" s="465">
        <f>J34*(1+'Model update'!$B$31)*(1-'2021_ACS service &amp; prices'!K34)+'Model update'!$J$196</f>
        <v>271.72112019201421</v>
      </c>
      <c r="M34" s="211"/>
    </row>
    <row r="35" spans="2:13" ht="26.4">
      <c r="B35" s="253" t="s">
        <v>343</v>
      </c>
      <c r="C35" s="253" t="str">
        <f>VLOOKUP(B35,'2020-21 feebased approved'!$A$4:$H$313,2,FALSE)</f>
        <v>RN$2MAU</v>
      </c>
      <c r="D35" s="253" t="s">
        <v>624</v>
      </c>
      <c r="E35" s="253" t="s">
        <v>849</v>
      </c>
      <c r="F35" s="253" t="s">
        <v>641</v>
      </c>
      <c r="G35" s="253" t="s">
        <v>632</v>
      </c>
      <c r="H35" s="251" t="s">
        <v>627</v>
      </c>
      <c r="I35" s="252" t="s">
        <v>170</v>
      </c>
      <c r="J35" s="458">
        <f>VLOOKUP(B35,'2020-21 feebased approved'!$A$4:$H$313,'2020-21 feebased approved'!$H$1,FALSE)</f>
        <v>343.44282733233024</v>
      </c>
      <c r="K35" s="461">
        <f>IF(OR(B35='Model update'!$P$187,B35='Model update'!$Q$187,B35='Model update'!$R$187,B35='Model update'!$S$187,B35='Model update'!$T$187,B35='Model update'!$U$187,B35='Model update'!$V$187,B35='Model update'!$W$187),'Model update'!$J$187,IF(OR(B35='Model update'!$P$188,B35='Model update'!$Q$188,B35='Model update'!$R$188,B35='Model update'!$S$188,B35='Model update'!$T$188,B35='Model update'!$U$188,B35='Model update'!$V$188,B35='Model update'!$W$188),'Model update'!$J$188,'Model update'!$J$186))</f>
        <v>-9.8252646141938002E-3</v>
      </c>
      <c r="L35" s="465">
        <f>J35*(1+'Model update'!$B$31)*(1-'2021_ACS service &amp; prices'!K35)+'Model update'!$J$196</f>
        <v>349.80190185638611</v>
      </c>
      <c r="M35" s="211"/>
    </row>
    <row r="36" spans="2:13" ht="26.4">
      <c r="B36" s="253" t="s">
        <v>344</v>
      </c>
      <c r="C36" s="253" t="str">
        <f>VLOOKUP(B36,'2020-21 feebased approved'!$A$4:$H$313,2,FALSE)</f>
        <v>RN$2MAL
RN$2MAI</v>
      </c>
      <c r="D36" s="253" t="s">
        <v>624</v>
      </c>
      <c r="E36" s="253" t="s">
        <v>849</v>
      </c>
      <c r="F36" s="253" t="s">
        <v>641</v>
      </c>
      <c r="G36" s="253" t="s">
        <v>632</v>
      </c>
      <c r="H36" s="251" t="s">
        <v>628</v>
      </c>
      <c r="I36" s="252" t="s">
        <v>170</v>
      </c>
      <c r="J36" s="458">
        <f>VLOOKUP(B36,'2020-21 feebased approved'!$A$4:$H$313,'2020-21 feebased approved'!$H$1,FALSE)</f>
        <v>1111.5895081068725</v>
      </c>
      <c r="K36" s="461">
        <f>IF(OR(B36='Model update'!$P$187,B36='Model update'!$Q$187,B36='Model update'!$R$187,B36='Model update'!$S$187,B36='Model update'!$T$187,B36='Model update'!$U$187,B36='Model update'!$V$187,B36='Model update'!$W$187),'Model update'!$J$187,IF(OR(B36='Model update'!$P$188,B36='Model update'!$Q$188,B36='Model update'!$R$188,B36='Model update'!$S$188,B36='Model update'!$T$188,B36='Model update'!$U$188,B36='Model update'!$V$188,B36='Model update'!$W$188),'Model update'!$J$188,'Model update'!$J$186))</f>
        <v>-9.8252646141938002E-3</v>
      </c>
      <c r="L36" s="465">
        <f>J36*(1+'Model update'!$B$31)*(1-'2021_ACS service &amp; prices'!K36)+'Model update'!$J$196</f>
        <v>1132.1713341333925</v>
      </c>
      <c r="M36" s="211"/>
    </row>
    <row r="37" spans="2:13" ht="26.4">
      <c r="B37" s="253" t="s">
        <v>345</v>
      </c>
      <c r="C37" s="253" t="str">
        <f>VLOOKUP(B37,'2020-21 feebased approved'!$A$4:$H$313,2,FALSE)</f>
        <v>RN$2MTU</v>
      </c>
      <c r="D37" s="253" t="s">
        <v>624</v>
      </c>
      <c r="E37" s="253" t="s">
        <v>849</v>
      </c>
      <c r="F37" s="253" t="s">
        <v>641</v>
      </c>
      <c r="G37" s="253" t="s">
        <v>643</v>
      </c>
      <c r="H37" s="251" t="s">
        <v>627</v>
      </c>
      <c r="I37" s="252" t="s">
        <v>170</v>
      </c>
      <c r="J37" s="458">
        <f>VLOOKUP(B37,'2020-21 feebased approved'!$A$4:$H$313,'2020-21 feebased approved'!$H$1,FALSE)</f>
        <v>343.44282733233024</v>
      </c>
      <c r="K37" s="461">
        <f>IF(OR(B37='Model update'!$P$187,B37='Model update'!$Q$187,B37='Model update'!$R$187,B37='Model update'!$S$187,B37='Model update'!$T$187,B37='Model update'!$U$187,B37='Model update'!$V$187,B37='Model update'!$W$187),'Model update'!$J$187,IF(OR(B37='Model update'!$P$188,B37='Model update'!$Q$188,B37='Model update'!$R$188,B37='Model update'!$S$188,B37='Model update'!$T$188,B37='Model update'!$U$188,B37='Model update'!$V$188,B37='Model update'!$W$188),'Model update'!$J$188,'Model update'!$J$186))</f>
        <v>-9.8252646141938002E-3</v>
      </c>
      <c r="L37" s="465">
        <f>J37*(1+'Model update'!$B$31)*(1-'2021_ACS service &amp; prices'!K37)+'Model update'!$J$196</f>
        <v>349.80190185638611</v>
      </c>
      <c r="M37" s="233"/>
    </row>
    <row r="38" spans="2:13" ht="26.4">
      <c r="B38" s="253" t="s">
        <v>346</v>
      </c>
      <c r="C38" s="253" t="str">
        <f>VLOOKUP(B38,'2020-21 feebased approved'!$A$4:$H$313,2,FALSE)</f>
        <v>RNS1MBU</v>
      </c>
      <c r="D38" s="253" t="s">
        <v>624</v>
      </c>
      <c r="E38" s="253" t="s">
        <v>849</v>
      </c>
      <c r="F38" s="253" t="s">
        <v>644</v>
      </c>
      <c r="G38" s="253" t="s">
        <v>636</v>
      </c>
      <c r="H38" s="251" t="s">
        <v>627</v>
      </c>
      <c r="I38" s="252" t="s">
        <v>170</v>
      </c>
      <c r="J38" s="458">
        <f>VLOOKUP(B38,'2020-21 feebased approved'!$A$4:$H$313,'2020-21 feebased approved'!$H$1,FALSE)</f>
        <v>101.47188725084382</v>
      </c>
      <c r="K38" s="461">
        <f>IF(OR(B38='Model update'!$P$187,B38='Model update'!$Q$187,B38='Model update'!$R$187,B38='Model update'!$S$187,B38='Model update'!$T$187,B38='Model update'!$U$187,B38='Model update'!$V$187,B38='Model update'!$W$187),'Model update'!$J$187,IF(OR(B38='Model update'!$P$188,B38='Model update'!$Q$188,B38='Model update'!$R$188,B38='Model update'!$S$188,B38='Model update'!$T$188,B38='Model update'!$U$188,B38='Model update'!$V$188,B38='Model update'!$W$188),'Model update'!$J$188,'Model update'!$J$186))</f>
        <v>-9.8252646141938002E-3</v>
      </c>
      <c r="L38" s="465">
        <f>J38*(1+'Model update'!$B$31)*(1-'2021_ACS service &amp; prices'!K38)+'Model update'!$J$196</f>
        <v>103.35070736811569</v>
      </c>
      <c r="M38" s="233"/>
    </row>
    <row r="39" spans="2:13" ht="26.4">
      <c r="B39" s="253" t="s">
        <v>347</v>
      </c>
      <c r="C39" s="253" t="str">
        <f>VLOOKUP(B39,'2020-21 feebased approved'!$A$4:$H$313,2,FALSE)</f>
        <v>RNS1MBL
RNS1MBI</v>
      </c>
      <c r="D39" s="253" t="s">
        <v>624</v>
      </c>
      <c r="E39" s="253" t="s">
        <v>849</v>
      </c>
      <c r="F39" s="253" t="s">
        <v>644</v>
      </c>
      <c r="G39" s="253" t="s">
        <v>636</v>
      </c>
      <c r="H39" s="251" t="s">
        <v>628</v>
      </c>
      <c r="I39" s="252" t="s">
        <v>170</v>
      </c>
      <c r="J39" s="458">
        <f>VLOOKUP(B39,'2020-21 feebased approved'!$A$4:$H$313,'2020-21 feebased approved'!$H$1,FALSE)</f>
        <v>393.64094192137691</v>
      </c>
      <c r="K39" s="461">
        <f>IF(OR(B39='Model update'!$P$187,B39='Model update'!$Q$187,B39='Model update'!$R$187,B39='Model update'!$S$187,B39='Model update'!$T$187,B39='Model update'!$U$187,B39='Model update'!$V$187,B39='Model update'!$W$187),'Model update'!$J$187,IF(OR(B39='Model update'!$P$188,B39='Model update'!$Q$188,B39='Model update'!$R$188,B39='Model update'!$S$188,B39='Model update'!$T$188,B39='Model update'!$U$188,B39='Model update'!$V$188,B39='Model update'!$W$188),'Model update'!$J$188,'Model update'!$J$186))</f>
        <v>-9.8252646141938002E-3</v>
      </c>
      <c r="L39" s="465">
        <f>J39*(1+'Model update'!$B$31)*(1-'2021_ACS service &amp; prices'!K39)+'Model update'!$J$196</f>
        <v>400.9294682383798</v>
      </c>
      <c r="M39" s="248"/>
    </row>
    <row r="40" spans="2:13" ht="26.4">
      <c r="B40" s="253" t="s">
        <v>348</v>
      </c>
      <c r="C40" s="253" t="str">
        <f>VLOOKUP(B40,'2020-21 feebased approved'!$A$4:$H$313,2,FALSE)</f>
        <v>RNS1MAU</v>
      </c>
      <c r="D40" s="253" t="s">
        <v>624</v>
      </c>
      <c r="E40" s="253" t="s">
        <v>849</v>
      </c>
      <c r="F40" s="253" t="s">
        <v>644</v>
      </c>
      <c r="G40" s="253" t="s">
        <v>637</v>
      </c>
      <c r="H40" s="251" t="s">
        <v>627</v>
      </c>
      <c r="I40" s="252" t="s">
        <v>170</v>
      </c>
      <c r="J40" s="458">
        <f>VLOOKUP(B40,'2020-21 feebased approved'!$A$4:$H$313,'2020-21 feebased approved'!$H$1,FALSE)</f>
        <v>133.39074097282469</v>
      </c>
      <c r="K40" s="461">
        <f>IF(OR(B40='Model update'!$P$187,B40='Model update'!$Q$187,B40='Model update'!$R$187,B40='Model update'!$S$187,B40='Model update'!$T$187,B40='Model update'!$U$187,B40='Model update'!$V$187,B40='Model update'!$W$187),'Model update'!$J$187,IF(OR(B40='Model update'!$P$188,B40='Model update'!$Q$188,B40='Model update'!$R$188,B40='Model update'!$S$188,B40='Model update'!$T$188,B40='Model update'!$U$188,B40='Model update'!$V$188,B40='Model update'!$W$188),'Model update'!$J$188,'Model update'!$J$186))</f>
        <v>-9.8252646141938002E-3</v>
      </c>
      <c r="L40" s="465">
        <f>J40*(1+'Model update'!$B$31)*(1-'2021_ACS service &amp; prices'!K40)+'Model update'!$J$196</f>
        <v>135.86056009600711</v>
      </c>
      <c r="M40" s="248"/>
    </row>
    <row r="41" spans="2:13" ht="26.4">
      <c r="B41" s="253" t="s">
        <v>349</v>
      </c>
      <c r="C41" s="253" t="str">
        <f>VLOOKUP(B41,'2020-21 feebased approved'!$A$4:$H$313,2,FALSE)</f>
        <v>RNS1MAL
RNS1MAI</v>
      </c>
      <c r="D41" s="253" t="s">
        <v>624</v>
      </c>
      <c r="E41" s="253" t="s">
        <v>849</v>
      </c>
      <c r="F41" s="253" t="s">
        <v>644</v>
      </c>
      <c r="G41" s="253" t="s">
        <v>637</v>
      </c>
      <c r="H41" s="251" t="s">
        <v>628</v>
      </c>
      <c r="I41" s="252" t="s">
        <v>170</v>
      </c>
      <c r="J41" s="458">
        <f>VLOOKUP(B41,'2020-21 feebased approved'!$A$4:$H$313,'2020-21 feebased approved'!$H$1,FALSE)</f>
        <v>517.46408136009586</v>
      </c>
      <c r="K41" s="461">
        <f>IF(OR(B41='Model update'!$P$187,B41='Model update'!$Q$187,B41='Model update'!$R$187,B41='Model update'!$S$187,B41='Model update'!$T$187,B41='Model update'!$U$187,B41='Model update'!$V$187,B41='Model update'!$W$187),'Model update'!$J$187,IF(OR(B41='Model update'!$P$188,B41='Model update'!$Q$188,B41='Model update'!$R$188,B41='Model update'!$S$188,B41='Model update'!$T$188,B41='Model update'!$U$188,B41='Model update'!$V$188,B41='Model update'!$W$188),'Model update'!$J$188,'Model update'!$J$186))</f>
        <v>-9.8252646141938002E-3</v>
      </c>
      <c r="L41" s="465">
        <f>J41*(1+'Model update'!$B$31)*(1-'2021_ACS service &amp; prices'!K41)+'Model update'!$J$196</f>
        <v>527.04527623451042</v>
      </c>
      <c r="M41" s="248"/>
    </row>
    <row r="42" spans="2:13" ht="26.4">
      <c r="B42" s="253" t="s">
        <v>350</v>
      </c>
      <c r="C42" s="253" t="str">
        <f>VLOOKUP(B42,'2020-21 feebased approved'!$A$4:$H$313,2,FALSE)</f>
        <v>RNS1MTU</v>
      </c>
      <c r="D42" s="253" t="s">
        <v>624</v>
      </c>
      <c r="E42" s="253" t="s">
        <v>849</v>
      </c>
      <c r="F42" s="253" t="s">
        <v>644</v>
      </c>
      <c r="G42" s="253" t="s">
        <v>645</v>
      </c>
      <c r="H42" s="251" t="s">
        <v>627</v>
      </c>
      <c r="I42" s="252" t="s">
        <v>170</v>
      </c>
      <c r="J42" s="458">
        <f>VLOOKUP(B42,'2020-21 feebased approved'!$A$4:$H$313,'2020-21 feebased approved'!$H$1,FALSE)</f>
        <v>133.39074097282469</v>
      </c>
      <c r="K42" s="461">
        <f>IF(OR(B42='Model update'!$P$187,B42='Model update'!$Q$187,B42='Model update'!$R$187,B42='Model update'!$S$187,B42='Model update'!$T$187,B42='Model update'!$U$187,B42='Model update'!$V$187,B42='Model update'!$W$187),'Model update'!$J$187,IF(OR(B42='Model update'!$P$188,B42='Model update'!$Q$188,B42='Model update'!$R$188,B42='Model update'!$S$188,B42='Model update'!$T$188,B42='Model update'!$U$188,B42='Model update'!$V$188,B42='Model update'!$W$188),'Model update'!$J$188,'Model update'!$J$186))</f>
        <v>-9.8252646141938002E-3</v>
      </c>
      <c r="L42" s="465">
        <f>J42*(1+'Model update'!$B$31)*(1-'2021_ACS service &amp; prices'!K42)+'Model update'!$J$196</f>
        <v>135.86056009600711</v>
      </c>
      <c r="M42" s="248"/>
    </row>
    <row r="43" spans="2:13" ht="26.4">
      <c r="B43" s="253" t="s">
        <v>351</v>
      </c>
      <c r="C43" s="253" t="str">
        <f>VLOOKUP(B43,'2020-21 feebased approved'!$A$4:$H$313,2,FALSE)</f>
        <v>RNS$1MBU</v>
      </c>
      <c r="D43" s="253" t="s">
        <v>624</v>
      </c>
      <c r="E43" s="253" t="s">
        <v>849</v>
      </c>
      <c r="F43" s="253" t="s">
        <v>644</v>
      </c>
      <c r="G43" s="253" t="s">
        <v>638</v>
      </c>
      <c r="H43" s="251" t="s">
        <v>627</v>
      </c>
      <c r="I43" s="252" t="s">
        <v>170</v>
      </c>
      <c r="J43" s="458">
        <f>VLOOKUP(B43,'2020-21 feebased approved'!$A$4:$H$313,'2020-21 feebased approved'!$H$1,FALSE)</f>
        <v>202.94377450168764</v>
      </c>
      <c r="K43" s="461">
        <f>IF(OR(B43='Model update'!$P$187,B43='Model update'!$Q$187,B43='Model update'!$R$187,B43='Model update'!$S$187,B43='Model update'!$T$187,B43='Model update'!$U$187,B43='Model update'!$V$187,B43='Model update'!$W$187),'Model update'!$J$187,IF(OR(B43='Model update'!$P$188,B43='Model update'!$Q$188,B43='Model update'!$R$188,B43='Model update'!$S$188,B43='Model update'!$T$188,B43='Model update'!$U$188,B43='Model update'!$V$188,B43='Model update'!$W$188),'Model update'!$J$188,'Model update'!$J$186))</f>
        <v>-9.8252646141938002E-3</v>
      </c>
      <c r="L43" s="465">
        <f>J43*(1+'Model update'!$B$31)*(1-'2021_ACS service &amp; prices'!K43)+'Model update'!$J$196</f>
        <v>206.70141473623138</v>
      </c>
      <c r="M43" s="211"/>
    </row>
    <row r="44" spans="2:13" ht="26.4">
      <c r="B44" s="253" t="s">
        <v>352</v>
      </c>
      <c r="C44" s="253" t="str">
        <f>VLOOKUP(B44,'2020-21 feebased approved'!$A$4:$H$313,2,FALSE)</f>
        <v>RNS$1MBL
RNS$1MBI</v>
      </c>
      <c r="D44" s="253" t="s">
        <v>624</v>
      </c>
      <c r="E44" s="253" t="s">
        <v>849</v>
      </c>
      <c r="F44" s="253" t="s">
        <v>644</v>
      </c>
      <c r="G44" s="253" t="s">
        <v>638</v>
      </c>
      <c r="H44" s="251" t="s">
        <v>628</v>
      </c>
      <c r="I44" s="252" t="s">
        <v>170</v>
      </c>
      <c r="J44" s="458">
        <f>VLOOKUP(B44,'2020-21 feebased approved'!$A$4:$H$313,'2020-21 feebased approved'!$H$1,FALSE)</f>
        <v>787.28188384275381</v>
      </c>
      <c r="K44" s="461">
        <f>IF(OR(B44='Model update'!$P$187,B44='Model update'!$Q$187,B44='Model update'!$R$187,B44='Model update'!$S$187,B44='Model update'!$T$187,B44='Model update'!$U$187,B44='Model update'!$V$187,B44='Model update'!$W$187),'Model update'!$J$187,IF(OR(B44='Model update'!$P$188,B44='Model update'!$Q$188,B44='Model update'!$R$188,B44='Model update'!$S$188,B44='Model update'!$T$188,B44='Model update'!$U$188,B44='Model update'!$V$188,B44='Model update'!$W$188),'Model update'!$J$188,'Model update'!$J$186))</f>
        <v>-9.8252646141938002E-3</v>
      </c>
      <c r="L44" s="465">
        <f>J44*(1+'Model update'!$B$31)*(1-'2021_ACS service &amp; prices'!K44)+'Model update'!$J$196</f>
        <v>801.8589364767596</v>
      </c>
      <c r="M44" s="211"/>
    </row>
    <row r="45" spans="2:13" ht="26.4">
      <c r="B45" s="253" t="s">
        <v>353</v>
      </c>
      <c r="C45" s="253" t="str">
        <f>VLOOKUP(B45,'2020-21 feebased approved'!$A$4:$H$313,2,FALSE)</f>
        <v>RNV1MBU</v>
      </c>
      <c r="D45" s="253" t="s">
        <v>624</v>
      </c>
      <c r="E45" s="253" t="s">
        <v>849</v>
      </c>
      <c r="F45" s="253" t="s">
        <v>646</v>
      </c>
      <c r="G45" s="253" t="s">
        <v>626</v>
      </c>
      <c r="H45" s="251" t="s">
        <v>627</v>
      </c>
      <c r="I45" s="252" t="s">
        <v>170</v>
      </c>
      <c r="J45" s="458">
        <f>VLOOKUP(B45,'2020-21 feebased approved'!$A$4:$H$313,'2020-21 feebased approved'!$H$1,FALSE)</f>
        <v>145.20976968655236</v>
      </c>
      <c r="K45" s="461">
        <f>IF(OR(B45='Model update'!$P$187,B45='Model update'!$Q$187,B45='Model update'!$R$187,B45='Model update'!$S$187,B45='Model update'!$T$187,B45='Model update'!$U$187,B45='Model update'!$V$187,B45='Model update'!$W$187),'Model update'!$J$187,IF(OR(B45='Model update'!$P$188,B45='Model update'!$Q$188,B45='Model update'!$R$188,B45='Model update'!$S$188,B45='Model update'!$T$188,B45='Model update'!$U$188,B45='Model update'!$V$188,B45='Model update'!$W$188),'Model update'!$J$188,'Model update'!$J$186))</f>
        <v>-9.8252646141938002E-3</v>
      </c>
      <c r="L45" s="465">
        <f>J45*(1+'Model update'!$B$31)*(1-'2021_ACS service &amp; prices'!K45)+'Model update'!$J$196</f>
        <v>147.89842606126899</v>
      </c>
      <c r="M45" s="211"/>
    </row>
    <row r="46" spans="2:13" ht="26.4">
      <c r="B46" s="253" t="s">
        <v>354</v>
      </c>
      <c r="C46" s="253" t="str">
        <f>VLOOKUP(B46,'2020-21 feebased approved'!$A$4:$H$313,2,FALSE)</f>
        <v>RNV1MBL
RNV1MBI</v>
      </c>
      <c r="D46" s="253" t="s">
        <v>624</v>
      </c>
      <c r="E46" s="253" t="s">
        <v>849</v>
      </c>
      <c r="F46" s="253" t="s">
        <v>646</v>
      </c>
      <c r="G46" s="253" t="s">
        <v>626</v>
      </c>
      <c r="H46" s="251" t="s">
        <v>628</v>
      </c>
      <c r="I46" s="252" t="s">
        <v>170</v>
      </c>
      <c r="J46" s="458">
        <f>VLOOKUP(B46,'2020-21 feebased approved'!$A$4:$H$313,'2020-21 feebased approved'!$H$1,FALSE)</f>
        <v>437.37882435708542</v>
      </c>
      <c r="K46" s="461">
        <f>IF(OR(B46='Model update'!$P$187,B46='Model update'!$Q$187,B46='Model update'!$R$187,B46='Model update'!$S$187,B46='Model update'!$T$187,B46='Model update'!$U$187,B46='Model update'!$V$187,B46='Model update'!$W$187),'Model update'!$J$187,IF(OR(B46='Model update'!$P$188,B46='Model update'!$Q$188,B46='Model update'!$R$188,B46='Model update'!$S$188,B46='Model update'!$T$188,B46='Model update'!$U$188,B46='Model update'!$V$188,B46='Model update'!$W$188),'Model update'!$J$188,'Model update'!$J$186))</f>
        <v>-9.8252646141938002E-3</v>
      </c>
      <c r="L46" s="465">
        <f>J46*(1+'Model update'!$B$31)*(1-'2021_ACS service &amp; prices'!K46)+'Model update'!$J$196</f>
        <v>445.47718693153308</v>
      </c>
      <c r="M46" s="211"/>
    </row>
    <row r="47" spans="2:13" ht="26.4">
      <c r="B47" s="253" t="s">
        <v>355</v>
      </c>
      <c r="C47" s="253" t="str">
        <f>VLOOKUP(B47,'2020-21 feebased approved'!$A$4:$H$313,2,FALSE)</f>
        <v>RNV2MBU</v>
      </c>
      <c r="D47" s="253" t="s">
        <v>624</v>
      </c>
      <c r="E47" s="253" t="s">
        <v>849</v>
      </c>
      <c r="F47" s="253" t="s">
        <v>646</v>
      </c>
      <c r="G47" s="253" t="s">
        <v>630</v>
      </c>
      <c r="H47" s="251" t="s">
        <v>627</v>
      </c>
      <c r="I47" s="252" t="s">
        <v>170</v>
      </c>
      <c r="J47" s="458">
        <f>VLOOKUP(B47,'2020-21 feebased approved'!$A$4:$H$313,'2020-21 feebased approved'!$H$1,FALSE)</f>
        <v>188.94765212226091</v>
      </c>
      <c r="K47" s="461">
        <f>IF(OR(B47='Model update'!$P$187,B47='Model update'!$Q$187,B47='Model update'!$R$187,B47='Model update'!$S$187,B47='Model update'!$T$187,B47='Model update'!$U$187,B47='Model update'!$V$187,B47='Model update'!$W$187),'Model update'!$J$187,IF(OR(B47='Model update'!$P$188,B47='Model update'!$Q$188,B47='Model update'!$R$188,B47='Model update'!$S$188,B47='Model update'!$T$188,B47='Model update'!$U$188,B47='Model update'!$V$188,B47='Model update'!$W$188),'Model update'!$J$188,'Model update'!$J$186))</f>
        <v>-9.8252646141938002E-3</v>
      </c>
      <c r="L47" s="465">
        <f>J47*(1+'Model update'!$B$31)*(1-'2021_ACS service &amp; prices'!K47)+'Model update'!$J$196</f>
        <v>192.44614475442231</v>
      </c>
      <c r="M47" s="211"/>
    </row>
    <row r="48" spans="2:13" ht="31.2" customHeight="1">
      <c r="B48" s="253" t="s">
        <v>356</v>
      </c>
      <c r="C48" s="253" t="str">
        <f>VLOOKUP(B48,'2020-21 feebased approved'!$A$4:$H$313,2,FALSE)</f>
        <v>RNV2MBL
RNV2MBI</v>
      </c>
      <c r="D48" s="253" t="s">
        <v>624</v>
      </c>
      <c r="E48" s="253" t="s">
        <v>849</v>
      </c>
      <c r="F48" s="253" t="s">
        <v>646</v>
      </c>
      <c r="G48" s="253" t="s">
        <v>630</v>
      </c>
      <c r="H48" s="251" t="s">
        <v>628</v>
      </c>
      <c r="I48" s="252" t="s">
        <v>170</v>
      </c>
      <c r="J48" s="458">
        <f>VLOOKUP(B48,'2020-21 feebased approved'!$A$4:$H$313,'2020-21 feebased approved'!$H$1,FALSE)</f>
        <v>481.11670679279393</v>
      </c>
      <c r="K48" s="461">
        <f>IF(OR(B48='Model update'!$P$187,B48='Model update'!$Q$187,B48='Model update'!$R$187,B48='Model update'!$S$187,B48='Model update'!$T$187,B48='Model update'!$U$187,B48='Model update'!$V$187,B48='Model update'!$W$187),'Model update'!$J$187,IF(OR(B48='Model update'!$P$188,B48='Model update'!$Q$188,B48='Model update'!$R$188,B48='Model update'!$S$188,B48='Model update'!$T$188,B48='Model update'!$U$188,B48='Model update'!$V$188,B48='Model update'!$W$188),'Model update'!$J$188,'Model update'!$J$186))</f>
        <v>-9.8252646141938002E-3</v>
      </c>
      <c r="L48" s="465">
        <f>J48*(1+'Model update'!$B$31)*(1-'2021_ACS service &amp; prices'!K48)+'Model update'!$J$196</f>
        <v>490.02490562468637</v>
      </c>
      <c r="M48" s="211"/>
    </row>
    <row r="49" spans="2:13" ht="30" customHeight="1">
      <c r="B49" s="253" t="s">
        <v>357</v>
      </c>
      <c r="C49" s="253" t="str">
        <f>VLOOKUP(B49,'2020-21 feebased approved'!$A$4:$H$313,2,FALSE)</f>
        <v>RNV1MAU</v>
      </c>
      <c r="D49" s="253" t="s">
        <v>624</v>
      </c>
      <c r="E49" s="253" t="s">
        <v>849</v>
      </c>
      <c r="F49" s="253" t="s">
        <v>646</v>
      </c>
      <c r="G49" s="253" t="s">
        <v>629</v>
      </c>
      <c r="H49" s="251" t="s">
        <v>627</v>
      </c>
      <c r="I49" s="252" t="s">
        <v>170</v>
      </c>
      <c r="J49" s="458">
        <f>VLOOKUP(B49,'2020-21 feebased approved'!$A$4:$H$313,'2020-21 feebased approved'!$H$1,FALSE)</f>
        <v>190.88675001283536</v>
      </c>
      <c r="K49" s="461">
        <f>IF(OR(B49='Model update'!$P$187,B49='Model update'!$Q$187,B49='Model update'!$R$187,B49='Model update'!$S$187,B49='Model update'!$T$187,B49='Model update'!$U$187,B49='Model update'!$V$187,B49='Model update'!$W$187),'Model update'!$J$187,IF(OR(B49='Model update'!$P$188,B49='Model update'!$Q$188,B49='Model update'!$R$188,B49='Model update'!$S$188,B49='Model update'!$T$188,B49='Model update'!$U$188,B49='Model update'!$V$188,B49='Model update'!$W$188),'Model update'!$J$188,'Model update'!$J$186))</f>
        <v>-9.8252646141938002E-3</v>
      </c>
      <c r="L49" s="465">
        <f>J49*(1+'Model update'!$B$31)*(1-'2021_ACS service &amp; prices'!K49)+'Model update'!$J$196</f>
        <v>194.42114634428606</v>
      </c>
      <c r="M49" s="211"/>
    </row>
    <row r="50" spans="2:13" ht="26.4">
      <c r="B50" s="253" t="s">
        <v>358</v>
      </c>
      <c r="C50" s="253" t="str">
        <f>VLOOKUP(B50,'2020-21 feebased approved'!$A$4:$H$313,2,FALSE)</f>
        <v>RNV1MAL
RNV1MAI</v>
      </c>
      <c r="D50" s="253" t="s">
        <v>624</v>
      </c>
      <c r="E50" s="253" t="s">
        <v>849</v>
      </c>
      <c r="F50" s="253" t="s">
        <v>646</v>
      </c>
      <c r="G50" s="253" t="s">
        <v>629</v>
      </c>
      <c r="H50" s="251" t="s">
        <v>628</v>
      </c>
      <c r="I50" s="252" t="s">
        <v>170</v>
      </c>
      <c r="J50" s="458">
        <f>VLOOKUP(B50,'2020-21 feebased approved'!$A$4:$H$313,'2020-21 feebased approved'!$H$1,FALSE)</f>
        <v>574.96009040010654</v>
      </c>
      <c r="K50" s="461">
        <f>IF(OR(B50='Model update'!$P$187,B50='Model update'!$Q$187,B50='Model update'!$R$187,B50='Model update'!$S$187,B50='Model update'!$T$187,B50='Model update'!$U$187,B50='Model update'!$V$187,B50='Model update'!$W$187),'Model update'!$J$187,IF(OR(B50='Model update'!$P$188,B50='Model update'!$Q$188,B50='Model update'!$R$188,B50='Model update'!$S$188,B50='Model update'!$T$188,B50='Model update'!$U$188,B50='Model update'!$V$188,B50='Model update'!$W$188),'Model update'!$J$188,'Model update'!$J$186))</f>
        <v>-9.8252646141938002E-3</v>
      </c>
      <c r="L50" s="465">
        <f>J50*(1+'Model update'!$B$31)*(1-'2021_ACS service &amp; prices'!K50)+'Model update'!$J$196</f>
        <v>585.60586248278935</v>
      </c>
      <c r="M50" s="211"/>
    </row>
    <row r="51" spans="2:13" ht="26.4">
      <c r="B51" s="253" t="s">
        <v>359</v>
      </c>
      <c r="C51" s="253" t="str">
        <f>VLOOKUP(B51,'2020-21 feebased approved'!$A$4:$H$313,2,FALSE)</f>
        <v>RNV2MAU</v>
      </c>
      <c r="D51" s="253" t="s">
        <v>624</v>
      </c>
      <c r="E51" s="253" t="s">
        <v>849</v>
      </c>
      <c r="F51" s="253" t="s">
        <v>646</v>
      </c>
      <c r="G51" s="253" t="s">
        <v>632</v>
      </c>
      <c r="H51" s="251" t="s">
        <v>627</v>
      </c>
      <c r="I51" s="252" t="s">
        <v>170</v>
      </c>
      <c r="J51" s="458">
        <f>VLOOKUP(B51,'2020-21 feebased approved'!$A$4:$H$313,'2020-21 feebased approved'!$H$1,FALSE)</f>
        <v>248.38275905284598</v>
      </c>
      <c r="K51" s="461">
        <f>IF(OR(B51='Model update'!$P$187,B51='Model update'!$Q$187,B51='Model update'!$R$187,B51='Model update'!$S$187,B51='Model update'!$T$187,B51='Model update'!$U$187,B51='Model update'!$V$187,B51='Model update'!$W$187),'Model update'!$J$187,IF(OR(B51='Model update'!$P$188,B51='Model update'!$Q$188,B51='Model update'!$R$188,B51='Model update'!$S$188,B51='Model update'!$T$188,B51='Model update'!$U$188,B51='Model update'!$V$188,B51='Model update'!$W$188),'Model update'!$J$188,'Model update'!$J$186))</f>
        <v>-9.8252646141938002E-3</v>
      </c>
      <c r="L51" s="465">
        <f>J51*(1+'Model update'!$B$31)*(1-'2021_ACS service &amp; prices'!K51)+'Model update'!$J$196</f>
        <v>252.98173259256492</v>
      </c>
      <c r="M51" s="211"/>
    </row>
    <row r="52" spans="2:13" ht="26.25" customHeight="1">
      <c r="B52" s="253" t="s">
        <v>360</v>
      </c>
      <c r="C52" s="253" t="str">
        <f>VLOOKUP(B52,'2020-21 feebased approved'!$A$4:$H$313,2,FALSE)</f>
        <v>RNV2MAL
RNV2MAI</v>
      </c>
      <c r="D52" s="253" t="s">
        <v>624</v>
      </c>
      <c r="E52" s="253" t="s">
        <v>849</v>
      </c>
      <c r="F52" s="253" t="s">
        <v>646</v>
      </c>
      <c r="G52" s="253" t="s">
        <v>632</v>
      </c>
      <c r="H52" s="251" t="s">
        <v>628</v>
      </c>
      <c r="I52" s="252" t="s">
        <v>170</v>
      </c>
      <c r="J52" s="458">
        <f>VLOOKUP(B52,'2020-21 feebased approved'!$A$4:$H$313,'2020-21 feebased approved'!$H$1,FALSE)</f>
        <v>632.4560994401171</v>
      </c>
      <c r="K52" s="461">
        <f>IF(OR(B52='Model update'!$P$187,B52='Model update'!$Q$187,B52='Model update'!$R$187,B52='Model update'!$S$187,B52='Model update'!$T$187,B52='Model update'!$U$187,B52='Model update'!$V$187,B52='Model update'!$W$187),'Model update'!$J$187,IF(OR(B52='Model update'!$P$188,B52='Model update'!$Q$188,B52='Model update'!$R$188,B52='Model update'!$S$188,B52='Model update'!$T$188,B52='Model update'!$U$188,B52='Model update'!$V$188,B52='Model update'!$W$188),'Model update'!$J$188,'Model update'!$J$186))</f>
        <v>-9.8252646141938002E-3</v>
      </c>
      <c r="L52" s="465">
        <f>J52*(1+'Model update'!$B$31)*(1-'2021_ACS service &amp; prices'!K52)+'Model update'!$J$196</f>
        <v>644.16644873106816</v>
      </c>
      <c r="M52" s="211"/>
    </row>
    <row r="53" spans="2:13" ht="26.4">
      <c r="B53" s="253" t="s">
        <v>361</v>
      </c>
      <c r="C53" s="253" t="str">
        <f>VLOOKUP(B53,'2020-21 feebased approved'!$A$4:$H$313,2,FALSE)</f>
        <v>RNV1MTU</v>
      </c>
      <c r="D53" s="253" t="s">
        <v>624</v>
      </c>
      <c r="E53" s="253" t="s">
        <v>849</v>
      </c>
      <c r="F53" s="253" t="s">
        <v>646</v>
      </c>
      <c r="G53" s="253" t="s">
        <v>642</v>
      </c>
      <c r="H53" s="251" t="s">
        <v>627</v>
      </c>
      <c r="I53" s="252" t="s">
        <v>170</v>
      </c>
      <c r="J53" s="458">
        <f>VLOOKUP(B53,'2020-21 feebased approved'!$A$4:$H$313,'2020-21 feebased approved'!$H$1,FALSE)</f>
        <v>190.88675001283536</v>
      </c>
      <c r="K53" s="461">
        <f>IF(OR(B53='Model update'!$P$187,B53='Model update'!$Q$187,B53='Model update'!$R$187,B53='Model update'!$S$187,B53='Model update'!$T$187,B53='Model update'!$U$187,B53='Model update'!$V$187,B53='Model update'!$W$187),'Model update'!$J$187,IF(OR(B53='Model update'!$P$188,B53='Model update'!$Q$188,B53='Model update'!$R$188,B53='Model update'!$S$188,B53='Model update'!$T$188,B53='Model update'!$U$188,B53='Model update'!$V$188,B53='Model update'!$W$188),'Model update'!$J$188,'Model update'!$J$186))</f>
        <v>-9.8252646141938002E-3</v>
      </c>
      <c r="L53" s="465">
        <f>J53*(1+'Model update'!$B$31)*(1-'2021_ACS service &amp; prices'!K53)+'Model update'!$J$196</f>
        <v>194.42114634428606</v>
      </c>
      <c r="M53" s="211"/>
    </row>
    <row r="54" spans="2:13" ht="32.4" customHeight="1">
      <c r="B54" s="253" t="s">
        <v>362</v>
      </c>
      <c r="C54" s="253" t="str">
        <f>VLOOKUP(B54,'2020-21 feebased approved'!$A$4:$H$313,2,FALSE)</f>
        <v>RNV2MTU</v>
      </c>
      <c r="D54" s="253" t="s">
        <v>624</v>
      </c>
      <c r="E54" s="253" t="s">
        <v>849</v>
      </c>
      <c r="F54" s="253" t="s">
        <v>646</v>
      </c>
      <c r="G54" s="253" t="s">
        <v>643</v>
      </c>
      <c r="H54" s="251" t="s">
        <v>627</v>
      </c>
      <c r="I54" s="252" t="s">
        <v>170</v>
      </c>
      <c r="J54" s="458">
        <f>VLOOKUP(B54,'2020-21 feebased approved'!$A$4:$H$313,'2020-21 feebased approved'!$H$1,FALSE)</f>
        <v>248.38275905284598</v>
      </c>
      <c r="K54" s="461">
        <f>IF(OR(B54='Model update'!$P$187,B54='Model update'!$Q$187,B54='Model update'!$R$187,B54='Model update'!$S$187,B54='Model update'!$T$187,B54='Model update'!$U$187,B54='Model update'!$V$187,B54='Model update'!$W$187),'Model update'!$J$187,IF(OR(B54='Model update'!$P$188,B54='Model update'!$Q$188,B54='Model update'!$R$188,B54='Model update'!$S$188,B54='Model update'!$T$188,B54='Model update'!$U$188,B54='Model update'!$V$188,B54='Model update'!$W$188),'Model update'!$J$188,'Model update'!$J$186))</f>
        <v>-9.8252646141938002E-3</v>
      </c>
      <c r="L54" s="465">
        <f>J54*(1+'Model update'!$B$31)*(1-'2021_ACS service &amp; prices'!K54)+'Model update'!$J$196</f>
        <v>252.98173259256492</v>
      </c>
      <c r="M54" s="211"/>
    </row>
    <row r="55" spans="2:13" ht="52.8">
      <c r="B55" s="253" t="s">
        <v>363</v>
      </c>
      <c r="C55" s="253" t="str">
        <f>VLOOKUP(B55,'2020-21 feebased approved'!$A$4:$H$313,2,FALSE)</f>
        <v>RN$V1MBU</v>
      </c>
      <c r="D55" s="253" t="s">
        <v>624</v>
      </c>
      <c r="E55" s="253" t="s">
        <v>849</v>
      </c>
      <c r="F55" s="253" t="s">
        <v>647</v>
      </c>
      <c r="G55" s="253" t="s">
        <v>626</v>
      </c>
      <c r="H55" s="251" t="s">
        <v>627</v>
      </c>
      <c r="I55" s="252" t="s">
        <v>170</v>
      </c>
      <c r="J55" s="458">
        <f>VLOOKUP(B55,'2020-21 feebased approved'!$A$4:$H$313,'2020-21 feebased approved'!$H$1,FALSE)</f>
        <v>145.20976968655236</v>
      </c>
      <c r="K55" s="461">
        <f>IF(OR(B55='Model update'!$P$187,B55='Model update'!$Q$187,B55='Model update'!$R$187,B55='Model update'!$S$187,B55='Model update'!$T$187,B55='Model update'!$U$187,B55='Model update'!$V$187,B55='Model update'!$W$187),'Model update'!$J$187,IF(OR(B55='Model update'!$P$188,B55='Model update'!$Q$188,B55='Model update'!$R$188,B55='Model update'!$S$188,B55='Model update'!$T$188,B55='Model update'!$U$188,B55='Model update'!$V$188,B55='Model update'!$W$188),'Model update'!$J$188,'Model update'!$J$186))</f>
        <v>-9.8252646141938002E-3</v>
      </c>
      <c r="L55" s="465">
        <f>J55*(1+'Model update'!$B$31)*(1-'2021_ACS service &amp; prices'!K55)+'Model update'!$J$196</f>
        <v>147.89842606126899</v>
      </c>
      <c r="M55" s="211"/>
    </row>
    <row r="56" spans="2:13" ht="52.8">
      <c r="B56" s="253" t="s">
        <v>364</v>
      </c>
      <c r="C56" s="253" t="str">
        <f>VLOOKUP(B56,'2020-21 feebased approved'!$A$4:$H$313,2,FALSE)</f>
        <v>RN$V1MBL
RN$V1MBI</v>
      </c>
      <c r="D56" s="253" t="s">
        <v>624</v>
      </c>
      <c r="E56" s="253" t="s">
        <v>849</v>
      </c>
      <c r="F56" s="253" t="s">
        <v>647</v>
      </c>
      <c r="G56" s="253" t="s">
        <v>626</v>
      </c>
      <c r="H56" s="251" t="s">
        <v>628</v>
      </c>
      <c r="I56" s="252" t="s">
        <v>170</v>
      </c>
      <c r="J56" s="458">
        <f>VLOOKUP(B56,'2020-21 feebased approved'!$A$4:$H$313,'2020-21 feebased approved'!$H$1,FALSE)</f>
        <v>437.37882435708542</v>
      </c>
      <c r="K56" s="461">
        <f>IF(OR(B56='Model update'!$P$187,B56='Model update'!$Q$187,B56='Model update'!$R$187,B56='Model update'!$S$187,B56='Model update'!$T$187,B56='Model update'!$U$187,B56='Model update'!$V$187,B56='Model update'!$W$187),'Model update'!$J$187,IF(OR(B56='Model update'!$P$188,B56='Model update'!$Q$188,B56='Model update'!$R$188,B56='Model update'!$S$188,B56='Model update'!$T$188,B56='Model update'!$U$188,B56='Model update'!$V$188,B56='Model update'!$W$188),'Model update'!$J$188,'Model update'!$J$186))</f>
        <v>-9.8252646141938002E-3</v>
      </c>
      <c r="L56" s="465">
        <f>J56*(1+'Model update'!$B$31)*(1-'2021_ACS service &amp; prices'!K56)+'Model update'!$J$196</f>
        <v>445.47718693153308</v>
      </c>
      <c r="M56" s="211"/>
    </row>
    <row r="57" spans="2:13" ht="52.8">
      <c r="B57" s="253" t="s">
        <v>365</v>
      </c>
      <c r="C57" s="253" t="str">
        <f>VLOOKUP(B57,'2020-21 feebased approved'!$A$4:$H$313,2,FALSE)</f>
        <v>RN$V1MAU</v>
      </c>
      <c r="D57" s="253" t="s">
        <v>624</v>
      </c>
      <c r="E57" s="253" t="s">
        <v>849</v>
      </c>
      <c r="F57" s="253" t="s">
        <v>647</v>
      </c>
      <c r="G57" s="253" t="s">
        <v>629</v>
      </c>
      <c r="H57" s="251" t="s">
        <v>627</v>
      </c>
      <c r="I57" s="252" t="s">
        <v>170</v>
      </c>
      <c r="J57" s="458">
        <f>VLOOKUP(B57,'2020-21 feebased approved'!$A$4:$H$313,'2020-21 feebased approved'!$H$1,FALSE)</f>
        <v>190.88675001283536</v>
      </c>
      <c r="K57" s="461">
        <f>IF(OR(B57='Model update'!$P$187,B57='Model update'!$Q$187,B57='Model update'!$R$187,B57='Model update'!$S$187,B57='Model update'!$T$187,B57='Model update'!$U$187,B57='Model update'!$V$187,B57='Model update'!$W$187),'Model update'!$J$187,IF(OR(B57='Model update'!$P$188,B57='Model update'!$Q$188,B57='Model update'!$R$188,B57='Model update'!$S$188,B57='Model update'!$T$188,B57='Model update'!$U$188,B57='Model update'!$V$188,B57='Model update'!$W$188),'Model update'!$J$188,'Model update'!$J$186))</f>
        <v>-9.8252646141938002E-3</v>
      </c>
      <c r="L57" s="465">
        <f>J57*(1+'Model update'!$B$31)*(1-'2021_ACS service &amp; prices'!K57)+'Model update'!$J$196</f>
        <v>194.42114634428606</v>
      </c>
      <c r="M57" s="211"/>
    </row>
    <row r="58" spans="2:13" ht="52.8">
      <c r="B58" s="253" t="s">
        <v>366</v>
      </c>
      <c r="C58" s="253" t="str">
        <f>VLOOKUP(B58,'2020-21 feebased approved'!$A$4:$H$313,2,FALSE)</f>
        <v>RN$V1MAL
RN$V1MAI</v>
      </c>
      <c r="D58" s="253" t="s">
        <v>624</v>
      </c>
      <c r="E58" s="253" t="s">
        <v>849</v>
      </c>
      <c r="F58" s="253" t="s">
        <v>647</v>
      </c>
      <c r="G58" s="253" t="s">
        <v>629</v>
      </c>
      <c r="H58" s="251" t="s">
        <v>628</v>
      </c>
      <c r="I58" s="252" t="s">
        <v>170</v>
      </c>
      <c r="J58" s="458">
        <f>VLOOKUP(B58,'2020-21 feebased approved'!$A$4:$H$313,'2020-21 feebased approved'!$H$1,FALSE)</f>
        <v>574.96009040010654</v>
      </c>
      <c r="K58" s="461">
        <f>IF(OR(B58='Model update'!$P$187,B58='Model update'!$Q$187,B58='Model update'!$R$187,B58='Model update'!$S$187,B58='Model update'!$T$187,B58='Model update'!$U$187,B58='Model update'!$V$187,B58='Model update'!$W$187),'Model update'!$J$187,IF(OR(B58='Model update'!$P$188,B58='Model update'!$Q$188,B58='Model update'!$R$188,B58='Model update'!$S$188,B58='Model update'!$T$188,B58='Model update'!$U$188,B58='Model update'!$V$188,B58='Model update'!$W$188),'Model update'!$J$188,'Model update'!$J$186))</f>
        <v>-9.8252646141938002E-3</v>
      </c>
      <c r="L58" s="465">
        <f>J58*(1+'Model update'!$B$31)*(1-'2021_ACS service &amp; prices'!K58)+'Model update'!$J$196</f>
        <v>585.60586248278935</v>
      </c>
      <c r="M58" s="211"/>
    </row>
    <row r="59" spans="2:13" ht="52.8">
      <c r="B59" s="253" t="s">
        <v>367</v>
      </c>
      <c r="C59" s="253" t="str">
        <f>VLOOKUP(B59,'2020-21 feebased approved'!$A$4:$H$313,2,FALSE)</f>
        <v>RN$V1MTU</v>
      </c>
      <c r="D59" s="253" t="s">
        <v>624</v>
      </c>
      <c r="E59" s="253" t="s">
        <v>849</v>
      </c>
      <c r="F59" s="253" t="s">
        <v>647</v>
      </c>
      <c r="G59" s="253" t="s">
        <v>642</v>
      </c>
      <c r="H59" s="251" t="s">
        <v>627</v>
      </c>
      <c r="I59" s="252" t="s">
        <v>170</v>
      </c>
      <c r="J59" s="458">
        <f>VLOOKUP(B59,'2020-21 feebased approved'!$A$4:$H$313,'2020-21 feebased approved'!$H$1,FALSE)</f>
        <v>190.88675001283536</v>
      </c>
      <c r="K59" s="461">
        <f>IF(OR(B59='Model update'!$P$187,B59='Model update'!$Q$187,B59='Model update'!$R$187,B59='Model update'!$S$187,B59='Model update'!$T$187,B59='Model update'!$U$187,B59='Model update'!$V$187,B59='Model update'!$W$187),'Model update'!$J$187,IF(OR(B59='Model update'!$P$188,B59='Model update'!$Q$188,B59='Model update'!$R$188,B59='Model update'!$S$188,B59='Model update'!$T$188,B59='Model update'!$U$188,B59='Model update'!$V$188,B59='Model update'!$W$188),'Model update'!$J$188,'Model update'!$J$186))</f>
        <v>-9.8252646141938002E-3</v>
      </c>
      <c r="L59" s="465">
        <f>J59*(1+'Model update'!$B$31)*(1-'2021_ACS service &amp; prices'!K59)+'Model update'!$J$196</f>
        <v>194.42114634428606</v>
      </c>
      <c r="M59" s="211"/>
    </row>
    <row r="60" spans="2:13" ht="52.8">
      <c r="B60" s="253" t="s">
        <v>368</v>
      </c>
      <c r="C60" s="253" t="str">
        <f>VLOOKUP(B60,'2020-21 feebased approved'!$A$4:$H$313,2,FALSE)</f>
        <v>RN$V2MBU</v>
      </c>
      <c r="D60" s="253" t="s">
        <v>624</v>
      </c>
      <c r="E60" s="253" t="s">
        <v>849</v>
      </c>
      <c r="F60" s="253" t="s">
        <v>647</v>
      </c>
      <c r="G60" s="253" t="s">
        <v>630</v>
      </c>
      <c r="H60" s="251" t="s">
        <v>627</v>
      </c>
      <c r="I60" s="252" t="s">
        <v>170</v>
      </c>
      <c r="J60" s="458">
        <f>VLOOKUP(B60,'2020-21 feebased approved'!$A$4:$H$313,'2020-21 feebased approved'!$H$1,FALSE)</f>
        <v>188.94765212226091</v>
      </c>
      <c r="K60" s="461">
        <f>IF(OR(B60='Model update'!$P$187,B60='Model update'!$Q$187,B60='Model update'!$R$187,B60='Model update'!$S$187,B60='Model update'!$T$187,B60='Model update'!$U$187,B60='Model update'!$V$187,B60='Model update'!$W$187),'Model update'!$J$187,IF(OR(B60='Model update'!$P$188,B60='Model update'!$Q$188,B60='Model update'!$R$188,B60='Model update'!$S$188,B60='Model update'!$T$188,B60='Model update'!$U$188,B60='Model update'!$V$188,B60='Model update'!$W$188),'Model update'!$J$188,'Model update'!$J$186))</f>
        <v>-9.8252646141938002E-3</v>
      </c>
      <c r="L60" s="465">
        <f>J60*(1+'Model update'!$B$31)*(1-'2021_ACS service &amp; prices'!K60)+'Model update'!$J$196</f>
        <v>192.44614475442231</v>
      </c>
      <c r="M60" s="211"/>
    </row>
    <row r="61" spans="2:13" ht="52.8">
      <c r="B61" s="253" t="s">
        <v>369</v>
      </c>
      <c r="C61" s="253" t="str">
        <f>VLOOKUP(B61,'2020-21 feebased approved'!$A$4:$H$313,2,FALSE)</f>
        <v>RN$V2MBL
RN$V2MBI</v>
      </c>
      <c r="D61" s="253" t="s">
        <v>624</v>
      </c>
      <c r="E61" s="253" t="s">
        <v>849</v>
      </c>
      <c r="F61" s="253" t="s">
        <v>647</v>
      </c>
      <c r="G61" s="253" t="s">
        <v>630</v>
      </c>
      <c r="H61" s="251" t="s">
        <v>628</v>
      </c>
      <c r="I61" s="252" t="s">
        <v>170</v>
      </c>
      <c r="J61" s="458">
        <f>VLOOKUP(B61,'2020-21 feebased approved'!$A$4:$H$313,'2020-21 feebased approved'!$H$1,FALSE)</f>
        <v>481.11670679279393</v>
      </c>
      <c r="K61" s="461">
        <f>IF(OR(B61='Model update'!$P$187,B61='Model update'!$Q$187,B61='Model update'!$R$187,B61='Model update'!$S$187,B61='Model update'!$T$187,B61='Model update'!$U$187,B61='Model update'!$V$187,B61='Model update'!$W$187),'Model update'!$J$187,IF(OR(B61='Model update'!$P$188,B61='Model update'!$Q$188,B61='Model update'!$R$188,B61='Model update'!$S$188,B61='Model update'!$T$188,B61='Model update'!$U$188,B61='Model update'!$V$188,B61='Model update'!$W$188),'Model update'!$J$188,'Model update'!$J$186))</f>
        <v>-9.8252646141938002E-3</v>
      </c>
      <c r="L61" s="465">
        <f>J61*(1+'Model update'!$B$31)*(1-'2021_ACS service &amp; prices'!K61)+'Model update'!$J$196</f>
        <v>490.02490562468637</v>
      </c>
      <c r="M61" s="211"/>
    </row>
    <row r="62" spans="2:13" ht="52.8">
      <c r="B62" s="253" t="s">
        <v>370</v>
      </c>
      <c r="C62" s="253" t="str">
        <f>VLOOKUP(B62,'2020-21 feebased approved'!$A$4:$H$313,2,FALSE)</f>
        <v>RN$V2MAU</v>
      </c>
      <c r="D62" s="253" t="s">
        <v>624</v>
      </c>
      <c r="E62" s="253" t="s">
        <v>849</v>
      </c>
      <c r="F62" s="253" t="s">
        <v>647</v>
      </c>
      <c r="G62" s="253" t="s">
        <v>632</v>
      </c>
      <c r="H62" s="251" t="s">
        <v>627</v>
      </c>
      <c r="I62" s="252" t="s">
        <v>170</v>
      </c>
      <c r="J62" s="458">
        <f>VLOOKUP(B62,'2020-21 feebased approved'!$A$4:$H$313,'2020-21 feebased approved'!$H$1,FALSE)</f>
        <v>248.38275905284598</v>
      </c>
      <c r="K62" s="461">
        <f>IF(OR(B62='Model update'!$P$187,B62='Model update'!$Q$187,B62='Model update'!$R$187,B62='Model update'!$S$187,B62='Model update'!$T$187,B62='Model update'!$U$187,B62='Model update'!$V$187,B62='Model update'!$W$187),'Model update'!$J$187,IF(OR(B62='Model update'!$P$188,B62='Model update'!$Q$188,B62='Model update'!$R$188,B62='Model update'!$S$188,B62='Model update'!$T$188,B62='Model update'!$U$188,B62='Model update'!$V$188,B62='Model update'!$W$188),'Model update'!$J$188,'Model update'!$J$186))</f>
        <v>-9.8252646141938002E-3</v>
      </c>
      <c r="L62" s="465">
        <f>J62*(1+'Model update'!$B$31)*(1-'2021_ACS service &amp; prices'!K62)+'Model update'!$J$196</f>
        <v>252.98173259256492</v>
      </c>
      <c r="M62" s="211"/>
    </row>
    <row r="63" spans="2:13" ht="52.8">
      <c r="B63" s="253" t="s">
        <v>371</v>
      </c>
      <c r="C63" s="253" t="str">
        <f>VLOOKUP(B63,'2020-21 feebased approved'!$A$4:$H$313,2,FALSE)</f>
        <v>RN$V2MAL
RN$V2MAI</v>
      </c>
      <c r="D63" s="253" t="s">
        <v>624</v>
      </c>
      <c r="E63" s="253" t="s">
        <v>849</v>
      </c>
      <c r="F63" s="253" t="s">
        <v>647</v>
      </c>
      <c r="G63" s="253" t="s">
        <v>632</v>
      </c>
      <c r="H63" s="251" t="s">
        <v>628</v>
      </c>
      <c r="I63" s="252" t="s">
        <v>170</v>
      </c>
      <c r="J63" s="458">
        <f>VLOOKUP(B63,'2020-21 feebased approved'!$A$4:$H$313,'2020-21 feebased approved'!$H$1,FALSE)</f>
        <v>632.4560994401171</v>
      </c>
      <c r="K63" s="461">
        <f>IF(OR(B63='Model update'!$P$187,B63='Model update'!$Q$187,B63='Model update'!$R$187,B63='Model update'!$S$187,B63='Model update'!$T$187,B63='Model update'!$U$187,B63='Model update'!$V$187,B63='Model update'!$W$187),'Model update'!$J$187,IF(OR(B63='Model update'!$P$188,B63='Model update'!$Q$188,B63='Model update'!$R$188,B63='Model update'!$S$188,B63='Model update'!$T$188,B63='Model update'!$U$188,B63='Model update'!$V$188,B63='Model update'!$W$188),'Model update'!$J$188,'Model update'!$J$186))</f>
        <v>-9.8252646141938002E-3</v>
      </c>
      <c r="L63" s="465">
        <f>J63*(1+'Model update'!$B$31)*(1-'2021_ACS service &amp; prices'!K63)+'Model update'!$J$196</f>
        <v>644.16644873106816</v>
      </c>
      <c r="M63" s="211"/>
    </row>
    <row r="64" spans="2:13" ht="52.8">
      <c r="B64" s="253" t="s">
        <v>372</v>
      </c>
      <c r="C64" s="253" t="str">
        <f>VLOOKUP(B64,'2020-21 feebased approved'!$A$4:$H$313,2,FALSE)</f>
        <v>RN$V2MTU</v>
      </c>
      <c r="D64" s="253" t="s">
        <v>624</v>
      </c>
      <c r="E64" s="253" t="s">
        <v>849</v>
      </c>
      <c r="F64" s="253" t="s">
        <v>647</v>
      </c>
      <c r="G64" s="253" t="s">
        <v>643</v>
      </c>
      <c r="H64" s="251" t="s">
        <v>627</v>
      </c>
      <c r="I64" s="252" t="s">
        <v>170</v>
      </c>
      <c r="J64" s="458">
        <f>VLOOKUP(B64,'2020-21 feebased approved'!$A$4:$H$313,'2020-21 feebased approved'!$H$1,FALSE)</f>
        <v>248.38275905284598</v>
      </c>
      <c r="K64" s="461">
        <f>IF(OR(B64='Model update'!$P$187,B64='Model update'!$Q$187,B64='Model update'!$R$187,B64='Model update'!$S$187,B64='Model update'!$T$187,B64='Model update'!$U$187,B64='Model update'!$V$187,B64='Model update'!$W$187),'Model update'!$J$187,IF(OR(B64='Model update'!$P$188,B64='Model update'!$Q$188,B64='Model update'!$R$188,B64='Model update'!$S$188,B64='Model update'!$T$188,B64='Model update'!$U$188,B64='Model update'!$V$188,B64='Model update'!$W$188),'Model update'!$J$188,'Model update'!$J$186))</f>
        <v>-9.8252646141938002E-3</v>
      </c>
      <c r="L64" s="465">
        <f>J64*(1+'Model update'!$B$31)*(1-'2021_ACS service &amp; prices'!K64)+'Model update'!$J$196</f>
        <v>252.98173259256492</v>
      </c>
      <c r="M64" s="211"/>
    </row>
    <row r="65" spans="2:13" ht="39.6">
      <c r="B65" s="253" t="s">
        <v>373</v>
      </c>
      <c r="C65" s="253" t="str">
        <f>VLOOKUP(B65,'2020-21 feebased approved'!$A$4:$H$313,2,FALSE)</f>
        <v>RNR$B</v>
      </c>
      <c r="D65" s="253" t="s">
        <v>624</v>
      </c>
      <c r="E65" s="253" t="s">
        <v>849</v>
      </c>
      <c r="F65" s="253" t="s">
        <v>648</v>
      </c>
      <c r="G65" s="253" t="s">
        <v>636</v>
      </c>
      <c r="H65" s="251" t="s">
        <v>110</v>
      </c>
      <c r="I65" s="252" t="s">
        <v>170</v>
      </c>
      <c r="J65" s="458">
        <f>VLOOKUP(B65,'2020-21 feebased approved'!$A$4:$H$313,'2020-21 feebased approved'!$H$1,FALSE)</f>
        <v>94.748453049168077</v>
      </c>
      <c r="K65" s="461">
        <f>IF(OR(B65='Model update'!$P$187,B65='Model update'!$Q$187,B65='Model update'!$R$187,B65='Model update'!$S$187,B65='Model update'!$T$187,B65='Model update'!$U$187,B65='Model update'!$V$187,B65='Model update'!$W$187),'Model update'!$J$187,IF(OR(B65='Model update'!$P$188,B65='Model update'!$Q$188,B65='Model update'!$R$188,B65='Model update'!$S$188,B65='Model update'!$T$188,B65='Model update'!$U$188,B65='Model update'!$V$188,B65='Model update'!$W$188),'Model update'!$J$188,'Model update'!$J$186))</f>
        <v>-9.8252646141938002E-3</v>
      </c>
      <c r="L65" s="465">
        <f>J65*(1+'Model update'!$B$31)*(1-'2021_ACS service &amp; prices'!K65)+'Model update'!$J$196</f>
        <v>96.502784268307636</v>
      </c>
      <c r="M65" s="211"/>
    </row>
    <row r="66" spans="2:13" ht="39.6">
      <c r="B66" s="253" t="s">
        <v>374</v>
      </c>
      <c r="C66" s="253" t="str">
        <f>VLOOKUP(B66,'2020-21 feebased approved'!$A$4:$H$313,2,FALSE)</f>
        <v>RNR$A</v>
      </c>
      <c r="D66" s="253" t="s">
        <v>624</v>
      </c>
      <c r="E66" s="253" t="s">
        <v>849</v>
      </c>
      <c r="F66" s="253" t="s">
        <v>648</v>
      </c>
      <c r="G66" s="253" t="s">
        <v>637</v>
      </c>
      <c r="H66" s="251" t="s">
        <v>110</v>
      </c>
      <c r="I66" s="252" t="s">
        <v>170</v>
      </c>
      <c r="J66" s="458">
        <f>VLOOKUP(B66,'2020-21 feebased approved'!$A$4:$H$313,'2020-21 feebased approved'!$H$1,FALSE)</f>
        <v>119.28708134847214</v>
      </c>
      <c r="K66" s="461">
        <f>IF(OR(B66='Model update'!$P$187,B66='Model update'!$Q$187,B66='Model update'!$R$187,B66='Model update'!$S$187,B66='Model update'!$T$187,B66='Model update'!$U$187,B66='Model update'!$V$187,B66='Model update'!$W$187),'Model update'!$J$187,IF(OR(B66='Model update'!$P$188,B66='Model update'!$Q$188,B66='Model update'!$R$188,B66='Model update'!$S$188,B66='Model update'!$T$188,B66='Model update'!$U$188,B66='Model update'!$V$188,B66='Model update'!$W$188),'Model update'!$J$188,'Model update'!$J$186))</f>
        <v>-9.8252646141938002E-3</v>
      </c>
      <c r="L66" s="465">
        <f>J66*(1+'Model update'!$B$31)*(1-'2021_ACS service &amp; prices'!K66)+'Model update'!$J$196</f>
        <v>121.49576174498551</v>
      </c>
      <c r="M66" s="211"/>
    </row>
    <row r="67" spans="2:13" ht="39.6">
      <c r="B67" s="253" t="s">
        <v>375</v>
      </c>
      <c r="C67" s="253" t="str">
        <f>VLOOKUP(B67,'2020-21 feebased approved'!$A$4:$H$313,2,FALSE)</f>
        <v>RNR$T</v>
      </c>
      <c r="D67" s="253" t="s">
        <v>624</v>
      </c>
      <c r="E67" s="253" t="s">
        <v>849</v>
      </c>
      <c r="F67" s="253" t="s">
        <v>648</v>
      </c>
      <c r="G67" s="253" t="s">
        <v>645</v>
      </c>
      <c r="H67" s="251" t="s">
        <v>110</v>
      </c>
      <c r="I67" s="252" t="s">
        <v>170</v>
      </c>
      <c r="J67" s="458">
        <f>VLOOKUP(B67,'2020-21 feebased approved'!$A$4:$H$313,'2020-21 feebased approved'!$H$1,FALSE)</f>
        <v>119.28708134847214</v>
      </c>
      <c r="K67" s="461">
        <f>IF(OR(B67='Model update'!$P$187,B67='Model update'!$Q$187,B67='Model update'!$R$187,B67='Model update'!$S$187,B67='Model update'!$T$187,B67='Model update'!$U$187,B67='Model update'!$V$187,B67='Model update'!$W$187),'Model update'!$J$187,IF(OR(B67='Model update'!$P$188,B67='Model update'!$Q$188,B67='Model update'!$R$188,B67='Model update'!$S$188,B67='Model update'!$T$188,B67='Model update'!$U$188,B67='Model update'!$V$188,B67='Model update'!$W$188),'Model update'!$J$188,'Model update'!$J$186))</f>
        <v>-9.8252646141938002E-3</v>
      </c>
      <c r="L67" s="465">
        <f>J67*(1+'Model update'!$B$31)*(1-'2021_ACS service &amp; prices'!K67)+'Model update'!$J$196</f>
        <v>121.49576174498551</v>
      </c>
      <c r="M67" s="211"/>
    </row>
    <row r="68" spans="2:13" ht="26.4">
      <c r="B68" s="253" t="s">
        <v>376</v>
      </c>
      <c r="C68" s="253" t="str">
        <f>VLOOKUP(B68,'2020-21 feebased approved'!$A$4:$H$313,2,FALSE)</f>
        <v>RNRVB</v>
      </c>
      <c r="D68" s="253" t="s">
        <v>624</v>
      </c>
      <c r="E68" s="253" t="s">
        <v>849</v>
      </c>
      <c r="F68" s="253" t="s">
        <v>649</v>
      </c>
      <c r="G68" s="253" t="s">
        <v>636</v>
      </c>
      <c r="H68" s="251" t="s">
        <v>110</v>
      </c>
      <c r="I68" s="252" t="s">
        <v>170</v>
      </c>
      <c r="J68" s="458">
        <f>VLOOKUP(B68,'2020-21 feebased approved'!$A$4:$H$313,'2020-21 feebased approved'!$H$1,FALSE)</f>
        <v>94.748453049168077</v>
      </c>
      <c r="K68" s="461">
        <f>IF(OR(B68='Model update'!$P$187,B68='Model update'!$Q$187,B68='Model update'!$R$187,B68='Model update'!$S$187,B68='Model update'!$T$187,B68='Model update'!$U$187,B68='Model update'!$V$187,B68='Model update'!$W$187),'Model update'!$J$187,IF(OR(B68='Model update'!$P$188,B68='Model update'!$Q$188,B68='Model update'!$R$188,B68='Model update'!$S$188,B68='Model update'!$T$188,B68='Model update'!$U$188,B68='Model update'!$V$188,B68='Model update'!$W$188),'Model update'!$J$188,'Model update'!$J$186))</f>
        <v>-9.8252646141938002E-3</v>
      </c>
      <c r="L68" s="465">
        <f>J68*(1+'Model update'!$B$31)*(1-'2021_ACS service &amp; prices'!K68)+'Model update'!$J$196</f>
        <v>96.502784268307636</v>
      </c>
      <c r="M68" s="211"/>
    </row>
    <row r="69" spans="2:13" ht="26.4">
      <c r="B69" s="253" t="s">
        <v>377</v>
      </c>
      <c r="C69" s="253" t="str">
        <f>VLOOKUP(B69,'2020-21 feebased approved'!$A$4:$H$313,2,FALSE)</f>
        <v>RNRVA</v>
      </c>
      <c r="D69" s="253" t="s">
        <v>624</v>
      </c>
      <c r="E69" s="253" t="s">
        <v>849</v>
      </c>
      <c r="F69" s="253" t="s">
        <v>649</v>
      </c>
      <c r="G69" s="253" t="s">
        <v>637</v>
      </c>
      <c r="H69" s="251" t="s">
        <v>110</v>
      </c>
      <c r="I69" s="252" t="s">
        <v>170</v>
      </c>
      <c r="J69" s="458">
        <f>VLOOKUP(B69,'2020-21 feebased approved'!$A$4:$H$313,'2020-21 feebased approved'!$H$1,FALSE)</f>
        <v>119.28708134847214</v>
      </c>
      <c r="K69" s="461">
        <f>IF(OR(B69='Model update'!$P$187,B69='Model update'!$Q$187,B69='Model update'!$R$187,B69='Model update'!$S$187,B69='Model update'!$T$187,B69='Model update'!$U$187,B69='Model update'!$V$187,B69='Model update'!$W$187),'Model update'!$J$187,IF(OR(B69='Model update'!$P$188,B69='Model update'!$Q$188,B69='Model update'!$R$188,B69='Model update'!$S$188,B69='Model update'!$T$188,B69='Model update'!$U$188,B69='Model update'!$V$188,B69='Model update'!$W$188),'Model update'!$J$188,'Model update'!$J$186))</f>
        <v>-9.8252646141938002E-3</v>
      </c>
      <c r="L69" s="465">
        <f>J69*(1+'Model update'!$B$31)*(1-'2021_ACS service &amp; prices'!K69)+'Model update'!$J$196</f>
        <v>121.49576174498551</v>
      </c>
      <c r="M69" s="211"/>
    </row>
    <row r="70" spans="2:13" ht="26.4">
      <c r="B70" s="253" t="s">
        <v>378</v>
      </c>
      <c r="C70" s="253" t="str">
        <f>VLOOKUP(B70,'2020-21 feebased approved'!$A$4:$H$313,2,FALSE)</f>
        <v>RNRVT</v>
      </c>
      <c r="D70" s="253" t="s">
        <v>624</v>
      </c>
      <c r="E70" s="253" t="s">
        <v>849</v>
      </c>
      <c r="F70" s="253" t="s">
        <v>649</v>
      </c>
      <c r="G70" s="253" t="s">
        <v>645</v>
      </c>
      <c r="H70" s="251" t="s">
        <v>110</v>
      </c>
      <c r="I70" s="252" t="s">
        <v>170</v>
      </c>
      <c r="J70" s="458">
        <f>VLOOKUP(B70,'2020-21 feebased approved'!$A$4:$H$313,'2020-21 feebased approved'!$H$1,FALSE)</f>
        <v>119.28708134847214</v>
      </c>
      <c r="K70" s="461">
        <f>IF(OR(B70='Model update'!$P$187,B70='Model update'!$Q$187,B70='Model update'!$R$187,B70='Model update'!$S$187,B70='Model update'!$T$187,B70='Model update'!$U$187,B70='Model update'!$V$187,B70='Model update'!$W$187),'Model update'!$J$187,IF(OR(B70='Model update'!$P$188,B70='Model update'!$Q$188,B70='Model update'!$R$188,B70='Model update'!$S$188,B70='Model update'!$T$188,B70='Model update'!$U$188,B70='Model update'!$V$188,B70='Model update'!$W$188),'Model update'!$J$188,'Model update'!$J$186))</f>
        <v>-9.8252646141938002E-3</v>
      </c>
      <c r="L70" s="465">
        <f>J70*(1+'Model update'!$B$31)*(1-'2021_ACS service &amp; prices'!K70)+'Model update'!$J$196</f>
        <v>121.49576174498551</v>
      </c>
      <c r="M70" s="211"/>
    </row>
    <row r="71" spans="2:13" ht="27" customHeight="1">
      <c r="B71" s="253" t="s">
        <v>379</v>
      </c>
      <c r="C71" s="253" t="str">
        <f>VLOOKUP(B71,'2020-21 feebased approved'!$A$4:$H$313,2,FALSE)</f>
        <v>TDNNDBU</v>
      </c>
      <c r="D71" s="253" t="s">
        <v>624</v>
      </c>
      <c r="E71" s="253" t="s">
        <v>850</v>
      </c>
      <c r="F71" s="251" t="s">
        <v>650</v>
      </c>
      <c r="G71" s="253" t="s">
        <v>651</v>
      </c>
      <c r="H71" s="251" t="s">
        <v>627</v>
      </c>
      <c r="I71" s="252" t="s">
        <v>170</v>
      </c>
      <c r="J71" s="458">
        <f>VLOOKUP(B71,'2020-21 feebased approved'!$A$4:$H$313,'2020-21 feebased approved'!$H$1,FALSE)</f>
        <v>349.90305948566834</v>
      </c>
      <c r="K71" s="461">
        <f>IF(OR(B71='Model update'!$P$187,B71='Model update'!$Q$187,B71='Model update'!$R$187,B71='Model update'!$S$187,B71='Model update'!$T$187,B71='Model update'!$U$187,B71='Model update'!$V$187,B71='Model update'!$W$187),'Model update'!$J$187,IF(OR(B71='Model update'!$P$188,B71='Model update'!$Q$188,B71='Model update'!$R$188,B71='Model update'!$S$188,B71='Model update'!$T$188,B71='Model update'!$U$188,B71='Model update'!$V$188,B71='Model update'!$W$188),'Model update'!$J$188,'Model update'!$J$186))</f>
        <v>-9.8252646141938002E-3</v>
      </c>
      <c r="L71" s="465">
        <f>J71*(1+'Model update'!$B$31)*(1-'2021_ACS service &amp; prices'!K71)+'Model update'!$J$196</f>
        <v>356.38174954522646</v>
      </c>
      <c r="M71" s="211"/>
    </row>
    <row r="72" spans="2:13" ht="39.6">
      <c r="B72" s="253" t="s">
        <v>380</v>
      </c>
      <c r="C72" s="253" t="str">
        <f>VLOOKUP(B72,'2020-21 feebased approved'!$A$4:$H$313,2,FALSE)</f>
        <v>TDNNDBL
TDNNDBI</v>
      </c>
      <c r="D72" s="253" t="s">
        <v>624</v>
      </c>
      <c r="E72" s="253" t="s">
        <v>850</v>
      </c>
      <c r="F72" s="253" t="s">
        <v>650</v>
      </c>
      <c r="G72" s="253" t="s">
        <v>651</v>
      </c>
      <c r="H72" s="251" t="s">
        <v>628</v>
      </c>
      <c r="I72" s="252" t="s">
        <v>170</v>
      </c>
      <c r="J72" s="458">
        <f>VLOOKUP(B72,'2020-21 feebased approved'!$A$4:$H$313,'2020-21 feebased approved'!$H$1,FALSE)</f>
        <v>934.24116882673445</v>
      </c>
      <c r="K72" s="461">
        <f>IF(OR(B72='Model update'!$P$187,B72='Model update'!$Q$187,B72='Model update'!$R$187,B72='Model update'!$S$187,B72='Model update'!$T$187,B72='Model update'!$U$187,B72='Model update'!$V$187,B72='Model update'!$W$187),'Model update'!$J$187,IF(OR(B72='Model update'!$P$188,B72='Model update'!$Q$188,B72='Model update'!$R$188,B72='Model update'!$S$188,B72='Model update'!$T$188,B72='Model update'!$U$188,B72='Model update'!$V$188,B72='Model update'!$W$188),'Model update'!$J$188,'Model update'!$J$186))</f>
        <v>-9.8252646141938002E-3</v>
      </c>
      <c r="L72" s="465">
        <f>J72*(1+'Model update'!$B$31)*(1-'2021_ACS service &amp; prices'!K72)+'Model update'!$J$196</f>
        <v>951.53927128575469</v>
      </c>
      <c r="M72" s="211"/>
    </row>
    <row r="73" spans="2:13" ht="39.6">
      <c r="B73" s="253" t="s">
        <v>381</v>
      </c>
      <c r="C73" s="253" t="str">
        <f>VLOOKUP(B73,'2020-21 feebased approved'!$A$4:$H$313,2,FALSE)</f>
        <v>TDNNDAU</v>
      </c>
      <c r="D73" s="253" t="s">
        <v>624</v>
      </c>
      <c r="E73" s="253" t="s">
        <v>850</v>
      </c>
      <c r="F73" s="253" t="s">
        <v>650</v>
      </c>
      <c r="G73" s="253" t="s">
        <v>652</v>
      </c>
      <c r="H73" s="251" t="s">
        <v>627</v>
      </c>
      <c r="I73" s="252" t="s">
        <v>170</v>
      </c>
      <c r="J73" s="458">
        <f>VLOOKUP(B73,'2020-21 feebased approved'!$A$4:$H$313,'2020-21 feebased approved'!$H$1,FALSE)</f>
        <v>459.96807232008518</v>
      </c>
      <c r="K73" s="461">
        <f>IF(OR(B73='Model update'!$P$187,B73='Model update'!$Q$187,B73='Model update'!$R$187,B73='Model update'!$S$187,B73='Model update'!$T$187,B73='Model update'!$U$187,B73='Model update'!$V$187,B73='Model update'!$W$187),'Model update'!$J$187,IF(OR(B73='Model update'!$P$188,B73='Model update'!$Q$188,B73='Model update'!$R$188,B73='Model update'!$S$188,B73='Model update'!$T$188,B73='Model update'!$U$188,B73='Model update'!$V$188,B73='Model update'!$W$188),'Model update'!$J$188,'Model update'!$J$186))</f>
        <v>-9.8252646141938002E-3</v>
      </c>
      <c r="L73" s="465">
        <f>J73*(1+'Model update'!$B$31)*(1-'2021_ACS service &amp; prices'!K73)+'Model update'!$J$196</f>
        <v>468.48468998623144</v>
      </c>
      <c r="M73" s="211"/>
    </row>
    <row r="74" spans="2:13" ht="24" customHeight="1">
      <c r="B74" s="253" t="s">
        <v>382</v>
      </c>
      <c r="C74" s="253" t="str">
        <f>VLOOKUP(B74,'2020-21 feebased approved'!$A$4:$H$313,2,FALSE)</f>
        <v>TDNNDAL
TDNNDAI</v>
      </c>
      <c r="D74" s="253" t="s">
        <v>624</v>
      </c>
      <c r="E74" s="253" t="s">
        <v>850</v>
      </c>
      <c r="F74" s="253" t="s">
        <v>650</v>
      </c>
      <c r="G74" s="253" t="s">
        <v>652</v>
      </c>
      <c r="H74" s="251" t="s">
        <v>628</v>
      </c>
      <c r="I74" s="252" t="s">
        <v>170</v>
      </c>
      <c r="J74" s="458">
        <f>VLOOKUP(B74,'2020-21 feebased approved'!$A$4:$H$313,'2020-21 feebased approved'!$H$1,FALSE)</f>
        <v>1228.1147530946275</v>
      </c>
      <c r="K74" s="461">
        <f>IF(OR(B74='Model update'!$P$187,B74='Model update'!$Q$187,B74='Model update'!$R$187,B74='Model update'!$S$187,B74='Model update'!$T$187,B74='Model update'!$U$187,B74='Model update'!$V$187,B74='Model update'!$W$187),'Model update'!$J$187,IF(OR(B74='Model update'!$P$188,B74='Model update'!$Q$188,B74='Model update'!$R$188,B74='Model update'!$S$188,B74='Model update'!$T$188,B74='Model update'!$U$188,B74='Model update'!$V$188,B74='Model update'!$W$188),'Model update'!$J$188,'Model update'!$J$186))</f>
        <v>-9.8252646141938002E-3</v>
      </c>
      <c r="L74" s="465">
        <f>J74*(1+'Model update'!$B$31)*(1-'2021_ACS service &amp; prices'!K74)+'Model update'!$J$196</f>
        <v>1250.854122263238</v>
      </c>
      <c r="M74" s="211"/>
    </row>
    <row r="75" spans="2:13" ht="52.8">
      <c r="B75" s="253" t="s">
        <v>383</v>
      </c>
      <c r="C75" s="253" t="str">
        <f>VLOOKUP(B75,'2020-21 feebased approved'!$A$4:$H$313,2,FALSE)</f>
        <v>TDNSPBU</v>
      </c>
      <c r="D75" s="253" t="s">
        <v>624</v>
      </c>
      <c r="E75" s="253" t="s">
        <v>850</v>
      </c>
      <c r="F75" s="253" t="s">
        <v>653</v>
      </c>
      <c r="G75" s="253" t="s">
        <v>654</v>
      </c>
      <c r="H75" s="251" t="s">
        <v>627</v>
      </c>
      <c r="I75" s="252" t="s">
        <v>170</v>
      </c>
      <c r="J75" s="458">
        <f>VLOOKUP(B75,'2020-21 feebased approved'!$A$4:$H$313,'2020-21 feebased approved'!$H$1,FALSE)</f>
        <v>815.27412860160723</v>
      </c>
      <c r="K75" s="461">
        <f>IF(OR(B75='Model update'!$P$187,B75='Model update'!$Q$187,B75='Model update'!$R$187,B75='Model update'!$S$187,B75='Model update'!$T$187,B75='Model update'!$U$187,B75='Model update'!$V$187,B75='Model update'!$W$187),'Model update'!$J$187,IF(OR(B75='Model update'!$P$188,B75='Model update'!$Q$188,B75='Model update'!$R$188,B75='Model update'!$S$188,B75='Model update'!$T$188,B75='Model update'!$U$188,B75='Model update'!$V$188,B75='Model update'!$W$188),'Model update'!$J$188,'Model update'!$J$186))</f>
        <v>-9.8252646141938002E-3</v>
      </c>
      <c r="L75" s="465">
        <f>J75*(1+'Model update'!$B$31)*(1-'2021_ACS service &amp; prices'!K75)+'Model update'!$J$196</f>
        <v>830.36947644037775</v>
      </c>
      <c r="M75" s="211"/>
    </row>
    <row r="76" spans="2:13" ht="52.8">
      <c r="B76" s="253" t="s">
        <v>384</v>
      </c>
      <c r="C76" s="253" t="str">
        <f>VLOOKUP(B76,'2020-21 feebased approved'!$A$4:$H$313,2,FALSE)</f>
        <v>TDNSPBL
TDNSPBI</v>
      </c>
      <c r="D76" s="253" t="s">
        <v>624</v>
      </c>
      <c r="E76" s="253" t="s">
        <v>850</v>
      </c>
      <c r="F76" s="253" t="s">
        <v>653</v>
      </c>
      <c r="G76" s="253" t="s">
        <v>654</v>
      </c>
      <c r="H76" s="251" t="s">
        <v>628</v>
      </c>
      <c r="I76" s="252" t="s">
        <v>170</v>
      </c>
      <c r="J76" s="458">
        <f>VLOOKUP(B76,'2020-21 feebased approved'!$A$4:$H$313,'2020-21 feebased approved'!$H$1,FALSE)</f>
        <v>1399.6122379426733</v>
      </c>
      <c r="K76" s="461">
        <f>IF(OR(B76='Model update'!$P$187,B76='Model update'!$Q$187,B76='Model update'!$R$187,B76='Model update'!$S$187,B76='Model update'!$T$187,B76='Model update'!$U$187,B76='Model update'!$V$187,B76='Model update'!$W$187),'Model update'!$J$187,IF(OR(B76='Model update'!$P$188,B76='Model update'!$Q$188,B76='Model update'!$R$188,B76='Model update'!$S$188,B76='Model update'!$T$188,B76='Model update'!$U$188,B76='Model update'!$V$188,B76='Model update'!$W$188),'Model update'!$J$188,'Model update'!$J$186))</f>
        <v>-9.8252646141938002E-3</v>
      </c>
      <c r="L76" s="465">
        <f>J76*(1+'Model update'!$B$31)*(1-'2021_ACS service &amp; prices'!K76)+'Model update'!$J$196</f>
        <v>1425.5269981809058</v>
      </c>
      <c r="M76" s="211"/>
    </row>
    <row r="77" spans="2:13" ht="52.8">
      <c r="B77" s="253" t="s">
        <v>385</v>
      </c>
      <c r="C77" s="253" t="str">
        <f>VLOOKUP(B77,'2020-21 feebased approved'!$A$4:$H$313,2,FALSE)</f>
        <v>TDNMPBU</v>
      </c>
      <c r="D77" s="253" t="s">
        <v>624</v>
      </c>
      <c r="E77" s="253" t="s">
        <v>850</v>
      </c>
      <c r="F77" s="253" t="s">
        <v>653</v>
      </c>
      <c r="G77" s="253" t="s">
        <v>655</v>
      </c>
      <c r="H77" s="251" t="s">
        <v>627</v>
      </c>
      <c r="I77" s="252" t="s">
        <v>170</v>
      </c>
      <c r="J77" s="458">
        <f>VLOOKUP(B77,'2020-21 feebased approved'!$A$4:$H$313,'2020-21 feebased approved'!$H$1,FALSE)</f>
        <v>990.22565834444151</v>
      </c>
      <c r="K77" s="461">
        <f>IF(OR(B77='Model update'!$P$187,B77='Model update'!$Q$187,B77='Model update'!$R$187,B77='Model update'!$S$187,B77='Model update'!$T$187,B77='Model update'!$U$187,B77='Model update'!$V$187,B77='Model update'!$W$187),'Model update'!$J$187,IF(OR(B77='Model update'!$P$188,B77='Model update'!$Q$188,B77='Model update'!$R$188,B77='Model update'!$S$188,B77='Model update'!$T$188,B77='Model update'!$U$188,B77='Model update'!$V$188,B77='Model update'!$W$188),'Model update'!$J$188,'Model update'!$J$186))</f>
        <v>-9.8252646141938002E-3</v>
      </c>
      <c r="L77" s="465">
        <f>J77*(1+'Model update'!$B$31)*(1-'2021_ACS service &amp; prices'!K77)+'Model update'!$J$196</f>
        <v>1008.5603512129911</v>
      </c>
      <c r="M77" s="211"/>
    </row>
    <row r="78" spans="2:13" ht="52.8">
      <c r="B78" s="253" t="s">
        <v>386</v>
      </c>
      <c r="C78" s="253" t="str">
        <f>VLOOKUP(B78,'2020-21 feebased approved'!$A$4:$H$313,2,FALSE)</f>
        <v>TDNMPBL
TDNMPBI</v>
      </c>
      <c r="D78" s="253" t="s">
        <v>624</v>
      </c>
      <c r="E78" s="253" t="s">
        <v>850</v>
      </c>
      <c r="F78" s="253" t="s">
        <v>653</v>
      </c>
      <c r="G78" s="253" t="s">
        <v>655</v>
      </c>
      <c r="H78" s="251" t="s">
        <v>628</v>
      </c>
      <c r="I78" s="252" t="s">
        <v>170</v>
      </c>
      <c r="J78" s="458">
        <f>VLOOKUP(B78,'2020-21 feebased approved'!$A$4:$H$313,'2020-21 feebased approved'!$H$1,FALSE)</f>
        <v>1574.5637676855076</v>
      </c>
      <c r="K78" s="461">
        <f>IF(OR(B78='Model update'!$P$187,B78='Model update'!$Q$187,B78='Model update'!$R$187,B78='Model update'!$S$187,B78='Model update'!$T$187,B78='Model update'!$U$187,B78='Model update'!$V$187,B78='Model update'!$W$187),'Model update'!$J$187,IF(OR(B78='Model update'!$P$188,B78='Model update'!$Q$188,B78='Model update'!$R$188,B78='Model update'!$S$188,B78='Model update'!$T$188,B78='Model update'!$U$188,B78='Model update'!$V$188,B78='Model update'!$W$188),'Model update'!$J$188,'Model update'!$J$186))</f>
        <v>-9.8252646141938002E-3</v>
      </c>
      <c r="L78" s="465">
        <f>J78*(1+'Model update'!$B$31)*(1-'2021_ACS service &amp; prices'!K78)+'Model update'!$J$196</f>
        <v>1603.7178729535192</v>
      </c>
      <c r="M78" s="211"/>
    </row>
    <row r="79" spans="2:13" ht="52.8">
      <c r="B79" s="253" t="s">
        <v>387</v>
      </c>
      <c r="C79" s="253" t="str">
        <f>VLOOKUP(B79,'2020-21 feebased approved'!$A$4:$H$313,2,FALSE)</f>
        <v>TDNSPTCBU</v>
      </c>
      <c r="D79" s="253" t="s">
        <v>624</v>
      </c>
      <c r="E79" s="253" t="s">
        <v>850</v>
      </c>
      <c r="F79" s="253" t="s">
        <v>653</v>
      </c>
      <c r="G79" s="253" t="s">
        <v>656</v>
      </c>
      <c r="H79" s="251" t="s">
        <v>627</v>
      </c>
      <c r="I79" s="252" t="s">
        <v>170</v>
      </c>
      <c r="J79" s="458">
        <f>VLOOKUP(B79,'2020-21 feebased approved'!$A$4:$H$313,'2020-21 feebased approved'!$H$1,FALSE)</f>
        <v>1613.1631310295134</v>
      </c>
      <c r="K79" s="461">
        <f>IF(OR(B79='Model update'!$P$187,B79='Model update'!$Q$187,B79='Model update'!$R$187,B79='Model update'!$S$187,B79='Model update'!$T$187,B79='Model update'!$U$187,B79='Model update'!$V$187,B79='Model update'!$W$187),'Model update'!$J$187,IF(OR(B79='Model update'!$P$188,B79='Model update'!$Q$188,B79='Model update'!$R$188,B79='Model update'!$S$188,B79='Model update'!$T$188,B79='Model update'!$U$188,B79='Model update'!$V$188,B79='Model update'!$W$188),'Model update'!$J$188,'Model update'!$J$186))</f>
        <v>-9.8252646141938002E-3</v>
      </c>
      <c r="L79" s="465">
        <f>J79*(1+'Model update'!$B$31)*(1-'2021_ACS service &amp; prices'!K79)+'Model update'!$J$196</f>
        <v>1643.0319294241574</v>
      </c>
      <c r="M79" s="211"/>
    </row>
    <row r="80" spans="2:13" ht="51" customHeight="1">
      <c r="B80" s="253" t="s">
        <v>388</v>
      </c>
      <c r="C80" s="253" t="str">
        <f>VLOOKUP(B80,'2020-21 feebased approved'!$A$4:$H$313,2,FALSE)</f>
        <v>TDNSPTCBL
TDNSPTCBI</v>
      </c>
      <c r="D80" s="253" t="s">
        <v>624</v>
      </c>
      <c r="E80" s="253" t="s">
        <v>850</v>
      </c>
      <c r="F80" s="253" t="s">
        <v>653</v>
      </c>
      <c r="G80" s="253" t="s">
        <v>656</v>
      </c>
      <c r="H80" s="251" t="s">
        <v>628</v>
      </c>
      <c r="I80" s="252" t="s">
        <v>170</v>
      </c>
      <c r="J80" s="458">
        <f>VLOOKUP(B80,'2020-21 feebased approved'!$A$4:$H$313,'2020-21 feebased approved'!$H$1,FALSE)</f>
        <v>2197.5012403705796</v>
      </c>
      <c r="K80" s="461">
        <f>IF(OR(B80='Model update'!$P$187,B80='Model update'!$Q$187,B80='Model update'!$R$187,B80='Model update'!$S$187,B80='Model update'!$T$187,B80='Model update'!$U$187,B80='Model update'!$V$187,B80='Model update'!$W$187),'Model update'!$J$187,IF(OR(B80='Model update'!$P$188,B80='Model update'!$Q$188,B80='Model update'!$R$188,B80='Model update'!$S$188,B80='Model update'!$T$188,B80='Model update'!$U$188,B80='Model update'!$V$188,B80='Model update'!$W$188),'Model update'!$J$188,'Model update'!$J$186))</f>
        <v>-9.8252646141938002E-3</v>
      </c>
      <c r="L80" s="465">
        <f>J80*(1+'Model update'!$B$31)*(1-'2021_ACS service &amp; prices'!K80)+'Model update'!$J$196</f>
        <v>2238.189451164686</v>
      </c>
      <c r="M80" s="211"/>
    </row>
    <row r="81" spans="2:13" ht="51" customHeight="1">
      <c r="B81" s="253" t="s">
        <v>389</v>
      </c>
      <c r="C81" s="253" t="str">
        <f>VLOOKUP(B81,'2020-21 feebased approved'!$A$4:$H$313,2,FALSE)</f>
        <v>TDNMPTCBU</v>
      </c>
      <c r="D81" s="253" t="s">
        <v>624</v>
      </c>
      <c r="E81" s="253" t="s">
        <v>850</v>
      </c>
      <c r="F81" s="253" t="s">
        <v>653</v>
      </c>
      <c r="G81" s="253" t="s">
        <v>657</v>
      </c>
      <c r="H81" s="251" t="s">
        <v>627</v>
      </c>
      <c r="I81" s="252" t="s">
        <v>170</v>
      </c>
      <c r="J81" s="458">
        <f>VLOOKUP(B81,'2020-21 feebased approved'!$A$4:$H$313,'2020-21 feebased approved'!$H$1,FALSE)</f>
        <v>1788.1146607723476</v>
      </c>
      <c r="K81" s="461">
        <f>IF(OR(B81='Model update'!$P$187,B81='Model update'!$Q$187,B81='Model update'!$R$187,B81='Model update'!$S$187,B81='Model update'!$T$187,B81='Model update'!$U$187,B81='Model update'!$V$187,B81='Model update'!$W$187),'Model update'!$J$187,IF(OR(B81='Model update'!$P$188,B81='Model update'!$Q$188,B81='Model update'!$R$188,B81='Model update'!$S$188,B81='Model update'!$T$188,B81='Model update'!$U$188,B81='Model update'!$V$188,B81='Model update'!$W$188),'Model update'!$J$188,'Model update'!$J$186))</f>
        <v>-9.8252646141938002E-3</v>
      </c>
      <c r="L81" s="465">
        <f>J81*(1+'Model update'!$B$31)*(1-'2021_ACS service &amp; prices'!K81)+'Model update'!$J$196</f>
        <v>1821.222804196771</v>
      </c>
      <c r="M81" s="211"/>
    </row>
    <row r="82" spans="2:13" ht="51" customHeight="1">
      <c r="B82" s="253" t="s">
        <v>390</v>
      </c>
      <c r="C82" s="253" t="str">
        <f>VLOOKUP(B82,'2020-21 feebased approved'!$A$4:$H$313,2,FALSE)</f>
        <v>TDNMPTCBL
TDNMPTCBI</v>
      </c>
      <c r="D82" s="253" t="s">
        <v>624</v>
      </c>
      <c r="E82" s="253" t="s">
        <v>850</v>
      </c>
      <c r="F82" s="253" t="s">
        <v>653</v>
      </c>
      <c r="G82" s="253" t="s">
        <v>657</v>
      </c>
      <c r="H82" s="251" t="s">
        <v>628</v>
      </c>
      <c r="I82" s="252" t="s">
        <v>170</v>
      </c>
      <c r="J82" s="458">
        <f>VLOOKUP(B82,'2020-21 feebased approved'!$A$4:$H$313,'2020-21 feebased approved'!$H$1,FALSE)</f>
        <v>2372.4527701134139</v>
      </c>
      <c r="K82" s="461">
        <f>IF(OR(B82='Model update'!$P$187,B82='Model update'!$Q$187,B82='Model update'!$R$187,B82='Model update'!$S$187,B82='Model update'!$T$187,B82='Model update'!$U$187,B82='Model update'!$V$187,B82='Model update'!$W$187),'Model update'!$J$187,IF(OR(B82='Model update'!$P$188,B82='Model update'!$Q$188,B82='Model update'!$R$188,B82='Model update'!$S$188,B82='Model update'!$T$188,B82='Model update'!$U$188,B82='Model update'!$V$188,B82='Model update'!$W$188),'Model update'!$J$188,'Model update'!$J$186))</f>
        <v>-9.8252646141938002E-3</v>
      </c>
      <c r="L82" s="465">
        <f>J82*(1+'Model update'!$B$31)*(1-'2021_ACS service &amp; prices'!K82)+'Model update'!$J$196</f>
        <v>2416.3803259372994</v>
      </c>
      <c r="M82" s="211"/>
    </row>
    <row r="83" spans="2:13" ht="51" customHeight="1">
      <c r="B83" s="253" t="s">
        <v>391</v>
      </c>
      <c r="C83" s="253" t="str">
        <f>VLOOKUP(B83,'2020-21 feebased approved'!$A$4:$H$313,2,FALSE)</f>
        <v>TDNSPAU</v>
      </c>
      <c r="D83" s="253" t="s">
        <v>624</v>
      </c>
      <c r="E83" s="253" t="s">
        <v>850</v>
      </c>
      <c r="F83" s="253" t="s">
        <v>653</v>
      </c>
      <c r="G83" s="253" t="s">
        <v>658</v>
      </c>
      <c r="H83" s="251" t="s">
        <v>627</v>
      </c>
      <c r="I83" s="252" t="s">
        <v>170</v>
      </c>
      <c r="J83" s="458">
        <f>VLOOKUP(B83,'2020-21 feebased approved'!$A$4:$H$313,'2020-21 feebased approved'!$H$1,FALSE)</f>
        <v>1071.7256085057984</v>
      </c>
      <c r="K83" s="461">
        <f>IF(OR(B83='Model update'!$P$187,B83='Model update'!$Q$187,B83='Model update'!$R$187,B83='Model update'!$S$187,B83='Model update'!$T$187,B83='Model update'!$U$187,B83='Model update'!$V$187,B83='Model update'!$W$187),'Model update'!$J$187,IF(OR(B83='Model update'!$P$188,B83='Model update'!$Q$188,B83='Model update'!$R$188,B83='Model update'!$S$188,B83='Model update'!$T$188,B83='Model update'!$U$188,B83='Model update'!$V$188,B83='Model update'!$W$188),'Model update'!$J$188,'Model update'!$J$186))</f>
        <v>-9.8252646141938002E-3</v>
      </c>
      <c r="L83" s="465">
        <f>J83*(1+'Model update'!$B$31)*(1-'2021_ACS service &amp; prices'!K83)+'Model update'!$J$196</f>
        <v>1091.5693276679192</v>
      </c>
      <c r="M83" s="211"/>
    </row>
    <row r="84" spans="2:13" ht="51" customHeight="1">
      <c r="B84" s="253" t="s">
        <v>392</v>
      </c>
      <c r="C84" s="253" t="str">
        <f>VLOOKUP(B84,'2020-21 feebased approved'!$A$4:$H$313,2,FALSE)</f>
        <v>TDNSPAL
TDNSPAI</v>
      </c>
      <c r="D84" s="253" t="s">
        <v>624</v>
      </c>
      <c r="E84" s="253" t="s">
        <v>850</v>
      </c>
      <c r="F84" s="253" t="s">
        <v>653</v>
      </c>
      <c r="G84" s="253" t="s">
        <v>658</v>
      </c>
      <c r="H84" s="251" t="s">
        <v>628</v>
      </c>
      <c r="I84" s="252" t="s">
        <v>170</v>
      </c>
      <c r="J84" s="458">
        <f>VLOOKUP(B84,'2020-21 feebased approved'!$A$4:$H$313,'2020-21 feebased approved'!$H$1,FALSE)</f>
        <v>1839.8722892803407</v>
      </c>
      <c r="K84" s="461">
        <f>IF(OR(B84='Model update'!$P$187,B84='Model update'!$Q$187,B84='Model update'!$R$187,B84='Model update'!$S$187,B84='Model update'!$T$187,B84='Model update'!$U$187,B84='Model update'!$V$187,B84='Model update'!$W$187),'Model update'!$J$187,IF(OR(B84='Model update'!$P$188,B84='Model update'!$Q$188,B84='Model update'!$R$188,B84='Model update'!$S$188,B84='Model update'!$T$188,B84='Model update'!$U$188,B84='Model update'!$V$188,B84='Model update'!$W$188),'Model update'!$J$188,'Model update'!$J$186))</f>
        <v>-9.8252646141938002E-3</v>
      </c>
      <c r="L84" s="465">
        <f>J84*(1+'Model update'!$B$31)*(1-'2021_ACS service &amp; prices'!K84)+'Model update'!$J$196</f>
        <v>1873.9387599449258</v>
      </c>
      <c r="M84" s="211"/>
    </row>
    <row r="85" spans="2:13" ht="51" customHeight="1">
      <c r="B85" s="253" t="s">
        <v>393</v>
      </c>
      <c r="C85" s="253" t="str">
        <f>VLOOKUP(B85,'2020-21 feebased approved'!$A$4:$H$313,2,FALSE)</f>
        <v>TDNMPAU</v>
      </c>
      <c r="D85" s="253" t="s">
        <v>624</v>
      </c>
      <c r="E85" s="253" t="s">
        <v>850</v>
      </c>
      <c r="F85" s="253" t="s">
        <v>653</v>
      </c>
      <c r="G85" s="253" t="s">
        <v>659</v>
      </c>
      <c r="H85" s="251" t="s">
        <v>627</v>
      </c>
      <c r="I85" s="252" t="s">
        <v>170</v>
      </c>
      <c r="J85" s="458">
        <f>VLOOKUP(B85,'2020-21 feebased approved'!$A$4:$H$313,'2020-21 feebased approved'!$H$1,FALSE)</f>
        <v>1301.7096446658411</v>
      </c>
      <c r="K85" s="461">
        <f>IF(OR(B85='Model update'!$P$187,B85='Model update'!$Q$187,B85='Model update'!$R$187,B85='Model update'!$S$187,B85='Model update'!$T$187,B85='Model update'!$U$187,B85='Model update'!$V$187,B85='Model update'!$W$187),'Model update'!$J$187,IF(OR(B85='Model update'!$P$188,B85='Model update'!$Q$188,B85='Model update'!$R$188,B85='Model update'!$S$188,B85='Model update'!$T$188,B85='Model update'!$U$188,B85='Model update'!$V$188,B85='Model update'!$W$188),'Model update'!$J$188,'Model update'!$J$186))</f>
        <v>-9.8252646141938002E-3</v>
      </c>
      <c r="L85" s="465">
        <f>J85*(1+'Model update'!$B$31)*(1-'2021_ACS service &amp; prices'!K85)+'Model update'!$J$196</f>
        <v>1325.8116726610349</v>
      </c>
      <c r="M85" s="211"/>
    </row>
    <row r="86" spans="2:13" ht="51" customHeight="1">
      <c r="B86" s="253" t="s">
        <v>394</v>
      </c>
      <c r="C86" s="253" t="str">
        <f>VLOOKUP(B86,'2020-21 feebased approved'!$A$4:$H$313,2,FALSE)</f>
        <v>TDNMPAL
TDNMPAI</v>
      </c>
      <c r="D86" s="253" t="s">
        <v>624</v>
      </c>
      <c r="E86" s="253" t="s">
        <v>850</v>
      </c>
      <c r="F86" s="253" t="s">
        <v>653</v>
      </c>
      <c r="G86" s="253" t="s">
        <v>659</v>
      </c>
      <c r="H86" s="251" t="s">
        <v>628</v>
      </c>
      <c r="I86" s="252" t="s">
        <v>170</v>
      </c>
      <c r="J86" s="458">
        <f>VLOOKUP(B86,'2020-21 feebased approved'!$A$4:$H$313,'2020-21 feebased approved'!$H$1,FALSE)</f>
        <v>2069.8563254403834</v>
      </c>
      <c r="K86" s="461">
        <f>IF(OR(B86='Model update'!$P$187,B86='Model update'!$Q$187,B86='Model update'!$R$187,B86='Model update'!$S$187,B86='Model update'!$T$187,B86='Model update'!$U$187,B86='Model update'!$V$187,B86='Model update'!$W$187),'Model update'!$J$187,IF(OR(B86='Model update'!$P$188,B86='Model update'!$Q$188,B86='Model update'!$R$188,B86='Model update'!$S$188,B86='Model update'!$T$188,B86='Model update'!$U$188,B86='Model update'!$V$188,B86='Model update'!$W$188),'Model update'!$J$188,'Model update'!$J$186))</f>
        <v>-9.8252646141938002E-3</v>
      </c>
      <c r="L86" s="465">
        <f>J86*(1+'Model update'!$B$31)*(1-'2021_ACS service &amp; prices'!K86)+'Model update'!$J$196</f>
        <v>2108.1811049380417</v>
      </c>
      <c r="M86" s="211"/>
    </row>
    <row r="87" spans="2:13" ht="51" customHeight="1">
      <c r="B87" s="253" t="s">
        <v>395</v>
      </c>
      <c r="C87" s="253" t="str">
        <f>VLOOKUP(B87,'2020-21 feebased approved'!$A$4:$H$313,2,FALSE)</f>
        <v>TDNSPTCAU</v>
      </c>
      <c r="D87" s="253" t="s">
        <v>624</v>
      </c>
      <c r="E87" s="253" t="s">
        <v>850</v>
      </c>
      <c r="F87" s="253" t="s">
        <v>653</v>
      </c>
      <c r="G87" s="253" t="s">
        <v>660</v>
      </c>
      <c r="H87" s="251" t="s">
        <v>627</v>
      </c>
      <c r="I87" s="252" t="s">
        <v>170</v>
      </c>
      <c r="J87" s="458">
        <f>VLOOKUP(B87,'2020-21 feebased approved'!$A$4:$H$313,'2020-21 feebased approved'!$H$1,FALSE)</f>
        <v>1869.6146109337046</v>
      </c>
      <c r="K87" s="461">
        <f>IF(OR(B87='Model update'!$P$187,B87='Model update'!$Q$187,B87='Model update'!$R$187,B87='Model update'!$S$187,B87='Model update'!$T$187,B87='Model update'!$U$187,B87='Model update'!$V$187,B87='Model update'!$W$187),'Model update'!$J$187,IF(OR(B87='Model update'!$P$188,B87='Model update'!$Q$188,B87='Model update'!$R$188,B87='Model update'!$S$188,B87='Model update'!$T$188,B87='Model update'!$U$188,B87='Model update'!$V$188,B87='Model update'!$W$188),'Model update'!$J$188,'Model update'!$J$186))</f>
        <v>-9.8252646141938002E-3</v>
      </c>
      <c r="L87" s="465">
        <f>J87*(1+'Model update'!$B$31)*(1-'2021_ACS service &amp; prices'!K87)+'Model update'!$J$196</f>
        <v>1904.2317806516992</v>
      </c>
      <c r="M87" s="211"/>
    </row>
    <row r="88" spans="2:13" ht="51" customHeight="1">
      <c r="B88" s="253" t="s">
        <v>396</v>
      </c>
      <c r="C88" s="253" t="str">
        <f>VLOOKUP(B88,'2020-21 feebased approved'!$A$4:$H$313,2,FALSE)</f>
        <v>TDNSPTCAL
TDNSPTCAI</v>
      </c>
      <c r="D88" s="253" t="s">
        <v>624</v>
      </c>
      <c r="E88" s="253" t="s">
        <v>850</v>
      </c>
      <c r="F88" s="253" t="s">
        <v>653</v>
      </c>
      <c r="G88" s="253" t="s">
        <v>660</v>
      </c>
      <c r="H88" s="251" t="s">
        <v>628</v>
      </c>
      <c r="I88" s="252" t="s">
        <v>170</v>
      </c>
      <c r="J88" s="458">
        <f>VLOOKUP(B88,'2020-21 feebased approved'!$A$4:$H$313,'2020-21 feebased approved'!$H$1,FALSE)</f>
        <v>2637.761291708247</v>
      </c>
      <c r="K88" s="461">
        <f>IF(OR(B88='Model update'!$P$187,B88='Model update'!$Q$187,B88='Model update'!$R$187,B88='Model update'!$S$187,B88='Model update'!$T$187,B88='Model update'!$U$187,B88='Model update'!$V$187,B88='Model update'!$W$187),'Model update'!$J$187,IF(OR(B88='Model update'!$P$188,B88='Model update'!$Q$188,B88='Model update'!$R$188,B88='Model update'!$S$188,B88='Model update'!$T$188,B88='Model update'!$U$188,B88='Model update'!$V$188,B88='Model update'!$W$188),'Model update'!$J$188,'Model update'!$J$186))</f>
        <v>-9.8252646141938002E-3</v>
      </c>
      <c r="L88" s="465">
        <f>J88*(1+'Model update'!$B$31)*(1-'2021_ACS service &amp; prices'!K88)+'Model update'!$J$196</f>
        <v>2686.6012129287055</v>
      </c>
      <c r="M88" s="211"/>
    </row>
    <row r="89" spans="2:13" ht="51" customHeight="1">
      <c r="B89" s="253" t="s">
        <v>397</v>
      </c>
      <c r="C89" s="253" t="str">
        <f>VLOOKUP(B89,'2020-21 feebased approved'!$A$4:$H$313,2,FALSE)</f>
        <v>TDNMPTCAU</v>
      </c>
      <c r="D89" s="253" t="s">
        <v>624</v>
      </c>
      <c r="E89" s="253" t="s">
        <v>850</v>
      </c>
      <c r="F89" s="253" t="s">
        <v>653</v>
      </c>
      <c r="G89" s="253" t="s">
        <v>661</v>
      </c>
      <c r="H89" s="251" t="s">
        <v>627</v>
      </c>
      <c r="I89" s="252" t="s">
        <v>170</v>
      </c>
      <c r="J89" s="458">
        <f>VLOOKUP(B89,'2020-21 feebased approved'!$A$4:$H$313,'2020-21 feebased approved'!$H$1,FALSE)</f>
        <v>2099.5986470937473</v>
      </c>
      <c r="K89" s="461">
        <f>IF(OR(B89='Model update'!$P$187,B89='Model update'!$Q$187,B89='Model update'!$R$187,B89='Model update'!$S$187,B89='Model update'!$T$187,B89='Model update'!$U$187,B89='Model update'!$V$187,B89='Model update'!$W$187),'Model update'!$J$187,IF(OR(B89='Model update'!$P$188,B89='Model update'!$Q$188,B89='Model update'!$R$188,B89='Model update'!$S$188,B89='Model update'!$T$188,B89='Model update'!$U$188,B89='Model update'!$V$188,B89='Model update'!$W$188),'Model update'!$J$188,'Model update'!$J$186))</f>
        <v>-9.8252646141938002E-3</v>
      </c>
      <c r="L89" s="465">
        <f>J89*(1+'Model update'!$B$31)*(1-'2021_ACS service &amp; prices'!K89)+'Model update'!$J$196</f>
        <v>2138.4741256448146</v>
      </c>
      <c r="M89" s="211"/>
    </row>
    <row r="90" spans="2:13" ht="51" customHeight="1">
      <c r="B90" s="253" t="s">
        <v>398</v>
      </c>
      <c r="C90" s="253" t="str">
        <f>VLOOKUP(B90,'2020-21 feebased approved'!$A$4:$H$313,2,FALSE)</f>
        <v>TDNMPTCAL
TDNMPTCAI</v>
      </c>
      <c r="D90" s="253" t="s">
        <v>624</v>
      </c>
      <c r="E90" s="253" t="s">
        <v>850</v>
      </c>
      <c r="F90" s="253" t="s">
        <v>653</v>
      </c>
      <c r="G90" s="253" t="s">
        <v>661</v>
      </c>
      <c r="H90" s="251" t="s">
        <v>628</v>
      </c>
      <c r="I90" s="252" t="s">
        <v>170</v>
      </c>
      <c r="J90" s="458">
        <f>VLOOKUP(B90,'2020-21 feebased approved'!$A$4:$H$313,'2020-21 feebased approved'!$H$1,FALSE)</f>
        <v>2867.7453278682897</v>
      </c>
      <c r="K90" s="461">
        <f>IF(OR(B90='Model update'!$P$187,B90='Model update'!$Q$187,B90='Model update'!$R$187,B90='Model update'!$S$187,B90='Model update'!$T$187,B90='Model update'!$U$187,B90='Model update'!$V$187,B90='Model update'!$W$187),'Model update'!$J$187,IF(OR(B90='Model update'!$P$188,B90='Model update'!$Q$188,B90='Model update'!$R$188,B90='Model update'!$S$188,B90='Model update'!$T$188,B90='Model update'!$U$188,B90='Model update'!$V$188,B90='Model update'!$W$188),'Model update'!$J$188,'Model update'!$J$186))</f>
        <v>-9.8252646141938002E-3</v>
      </c>
      <c r="L90" s="465">
        <f>J90*(1+'Model update'!$B$31)*(1-'2021_ACS service &amp; prices'!K90)+'Model update'!$J$196</f>
        <v>2920.8435579218212</v>
      </c>
      <c r="M90" s="211"/>
    </row>
    <row r="91" spans="2:13" ht="51" customHeight="1">
      <c r="B91" s="253" t="s">
        <v>399</v>
      </c>
      <c r="C91" s="253" t="str">
        <f>VLOOKUP(B91,'2020-21 feebased approved'!$A$4:$H$313,2,FALSE)</f>
        <v>NCTMTRBU
NCTMTRBL
NCTMTRBI</v>
      </c>
      <c r="D91" s="253" t="s">
        <v>624</v>
      </c>
      <c r="E91" s="253" t="s">
        <v>851</v>
      </c>
      <c r="F91" s="253" t="s">
        <v>662</v>
      </c>
      <c r="G91" s="253" t="s">
        <v>636</v>
      </c>
      <c r="H91" s="251" t="s">
        <v>110</v>
      </c>
      <c r="I91" s="252" t="s">
        <v>170</v>
      </c>
      <c r="J91" s="458">
        <f>VLOOKUP(B91,'2020-21 feebased approved'!$A$4:$H$313,'2020-21 feebased approved'!$H$1,FALSE)</f>
        <v>174.95152974283417</v>
      </c>
      <c r="K91" s="461">
        <f>IF(OR(B91='Model update'!$P$187,B91='Model update'!$Q$187,B91='Model update'!$R$187,B91='Model update'!$S$187,B91='Model update'!$T$187,B91='Model update'!$U$187,B91='Model update'!$V$187,B91='Model update'!$W$187),'Model update'!$J$187,IF(OR(B91='Model update'!$P$188,B91='Model update'!$Q$188,B91='Model update'!$R$188,B91='Model update'!$S$188,B91='Model update'!$T$188,B91='Model update'!$U$188,B91='Model update'!$V$188,B91='Model update'!$W$188),'Model update'!$J$188,'Model update'!$J$186))</f>
        <v>-9.8252646141938002E-3</v>
      </c>
      <c r="L91" s="465">
        <f>J91*(1+'Model update'!$B$31)*(1-'2021_ACS service &amp; prices'!K91)+'Model update'!$J$196</f>
        <v>178.19087477261323</v>
      </c>
      <c r="M91" s="211"/>
    </row>
    <row r="92" spans="2:13" ht="39.6">
      <c r="B92" s="253" t="s">
        <v>400</v>
      </c>
      <c r="C92" s="253" t="str">
        <f>VLOOKUP(B92,'2020-21 feebased approved'!$A$4:$H$313,2,FALSE)</f>
        <v>NCT1MBU</v>
      </c>
      <c r="D92" s="253" t="s">
        <v>624</v>
      </c>
      <c r="E92" s="253" t="s">
        <v>851</v>
      </c>
      <c r="F92" s="253" t="s">
        <v>663</v>
      </c>
      <c r="G92" s="253" t="s">
        <v>626</v>
      </c>
      <c r="H92" s="251" t="s">
        <v>627</v>
      </c>
      <c r="I92" s="252" t="s">
        <v>170</v>
      </c>
      <c r="J92" s="458">
        <f>VLOOKUP(B92,'2020-21 feebased approved'!$A$4:$H$313,'2020-21 feebased approved'!$H$1,FALSE)</f>
        <v>990.22565834444151</v>
      </c>
      <c r="K92" s="461">
        <f>IF(OR(B92='Model update'!$P$187,B92='Model update'!$Q$187,B92='Model update'!$R$187,B92='Model update'!$S$187,B92='Model update'!$T$187,B92='Model update'!$U$187,B92='Model update'!$V$187,B92='Model update'!$W$187),'Model update'!$J$187,IF(OR(B92='Model update'!$P$188,B92='Model update'!$Q$188,B92='Model update'!$R$188,B92='Model update'!$S$188,B92='Model update'!$T$188,B92='Model update'!$U$188,B92='Model update'!$V$188,B92='Model update'!$W$188),'Model update'!$J$188,'Model update'!$J$186))</f>
        <v>-9.8252646141938002E-3</v>
      </c>
      <c r="L92" s="465">
        <f>J92*(1+'Model update'!$B$31)*(1-'2021_ACS service &amp; prices'!K92)+'Model update'!$J$196</f>
        <v>1008.5603512129911</v>
      </c>
      <c r="M92" s="211"/>
    </row>
    <row r="93" spans="2:13" ht="39.6">
      <c r="B93" s="253" t="s">
        <v>401</v>
      </c>
      <c r="C93" s="253" t="str">
        <f>VLOOKUP(B93,'2020-21 feebased approved'!$A$4:$H$313,2,FALSE)</f>
        <v>NCT1MBL
NCT1MBI</v>
      </c>
      <c r="D93" s="253" t="s">
        <v>624</v>
      </c>
      <c r="E93" s="253" t="s">
        <v>851</v>
      </c>
      <c r="F93" s="253" t="s">
        <v>663</v>
      </c>
      <c r="G93" s="253" t="s">
        <v>626</v>
      </c>
      <c r="H93" s="251" t="s">
        <v>628</v>
      </c>
      <c r="I93" s="252" t="s">
        <v>170</v>
      </c>
      <c r="J93" s="458">
        <f>VLOOKUP(B93,'2020-21 feebased approved'!$A$4:$H$313,'2020-21 feebased approved'!$H$1,FALSE)</f>
        <v>1574.5637676855076</v>
      </c>
      <c r="K93" s="461">
        <f>IF(OR(B93='Model update'!$P$187,B93='Model update'!$Q$187,B93='Model update'!$R$187,B93='Model update'!$S$187,B93='Model update'!$T$187,B93='Model update'!$U$187,B93='Model update'!$V$187,B93='Model update'!$W$187),'Model update'!$J$187,IF(OR(B93='Model update'!$P$188,B93='Model update'!$Q$188,B93='Model update'!$R$188,B93='Model update'!$S$188,B93='Model update'!$T$188,B93='Model update'!$U$188,B93='Model update'!$V$188,B93='Model update'!$W$188),'Model update'!$J$188,'Model update'!$J$186))</f>
        <v>-9.8252646141938002E-3</v>
      </c>
      <c r="L93" s="465">
        <f>J93*(1+'Model update'!$B$31)*(1-'2021_ACS service &amp; prices'!K93)+'Model update'!$J$196</f>
        <v>1603.7178729535192</v>
      </c>
      <c r="M93" s="211"/>
    </row>
    <row r="94" spans="2:13" ht="39.6">
      <c r="B94" s="253" t="s">
        <v>402</v>
      </c>
      <c r="C94" s="253" t="str">
        <f>VLOOKUP(B94,'2020-21 feebased approved'!$A$4:$H$313,2,FALSE)</f>
        <v>NCT1MAU</v>
      </c>
      <c r="D94" s="253" t="s">
        <v>624</v>
      </c>
      <c r="E94" s="253" t="s">
        <v>851</v>
      </c>
      <c r="F94" s="253" t="s">
        <v>663</v>
      </c>
      <c r="G94" s="253" t="s">
        <v>629</v>
      </c>
      <c r="H94" s="251" t="s">
        <v>627</v>
      </c>
      <c r="I94" s="252" t="s">
        <v>170</v>
      </c>
      <c r="J94" s="458">
        <f>VLOOKUP(B94,'2020-21 feebased approved'!$A$4:$H$313,'2020-21 feebased approved'!$H$1,FALSE)</f>
        <v>1301.7096446658411</v>
      </c>
      <c r="K94" s="461">
        <f>IF(OR(B94='Model update'!$P$187,B94='Model update'!$Q$187,B94='Model update'!$R$187,B94='Model update'!$S$187,B94='Model update'!$T$187,B94='Model update'!$U$187,B94='Model update'!$V$187,B94='Model update'!$W$187),'Model update'!$J$187,IF(OR(B94='Model update'!$P$188,B94='Model update'!$Q$188,B94='Model update'!$R$188,B94='Model update'!$S$188,B94='Model update'!$T$188,B94='Model update'!$U$188,B94='Model update'!$V$188,B94='Model update'!$W$188),'Model update'!$J$188,'Model update'!$J$186))</f>
        <v>-9.8252646141938002E-3</v>
      </c>
      <c r="L94" s="465">
        <f>J94*(1+'Model update'!$B$31)*(1-'2021_ACS service &amp; prices'!K94)+'Model update'!$J$196</f>
        <v>1325.8116726610349</v>
      </c>
      <c r="M94" s="211"/>
    </row>
    <row r="95" spans="2:13" ht="39.6">
      <c r="B95" s="253" t="s">
        <v>403</v>
      </c>
      <c r="C95" s="253" t="str">
        <f>VLOOKUP(B95,'2020-21 feebased approved'!$A$4:$H$313,2,FALSE)</f>
        <v>NCT1MAL
NCT1MAI</v>
      </c>
      <c r="D95" s="253" t="s">
        <v>624</v>
      </c>
      <c r="E95" s="253" t="s">
        <v>851</v>
      </c>
      <c r="F95" s="253" t="s">
        <v>663</v>
      </c>
      <c r="G95" s="253" t="s">
        <v>629</v>
      </c>
      <c r="H95" s="251" t="s">
        <v>628</v>
      </c>
      <c r="I95" s="252" t="s">
        <v>170</v>
      </c>
      <c r="J95" s="458">
        <f>VLOOKUP(B95,'2020-21 feebased approved'!$A$4:$H$313,'2020-21 feebased approved'!$H$1,FALSE)</f>
        <v>2069.8563254403834</v>
      </c>
      <c r="K95" s="461">
        <f>IF(OR(B95='Model update'!$P$187,B95='Model update'!$Q$187,B95='Model update'!$R$187,B95='Model update'!$S$187,B95='Model update'!$T$187,B95='Model update'!$U$187,B95='Model update'!$V$187,B95='Model update'!$W$187),'Model update'!$J$187,IF(OR(B95='Model update'!$P$188,B95='Model update'!$Q$188,B95='Model update'!$R$188,B95='Model update'!$S$188,B95='Model update'!$T$188,B95='Model update'!$U$188,B95='Model update'!$V$188,B95='Model update'!$W$188),'Model update'!$J$188,'Model update'!$J$186))</f>
        <v>-9.8252646141938002E-3</v>
      </c>
      <c r="L95" s="465">
        <f>J95*(1+'Model update'!$B$31)*(1-'2021_ACS service &amp; prices'!K95)+'Model update'!$J$196</f>
        <v>2108.1811049380417</v>
      </c>
      <c r="M95" s="211"/>
    </row>
    <row r="96" spans="2:13" ht="39.6">
      <c r="B96" s="253" t="s">
        <v>404</v>
      </c>
      <c r="C96" s="253" t="str">
        <f>VLOOKUP(B96,'2020-21 feebased approved'!$A$4:$H$313,2,FALSE)</f>
        <v>NCT2MBU</v>
      </c>
      <c r="D96" s="253" t="s">
        <v>624</v>
      </c>
      <c r="E96" s="253" t="s">
        <v>851</v>
      </c>
      <c r="F96" s="253" t="s">
        <v>663</v>
      </c>
      <c r="G96" s="253" t="s">
        <v>630</v>
      </c>
      <c r="H96" s="251" t="s">
        <v>627</v>
      </c>
      <c r="I96" s="252" t="s">
        <v>170</v>
      </c>
      <c r="J96" s="458">
        <f>VLOOKUP(B96,'2020-21 feebased approved'!$A$4:$H$313,'2020-21 feebased approved'!$H$1,FALSE)</f>
        <v>1690.0317773157778</v>
      </c>
      <c r="K96" s="461">
        <f>IF(OR(B96='Model update'!$P$187,B96='Model update'!$Q$187,B96='Model update'!$R$187,B96='Model update'!$S$187,B96='Model update'!$T$187,B96='Model update'!$U$187,B96='Model update'!$V$187,B96='Model update'!$W$187),'Model update'!$J$187,IF(OR(B96='Model update'!$P$188,B96='Model update'!$Q$188,B96='Model update'!$R$188,B96='Model update'!$S$188,B96='Model update'!$T$188,B96='Model update'!$U$188,B96='Model update'!$V$188,B96='Model update'!$W$188),'Model update'!$J$188,'Model update'!$J$186))</f>
        <v>-9.8252646141938002E-3</v>
      </c>
      <c r="L96" s="465">
        <f>J96*(1+'Model update'!$B$31)*(1-'2021_ACS service &amp; prices'!K96)+'Model update'!$J$196</f>
        <v>1721.3238503034438</v>
      </c>
      <c r="M96" s="211"/>
    </row>
    <row r="97" spans="2:13" ht="39.6">
      <c r="B97" s="253" t="s">
        <v>405</v>
      </c>
      <c r="C97" s="253" t="str">
        <f>VLOOKUP(B97,'2020-21 feebased approved'!$A$4:$H$313,2,FALSE)</f>
        <v>NCT2MBL
NCT2MBI</v>
      </c>
      <c r="D97" s="253" t="s">
        <v>624</v>
      </c>
      <c r="E97" s="253" t="s">
        <v>851</v>
      </c>
      <c r="F97" s="253" t="s">
        <v>663</v>
      </c>
      <c r="G97" s="253" t="s">
        <v>630</v>
      </c>
      <c r="H97" s="251" t="s">
        <v>628</v>
      </c>
      <c r="I97" s="252" t="s">
        <v>170</v>
      </c>
      <c r="J97" s="458">
        <f>VLOOKUP(B97,'2020-21 feebased approved'!$A$4:$H$313,'2020-21 feebased approved'!$H$1,FALSE)</f>
        <v>2274.3698866568438</v>
      </c>
      <c r="K97" s="461">
        <f>IF(OR(B97='Model update'!$P$187,B97='Model update'!$Q$187,B97='Model update'!$R$187,B97='Model update'!$S$187,B97='Model update'!$T$187,B97='Model update'!$U$187,B97='Model update'!$V$187,B97='Model update'!$W$187),'Model update'!$J$187,IF(OR(B97='Model update'!$P$188,B97='Model update'!$Q$188,B97='Model update'!$R$188,B97='Model update'!$S$188,B97='Model update'!$T$188,B97='Model update'!$U$188,B97='Model update'!$V$188,B97='Model update'!$W$188),'Model update'!$J$188,'Model update'!$J$186))</f>
        <v>-9.8252646141938002E-3</v>
      </c>
      <c r="L97" s="465">
        <f>J97*(1+'Model update'!$B$31)*(1-'2021_ACS service &amp; prices'!K97)+'Model update'!$J$196</f>
        <v>2316.4813720439715</v>
      </c>
      <c r="M97" s="211"/>
    </row>
    <row r="98" spans="2:13" ht="39.6">
      <c r="B98" s="253" t="s">
        <v>406</v>
      </c>
      <c r="C98" s="253" t="str">
        <f>VLOOKUP(B98,'2020-21 feebased approved'!$A$4:$H$313,2,FALSE)</f>
        <v>NCT2MAU</v>
      </c>
      <c r="D98" s="253" t="s">
        <v>624</v>
      </c>
      <c r="E98" s="253" t="s">
        <v>851</v>
      </c>
      <c r="F98" s="253" t="s">
        <v>663</v>
      </c>
      <c r="G98" s="253" t="s">
        <v>632</v>
      </c>
      <c r="H98" s="251" t="s">
        <v>627</v>
      </c>
      <c r="I98" s="252" t="s">
        <v>170</v>
      </c>
      <c r="J98" s="458">
        <f>VLOOKUP(B98,'2020-21 feebased approved'!$A$4:$H$313,'2020-21 feebased approved'!$H$1,FALSE)</f>
        <v>2221.6457893060115</v>
      </c>
      <c r="K98" s="461">
        <f>IF(OR(B98='Model update'!$P$187,B98='Model update'!$Q$187,B98='Model update'!$R$187,B98='Model update'!$S$187,B98='Model update'!$T$187,B98='Model update'!$U$187,B98='Model update'!$V$187,B98='Model update'!$W$187),'Model update'!$J$187,IF(OR(B98='Model update'!$P$188,B98='Model update'!$Q$188,B98='Model update'!$R$188,B98='Model update'!$S$188,B98='Model update'!$T$188,B98='Model update'!$U$188,B98='Model update'!$V$188,B98='Model update'!$W$188),'Model update'!$J$188,'Model update'!$J$186))</f>
        <v>-9.8252646141938002E-3</v>
      </c>
      <c r="L98" s="465">
        <f>J98*(1+'Model update'!$B$31)*(1-'2021_ACS service &amp; prices'!K98)+'Model update'!$J$196</f>
        <v>2262.7810526334979</v>
      </c>
      <c r="M98" s="211"/>
    </row>
    <row r="99" spans="2:13" ht="39.6">
      <c r="B99" s="253" t="s">
        <v>407</v>
      </c>
      <c r="C99" s="253" t="str">
        <f>VLOOKUP(B99,'2020-21 feebased approved'!$A$4:$H$313,2,FALSE)</f>
        <v>NCT2MAL
NCT2MAI</v>
      </c>
      <c r="D99" s="253" t="s">
        <v>624</v>
      </c>
      <c r="E99" s="253" t="s">
        <v>851</v>
      </c>
      <c r="F99" s="253" t="s">
        <v>663</v>
      </c>
      <c r="G99" s="253" t="s">
        <v>632</v>
      </c>
      <c r="H99" s="251" t="s">
        <v>628</v>
      </c>
      <c r="I99" s="252" t="s">
        <v>170</v>
      </c>
      <c r="J99" s="458">
        <f>VLOOKUP(B99,'2020-21 feebased approved'!$A$4:$H$313,'2020-21 feebased approved'!$H$1,FALSE)</f>
        <v>2989.7924700805538</v>
      </c>
      <c r="K99" s="461">
        <f>IF(OR(B99='Model update'!$P$187,B99='Model update'!$Q$187,B99='Model update'!$R$187,B99='Model update'!$S$187,B99='Model update'!$T$187,B99='Model update'!$U$187,B99='Model update'!$V$187,B99='Model update'!$W$187),'Model update'!$J$187,IF(OR(B99='Model update'!$P$188,B99='Model update'!$Q$188,B99='Model update'!$R$188,B99='Model update'!$S$188,B99='Model update'!$T$188,B99='Model update'!$U$188,B99='Model update'!$V$188,B99='Model update'!$W$188),'Model update'!$J$188,'Model update'!$J$186))</f>
        <v>-9.8252646141938002E-3</v>
      </c>
      <c r="L99" s="465">
        <f>J99*(1+'Model update'!$B$31)*(1-'2021_ACS service &amp; prices'!K99)+'Model update'!$J$196</f>
        <v>3045.1504849105045</v>
      </c>
      <c r="M99" s="211"/>
    </row>
    <row r="100" spans="2:13" ht="66">
      <c r="B100" s="253" t="s">
        <v>408</v>
      </c>
      <c r="C100" s="253" t="str">
        <f>VLOOKUP(B100,'2020-21 feebased approved'!$A$4:$H$313,2,FALSE)</f>
        <v>SA2BU</v>
      </c>
      <c r="D100" s="253" t="s">
        <v>624</v>
      </c>
      <c r="E100" s="253" t="s">
        <v>852</v>
      </c>
      <c r="F100" s="253" t="s">
        <v>664</v>
      </c>
      <c r="G100" s="253" t="s">
        <v>665</v>
      </c>
      <c r="H100" s="251" t="s">
        <v>627</v>
      </c>
      <c r="I100" s="252" t="s">
        <v>170</v>
      </c>
      <c r="J100" s="458">
        <f>VLOOKUP(B100,'2020-21 feebased approved'!$A$4:$H$313,'2020-21 feebased approved'!$H$1,FALSE)</f>
        <v>465.37106911593889</v>
      </c>
      <c r="K100" s="461">
        <f>IF(OR(B100='Model update'!$P$187,B100='Model update'!$Q$187,B100='Model update'!$R$187,B100='Model update'!$S$187,B100='Model update'!$T$187,B100='Model update'!$U$187,B100='Model update'!$V$187,B100='Model update'!$W$187),'Model update'!$J$187,IF(OR(B100='Model update'!$P$188,B100='Model update'!$Q$188,B100='Model update'!$R$188,B100='Model update'!$S$188,B100='Model update'!$T$188,B100='Model update'!$U$188,B100='Model update'!$V$188,B100='Model update'!$W$188),'Model update'!$J$188,'Model update'!$J$186))</f>
        <v>-9.8252646141938002E-3</v>
      </c>
      <c r="L100" s="465">
        <f>J100*(1+'Model update'!$B$31)*(1-'2021_ACS service &amp; prices'!K100)+'Model update'!$J$196</f>
        <v>473.98772689515118</v>
      </c>
      <c r="M100" s="211"/>
    </row>
    <row r="101" spans="2:13" ht="66">
      <c r="B101" s="253" t="s">
        <v>409</v>
      </c>
      <c r="C101" s="253" t="str">
        <f>VLOOKUP(B101,'2020-21 feebased approved'!$A$4:$H$313,2,FALSE)</f>
        <v>SA2BL
SA2BI</v>
      </c>
      <c r="D101" s="253" t="s">
        <v>624</v>
      </c>
      <c r="E101" s="253" t="s">
        <v>852</v>
      </c>
      <c r="F101" s="253" t="s">
        <v>664</v>
      </c>
      <c r="G101" s="253" t="s">
        <v>665</v>
      </c>
      <c r="H101" s="251" t="s">
        <v>628</v>
      </c>
      <c r="I101" s="252" t="s">
        <v>170</v>
      </c>
      <c r="J101" s="458">
        <f>VLOOKUP(B101,'2020-21 feebased approved'!$A$4:$H$313,'2020-21 feebased approved'!$H$1,FALSE)</f>
        <v>1049.709178457005</v>
      </c>
      <c r="K101" s="461">
        <f>IF(OR(B101='Model update'!$P$187,B101='Model update'!$Q$187,B101='Model update'!$R$187,B101='Model update'!$S$187,B101='Model update'!$T$187,B101='Model update'!$U$187,B101='Model update'!$V$187,B101='Model update'!$W$187),'Model update'!$J$187,IF(OR(B101='Model update'!$P$188,B101='Model update'!$Q$188,B101='Model update'!$R$188,B101='Model update'!$S$188,B101='Model update'!$T$188,B101='Model update'!$U$188,B101='Model update'!$V$188,B101='Model update'!$W$188),'Model update'!$J$188,'Model update'!$J$186))</f>
        <v>-9.8252646141938002E-3</v>
      </c>
      <c r="L101" s="465">
        <f>J101*(1+'Model update'!$B$31)*(1-'2021_ACS service &amp; prices'!K101)+'Model update'!$J$196</f>
        <v>1069.1452486356793</v>
      </c>
      <c r="M101" s="211"/>
    </row>
    <row r="102" spans="2:13" ht="66">
      <c r="B102" s="253" t="s">
        <v>410</v>
      </c>
      <c r="C102" s="253" t="str">
        <f>VLOOKUP(B102,'2020-21 feebased approved'!$A$4:$H$313,2,FALSE)</f>
        <v>SA2TCBU</v>
      </c>
      <c r="D102" s="253" t="s">
        <v>624</v>
      </c>
      <c r="E102" s="253" t="s">
        <v>852</v>
      </c>
      <c r="F102" s="253" t="s">
        <v>664</v>
      </c>
      <c r="G102" s="253" t="s">
        <v>666</v>
      </c>
      <c r="H102" s="251" t="s">
        <v>627</v>
      </c>
      <c r="I102" s="252" t="s">
        <v>170</v>
      </c>
      <c r="J102" s="458">
        <f>VLOOKUP(B102,'2020-21 feebased approved'!$A$4:$H$313,'2020-21 feebased approved'!$H$1,FALSE)</f>
        <v>1263.2600715438452</v>
      </c>
      <c r="K102" s="461">
        <f>IF(OR(B102='Model update'!$P$187,B102='Model update'!$Q$187,B102='Model update'!$R$187,B102='Model update'!$S$187,B102='Model update'!$T$187,B102='Model update'!$U$187,B102='Model update'!$V$187,B102='Model update'!$W$187),'Model update'!$J$187,IF(OR(B102='Model update'!$P$188,B102='Model update'!$Q$188,B102='Model update'!$R$188,B102='Model update'!$S$188,B102='Model update'!$T$188,B102='Model update'!$U$188,B102='Model update'!$V$188,B102='Model update'!$W$188),'Model update'!$J$188,'Model update'!$J$186))</f>
        <v>-9.8252646141938002E-3</v>
      </c>
      <c r="L102" s="465">
        <f>J102*(1+'Model update'!$B$31)*(1-'2021_ACS service &amp; prices'!K102)+'Model update'!$J$196</f>
        <v>1286.6501798789311</v>
      </c>
      <c r="M102" s="211"/>
    </row>
    <row r="103" spans="2:13" ht="66">
      <c r="B103" s="253" t="s">
        <v>411</v>
      </c>
      <c r="C103" s="253" t="str">
        <f>VLOOKUP(B103,'2020-21 feebased approved'!$A$4:$H$313,2,FALSE)</f>
        <v>SA2TCBL
SA2TCBI</v>
      </c>
      <c r="D103" s="253" t="s">
        <v>624</v>
      </c>
      <c r="E103" s="253" t="s">
        <v>852</v>
      </c>
      <c r="F103" s="253" t="s">
        <v>664</v>
      </c>
      <c r="G103" s="253" t="s">
        <v>666</v>
      </c>
      <c r="H103" s="251" t="s">
        <v>628</v>
      </c>
      <c r="I103" s="252" t="s">
        <v>170</v>
      </c>
      <c r="J103" s="458">
        <f>VLOOKUP(B103,'2020-21 feebased approved'!$A$4:$H$313,'2020-21 feebased approved'!$H$1,FALSE)</f>
        <v>1847.5981808849112</v>
      </c>
      <c r="K103" s="461">
        <f>IF(OR(B103='Model update'!$P$187,B103='Model update'!$Q$187,B103='Model update'!$R$187,B103='Model update'!$S$187,B103='Model update'!$T$187,B103='Model update'!$U$187,B103='Model update'!$V$187,B103='Model update'!$W$187),'Model update'!$J$187,IF(OR(B103='Model update'!$P$188,B103='Model update'!$Q$188,B103='Model update'!$R$188,B103='Model update'!$S$188,B103='Model update'!$T$188,B103='Model update'!$U$188,B103='Model update'!$V$188,B103='Model update'!$W$188),'Model update'!$J$188,'Model update'!$J$186))</f>
        <v>-9.8252646141938002E-3</v>
      </c>
      <c r="L103" s="465">
        <f>J103*(1+'Model update'!$B$31)*(1-'2021_ACS service &amp; prices'!K103)+'Model update'!$J$196</f>
        <v>1881.8077016194593</v>
      </c>
      <c r="M103" s="211"/>
    </row>
    <row r="104" spans="2:13" ht="66">
      <c r="B104" s="253" t="s">
        <v>412</v>
      </c>
      <c r="C104" s="253" t="str">
        <f>VLOOKUP(B104,'2020-21 feebased approved'!$A$4:$H$313,2,FALSE)</f>
        <v>SA1BU</v>
      </c>
      <c r="D104" s="253" t="s">
        <v>624</v>
      </c>
      <c r="E104" s="253" t="s">
        <v>852</v>
      </c>
      <c r="F104" s="253" t="s">
        <v>664</v>
      </c>
      <c r="G104" s="253" t="s">
        <v>667</v>
      </c>
      <c r="H104" s="251" t="s">
        <v>627</v>
      </c>
      <c r="I104" s="252" t="s">
        <v>170</v>
      </c>
      <c r="J104" s="458">
        <f>VLOOKUP(B104,'2020-21 feebased approved'!$A$4:$H$313,'2020-21 feebased approved'!$H$1,FALSE)</f>
        <v>377.89530424452181</v>
      </c>
      <c r="K104" s="461">
        <f>IF(OR(B104='Model update'!$P$187,B104='Model update'!$Q$187,B104='Model update'!$R$187,B104='Model update'!$S$187,B104='Model update'!$T$187,B104='Model update'!$U$187,B104='Model update'!$V$187,B104='Model update'!$W$187),'Model update'!$J$187,IF(OR(B104='Model update'!$P$188,B104='Model update'!$Q$188,B104='Model update'!$R$188,B104='Model update'!$S$188,B104='Model update'!$T$188,B104='Model update'!$U$188,B104='Model update'!$V$188,B104='Model update'!$W$188),'Model update'!$J$188,'Model update'!$J$186))</f>
        <v>-9.8252646141938002E-3</v>
      </c>
      <c r="L104" s="465">
        <f>J104*(1+'Model update'!$B$31)*(1-'2021_ACS service &amp; prices'!K104)+'Model update'!$J$196</f>
        <v>384.89228950884461</v>
      </c>
      <c r="M104" s="211"/>
    </row>
    <row r="105" spans="2:13" ht="66">
      <c r="B105" s="253" t="s">
        <v>413</v>
      </c>
      <c r="C105" s="253" t="str">
        <f>VLOOKUP(B105,'2020-21 feebased approved'!$A$4:$H$313,2,FALSE)</f>
        <v>SA1BL
SA1BI</v>
      </c>
      <c r="D105" s="253" t="s">
        <v>624</v>
      </c>
      <c r="E105" s="253" t="s">
        <v>852</v>
      </c>
      <c r="F105" s="253" t="s">
        <v>664</v>
      </c>
      <c r="G105" s="253" t="s">
        <v>667</v>
      </c>
      <c r="H105" s="251" t="s">
        <v>628</v>
      </c>
      <c r="I105" s="252" t="s">
        <v>170</v>
      </c>
      <c r="J105" s="458">
        <f>VLOOKUP(B105,'2020-21 feebased approved'!$A$4:$H$313,'2020-21 feebased approved'!$H$1,FALSE)</f>
        <v>962.23341358558787</v>
      </c>
      <c r="K105" s="461">
        <f>IF(OR(B105='Model update'!$P$187,B105='Model update'!$Q$187,B105='Model update'!$R$187,B105='Model update'!$S$187,B105='Model update'!$T$187,B105='Model update'!$U$187,B105='Model update'!$V$187,B105='Model update'!$W$187),'Model update'!$J$187,IF(OR(B105='Model update'!$P$188,B105='Model update'!$Q$188,B105='Model update'!$R$188,B105='Model update'!$S$188,B105='Model update'!$T$188,B105='Model update'!$U$188,B105='Model update'!$V$188,B105='Model update'!$W$188),'Model update'!$J$188,'Model update'!$J$186))</f>
        <v>-9.8252646141938002E-3</v>
      </c>
      <c r="L105" s="465">
        <f>J105*(1+'Model update'!$B$31)*(1-'2021_ACS service &amp; prices'!K105)+'Model update'!$J$196</f>
        <v>980.04981124937274</v>
      </c>
      <c r="M105" s="211"/>
    </row>
    <row r="106" spans="2:13" ht="66">
      <c r="B106" s="253" t="s">
        <v>414</v>
      </c>
      <c r="C106" s="253" t="str">
        <f>VLOOKUP(B106,'2020-21 feebased approved'!$A$4:$H$313,2,FALSE)</f>
        <v>SA1TCBU</v>
      </c>
      <c r="D106" s="253" t="s">
        <v>624</v>
      </c>
      <c r="E106" s="253" t="s">
        <v>852</v>
      </c>
      <c r="F106" s="253" t="s">
        <v>664</v>
      </c>
      <c r="G106" s="253" t="s">
        <v>668</v>
      </c>
      <c r="H106" s="251" t="s">
        <v>627</v>
      </c>
      <c r="I106" s="252" t="s">
        <v>170</v>
      </c>
      <c r="J106" s="458">
        <f>VLOOKUP(B106,'2020-21 feebased approved'!$A$4:$H$313,'2020-21 feebased approved'!$H$1,FALSE)</f>
        <v>1175.7843066724281</v>
      </c>
      <c r="K106" s="461">
        <f>IF(OR(B106='Model update'!$P$187,B106='Model update'!$Q$187,B106='Model update'!$R$187,B106='Model update'!$S$187,B106='Model update'!$T$187,B106='Model update'!$U$187,B106='Model update'!$V$187,B106='Model update'!$W$187),'Model update'!$J$187,IF(OR(B106='Model update'!$P$188,B106='Model update'!$Q$188,B106='Model update'!$R$188,B106='Model update'!$S$188,B106='Model update'!$T$188,B106='Model update'!$U$188,B106='Model update'!$V$188,B106='Model update'!$W$188),'Model update'!$J$188,'Model update'!$J$186))</f>
        <v>-9.8252646141938002E-3</v>
      </c>
      <c r="L106" s="465">
        <f>J106*(1+'Model update'!$B$31)*(1-'2021_ACS service &amp; prices'!K106)+'Model update'!$J$196</f>
        <v>1197.5547424926244</v>
      </c>
      <c r="M106" s="211"/>
    </row>
    <row r="107" spans="2:13" ht="66">
      <c r="B107" s="253" t="s">
        <v>415</v>
      </c>
      <c r="C107" s="253" t="str">
        <f>VLOOKUP(B107,'2020-21 feebased approved'!$A$4:$H$313,2,FALSE)</f>
        <v>SA1TCBL
SA1TCBI</v>
      </c>
      <c r="D107" s="253" t="s">
        <v>624</v>
      </c>
      <c r="E107" s="253" t="s">
        <v>852</v>
      </c>
      <c r="F107" s="253" t="s">
        <v>664</v>
      </c>
      <c r="G107" s="253" t="s">
        <v>668</v>
      </c>
      <c r="H107" s="251" t="s">
        <v>628</v>
      </c>
      <c r="I107" s="252" t="s">
        <v>170</v>
      </c>
      <c r="J107" s="458">
        <f>VLOOKUP(B107,'2020-21 feebased approved'!$A$4:$H$313,'2020-21 feebased approved'!$H$1,FALSE)</f>
        <v>1760.1224160134941</v>
      </c>
      <c r="K107" s="461">
        <f>IF(OR(B107='Model update'!$P$187,B107='Model update'!$Q$187,B107='Model update'!$R$187,B107='Model update'!$S$187,B107='Model update'!$T$187,B107='Model update'!$U$187,B107='Model update'!$V$187,B107='Model update'!$W$187),'Model update'!$J$187,IF(OR(B107='Model update'!$P$188,B107='Model update'!$Q$188,B107='Model update'!$R$188,B107='Model update'!$S$188,B107='Model update'!$T$188,B107='Model update'!$U$188,B107='Model update'!$V$188,B107='Model update'!$W$188),'Model update'!$J$188,'Model update'!$J$186))</f>
        <v>-9.8252646141938002E-3</v>
      </c>
      <c r="L107" s="465">
        <f>J107*(1+'Model update'!$B$31)*(1-'2021_ACS service &amp; prices'!K107)+'Model update'!$J$196</f>
        <v>1792.7122642331526</v>
      </c>
      <c r="M107" s="211"/>
    </row>
    <row r="108" spans="2:13" ht="66">
      <c r="B108" s="253" t="s">
        <v>416</v>
      </c>
      <c r="C108" s="253" t="str">
        <f>VLOOKUP(B108,'2020-21 feebased approved'!$A$4:$H$313,2,FALSE)</f>
        <v>SA2AU</v>
      </c>
      <c r="D108" s="253" t="s">
        <v>624</v>
      </c>
      <c r="E108" s="253" t="s">
        <v>852</v>
      </c>
      <c r="F108" s="253" t="s">
        <v>664</v>
      </c>
      <c r="G108" s="253" t="s">
        <v>669</v>
      </c>
      <c r="H108" s="251" t="s">
        <v>627</v>
      </c>
      <c r="I108" s="252" t="s">
        <v>170</v>
      </c>
      <c r="J108" s="458">
        <f>VLOOKUP(B108,'2020-21 feebased approved'!$A$4:$H$313,'2020-21 feebased approved'!$H$1,FALSE)</f>
        <v>611.75753618571332</v>
      </c>
      <c r="K108" s="461">
        <f>IF(OR(B108='Model update'!$P$187,B108='Model update'!$Q$187,B108='Model update'!$R$187,B108='Model update'!$S$187,B108='Model update'!$T$187,B108='Model update'!$U$187,B108='Model update'!$V$187,B108='Model update'!$W$187),'Model update'!$J$187,IF(OR(B108='Model update'!$P$188,B108='Model update'!$Q$188,B108='Model update'!$R$188,B108='Model update'!$S$188,B108='Model update'!$T$188,B108='Model update'!$U$188,B108='Model update'!$V$188,B108='Model update'!$W$188),'Model update'!$J$188,'Model update'!$J$186))</f>
        <v>-9.8252646141938002E-3</v>
      </c>
      <c r="L108" s="465">
        <f>J108*(1+'Model update'!$B$31)*(1-'2021_ACS service &amp; prices'!K108)+'Model update'!$J$196</f>
        <v>623.08463768168781</v>
      </c>
      <c r="M108" s="211"/>
    </row>
    <row r="109" spans="2:13" ht="66">
      <c r="B109" s="253" t="s">
        <v>417</v>
      </c>
      <c r="C109" s="253" t="str">
        <f>VLOOKUP(B109,'2020-21 feebased approved'!$A$4:$H$313,2,FALSE)</f>
        <v>SA2AL
SA2AI</v>
      </c>
      <c r="D109" s="253" t="s">
        <v>624</v>
      </c>
      <c r="E109" s="253" t="s">
        <v>852</v>
      </c>
      <c r="F109" s="253" t="s">
        <v>664</v>
      </c>
      <c r="G109" s="253" t="s">
        <v>669</v>
      </c>
      <c r="H109" s="251" t="s">
        <v>628</v>
      </c>
      <c r="I109" s="252" t="s">
        <v>170</v>
      </c>
      <c r="J109" s="458">
        <f>VLOOKUP(B109,'2020-21 feebased approved'!$A$4:$H$313,'2020-21 feebased approved'!$H$1,FALSE)</f>
        <v>1379.9042169602558</v>
      </c>
      <c r="K109" s="461">
        <f>IF(OR(B109='Model update'!$P$187,B109='Model update'!$Q$187,B109='Model update'!$R$187,B109='Model update'!$S$187,B109='Model update'!$T$187,B109='Model update'!$U$187,B109='Model update'!$V$187,B109='Model update'!$W$187),'Model update'!$J$187,IF(OR(B109='Model update'!$P$188,B109='Model update'!$Q$188,B109='Model update'!$R$188,B109='Model update'!$S$188,B109='Model update'!$T$188,B109='Model update'!$U$188,B109='Model update'!$V$188,B109='Model update'!$W$188),'Model update'!$J$188,'Model update'!$J$186))</f>
        <v>-9.8252646141938002E-3</v>
      </c>
      <c r="L109" s="465">
        <f>J109*(1+'Model update'!$B$31)*(1-'2021_ACS service &amp; prices'!K109)+'Model update'!$J$196</f>
        <v>1405.4540699586946</v>
      </c>
      <c r="M109" s="211"/>
    </row>
    <row r="110" spans="2:13" ht="66">
      <c r="B110" s="253" t="s">
        <v>418</v>
      </c>
      <c r="C110" s="253" t="str">
        <f>VLOOKUP(B110,'2020-21 feebased approved'!$A$4:$H$313,2,FALSE)</f>
        <v>SA2TCAU</v>
      </c>
      <c r="D110" s="253" t="s">
        <v>624</v>
      </c>
      <c r="E110" s="253" t="s">
        <v>852</v>
      </c>
      <c r="F110" s="253" t="s">
        <v>664</v>
      </c>
      <c r="G110" s="253" t="s">
        <v>670</v>
      </c>
      <c r="H110" s="251" t="s">
        <v>627</v>
      </c>
      <c r="I110" s="252" t="s">
        <v>170</v>
      </c>
      <c r="J110" s="458">
        <f>VLOOKUP(B110,'2020-21 feebased approved'!$A$4:$H$313,'2020-21 feebased approved'!$H$1,FALSE)</f>
        <v>1409.6465386136197</v>
      </c>
      <c r="K110" s="461">
        <f>IF(OR(B110='Model update'!$P$187,B110='Model update'!$Q$187,B110='Model update'!$R$187,B110='Model update'!$S$187,B110='Model update'!$T$187,B110='Model update'!$U$187,B110='Model update'!$V$187,B110='Model update'!$W$187),'Model update'!$J$187,IF(OR(B110='Model update'!$P$188,B110='Model update'!$Q$188,B110='Model update'!$R$188,B110='Model update'!$S$188,B110='Model update'!$T$188,B110='Model update'!$U$188,B110='Model update'!$V$188,B110='Model update'!$W$188),'Model update'!$J$188,'Model update'!$J$186))</f>
        <v>-9.8252646141938002E-3</v>
      </c>
      <c r="L110" s="465">
        <f>J110*(1+'Model update'!$B$31)*(1-'2021_ACS service &amp; prices'!K110)+'Model update'!$J$196</f>
        <v>1435.7470906654678</v>
      </c>
      <c r="M110" s="211"/>
    </row>
    <row r="111" spans="2:13" ht="66">
      <c r="B111" s="253" t="s">
        <v>419</v>
      </c>
      <c r="C111" s="253" t="str">
        <f>VLOOKUP(B111,'2020-21 feebased approved'!$A$4:$H$313,2,FALSE)</f>
        <v>SA2TCAL
SA2TCAI</v>
      </c>
      <c r="D111" s="253" t="s">
        <v>624</v>
      </c>
      <c r="E111" s="253" t="s">
        <v>852</v>
      </c>
      <c r="F111" s="253" t="s">
        <v>664</v>
      </c>
      <c r="G111" s="253" t="s">
        <v>670</v>
      </c>
      <c r="H111" s="251" t="s">
        <v>628</v>
      </c>
      <c r="I111" s="252" t="s">
        <v>170</v>
      </c>
      <c r="J111" s="458">
        <f>VLOOKUP(B111,'2020-21 feebased approved'!$A$4:$H$313,'2020-21 feebased approved'!$H$1,FALSE)</f>
        <v>2177.793219388162</v>
      </c>
      <c r="K111" s="461">
        <f>IF(OR(B111='Model update'!$P$187,B111='Model update'!$Q$187,B111='Model update'!$R$187,B111='Model update'!$S$187,B111='Model update'!$T$187,B111='Model update'!$U$187,B111='Model update'!$V$187,B111='Model update'!$W$187),'Model update'!$J$187,IF(OR(B111='Model update'!$P$188,B111='Model update'!$Q$188,B111='Model update'!$R$188,B111='Model update'!$S$188,B111='Model update'!$T$188,B111='Model update'!$U$188,B111='Model update'!$V$188,B111='Model update'!$W$188),'Model update'!$J$188,'Model update'!$J$186))</f>
        <v>-9.8252646141938002E-3</v>
      </c>
      <c r="L111" s="465">
        <f>J111*(1+'Model update'!$B$31)*(1-'2021_ACS service &amp; prices'!K111)+'Model update'!$J$196</f>
        <v>2218.1165229424741</v>
      </c>
      <c r="M111" s="211"/>
    </row>
    <row r="112" spans="2:13" ht="66">
      <c r="B112" s="253" t="s">
        <v>420</v>
      </c>
      <c r="C112" s="253" t="str">
        <f>VLOOKUP(B112,'2020-21 feebased approved'!$A$4:$H$313,2,FALSE)</f>
        <v>SA1AU</v>
      </c>
      <c r="D112" s="253" t="s">
        <v>624</v>
      </c>
      <c r="E112" s="253" t="s">
        <v>852</v>
      </c>
      <c r="F112" s="253" t="s">
        <v>664</v>
      </c>
      <c r="G112" s="253" t="s">
        <v>671</v>
      </c>
      <c r="H112" s="251" t="s">
        <v>627</v>
      </c>
      <c r="I112" s="252" t="s">
        <v>170</v>
      </c>
      <c r="J112" s="458">
        <f>VLOOKUP(B112,'2020-21 feebased approved'!$A$4:$H$313,'2020-21 feebased approved'!$H$1,FALSE)</f>
        <v>496.76551810569197</v>
      </c>
      <c r="K112" s="461">
        <f>IF(OR(B112='Model update'!$P$187,B112='Model update'!$Q$187,B112='Model update'!$R$187,B112='Model update'!$S$187,B112='Model update'!$T$187,B112='Model update'!$U$187,B112='Model update'!$V$187,B112='Model update'!$W$187),'Model update'!$J$187,IF(OR(B112='Model update'!$P$188,B112='Model update'!$Q$188,B112='Model update'!$R$188,B112='Model update'!$S$188,B112='Model update'!$T$188,B112='Model update'!$U$188,B112='Model update'!$V$188,B112='Model update'!$W$188),'Model update'!$J$188,'Model update'!$J$186))</f>
        <v>-9.8252646141938002E-3</v>
      </c>
      <c r="L112" s="465">
        <f>J112*(1+'Model update'!$B$31)*(1-'2021_ACS service &amp; prices'!K112)+'Model update'!$J$196</f>
        <v>505.96346518512985</v>
      </c>
      <c r="M112" s="211"/>
    </row>
    <row r="113" spans="2:13" ht="66">
      <c r="B113" s="253" t="s">
        <v>421</v>
      </c>
      <c r="C113" s="253" t="str">
        <f>VLOOKUP(B113,'2020-21 feebased approved'!$A$4:$H$313,2,FALSE)</f>
        <v>SA1AL
SA1AI</v>
      </c>
      <c r="D113" s="253" t="s">
        <v>624</v>
      </c>
      <c r="E113" s="253" t="s">
        <v>852</v>
      </c>
      <c r="F113" s="253" t="s">
        <v>664</v>
      </c>
      <c r="G113" s="253" t="s">
        <v>671</v>
      </c>
      <c r="H113" s="251" t="s">
        <v>628</v>
      </c>
      <c r="I113" s="252" t="s">
        <v>170</v>
      </c>
      <c r="J113" s="458">
        <f>VLOOKUP(B113,'2020-21 feebased approved'!$A$4:$H$313,'2020-21 feebased approved'!$H$1,FALSE)</f>
        <v>1264.9121988802342</v>
      </c>
      <c r="K113" s="461">
        <f>IF(OR(B113='Model update'!$P$187,B113='Model update'!$Q$187,B113='Model update'!$R$187,B113='Model update'!$S$187,B113='Model update'!$T$187,B113='Model update'!$U$187,B113='Model update'!$V$187,B113='Model update'!$W$187),'Model update'!$J$187,IF(OR(B113='Model update'!$P$188,B113='Model update'!$Q$188,B113='Model update'!$R$188,B113='Model update'!$S$188,B113='Model update'!$T$188,B113='Model update'!$U$188,B113='Model update'!$V$188,B113='Model update'!$W$188),'Model update'!$J$188,'Model update'!$J$186))</f>
        <v>-9.8252646141938002E-3</v>
      </c>
      <c r="L113" s="465">
        <f>J113*(1+'Model update'!$B$31)*(1-'2021_ACS service &amp; prices'!K113)+'Model update'!$J$196</f>
        <v>1288.3328974621363</v>
      </c>
      <c r="M113" s="211"/>
    </row>
    <row r="114" spans="2:13" ht="51" customHeight="1">
      <c r="B114" s="253" t="s">
        <v>422</v>
      </c>
      <c r="C114" s="253" t="str">
        <f>VLOOKUP(B114,'2020-21 feebased approved'!$A$4:$H$313,2,FALSE)</f>
        <v>SA1TCAU</v>
      </c>
      <c r="D114" s="253" t="s">
        <v>624</v>
      </c>
      <c r="E114" s="253" t="s">
        <v>852</v>
      </c>
      <c r="F114" s="253" t="s">
        <v>664</v>
      </c>
      <c r="G114" s="253" t="s">
        <v>672</v>
      </c>
      <c r="H114" s="251" t="s">
        <v>627</v>
      </c>
      <c r="I114" s="252" t="s">
        <v>170</v>
      </c>
      <c r="J114" s="458">
        <f>VLOOKUP(B114,'2020-21 feebased approved'!$A$4:$H$313,'2020-21 feebased approved'!$H$1,FALSE)</f>
        <v>1294.6545205335983</v>
      </c>
      <c r="K114" s="461">
        <f>IF(OR(B114='Model update'!$P$187,B114='Model update'!$Q$187,B114='Model update'!$R$187,B114='Model update'!$S$187,B114='Model update'!$T$187,B114='Model update'!$U$187,B114='Model update'!$V$187,B114='Model update'!$W$187),'Model update'!$J$187,IF(OR(B114='Model update'!$P$188,B114='Model update'!$Q$188,B114='Model update'!$R$188,B114='Model update'!$S$188,B114='Model update'!$T$188,B114='Model update'!$U$188,B114='Model update'!$V$188,B114='Model update'!$W$188),'Model update'!$J$188,'Model update'!$J$186))</f>
        <v>-9.8252646141938002E-3</v>
      </c>
      <c r="L114" s="465">
        <f>J114*(1+'Model update'!$B$31)*(1-'2021_ACS service &amp; prices'!K114)+'Model update'!$J$196</f>
        <v>1318.6259181689099</v>
      </c>
      <c r="M114" s="211"/>
    </row>
    <row r="115" spans="2:13" ht="51" customHeight="1">
      <c r="B115" s="253" t="s">
        <v>423</v>
      </c>
      <c r="C115" s="253" t="str">
        <f>VLOOKUP(B115,'2020-21 feebased approved'!$A$4:$H$313,2,FALSE)</f>
        <v>SA1TCAL
SA1TCAI</v>
      </c>
      <c r="D115" s="253" t="s">
        <v>624</v>
      </c>
      <c r="E115" s="253" t="s">
        <v>852</v>
      </c>
      <c r="F115" s="253" t="s">
        <v>664</v>
      </c>
      <c r="G115" s="253" t="s">
        <v>672</v>
      </c>
      <c r="H115" s="251" t="s">
        <v>628</v>
      </c>
      <c r="I115" s="252" t="s">
        <v>170</v>
      </c>
      <c r="J115" s="458">
        <f>VLOOKUP(B115,'2020-21 feebased approved'!$A$4:$H$313,'2020-21 feebased approved'!$H$1,FALSE)</f>
        <v>2062.8012013081407</v>
      </c>
      <c r="K115" s="461">
        <f>IF(OR(B115='Model update'!$P$187,B115='Model update'!$Q$187,B115='Model update'!$R$187,B115='Model update'!$S$187,B115='Model update'!$T$187,B115='Model update'!$U$187,B115='Model update'!$V$187,B115='Model update'!$W$187),'Model update'!$J$187,IF(OR(B115='Model update'!$P$188,B115='Model update'!$Q$188,B115='Model update'!$R$188,B115='Model update'!$S$188,B115='Model update'!$T$188,B115='Model update'!$U$188,B115='Model update'!$V$188,B115='Model update'!$W$188),'Model update'!$J$188,'Model update'!$J$186))</f>
        <v>-9.8252646141938002E-3</v>
      </c>
      <c r="L115" s="465">
        <f>J115*(1+'Model update'!$B$31)*(1-'2021_ACS service &amp; prices'!K115)+'Model update'!$J$196</f>
        <v>2100.9953504459163</v>
      </c>
      <c r="M115" s="211"/>
    </row>
    <row r="116" spans="2:13" ht="51" customHeight="1">
      <c r="B116" s="253" t="s">
        <v>424</v>
      </c>
      <c r="C116" s="253" t="str">
        <f>VLOOKUP(B116,'2020-21 feebased approved'!$A$4:$H$313,2,FALSE)</f>
        <v>SA2TU</v>
      </c>
      <c r="D116" s="253" t="s">
        <v>624</v>
      </c>
      <c r="E116" s="253" t="s">
        <v>852</v>
      </c>
      <c r="F116" s="253" t="s">
        <v>664</v>
      </c>
      <c r="G116" s="253" t="s">
        <v>673</v>
      </c>
      <c r="H116" s="251" t="s">
        <v>627</v>
      </c>
      <c r="I116" s="252" t="s">
        <v>170</v>
      </c>
      <c r="J116" s="458">
        <f>VLOOKUP(B116,'2020-21 feebased approved'!$A$4:$H$313,'2020-21 feebased approved'!$H$1,FALSE)</f>
        <v>611.75753618571332</v>
      </c>
      <c r="K116" s="461">
        <f>IF(OR(B116='Model update'!$P$187,B116='Model update'!$Q$187,B116='Model update'!$R$187,B116='Model update'!$S$187,B116='Model update'!$T$187,B116='Model update'!$U$187,B116='Model update'!$V$187,B116='Model update'!$W$187),'Model update'!$J$187,IF(OR(B116='Model update'!$P$188,B116='Model update'!$Q$188,B116='Model update'!$R$188,B116='Model update'!$S$188,B116='Model update'!$T$188,B116='Model update'!$U$188,B116='Model update'!$V$188,B116='Model update'!$W$188),'Model update'!$J$188,'Model update'!$J$186))</f>
        <v>-9.8252646141938002E-3</v>
      </c>
      <c r="L116" s="465">
        <f>J116*(1+'Model update'!$B$31)*(1-'2021_ACS service &amp; prices'!K116)+'Model update'!$J$196</f>
        <v>623.08463768168781</v>
      </c>
      <c r="M116" s="211"/>
    </row>
    <row r="117" spans="2:13" ht="66">
      <c r="B117" s="253" t="s">
        <v>425</v>
      </c>
      <c r="C117" s="253" t="str">
        <f>VLOOKUP(B117,'2020-21 feebased approved'!$A$4:$H$313,2,FALSE)</f>
        <v>SA2TCTU</v>
      </c>
      <c r="D117" s="253" t="s">
        <v>624</v>
      </c>
      <c r="E117" s="253" t="s">
        <v>852</v>
      </c>
      <c r="F117" s="253" t="s">
        <v>664</v>
      </c>
      <c r="G117" s="253" t="s">
        <v>674</v>
      </c>
      <c r="H117" s="251" t="s">
        <v>627</v>
      </c>
      <c r="I117" s="252" t="s">
        <v>170</v>
      </c>
      <c r="J117" s="458">
        <f>VLOOKUP(B117,'2020-21 feebased approved'!$A$4:$H$313,'2020-21 feebased approved'!$H$1,FALSE)</f>
        <v>1409.6465386136197</v>
      </c>
      <c r="K117" s="461">
        <f>IF(OR(B117='Model update'!$P$187,B117='Model update'!$Q$187,B117='Model update'!$R$187,B117='Model update'!$S$187,B117='Model update'!$T$187,B117='Model update'!$U$187,B117='Model update'!$V$187,B117='Model update'!$W$187),'Model update'!$J$187,IF(OR(B117='Model update'!$P$188,B117='Model update'!$Q$188,B117='Model update'!$R$188,B117='Model update'!$S$188,B117='Model update'!$T$188,B117='Model update'!$U$188,B117='Model update'!$V$188,B117='Model update'!$W$188),'Model update'!$J$188,'Model update'!$J$186))</f>
        <v>-9.8252646141938002E-3</v>
      </c>
      <c r="L117" s="465">
        <f>J117*(1+'Model update'!$B$31)*(1-'2021_ACS service &amp; prices'!K117)+'Model update'!$J$196</f>
        <v>1435.7470906654678</v>
      </c>
      <c r="M117" s="211"/>
    </row>
    <row r="118" spans="2:13" ht="66">
      <c r="B118" s="253" t="s">
        <v>426</v>
      </c>
      <c r="C118" s="253" t="str">
        <f>VLOOKUP(B118,'2020-21 feebased approved'!$A$4:$H$313,2,FALSE)</f>
        <v>SA1TU</v>
      </c>
      <c r="D118" s="253" t="s">
        <v>624</v>
      </c>
      <c r="E118" s="253" t="s">
        <v>852</v>
      </c>
      <c r="F118" s="253" t="s">
        <v>664</v>
      </c>
      <c r="G118" s="253" t="s">
        <v>675</v>
      </c>
      <c r="H118" s="251" t="s">
        <v>627</v>
      </c>
      <c r="I118" s="252" t="s">
        <v>170</v>
      </c>
      <c r="J118" s="458">
        <f>VLOOKUP(B118,'2020-21 feebased approved'!$A$4:$H$313,'2020-21 feebased approved'!$H$1,FALSE)</f>
        <v>496.76551810569197</v>
      </c>
      <c r="K118" s="461">
        <f>IF(OR(B118='Model update'!$P$187,B118='Model update'!$Q$187,B118='Model update'!$R$187,B118='Model update'!$S$187,B118='Model update'!$T$187,B118='Model update'!$U$187,B118='Model update'!$V$187,B118='Model update'!$W$187),'Model update'!$J$187,IF(OR(B118='Model update'!$P$188,B118='Model update'!$Q$188,B118='Model update'!$R$188,B118='Model update'!$S$188,B118='Model update'!$T$188,B118='Model update'!$U$188,B118='Model update'!$V$188,B118='Model update'!$W$188),'Model update'!$J$188,'Model update'!$J$186))</f>
        <v>-9.8252646141938002E-3</v>
      </c>
      <c r="L118" s="465">
        <f>J118*(1+'Model update'!$B$31)*(1-'2021_ACS service &amp; prices'!K118)+'Model update'!$J$196</f>
        <v>505.96346518512985</v>
      </c>
      <c r="M118" s="211"/>
    </row>
    <row r="119" spans="2:13" ht="66">
      <c r="B119" s="253" t="s">
        <v>427</v>
      </c>
      <c r="C119" s="253" t="str">
        <f>VLOOKUP(B119,'2020-21 feebased approved'!$A$4:$H$313,2,FALSE)</f>
        <v>SA1TCTU</v>
      </c>
      <c r="D119" s="253" t="s">
        <v>624</v>
      </c>
      <c r="E119" s="253" t="s">
        <v>852</v>
      </c>
      <c r="F119" s="253" t="s">
        <v>664</v>
      </c>
      <c r="G119" s="253" t="s">
        <v>676</v>
      </c>
      <c r="H119" s="251" t="s">
        <v>627</v>
      </c>
      <c r="I119" s="252" t="s">
        <v>170</v>
      </c>
      <c r="J119" s="458">
        <f>VLOOKUP(B119,'2020-21 feebased approved'!$A$4:$H$313,'2020-21 feebased approved'!$H$1,FALSE)</f>
        <v>1294.6545205335983</v>
      </c>
      <c r="K119" s="461">
        <f>IF(OR(B119='Model update'!$P$187,B119='Model update'!$Q$187,B119='Model update'!$R$187,B119='Model update'!$S$187,B119='Model update'!$T$187,B119='Model update'!$U$187,B119='Model update'!$V$187,B119='Model update'!$W$187),'Model update'!$J$187,IF(OR(B119='Model update'!$P$188,B119='Model update'!$Q$188,B119='Model update'!$R$188,B119='Model update'!$S$188,B119='Model update'!$T$188,B119='Model update'!$U$188,B119='Model update'!$V$188,B119='Model update'!$W$188),'Model update'!$J$188,'Model update'!$J$186))</f>
        <v>-9.8252646141938002E-3</v>
      </c>
      <c r="L119" s="465">
        <f>J119*(1+'Model update'!$B$31)*(1-'2021_ACS service &amp; prices'!K119)+'Model update'!$J$196</f>
        <v>1318.6259181689099</v>
      </c>
      <c r="M119" s="211"/>
    </row>
    <row r="120" spans="2:13" ht="66">
      <c r="B120" s="253" t="s">
        <v>428</v>
      </c>
      <c r="C120" s="253" t="str">
        <f>VLOOKUP(B120,'2020-21 feebased approved'!$A$4:$H$313,2,FALSE)</f>
        <v>SA4BU</v>
      </c>
      <c r="D120" s="253" t="s">
        <v>624</v>
      </c>
      <c r="E120" s="253" t="s">
        <v>852</v>
      </c>
      <c r="F120" s="253" t="s">
        <v>677</v>
      </c>
      <c r="G120" s="253" t="s">
        <v>678</v>
      </c>
      <c r="H120" s="251" t="s">
        <v>627</v>
      </c>
      <c r="I120" s="252" t="s">
        <v>170</v>
      </c>
      <c r="J120" s="458">
        <f>VLOOKUP(B120,'2020-21 feebased approved'!$A$4:$H$313,'2020-21 feebased approved'!$H$1,FALSE)</f>
        <v>349.90305948566834</v>
      </c>
      <c r="K120" s="461">
        <f>IF(OR(B120='Model update'!$P$187,B120='Model update'!$Q$187,B120='Model update'!$R$187,B120='Model update'!$S$187,B120='Model update'!$T$187,B120='Model update'!$U$187,B120='Model update'!$V$187,B120='Model update'!$W$187),'Model update'!$J$187,IF(OR(B120='Model update'!$P$188,B120='Model update'!$Q$188,B120='Model update'!$R$188,B120='Model update'!$S$188,B120='Model update'!$T$188,B120='Model update'!$U$188,B120='Model update'!$V$188,B120='Model update'!$W$188),'Model update'!$J$188,'Model update'!$J$186))</f>
        <v>-9.8252646141938002E-3</v>
      </c>
      <c r="L120" s="465">
        <f>J120*(1+'Model update'!$B$31)*(1-'2021_ACS service &amp; prices'!K120)+'Model update'!$J$196</f>
        <v>356.38174954522646</v>
      </c>
      <c r="M120" s="211"/>
    </row>
    <row r="121" spans="2:13" ht="66">
      <c r="B121" s="253" t="s">
        <v>429</v>
      </c>
      <c r="C121" s="253" t="str">
        <f>VLOOKUP(B121,'2020-21 feebased approved'!$A$4:$H$313,2,FALSE)</f>
        <v>SA4BL
SA4BI</v>
      </c>
      <c r="D121" s="253" t="s">
        <v>624</v>
      </c>
      <c r="E121" s="253" t="s">
        <v>852</v>
      </c>
      <c r="F121" s="253" t="s">
        <v>677</v>
      </c>
      <c r="G121" s="253" t="s">
        <v>678</v>
      </c>
      <c r="H121" s="251" t="s">
        <v>628</v>
      </c>
      <c r="I121" s="252" t="s">
        <v>170</v>
      </c>
      <c r="J121" s="458">
        <f>VLOOKUP(B121,'2020-21 feebased approved'!$A$4:$H$313,'2020-21 feebased approved'!$H$1,FALSE)</f>
        <v>349.90305948566834</v>
      </c>
      <c r="K121" s="461">
        <f>IF(OR(B121='Model update'!$P$187,B121='Model update'!$Q$187,B121='Model update'!$R$187,B121='Model update'!$S$187,B121='Model update'!$T$187,B121='Model update'!$U$187,B121='Model update'!$V$187,B121='Model update'!$W$187),'Model update'!$J$187,IF(OR(B121='Model update'!$P$188,B121='Model update'!$Q$188,B121='Model update'!$R$188,B121='Model update'!$S$188,B121='Model update'!$T$188,B121='Model update'!$U$188,B121='Model update'!$V$188,B121='Model update'!$W$188),'Model update'!$J$188,'Model update'!$J$186))</f>
        <v>-9.8252646141938002E-3</v>
      </c>
      <c r="L121" s="465">
        <f>J121*(1+'Model update'!$B$31)*(1-'2021_ACS service &amp; prices'!K121)+'Model update'!$J$196</f>
        <v>356.38174954522646</v>
      </c>
      <c r="M121" s="211"/>
    </row>
    <row r="122" spans="2:13" ht="66">
      <c r="B122" s="253" t="s">
        <v>430</v>
      </c>
      <c r="C122" s="253" t="str">
        <f>VLOOKUP(B122,'2020-21 feebased approved'!$A$4:$H$313,2,FALSE)</f>
        <v>SA3BU</v>
      </c>
      <c r="D122" s="253" t="s">
        <v>624</v>
      </c>
      <c r="E122" s="253" t="s">
        <v>852</v>
      </c>
      <c r="F122" s="253" t="s">
        <v>677</v>
      </c>
      <c r="G122" s="253" t="s">
        <v>679</v>
      </c>
      <c r="H122" s="251" t="s">
        <v>627</v>
      </c>
      <c r="I122" s="252" t="s">
        <v>170</v>
      </c>
      <c r="J122" s="458">
        <f>VLOOKUP(B122,'2020-21 feebased approved'!$A$4:$H$313,'2020-21 feebased approved'!$H$1,FALSE)</f>
        <v>87.475764871417084</v>
      </c>
      <c r="K122" s="461">
        <f>IF(OR(B122='Model update'!$P$187,B122='Model update'!$Q$187,B122='Model update'!$R$187,B122='Model update'!$S$187,B122='Model update'!$T$187,B122='Model update'!$U$187,B122='Model update'!$V$187,B122='Model update'!$W$187),'Model update'!$J$187,IF(OR(B122='Model update'!$P$188,B122='Model update'!$Q$188,B122='Model update'!$R$188,B122='Model update'!$S$188,B122='Model update'!$T$188,B122='Model update'!$U$188,B122='Model update'!$V$188,B122='Model update'!$W$188),'Model update'!$J$188,'Model update'!$J$186))</f>
        <v>-9.8252646141938002E-3</v>
      </c>
      <c r="L122" s="465">
        <f>J122*(1+'Model update'!$B$31)*(1-'2021_ACS service &amp; prices'!K122)+'Model update'!$J$196</f>
        <v>89.095437386306614</v>
      </c>
      <c r="M122" s="211"/>
    </row>
    <row r="123" spans="2:13" ht="66">
      <c r="B123" s="253" t="s">
        <v>431</v>
      </c>
      <c r="C123" s="253" t="str">
        <f>VLOOKUP(B123,'2020-21 feebased approved'!$A$4:$H$313,2,FALSE)</f>
        <v>SA3BL
SA3BI</v>
      </c>
      <c r="D123" s="253" t="s">
        <v>624</v>
      </c>
      <c r="E123" s="253" t="s">
        <v>852</v>
      </c>
      <c r="F123" s="253" t="s">
        <v>680</v>
      </c>
      <c r="G123" s="253" t="s">
        <v>679</v>
      </c>
      <c r="H123" s="251" t="s">
        <v>628</v>
      </c>
      <c r="I123" s="252" t="s">
        <v>170</v>
      </c>
      <c r="J123" s="458">
        <f>VLOOKUP(B123,'2020-21 feebased approved'!$A$4:$H$313,'2020-21 feebased approved'!$H$1,FALSE)</f>
        <v>87.475764871417084</v>
      </c>
      <c r="K123" s="461">
        <f>IF(OR(B123='Model update'!$P$187,B123='Model update'!$Q$187,B123='Model update'!$R$187,B123='Model update'!$S$187,B123='Model update'!$T$187,B123='Model update'!$U$187,B123='Model update'!$V$187,B123='Model update'!$W$187),'Model update'!$J$187,IF(OR(B123='Model update'!$P$188,B123='Model update'!$Q$188,B123='Model update'!$R$188,B123='Model update'!$S$188,B123='Model update'!$T$188,B123='Model update'!$U$188,B123='Model update'!$V$188,B123='Model update'!$W$188),'Model update'!$J$188,'Model update'!$J$186))</f>
        <v>-9.8252646141938002E-3</v>
      </c>
      <c r="L123" s="465">
        <f>J123*(1+'Model update'!$B$31)*(1-'2021_ACS service &amp; prices'!K123)+'Model update'!$J$196</f>
        <v>89.095437386306614</v>
      </c>
      <c r="M123" s="211"/>
    </row>
    <row r="124" spans="2:13" ht="66">
      <c r="B124" s="253" t="s">
        <v>432</v>
      </c>
      <c r="C124" s="253" t="str">
        <f>VLOOKUP(B124,'2020-21 feebased approved'!$A$4:$H$313,2,FALSE)</f>
        <v>SA4AU</v>
      </c>
      <c r="D124" s="253" t="s">
        <v>624</v>
      </c>
      <c r="E124" s="253" t="s">
        <v>852</v>
      </c>
      <c r="F124" s="253" t="s">
        <v>677</v>
      </c>
      <c r="G124" s="253" t="s">
        <v>681</v>
      </c>
      <c r="H124" s="251" t="s">
        <v>627</v>
      </c>
      <c r="I124" s="252" t="s">
        <v>170</v>
      </c>
      <c r="J124" s="458">
        <f>VLOOKUP(B124,'2020-21 feebased approved'!$A$4:$H$313,'2020-21 feebased approved'!$H$1,FALSE)</f>
        <v>459.96807232008518</v>
      </c>
      <c r="K124" s="461">
        <f>IF(OR(B124='Model update'!$P$187,B124='Model update'!$Q$187,B124='Model update'!$R$187,B124='Model update'!$S$187,B124='Model update'!$T$187,B124='Model update'!$U$187,B124='Model update'!$V$187,B124='Model update'!$W$187),'Model update'!$J$187,IF(OR(B124='Model update'!$P$188,B124='Model update'!$Q$188,B124='Model update'!$R$188,B124='Model update'!$S$188,B124='Model update'!$T$188,B124='Model update'!$U$188,B124='Model update'!$V$188,B124='Model update'!$W$188),'Model update'!$J$188,'Model update'!$J$186))</f>
        <v>-9.8252646141938002E-3</v>
      </c>
      <c r="L124" s="465">
        <f>J124*(1+'Model update'!$B$31)*(1-'2021_ACS service &amp; prices'!K124)+'Model update'!$J$196</f>
        <v>468.48468998623144</v>
      </c>
      <c r="M124" s="211"/>
    </row>
    <row r="125" spans="2:13" ht="66">
      <c r="B125" s="253" t="s">
        <v>433</v>
      </c>
      <c r="C125" s="253" t="str">
        <f>VLOOKUP(B125,'2020-21 feebased approved'!$A$4:$H$313,2,FALSE)</f>
        <v>SA4AL
SA4AI</v>
      </c>
      <c r="D125" s="253" t="s">
        <v>624</v>
      </c>
      <c r="E125" s="253" t="s">
        <v>852</v>
      </c>
      <c r="F125" s="253" t="s">
        <v>677</v>
      </c>
      <c r="G125" s="253" t="s">
        <v>681</v>
      </c>
      <c r="H125" s="251" t="s">
        <v>628</v>
      </c>
      <c r="I125" s="252" t="s">
        <v>170</v>
      </c>
      <c r="J125" s="458">
        <f>VLOOKUP(B125,'2020-21 feebased approved'!$A$4:$H$313,'2020-21 feebased approved'!$H$1,FALSE)</f>
        <v>459.96807232008518</v>
      </c>
      <c r="K125" s="461">
        <f>IF(OR(B125='Model update'!$P$187,B125='Model update'!$Q$187,B125='Model update'!$R$187,B125='Model update'!$S$187,B125='Model update'!$T$187,B125='Model update'!$U$187,B125='Model update'!$V$187,B125='Model update'!$W$187),'Model update'!$J$187,IF(OR(B125='Model update'!$P$188,B125='Model update'!$Q$188,B125='Model update'!$R$188,B125='Model update'!$S$188,B125='Model update'!$T$188,B125='Model update'!$U$188,B125='Model update'!$V$188,B125='Model update'!$W$188),'Model update'!$J$188,'Model update'!$J$186))</f>
        <v>-9.8252646141938002E-3</v>
      </c>
      <c r="L125" s="465">
        <f>J125*(1+'Model update'!$B$31)*(1-'2021_ACS service &amp; prices'!K125)+'Model update'!$J$196</f>
        <v>468.48468998623144</v>
      </c>
      <c r="M125" s="211"/>
    </row>
    <row r="126" spans="2:13" ht="66">
      <c r="B126" s="253" t="s">
        <v>434</v>
      </c>
      <c r="C126" s="253" t="str">
        <f>VLOOKUP(B126,'2020-21 feebased approved'!$A$4:$H$313,2,FALSE)</f>
        <v>SA3AU</v>
      </c>
      <c r="D126" s="253" t="s">
        <v>624</v>
      </c>
      <c r="E126" s="253" t="s">
        <v>852</v>
      </c>
      <c r="F126" s="253" t="s">
        <v>677</v>
      </c>
      <c r="G126" s="253" t="s">
        <v>682</v>
      </c>
      <c r="H126" s="251" t="s">
        <v>627</v>
      </c>
      <c r="I126" s="252" t="s">
        <v>170</v>
      </c>
      <c r="J126" s="458">
        <f>VLOOKUP(B126,'2020-21 feebased approved'!$A$4:$H$313,'2020-21 feebased approved'!$H$1,FALSE)</f>
        <v>114.9920180800213</v>
      </c>
      <c r="K126" s="461">
        <f>IF(OR(B126='Model update'!$P$187,B126='Model update'!$Q$187,B126='Model update'!$R$187,B126='Model update'!$S$187,B126='Model update'!$T$187,B126='Model update'!$U$187,B126='Model update'!$V$187,B126='Model update'!$W$187),'Model update'!$J$187,IF(OR(B126='Model update'!$P$188,B126='Model update'!$Q$188,B126='Model update'!$R$188,B126='Model update'!$S$188,B126='Model update'!$T$188,B126='Model update'!$U$188,B126='Model update'!$V$188,B126='Model update'!$W$188),'Model update'!$J$188,'Model update'!$J$186))</f>
        <v>-9.8252646141938002E-3</v>
      </c>
      <c r="L126" s="465">
        <f>J126*(1+'Model update'!$B$31)*(1-'2021_ACS service &amp; prices'!K126)+'Model update'!$J$196</f>
        <v>117.12117249655786</v>
      </c>
      <c r="M126" s="211"/>
    </row>
    <row r="127" spans="2:13" ht="66">
      <c r="B127" s="253" t="s">
        <v>435</v>
      </c>
      <c r="C127" s="253" t="str">
        <f>VLOOKUP(B127,'2020-21 feebased approved'!$A$4:$H$313,2,FALSE)</f>
        <v>SA3AL
SA3AI</v>
      </c>
      <c r="D127" s="253" t="s">
        <v>624</v>
      </c>
      <c r="E127" s="253" t="s">
        <v>852</v>
      </c>
      <c r="F127" s="253" t="s">
        <v>677</v>
      </c>
      <c r="G127" s="253" t="s">
        <v>682</v>
      </c>
      <c r="H127" s="251" t="s">
        <v>628</v>
      </c>
      <c r="I127" s="252" t="s">
        <v>170</v>
      </c>
      <c r="J127" s="458">
        <f>VLOOKUP(B127,'2020-21 feebased approved'!$A$4:$H$313,'2020-21 feebased approved'!$H$1,FALSE)</f>
        <v>114.9920180800213</v>
      </c>
      <c r="K127" s="461">
        <f>IF(OR(B127='Model update'!$P$187,B127='Model update'!$Q$187,B127='Model update'!$R$187,B127='Model update'!$S$187,B127='Model update'!$T$187,B127='Model update'!$U$187,B127='Model update'!$V$187,B127='Model update'!$W$187),'Model update'!$J$187,IF(OR(B127='Model update'!$P$188,B127='Model update'!$Q$188,B127='Model update'!$R$188,B127='Model update'!$S$188,B127='Model update'!$T$188,B127='Model update'!$U$188,B127='Model update'!$V$188,B127='Model update'!$W$188),'Model update'!$J$188,'Model update'!$J$186))</f>
        <v>-9.8252646141938002E-3</v>
      </c>
      <c r="L127" s="465">
        <f>J127*(1+'Model update'!$B$31)*(1-'2021_ACS service &amp; prices'!K127)+'Model update'!$J$196</f>
        <v>117.12117249655786</v>
      </c>
      <c r="M127" s="211"/>
    </row>
    <row r="128" spans="2:13" ht="66">
      <c r="B128" s="253" t="s">
        <v>436</v>
      </c>
      <c r="C128" s="253" t="str">
        <f>VLOOKUP(B128,'2020-21 feebased approved'!$A$4:$H$313,2,FALSE)</f>
        <v>SA4TU</v>
      </c>
      <c r="D128" s="253" t="s">
        <v>624</v>
      </c>
      <c r="E128" s="253" t="s">
        <v>852</v>
      </c>
      <c r="F128" s="253" t="s">
        <v>677</v>
      </c>
      <c r="G128" s="253" t="s">
        <v>683</v>
      </c>
      <c r="H128" s="251" t="s">
        <v>627</v>
      </c>
      <c r="I128" s="252" t="s">
        <v>170</v>
      </c>
      <c r="J128" s="458">
        <f>VLOOKUP(B128,'2020-21 feebased approved'!$A$4:$H$313,'2020-21 feebased approved'!$H$1,FALSE)</f>
        <v>459.96807232008518</v>
      </c>
      <c r="K128" s="461">
        <f>IF(OR(B128='Model update'!$P$187,B128='Model update'!$Q$187,B128='Model update'!$R$187,B128='Model update'!$S$187,B128='Model update'!$T$187,B128='Model update'!$U$187,B128='Model update'!$V$187,B128='Model update'!$W$187),'Model update'!$J$187,IF(OR(B128='Model update'!$P$188,B128='Model update'!$Q$188,B128='Model update'!$R$188,B128='Model update'!$S$188,B128='Model update'!$T$188,B128='Model update'!$U$188,B128='Model update'!$V$188,B128='Model update'!$W$188),'Model update'!$J$188,'Model update'!$J$186))</f>
        <v>-9.8252646141938002E-3</v>
      </c>
      <c r="L128" s="465">
        <f>J128*(1+'Model update'!$B$31)*(1-'2021_ACS service &amp; prices'!K128)+'Model update'!$J$196</f>
        <v>468.48468998623144</v>
      </c>
      <c r="M128" s="211"/>
    </row>
    <row r="129" spans="2:13" ht="66">
      <c r="B129" s="253" t="s">
        <v>437</v>
      </c>
      <c r="C129" s="253" t="str">
        <f>VLOOKUP(B129,'2020-21 feebased approved'!$A$4:$H$313,2,FALSE)</f>
        <v>SA3TU</v>
      </c>
      <c r="D129" s="253" t="s">
        <v>624</v>
      </c>
      <c r="E129" s="253" t="s">
        <v>852</v>
      </c>
      <c r="F129" s="253" t="s">
        <v>677</v>
      </c>
      <c r="G129" s="253" t="s">
        <v>684</v>
      </c>
      <c r="H129" s="251" t="s">
        <v>627</v>
      </c>
      <c r="I129" s="252" t="s">
        <v>170</v>
      </c>
      <c r="J129" s="458">
        <f>VLOOKUP(B129,'2020-21 feebased approved'!$A$4:$H$313,'2020-21 feebased approved'!$H$1,FALSE)</f>
        <v>114.9920180800213</v>
      </c>
      <c r="K129" s="461">
        <f>IF(OR(B129='Model update'!$P$187,B129='Model update'!$Q$187,B129='Model update'!$R$187,B129='Model update'!$S$187,B129='Model update'!$T$187,B129='Model update'!$U$187,B129='Model update'!$V$187,B129='Model update'!$W$187),'Model update'!$J$187,IF(OR(B129='Model update'!$P$188,B129='Model update'!$Q$188,B129='Model update'!$R$188,B129='Model update'!$S$188,B129='Model update'!$T$188,B129='Model update'!$U$188,B129='Model update'!$V$188,B129='Model update'!$W$188),'Model update'!$J$188,'Model update'!$J$186))</f>
        <v>-9.8252646141938002E-3</v>
      </c>
      <c r="L129" s="465">
        <f>J129*(1+'Model update'!$B$31)*(1-'2021_ACS service &amp; prices'!K129)+'Model update'!$J$196</f>
        <v>117.12117249655786</v>
      </c>
      <c r="M129" s="211"/>
    </row>
    <row r="130" spans="2:13" ht="26.4">
      <c r="B130" s="253" t="s">
        <v>438</v>
      </c>
      <c r="C130" s="253" t="str">
        <f>VLOOKUP(B130,'2020-21 feebased approved'!$A$4:$H$313,2,FALSE)</f>
        <v>DNUMSBU</v>
      </c>
      <c r="D130" s="253" t="s">
        <v>624</v>
      </c>
      <c r="E130" s="253" t="s">
        <v>852</v>
      </c>
      <c r="F130" s="253" t="s">
        <v>685</v>
      </c>
      <c r="G130" s="253" t="s">
        <v>636</v>
      </c>
      <c r="H130" s="251" t="s">
        <v>627</v>
      </c>
      <c r="I130" s="252" t="s">
        <v>170</v>
      </c>
      <c r="J130" s="458">
        <f>VLOOKUP(B130,'2020-21 feebased approved'!$A$4:$H$313,'2020-21 feebased approved'!$H$1,FALSE)</f>
        <v>377.89530424452181</v>
      </c>
      <c r="K130" s="461">
        <f>IF(OR(B130='Model update'!$P$187,B130='Model update'!$Q$187,B130='Model update'!$R$187,B130='Model update'!$S$187,B130='Model update'!$T$187,B130='Model update'!$U$187,B130='Model update'!$V$187,B130='Model update'!$W$187),'Model update'!$J$187,IF(OR(B130='Model update'!$P$188,B130='Model update'!$Q$188,B130='Model update'!$R$188,B130='Model update'!$S$188,B130='Model update'!$T$188,B130='Model update'!$U$188,B130='Model update'!$V$188,B130='Model update'!$W$188),'Model update'!$J$188,'Model update'!$J$186))</f>
        <v>-9.8252646141938002E-3</v>
      </c>
      <c r="L130" s="465">
        <f>J130*(1+'Model update'!$B$31)*(1-'2021_ACS service &amp; prices'!K130)+'Model update'!$J$196</f>
        <v>384.89228950884461</v>
      </c>
      <c r="M130" s="211"/>
    </row>
    <row r="131" spans="2:13" ht="26.4">
      <c r="B131" s="253" t="s">
        <v>439</v>
      </c>
      <c r="C131" s="253" t="str">
        <f>VLOOKUP(B131,'2020-21 feebased approved'!$A$4:$H$313,2,FALSE)</f>
        <v>DNUMSAU</v>
      </c>
      <c r="D131" s="253" t="s">
        <v>624</v>
      </c>
      <c r="E131" s="253" t="s">
        <v>852</v>
      </c>
      <c r="F131" s="253" t="s">
        <v>685</v>
      </c>
      <c r="G131" s="253" t="s">
        <v>637</v>
      </c>
      <c r="H131" s="251" t="s">
        <v>627</v>
      </c>
      <c r="I131" s="252" t="s">
        <v>170</v>
      </c>
      <c r="J131" s="458">
        <f>VLOOKUP(B131,'2020-21 feebased approved'!$A$4:$H$313,'2020-21 feebased approved'!$H$1,FALSE)</f>
        <v>496.76551810569197</v>
      </c>
      <c r="K131" s="461">
        <f>IF(OR(B131='Model update'!$P$187,B131='Model update'!$Q$187,B131='Model update'!$R$187,B131='Model update'!$S$187,B131='Model update'!$T$187,B131='Model update'!$U$187,B131='Model update'!$V$187,B131='Model update'!$W$187),'Model update'!$J$187,IF(OR(B131='Model update'!$P$188,B131='Model update'!$Q$188,B131='Model update'!$R$188,B131='Model update'!$S$188,B131='Model update'!$T$188,B131='Model update'!$U$188,B131='Model update'!$V$188,B131='Model update'!$W$188),'Model update'!$J$188,'Model update'!$J$186))</f>
        <v>-9.8252646141938002E-3</v>
      </c>
      <c r="L131" s="465">
        <f>J131*(1+'Model update'!$B$31)*(1-'2021_ACS service &amp; prices'!K131)+'Model update'!$J$196</f>
        <v>505.96346518512985</v>
      </c>
      <c r="M131" s="211"/>
    </row>
    <row r="132" spans="2:13" ht="26.4">
      <c r="B132" s="253" t="s">
        <v>440</v>
      </c>
      <c r="C132" s="253" t="str">
        <f>VLOOKUP(B132,'2020-21 feebased approved'!$A$4:$H$313,2,FALSE)</f>
        <v>DNUMSTCBU</v>
      </c>
      <c r="D132" s="253" t="s">
        <v>624</v>
      </c>
      <c r="E132" s="253" t="s">
        <v>852</v>
      </c>
      <c r="F132" s="253" t="s">
        <v>685</v>
      </c>
      <c r="G132" s="253" t="s">
        <v>686</v>
      </c>
      <c r="H132" s="251" t="s">
        <v>627</v>
      </c>
      <c r="I132" s="252" t="s">
        <v>170</v>
      </c>
      <c r="J132" s="458">
        <f>VLOOKUP(B132,'2020-21 feebased approved'!$A$4:$H$313,'2020-21 feebased approved'!$H$1,FALSE)</f>
        <v>1175.7843066724281</v>
      </c>
      <c r="K132" s="461">
        <f>IF(OR(B132='Model update'!$P$187,B132='Model update'!$Q$187,B132='Model update'!$R$187,B132='Model update'!$S$187,B132='Model update'!$T$187,B132='Model update'!$U$187,B132='Model update'!$V$187,B132='Model update'!$W$187),'Model update'!$J$187,IF(OR(B132='Model update'!$P$188,B132='Model update'!$Q$188,B132='Model update'!$R$188,B132='Model update'!$S$188,B132='Model update'!$T$188,B132='Model update'!$U$188,B132='Model update'!$V$188,B132='Model update'!$W$188),'Model update'!$J$188,'Model update'!$J$186))</f>
        <v>-9.8252646141938002E-3</v>
      </c>
      <c r="L132" s="465">
        <f>J132*(1+'Model update'!$B$31)*(1-'2021_ACS service &amp; prices'!K132)+'Model update'!$J$196</f>
        <v>1197.5547424926244</v>
      </c>
      <c r="M132" s="211"/>
    </row>
    <row r="133" spans="2:13" ht="26.4">
      <c r="B133" s="253" t="s">
        <v>441</v>
      </c>
      <c r="C133" s="253" t="str">
        <f>VLOOKUP(B133,'2020-21 feebased approved'!$A$4:$H$313,2,FALSE)</f>
        <v>DNUMSTCAU</v>
      </c>
      <c r="D133" s="253" t="s">
        <v>624</v>
      </c>
      <c r="E133" s="253" t="s">
        <v>852</v>
      </c>
      <c r="F133" s="253" t="s">
        <v>685</v>
      </c>
      <c r="G133" s="253" t="s">
        <v>687</v>
      </c>
      <c r="H133" s="251" t="s">
        <v>627</v>
      </c>
      <c r="I133" s="252" t="s">
        <v>170</v>
      </c>
      <c r="J133" s="458">
        <f>VLOOKUP(B133,'2020-21 feebased approved'!$A$4:$H$313,'2020-21 feebased approved'!$H$1,FALSE)</f>
        <v>1294.6545205335983</v>
      </c>
      <c r="K133" s="461">
        <f>IF(OR(B133='Model update'!$P$187,B133='Model update'!$Q$187,B133='Model update'!$R$187,B133='Model update'!$S$187,B133='Model update'!$T$187,B133='Model update'!$U$187,B133='Model update'!$V$187,B133='Model update'!$W$187),'Model update'!$J$187,IF(OR(B133='Model update'!$P$188,B133='Model update'!$Q$188,B133='Model update'!$R$188,B133='Model update'!$S$188,B133='Model update'!$T$188,B133='Model update'!$U$188,B133='Model update'!$V$188,B133='Model update'!$W$188),'Model update'!$J$188,'Model update'!$J$186))</f>
        <v>-9.8252646141938002E-3</v>
      </c>
      <c r="L133" s="465">
        <f>J133*(1+'Model update'!$B$31)*(1-'2021_ACS service &amp; prices'!K133)+'Model update'!$J$196</f>
        <v>1318.6259181689099</v>
      </c>
      <c r="M133" s="211"/>
    </row>
    <row r="134" spans="2:13" ht="26.4">
      <c r="B134" s="253" t="s">
        <v>442</v>
      </c>
      <c r="C134" s="253" t="str">
        <f>VLOOKUP(B134,'2020-21 feebased approved'!$A$4:$H$313,2,FALSE)</f>
        <v>DNUMSBL
DNUMSBI</v>
      </c>
      <c r="D134" s="253" t="s">
        <v>624</v>
      </c>
      <c r="E134" s="253" t="s">
        <v>852</v>
      </c>
      <c r="F134" s="253" t="s">
        <v>685</v>
      </c>
      <c r="G134" s="253" t="s">
        <v>636</v>
      </c>
      <c r="H134" s="251" t="s">
        <v>628</v>
      </c>
      <c r="I134" s="252" t="s">
        <v>170</v>
      </c>
      <c r="J134" s="458">
        <f>VLOOKUP(B134,'2020-21 feebased approved'!$A$4:$H$313,'2020-21 feebased approved'!$H$1,FALSE)</f>
        <v>962.23341358558787</v>
      </c>
      <c r="K134" s="461">
        <f>IF(OR(B134='Model update'!$P$187,B134='Model update'!$Q$187,B134='Model update'!$R$187,B134='Model update'!$S$187,B134='Model update'!$T$187,B134='Model update'!$U$187,B134='Model update'!$V$187,B134='Model update'!$W$187),'Model update'!$J$187,IF(OR(B134='Model update'!$P$188,B134='Model update'!$Q$188,B134='Model update'!$R$188,B134='Model update'!$S$188,B134='Model update'!$T$188,B134='Model update'!$U$188,B134='Model update'!$V$188,B134='Model update'!$W$188),'Model update'!$J$188,'Model update'!$J$186))</f>
        <v>-9.8252646141938002E-3</v>
      </c>
      <c r="L134" s="465">
        <f>J134*(1+'Model update'!$B$31)*(1-'2021_ACS service &amp; prices'!K134)+'Model update'!$J$196</f>
        <v>980.04981124937274</v>
      </c>
      <c r="M134" s="211"/>
    </row>
    <row r="135" spans="2:13" ht="26.4">
      <c r="B135" s="253" t="s">
        <v>443</v>
      </c>
      <c r="C135" s="253" t="str">
        <f>VLOOKUP(B135,'2020-21 feebased approved'!$A$4:$H$313,2,FALSE)</f>
        <v>DNUMSAL
DNUMSAI</v>
      </c>
      <c r="D135" s="253" t="s">
        <v>624</v>
      </c>
      <c r="E135" s="253" t="s">
        <v>852</v>
      </c>
      <c r="F135" s="253" t="s">
        <v>685</v>
      </c>
      <c r="G135" s="253" t="s">
        <v>637</v>
      </c>
      <c r="H135" s="251" t="s">
        <v>628</v>
      </c>
      <c r="I135" s="252" t="s">
        <v>170</v>
      </c>
      <c r="J135" s="458">
        <f>VLOOKUP(B135,'2020-21 feebased approved'!$A$4:$H$313,'2020-21 feebased approved'!$H$1,FALSE)</f>
        <v>1264.9121988802342</v>
      </c>
      <c r="K135" s="461">
        <f>IF(OR(B135='Model update'!$P$187,B135='Model update'!$Q$187,B135='Model update'!$R$187,B135='Model update'!$S$187,B135='Model update'!$T$187,B135='Model update'!$U$187,B135='Model update'!$V$187,B135='Model update'!$W$187),'Model update'!$J$187,IF(OR(B135='Model update'!$P$188,B135='Model update'!$Q$188,B135='Model update'!$R$188,B135='Model update'!$S$188,B135='Model update'!$T$188,B135='Model update'!$U$188,B135='Model update'!$V$188,B135='Model update'!$W$188),'Model update'!$J$188,'Model update'!$J$186))</f>
        <v>-9.8252646141938002E-3</v>
      </c>
      <c r="L135" s="465">
        <f>J135*(1+'Model update'!$B$31)*(1-'2021_ACS service &amp; prices'!K135)+'Model update'!$J$196</f>
        <v>1288.3328974621363</v>
      </c>
      <c r="M135" s="211"/>
    </row>
    <row r="136" spans="2:13" ht="26.4">
      <c r="B136" s="253" t="s">
        <v>444</v>
      </c>
      <c r="C136" s="253" t="str">
        <f>VLOOKUP(B136,'2020-21 feebased approved'!$A$4:$H$313,2,FALSE)</f>
        <v>DNUMSTCBL
DNUMSTCBI</v>
      </c>
      <c r="D136" s="253" t="s">
        <v>624</v>
      </c>
      <c r="E136" s="253" t="s">
        <v>852</v>
      </c>
      <c r="F136" s="253" t="s">
        <v>685</v>
      </c>
      <c r="G136" s="253" t="s">
        <v>686</v>
      </c>
      <c r="H136" s="251" t="s">
        <v>628</v>
      </c>
      <c r="I136" s="252" t="s">
        <v>170</v>
      </c>
      <c r="J136" s="458">
        <f>VLOOKUP(B136,'2020-21 feebased approved'!$A$4:$H$313,'2020-21 feebased approved'!$H$1,FALSE)</f>
        <v>1760.1224160134941</v>
      </c>
      <c r="K136" s="461">
        <f>IF(OR(B136='Model update'!$P$187,B136='Model update'!$Q$187,B136='Model update'!$R$187,B136='Model update'!$S$187,B136='Model update'!$T$187,B136='Model update'!$U$187,B136='Model update'!$V$187,B136='Model update'!$W$187),'Model update'!$J$187,IF(OR(B136='Model update'!$P$188,B136='Model update'!$Q$188,B136='Model update'!$R$188,B136='Model update'!$S$188,B136='Model update'!$T$188,B136='Model update'!$U$188,B136='Model update'!$V$188,B136='Model update'!$W$188),'Model update'!$J$188,'Model update'!$J$186))</f>
        <v>-9.8252646141938002E-3</v>
      </c>
      <c r="L136" s="465">
        <f>J136*(1+'Model update'!$B$31)*(1-'2021_ACS service &amp; prices'!K136)+'Model update'!$J$196</f>
        <v>1792.7122642331526</v>
      </c>
      <c r="M136" s="211"/>
    </row>
    <row r="137" spans="2:13" ht="26.4">
      <c r="B137" s="253" t="s">
        <v>445</v>
      </c>
      <c r="C137" s="253" t="str">
        <f>VLOOKUP(B137,'2020-21 feebased approved'!$A$4:$H$313,2,FALSE)</f>
        <v>DNUMSTCAL
DNUMSTCAI</v>
      </c>
      <c r="D137" s="253" t="s">
        <v>624</v>
      </c>
      <c r="E137" s="253" t="s">
        <v>852</v>
      </c>
      <c r="F137" s="253" t="s">
        <v>685</v>
      </c>
      <c r="G137" s="253" t="s">
        <v>687</v>
      </c>
      <c r="H137" s="251" t="s">
        <v>628</v>
      </c>
      <c r="I137" s="252" t="s">
        <v>170</v>
      </c>
      <c r="J137" s="458">
        <f>VLOOKUP(B137,'2020-21 feebased approved'!$A$4:$H$313,'2020-21 feebased approved'!$H$1,FALSE)</f>
        <v>2062.8012013081407</v>
      </c>
      <c r="K137" s="461">
        <f>IF(OR(B137='Model update'!$P$187,B137='Model update'!$Q$187,B137='Model update'!$R$187,B137='Model update'!$S$187,B137='Model update'!$T$187,B137='Model update'!$U$187,B137='Model update'!$V$187,B137='Model update'!$W$187),'Model update'!$J$187,IF(OR(B137='Model update'!$P$188,B137='Model update'!$Q$188,B137='Model update'!$R$188,B137='Model update'!$S$188,B137='Model update'!$T$188,B137='Model update'!$U$188,B137='Model update'!$V$188,B137='Model update'!$W$188),'Model update'!$J$188,'Model update'!$J$186))</f>
        <v>-9.8252646141938002E-3</v>
      </c>
      <c r="L137" s="465">
        <f>J137*(1+'Model update'!$B$31)*(1-'2021_ACS service &amp; prices'!K137)+'Model update'!$J$196</f>
        <v>2100.9953504459163</v>
      </c>
      <c r="M137" s="211"/>
    </row>
    <row r="138" spans="2:13" ht="39.6">
      <c r="B138" s="253" t="s">
        <v>446</v>
      </c>
      <c r="C138" s="253" t="str">
        <f>VLOOKUP(B138,'2020-21 feebased approved'!$A$4:$H$313,2,FALSE)</f>
        <v>SEOMPBU</v>
      </c>
      <c r="D138" s="253" t="s">
        <v>624</v>
      </c>
      <c r="E138" s="253" t="s">
        <v>853</v>
      </c>
      <c r="F138" s="253" t="s">
        <v>688</v>
      </c>
      <c r="G138" s="253" t="s">
        <v>689</v>
      </c>
      <c r="H138" s="251" t="s">
        <v>627</v>
      </c>
      <c r="I138" s="252" t="s">
        <v>170</v>
      </c>
      <c r="J138" s="458">
        <f>VLOOKUP(B138,'2020-21 feebased approved'!$A$4:$H$313,'2020-21 feebased approved'!$H$1,FALSE)</f>
        <v>1048.9328202525937</v>
      </c>
      <c r="K138" s="461">
        <f>IF(OR(B138='Model update'!$P$187,B138='Model update'!$Q$187,B138='Model update'!$R$187,B138='Model update'!$S$187,B138='Model update'!$T$187,B138='Model update'!$U$187,B138='Model update'!$V$187,B138='Model update'!$W$187),'Model update'!$J$187,IF(OR(B138='Model update'!$P$188,B138='Model update'!$Q$188,B138='Model update'!$R$188,B138='Model update'!$S$188,B138='Model update'!$T$188,B138='Model update'!$U$188,B138='Model update'!$V$188,B138='Model update'!$W$188),'Model update'!$J$188,'Model update'!$J$186))</f>
        <v>-9.8252646141938002E-3</v>
      </c>
      <c r="L138" s="465">
        <f>J138*(1+'Model update'!$B$31)*(1-'2021_ACS service &amp; prices'!K138)+'Model update'!$J$196</f>
        <v>1068.3545156378925</v>
      </c>
      <c r="M138" s="211"/>
    </row>
    <row r="139" spans="2:13" ht="39.6">
      <c r="B139" s="253" t="s">
        <v>447</v>
      </c>
      <c r="C139" s="253" t="str">
        <f>VLOOKUP(B139,'2020-21 feebased approved'!$A$4:$H$313,2,FALSE)</f>
        <v>SEOMPBL
SEOMPBI</v>
      </c>
      <c r="D139" s="253" t="s">
        <v>624</v>
      </c>
      <c r="E139" s="253" t="s">
        <v>853</v>
      </c>
      <c r="F139" s="253" t="s">
        <v>688</v>
      </c>
      <c r="G139" s="253" t="s">
        <v>689</v>
      </c>
      <c r="H139" s="251" t="s">
        <v>628</v>
      </c>
      <c r="I139" s="252" t="s">
        <v>170</v>
      </c>
      <c r="J139" s="458">
        <f>VLOOKUP(B139,'2020-21 feebased approved'!$A$4:$H$313,'2020-21 feebased approved'!$H$1,FALSE)</f>
        <v>1633.2709295936597</v>
      </c>
      <c r="K139" s="461">
        <f>IF(OR(B139='Model update'!$P$187,B139='Model update'!$Q$187,B139='Model update'!$R$187,B139='Model update'!$S$187,B139='Model update'!$T$187,B139='Model update'!$U$187,B139='Model update'!$V$187,B139='Model update'!$W$187),'Model update'!$J$187,IF(OR(B139='Model update'!$P$188,B139='Model update'!$Q$188,B139='Model update'!$R$188,B139='Model update'!$S$188,B139='Model update'!$T$188,B139='Model update'!$U$188,B139='Model update'!$V$188,B139='Model update'!$W$188),'Model update'!$J$188,'Model update'!$J$186))</f>
        <v>-9.8252646141938002E-3</v>
      </c>
      <c r="L139" s="465">
        <f>J139*(1+'Model update'!$B$31)*(1-'2021_ACS service &amp; prices'!K139)+'Model update'!$J$196</f>
        <v>1663.5120373784207</v>
      </c>
      <c r="M139" s="211"/>
    </row>
    <row r="140" spans="2:13" ht="39.6">
      <c r="B140" s="253" t="s">
        <v>448</v>
      </c>
      <c r="C140" s="253" t="str">
        <f>VLOOKUP(B140,'2020-21 feebased approved'!$A$4:$H$313,2,FALSE)</f>
        <v>SEOMPTCBU</v>
      </c>
      <c r="D140" s="253" t="s">
        <v>624</v>
      </c>
      <c r="E140" s="253" t="s">
        <v>853</v>
      </c>
      <c r="F140" s="253" t="s">
        <v>688</v>
      </c>
      <c r="G140" s="253" t="s">
        <v>690</v>
      </c>
      <c r="H140" s="251" t="s">
        <v>627</v>
      </c>
      <c r="I140" s="252" t="s">
        <v>170</v>
      </c>
      <c r="J140" s="458">
        <f>VLOOKUP(B140,'2020-21 feebased approved'!$A$4:$H$313,'2020-21 feebased approved'!$H$1,FALSE)</f>
        <v>1846.8218226804997</v>
      </c>
      <c r="K140" s="461">
        <f>IF(OR(B140='Model update'!$P$187,B140='Model update'!$Q$187,B140='Model update'!$R$187,B140='Model update'!$S$187,B140='Model update'!$T$187,B140='Model update'!$U$187,B140='Model update'!$V$187,B140='Model update'!$W$187),'Model update'!$J$187,IF(OR(B140='Model update'!$P$188,B140='Model update'!$Q$188,B140='Model update'!$R$188,B140='Model update'!$S$188,B140='Model update'!$T$188,B140='Model update'!$U$188,B140='Model update'!$V$188,B140='Model update'!$W$188),'Model update'!$J$188,'Model update'!$J$186))</f>
        <v>-9.8252646141938002E-3</v>
      </c>
      <c r="L140" s="465">
        <f>J140*(1+'Model update'!$B$31)*(1-'2021_ACS service &amp; prices'!K140)+'Model update'!$J$196</f>
        <v>1881.0169686216723</v>
      </c>
      <c r="M140" s="211"/>
    </row>
    <row r="141" spans="2:13" ht="39.6">
      <c r="B141" s="253" t="s">
        <v>449</v>
      </c>
      <c r="C141" s="253" t="str">
        <f>VLOOKUP(B141,'2020-21 feebased approved'!$A$4:$H$313,2,FALSE)</f>
        <v>SEOMPTCBL
SEOMPTCBI</v>
      </c>
      <c r="D141" s="253" t="s">
        <v>624</v>
      </c>
      <c r="E141" s="253" t="s">
        <v>853</v>
      </c>
      <c r="F141" s="253" t="s">
        <v>688</v>
      </c>
      <c r="G141" s="253" t="s">
        <v>690</v>
      </c>
      <c r="H141" s="251" t="s">
        <v>628</v>
      </c>
      <c r="I141" s="252" t="s">
        <v>170</v>
      </c>
      <c r="J141" s="458">
        <f>VLOOKUP(B141,'2020-21 feebased approved'!$A$4:$H$313,'2020-21 feebased approved'!$H$1,FALSE)</f>
        <v>2431.159932021566</v>
      </c>
      <c r="K141" s="461">
        <f>IF(OR(B141='Model update'!$P$187,B141='Model update'!$Q$187,B141='Model update'!$R$187,B141='Model update'!$S$187,B141='Model update'!$T$187,B141='Model update'!$U$187,B141='Model update'!$V$187,B141='Model update'!$W$187),'Model update'!$J$187,IF(OR(B141='Model update'!$P$188,B141='Model update'!$Q$188,B141='Model update'!$R$188,B141='Model update'!$S$188,B141='Model update'!$T$188,B141='Model update'!$U$188,B141='Model update'!$V$188,B141='Model update'!$W$188),'Model update'!$J$188,'Model update'!$J$186))</f>
        <v>-9.8252646141938002E-3</v>
      </c>
      <c r="L141" s="465">
        <f>J141*(1+'Model update'!$B$31)*(1-'2021_ACS service &amp; prices'!K141)+'Model update'!$J$196</f>
        <v>2476.1744903622007</v>
      </c>
      <c r="M141" s="211"/>
    </row>
    <row r="142" spans="2:13" ht="39.6">
      <c r="B142" s="253" t="s">
        <v>450</v>
      </c>
      <c r="C142" s="253" t="str">
        <f>VLOOKUP(B142,'2020-21 feebased approved'!$A$4:$H$313,2,FALSE)</f>
        <v>SEOCAPBU</v>
      </c>
      <c r="D142" s="253" t="s">
        <v>624</v>
      </c>
      <c r="E142" s="253" t="s">
        <v>853</v>
      </c>
      <c r="F142" s="253" t="s">
        <v>688</v>
      </c>
      <c r="G142" s="253" t="s">
        <v>691</v>
      </c>
      <c r="H142" s="251" t="s">
        <v>627</v>
      </c>
      <c r="I142" s="252" t="s">
        <v>170</v>
      </c>
      <c r="J142" s="458">
        <f>VLOOKUP(B142,'2020-21 feebased approved'!$A$4:$H$313,'2020-21 feebased approved'!$H$1,FALSE)</f>
        <v>1136.4085851240106</v>
      </c>
      <c r="K142" s="461">
        <f>IF(OR(B142='Model update'!$P$187,B142='Model update'!$Q$187,B142='Model update'!$R$187,B142='Model update'!$S$187,B142='Model update'!$T$187,B142='Model update'!$U$187,B142='Model update'!$V$187,B142='Model update'!$W$187),'Model update'!$J$187,IF(OR(B142='Model update'!$P$188,B142='Model update'!$Q$188,B142='Model update'!$R$188,B142='Model update'!$S$188,B142='Model update'!$T$188,B142='Model update'!$U$188,B142='Model update'!$V$188,B142='Model update'!$W$188),'Model update'!$J$188,'Model update'!$J$186))</f>
        <v>-9.8252646141938002E-3</v>
      </c>
      <c r="L142" s="465">
        <f>J142*(1+'Model update'!$B$31)*(1-'2021_ACS service &amp; prices'!K142)+'Model update'!$J$196</f>
        <v>1157.449953024199</v>
      </c>
      <c r="M142" s="211"/>
    </row>
    <row r="143" spans="2:13" ht="39.6">
      <c r="B143" s="253" t="s">
        <v>451</v>
      </c>
      <c r="C143" s="253" t="str">
        <f>VLOOKUP(B143,'2020-21 feebased approved'!$A$4:$H$313,2,FALSE)</f>
        <v>SEOCAPBL
SEOCAPBI</v>
      </c>
      <c r="D143" s="253" t="s">
        <v>624</v>
      </c>
      <c r="E143" s="253" t="s">
        <v>853</v>
      </c>
      <c r="F143" s="253" t="s">
        <v>688</v>
      </c>
      <c r="G143" s="253" t="s">
        <v>691</v>
      </c>
      <c r="H143" s="251" t="s">
        <v>628</v>
      </c>
      <c r="I143" s="252" t="s">
        <v>170</v>
      </c>
      <c r="J143" s="458">
        <f>VLOOKUP(B143,'2020-21 feebased approved'!$A$4:$H$313,'2020-21 feebased approved'!$H$1,FALSE)</f>
        <v>1720.7466944650769</v>
      </c>
      <c r="K143" s="461">
        <f>IF(OR(B143='Model update'!$P$187,B143='Model update'!$Q$187,B143='Model update'!$R$187,B143='Model update'!$S$187,B143='Model update'!$T$187,B143='Model update'!$U$187,B143='Model update'!$V$187,B143='Model update'!$W$187),'Model update'!$J$187,IF(OR(B143='Model update'!$P$188,B143='Model update'!$Q$188,B143='Model update'!$R$188,B143='Model update'!$S$188,B143='Model update'!$T$188,B143='Model update'!$U$188,B143='Model update'!$V$188,B143='Model update'!$W$188),'Model update'!$J$188,'Model update'!$J$186))</f>
        <v>-9.8252646141938002E-3</v>
      </c>
      <c r="L143" s="465">
        <f>J143*(1+'Model update'!$B$31)*(1-'2021_ACS service &amp; prices'!K143)+'Model update'!$J$196</f>
        <v>1752.6074747647274</v>
      </c>
      <c r="M143" s="211"/>
    </row>
    <row r="144" spans="2:13" ht="39.6">
      <c r="B144" s="253" t="s">
        <v>452</v>
      </c>
      <c r="C144" s="253" t="str">
        <f>VLOOKUP(B144,'2020-21 feebased approved'!$A$4:$H$313,2,FALSE)</f>
        <v>SEOCAPTCBU</v>
      </c>
      <c r="D144" s="253" t="s">
        <v>624</v>
      </c>
      <c r="E144" s="253" t="s">
        <v>853</v>
      </c>
      <c r="F144" s="253" t="s">
        <v>688</v>
      </c>
      <c r="G144" s="253" t="s">
        <v>692</v>
      </c>
      <c r="H144" s="251" t="s">
        <v>627</v>
      </c>
      <c r="I144" s="252" t="s">
        <v>170</v>
      </c>
      <c r="J144" s="458">
        <f>VLOOKUP(B144,'2020-21 feebased approved'!$A$4:$H$313,'2020-21 feebased approved'!$H$1,FALSE)</f>
        <v>1934.2975875519169</v>
      </c>
      <c r="K144" s="461">
        <f>IF(OR(B144='Model update'!$P$187,B144='Model update'!$Q$187,B144='Model update'!$R$187,B144='Model update'!$S$187,B144='Model update'!$T$187,B144='Model update'!$U$187,B144='Model update'!$V$187,B144='Model update'!$W$187),'Model update'!$J$187,IF(OR(B144='Model update'!$P$188,B144='Model update'!$Q$188,B144='Model update'!$R$188,B144='Model update'!$S$188,B144='Model update'!$T$188,B144='Model update'!$U$188,B144='Model update'!$V$188,B144='Model update'!$W$188),'Model update'!$J$188,'Model update'!$J$186))</f>
        <v>-9.8252646141938002E-3</v>
      </c>
      <c r="L144" s="465">
        <f>J144*(1+'Model update'!$B$31)*(1-'2021_ACS service &amp; prices'!K144)+'Model update'!$J$196</f>
        <v>1970.112406007979</v>
      </c>
      <c r="M144" s="211"/>
    </row>
    <row r="145" spans="2:13" ht="39" customHeight="1">
      <c r="B145" s="253" t="s">
        <v>453</v>
      </c>
      <c r="C145" s="253" t="str">
        <f>VLOOKUP(B145,'2020-21 feebased approved'!$A$4:$H$313,2,FALSE)</f>
        <v>SEOCAPTCBL
SEOCAPTCBI</v>
      </c>
      <c r="D145" s="253" t="s">
        <v>624</v>
      </c>
      <c r="E145" s="253" t="s">
        <v>853</v>
      </c>
      <c r="F145" s="253" t="s">
        <v>688</v>
      </c>
      <c r="G145" s="253" t="s">
        <v>692</v>
      </c>
      <c r="H145" s="251" t="s">
        <v>628</v>
      </c>
      <c r="I145" s="252" t="s">
        <v>170</v>
      </c>
      <c r="J145" s="458">
        <f>VLOOKUP(B145,'2020-21 feebased approved'!$A$4:$H$313,'2020-21 feebased approved'!$H$1,FALSE)</f>
        <v>2518.6356968929831</v>
      </c>
      <c r="K145" s="461">
        <f>IF(OR(B145='Model update'!$P$187,B145='Model update'!$Q$187,B145='Model update'!$R$187,B145='Model update'!$S$187,B145='Model update'!$T$187,B145='Model update'!$U$187,B145='Model update'!$V$187,B145='Model update'!$W$187),'Model update'!$J$187,IF(OR(B145='Model update'!$P$188,B145='Model update'!$Q$188,B145='Model update'!$R$188,B145='Model update'!$S$188,B145='Model update'!$T$188,B145='Model update'!$U$188,B145='Model update'!$V$188,B145='Model update'!$W$188),'Model update'!$J$188,'Model update'!$J$186))</f>
        <v>-9.8252646141938002E-3</v>
      </c>
      <c r="L145" s="465">
        <f>J145*(1+'Model update'!$B$31)*(1-'2021_ACS service &amp; prices'!K145)+'Model update'!$J$196</f>
        <v>2565.2699277485071</v>
      </c>
      <c r="M145" s="211"/>
    </row>
    <row r="146" spans="2:13" ht="39.6">
      <c r="B146" s="253" t="s">
        <v>454</v>
      </c>
      <c r="C146" s="253" t="str">
        <f>VLOOKUP(B146,'2020-21 feebased approved'!$A$4:$H$313,2,FALSE)</f>
        <v>SEOMPAU</v>
      </c>
      <c r="D146" s="253" t="s">
        <v>624</v>
      </c>
      <c r="E146" s="253" t="s">
        <v>853</v>
      </c>
      <c r="F146" s="253" t="s">
        <v>688</v>
      </c>
      <c r="G146" s="253" t="s">
        <v>693</v>
      </c>
      <c r="H146" s="251" t="s">
        <v>627</v>
      </c>
      <c r="I146" s="252" t="s">
        <v>170</v>
      </c>
      <c r="J146" s="458">
        <f>VLOOKUP(B146,'2020-21 feebased approved'!$A$4:$H$313,'2020-21 feebased approved'!$H$1,FALSE)</f>
        <v>1305.3843001567848</v>
      </c>
      <c r="K146" s="461">
        <f>IF(OR(B146='Model update'!$P$187,B146='Model update'!$Q$187,B146='Model update'!$R$187,B146='Model update'!$S$187,B146='Model update'!$T$187,B146='Model update'!$U$187,B146='Model update'!$V$187,B146='Model update'!$W$187),'Model update'!$J$187,IF(OR(B146='Model update'!$P$188,B146='Model update'!$Q$188,B146='Model update'!$R$188,B146='Model update'!$S$188,B146='Model update'!$T$188,B146='Model update'!$U$188,B146='Model update'!$V$188,B146='Model update'!$W$188),'Model update'!$J$188,'Model update'!$J$186))</f>
        <v>-9.8252646141938002E-3</v>
      </c>
      <c r="L146" s="465">
        <f>J146*(1+'Model update'!$B$31)*(1-'2021_ACS service &amp; prices'!K146)+'Model update'!$J$196</f>
        <v>1329.5543668654338</v>
      </c>
      <c r="M146" s="211"/>
    </row>
    <row r="147" spans="2:13" ht="39.6">
      <c r="B147" s="253" t="s">
        <v>455</v>
      </c>
      <c r="C147" s="253" t="str">
        <f>VLOOKUP(B147,'2020-21 feebased approved'!$A$4:$H$313,2,FALSE)</f>
        <v>SEOMPAL
SEOMPAI</v>
      </c>
      <c r="D147" s="253" t="s">
        <v>624</v>
      </c>
      <c r="E147" s="253" t="s">
        <v>853</v>
      </c>
      <c r="F147" s="253" t="s">
        <v>688</v>
      </c>
      <c r="G147" s="253" t="s">
        <v>693</v>
      </c>
      <c r="H147" s="251" t="s">
        <v>628</v>
      </c>
      <c r="I147" s="252" t="s">
        <v>170</v>
      </c>
      <c r="J147" s="458">
        <f>VLOOKUP(B147,'2020-21 feebased approved'!$A$4:$H$313,'2020-21 feebased approved'!$H$1,FALSE)</f>
        <v>2073.5309809313271</v>
      </c>
      <c r="K147" s="461">
        <f>IF(OR(B147='Model update'!$P$187,B147='Model update'!$Q$187,B147='Model update'!$R$187,B147='Model update'!$S$187,B147='Model update'!$T$187,B147='Model update'!$U$187,B147='Model update'!$V$187,B147='Model update'!$W$187),'Model update'!$J$187,IF(OR(B147='Model update'!$P$188,B147='Model update'!$Q$188,B147='Model update'!$R$188,B147='Model update'!$S$188,B147='Model update'!$T$188,B147='Model update'!$U$188,B147='Model update'!$V$188,B147='Model update'!$W$188),'Model update'!$J$188,'Model update'!$J$186))</f>
        <v>-9.8252646141938002E-3</v>
      </c>
      <c r="L147" s="465">
        <f>J147*(1+'Model update'!$B$31)*(1-'2021_ACS service &amp; prices'!K147)+'Model update'!$J$196</f>
        <v>2111.9237991424407</v>
      </c>
      <c r="M147" s="211"/>
    </row>
    <row r="148" spans="2:13" ht="39.6">
      <c r="B148" s="253" t="s">
        <v>456</v>
      </c>
      <c r="C148" s="253" t="str">
        <f>VLOOKUP(B148,'2020-21 feebased approved'!$A$4:$H$313,2,FALSE)</f>
        <v>SEOMPTCAU</v>
      </c>
      <c r="D148" s="253" t="s">
        <v>624</v>
      </c>
      <c r="E148" s="253" t="s">
        <v>853</v>
      </c>
      <c r="F148" s="253" t="s">
        <v>688</v>
      </c>
      <c r="G148" s="253" t="s">
        <v>694</v>
      </c>
      <c r="H148" s="251" t="s">
        <v>627</v>
      </c>
      <c r="I148" s="252" t="s">
        <v>170</v>
      </c>
      <c r="J148" s="458">
        <f>VLOOKUP(B148,'2020-21 feebased approved'!$A$4:$H$313,'2020-21 feebased approved'!$H$1,FALSE)</f>
        <v>2103.273302584691</v>
      </c>
      <c r="K148" s="461">
        <f>IF(OR(B148='Model update'!$P$187,B148='Model update'!$Q$187,B148='Model update'!$R$187,B148='Model update'!$S$187,B148='Model update'!$T$187,B148='Model update'!$U$187,B148='Model update'!$V$187,B148='Model update'!$W$187),'Model update'!$J$187,IF(OR(B148='Model update'!$P$188,B148='Model update'!$Q$188,B148='Model update'!$R$188,B148='Model update'!$S$188,B148='Model update'!$T$188,B148='Model update'!$U$188,B148='Model update'!$V$188,B148='Model update'!$W$188),'Model update'!$J$188,'Model update'!$J$186))</f>
        <v>-9.8252646141938002E-3</v>
      </c>
      <c r="L148" s="465">
        <f>J148*(1+'Model update'!$B$31)*(1-'2021_ACS service &amp; prices'!K148)+'Model update'!$J$196</f>
        <v>2142.2168198492136</v>
      </c>
      <c r="M148" s="211"/>
    </row>
    <row r="149" spans="2:13" ht="39.6">
      <c r="B149" s="253" t="s">
        <v>457</v>
      </c>
      <c r="C149" s="253" t="str">
        <f>VLOOKUP(B149,'2020-21 feebased approved'!$A$4:$H$313,2,FALSE)</f>
        <v>SEOMPTCAL
SEOMPTCAI</v>
      </c>
      <c r="D149" s="253" t="s">
        <v>624</v>
      </c>
      <c r="E149" s="253" t="s">
        <v>853</v>
      </c>
      <c r="F149" s="253" t="s">
        <v>688</v>
      </c>
      <c r="G149" s="253" t="s">
        <v>694</v>
      </c>
      <c r="H149" s="251" t="s">
        <v>628</v>
      </c>
      <c r="I149" s="252" t="s">
        <v>170</v>
      </c>
      <c r="J149" s="458">
        <f>VLOOKUP(B149,'2020-21 feebased approved'!$A$4:$H$313,'2020-21 feebased approved'!$H$1,FALSE)</f>
        <v>2871.4199833592334</v>
      </c>
      <c r="K149" s="461">
        <f>IF(OR(B149='Model update'!$P$187,B149='Model update'!$Q$187,B149='Model update'!$R$187,B149='Model update'!$S$187,B149='Model update'!$T$187,B149='Model update'!$U$187,B149='Model update'!$V$187,B149='Model update'!$W$187),'Model update'!$J$187,IF(OR(B149='Model update'!$P$188,B149='Model update'!$Q$188,B149='Model update'!$R$188,B149='Model update'!$S$188,B149='Model update'!$T$188,B149='Model update'!$U$188,B149='Model update'!$V$188,B149='Model update'!$W$188),'Model update'!$J$188,'Model update'!$J$186))</f>
        <v>-9.8252646141938002E-3</v>
      </c>
      <c r="L149" s="465">
        <f>J149*(1+'Model update'!$B$31)*(1-'2021_ACS service &amp; prices'!K149)+'Model update'!$J$196</f>
        <v>2924.5862521262202</v>
      </c>
      <c r="M149" s="211"/>
    </row>
    <row r="150" spans="2:13" ht="39.6">
      <c r="B150" s="253" t="s">
        <v>458</v>
      </c>
      <c r="C150" s="253" t="str">
        <f>VLOOKUP(B150,'2020-21 feebased approved'!$A$4:$H$313,2,FALSE)</f>
        <v>SEOCAPAU</v>
      </c>
      <c r="D150" s="253" t="s">
        <v>624</v>
      </c>
      <c r="E150" s="253" t="s">
        <v>853</v>
      </c>
      <c r="F150" s="253" t="s">
        <v>688</v>
      </c>
      <c r="G150" s="253" t="s">
        <v>695</v>
      </c>
      <c r="H150" s="251" t="s">
        <v>627</v>
      </c>
      <c r="I150" s="252" t="s">
        <v>170</v>
      </c>
      <c r="J150" s="458">
        <f>VLOOKUP(B150,'2020-21 feebased approved'!$A$4:$H$313,'2020-21 feebased approved'!$H$1,FALSE)</f>
        <v>1420.3763182368061</v>
      </c>
      <c r="K150" s="461">
        <f>IF(OR(B150='Model update'!$P$187,B150='Model update'!$Q$187,B150='Model update'!$R$187,B150='Model update'!$S$187,B150='Model update'!$T$187,B150='Model update'!$U$187,B150='Model update'!$V$187,B150='Model update'!$W$187),'Model update'!$J$187,IF(OR(B150='Model update'!$P$188,B150='Model update'!$Q$188,B150='Model update'!$R$188,B150='Model update'!$S$188,B150='Model update'!$T$188,B150='Model update'!$U$188,B150='Model update'!$V$188,B150='Model update'!$W$188),'Model update'!$J$188,'Model update'!$J$186))</f>
        <v>-9.8252646141938002E-3</v>
      </c>
      <c r="L150" s="465">
        <f>J150*(1+'Model update'!$B$31)*(1-'2021_ACS service &amp; prices'!K150)+'Model update'!$J$196</f>
        <v>1446.6755393619917</v>
      </c>
      <c r="M150" s="211"/>
    </row>
    <row r="151" spans="2:13" ht="39.6">
      <c r="B151" s="253" t="s">
        <v>459</v>
      </c>
      <c r="C151" s="253" t="str">
        <f>VLOOKUP(B151,'2020-21 feebased approved'!$A$4:$H$313,2,FALSE)</f>
        <v>SEOCAPAL
SEOCAPAI</v>
      </c>
      <c r="D151" s="253" t="s">
        <v>624</v>
      </c>
      <c r="E151" s="253" t="s">
        <v>853</v>
      </c>
      <c r="F151" s="253" t="s">
        <v>688</v>
      </c>
      <c r="G151" s="253" t="s">
        <v>695</v>
      </c>
      <c r="H151" s="251" t="s">
        <v>628</v>
      </c>
      <c r="I151" s="252" t="s">
        <v>170</v>
      </c>
      <c r="J151" s="458">
        <f>VLOOKUP(B151,'2020-21 feebased approved'!$A$4:$H$313,'2020-21 feebased approved'!$H$1,FALSE)</f>
        <v>2188.5229990113485</v>
      </c>
      <c r="K151" s="461">
        <f>IF(OR(B151='Model update'!$P$187,B151='Model update'!$Q$187,B151='Model update'!$R$187,B151='Model update'!$S$187,B151='Model update'!$T$187,B151='Model update'!$U$187,B151='Model update'!$V$187,B151='Model update'!$W$187),'Model update'!$J$187,IF(OR(B151='Model update'!$P$188,B151='Model update'!$Q$188,B151='Model update'!$R$188,B151='Model update'!$S$188,B151='Model update'!$T$188,B151='Model update'!$U$188,B151='Model update'!$V$188,B151='Model update'!$W$188),'Model update'!$J$188,'Model update'!$J$186))</f>
        <v>-9.8252646141938002E-3</v>
      </c>
      <c r="L151" s="465">
        <f>J151*(1+'Model update'!$B$31)*(1-'2021_ACS service &amp; prices'!K151)+'Model update'!$J$196</f>
        <v>2229.0449716389985</v>
      </c>
      <c r="M151" s="211"/>
    </row>
    <row r="152" spans="2:13" ht="39.6">
      <c r="B152" s="253" t="s">
        <v>460</v>
      </c>
      <c r="C152" s="253" t="str">
        <f>VLOOKUP(B152,'2020-21 feebased approved'!$A$4:$H$313,2,FALSE)</f>
        <v>SEOCAPTCAU</v>
      </c>
      <c r="D152" s="253" t="s">
        <v>624</v>
      </c>
      <c r="E152" s="253" t="s">
        <v>853</v>
      </c>
      <c r="F152" s="253" t="s">
        <v>688</v>
      </c>
      <c r="G152" s="253" t="s">
        <v>696</v>
      </c>
      <c r="H152" s="251" t="s">
        <v>627</v>
      </c>
      <c r="I152" s="252" t="s">
        <v>170</v>
      </c>
      <c r="J152" s="458">
        <f>VLOOKUP(B152,'2020-21 feebased approved'!$A$4:$H$313,'2020-21 feebased approved'!$H$1,FALSE)</f>
        <v>2218.2653206647124</v>
      </c>
      <c r="K152" s="461">
        <f>IF(OR(B152='Model update'!$P$187,B152='Model update'!$Q$187,B152='Model update'!$R$187,B152='Model update'!$S$187,B152='Model update'!$T$187,B152='Model update'!$U$187,B152='Model update'!$V$187,B152='Model update'!$W$187),'Model update'!$J$187,IF(OR(B152='Model update'!$P$188,B152='Model update'!$Q$188,B152='Model update'!$R$188,B152='Model update'!$S$188,B152='Model update'!$T$188,B152='Model update'!$U$188,B152='Model update'!$V$188,B152='Model update'!$W$188),'Model update'!$J$188,'Model update'!$J$186))</f>
        <v>-9.8252646141938002E-3</v>
      </c>
      <c r="L152" s="465">
        <f>J152*(1+'Model update'!$B$31)*(1-'2021_ACS service &amp; prices'!K152)+'Model update'!$J$196</f>
        <v>2259.3379923457715</v>
      </c>
      <c r="M152" s="211"/>
    </row>
    <row r="153" spans="2:13" ht="39.6">
      <c r="B153" s="253" t="s">
        <v>461</v>
      </c>
      <c r="C153" s="253" t="str">
        <f>VLOOKUP(B153,'2020-21 feebased approved'!$A$4:$H$313,2,FALSE)</f>
        <v>SEOCAPTCAL
SEOCAPTCAI</v>
      </c>
      <c r="D153" s="253" t="s">
        <v>624</v>
      </c>
      <c r="E153" s="253" t="s">
        <v>853</v>
      </c>
      <c r="F153" s="253" t="s">
        <v>688</v>
      </c>
      <c r="G153" s="253" t="s">
        <v>696</v>
      </c>
      <c r="H153" s="251" t="s">
        <v>628</v>
      </c>
      <c r="I153" s="252" t="s">
        <v>170</v>
      </c>
      <c r="J153" s="458">
        <f>VLOOKUP(B153,'2020-21 feebased approved'!$A$4:$H$313,'2020-21 feebased approved'!$H$1,FALSE)</f>
        <v>2986.4120014392547</v>
      </c>
      <c r="K153" s="461">
        <f>IF(OR(B153='Model update'!$P$187,B153='Model update'!$Q$187,B153='Model update'!$R$187,B153='Model update'!$S$187,B153='Model update'!$T$187,B153='Model update'!$U$187,B153='Model update'!$V$187,B153='Model update'!$W$187),'Model update'!$J$187,IF(OR(B153='Model update'!$P$188,B153='Model update'!$Q$188,B153='Model update'!$R$188,B153='Model update'!$S$188,B153='Model update'!$T$188,B153='Model update'!$U$188,B153='Model update'!$V$188,B153='Model update'!$W$188),'Model update'!$J$188,'Model update'!$J$186))</f>
        <v>-9.8252646141938002E-3</v>
      </c>
      <c r="L153" s="465">
        <f>J153*(1+'Model update'!$B$31)*(1-'2021_ACS service &amp; prices'!K153)+'Model update'!$J$196</f>
        <v>3041.707424622778</v>
      </c>
      <c r="M153" s="211"/>
    </row>
    <row r="154" spans="2:13" ht="39.6">
      <c r="B154" s="253" t="s">
        <v>462</v>
      </c>
      <c r="C154" s="253" t="str">
        <f>VLOOKUP(B154,'2020-21 feebased approved'!$A$4:$H$313,2,FALSE)</f>
        <v>SEUMPBU</v>
      </c>
      <c r="D154" s="253" t="s">
        <v>624</v>
      </c>
      <c r="E154" s="253" t="s">
        <v>853</v>
      </c>
      <c r="F154" s="253" t="s">
        <v>697</v>
      </c>
      <c r="G154" s="253" t="s">
        <v>689</v>
      </c>
      <c r="H154" s="251" t="s">
        <v>627</v>
      </c>
      <c r="I154" s="252" t="s">
        <v>170</v>
      </c>
      <c r="J154" s="458">
        <f>VLOOKUP(B154,'2020-21 feebased approved'!$A$4:$H$313,'2020-21 feebased approved'!$H$1,FALSE)</f>
        <v>232.68553455796945</v>
      </c>
      <c r="K154" s="461">
        <f>IF(OR(B154='Model update'!$P$187,B154='Model update'!$Q$187,B154='Model update'!$R$187,B154='Model update'!$S$187,B154='Model update'!$T$187,B154='Model update'!$U$187,B154='Model update'!$V$187,B154='Model update'!$W$187),'Model update'!$J$187,IF(OR(B154='Model update'!$P$188,B154='Model update'!$Q$188,B154='Model update'!$R$188,B154='Model update'!$S$188,B154='Model update'!$T$188,B154='Model update'!$U$188,B154='Model update'!$V$188,B154='Model update'!$W$188),'Model update'!$J$188,'Model update'!$J$186))</f>
        <v>-9.8252646141938002E-3</v>
      </c>
      <c r="L154" s="465">
        <f>J154*(1+'Model update'!$B$31)*(1-'2021_ACS service &amp; prices'!K154)+'Model update'!$J$196</f>
        <v>236.99386344757559</v>
      </c>
      <c r="M154" s="211"/>
    </row>
    <row r="155" spans="2:13" ht="39.6">
      <c r="B155" s="253" t="s">
        <v>463</v>
      </c>
      <c r="C155" s="253" t="str">
        <f>VLOOKUP(B155,'2020-21 feebased approved'!$A$4:$H$313,2,FALSE)</f>
        <v>SEUMPBL
SEUMPBI</v>
      </c>
      <c r="D155" s="253" t="s">
        <v>624</v>
      </c>
      <c r="E155" s="253" t="s">
        <v>853</v>
      </c>
      <c r="F155" s="253" t="s">
        <v>697</v>
      </c>
      <c r="G155" s="253" t="s">
        <v>689</v>
      </c>
      <c r="H155" s="251" t="s">
        <v>628</v>
      </c>
      <c r="I155" s="252" t="s">
        <v>170</v>
      </c>
      <c r="J155" s="458">
        <f>VLOOKUP(B155,'2020-21 feebased approved'!$A$4:$H$313,'2020-21 feebased approved'!$H$1,FALSE)</f>
        <v>524.8545892285025</v>
      </c>
      <c r="K155" s="461">
        <f>IF(OR(B155='Model update'!$P$187,B155='Model update'!$Q$187,B155='Model update'!$R$187,B155='Model update'!$S$187,B155='Model update'!$T$187,B155='Model update'!$U$187,B155='Model update'!$V$187,B155='Model update'!$W$187),'Model update'!$J$187,IF(OR(B155='Model update'!$P$188,B155='Model update'!$Q$188,B155='Model update'!$R$188,B155='Model update'!$S$188,B155='Model update'!$T$188,B155='Model update'!$U$188,B155='Model update'!$V$188,B155='Model update'!$W$188),'Model update'!$J$188,'Model update'!$J$186))</f>
        <v>-9.8252646141938002E-3</v>
      </c>
      <c r="L155" s="465">
        <f>J155*(1+'Model update'!$B$31)*(1-'2021_ACS service &amp; prices'!K155)+'Model update'!$J$196</f>
        <v>534.57262431783965</v>
      </c>
      <c r="M155" s="211"/>
    </row>
    <row r="156" spans="2:13" ht="39.6">
      <c r="B156" s="253" t="s">
        <v>464</v>
      </c>
      <c r="C156" s="253" t="str">
        <f>VLOOKUP(B156,'2020-21 feebased approved'!$A$4:$H$313,2,FALSE)</f>
        <v>SEUMPTCBU</v>
      </c>
      <c r="D156" s="253" t="s">
        <v>624</v>
      </c>
      <c r="E156" s="253" t="s">
        <v>853</v>
      </c>
      <c r="F156" s="253" t="s">
        <v>697</v>
      </c>
      <c r="G156" s="253" t="s">
        <v>690</v>
      </c>
      <c r="H156" s="251" t="s">
        <v>627</v>
      </c>
      <c r="I156" s="252" t="s">
        <v>170</v>
      </c>
      <c r="J156" s="458">
        <f>VLOOKUP(B156,'2020-21 feebased approved'!$A$4:$H$313,'2020-21 feebased approved'!$H$1,FALSE)</f>
        <v>1030.5745369858757</v>
      </c>
      <c r="K156" s="461">
        <f>IF(OR(B156='Model update'!$P$187,B156='Model update'!$Q$187,B156='Model update'!$R$187,B156='Model update'!$S$187,B156='Model update'!$T$187,B156='Model update'!$U$187,B156='Model update'!$V$187,B156='Model update'!$W$187),'Model update'!$J$187,IF(OR(B156='Model update'!$P$188,B156='Model update'!$Q$188,B156='Model update'!$R$188,B156='Model update'!$S$188,B156='Model update'!$T$188,B156='Model update'!$U$188,B156='Model update'!$V$188,B156='Model update'!$W$188),'Model update'!$J$188,'Model update'!$J$186))</f>
        <v>-9.8252646141938002E-3</v>
      </c>
      <c r="L156" s="465">
        <f>J156*(1+'Model update'!$B$31)*(1-'2021_ACS service &amp; prices'!K156)+'Model update'!$J$196</f>
        <v>1049.6563164313554</v>
      </c>
      <c r="M156" s="211"/>
    </row>
    <row r="157" spans="2:13" ht="39.6">
      <c r="B157" s="253" t="s">
        <v>465</v>
      </c>
      <c r="C157" s="253" t="str">
        <f>VLOOKUP(B157,'2020-21 feebased approved'!$A$4:$H$313,2,FALSE)</f>
        <v>SEUMPTCBL
SEUMPTCBI</v>
      </c>
      <c r="D157" s="253" t="s">
        <v>624</v>
      </c>
      <c r="E157" s="253" t="s">
        <v>853</v>
      </c>
      <c r="F157" s="253" t="s">
        <v>697</v>
      </c>
      <c r="G157" s="253" t="s">
        <v>690</v>
      </c>
      <c r="H157" s="251" t="s">
        <v>628</v>
      </c>
      <c r="I157" s="252" t="s">
        <v>170</v>
      </c>
      <c r="J157" s="458">
        <f>VLOOKUP(B157,'2020-21 feebased approved'!$A$4:$H$313,'2020-21 feebased approved'!$H$1,FALSE)</f>
        <v>1322.7435916564086</v>
      </c>
      <c r="K157" s="461">
        <f>IF(OR(B157='Model update'!$P$187,B157='Model update'!$Q$187,B157='Model update'!$R$187,B157='Model update'!$S$187,B157='Model update'!$T$187,B157='Model update'!$U$187,B157='Model update'!$V$187,B157='Model update'!$W$187),'Model update'!$J$187,IF(OR(B157='Model update'!$P$188,B157='Model update'!$Q$188,B157='Model update'!$R$188,B157='Model update'!$S$188,B157='Model update'!$T$188,B157='Model update'!$U$188,B157='Model update'!$V$188,B157='Model update'!$W$188),'Model update'!$J$188,'Model update'!$J$186))</f>
        <v>-9.8252646141938002E-3</v>
      </c>
      <c r="L157" s="465">
        <f>J157*(1+'Model update'!$B$31)*(1-'2021_ACS service &amp; prices'!K157)+'Model update'!$J$196</f>
        <v>1347.2350773016194</v>
      </c>
      <c r="M157" s="211"/>
    </row>
    <row r="158" spans="2:13" ht="39.6">
      <c r="B158" s="253" t="s">
        <v>466</v>
      </c>
      <c r="C158" s="253" t="str">
        <f>VLOOKUP(B158,'2020-21 feebased approved'!$A$4:$H$313,2,FALSE)</f>
        <v>SEUCAPBU</v>
      </c>
      <c r="D158" s="253" t="s">
        <v>624</v>
      </c>
      <c r="E158" s="253" t="s">
        <v>853</v>
      </c>
      <c r="F158" s="253" t="s">
        <v>697</v>
      </c>
      <c r="G158" s="253" t="s">
        <v>691</v>
      </c>
      <c r="H158" s="251" t="s">
        <v>627</v>
      </c>
      <c r="I158" s="252" t="s">
        <v>170</v>
      </c>
      <c r="J158" s="458">
        <f>VLOOKUP(B158,'2020-21 feebased approved'!$A$4:$H$313,'2020-21 feebased approved'!$H$1,FALSE)</f>
        <v>232.68553455796945</v>
      </c>
      <c r="K158" s="461">
        <f>IF(OR(B158='Model update'!$P$187,B158='Model update'!$Q$187,B158='Model update'!$R$187,B158='Model update'!$S$187,B158='Model update'!$T$187,B158='Model update'!$U$187,B158='Model update'!$V$187,B158='Model update'!$W$187),'Model update'!$J$187,IF(OR(B158='Model update'!$P$188,B158='Model update'!$Q$188,B158='Model update'!$R$188,B158='Model update'!$S$188,B158='Model update'!$T$188,B158='Model update'!$U$188,B158='Model update'!$V$188,B158='Model update'!$W$188),'Model update'!$J$188,'Model update'!$J$186))</f>
        <v>-9.8252646141938002E-3</v>
      </c>
      <c r="L158" s="465">
        <f>J158*(1+'Model update'!$B$31)*(1-'2021_ACS service &amp; prices'!K158)+'Model update'!$J$196</f>
        <v>236.99386344757559</v>
      </c>
      <c r="M158" s="211"/>
    </row>
    <row r="159" spans="2:13" ht="39.6">
      <c r="B159" s="253" t="s">
        <v>467</v>
      </c>
      <c r="C159" s="253" t="str">
        <f>VLOOKUP(B159,'2020-21 feebased approved'!$A$4:$H$313,2,FALSE)</f>
        <v>SEUCAPBL
SEUCAPBI</v>
      </c>
      <c r="D159" s="253" t="s">
        <v>624</v>
      </c>
      <c r="E159" s="253" t="s">
        <v>853</v>
      </c>
      <c r="F159" s="253" t="s">
        <v>697</v>
      </c>
      <c r="G159" s="253" t="s">
        <v>691</v>
      </c>
      <c r="H159" s="251" t="s">
        <v>628</v>
      </c>
      <c r="I159" s="252" t="s">
        <v>170</v>
      </c>
      <c r="J159" s="458">
        <f>VLOOKUP(B159,'2020-21 feebased approved'!$A$4:$H$313,'2020-21 feebased approved'!$H$1,FALSE)</f>
        <v>524.8545892285025</v>
      </c>
      <c r="K159" s="461">
        <f>IF(OR(B159='Model update'!$P$187,B159='Model update'!$Q$187,B159='Model update'!$R$187,B159='Model update'!$S$187,B159='Model update'!$T$187,B159='Model update'!$U$187,B159='Model update'!$V$187,B159='Model update'!$W$187),'Model update'!$J$187,IF(OR(B159='Model update'!$P$188,B159='Model update'!$Q$188,B159='Model update'!$R$188,B159='Model update'!$S$188,B159='Model update'!$T$188,B159='Model update'!$U$188,B159='Model update'!$V$188,B159='Model update'!$W$188),'Model update'!$J$188,'Model update'!$J$186))</f>
        <v>-9.8252646141938002E-3</v>
      </c>
      <c r="L159" s="465">
        <f>J159*(1+'Model update'!$B$31)*(1-'2021_ACS service &amp; prices'!K159)+'Model update'!$J$196</f>
        <v>534.57262431783965</v>
      </c>
      <c r="M159" s="211"/>
    </row>
    <row r="160" spans="2:13" ht="39.6">
      <c r="B160" s="253" t="s">
        <v>468</v>
      </c>
      <c r="C160" s="253" t="str">
        <f>VLOOKUP(B160,'2020-21 feebased approved'!$A$4:$H$313,2,FALSE)</f>
        <v>SEUCAPTCBU</v>
      </c>
      <c r="D160" s="253" t="s">
        <v>624</v>
      </c>
      <c r="E160" s="253" t="s">
        <v>853</v>
      </c>
      <c r="F160" s="253" t="s">
        <v>697</v>
      </c>
      <c r="G160" s="253" t="s">
        <v>692</v>
      </c>
      <c r="H160" s="251" t="s">
        <v>627</v>
      </c>
      <c r="I160" s="252" t="s">
        <v>170</v>
      </c>
      <c r="J160" s="458">
        <f>VLOOKUP(B160,'2020-21 feebased approved'!$A$4:$H$313,'2020-21 feebased approved'!$H$1,FALSE)</f>
        <v>1030.5745369858757</v>
      </c>
      <c r="K160" s="461">
        <f>IF(OR(B160='Model update'!$P$187,B160='Model update'!$Q$187,B160='Model update'!$R$187,B160='Model update'!$S$187,B160='Model update'!$T$187,B160='Model update'!$U$187,B160='Model update'!$V$187,B160='Model update'!$W$187),'Model update'!$J$187,IF(OR(B160='Model update'!$P$188,B160='Model update'!$Q$188,B160='Model update'!$R$188,B160='Model update'!$S$188,B160='Model update'!$T$188,B160='Model update'!$U$188,B160='Model update'!$V$188,B160='Model update'!$W$188),'Model update'!$J$188,'Model update'!$J$186))</f>
        <v>-9.8252646141938002E-3</v>
      </c>
      <c r="L160" s="465">
        <f>J160*(1+'Model update'!$B$31)*(1-'2021_ACS service &amp; prices'!K160)+'Model update'!$J$196</f>
        <v>1049.6563164313554</v>
      </c>
      <c r="M160" s="211"/>
    </row>
    <row r="161" spans="2:13" ht="39.6">
      <c r="B161" s="253" t="s">
        <v>469</v>
      </c>
      <c r="C161" s="253" t="str">
        <f>VLOOKUP(B161,'2020-21 feebased approved'!$A$4:$H$313,2,FALSE)</f>
        <v>SEUCAPTCBL
SEUCAPTCBI</v>
      </c>
      <c r="D161" s="253" t="s">
        <v>624</v>
      </c>
      <c r="E161" s="253" t="s">
        <v>853</v>
      </c>
      <c r="F161" s="253" t="s">
        <v>697</v>
      </c>
      <c r="G161" s="253" t="s">
        <v>692</v>
      </c>
      <c r="H161" s="251" t="s">
        <v>628</v>
      </c>
      <c r="I161" s="252" t="s">
        <v>170</v>
      </c>
      <c r="J161" s="458">
        <f>VLOOKUP(B161,'2020-21 feebased approved'!$A$4:$H$313,'2020-21 feebased approved'!$H$1,FALSE)</f>
        <v>1322.7435916564086</v>
      </c>
      <c r="K161" s="461">
        <f>IF(OR(B161='Model update'!$P$187,B161='Model update'!$Q$187,B161='Model update'!$R$187,B161='Model update'!$S$187,B161='Model update'!$T$187,B161='Model update'!$U$187,B161='Model update'!$V$187,B161='Model update'!$W$187),'Model update'!$J$187,IF(OR(B161='Model update'!$P$188,B161='Model update'!$Q$188,B161='Model update'!$R$188,B161='Model update'!$S$188,B161='Model update'!$T$188,B161='Model update'!$U$188,B161='Model update'!$V$188,B161='Model update'!$W$188),'Model update'!$J$188,'Model update'!$J$186))</f>
        <v>-9.8252646141938002E-3</v>
      </c>
      <c r="L161" s="465">
        <f>J161*(1+'Model update'!$B$31)*(1-'2021_ACS service &amp; prices'!K161)+'Model update'!$J$196</f>
        <v>1347.2350773016194</v>
      </c>
      <c r="M161" s="211"/>
    </row>
    <row r="162" spans="2:13" ht="39.6">
      <c r="B162" s="253" t="s">
        <v>470</v>
      </c>
      <c r="C162" s="253" t="str">
        <f>VLOOKUP(B162,'2020-21 feebased approved'!$A$4:$H$313,2,FALSE)</f>
        <v>SEUMPAU</v>
      </c>
      <c r="D162" s="253" t="s">
        <v>624</v>
      </c>
      <c r="E162" s="253" t="s">
        <v>853</v>
      </c>
      <c r="F162" s="253" t="s">
        <v>697</v>
      </c>
      <c r="G162" s="253" t="s">
        <v>693</v>
      </c>
      <c r="H162" s="251" t="s">
        <v>627</v>
      </c>
      <c r="I162" s="252" t="s">
        <v>170</v>
      </c>
      <c r="J162" s="458">
        <f>VLOOKUP(B162,'2020-21 feebased approved'!$A$4:$H$313,'2020-21 feebased approved'!$H$1,FALSE)</f>
        <v>305.87876809285666</v>
      </c>
      <c r="K162" s="461">
        <f>IF(OR(B162='Model update'!$P$187,B162='Model update'!$Q$187,B162='Model update'!$R$187,B162='Model update'!$S$187,B162='Model update'!$T$187,B162='Model update'!$U$187,B162='Model update'!$V$187,B162='Model update'!$W$187),'Model update'!$J$187,IF(OR(B162='Model update'!$P$188,B162='Model update'!$Q$188,B162='Model update'!$R$188,B162='Model update'!$S$188,B162='Model update'!$T$188,B162='Model update'!$U$188,B162='Model update'!$V$188,B162='Model update'!$W$188),'Model update'!$J$188,'Model update'!$J$186))</f>
        <v>-9.8252646141938002E-3</v>
      </c>
      <c r="L162" s="465">
        <f>J162*(1+'Model update'!$B$31)*(1-'2021_ACS service &amp; prices'!K162)+'Model update'!$J$196</f>
        <v>311.5423188408439</v>
      </c>
      <c r="M162" s="211"/>
    </row>
    <row r="163" spans="2:13" ht="39.6">
      <c r="B163" s="253" t="s">
        <v>471</v>
      </c>
      <c r="C163" s="253" t="str">
        <f>VLOOKUP(B163,'2020-21 feebased approved'!$A$4:$H$313,2,FALSE)</f>
        <v>SEUMPAL
SEUMPAI</v>
      </c>
      <c r="D163" s="253" t="s">
        <v>624</v>
      </c>
      <c r="E163" s="253" t="s">
        <v>853</v>
      </c>
      <c r="F163" s="253" t="s">
        <v>697</v>
      </c>
      <c r="G163" s="253" t="s">
        <v>693</v>
      </c>
      <c r="H163" s="251" t="s">
        <v>628</v>
      </c>
      <c r="I163" s="252" t="s">
        <v>170</v>
      </c>
      <c r="J163" s="458">
        <f>VLOOKUP(B163,'2020-21 feebased approved'!$A$4:$H$313,'2020-21 feebased approved'!$H$1,FALSE)</f>
        <v>689.95210848012778</v>
      </c>
      <c r="K163" s="461">
        <f>IF(OR(B163='Model update'!$P$187,B163='Model update'!$Q$187,B163='Model update'!$R$187,B163='Model update'!$S$187,B163='Model update'!$T$187,B163='Model update'!$U$187,B163='Model update'!$V$187,B163='Model update'!$W$187),'Model update'!$J$187,IF(OR(B163='Model update'!$P$188,B163='Model update'!$Q$188,B163='Model update'!$R$188,B163='Model update'!$S$188,B163='Model update'!$T$188,B163='Model update'!$U$188,B163='Model update'!$V$188,B163='Model update'!$W$188),'Model update'!$J$188,'Model update'!$J$186))</f>
        <v>-9.8252646141938002E-3</v>
      </c>
      <c r="L163" s="465">
        <f>J163*(1+'Model update'!$B$31)*(1-'2021_ACS service &amp; prices'!K163)+'Model update'!$J$196</f>
        <v>702.7270349793472</v>
      </c>
      <c r="M163" s="211"/>
    </row>
    <row r="164" spans="2:13" ht="39.6">
      <c r="B164" s="253" t="s">
        <v>472</v>
      </c>
      <c r="C164" s="253" t="str">
        <f>VLOOKUP(B164,'2020-21 feebased approved'!$A$4:$H$313,2,FALSE)</f>
        <v>SEUMPTCAU</v>
      </c>
      <c r="D164" s="253" t="s">
        <v>624</v>
      </c>
      <c r="E164" s="253" t="s">
        <v>853</v>
      </c>
      <c r="F164" s="253" t="s">
        <v>697</v>
      </c>
      <c r="G164" s="253" t="s">
        <v>694</v>
      </c>
      <c r="H164" s="251" t="s">
        <v>627</v>
      </c>
      <c r="I164" s="252" t="s">
        <v>170</v>
      </c>
      <c r="J164" s="458">
        <f>VLOOKUP(B164,'2020-21 feebased approved'!$A$4:$H$313,'2020-21 feebased approved'!$H$1,FALSE)</f>
        <v>1103.767770520763</v>
      </c>
      <c r="K164" s="461">
        <f>IF(OR(B164='Model update'!$P$187,B164='Model update'!$Q$187,B164='Model update'!$R$187,B164='Model update'!$S$187,B164='Model update'!$T$187,B164='Model update'!$U$187,B164='Model update'!$V$187,B164='Model update'!$W$187),'Model update'!$J$187,IF(OR(B164='Model update'!$P$188,B164='Model update'!$Q$188,B164='Model update'!$R$188,B164='Model update'!$S$188,B164='Model update'!$T$188,B164='Model update'!$U$188,B164='Model update'!$V$188,B164='Model update'!$W$188),'Model update'!$J$188,'Model update'!$J$186))</f>
        <v>-9.8252646141938002E-3</v>
      </c>
      <c r="L164" s="465">
        <f>J164*(1+'Model update'!$B$31)*(1-'2021_ACS service &amp; prices'!K164)+'Model update'!$J$196</f>
        <v>1124.204771824624</v>
      </c>
      <c r="M164" s="211"/>
    </row>
    <row r="165" spans="2:13" ht="39.6">
      <c r="B165" s="253" t="s">
        <v>473</v>
      </c>
      <c r="C165" s="253" t="str">
        <f>VLOOKUP(B165,'2020-21 feebased approved'!$A$4:$H$313,2,FALSE)</f>
        <v>SEUMPTCAL
SEUMPTCAI</v>
      </c>
      <c r="D165" s="253" t="s">
        <v>624</v>
      </c>
      <c r="E165" s="253" t="s">
        <v>853</v>
      </c>
      <c r="F165" s="253" t="s">
        <v>697</v>
      </c>
      <c r="G165" s="253" t="s">
        <v>694</v>
      </c>
      <c r="H165" s="251" t="s">
        <v>628</v>
      </c>
      <c r="I165" s="252" t="s">
        <v>170</v>
      </c>
      <c r="J165" s="458">
        <f>VLOOKUP(B165,'2020-21 feebased approved'!$A$4:$H$313,'2020-21 feebased approved'!$H$1,FALSE)</f>
        <v>1487.8411109080339</v>
      </c>
      <c r="K165" s="461">
        <f>IF(OR(B165='Model update'!$P$187,B165='Model update'!$Q$187,B165='Model update'!$R$187,B165='Model update'!$S$187,B165='Model update'!$T$187,B165='Model update'!$U$187,B165='Model update'!$V$187,B165='Model update'!$W$187),'Model update'!$J$187,IF(OR(B165='Model update'!$P$188,B165='Model update'!$Q$188,B165='Model update'!$R$188,B165='Model update'!$S$188,B165='Model update'!$T$188,B165='Model update'!$U$188,B165='Model update'!$V$188,B165='Model update'!$W$188),'Model update'!$J$188,'Model update'!$J$186))</f>
        <v>-9.8252646141938002E-3</v>
      </c>
      <c r="L165" s="465">
        <f>J165*(1+'Model update'!$B$31)*(1-'2021_ACS service &amp; prices'!K165)+'Model update'!$J$196</f>
        <v>1515.3894879631271</v>
      </c>
      <c r="M165" s="211"/>
    </row>
    <row r="166" spans="2:13" ht="39.6">
      <c r="B166" s="253" t="s">
        <v>474</v>
      </c>
      <c r="C166" s="253" t="str">
        <f>VLOOKUP(B166,'2020-21 feebased approved'!$A$4:$H$313,2,FALSE)</f>
        <v>SEUCAPAU</v>
      </c>
      <c r="D166" s="253" t="s">
        <v>624</v>
      </c>
      <c r="E166" s="253" t="s">
        <v>853</v>
      </c>
      <c r="F166" s="253" t="s">
        <v>697</v>
      </c>
      <c r="G166" s="253" t="s">
        <v>695</v>
      </c>
      <c r="H166" s="251" t="s">
        <v>627</v>
      </c>
      <c r="I166" s="252" t="s">
        <v>170</v>
      </c>
      <c r="J166" s="458">
        <f>VLOOKUP(B166,'2020-21 feebased approved'!$A$4:$H$313,'2020-21 feebased approved'!$H$1,FALSE)</f>
        <v>305.87876809285666</v>
      </c>
      <c r="K166" s="461">
        <f>IF(OR(B166='Model update'!$P$187,B166='Model update'!$Q$187,B166='Model update'!$R$187,B166='Model update'!$S$187,B166='Model update'!$T$187,B166='Model update'!$U$187,B166='Model update'!$V$187,B166='Model update'!$W$187),'Model update'!$J$187,IF(OR(B166='Model update'!$P$188,B166='Model update'!$Q$188,B166='Model update'!$R$188,B166='Model update'!$S$188,B166='Model update'!$T$188,B166='Model update'!$U$188,B166='Model update'!$V$188,B166='Model update'!$W$188),'Model update'!$J$188,'Model update'!$J$186))</f>
        <v>-9.8252646141938002E-3</v>
      </c>
      <c r="L166" s="465">
        <f>J166*(1+'Model update'!$B$31)*(1-'2021_ACS service &amp; prices'!K166)+'Model update'!$J$196</f>
        <v>311.5423188408439</v>
      </c>
      <c r="M166" s="211"/>
    </row>
    <row r="167" spans="2:13" ht="39.6">
      <c r="B167" s="253" t="s">
        <v>475</v>
      </c>
      <c r="C167" s="253" t="str">
        <f>VLOOKUP(B167,'2020-21 feebased approved'!$A$4:$H$313,2,FALSE)</f>
        <v>SEUCAPAL
SEUCAPAI</v>
      </c>
      <c r="D167" s="253" t="s">
        <v>624</v>
      </c>
      <c r="E167" s="253" t="s">
        <v>853</v>
      </c>
      <c r="F167" s="253" t="s">
        <v>697</v>
      </c>
      <c r="G167" s="253" t="s">
        <v>695</v>
      </c>
      <c r="H167" s="251" t="s">
        <v>628</v>
      </c>
      <c r="I167" s="252" t="s">
        <v>170</v>
      </c>
      <c r="J167" s="458">
        <f>VLOOKUP(B167,'2020-21 feebased approved'!$A$4:$H$313,'2020-21 feebased approved'!$H$1,FALSE)</f>
        <v>689.95210848012778</v>
      </c>
      <c r="K167" s="461">
        <f>IF(OR(B167='Model update'!$P$187,B167='Model update'!$Q$187,B167='Model update'!$R$187,B167='Model update'!$S$187,B167='Model update'!$T$187,B167='Model update'!$U$187,B167='Model update'!$V$187,B167='Model update'!$W$187),'Model update'!$J$187,IF(OR(B167='Model update'!$P$188,B167='Model update'!$Q$188,B167='Model update'!$R$188,B167='Model update'!$S$188,B167='Model update'!$T$188,B167='Model update'!$U$188,B167='Model update'!$V$188,B167='Model update'!$W$188),'Model update'!$J$188,'Model update'!$J$186))</f>
        <v>-9.8252646141938002E-3</v>
      </c>
      <c r="L167" s="465">
        <f>J167*(1+'Model update'!$B$31)*(1-'2021_ACS service &amp; prices'!K167)+'Model update'!$J$196</f>
        <v>702.7270349793472</v>
      </c>
      <c r="M167" s="211"/>
    </row>
    <row r="168" spans="2:13" ht="39.6">
      <c r="B168" s="253" t="s">
        <v>476</v>
      </c>
      <c r="C168" s="253" t="str">
        <f>VLOOKUP(B168,'2020-21 feebased approved'!$A$4:$H$313,2,FALSE)</f>
        <v>SEUCAPTCAU</v>
      </c>
      <c r="D168" s="253" t="s">
        <v>624</v>
      </c>
      <c r="E168" s="253" t="s">
        <v>853</v>
      </c>
      <c r="F168" s="253" t="s">
        <v>697</v>
      </c>
      <c r="G168" s="253" t="s">
        <v>696</v>
      </c>
      <c r="H168" s="251" t="s">
        <v>627</v>
      </c>
      <c r="I168" s="252" t="s">
        <v>170</v>
      </c>
      <c r="J168" s="458">
        <f>VLOOKUP(B168,'2020-21 feebased approved'!$A$4:$H$313,'2020-21 feebased approved'!$H$1,FALSE)</f>
        <v>1103.767770520763</v>
      </c>
      <c r="K168" s="461">
        <f>IF(OR(B168='Model update'!$P$187,B168='Model update'!$Q$187,B168='Model update'!$R$187,B168='Model update'!$S$187,B168='Model update'!$T$187,B168='Model update'!$U$187,B168='Model update'!$V$187,B168='Model update'!$W$187),'Model update'!$J$187,IF(OR(B168='Model update'!$P$188,B168='Model update'!$Q$188,B168='Model update'!$R$188,B168='Model update'!$S$188,B168='Model update'!$T$188,B168='Model update'!$U$188,B168='Model update'!$V$188,B168='Model update'!$W$188),'Model update'!$J$188,'Model update'!$J$186))</f>
        <v>-9.8252646141938002E-3</v>
      </c>
      <c r="L168" s="465">
        <f>J168*(1+'Model update'!$B$31)*(1-'2021_ACS service &amp; prices'!K168)+'Model update'!$J$196</f>
        <v>1124.204771824624</v>
      </c>
      <c r="M168" s="211"/>
    </row>
    <row r="169" spans="2:13" ht="39.6">
      <c r="B169" s="253" t="s">
        <v>477</v>
      </c>
      <c r="C169" s="253" t="str">
        <f>VLOOKUP(B169,'2020-21 feebased approved'!$A$4:$H$313,2,FALSE)</f>
        <v>SEUCAPTCAL
SEUCAPTCAI</v>
      </c>
      <c r="D169" s="253" t="s">
        <v>624</v>
      </c>
      <c r="E169" s="253" t="s">
        <v>853</v>
      </c>
      <c r="F169" s="253" t="s">
        <v>697</v>
      </c>
      <c r="G169" s="253" t="s">
        <v>696</v>
      </c>
      <c r="H169" s="251" t="s">
        <v>628</v>
      </c>
      <c r="I169" s="252" t="s">
        <v>170</v>
      </c>
      <c r="J169" s="458">
        <f>VLOOKUP(B169,'2020-21 feebased approved'!$A$4:$H$313,'2020-21 feebased approved'!$H$1,FALSE)</f>
        <v>1487.8411109080339</v>
      </c>
      <c r="K169" s="461">
        <f>IF(OR(B169='Model update'!$P$187,B169='Model update'!$Q$187,B169='Model update'!$R$187,B169='Model update'!$S$187,B169='Model update'!$T$187,B169='Model update'!$U$187,B169='Model update'!$V$187,B169='Model update'!$W$187),'Model update'!$J$187,IF(OR(B169='Model update'!$P$188,B169='Model update'!$Q$188,B169='Model update'!$R$188,B169='Model update'!$S$188,B169='Model update'!$T$188,B169='Model update'!$U$188,B169='Model update'!$V$188,B169='Model update'!$W$188),'Model update'!$J$188,'Model update'!$J$186))</f>
        <v>-9.8252646141938002E-3</v>
      </c>
      <c r="L169" s="465">
        <f>J169*(1+'Model update'!$B$31)*(1-'2021_ACS service &amp; prices'!K169)+'Model update'!$J$196</f>
        <v>1515.3894879631271</v>
      </c>
      <c r="M169" s="211"/>
    </row>
    <row r="170" spans="2:13" ht="51" customHeight="1">
      <c r="B170" s="253" t="s">
        <v>478</v>
      </c>
      <c r="C170" s="253" t="str">
        <f>VLOOKUP(B170,'2020-21 feebased approved'!$A$4:$H$313,2,FALSE)</f>
        <v>POASPBU</v>
      </c>
      <c r="D170" s="253" t="s">
        <v>624</v>
      </c>
      <c r="E170" s="253" t="s">
        <v>854</v>
      </c>
      <c r="F170" s="253" t="s">
        <v>698</v>
      </c>
      <c r="G170" s="253" t="s">
        <v>699</v>
      </c>
      <c r="H170" s="251" t="s">
        <v>627</v>
      </c>
      <c r="I170" s="252" t="s">
        <v>170</v>
      </c>
      <c r="J170" s="458">
        <f>VLOOKUP(B170,'2020-21 feebased approved'!$A$4:$H$313,'2020-21 feebased approved'!$H$1,FALSE)</f>
        <v>517.85652803878907</v>
      </c>
      <c r="K170" s="461">
        <f>IF(OR(B170='Model update'!$P$187,B170='Model update'!$Q$187,B170='Model update'!$R$187,B170='Model update'!$S$187,B170='Model update'!$T$187,B170='Model update'!$U$187,B170='Model update'!$V$187,B170='Model update'!$W$187),'Model update'!$J$187,IF(OR(B170='Model update'!$P$188,B170='Model update'!$Q$188,B170='Model update'!$R$188,B170='Model update'!$S$188,B170='Model update'!$T$188,B170='Model update'!$U$188,B170='Model update'!$V$188,B170='Model update'!$W$188),'Model update'!$J$188,'Model update'!$J$186))</f>
        <v>-9.8252646141938002E-3</v>
      </c>
      <c r="L170" s="465">
        <f>J170*(1+'Model update'!$B$31)*(1-'2021_ACS service &amp; prices'!K170)+'Model update'!$J$196</f>
        <v>527.44498932693523</v>
      </c>
      <c r="M170" s="211"/>
    </row>
    <row r="171" spans="2:13" ht="51" customHeight="1">
      <c r="B171" s="253" t="s">
        <v>479</v>
      </c>
      <c r="C171" s="253" t="str">
        <f>VLOOKUP(B171,'2020-21 feebased approved'!$A$4:$H$313,2,FALSE)</f>
        <v>POASPBL
POASPBI</v>
      </c>
      <c r="D171" s="253" t="s">
        <v>624</v>
      </c>
      <c r="E171" s="253" t="s">
        <v>854</v>
      </c>
      <c r="F171" s="253" t="s">
        <v>698</v>
      </c>
      <c r="G171" s="253" t="s">
        <v>699</v>
      </c>
      <c r="H171" s="251" t="s">
        <v>628</v>
      </c>
      <c r="I171" s="252" t="s">
        <v>170</v>
      </c>
      <c r="J171" s="458">
        <f>VLOOKUP(B171,'2020-21 feebased approved'!$A$4:$H$313,'2020-21 feebased approved'!$H$1,FALSE)</f>
        <v>1102.1946373798553</v>
      </c>
      <c r="K171" s="461">
        <f>IF(OR(B171='Model update'!$P$187,B171='Model update'!$Q$187,B171='Model update'!$R$187,B171='Model update'!$S$187,B171='Model update'!$T$187,B171='Model update'!$U$187,B171='Model update'!$V$187,B171='Model update'!$W$187),'Model update'!$J$187,IF(OR(B171='Model update'!$P$188,B171='Model update'!$Q$188,B171='Model update'!$R$188,B171='Model update'!$S$188,B171='Model update'!$T$188,B171='Model update'!$U$188,B171='Model update'!$V$188,B171='Model update'!$W$188),'Model update'!$J$188,'Model update'!$J$186))</f>
        <v>-9.8252646141938002E-3</v>
      </c>
      <c r="L171" s="465">
        <f>J171*(1+'Model update'!$B$31)*(1-'2021_ACS service &amp; prices'!K171)+'Model update'!$J$196</f>
        <v>1122.6025110674636</v>
      </c>
      <c r="M171" s="211"/>
    </row>
    <row r="172" spans="2:13" ht="51" customHeight="1">
      <c r="B172" s="253" t="s">
        <v>480</v>
      </c>
      <c r="C172" s="253" t="str">
        <f>VLOOKUP(B172,'2020-21 feebased approved'!$A$4:$H$313,2,FALSE)</f>
        <v>POASPTCBU</v>
      </c>
      <c r="D172" s="253" t="s">
        <v>624</v>
      </c>
      <c r="E172" s="253" t="s">
        <v>854</v>
      </c>
      <c r="F172" s="253" t="s">
        <v>698</v>
      </c>
      <c r="G172" s="253" t="s">
        <v>700</v>
      </c>
      <c r="H172" s="251" t="s">
        <v>627</v>
      </c>
      <c r="I172" s="252" t="s">
        <v>170</v>
      </c>
      <c r="J172" s="458">
        <f>VLOOKUP(B172,'2020-21 feebased approved'!$A$4:$H$313,'2020-21 feebased approved'!$H$1,FALSE)</f>
        <v>1315.7455304666953</v>
      </c>
      <c r="K172" s="461">
        <f>IF(OR(B172='Model update'!$P$187,B172='Model update'!$Q$187,B172='Model update'!$R$187,B172='Model update'!$S$187,B172='Model update'!$T$187,B172='Model update'!$U$187,B172='Model update'!$V$187,B172='Model update'!$W$187),'Model update'!$J$187,IF(OR(B172='Model update'!$P$188,B172='Model update'!$Q$188,B172='Model update'!$R$188,B172='Model update'!$S$188,B172='Model update'!$T$188,B172='Model update'!$U$188,B172='Model update'!$V$188,B172='Model update'!$W$188),'Model update'!$J$188,'Model update'!$J$186))</f>
        <v>-9.8252646141938002E-3</v>
      </c>
      <c r="L172" s="465">
        <f>J172*(1+'Model update'!$B$31)*(1-'2021_ACS service &amp; prices'!K172)+'Model update'!$J$196</f>
        <v>1340.107442310715</v>
      </c>
      <c r="M172" s="211"/>
    </row>
    <row r="173" spans="2:13" ht="51" customHeight="1">
      <c r="B173" s="253" t="s">
        <v>481</v>
      </c>
      <c r="C173" s="253" t="str">
        <f>VLOOKUP(B173,'2020-21 feebased approved'!$A$4:$H$313,2,FALSE)</f>
        <v>POASPTCBL
POASPTCBI</v>
      </c>
      <c r="D173" s="253" t="s">
        <v>624</v>
      </c>
      <c r="E173" s="253" t="s">
        <v>854</v>
      </c>
      <c r="F173" s="253" t="s">
        <v>698</v>
      </c>
      <c r="G173" s="253" t="s">
        <v>700</v>
      </c>
      <c r="H173" s="251" t="s">
        <v>628</v>
      </c>
      <c r="I173" s="252" t="s">
        <v>170</v>
      </c>
      <c r="J173" s="458">
        <f>VLOOKUP(B173,'2020-21 feebased approved'!$A$4:$H$313,'2020-21 feebased approved'!$H$1,FALSE)</f>
        <v>1900.0836398077615</v>
      </c>
      <c r="K173" s="461">
        <f>IF(OR(B173='Model update'!$P$187,B173='Model update'!$Q$187,B173='Model update'!$R$187,B173='Model update'!$S$187,B173='Model update'!$T$187,B173='Model update'!$U$187,B173='Model update'!$V$187,B173='Model update'!$W$187),'Model update'!$J$187,IF(OR(B173='Model update'!$P$188,B173='Model update'!$Q$188,B173='Model update'!$R$188,B173='Model update'!$S$188,B173='Model update'!$T$188,B173='Model update'!$U$188,B173='Model update'!$V$188,B173='Model update'!$W$188),'Model update'!$J$188,'Model update'!$J$186))</f>
        <v>-9.8252646141938002E-3</v>
      </c>
      <c r="L173" s="465">
        <f>J173*(1+'Model update'!$B$31)*(1-'2021_ACS service &amp; prices'!K173)+'Model update'!$J$196</f>
        <v>1935.2649640512434</v>
      </c>
      <c r="M173" s="211"/>
    </row>
    <row r="174" spans="2:13" ht="51" customHeight="1">
      <c r="B174" s="253" t="s">
        <v>482</v>
      </c>
      <c r="C174" s="253" t="str">
        <f>VLOOKUP(B174,'2020-21 feebased approved'!$A$4:$H$313,2,FALSE)</f>
        <v>POASPAU</v>
      </c>
      <c r="D174" s="253" t="s">
        <v>624</v>
      </c>
      <c r="E174" s="253" t="s">
        <v>854</v>
      </c>
      <c r="F174" s="253" t="s">
        <v>698</v>
      </c>
      <c r="G174" s="253" t="s">
        <v>701</v>
      </c>
      <c r="H174" s="251" t="s">
        <v>627</v>
      </c>
      <c r="I174" s="252" t="s">
        <v>170</v>
      </c>
      <c r="J174" s="458">
        <f>VLOOKUP(B174,'2020-21 feebased approved'!$A$4:$H$313,'2020-21 feebased approved'!$H$1,FALSE)</f>
        <v>680.75274703372611</v>
      </c>
      <c r="K174" s="461">
        <f>IF(OR(B174='Model update'!$P$187,B174='Model update'!$Q$187,B174='Model update'!$R$187,B174='Model update'!$S$187,B174='Model update'!$T$187,B174='Model update'!$U$187,B174='Model update'!$V$187,B174='Model update'!$W$187),'Model update'!$J$187,IF(OR(B174='Model update'!$P$188,B174='Model update'!$Q$188,B174='Model update'!$R$188,B174='Model update'!$S$188,B174='Model update'!$T$188,B174='Model update'!$U$188,B174='Model update'!$V$188,B174='Model update'!$W$188),'Model update'!$J$188,'Model update'!$J$186))</f>
        <v>-9.8252646141938002E-3</v>
      </c>
      <c r="L174" s="465">
        <f>J174*(1+'Model update'!$B$31)*(1-'2021_ACS service &amp; prices'!K174)+'Model update'!$J$196</f>
        <v>693.35734117962261</v>
      </c>
      <c r="M174" s="211"/>
    </row>
    <row r="175" spans="2:13" ht="51" customHeight="1">
      <c r="B175" s="253" t="s">
        <v>483</v>
      </c>
      <c r="C175" s="253" t="str">
        <f>VLOOKUP(B175,'2020-21 feebased approved'!$A$4:$H$313,2,FALSE)</f>
        <v>POASPAL
POASPAI</v>
      </c>
      <c r="D175" s="253" t="s">
        <v>624</v>
      </c>
      <c r="E175" s="253" t="s">
        <v>854</v>
      </c>
      <c r="F175" s="253" t="s">
        <v>698</v>
      </c>
      <c r="G175" s="253" t="s">
        <v>701</v>
      </c>
      <c r="H175" s="251" t="s">
        <v>628</v>
      </c>
      <c r="I175" s="252" t="s">
        <v>170</v>
      </c>
      <c r="J175" s="458">
        <f>VLOOKUP(B175,'2020-21 feebased approved'!$A$4:$H$313,'2020-21 feebased approved'!$H$1,FALSE)</f>
        <v>1448.8994278082682</v>
      </c>
      <c r="K175" s="461">
        <f>IF(OR(B175='Model update'!$P$187,B175='Model update'!$Q$187,B175='Model update'!$R$187,B175='Model update'!$S$187,B175='Model update'!$T$187,B175='Model update'!$U$187,B175='Model update'!$V$187,B175='Model update'!$W$187),'Model update'!$J$187,IF(OR(B175='Model update'!$P$188,B175='Model update'!$Q$188,B175='Model update'!$R$188,B175='Model update'!$S$188,B175='Model update'!$T$188,B175='Model update'!$U$188,B175='Model update'!$V$188,B175='Model update'!$W$188),'Model update'!$J$188,'Model update'!$J$186))</f>
        <v>-9.8252646141938002E-3</v>
      </c>
      <c r="L175" s="465">
        <f>J175*(1+'Model update'!$B$31)*(1-'2021_ACS service &amp; prices'!K175)+'Model update'!$J$196</f>
        <v>1475.726773456629</v>
      </c>
      <c r="M175" s="211"/>
    </row>
    <row r="176" spans="2:13" ht="51" customHeight="1">
      <c r="B176" s="253" t="s">
        <v>484</v>
      </c>
      <c r="C176" s="253" t="str">
        <f>VLOOKUP(B176,'2020-21 feebased approved'!$A$4:$H$313,2,FALSE)</f>
        <v>POASPTCAU</v>
      </c>
      <c r="D176" s="253" t="s">
        <v>624</v>
      </c>
      <c r="E176" s="253" t="s">
        <v>854</v>
      </c>
      <c r="F176" s="253" t="s">
        <v>698</v>
      </c>
      <c r="G176" s="253" t="s">
        <v>702</v>
      </c>
      <c r="H176" s="251" t="s">
        <v>627</v>
      </c>
      <c r="I176" s="252" t="s">
        <v>170</v>
      </c>
      <c r="J176" s="458">
        <f>VLOOKUP(B176,'2020-21 feebased approved'!$A$4:$H$313,'2020-21 feebased approved'!$H$1,FALSE)</f>
        <v>1478.6417494616323</v>
      </c>
      <c r="K176" s="461">
        <f>IF(OR(B176='Model update'!$P$187,B176='Model update'!$Q$187,B176='Model update'!$R$187,B176='Model update'!$S$187,B176='Model update'!$T$187,B176='Model update'!$U$187,B176='Model update'!$V$187,B176='Model update'!$W$187),'Model update'!$J$187,IF(OR(B176='Model update'!$P$188,B176='Model update'!$Q$188,B176='Model update'!$R$188,B176='Model update'!$S$188,B176='Model update'!$T$188,B176='Model update'!$U$188,B176='Model update'!$V$188,B176='Model update'!$W$188),'Model update'!$J$188,'Model update'!$J$186))</f>
        <v>-9.8252646141938002E-3</v>
      </c>
      <c r="L176" s="465">
        <f>J176*(1+'Model update'!$B$31)*(1-'2021_ACS service &amp; prices'!K176)+'Model update'!$J$196</f>
        <v>1506.0197941634024</v>
      </c>
      <c r="M176" s="211"/>
    </row>
    <row r="177" spans="2:13" ht="51" customHeight="1">
      <c r="B177" s="253" t="s">
        <v>485</v>
      </c>
      <c r="C177" s="253" t="str">
        <f>VLOOKUP(B177,'2020-21 feebased approved'!$A$4:$H$313,2,FALSE)</f>
        <v>POASPTCAL
POASPTCAI</v>
      </c>
      <c r="D177" s="253" t="s">
        <v>624</v>
      </c>
      <c r="E177" s="253" t="s">
        <v>854</v>
      </c>
      <c r="F177" s="253" t="s">
        <v>698</v>
      </c>
      <c r="G177" s="253" t="s">
        <v>702</v>
      </c>
      <c r="H177" s="251" t="s">
        <v>628</v>
      </c>
      <c r="I177" s="252" t="s">
        <v>170</v>
      </c>
      <c r="J177" s="458">
        <f>VLOOKUP(B177,'2020-21 feebased approved'!$A$4:$H$313,'2020-21 feebased approved'!$H$1,FALSE)</f>
        <v>2246.7884302361745</v>
      </c>
      <c r="K177" s="461">
        <f>IF(OR(B177='Model update'!$P$187,B177='Model update'!$Q$187,B177='Model update'!$R$187,B177='Model update'!$S$187,B177='Model update'!$T$187,B177='Model update'!$U$187,B177='Model update'!$V$187,B177='Model update'!$W$187),'Model update'!$J$187,IF(OR(B177='Model update'!$P$188,B177='Model update'!$Q$188,B177='Model update'!$R$188,B177='Model update'!$S$188,B177='Model update'!$T$188,B177='Model update'!$U$188,B177='Model update'!$V$188,B177='Model update'!$W$188),'Model update'!$J$188,'Model update'!$J$186))</f>
        <v>-9.8252646141938002E-3</v>
      </c>
      <c r="L177" s="465">
        <f>J177*(1+'Model update'!$B$31)*(1-'2021_ACS service &amp; prices'!K177)+'Model update'!$J$196</f>
        <v>2288.3892264404089</v>
      </c>
      <c r="M177" s="211"/>
    </row>
    <row r="178" spans="2:13" ht="51" customHeight="1">
      <c r="B178" s="253" t="s">
        <v>486</v>
      </c>
      <c r="C178" s="253" t="str">
        <f>VLOOKUP(B178,'2020-21 feebased approved'!$A$4:$H$313,2,FALSE)</f>
        <v>POAMPBU</v>
      </c>
      <c r="D178" s="253" t="s">
        <v>624</v>
      </c>
      <c r="E178" s="253" t="s">
        <v>854</v>
      </c>
      <c r="F178" s="253" t="s">
        <v>698</v>
      </c>
      <c r="G178" s="253" t="s">
        <v>703</v>
      </c>
      <c r="H178" s="251" t="s">
        <v>627</v>
      </c>
      <c r="I178" s="252" t="s">
        <v>170</v>
      </c>
      <c r="J178" s="458">
        <f>VLOOKUP(B178,'2020-21 feebased approved'!$A$4:$H$313,'2020-21 feebased approved'!$H$1,FALSE)</f>
        <v>654.31872123819983</v>
      </c>
      <c r="K178" s="461">
        <f>IF(OR(B178='Model update'!$P$187,B178='Model update'!$Q$187,B178='Model update'!$R$187,B178='Model update'!$S$187,B178='Model update'!$T$187,B178='Model update'!$U$187,B178='Model update'!$V$187,B178='Model update'!$W$187),'Model update'!$J$187,IF(OR(B178='Model update'!$P$188,B178='Model update'!$Q$188,B178='Model update'!$R$188,B178='Model update'!$S$188,B178='Model update'!$T$188,B178='Model update'!$U$188,B178='Model update'!$V$188,B178='Model update'!$W$188),'Model update'!$J$188,'Model update'!$J$186))</f>
        <v>-9.8252646141938002E-3</v>
      </c>
      <c r="L178" s="465">
        <f>J178*(1+'Model update'!$B$31)*(1-'2021_ACS service &amp; prices'!K178)+'Model update'!$J$196</f>
        <v>666.43387164957358</v>
      </c>
      <c r="M178" s="211"/>
    </row>
    <row r="179" spans="2:13" ht="51" customHeight="1">
      <c r="B179" s="253" t="s">
        <v>487</v>
      </c>
      <c r="C179" s="253" t="str">
        <f>VLOOKUP(B179,'2020-21 feebased approved'!$A$4:$H$313,2,FALSE)</f>
        <v>POAMPBL
POAMPBI</v>
      </c>
      <c r="D179" s="253" t="s">
        <v>624</v>
      </c>
      <c r="E179" s="253" t="s">
        <v>854</v>
      </c>
      <c r="F179" s="253" t="s">
        <v>698</v>
      </c>
      <c r="G179" s="253" t="s">
        <v>703</v>
      </c>
      <c r="H179" s="251" t="s">
        <v>628</v>
      </c>
      <c r="I179" s="252" t="s">
        <v>170</v>
      </c>
      <c r="J179" s="458">
        <f>VLOOKUP(B179,'2020-21 feebased approved'!$A$4:$H$313,'2020-21 feebased approved'!$H$1,FALSE)</f>
        <v>1238.6568305792659</v>
      </c>
      <c r="K179" s="461">
        <f>IF(OR(B179='Model update'!$P$187,B179='Model update'!$Q$187,B179='Model update'!$R$187,B179='Model update'!$S$187,B179='Model update'!$T$187,B179='Model update'!$U$187,B179='Model update'!$V$187,B179='Model update'!$W$187),'Model update'!$J$187,IF(OR(B179='Model update'!$P$188,B179='Model update'!$Q$188,B179='Model update'!$R$188,B179='Model update'!$S$188,B179='Model update'!$T$188,B179='Model update'!$U$188,B179='Model update'!$V$188,B179='Model update'!$W$188),'Model update'!$J$188,'Model update'!$J$186))</f>
        <v>-9.8252646141938002E-3</v>
      </c>
      <c r="L179" s="465">
        <f>J179*(1+'Model update'!$B$31)*(1-'2021_ACS service &amp; prices'!K179)+'Model update'!$J$196</f>
        <v>1261.5913933901018</v>
      </c>
      <c r="M179" s="211"/>
    </row>
    <row r="180" spans="2:13" ht="51" customHeight="1">
      <c r="B180" s="253" t="s">
        <v>488</v>
      </c>
      <c r="C180" s="253" t="str">
        <f>VLOOKUP(B180,'2020-21 feebased approved'!$A$4:$H$313,2,FALSE)</f>
        <v>POAMPTCBU</v>
      </c>
      <c r="D180" s="253" t="s">
        <v>624</v>
      </c>
      <c r="E180" s="253" t="s">
        <v>854</v>
      </c>
      <c r="F180" s="253" t="s">
        <v>698</v>
      </c>
      <c r="G180" s="253" t="s">
        <v>704</v>
      </c>
      <c r="H180" s="251" t="s">
        <v>627</v>
      </c>
      <c r="I180" s="252" t="s">
        <v>170</v>
      </c>
      <c r="J180" s="458">
        <f>VLOOKUP(B180,'2020-21 feebased approved'!$A$4:$H$313,'2020-21 feebased approved'!$H$1,FALSE)</f>
        <v>1452.2077236661062</v>
      </c>
      <c r="K180" s="461">
        <f>IF(OR(B180='Model update'!$P$187,B180='Model update'!$Q$187,B180='Model update'!$R$187,B180='Model update'!$S$187,B180='Model update'!$T$187,B180='Model update'!$U$187,B180='Model update'!$V$187,B180='Model update'!$W$187),'Model update'!$J$187,IF(OR(B180='Model update'!$P$188,B180='Model update'!$Q$188,B180='Model update'!$R$188,B180='Model update'!$S$188,B180='Model update'!$T$188,B180='Model update'!$U$188,B180='Model update'!$V$188,B180='Model update'!$W$188),'Model update'!$J$188,'Model update'!$J$186))</f>
        <v>-9.8252646141938002E-3</v>
      </c>
      <c r="L180" s="465">
        <f>J180*(1+'Model update'!$B$31)*(1-'2021_ACS service &amp; prices'!K180)+'Model update'!$J$196</f>
        <v>1479.0963246333536</v>
      </c>
      <c r="M180" s="211"/>
    </row>
    <row r="181" spans="2:13" ht="51" customHeight="1">
      <c r="B181" s="253" t="s">
        <v>489</v>
      </c>
      <c r="C181" s="253" t="str">
        <f>VLOOKUP(B181,'2020-21 feebased approved'!$A$4:$H$313,2,FALSE)</f>
        <v>POAMPTCBL
POAMPTCBI</v>
      </c>
      <c r="D181" s="253" t="s">
        <v>624</v>
      </c>
      <c r="E181" s="253" t="s">
        <v>854</v>
      </c>
      <c r="F181" s="253" t="s">
        <v>698</v>
      </c>
      <c r="G181" s="253" t="s">
        <v>704</v>
      </c>
      <c r="H181" s="251" t="s">
        <v>628</v>
      </c>
      <c r="I181" s="252" t="s">
        <v>170</v>
      </c>
      <c r="J181" s="458">
        <f>VLOOKUP(B181,'2020-21 feebased approved'!$A$4:$H$313,'2020-21 feebased approved'!$H$1,FALSE)</f>
        <v>2036.5458330071722</v>
      </c>
      <c r="K181" s="461">
        <f>IF(OR(B181='Model update'!$P$187,B181='Model update'!$Q$187,B181='Model update'!$R$187,B181='Model update'!$S$187,B181='Model update'!$T$187,B181='Model update'!$U$187,B181='Model update'!$V$187,B181='Model update'!$W$187),'Model update'!$J$187,IF(OR(B181='Model update'!$P$188,B181='Model update'!$Q$188,B181='Model update'!$R$188,B181='Model update'!$S$188,B181='Model update'!$T$188,B181='Model update'!$U$188,B181='Model update'!$V$188,B181='Model update'!$W$188),'Model update'!$J$188,'Model update'!$J$186))</f>
        <v>-9.8252646141938002E-3</v>
      </c>
      <c r="L181" s="465">
        <f>J181*(1+'Model update'!$B$31)*(1-'2021_ACS service &amp; prices'!K181)+'Model update'!$J$196</f>
        <v>2074.2538463738815</v>
      </c>
      <c r="M181" s="211"/>
    </row>
    <row r="182" spans="2:13" ht="51" customHeight="1">
      <c r="B182" s="253" t="s">
        <v>490</v>
      </c>
      <c r="C182" s="253" t="str">
        <f>VLOOKUP(B182,'2020-21 feebased approved'!$A$4:$H$313,2,FALSE)</f>
        <v>POAMPAU</v>
      </c>
      <c r="D182" s="253" t="s">
        <v>624</v>
      </c>
      <c r="E182" s="253" t="s">
        <v>854</v>
      </c>
      <c r="F182" s="253" t="s">
        <v>698</v>
      </c>
      <c r="G182" s="253" t="s">
        <v>705</v>
      </c>
      <c r="H182" s="251" t="s">
        <v>627</v>
      </c>
      <c r="I182" s="252" t="s">
        <v>170</v>
      </c>
      <c r="J182" s="458">
        <f>VLOOKUP(B182,'2020-21 feebased approved'!$A$4:$H$313,'2020-21 feebased approved'!$H$1,FALSE)</f>
        <v>860.14029523855947</v>
      </c>
      <c r="K182" s="461">
        <f>IF(OR(B182='Model update'!$P$187,B182='Model update'!$Q$187,B182='Model update'!$R$187,B182='Model update'!$S$187,B182='Model update'!$T$187,B182='Model update'!$U$187,B182='Model update'!$V$187,B182='Model update'!$W$187),'Model update'!$J$187,IF(OR(B182='Model update'!$P$188,B182='Model update'!$Q$188,B182='Model update'!$R$188,B182='Model update'!$S$188,B182='Model update'!$T$188,B182='Model update'!$U$188,B182='Model update'!$V$188,B182='Model update'!$W$188),'Model update'!$J$188,'Model update'!$J$186))</f>
        <v>-9.8252646141938002E-3</v>
      </c>
      <c r="L182" s="465">
        <f>J182*(1+'Model update'!$B$31)*(1-'2021_ACS service &amp; prices'!K182)+'Model update'!$J$196</f>
        <v>876.0663702742529</v>
      </c>
      <c r="M182" s="211"/>
    </row>
    <row r="183" spans="2:13" ht="51" customHeight="1">
      <c r="B183" s="253" t="s">
        <v>491</v>
      </c>
      <c r="C183" s="253" t="str">
        <f>VLOOKUP(B183,'2020-21 feebased approved'!$A$4:$H$313,2,FALSE)</f>
        <v>POAMPAL
POAMPAI</v>
      </c>
      <c r="D183" s="253" t="s">
        <v>624</v>
      </c>
      <c r="E183" s="253" t="s">
        <v>854</v>
      </c>
      <c r="F183" s="253" t="s">
        <v>698</v>
      </c>
      <c r="G183" s="253" t="s">
        <v>705</v>
      </c>
      <c r="H183" s="251" t="s">
        <v>628</v>
      </c>
      <c r="I183" s="252" t="s">
        <v>170</v>
      </c>
      <c r="J183" s="458">
        <f>VLOOKUP(B183,'2020-21 feebased approved'!$A$4:$H$313,'2020-21 feebased approved'!$H$1,FALSE)</f>
        <v>1628.2869760131016</v>
      </c>
      <c r="K183" s="461">
        <f>IF(OR(B183='Model update'!$P$187,B183='Model update'!$Q$187,B183='Model update'!$R$187,B183='Model update'!$S$187,B183='Model update'!$T$187,B183='Model update'!$U$187,B183='Model update'!$V$187,B183='Model update'!$W$187),'Model update'!$J$187,IF(OR(B183='Model update'!$P$188,B183='Model update'!$Q$188,B183='Model update'!$R$188,B183='Model update'!$S$188,B183='Model update'!$T$188,B183='Model update'!$U$188,B183='Model update'!$V$188,B183='Model update'!$W$188),'Model update'!$J$188,'Model update'!$J$186))</f>
        <v>-9.8252646141938002E-3</v>
      </c>
      <c r="L183" s="465">
        <f>J183*(1+'Model update'!$B$31)*(1-'2021_ACS service &amp; prices'!K183)+'Model update'!$J$196</f>
        <v>1658.4358025512593</v>
      </c>
      <c r="M183" s="211"/>
    </row>
    <row r="184" spans="2:13" ht="51" customHeight="1">
      <c r="B184" s="253" t="s">
        <v>492</v>
      </c>
      <c r="C184" s="253" t="str">
        <f>VLOOKUP(B184,'2020-21 feebased approved'!$A$4:$H$313,2,FALSE)</f>
        <v>POAMPTCAU</v>
      </c>
      <c r="D184" s="253" t="s">
        <v>624</v>
      </c>
      <c r="E184" s="253" t="s">
        <v>854</v>
      </c>
      <c r="F184" s="253" t="s">
        <v>698</v>
      </c>
      <c r="G184" s="253" t="s">
        <v>706</v>
      </c>
      <c r="H184" s="251" t="s">
        <v>627</v>
      </c>
      <c r="I184" s="252" t="s">
        <v>170</v>
      </c>
      <c r="J184" s="458">
        <f>VLOOKUP(B184,'2020-21 feebased approved'!$A$4:$H$313,'2020-21 feebased approved'!$H$1,FALSE)</f>
        <v>1658.0292976664657</v>
      </c>
      <c r="K184" s="461">
        <f>IF(OR(B184='Model update'!$P$187,B184='Model update'!$Q$187,B184='Model update'!$R$187,B184='Model update'!$S$187,B184='Model update'!$T$187,B184='Model update'!$U$187,B184='Model update'!$V$187,B184='Model update'!$W$187),'Model update'!$J$187,IF(OR(B184='Model update'!$P$188,B184='Model update'!$Q$188,B184='Model update'!$R$188,B184='Model update'!$S$188,B184='Model update'!$T$188,B184='Model update'!$U$188,B184='Model update'!$V$188,B184='Model update'!$W$188),'Model update'!$J$188,'Model update'!$J$186))</f>
        <v>-9.8252646141938002E-3</v>
      </c>
      <c r="L184" s="465">
        <f>J184*(1+'Model update'!$B$31)*(1-'2021_ACS service &amp; prices'!K184)+'Model update'!$J$196</f>
        <v>1688.7288232580329</v>
      </c>
      <c r="M184" s="211"/>
    </row>
    <row r="185" spans="2:13" ht="51" customHeight="1">
      <c r="B185" s="253" t="s">
        <v>493</v>
      </c>
      <c r="C185" s="253" t="str">
        <f>VLOOKUP(B185,'2020-21 feebased approved'!$A$4:$H$313,2,FALSE)</f>
        <v>POAMPTCAL
POAMPTCAI</v>
      </c>
      <c r="D185" s="253" t="s">
        <v>624</v>
      </c>
      <c r="E185" s="253" t="s">
        <v>854</v>
      </c>
      <c r="F185" s="253" t="s">
        <v>698</v>
      </c>
      <c r="G185" s="253" t="s">
        <v>706</v>
      </c>
      <c r="H185" s="251" t="s">
        <v>628</v>
      </c>
      <c r="I185" s="252" t="s">
        <v>170</v>
      </c>
      <c r="J185" s="458">
        <f>VLOOKUP(B185,'2020-21 feebased approved'!$A$4:$H$313,'2020-21 feebased approved'!$H$1,FALSE)</f>
        <v>2426.1759784410078</v>
      </c>
      <c r="K185" s="461">
        <f>IF(OR(B185='Model update'!$P$187,B185='Model update'!$Q$187,B185='Model update'!$R$187,B185='Model update'!$S$187,B185='Model update'!$T$187,B185='Model update'!$U$187,B185='Model update'!$V$187,B185='Model update'!$W$187),'Model update'!$J$187,IF(OR(B185='Model update'!$P$188,B185='Model update'!$Q$188,B185='Model update'!$R$188,B185='Model update'!$S$188,B185='Model update'!$T$188,B185='Model update'!$U$188,B185='Model update'!$V$188,B185='Model update'!$W$188),'Model update'!$J$188,'Model update'!$J$186))</f>
        <v>-9.8252646141938002E-3</v>
      </c>
      <c r="L185" s="465">
        <f>J185*(1+'Model update'!$B$31)*(1-'2021_ACS service &amp; prices'!K185)+'Model update'!$J$196</f>
        <v>2471.0982555350392</v>
      </c>
      <c r="M185" s="211"/>
    </row>
    <row r="186" spans="2:13" ht="51" customHeight="1">
      <c r="B186" s="253" t="s">
        <v>494</v>
      </c>
      <c r="C186" s="253" t="str">
        <f>VLOOKUP(B186,'2020-21 feebased approved'!$A$4:$H$313,2,FALSE)</f>
        <v>OH2UGSPBU</v>
      </c>
      <c r="D186" s="253" t="s">
        <v>707</v>
      </c>
      <c r="E186" s="253" t="s">
        <v>855</v>
      </c>
      <c r="F186" s="253" t="s">
        <v>708</v>
      </c>
      <c r="G186" s="253" t="s">
        <v>699</v>
      </c>
      <c r="H186" s="251" t="s">
        <v>627</v>
      </c>
      <c r="I186" s="252" t="s">
        <v>170</v>
      </c>
      <c r="J186" s="458">
        <f>VLOOKUP(B186,'2020-21 feebased approved'!$A$4:$H$313,'2020-21 feebased approved'!$H$1,FALSE)</f>
        <v>785.53236854532543</v>
      </c>
      <c r="K186" s="461">
        <f>IF(OR(B186='Model update'!$P$187,B186='Model update'!$Q$187,B186='Model update'!$R$187,B186='Model update'!$S$187,B186='Model update'!$T$187,B186='Model update'!$U$187,B186='Model update'!$V$187,B186='Model update'!$W$187),'Model update'!$J$187,IF(OR(B186='Model update'!$P$188,B186='Model update'!$Q$188,B186='Model update'!$R$188,B186='Model update'!$S$188,B186='Model update'!$T$188,B186='Model update'!$U$188,B186='Model update'!$V$188,B186='Model update'!$W$188),'Model update'!$J$188,'Model update'!$J$186))</f>
        <v>-9.8252646141938002E-3</v>
      </c>
      <c r="L186" s="465">
        <f>J186*(1+'Model update'!$B$31)*(1-'2021_ACS service &amp; prices'!K186)+'Model update'!$J$196</f>
        <v>800.07702772903349</v>
      </c>
      <c r="M186" s="211"/>
    </row>
    <row r="187" spans="2:13" ht="51" customHeight="1">
      <c r="B187" s="253" t="s">
        <v>495</v>
      </c>
      <c r="C187" s="253" t="str">
        <f>VLOOKUP(B187,'2020-21 feebased approved'!$A$4:$H$313,2,FALSE)</f>
        <v>OH2UGSPBL
OH2UGSPBI</v>
      </c>
      <c r="D187" s="253" t="s">
        <v>707</v>
      </c>
      <c r="E187" s="253" t="s">
        <v>855</v>
      </c>
      <c r="F187" s="253" t="s">
        <v>708</v>
      </c>
      <c r="G187" s="253" t="s">
        <v>699</v>
      </c>
      <c r="H187" s="251" t="s">
        <v>628</v>
      </c>
      <c r="I187" s="252" t="s">
        <v>170</v>
      </c>
      <c r="J187" s="458">
        <f>VLOOKUP(B187,'2020-21 feebased approved'!$A$4:$H$313,'2020-21 feebased approved'!$H$1,FALSE)</f>
        <v>1662.0395325569245</v>
      </c>
      <c r="K187" s="461">
        <f>IF(OR(B187='Model update'!$P$187,B187='Model update'!$Q$187,B187='Model update'!$R$187,B187='Model update'!$S$187,B187='Model update'!$T$187,B187='Model update'!$U$187,B187='Model update'!$V$187,B187='Model update'!$W$187),'Model update'!$J$187,IF(OR(B187='Model update'!$P$188,B187='Model update'!$Q$188,B187='Model update'!$R$188,B187='Model update'!$S$188,B187='Model update'!$T$188,B187='Model update'!$U$188,B187='Model update'!$V$188,B187='Model update'!$W$188),'Model update'!$J$188,'Model update'!$J$186))</f>
        <v>-9.8252646141938002E-3</v>
      </c>
      <c r="L187" s="465">
        <f>J187*(1+'Model update'!$B$31)*(1-'2021_ACS service &amp; prices'!K187)+'Model update'!$J$196</f>
        <v>1692.8133103398256</v>
      </c>
      <c r="M187" s="211"/>
    </row>
    <row r="188" spans="2:13" ht="51" customHeight="1">
      <c r="B188" s="253" t="s">
        <v>496</v>
      </c>
      <c r="C188" s="253" t="str">
        <f>VLOOKUP(B188,'2020-21 feebased approved'!$A$4:$H$313,2,FALSE)</f>
        <v>OH2UGSPTBU</v>
      </c>
      <c r="D188" s="253" t="s">
        <v>707</v>
      </c>
      <c r="E188" s="253" t="s">
        <v>855</v>
      </c>
      <c r="F188" s="253" t="s">
        <v>708</v>
      </c>
      <c r="G188" s="253" t="s">
        <v>700</v>
      </c>
      <c r="H188" s="251" t="s">
        <v>627</v>
      </c>
      <c r="I188" s="252" t="s">
        <v>170</v>
      </c>
      <c r="J188" s="458">
        <f>VLOOKUP(B188,'2020-21 feebased approved'!$A$4:$H$313,'2020-21 feebased approved'!$H$1,FALSE)</f>
        <v>1583.4213709732317</v>
      </c>
      <c r="K188" s="461">
        <f>IF(OR(B188='Model update'!$P$187,B188='Model update'!$Q$187,B188='Model update'!$R$187,B188='Model update'!$S$187,B188='Model update'!$T$187,B188='Model update'!$U$187,B188='Model update'!$V$187,B188='Model update'!$W$187),'Model update'!$J$187,IF(OR(B188='Model update'!$P$188,B188='Model update'!$Q$188,B188='Model update'!$R$188,B188='Model update'!$S$188,B188='Model update'!$T$188,B188='Model update'!$U$188,B188='Model update'!$V$188,B188='Model update'!$W$188),'Model update'!$J$188,'Model update'!$J$186))</f>
        <v>-9.8252646141938002E-3</v>
      </c>
      <c r="L188" s="465">
        <f>J188*(1+'Model update'!$B$31)*(1-'2021_ACS service &amp; prices'!K188)+'Model update'!$J$196</f>
        <v>1612.7394807128135</v>
      </c>
      <c r="M188" s="211"/>
    </row>
    <row r="189" spans="2:13" ht="51" customHeight="1">
      <c r="B189" s="253" t="s">
        <v>497</v>
      </c>
      <c r="C189" s="253" t="str">
        <f>VLOOKUP(B189,'2020-21 feebased approved'!$A$4:$H$313,2,FALSE)</f>
        <v>OH2UGSPTBL
OH2UGSPTBI</v>
      </c>
      <c r="D189" s="253" t="s">
        <v>707</v>
      </c>
      <c r="E189" s="253" t="s">
        <v>855</v>
      </c>
      <c r="F189" s="253" t="s">
        <v>708</v>
      </c>
      <c r="G189" s="253" t="s">
        <v>700</v>
      </c>
      <c r="H189" s="251" t="s">
        <v>628</v>
      </c>
      <c r="I189" s="252" t="s">
        <v>170</v>
      </c>
      <c r="J189" s="458">
        <f>VLOOKUP(B189,'2020-21 feebased approved'!$A$4:$H$313,'2020-21 feebased approved'!$H$1,FALSE)</f>
        <v>2459.9285349848305</v>
      </c>
      <c r="K189" s="461">
        <f>IF(OR(B189='Model update'!$P$187,B189='Model update'!$Q$187,B189='Model update'!$R$187,B189='Model update'!$S$187,B189='Model update'!$T$187,B189='Model update'!$U$187,B189='Model update'!$V$187,B189='Model update'!$W$187),'Model update'!$J$187,IF(OR(B189='Model update'!$P$188,B189='Model update'!$Q$188,B189='Model update'!$R$188,B189='Model update'!$S$188,B189='Model update'!$T$188,B189='Model update'!$U$188,B189='Model update'!$V$188,B189='Model update'!$W$188),'Model update'!$J$188,'Model update'!$J$186))</f>
        <v>-9.8252646141938002E-3</v>
      </c>
      <c r="L189" s="465">
        <f>J189*(1+'Model update'!$B$31)*(1-'2021_ACS service &amp; prices'!K189)+'Model update'!$J$196</f>
        <v>2505.4757633236054</v>
      </c>
      <c r="M189" s="211"/>
    </row>
    <row r="190" spans="2:13" ht="51" customHeight="1">
      <c r="B190" s="253" t="s">
        <v>498</v>
      </c>
      <c r="C190" s="253" t="str">
        <f>VLOOKUP(B190,'2020-21 feebased approved'!$A$4:$H$313,2,FALSE)</f>
        <v>OH2UGSPAU</v>
      </c>
      <c r="D190" s="253" t="s">
        <v>707</v>
      </c>
      <c r="E190" s="253" t="s">
        <v>855</v>
      </c>
      <c r="F190" s="253" t="s">
        <v>708</v>
      </c>
      <c r="G190" s="253" t="s">
        <v>701</v>
      </c>
      <c r="H190" s="251" t="s">
        <v>627</v>
      </c>
      <c r="I190" s="252" t="s">
        <v>170</v>
      </c>
      <c r="J190" s="458">
        <f>VLOOKUP(B190,'2020-21 feebased approved'!$A$4:$H$313,'2020-21 feebased approved'!$H$1,FALSE)</f>
        <v>1032.628322358591</v>
      </c>
      <c r="K190" s="461">
        <f>IF(OR(B190='Model update'!$P$187,B190='Model update'!$Q$187,B190='Model update'!$R$187,B190='Model update'!$S$187,B190='Model update'!$T$187,B190='Model update'!$U$187,B190='Model update'!$V$187,B190='Model update'!$W$187),'Model update'!$J$187,IF(OR(B190='Model update'!$P$188,B190='Model update'!$Q$188,B190='Model update'!$R$188,B190='Model update'!$S$188,B190='Model update'!$T$188,B190='Model update'!$U$188,B190='Model update'!$V$188,B190='Model update'!$W$188),'Model update'!$J$188,'Model update'!$J$186))</f>
        <v>-9.8252646141938002E-3</v>
      </c>
      <c r="L190" s="465">
        <f>J190*(1+'Model update'!$B$31)*(1-'2021_ACS service &amp; prices'!K190)+'Model update'!$J$196</f>
        <v>1051.7481290190892</v>
      </c>
      <c r="M190" s="211"/>
    </row>
    <row r="191" spans="2:13" ht="51" customHeight="1">
      <c r="B191" s="253" t="s">
        <v>499</v>
      </c>
      <c r="C191" s="253" t="str">
        <f>VLOOKUP(B191,'2020-21 feebased approved'!$A$4:$H$313,2,FALSE)</f>
        <v>OH2UGSPAL
OH2UGSPAI</v>
      </c>
      <c r="D191" s="253" t="s">
        <v>707</v>
      </c>
      <c r="E191" s="253" t="s">
        <v>855</v>
      </c>
      <c r="F191" s="253" t="s">
        <v>708</v>
      </c>
      <c r="G191" s="253" t="s">
        <v>701</v>
      </c>
      <c r="H191" s="251" t="s">
        <v>628</v>
      </c>
      <c r="I191" s="252" t="s">
        <v>170</v>
      </c>
      <c r="J191" s="458">
        <f>VLOOKUP(B191,'2020-21 feebased approved'!$A$4:$H$313,'2020-21 feebased approved'!$H$1,FALSE)</f>
        <v>2184.8483435204043</v>
      </c>
      <c r="K191" s="461">
        <f>IF(OR(B191='Model update'!$P$187,B191='Model update'!$Q$187,B191='Model update'!$R$187,B191='Model update'!$S$187,B191='Model update'!$T$187,B191='Model update'!$U$187,B191='Model update'!$V$187,B191='Model update'!$W$187),'Model update'!$J$187,IF(OR(B191='Model update'!$P$188,B191='Model update'!$Q$188,B191='Model update'!$R$188,B191='Model update'!$S$188,B191='Model update'!$T$188,B191='Model update'!$U$188,B191='Model update'!$V$188,B191='Model update'!$W$188),'Model update'!$J$188,'Model update'!$J$186))</f>
        <v>-9.8252646141938002E-3</v>
      </c>
      <c r="L191" s="465">
        <f>J191*(1+'Model update'!$B$31)*(1-'2021_ACS service &amp; prices'!K191)+'Model update'!$J$196</f>
        <v>2225.3022774345991</v>
      </c>
      <c r="M191" s="211"/>
    </row>
    <row r="192" spans="2:13" ht="51" customHeight="1">
      <c r="B192" s="253" t="s">
        <v>500</v>
      </c>
      <c r="C192" s="253" t="str">
        <f>VLOOKUP(B192,'2020-21 feebased approved'!$A$4:$H$313,2,FALSE)</f>
        <v>OH2UGSPTAU</v>
      </c>
      <c r="D192" s="253" t="s">
        <v>707</v>
      </c>
      <c r="E192" s="253" t="s">
        <v>855</v>
      </c>
      <c r="F192" s="253" t="s">
        <v>708</v>
      </c>
      <c r="G192" s="253" t="s">
        <v>702</v>
      </c>
      <c r="H192" s="251" t="s">
        <v>627</v>
      </c>
      <c r="I192" s="252" t="s">
        <v>170</v>
      </c>
      <c r="J192" s="458">
        <f>VLOOKUP(B192,'2020-21 feebased approved'!$A$4:$H$313,'2020-21 feebased approved'!$H$1,FALSE)</f>
        <v>1830.5173247864973</v>
      </c>
      <c r="K192" s="461">
        <f>IF(OR(B192='Model update'!$P$187,B192='Model update'!$Q$187,B192='Model update'!$R$187,B192='Model update'!$S$187,B192='Model update'!$T$187,B192='Model update'!$U$187,B192='Model update'!$V$187,B192='Model update'!$W$187),'Model update'!$J$187,IF(OR(B192='Model update'!$P$188,B192='Model update'!$Q$188,B192='Model update'!$R$188,B192='Model update'!$S$188,B192='Model update'!$T$188,B192='Model update'!$U$188,B192='Model update'!$V$188,B192='Model update'!$W$188),'Model update'!$J$188,'Model update'!$J$186))</f>
        <v>-9.8252646141938002E-3</v>
      </c>
      <c r="L192" s="465">
        <f>J192*(1+'Model update'!$B$31)*(1-'2021_ACS service &amp; prices'!K192)+'Model update'!$J$196</f>
        <v>1864.4105820028692</v>
      </c>
      <c r="M192" s="211"/>
    </row>
    <row r="193" spans="2:13" ht="51" customHeight="1">
      <c r="B193" s="253" t="s">
        <v>501</v>
      </c>
      <c r="C193" s="253" t="str">
        <f>VLOOKUP(B193,'2020-21 feebased approved'!$A$4:$H$313,2,FALSE)</f>
        <v>OH2UGSPTAL
OH2UGSPTAI</v>
      </c>
      <c r="D193" s="253" t="s">
        <v>707</v>
      </c>
      <c r="E193" s="253" t="s">
        <v>855</v>
      </c>
      <c r="F193" s="253" t="s">
        <v>708</v>
      </c>
      <c r="G193" s="253" t="s">
        <v>702</v>
      </c>
      <c r="H193" s="251" t="s">
        <v>628</v>
      </c>
      <c r="I193" s="252" t="s">
        <v>170</v>
      </c>
      <c r="J193" s="458">
        <f>VLOOKUP(B193,'2020-21 feebased approved'!$A$4:$H$313,'2020-21 feebased approved'!$H$1,FALSE)</f>
        <v>2982.7373459483106</v>
      </c>
      <c r="K193" s="461">
        <f>IF(OR(B193='Model update'!$P$187,B193='Model update'!$Q$187,B193='Model update'!$R$187,B193='Model update'!$S$187,B193='Model update'!$T$187,B193='Model update'!$U$187,B193='Model update'!$V$187,B193='Model update'!$W$187),'Model update'!$J$187,IF(OR(B193='Model update'!$P$188,B193='Model update'!$Q$188,B193='Model update'!$R$188,B193='Model update'!$S$188,B193='Model update'!$T$188,B193='Model update'!$U$188,B193='Model update'!$V$188,B193='Model update'!$W$188),'Model update'!$J$188,'Model update'!$J$186))</f>
        <v>-9.8252646141938002E-3</v>
      </c>
      <c r="L193" s="465">
        <f>J193*(1+'Model update'!$B$31)*(1-'2021_ACS service &amp; prices'!K193)+'Model update'!$J$196</f>
        <v>3037.9647304183786</v>
      </c>
      <c r="M193" s="211"/>
    </row>
    <row r="194" spans="2:13" ht="51" customHeight="1">
      <c r="B194" s="253" t="s">
        <v>502</v>
      </c>
      <c r="C194" s="253" t="str">
        <f>VLOOKUP(B194,'2020-21 feebased approved'!$A$4:$H$313,2,FALSE)</f>
        <v>OH2UGMPBU</v>
      </c>
      <c r="D194" s="253" t="s">
        <v>707</v>
      </c>
      <c r="E194" s="253" t="s">
        <v>855</v>
      </c>
      <c r="F194" s="253" t="s">
        <v>708</v>
      </c>
      <c r="G194" s="253" t="s">
        <v>703</v>
      </c>
      <c r="H194" s="251" t="s">
        <v>627</v>
      </c>
      <c r="I194" s="252" t="s">
        <v>170</v>
      </c>
      <c r="J194" s="458">
        <f>VLOOKUP(B194,'2020-21 feebased approved'!$A$4:$H$313,'2020-21 feebased approved'!$H$1,FALSE)</f>
        <v>873.00813341674245</v>
      </c>
      <c r="K194" s="461">
        <f>IF(OR(B194='Model update'!$P$187,B194='Model update'!$Q$187,B194='Model update'!$R$187,B194='Model update'!$S$187,B194='Model update'!$T$187,B194='Model update'!$U$187,B194='Model update'!$V$187,B194='Model update'!$W$187),'Model update'!$J$187,IF(OR(B194='Model update'!$P$188,B194='Model update'!$Q$188,B194='Model update'!$R$188,B194='Model update'!$S$188,B194='Model update'!$T$188,B194='Model update'!$U$188,B194='Model update'!$V$188,B194='Model update'!$W$188),'Model update'!$J$188,'Model update'!$J$186))</f>
        <v>-9.8252646141938002E-3</v>
      </c>
      <c r="L194" s="465">
        <f>J194*(1+'Model update'!$B$31)*(1-'2021_ACS service &amp; prices'!K194)+'Model update'!$J$196</f>
        <v>889.17246511534006</v>
      </c>
      <c r="M194" s="211"/>
    </row>
    <row r="195" spans="2:13" ht="51" customHeight="1">
      <c r="B195" s="253" t="s">
        <v>503</v>
      </c>
      <c r="C195" s="253" t="str">
        <f>VLOOKUP(B195,'2020-21 feebased approved'!$A$4:$H$313,2,FALSE)</f>
        <v>OH2UGMPBL
OH2UGMPBI</v>
      </c>
      <c r="D195" s="253" t="s">
        <v>707</v>
      </c>
      <c r="E195" s="253" t="s">
        <v>855</v>
      </c>
      <c r="F195" s="253" t="s">
        <v>708</v>
      </c>
      <c r="G195" s="253" t="s">
        <v>703</v>
      </c>
      <c r="H195" s="251" t="s">
        <v>628</v>
      </c>
      <c r="I195" s="252" t="s">
        <v>170</v>
      </c>
      <c r="J195" s="458">
        <f>VLOOKUP(B195,'2020-21 feebased approved'!$A$4:$H$313,'2020-21 feebased approved'!$H$1,FALSE)</f>
        <v>1749.5152974283417</v>
      </c>
      <c r="K195" s="461">
        <f>IF(OR(B195='Model update'!$P$187,B195='Model update'!$Q$187,B195='Model update'!$R$187,B195='Model update'!$S$187,B195='Model update'!$T$187,B195='Model update'!$U$187,B195='Model update'!$V$187,B195='Model update'!$W$187),'Model update'!$J$187,IF(OR(B195='Model update'!$P$188,B195='Model update'!$Q$188,B195='Model update'!$R$188,B195='Model update'!$S$188,B195='Model update'!$T$188,B195='Model update'!$U$188,B195='Model update'!$V$188,B195='Model update'!$W$188),'Model update'!$J$188,'Model update'!$J$186))</f>
        <v>-9.8252646141938002E-3</v>
      </c>
      <c r="L195" s="465">
        <f>J195*(1+'Model update'!$B$31)*(1-'2021_ACS service &amp; prices'!K195)+'Model update'!$J$196</f>
        <v>1781.9087477261323</v>
      </c>
      <c r="M195" s="211"/>
    </row>
    <row r="196" spans="2:13" ht="51" customHeight="1">
      <c r="B196" s="253" t="s">
        <v>504</v>
      </c>
      <c r="C196" s="253" t="str">
        <f>VLOOKUP(B196,'2020-21 feebased approved'!$A$4:$H$313,2,FALSE)</f>
        <v>OH2UGMPTBU</v>
      </c>
      <c r="D196" s="253" t="s">
        <v>707</v>
      </c>
      <c r="E196" s="253" t="s">
        <v>855</v>
      </c>
      <c r="F196" s="253" t="s">
        <v>708</v>
      </c>
      <c r="G196" s="253" t="s">
        <v>704</v>
      </c>
      <c r="H196" s="251" t="s">
        <v>627</v>
      </c>
      <c r="I196" s="252" t="s">
        <v>170</v>
      </c>
      <c r="J196" s="458">
        <f>VLOOKUP(B196,'2020-21 feebased approved'!$A$4:$H$313,'2020-21 feebased approved'!$H$1,FALSE)</f>
        <v>1670.8971358446488</v>
      </c>
      <c r="K196" s="461">
        <f>IF(OR(B196='Model update'!$P$187,B196='Model update'!$Q$187,B196='Model update'!$R$187,B196='Model update'!$S$187,B196='Model update'!$T$187,B196='Model update'!$U$187,B196='Model update'!$V$187,B196='Model update'!$W$187),'Model update'!$J$187,IF(OR(B196='Model update'!$P$188,B196='Model update'!$Q$188,B196='Model update'!$R$188,B196='Model update'!$S$188,B196='Model update'!$T$188,B196='Model update'!$U$188,B196='Model update'!$V$188,B196='Model update'!$W$188),'Model update'!$J$188,'Model update'!$J$186))</f>
        <v>-9.8252646141938002E-3</v>
      </c>
      <c r="L196" s="465">
        <f>J196*(1+'Model update'!$B$31)*(1-'2021_ACS service &amp; prices'!K196)+'Model update'!$J$196</f>
        <v>1701.8349180991202</v>
      </c>
      <c r="M196" s="211"/>
    </row>
    <row r="197" spans="2:13" ht="51" customHeight="1">
      <c r="B197" s="253" t="s">
        <v>505</v>
      </c>
      <c r="C197" s="253" t="str">
        <f>VLOOKUP(B197,'2020-21 feebased approved'!$A$4:$H$313,2,FALSE)</f>
        <v>OH2UGMPTBL
OH2UGMPTBI</v>
      </c>
      <c r="D197" s="253" t="s">
        <v>707</v>
      </c>
      <c r="E197" s="253" t="s">
        <v>855</v>
      </c>
      <c r="F197" s="253" t="s">
        <v>708</v>
      </c>
      <c r="G197" s="253" t="s">
        <v>704</v>
      </c>
      <c r="H197" s="251" t="s">
        <v>628</v>
      </c>
      <c r="I197" s="252" t="s">
        <v>170</v>
      </c>
      <c r="J197" s="458">
        <f>VLOOKUP(B197,'2020-21 feebased approved'!$A$4:$H$313,'2020-21 feebased approved'!$H$1,FALSE)</f>
        <v>2547.4042998562481</v>
      </c>
      <c r="K197" s="461">
        <f>IF(OR(B197='Model update'!$P$187,B197='Model update'!$Q$187,B197='Model update'!$R$187,B197='Model update'!$S$187,B197='Model update'!$T$187,B197='Model update'!$U$187,B197='Model update'!$V$187,B197='Model update'!$W$187),'Model update'!$J$187,IF(OR(B197='Model update'!$P$188,B197='Model update'!$Q$188,B197='Model update'!$R$188,B197='Model update'!$S$188,B197='Model update'!$T$188,B197='Model update'!$U$188,B197='Model update'!$V$188,B197='Model update'!$W$188),'Model update'!$J$188,'Model update'!$J$186))</f>
        <v>-9.8252646141938002E-3</v>
      </c>
      <c r="L197" s="465">
        <f>J197*(1+'Model update'!$B$31)*(1-'2021_ACS service &amp; prices'!K197)+'Model update'!$J$196</f>
        <v>2594.5712007099128</v>
      </c>
      <c r="M197" s="211"/>
    </row>
    <row r="198" spans="2:13" ht="51" customHeight="1">
      <c r="B198" s="253" t="s">
        <v>506</v>
      </c>
      <c r="C198" s="253" t="str">
        <f>VLOOKUP(B198,'2020-21 feebased approved'!$A$4:$H$313,2,FALSE)</f>
        <v>OH2UGMPAU</v>
      </c>
      <c r="D198" s="253" t="s">
        <v>707</v>
      </c>
      <c r="E198" s="253" t="s">
        <v>855</v>
      </c>
      <c r="F198" s="253" t="s">
        <v>708</v>
      </c>
      <c r="G198" s="253" t="s">
        <v>705</v>
      </c>
      <c r="H198" s="251" t="s">
        <v>627</v>
      </c>
      <c r="I198" s="252" t="s">
        <v>170</v>
      </c>
      <c r="J198" s="458">
        <f>VLOOKUP(B198,'2020-21 feebased approved'!$A$4:$H$313,'2020-21 feebased approved'!$H$1,FALSE)</f>
        <v>1147.6203404386124</v>
      </c>
      <c r="K198" s="461">
        <f>IF(OR(B198='Model update'!$P$187,B198='Model update'!$Q$187,B198='Model update'!$R$187,B198='Model update'!$S$187,B198='Model update'!$T$187,B198='Model update'!$U$187,B198='Model update'!$V$187,B198='Model update'!$W$187),'Model update'!$J$187,IF(OR(B198='Model update'!$P$188,B198='Model update'!$Q$188,B198='Model update'!$R$188,B198='Model update'!$S$188,B198='Model update'!$T$188,B198='Model update'!$U$188,B198='Model update'!$V$188,B198='Model update'!$W$188),'Model update'!$J$188,'Model update'!$J$186))</f>
        <v>-9.8252646141938002E-3</v>
      </c>
      <c r="L198" s="465">
        <f>J198*(1+'Model update'!$B$31)*(1-'2021_ACS service &amp; prices'!K198)+'Model update'!$J$196</f>
        <v>1168.8693015156473</v>
      </c>
      <c r="M198" s="211"/>
    </row>
    <row r="199" spans="2:13" ht="51" customHeight="1">
      <c r="B199" s="253" t="s">
        <v>507</v>
      </c>
      <c r="C199" s="253" t="str">
        <f>VLOOKUP(B199,'2020-21 feebased approved'!$A$4:$H$313,2,FALSE)</f>
        <v>OH2UGMPAL
OH2UGMPAI</v>
      </c>
      <c r="D199" s="253" t="s">
        <v>707</v>
      </c>
      <c r="E199" s="253" t="s">
        <v>855</v>
      </c>
      <c r="F199" s="253" t="s">
        <v>708</v>
      </c>
      <c r="G199" s="253" t="s">
        <v>705</v>
      </c>
      <c r="H199" s="251" t="s">
        <v>628</v>
      </c>
      <c r="I199" s="252" t="s">
        <v>170</v>
      </c>
      <c r="J199" s="458">
        <f>VLOOKUP(B199,'2020-21 feebased approved'!$A$4:$H$313,'2020-21 feebased approved'!$H$1,FALSE)</f>
        <v>2299.8403616004261</v>
      </c>
      <c r="K199" s="461">
        <f>IF(OR(B199='Model update'!$P$187,B199='Model update'!$Q$187,B199='Model update'!$R$187,B199='Model update'!$S$187,B199='Model update'!$T$187,B199='Model update'!$U$187,B199='Model update'!$V$187,B199='Model update'!$W$187),'Model update'!$J$187,IF(OR(B199='Model update'!$P$188,B199='Model update'!$Q$188,B199='Model update'!$R$188,B199='Model update'!$S$188,B199='Model update'!$T$188,B199='Model update'!$U$188,B199='Model update'!$V$188,B199='Model update'!$W$188),'Model update'!$J$188,'Model update'!$J$186))</f>
        <v>-9.8252646141938002E-3</v>
      </c>
      <c r="L199" s="465">
        <f>J199*(1+'Model update'!$B$31)*(1-'2021_ACS service &amp; prices'!K199)+'Model update'!$J$196</f>
        <v>2342.4234499311574</v>
      </c>
      <c r="M199" s="211"/>
    </row>
    <row r="200" spans="2:13" ht="51" customHeight="1">
      <c r="B200" s="253" t="s">
        <v>508</v>
      </c>
      <c r="C200" s="253" t="str">
        <f>VLOOKUP(B200,'2020-21 feebased approved'!$A$4:$H$313,2,FALSE)</f>
        <v>OH2UGMPTAU</v>
      </c>
      <c r="D200" s="253" t="s">
        <v>707</v>
      </c>
      <c r="E200" s="253" t="s">
        <v>855</v>
      </c>
      <c r="F200" s="253" t="s">
        <v>708</v>
      </c>
      <c r="G200" s="253" t="s">
        <v>706</v>
      </c>
      <c r="H200" s="251" t="s">
        <v>627</v>
      </c>
      <c r="I200" s="252" t="s">
        <v>170</v>
      </c>
      <c r="J200" s="458">
        <f>VLOOKUP(B200,'2020-21 feebased approved'!$A$4:$H$313,'2020-21 feebased approved'!$H$1,FALSE)</f>
        <v>1945.5093428665186</v>
      </c>
      <c r="K200" s="461">
        <f>IF(OR(B200='Model update'!$P$187,B200='Model update'!$Q$187,B200='Model update'!$R$187,B200='Model update'!$S$187,B200='Model update'!$T$187,B200='Model update'!$U$187,B200='Model update'!$V$187,B200='Model update'!$W$187),'Model update'!$J$187,IF(OR(B200='Model update'!$P$188,B200='Model update'!$Q$188,B200='Model update'!$R$188,B200='Model update'!$S$188,B200='Model update'!$T$188,B200='Model update'!$U$188,B200='Model update'!$V$188,B200='Model update'!$W$188),'Model update'!$J$188,'Model update'!$J$186))</f>
        <v>-9.8252646141938002E-3</v>
      </c>
      <c r="L200" s="465">
        <f>J200*(1+'Model update'!$B$31)*(1-'2021_ACS service &amp; prices'!K200)+'Model update'!$J$196</f>
        <v>1981.5317544994273</v>
      </c>
      <c r="M200" s="211"/>
    </row>
    <row r="201" spans="2:13" ht="51" customHeight="1">
      <c r="B201" s="253" t="s">
        <v>509</v>
      </c>
      <c r="C201" s="253" t="str">
        <f>VLOOKUP(B201,'2020-21 feebased approved'!$A$4:$H$313,2,FALSE)</f>
        <v>OH2UGMPTAL
OH2UGMPTAI</v>
      </c>
      <c r="D201" s="253" t="s">
        <v>707</v>
      </c>
      <c r="E201" s="253" t="s">
        <v>855</v>
      </c>
      <c r="F201" s="253" t="s">
        <v>708</v>
      </c>
      <c r="G201" s="253" t="s">
        <v>706</v>
      </c>
      <c r="H201" s="251" t="s">
        <v>628</v>
      </c>
      <c r="I201" s="252" t="s">
        <v>170</v>
      </c>
      <c r="J201" s="458">
        <f>VLOOKUP(B201,'2020-21 feebased approved'!$A$4:$H$313,'2020-21 feebased approved'!$H$1,FALSE)</f>
        <v>3097.7293640283324</v>
      </c>
      <c r="K201" s="461">
        <f>IF(OR(B201='Model update'!$P$187,B201='Model update'!$Q$187,B201='Model update'!$R$187,B201='Model update'!$S$187,B201='Model update'!$T$187,B201='Model update'!$U$187,B201='Model update'!$V$187,B201='Model update'!$W$187),'Model update'!$J$187,IF(OR(B201='Model update'!$P$188,B201='Model update'!$Q$188,B201='Model update'!$R$188,B201='Model update'!$S$188,B201='Model update'!$T$188,B201='Model update'!$U$188,B201='Model update'!$V$188,B201='Model update'!$W$188),'Model update'!$J$188,'Model update'!$J$186))</f>
        <v>-9.8252646141938002E-3</v>
      </c>
      <c r="L201" s="465">
        <f>J201*(1+'Model update'!$B$31)*(1-'2021_ACS service &amp; prices'!K201)+'Model update'!$J$196</f>
        <v>3155.0859029149369</v>
      </c>
      <c r="M201" s="211"/>
    </row>
    <row r="202" spans="2:13" ht="51" customHeight="1">
      <c r="B202" s="253" t="s">
        <v>510</v>
      </c>
      <c r="C202" s="253" t="str">
        <f>VLOOKUP(B202,'2020-21 feebased approved'!$A$4:$H$313,2,FALSE)</f>
        <v>NCTPESPBU</v>
      </c>
      <c r="D202" s="253" t="s">
        <v>624</v>
      </c>
      <c r="E202" s="253" t="s">
        <v>856</v>
      </c>
      <c r="F202" s="253" t="s">
        <v>709</v>
      </c>
      <c r="G202" s="253" t="s">
        <v>699</v>
      </c>
      <c r="H202" s="251" t="s">
        <v>627</v>
      </c>
      <c r="I202" s="252" t="s">
        <v>170</v>
      </c>
      <c r="J202" s="458">
        <f>VLOOKUP(B202,'2020-21 feebased approved'!$A$4:$H$313,'2020-21 feebased approved'!$H$1,FALSE)</f>
        <v>815.27412860160723</v>
      </c>
      <c r="K202" s="461">
        <f>IF(OR(B202='Model update'!$P$187,B202='Model update'!$Q$187,B202='Model update'!$R$187,B202='Model update'!$S$187,B202='Model update'!$T$187,B202='Model update'!$U$187,B202='Model update'!$V$187,B202='Model update'!$W$187),'Model update'!$J$187,IF(OR(B202='Model update'!$P$188,B202='Model update'!$Q$188,B202='Model update'!$R$188,B202='Model update'!$S$188,B202='Model update'!$T$188,B202='Model update'!$U$188,B202='Model update'!$V$188,B202='Model update'!$W$188),'Model update'!$J$188,'Model update'!$J$186))</f>
        <v>-9.8252646141938002E-3</v>
      </c>
      <c r="L202" s="465">
        <f>J202*(1+'Model update'!$B$31)*(1-'2021_ACS service &amp; prices'!K202)+'Model update'!$J$196</f>
        <v>830.36947644037775</v>
      </c>
      <c r="M202" s="211"/>
    </row>
    <row r="203" spans="2:13" ht="51" customHeight="1">
      <c r="B203" s="253" t="s">
        <v>511</v>
      </c>
      <c r="C203" s="253" t="str">
        <f>VLOOKUP(B203,'2020-21 feebased approved'!$A$4:$H$313,2,FALSE)</f>
        <v>NCTPESPBL
NCTPESPBI</v>
      </c>
      <c r="D203" s="253" t="s">
        <v>624</v>
      </c>
      <c r="E203" s="253" t="s">
        <v>856</v>
      </c>
      <c r="F203" s="253" t="s">
        <v>709</v>
      </c>
      <c r="G203" s="253" t="s">
        <v>699</v>
      </c>
      <c r="H203" s="251" t="s">
        <v>628</v>
      </c>
      <c r="I203" s="252" t="s">
        <v>170</v>
      </c>
      <c r="J203" s="458">
        <f>VLOOKUP(B203,'2020-21 feebased approved'!$A$4:$H$313,'2020-21 feebased approved'!$H$1,FALSE)</f>
        <v>1399.6122379426733</v>
      </c>
      <c r="K203" s="461">
        <f>IF(OR(B203='Model update'!$P$187,B203='Model update'!$Q$187,B203='Model update'!$R$187,B203='Model update'!$S$187,B203='Model update'!$T$187,B203='Model update'!$U$187,B203='Model update'!$V$187,B203='Model update'!$W$187),'Model update'!$J$187,IF(OR(B203='Model update'!$P$188,B203='Model update'!$Q$188,B203='Model update'!$R$188,B203='Model update'!$S$188,B203='Model update'!$T$188,B203='Model update'!$U$188,B203='Model update'!$V$188,B203='Model update'!$W$188),'Model update'!$J$188,'Model update'!$J$186))</f>
        <v>-9.8252646141938002E-3</v>
      </c>
      <c r="L203" s="465">
        <f>J203*(1+'Model update'!$B$31)*(1-'2021_ACS service &amp; prices'!K203)+'Model update'!$J$196</f>
        <v>1425.5269981809058</v>
      </c>
      <c r="M203" s="211"/>
    </row>
    <row r="204" spans="2:13" ht="51" customHeight="1">
      <c r="B204" s="253" t="s">
        <v>512</v>
      </c>
      <c r="C204" s="253" t="str">
        <f>VLOOKUP(B204,'2020-21 feebased approved'!$A$4:$H$313,2,FALSE)</f>
        <v>NCTPESPTBU</v>
      </c>
      <c r="D204" s="253" t="s">
        <v>624</v>
      </c>
      <c r="E204" s="253" t="s">
        <v>856</v>
      </c>
      <c r="F204" s="253" t="s">
        <v>709</v>
      </c>
      <c r="G204" s="253" t="s">
        <v>700</v>
      </c>
      <c r="H204" s="251" t="s">
        <v>627</v>
      </c>
      <c r="I204" s="252" t="s">
        <v>170</v>
      </c>
      <c r="J204" s="458">
        <f>VLOOKUP(B204,'2020-21 feebased approved'!$A$4:$H$313,'2020-21 feebased approved'!$H$1,FALSE)</f>
        <v>1613.1631310295134</v>
      </c>
      <c r="K204" s="461">
        <f>IF(OR(B204='Model update'!$P$187,B204='Model update'!$Q$187,B204='Model update'!$R$187,B204='Model update'!$S$187,B204='Model update'!$T$187,B204='Model update'!$U$187,B204='Model update'!$V$187,B204='Model update'!$W$187),'Model update'!$J$187,IF(OR(B204='Model update'!$P$188,B204='Model update'!$Q$188,B204='Model update'!$R$188,B204='Model update'!$S$188,B204='Model update'!$T$188,B204='Model update'!$U$188,B204='Model update'!$V$188,B204='Model update'!$W$188),'Model update'!$J$188,'Model update'!$J$186))</f>
        <v>-9.8252646141938002E-3</v>
      </c>
      <c r="L204" s="465">
        <f>J204*(1+'Model update'!$B$31)*(1-'2021_ACS service &amp; prices'!K204)+'Model update'!$J$196</f>
        <v>1643.0319294241574</v>
      </c>
      <c r="M204" s="211"/>
    </row>
    <row r="205" spans="2:13" ht="51" customHeight="1">
      <c r="B205" s="253" t="s">
        <v>513</v>
      </c>
      <c r="C205" s="253" t="str">
        <f>VLOOKUP(B205,'2020-21 feebased approved'!$A$4:$H$313,2,FALSE)</f>
        <v>NCTPESPTBL
NCTPESPTBI</v>
      </c>
      <c r="D205" s="253" t="s">
        <v>624</v>
      </c>
      <c r="E205" s="253" t="s">
        <v>856</v>
      </c>
      <c r="F205" s="253" t="s">
        <v>709</v>
      </c>
      <c r="G205" s="253" t="s">
        <v>700</v>
      </c>
      <c r="H205" s="251" t="s">
        <v>628</v>
      </c>
      <c r="I205" s="252" t="s">
        <v>170</v>
      </c>
      <c r="J205" s="458">
        <f>VLOOKUP(B205,'2020-21 feebased approved'!$A$4:$H$313,'2020-21 feebased approved'!$H$1,FALSE)</f>
        <v>2197.5012403705796</v>
      </c>
      <c r="K205" s="461">
        <f>IF(OR(B205='Model update'!$P$187,B205='Model update'!$Q$187,B205='Model update'!$R$187,B205='Model update'!$S$187,B205='Model update'!$T$187,B205='Model update'!$U$187,B205='Model update'!$V$187,B205='Model update'!$W$187),'Model update'!$J$187,IF(OR(B205='Model update'!$P$188,B205='Model update'!$Q$188,B205='Model update'!$R$188,B205='Model update'!$S$188,B205='Model update'!$T$188,B205='Model update'!$U$188,B205='Model update'!$V$188,B205='Model update'!$W$188),'Model update'!$J$188,'Model update'!$J$186))</f>
        <v>-9.8252646141938002E-3</v>
      </c>
      <c r="L205" s="465">
        <f>J205*(1+'Model update'!$B$31)*(1-'2021_ACS service &amp; prices'!K205)+'Model update'!$J$196</f>
        <v>2238.189451164686</v>
      </c>
      <c r="M205" s="211"/>
    </row>
    <row r="206" spans="2:13" ht="51" customHeight="1">
      <c r="B206" s="253" t="s">
        <v>514</v>
      </c>
      <c r="C206" s="253" t="str">
        <f>VLOOKUP(B206,'2020-21 feebased approved'!$A$4:$H$313,2,FALSE)</f>
        <v>NCTPEMPBU</v>
      </c>
      <c r="D206" s="253" t="s">
        <v>624</v>
      </c>
      <c r="E206" s="253" t="s">
        <v>856</v>
      </c>
      <c r="F206" s="253" t="s">
        <v>709</v>
      </c>
      <c r="G206" s="253" t="s">
        <v>703</v>
      </c>
      <c r="H206" s="251" t="s">
        <v>627</v>
      </c>
      <c r="I206" s="252" t="s">
        <v>170</v>
      </c>
      <c r="J206" s="458">
        <f>VLOOKUP(B206,'2020-21 feebased approved'!$A$4:$H$313,'2020-21 feebased approved'!$H$1,FALSE)</f>
        <v>1165.1771880872755</v>
      </c>
      <c r="K206" s="461">
        <f>IF(OR(B206='Model update'!$P$187,B206='Model update'!$Q$187,B206='Model update'!$R$187,B206='Model update'!$S$187,B206='Model update'!$T$187,B206='Model update'!$U$187,B206='Model update'!$V$187,B206='Model update'!$W$187),'Model update'!$J$187,IF(OR(B206='Model update'!$P$188,B206='Model update'!$Q$188,B206='Model update'!$R$188,B206='Model update'!$S$188,B206='Model update'!$T$188,B206='Model update'!$U$188,B206='Model update'!$V$188,B206='Model update'!$W$188),'Model update'!$J$188,'Model update'!$J$186))</f>
        <v>-9.8252646141938002E-3</v>
      </c>
      <c r="L206" s="465">
        <f>J206*(1+'Model update'!$B$31)*(1-'2021_ACS service &amp; prices'!K206)+'Model update'!$J$196</f>
        <v>1186.7512259856042</v>
      </c>
      <c r="M206" s="211"/>
    </row>
    <row r="207" spans="2:13" ht="51" customHeight="1">
      <c r="B207" s="253" t="s">
        <v>515</v>
      </c>
      <c r="C207" s="253" t="str">
        <f>VLOOKUP(B207,'2020-21 feebased approved'!$A$4:$H$313,2,FALSE)</f>
        <v>NCTPEMPBL
NCTPEMPBI</v>
      </c>
      <c r="D207" s="253" t="s">
        <v>624</v>
      </c>
      <c r="E207" s="253" t="s">
        <v>856</v>
      </c>
      <c r="F207" s="253" t="s">
        <v>709</v>
      </c>
      <c r="G207" s="253" t="s">
        <v>703</v>
      </c>
      <c r="H207" s="251" t="s">
        <v>628</v>
      </c>
      <c r="I207" s="252" t="s">
        <v>170</v>
      </c>
      <c r="J207" s="458">
        <f>VLOOKUP(B207,'2020-21 feebased approved'!$A$4:$H$313,'2020-21 feebased approved'!$H$1,FALSE)</f>
        <v>1749.5152974283415</v>
      </c>
      <c r="K207" s="461">
        <f>IF(OR(B207='Model update'!$P$187,B207='Model update'!$Q$187,B207='Model update'!$R$187,B207='Model update'!$S$187,B207='Model update'!$T$187,B207='Model update'!$U$187,B207='Model update'!$V$187,B207='Model update'!$W$187),'Model update'!$J$187,IF(OR(B207='Model update'!$P$188,B207='Model update'!$Q$188,B207='Model update'!$R$188,B207='Model update'!$S$188,B207='Model update'!$T$188,B207='Model update'!$U$188,B207='Model update'!$V$188,B207='Model update'!$W$188),'Model update'!$J$188,'Model update'!$J$186))</f>
        <v>-9.8252646141938002E-3</v>
      </c>
      <c r="L207" s="465">
        <f>J207*(1+'Model update'!$B$31)*(1-'2021_ACS service &amp; prices'!K207)+'Model update'!$J$196</f>
        <v>1781.9087477261321</v>
      </c>
      <c r="M207" s="211"/>
    </row>
    <row r="208" spans="2:13" ht="51" customHeight="1">
      <c r="B208" s="253" t="s">
        <v>516</v>
      </c>
      <c r="C208" s="253" t="str">
        <f>VLOOKUP(B208,'2020-21 feebased approved'!$A$4:$H$313,2,FALSE)</f>
        <v>NCTPEMPTBU</v>
      </c>
      <c r="D208" s="253" t="s">
        <v>624</v>
      </c>
      <c r="E208" s="253" t="s">
        <v>856</v>
      </c>
      <c r="F208" s="253" t="s">
        <v>709</v>
      </c>
      <c r="G208" s="253" t="s">
        <v>704</v>
      </c>
      <c r="H208" s="251" t="s">
        <v>627</v>
      </c>
      <c r="I208" s="252" t="s">
        <v>170</v>
      </c>
      <c r="J208" s="458">
        <f>VLOOKUP(B208,'2020-21 feebased approved'!$A$4:$H$313,'2020-21 feebased approved'!$H$1,FALSE)</f>
        <v>1963.0661905151817</v>
      </c>
      <c r="K208" s="461">
        <f>IF(OR(B208='Model update'!$P$187,B208='Model update'!$Q$187,B208='Model update'!$R$187,B208='Model update'!$S$187,B208='Model update'!$T$187,B208='Model update'!$U$187,B208='Model update'!$V$187,B208='Model update'!$W$187),'Model update'!$J$187,IF(OR(B208='Model update'!$P$188,B208='Model update'!$Q$188,B208='Model update'!$R$188,B208='Model update'!$S$188,B208='Model update'!$T$188,B208='Model update'!$U$188,B208='Model update'!$V$188,B208='Model update'!$W$188),'Model update'!$J$188,'Model update'!$J$186))</f>
        <v>-9.8252646141938002E-3</v>
      </c>
      <c r="L208" s="465">
        <f>J208*(1+'Model update'!$B$31)*(1-'2021_ACS service &amp; prices'!K208)+'Model update'!$J$196</f>
        <v>1999.4136789693841</v>
      </c>
      <c r="M208" s="211"/>
    </row>
    <row r="209" spans="2:13" ht="51" customHeight="1">
      <c r="B209" s="253" t="s">
        <v>517</v>
      </c>
      <c r="C209" s="253" t="str">
        <f>VLOOKUP(B209,'2020-21 feebased approved'!$A$4:$H$313,2,FALSE)</f>
        <v>NCTPEMPTBL
NCTPEMPTBI</v>
      </c>
      <c r="D209" s="253" t="s">
        <v>624</v>
      </c>
      <c r="E209" s="253" t="s">
        <v>856</v>
      </c>
      <c r="F209" s="253" t="s">
        <v>709</v>
      </c>
      <c r="G209" s="253" t="s">
        <v>704</v>
      </c>
      <c r="H209" s="251" t="s">
        <v>628</v>
      </c>
      <c r="I209" s="252" t="s">
        <v>170</v>
      </c>
      <c r="J209" s="458">
        <f>VLOOKUP(B209,'2020-21 feebased approved'!$A$4:$H$313,'2020-21 feebased approved'!$H$1,FALSE)</f>
        <v>2547.4042998562477</v>
      </c>
      <c r="K209" s="461">
        <f>IF(OR(B209='Model update'!$P$187,B209='Model update'!$Q$187,B209='Model update'!$R$187,B209='Model update'!$S$187,B209='Model update'!$T$187,B209='Model update'!$U$187,B209='Model update'!$V$187,B209='Model update'!$W$187),'Model update'!$J$187,IF(OR(B209='Model update'!$P$188,B209='Model update'!$Q$188,B209='Model update'!$R$188,B209='Model update'!$S$188,B209='Model update'!$T$188,B209='Model update'!$U$188,B209='Model update'!$V$188,B209='Model update'!$W$188),'Model update'!$J$188,'Model update'!$J$186))</f>
        <v>-9.8252646141938002E-3</v>
      </c>
      <c r="L209" s="465">
        <f>J209*(1+'Model update'!$B$31)*(1-'2021_ACS service &amp; prices'!K209)+'Model update'!$J$196</f>
        <v>2594.5712007099123</v>
      </c>
      <c r="M209" s="211"/>
    </row>
    <row r="210" spans="2:13" ht="51" customHeight="1">
      <c r="B210" s="253" t="s">
        <v>518</v>
      </c>
      <c r="C210" s="253" t="str">
        <f>VLOOKUP(B210,'2020-21 feebased approved'!$A$4:$H$313,2,FALSE)</f>
        <v>NCTPESPAU</v>
      </c>
      <c r="D210" s="253" t="s">
        <v>624</v>
      </c>
      <c r="E210" s="253" t="s">
        <v>856</v>
      </c>
      <c r="F210" s="253" t="s">
        <v>709</v>
      </c>
      <c r="G210" s="253" t="s">
        <v>701</v>
      </c>
      <c r="H210" s="251" t="s">
        <v>627</v>
      </c>
      <c r="I210" s="252" t="s">
        <v>170</v>
      </c>
      <c r="J210" s="458">
        <f>VLOOKUP(B210,'2020-21 feebased approved'!$A$4:$H$313,'2020-21 feebased approved'!$H$1,FALSE)</f>
        <v>1071.7256085057984</v>
      </c>
      <c r="K210" s="461">
        <f>IF(OR(B210='Model update'!$P$187,B210='Model update'!$Q$187,B210='Model update'!$R$187,B210='Model update'!$S$187,B210='Model update'!$T$187,B210='Model update'!$U$187,B210='Model update'!$V$187,B210='Model update'!$W$187),'Model update'!$J$187,IF(OR(B210='Model update'!$P$188,B210='Model update'!$Q$188,B210='Model update'!$R$188,B210='Model update'!$S$188,B210='Model update'!$T$188,B210='Model update'!$U$188,B210='Model update'!$V$188,B210='Model update'!$W$188),'Model update'!$J$188,'Model update'!$J$186))</f>
        <v>-9.8252646141938002E-3</v>
      </c>
      <c r="L210" s="465">
        <f>J210*(1+'Model update'!$B$31)*(1-'2021_ACS service &amp; prices'!K210)+'Model update'!$J$196</f>
        <v>1091.5693276679192</v>
      </c>
      <c r="M210" s="211"/>
    </row>
    <row r="211" spans="2:13" ht="51" customHeight="1">
      <c r="B211" s="253" t="s">
        <v>519</v>
      </c>
      <c r="C211" s="253" t="str">
        <f>VLOOKUP(B211,'2020-21 feebased approved'!$A$4:$H$313,2,FALSE)</f>
        <v>NCTPESPAL
NCTPESPAI</v>
      </c>
      <c r="D211" s="253" t="s">
        <v>624</v>
      </c>
      <c r="E211" s="253" t="s">
        <v>856</v>
      </c>
      <c r="F211" s="253" t="s">
        <v>709</v>
      </c>
      <c r="G211" s="253" t="s">
        <v>701</v>
      </c>
      <c r="H211" s="251" t="s">
        <v>628</v>
      </c>
      <c r="I211" s="252" t="s">
        <v>170</v>
      </c>
      <c r="J211" s="458">
        <f>VLOOKUP(B211,'2020-21 feebased approved'!$A$4:$H$313,'2020-21 feebased approved'!$H$1,FALSE)</f>
        <v>1839.8722892803407</v>
      </c>
      <c r="K211" s="461">
        <f>IF(OR(B211='Model update'!$P$187,B211='Model update'!$Q$187,B211='Model update'!$R$187,B211='Model update'!$S$187,B211='Model update'!$T$187,B211='Model update'!$U$187,B211='Model update'!$V$187,B211='Model update'!$W$187),'Model update'!$J$187,IF(OR(B211='Model update'!$P$188,B211='Model update'!$Q$188,B211='Model update'!$R$188,B211='Model update'!$S$188,B211='Model update'!$T$188,B211='Model update'!$U$188,B211='Model update'!$V$188,B211='Model update'!$W$188),'Model update'!$J$188,'Model update'!$J$186))</f>
        <v>-9.8252646141938002E-3</v>
      </c>
      <c r="L211" s="465">
        <f>J211*(1+'Model update'!$B$31)*(1-'2021_ACS service &amp; prices'!K211)+'Model update'!$J$196</f>
        <v>1873.9387599449258</v>
      </c>
      <c r="M211" s="211"/>
    </row>
    <row r="212" spans="2:13" ht="51" customHeight="1">
      <c r="B212" s="253" t="s">
        <v>520</v>
      </c>
      <c r="C212" s="253" t="str">
        <f>VLOOKUP(B212,'2020-21 feebased approved'!$A$4:$H$313,2,FALSE)</f>
        <v>NCTPESPTAU</v>
      </c>
      <c r="D212" s="253" t="s">
        <v>624</v>
      </c>
      <c r="E212" s="253" t="s">
        <v>856</v>
      </c>
      <c r="F212" s="253" t="s">
        <v>709</v>
      </c>
      <c r="G212" s="253" t="s">
        <v>702</v>
      </c>
      <c r="H212" s="251" t="s">
        <v>627</v>
      </c>
      <c r="I212" s="252" t="s">
        <v>170</v>
      </c>
      <c r="J212" s="458">
        <f>VLOOKUP(B212,'2020-21 feebased approved'!$A$4:$H$313,'2020-21 feebased approved'!$H$1,FALSE)</f>
        <v>1869.6146109337046</v>
      </c>
      <c r="K212" s="461">
        <f>IF(OR(B212='Model update'!$P$187,B212='Model update'!$Q$187,B212='Model update'!$R$187,B212='Model update'!$S$187,B212='Model update'!$T$187,B212='Model update'!$U$187,B212='Model update'!$V$187,B212='Model update'!$W$187),'Model update'!$J$187,IF(OR(B212='Model update'!$P$188,B212='Model update'!$Q$188,B212='Model update'!$R$188,B212='Model update'!$S$188,B212='Model update'!$T$188,B212='Model update'!$U$188,B212='Model update'!$V$188,B212='Model update'!$W$188),'Model update'!$J$188,'Model update'!$J$186))</f>
        <v>-9.8252646141938002E-3</v>
      </c>
      <c r="L212" s="465">
        <f>J212*(1+'Model update'!$B$31)*(1-'2021_ACS service &amp; prices'!K212)+'Model update'!$J$196</f>
        <v>1904.2317806516992</v>
      </c>
      <c r="M212" s="211"/>
    </row>
    <row r="213" spans="2:13" ht="51" customHeight="1">
      <c r="B213" s="253" t="s">
        <v>521</v>
      </c>
      <c r="C213" s="253" t="str">
        <f>VLOOKUP(B213,'2020-21 feebased approved'!$A$4:$H$313,2,FALSE)</f>
        <v>NCTPESPTAL
NCTPESPTAI</v>
      </c>
      <c r="D213" s="253" t="s">
        <v>624</v>
      </c>
      <c r="E213" s="253" t="s">
        <v>856</v>
      </c>
      <c r="F213" s="253" t="s">
        <v>709</v>
      </c>
      <c r="G213" s="253" t="s">
        <v>702</v>
      </c>
      <c r="H213" s="251" t="s">
        <v>628</v>
      </c>
      <c r="I213" s="252" t="s">
        <v>170</v>
      </c>
      <c r="J213" s="458">
        <f>VLOOKUP(B213,'2020-21 feebased approved'!$A$4:$H$313,'2020-21 feebased approved'!$H$1,FALSE)</f>
        <v>2637.761291708247</v>
      </c>
      <c r="K213" s="461">
        <f>IF(OR(B213='Model update'!$P$187,B213='Model update'!$Q$187,B213='Model update'!$R$187,B213='Model update'!$S$187,B213='Model update'!$T$187,B213='Model update'!$U$187,B213='Model update'!$V$187,B213='Model update'!$W$187),'Model update'!$J$187,IF(OR(B213='Model update'!$P$188,B213='Model update'!$Q$188,B213='Model update'!$R$188,B213='Model update'!$S$188,B213='Model update'!$T$188,B213='Model update'!$U$188,B213='Model update'!$V$188,B213='Model update'!$W$188),'Model update'!$J$188,'Model update'!$J$186))</f>
        <v>-9.8252646141938002E-3</v>
      </c>
      <c r="L213" s="465">
        <f>J213*(1+'Model update'!$B$31)*(1-'2021_ACS service &amp; prices'!K213)+'Model update'!$J$196</f>
        <v>2686.6012129287055</v>
      </c>
      <c r="M213" s="211"/>
    </row>
    <row r="214" spans="2:13" ht="51" customHeight="1">
      <c r="B214" s="253" t="s">
        <v>522</v>
      </c>
      <c r="C214" s="253" t="str">
        <f>VLOOKUP(B214,'2020-21 feebased approved'!$A$4:$H$313,2,FALSE)</f>
        <v>NCTPEMPAU</v>
      </c>
      <c r="D214" s="253" t="s">
        <v>624</v>
      </c>
      <c r="E214" s="253" t="s">
        <v>856</v>
      </c>
      <c r="F214" s="253" t="s">
        <v>709</v>
      </c>
      <c r="G214" s="253" t="s">
        <v>705</v>
      </c>
      <c r="H214" s="251" t="s">
        <v>627</v>
      </c>
      <c r="I214" s="252" t="s">
        <v>170</v>
      </c>
      <c r="J214" s="458">
        <f>VLOOKUP(B214,'2020-21 feebased approved'!$A$4:$H$313,'2020-21 feebased approved'!$H$1,FALSE)</f>
        <v>1531.6936808258836</v>
      </c>
      <c r="K214" s="461">
        <f>IF(OR(B214='Model update'!$P$187,B214='Model update'!$Q$187,B214='Model update'!$R$187,B214='Model update'!$S$187,B214='Model update'!$T$187,B214='Model update'!$U$187,B214='Model update'!$V$187,B214='Model update'!$W$187),'Model update'!$J$187,IF(OR(B214='Model update'!$P$188,B214='Model update'!$Q$188,B214='Model update'!$R$188,B214='Model update'!$S$188,B214='Model update'!$T$188,B214='Model update'!$U$188,B214='Model update'!$V$188,B214='Model update'!$W$188),'Model update'!$J$188,'Model update'!$J$186))</f>
        <v>-9.8252646141938002E-3</v>
      </c>
      <c r="L214" s="465">
        <f>J214*(1+'Model update'!$B$31)*(1-'2021_ACS service &amp; prices'!K214)+'Model update'!$J$196</f>
        <v>1560.0540176541506</v>
      </c>
      <c r="M214" s="211"/>
    </row>
    <row r="215" spans="2:13" ht="51" customHeight="1">
      <c r="B215" s="253" t="s">
        <v>523</v>
      </c>
      <c r="C215" s="253" t="str">
        <f>VLOOKUP(B215,'2020-21 feebased approved'!$A$4:$H$313,2,FALSE)</f>
        <v>NCTPEMPAL
NCTPEMPAI</v>
      </c>
      <c r="D215" s="253" t="s">
        <v>624</v>
      </c>
      <c r="E215" s="253" t="s">
        <v>856</v>
      </c>
      <c r="F215" s="253" t="s">
        <v>709</v>
      </c>
      <c r="G215" s="253" t="s">
        <v>705</v>
      </c>
      <c r="H215" s="251" t="s">
        <v>628</v>
      </c>
      <c r="I215" s="252" t="s">
        <v>170</v>
      </c>
      <c r="J215" s="458">
        <f>VLOOKUP(B215,'2020-21 feebased approved'!$A$4:$H$313,'2020-21 feebased approved'!$H$1,FALSE)</f>
        <v>2299.8403616004261</v>
      </c>
      <c r="K215" s="461">
        <f>IF(OR(B215='Model update'!$P$187,B215='Model update'!$Q$187,B215='Model update'!$R$187,B215='Model update'!$S$187,B215='Model update'!$T$187,B215='Model update'!$U$187,B215='Model update'!$V$187,B215='Model update'!$W$187),'Model update'!$J$187,IF(OR(B215='Model update'!$P$188,B215='Model update'!$Q$188,B215='Model update'!$R$188,B215='Model update'!$S$188,B215='Model update'!$T$188,B215='Model update'!$U$188,B215='Model update'!$V$188,B215='Model update'!$W$188),'Model update'!$J$188,'Model update'!$J$186))</f>
        <v>-9.8252646141938002E-3</v>
      </c>
      <c r="L215" s="465">
        <f>J215*(1+'Model update'!$B$31)*(1-'2021_ACS service &amp; prices'!K215)+'Model update'!$J$196</f>
        <v>2342.4234499311574</v>
      </c>
      <c r="M215" s="211"/>
    </row>
    <row r="216" spans="2:13" ht="51" customHeight="1">
      <c r="B216" s="253" t="s">
        <v>524</v>
      </c>
      <c r="C216" s="253" t="str">
        <f>VLOOKUP(B216,'2020-21 feebased approved'!$A$4:$H$313,2,FALSE)</f>
        <v>NCTPEMPTAU</v>
      </c>
      <c r="D216" s="253" t="s">
        <v>624</v>
      </c>
      <c r="E216" s="253" t="s">
        <v>856</v>
      </c>
      <c r="F216" s="253" t="s">
        <v>709</v>
      </c>
      <c r="G216" s="253" t="s">
        <v>706</v>
      </c>
      <c r="H216" s="251" t="s">
        <v>627</v>
      </c>
      <c r="I216" s="252" t="s">
        <v>170</v>
      </c>
      <c r="J216" s="458">
        <f>VLOOKUP(B216,'2020-21 feebased approved'!$A$4:$H$313,'2020-21 feebased approved'!$H$1,FALSE)</f>
        <v>2329.5826832537896</v>
      </c>
      <c r="K216" s="461">
        <f>IF(OR(B216='Model update'!$P$187,B216='Model update'!$Q$187,B216='Model update'!$R$187,B216='Model update'!$S$187,B216='Model update'!$T$187,B216='Model update'!$U$187,B216='Model update'!$V$187,B216='Model update'!$W$187),'Model update'!$J$187,IF(OR(B216='Model update'!$P$188,B216='Model update'!$Q$188,B216='Model update'!$R$188,B216='Model update'!$S$188,B216='Model update'!$T$188,B216='Model update'!$U$188,B216='Model update'!$V$188,B216='Model update'!$W$188),'Model update'!$J$188,'Model update'!$J$186))</f>
        <v>-9.8252646141938002E-3</v>
      </c>
      <c r="L216" s="465">
        <f>J216*(1+'Model update'!$B$31)*(1-'2021_ACS service &amp; prices'!K216)+'Model update'!$J$196</f>
        <v>2372.7164706379299</v>
      </c>
      <c r="M216" s="211"/>
    </row>
    <row r="217" spans="2:13" ht="51" customHeight="1">
      <c r="B217" s="253" t="s">
        <v>525</v>
      </c>
      <c r="C217" s="253" t="str">
        <f>VLOOKUP(B217,'2020-21 feebased approved'!$A$4:$H$313,2,FALSE)</f>
        <v>NCTPEMPTAL
NCTPEMPTAI</v>
      </c>
      <c r="D217" s="253" t="s">
        <v>624</v>
      </c>
      <c r="E217" s="253" t="s">
        <v>856</v>
      </c>
      <c r="F217" s="253" t="s">
        <v>709</v>
      </c>
      <c r="G217" s="253" t="s">
        <v>706</v>
      </c>
      <c r="H217" s="251" t="s">
        <v>628</v>
      </c>
      <c r="I217" s="252" t="s">
        <v>170</v>
      </c>
      <c r="J217" s="458">
        <f>VLOOKUP(B217,'2020-21 feebased approved'!$A$4:$H$313,'2020-21 feebased approved'!$H$1,FALSE)</f>
        <v>3097.7293640283324</v>
      </c>
      <c r="K217" s="461">
        <f>IF(OR(B217='Model update'!$P$187,B217='Model update'!$Q$187,B217='Model update'!$R$187,B217='Model update'!$S$187,B217='Model update'!$T$187,B217='Model update'!$U$187,B217='Model update'!$V$187,B217='Model update'!$W$187),'Model update'!$J$187,IF(OR(B217='Model update'!$P$188,B217='Model update'!$Q$188,B217='Model update'!$R$188,B217='Model update'!$S$188,B217='Model update'!$T$188,B217='Model update'!$U$188,B217='Model update'!$V$188,B217='Model update'!$W$188),'Model update'!$J$188,'Model update'!$J$186))</f>
        <v>-9.8252646141938002E-3</v>
      </c>
      <c r="L217" s="465">
        <f>J217*(1+'Model update'!$B$31)*(1-'2021_ACS service &amp; prices'!K217)+'Model update'!$J$196</f>
        <v>3155.0859029149369</v>
      </c>
      <c r="M217" s="211"/>
    </row>
    <row r="218" spans="2:13" ht="39.6">
      <c r="B218" s="253" t="s">
        <v>530</v>
      </c>
      <c r="C218" s="253" t="str">
        <f>VLOOKUP(B218,'2020-21 feebased approved'!$A$4:$H$313,2,FALSE)</f>
        <v>USV1MBU</v>
      </c>
      <c r="D218" s="253" t="s">
        <v>707</v>
      </c>
      <c r="E218" s="253" t="s">
        <v>858</v>
      </c>
      <c r="F218" s="253" t="s">
        <v>711</v>
      </c>
      <c r="G218" s="253" t="s">
        <v>712</v>
      </c>
      <c r="H218" s="251" t="s">
        <v>627</v>
      </c>
      <c r="I218" s="252" t="s">
        <v>170</v>
      </c>
      <c r="J218" s="458">
        <f>VLOOKUP(B218,'2020-21 feebased approved'!$A$4:$H$313,'2020-21 feebased approved'!$H$1,FALSE)</f>
        <v>87.475764871417084</v>
      </c>
      <c r="K218" s="461">
        <f>IF(OR(B218='Model update'!$P$187,B218='Model update'!$Q$187,B218='Model update'!$R$187,B218='Model update'!$S$187,B218='Model update'!$T$187,B218='Model update'!$U$187,B218='Model update'!$V$187,B218='Model update'!$W$187),'Model update'!$J$187,IF(OR(B218='Model update'!$P$188,B218='Model update'!$Q$188,B218='Model update'!$R$188,B218='Model update'!$S$188,B218='Model update'!$T$188,B218='Model update'!$U$188,B218='Model update'!$V$188,B218='Model update'!$W$188),'Model update'!$J$188,'Model update'!$J$186))</f>
        <v>-9.8252646141938002E-3</v>
      </c>
      <c r="L218" s="465">
        <f>J218*(1+'Model update'!$B$31)*(1-'2021_ACS service &amp; prices'!K218)+'Model update'!$J$196</f>
        <v>89.095437386306614</v>
      </c>
      <c r="M218" s="211"/>
    </row>
    <row r="219" spans="2:13" ht="39.6">
      <c r="B219" s="253" t="s">
        <v>531</v>
      </c>
      <c r="C219" s="253" t="str">
        <f>VLOOKUP(B219,'2020-21 feebased approved'!$A$4:$H$313,2,FALSE)</f>
        <v>USV1MBL
USV1MBI</v>
      </c>
      <c r="D219" s="253" t="s">
        <v>707</v>
      </c>
      <c r="E219" s="253" t="s">
        <v>858</v>
      </c>
      <c r="F219" s="253" t="s">
        <v>711</v>
      </c>
      <c r="G219" s="253" t="s">
        <v>712</v>
      </c>
      <c r="H219" s="251" t="s">
        <v>628</v>
      </c>
      <c r="I219" s="252" t="s">
        <v>170</v>
      </c>
      <c r="J219" s="458">
        <f>VLOOKUP(B219,'2020-21 feebased approved'!$A$4:$H$313,'2020-21 feebased approved'!$H$1,FALSE)</f>
        <v>379.64481954195014</v>
      </c>
      <c r="K219" s="461">
        <f>IF(OR(B219='Model update'!$P$187,B219='Model update'!$Q$187,B219='Model update'!$R$187,B219='Model update'!$S$187,B219='Model update'!$T$187,B219='Model update'!$U$187,B219='Model update'!$V$187,B219='Model update'!$W$187),'Model update'!$J$187,IF(OR(B219='Model update'!$P$188,B219='Model update'!$Q$188,B219='Model update'!$R$188,B219='Model update'!$S$188,B219='Model update'!$T$188,B219='Model update'!$U$188,B219='Model update'!$V$188,B219='Model update'!$W$188),'Model update'!$J$188,'Model update'!$J$186))</f>
        <v>-9.8252646141938002E-3</v>
      </c>
      <c r="L219" s="465">
        <f>J219*(1+'Model update'!$B$31)*(1-'2021_ACS service &amp; prices'!K219)+'Model update'!$J$196</f>
        <v>386.67419825657072</v>
      </c>
      <c r="M219" s="211"/>
    </row>
    <row r="220" spans="2:13" ht="39.6">
      <c r="B220" s="253" t="s">
        <v>532</v>
      </c>
      <c r="C220" s="253" t="str">
        <f>VLOOKUP(B220,'2020-21 feebased approved'!$A$4:$H$313,2,FALSE)</f>
        <v>USV2MBU</v>
      </c>
      <c r="D220" s="253" t="s">
        <v>707</v>
      </c>
      <c r="E220" s="253" t="s">
        <v>858</v>
      </c>
      <c r="F220" s="253" t="s">
        <v>711</v>
      </c>
      <c r="G220" s="253" t="s">
        <v>713</v>
      </c>
      <c r="H220" s="251" t="s">
        <v>627</v>
      </c>
      <c r="I220" s="252" t="s">
        <v>170</v>
      </c>
      <c r="J220" s="458">
        <f>VLOOKUP(B220,'2020-21 feebased approved'!$A$4:$H$313,'2020-21 feebased approved'!$H$1,FALSE)</f>
        <v>174.95152974283417</v>
      </c>
      <c r="K220" s="461">
        <f>IF(OR(B220='Model update'!$P$187,B220='Model update'!$Q$187,B220='Model update'!$R$187,B220='Model update'!$S$187,B220='Model update'!$T$187,B220='Model update'!$U$187,B220='Model update'!$V$187,B220='Model update'!$W$187),'Model update'!$J$187,IF(OR(B220='Model update'!$P$188,B220='Model update'!$Q$188,B220='Model update'!$R$188,B220='Model update'!$S$188,B220='Model update'!$T$188,B220='Model update'!$U$188,B220='Model update'!$V$188,B220='Model update'!$W$188),'Model update'!$J$188,'Model update'!$J$186))</f>
        <v>-9.8252646141938002E-3</v>
      </c>
      <c r="L220" s="465">
        <f>J220*(1+'Model update'!$B$31)*(1-'2021_ACS service &amp; prices'!K220)+'Model update'!$J$196</f>
        <v>178.19087477261323</v>
      </c>
      <c r="M220" s="211"/>
    </row>
    <row r="221" spans="2:13" ht="39.6">
      <c r="B221" s="253" t="s">
        <v>533</v>
      </c>
      <c r="C221" s="253" t="str">
        <f>VLOOKUP(B221,'2020-21 feebased approved'!$A$4:$H$313,2,FALSE)</f>
        <v>USV2MBL
USV2MBI</v>
      </c>
      <c r="D221" s="253" t="s">
        <v>707</v>
      </c>
      <c r="E221" s="253" t="s">
        <v>858</v>
      </c>
      <c r="F221" s="253" t="s">
        <v>711</v>
      </c>
      <c r="G221" s="253" t="s">
        <v>713</v>
      </c>
      <c r="H221" s="251" t="s">
        <v>628</v>
      </c>
      <c r="I221" s="252" t="s">
        <v>170</v>
      </c>
      <c r="J221" s="458">
        <f>VLOOKUP(B221,'2020-21 feebased approved'!$A$4:$H$313,'2020-21 feebased approved'!$H$1,FALSE)</f>
        <v>759.28963908390028</v>
      </c>
      <c r="K221" s="461">
        <f>IF(OR(B221='Model update'!$P$187,B221='Model update'!$Q$187,B221='Model update'!$R$187,B221='Model update'!$S$187,B221='Model update'!$T$187,B221='Model update'!$U$187,B221='Model update'!$V$187,B221='Model update'!$W$187),'Model update'!$J$187,IF(OR(B221='Model update'!$P$188,B221='Model update'!$Q$188,B221='Model update'!$R$188,B221='Model update'!$S$188,B221='Model update'!$T$188,B221='Model update'!$U$188,B221='Model update'!$V$188,B221='Model update'!$W$188),'Model update'!$J$188,'Model update'!$J$186))</f>
        <v>-9.8252646141938002E-3</v>
      </c>
      <c r="L221" s="465">
        <f>J221*(1+'Model update'!$B$31)*(1-'2021_ACS service &amp; prices'!K221)+'Model update'!$J$196</f>
        <v>773.34839651314144</v>
      </c>
      <c r="M221" s="211"/>
    </row>
    <row r="222" spans="2:13" ht="39.6">
      <c r="B222" s="253" t="s">
        <v>534</v>
      </c>
      <c r="C222" s="253" t="str">
        <f>VLOOKUP(B222,'2020-21 feebased approved'!$A$4:$H$313,2,FALSE)</f>
        <v>USV1MAU</v>
      </c>
      <c r="D222" s="253" t="s">
        <v>707</v>
      </c>
      <c r="E222" s="253" t="s">
        <v>858</v>
      </c>
      <c r="F222" s="253" t="s">
        <v>711</v>
      </c>
      <c r="G222" s="253" t="s">
        <v>714</v>
      </c>
      <c r="H222" s="251" t="s">
        <v>627</v>
      </c>
      <c r="I222" s="252" t="s">
        <v>170</v>
      </c>
      <c r="J222" s="458">
        <f>VLOOKUP(B222,'2020-21 feebased approved'!$A$4:$H$313,'2020-21 feebased approved'!$H$1,FALSE)</f>
        <v>114.9920180800213</v>
      </c>
      <c r="K222" s="461">
        <f>IF(OR(B222='Model update'!$P$187,B222='Model update'!$Q$187,B222='Model update'!$R$187,B222='Model update'!$S$187,B222='Model update'!$T$187,B222='Model update'!$U$187,B222='Model update'!$V$187,B222='Model update'!$W$187),'Model update'!$J$187,IF(OR(B222='Model update'!$P$188,B222='Model update'!$Q$188,B222='Model update'!$R$188,B222='Model update'!$S$188,B222='Model update'!$T$188,B222='Model update'!$U$188,B222='Model update'!$V$188,B222='Model update'!$W$188),'Model update'!$J$188,'Model update'!$J$186))</f>
        <v>-9.8252646141938002E-3</v>
      </c>
      <c r="L222" s="465">
        <f>J222*(1+'Model update'!$B$31)*(1-'2021_ACS service &amp; prices'!K222)+'Model update'!$J$196</f>
        <v>117.12117249655786</v>
      </c>
      <c r="M222" s="211"/>
    </row>
    <row r="223" spans="2:13" ht="39.6">
      <c r="B223" s="253" t="s">
        <v>535</v>
      </c>
      <c r="C223" s="253" t="str">
        <f>VLOOKUP(B223,'2020-21 feebased approved'!$A$4:$H$313,2,FALSE)</f>
        <v>USV1MAL
USV1MAI</v>
      </c>
      <c r="D223" s="253" t="s">
        <v>707</v>
      </c>
      <c r="E223" s="253" t="s">
        <v>858</v>
      </c>
      <c r="F223" s="253" t="s">
        <v>711</v>
      </c>
      <c r="G223" s="253" t="s">
        <v>714</v>
      </c>
      <c r="H223" s="251" t="s">
        <v>628</v>
      </c>
      <c r="I223" s="252" t="s">
        <v>170</v>
      </c>
      <c r="J223" s="458">
        <f>VLOOKUP(B223,'2020-21 feebased approved'!$A$4:$H$313,'2020-21 feebased approved'!$H$1,FALSE)</f>
        <v>499.06535846729241</v>
      </c>
      <c r="K223" s="461">
        <f>IF(OR(B223='Model update'!$P$187,B223='Model update'!$Q$187,B223='Model update'!$R$187,B223='Model update'!$S$187,B223='Model update'!$T$187,B223='Model update'!$U$187,B223='Model update'!$V$187,B223='Model update'!$W$187),'Model update'!$J$187,IF(OR(B223='Model update'!$P$188,B223='Model update'!$Q$188,B223='Model update'!$R$188,B223='Model update'!$S$188,B223='Model update'!$T$188,B223='Model update'!$U$188,B223='Model update'!$V$188,B223='Model update'!$W$188),'Model update'!$J$188,'Model update'!$J$186))</f>
        <v>-9.8252646141938002E-3</v>
      </c>
      <c r="L223" s="465">
        <f>J223*(1+'Model update'!$B$31)*(1-'2021_ACS service &amp; prices'!K223)+'Model update'!$J$196</f>
        <v>508.30588863506108</v>
      </c>
      <c r="M223" s="211"/>
    </row>
    <row r="224" spans="2:13" ht="39.6">
      <c r="B224" s="253" t="s">
        <v>536</v>
      </c>
      <c r="C224" s="253" t="str">
        <f>VLOOKUP(B224,'2020-21 feebased approved'!$A$4:$H$313,2,FALSE)</f>
        <v>USV2MAU</v>
      </c>
      <c r="D224" s="253" t="s">
        <v>707</v>
      </c>
      <c r="E224" s="253" t="s">
        <v>858</v>
      </c>
      <c r="F224" s="253" t="s">
        <v>711</v>
      </c>
      <c r="G224" s="253" t="s">
        <v>715</v>
      </c>
      <c r="H224" s="251" t="s">
        <v>627</v>
      </c>
      <c r="I224" s="252" t="s">
        <v>170</v>
      </c>
      <c r="J224" s="458">
        <f>VLOOKUP(B224,'2020-21 feebased approved'!$A$4:$H$313,'2020-21 feebased approved'!$H$1,FALSE)</f>
        <v>229.98403616004259</v>
      </c>
      <c r="K224" s="461">
        <f>IF(OR(B224='Model update'!$P$187,B224='Model update'!$Q$187,B224='Model update'!$R$187,B224='Model update'!$S$187,B224='Model update'!$T$187,B224='Model update'!$U$187,B224='Model update'!$V$187,B224='Model update'!$W$187),'Model update'!$J$187,IF(OR(B224='Model update'!$P$188,B224='Model update'!$Q$188,B224='Model update'!$R$188,B224='Model update'!$S$188,B224='Model update'!$T$188,B224='Model update'!$U$188,B224='Model update'!$V$188,B224='Model update'!$W$188),'Model update'!$J$188,'Model update'!$J$186))</f>
        <v>-9.8252646141938002E-3</v>
      </c>
      <c r="L224" s="465">
        <f>J224*(1+'Model update'!$B$31)*(1-'2021_ACS service &amp; prices'!K224)+'Model update'!$J$196</f>
        <v>234.24234499311572</v>
      </c>
      <c r="M224" s="211"/>
    </row>
    <row r="225" spans="2:13" ht="39.6">
      <c r="B225" s="253" t="s">
        <v>537</v>
      </c>
      <c r="C225" s="253" t="str">
        <f>VLOOKUP(B225,'2020-21 feebased approved'!$A$4:$H$313,2,FALSE)</f>
        <v>USV2MAL
USV2MAI</v>
      </c>
      <c r="D225" s="253" t="s">
        <v>707</v>
      </c>
      <c r="E225" s="253" t="s">
        <v>858</v>
      </c>
      <c r="F225" s="253" t="s">
        <v>711</v>
      </c>
      <c r="G225" s="253" t="s">
        <v>715</v>
      </c>
      <c r="H225" s="251" t="s">
        <v>628</v>
      </c>
      <c r="I225" s="252" t="s">
        <v>170</v>
      </c>
      <c r="J225" s="458">
        <f>VLOOKUP(B225,'2020-21 feebased approved'!$A$4:$H$313,'2020-21 feebased approved'!$H$1,FALSE)</f>
        <v>998.13071693458483</v>
      </c>
      <c r="K225" s="461">
        <f>IF(OR(B225='Model update'!$P$187,B225='Model update'!$Q$187,B225='Model update'!$R$187,B225='Model update'!$S$187,B225='Model update'!$T$187,B225='Model update'!$U$187,B225='Model update'!$V$187,B225='Model update'!$W$187),'Model update'!$J$187,IF(OR(B225='Model update'!$P$188,B225='Model update'!$Q$188,B225='Model update'!$R$188,B225='Model update'!$S$188,B225='Model update'!$T$188,B225='Model update'!$U$188,B225='Model update'!$V$188,B225='Model update'!$W$188),'Model update'!$J$188,'Model update'!$J$186))</f>
        <v>-9.8252646141938002E-3</v>
      </c>
      <c r="L225" s="465">
        <f>J225*(1+'Model update'!$B$31)*(1-'2021_ACS service &amp; prices'!K225)+'Model update'!$J$196</f>
        <v>1016.6117772701222</v>
      </c>
      <c r="M225" s="211"/>
    </row>
    <row r="226" spans="2:13" ht="39.6">
      <c r="B226" s="253" t="s">
        <v>538</v>
      </c>
      <c r="C226" s="253" t="str">
        <f>VLOOKUP(B226,'2020-21 feebased approved'!$A$4:$H$313,2,FALSE)</f>
        <v>USVNTBU</v>
      </c>
      <c r="D226" s="253" t="s">
        <v>707</v>
      </c>
      <c r="E226" s="253" t="s">
        <v>858</v>
      </c>
      <c r="F226" s="253" t="s">
        <v>716</v>
      </c>
      <c r="G226" s="253" t="s">
        <v>636</v>
      </c>
      <c r="H226" s="251" t="s">
        <v>627</v>
      </c>
      <c r="I226" s="252" t="s">
        <v>170</v>
      </c>
      <c r="J226" s="458">
        <f>VLOOKUP(B226,'2020-21 feebased approved'!$A$4:$H$313,'2020-21 feebased approved'!$H$1,FALSE)</f>
        <v>7.9298598718233571</v>
      </c>
      <c r="K226" s="461">
        <f>IF(OR(B226='Model update'!$P$187,B226='Model update'!$Q$187,B226='Model update'!$R$187,B226='Model update'!$S$187,B226='Model update'!$T$187,B226='Model update'!$U$187,B226='Model update'!$V$187,B226='Model update'!$W$187),'Model update'!$J$187,IF(OR(B226='Model update'!$P$188,B226='Model update'!$Q$188,B226='Model update'!$R$188,B226='Model update'!$S$188,B226='Model update'!$T$188,B226='Model update'!$U$188,B226='Model update'!$V$188,B226='Model update'!$W$188),'Model update'!$J$188,'Model update'!$J$186))</f>
        <v>-9.8252646141938002E-3</v>
      </c>
      <c r="L226" s="465">
        <f>J226*(1+'Model update'!$B$31)*(1-'2021_ACS service &amp; prices'!K226)+'Model update'!$J$196</f>
        <v>8.076686551192175</v>
      </c>
      <c r="M226" s="211"/>
    </row>
    <row r="227" spans="2:13" ht="39.6">
      <c r="B227" s="253" t="s">
        <v>539</v>
      </c>
      <c r="C227" s="253" t="str">
        <f>VLOOKUP(B227,'2020-21 feebased approved'!$A$4:$H$313,2,FALSE)</f>
        <v>USVNTBL
USVNTBI</v>
      </c>
      <c r="D227" s="253" t="s">
        <v>707</v>
      </c>
      <c r="E227" s="253" t="s">
        <v>858</v>
      </c>
      <c r="F227" s="253" t="s">
        <v>716</v>
      </c>
      <c r="G227" s="253" t="s">
        <v>636</v>
      </c>
      <c r="H227" s="251" t="s">
        <v>628</v>
      </c>
      <c r="I227" s="252" t="s">
        <v>170</v>
      </c>
      <c r="J227" s="458">
        <f>VLOOKUP(B227,'2020-21 feebased approved'!$A$4:$H$313,'2020-21 feebased approved'!$H$1,FALSE)</f>
        <v>7.9298598718233571</v>
      </c>
      <c r="K227" s="461">
        <f>IF(OR(B227='Model update'!$P$187,B227='Model update'!$Q$187,B227='Model update'!$R$187,B227='Model update'!$S$187,B227='Model update'!$T$187,B227='Model update'!$U$187,B227='Model update'!$V$187,B227='Model update'!$W$187),'Model update'!$J$187,IF(OR(B227='Model update'!$P$188,B227='Model update'!$Q$188,B227='Model update'!$R$188,B227='Model update'!$S$188,B227='Model update'!$T$188,B227='Model update'!$U$188,B227='Model update'!$V$188,B227='Model update'!$W$188),'Model update'!$J$188,'Model update'!$J$186))</f>
        <v>-9.8252646141938002E-3</v>
      </c>
      <c r="L227" s="465">
        <f>J227*(1+'Model update'!$B$31)*(1-'2021_ACS service &amp; prices'!K227)+'Model update'!$J$196</f>
        <v>8.076686551192175</v>
      </c>
      <c r="M227" s="211"/>
    </row>
    <row r="228" spans="2:13" ht="39.6">
      <c r="B228" s="253" t="s">
        <v>540</v>
      </c>
      <c r="C228" s="253" t="str">
        <f>VLOOKUP(B228,'2020-21 feebased approved'!$A$4:$H$313,2,FALSE)</f>
        <v>USVNTAU</v>
      </c>
      <c r="D228" s="253" t="s">
        <v>707</v>
      </c>
      <c r="E228" s="253" t="s">
        <v>858</v>
      </c>
      <c r="F228" s="253" t="s">
        <v>716</v>
      </c>
      <c r="G228" s="253" t="s">
        <v>637</v>
      </c>
      <c r="H228" s="251" t="s">
        <v>627</v>
      </c>
      <c r="I228" s="252" t="s">
        <v>170</v>
      </c>
      <c r="J228" s="458">
        <f>VLOOKUP(B228,'2020-21 feebased approved'!$A$4:$H$313,'2020-21 feebased approved'!$H$1,FALSE)</f>
        <v>10.308817833370366</v>
      </c>
      <c r="K228" s="461">
        <f>IF(OR(B228='Model update'!$P$187,B228='Model update'!$Q$187,B228='Model update'!$R$187,B228='Model update'!$S$187,B228='Model update'!$T$187,B228='Model update'!$U$187,B228='Model update'!$V$187,B228='Model update'!$W$187),'Model update'!$J$187,IF(OR(B228='Model update'!$P$188,B228='Model update'!$Q$188,B228='Model update'!$R$188,B228='Model update'!$S$188,B228='Model update'!$T$188,B228='Model update'!$U$188,B228='Model update'!$V$188,B228='Model update'!$W$188),'Model update'!$J$188,'Model update'!$J$186))</f>
        <v>-9.8252646141938002E-3</v>
      </c>
      <c r="L228" s="465">
        <f>J228*(1+'Model update'!$B$31)*(1-'2021_ACS service &amp; prices'!K228)+'Model update'!$J$196</f>
        <v>10.49969251654983</v>
      </c>
      <c r="M228" s="211"/>
    </row>
    <row r="229" spans="2:13" ht="39.6">
      <c r="B229" s="253" t="s">
        <v>541</v>
      </c>
      <c r="C229" s="253" t="str">
        <f>VLOOKUP(B229,'2020-21 feebased approved'!$A$4:$H$313,2,FALSE)</f>
        <v>USVNTAL
USVNTAI</v>
      </c>
      <c r="D229" s="253" t="s">
        <v>707</v>
      </c>
      <c r="E229" s="253" t="s">
        <v>858</v>
      </c>
      <c r="F229" s="253" t="s">
        <v>716</v>
      </c>
      <c r="G229" s="253" t="s">
        <v>637</v>
      </c>
      <c r="H229" s="251" t="s">
        <v>628</v>
      </c>
      <c r="I229" s="252" t="s">
        <v>170</v>
      </c>
      <c r="J229" s="458">
        <f>VLOOKUP(B229,'2020-21 feebased approved'!$A$4:$H$313,'2020-21 feebased approved'!$H$1,FALSE)</f>
        <v>10.308817833370366</v>
      </c>
      <c r="K229" s="461">
        <f>IF(OR(B229='Model update'!$P$187,B229='Model update'!$Q$187,B229='Model update'!$R$187,B229='Model update'!$S$187,B229='Model update'!$T$187,B229='Model update'!$U$187,B229='Model update'!$V$187,B229='Model update'!$W$187),'Model update'!$J$187,IF(OR(B229='Model update'!$P$188,B229='Model update'!$Q$188,B229='Model update'!$R$188,B229='Model update'!$S$188,B229='Model update'!$T$188,B229='Model update'!$U$188,B229='Model update'!$V$188,B229='Model update'!$W$188),'Model update'!$J$188,'Model update'!$J$186))</f>
        <v>-9.8252646141938002E-3</v>
      </c>
      <c r="L229" s="465">
        <f>J229*(1+'Model update'!$B$31)*(1-'2021_ACS service &amp; prices'!K229)+'Model update'!$J$196</f>
        <v>10.49969251654983</v>
      </c>
      <c r="M229" s="211"/>
    </row>
    <row r="230" spans="2:13" ht="26.4">
      <c r="B230" s="253" t="s">
        <v>542</v>
      </c>
      <c r="C230" s="253" t="str">
        <f>VLOOKUP(B230,'2020-21 feebased approved'!$A$4:$H$313,2,FALSE)</f>
        <v>NMSPBU</v>
      </c>
      <c r="D230" s="253" t="s">
        <v>717</v>
      </c>
      <c r="E230" s="253" t="s">
        <v>859</v>
      </c>
      <c r="F230" s="253" t="s">
        <v>718</v>
      </c>
      <c r="G230" s="253" t="s">
        <v>636</v>
      </c>
      <c r="H230" s="251" t="s">
        <v>627</v>
      </c>
      <c r="I230" s="252" t="s">
        <v>170</v>
      </c>
      <c r="J230" s="458">
        <f>VLOOKUP(B230,'2020-21 feebased approved'!$A$4:$H$313,'2020-21 feebased approved'!$H$1,FALSE)</f>
        <v>385.93642079291726</v>
      </c>
      <c r="K230" s="461">
        <f>IF(OR(B230='Model update'!$P$187,B230='Model update'!$Q$187,B230='Model update'!$R$187,B230='Model update'!$S$187,B230='Model update'!$T$187,B230='Model update'!$U$187,B230='Model update'!$V$187,B230='Model update'!$W$187),'Model update'!$J$187,IF(OR(B230='Model update'!$P$188,B230='Model update'!$Q$188,B230='Model update'!$R$188,B230='Model update'!$S$188,B230='Model update'!$T$188,B230='Model update'!$U$188,B230='Model update'!$V$188,B230='Model update'!$W$188),'Model update'!$J$188,'Model update'!$J$186))</f>
        <v>-5.6176616047959003E-3</v>
      </c>
      <c r="L230" s="465">
        <f>J230*(1+'Model update'!$B$31)*(1-'2021_ACS service &amp; prices'!K230)+'Model update'!$J$196</f>
        <v>391.4444507219556</v>
      </c>
      <c r="M230" s="211"/>
    </row>
    <row r="231" spans="2:13" ht="26.4">
      <c r="B231" s="253" t="s">
        <v>543</v>
      </c>
      <c r="C231" s="253" t="str">
        <f>VLOOKUP(B231,'2020-21 feebased approved'!$A$4:$H$313,2,FALSE)</f>
        <v>NMSPBL
NMSPBI</v>
      </c>
      <c r="D231" s="253" t="s">
        <v>717</v>
      </c>
      <c r="E231" s="253" t="s">
        <v>859</v>
      </c>
      <c r="F231" s="253" t="s">
        <v>718</v>
      </c>
      <c r="G231" s="253" t="s">
        <v>636</v>
      </c>
      <c r="H231" s="251" t="s">
        <v>628</v>
      </c>
      <c r="I231" s="252" t="s">
        <v>170</v>
      </c>
      <c r="J231" s="458">
        <f>VLOOKUP(B231,'2020-21 feebased approved'!$A$4:$H$313,'2020-21 feebased approved'!$H$1,FALSE)</f>
        <v>678.10547546345038</v>
      </c>
      <c r="K231" s="461">
        <f>IF(OR(B231='Model update'!$P$187,B231='Model update'!$Q$187,B231='Model update'!$R$187,B231='Model update'!$S$187,B231='Model update'!$T$187,B231='Model update'!$U$187,B231='Model update'!$V$187,B231='Model update'!$W$187),'Model update'!$J$187,IF(OR(B231='Model update'!$P$188,B231='Model update'!$Q$188,B231='Model update'!$R$188,B231='Model update'!$S$188,B231='Model update'!$T$188,B231='Model update'!$U$188,B231='Model update'!$V$188,B231='Model update'!$W$188),'Model update'!$J$188,'Model update'!$J$186))</f>
        <v>-7.1123954104066918E-3</v>
      </c>
      <c r="L231" s="465">
        <f>J231*(1+'Model update'!$B$31)*(1-'2021_ACS service &amp; prices'!K231)+'Model update'!$J$196</f>
        <v>688.80561071369402</v>
      </c>
      <c r="M231" s="211"/>
    </row>
    <row r="232" spans="2:13" ht="26.4">
      <c r="B232" s="253" t="s">
        <v>544</v>
      </c>
      <c r="C232" s="253" t="str">
        <f>VLOOKUP(B232,'2020-21 feebased approved'!$A$4:$H$313,2,FALSE)</f>
        <v>NMDEBU</v>
      </c>
      <c r="D232" s="253" t="s">
        <v>717</v>
      </c>
      <c r="E232" s="253" t="s">
        <v>859</v>
      </c>
      <c r="F232" s="253" t="s">
        <v>719</v>
      </c>
      <c r="G232" s="253" t="s">
        <v>636</v>
      </c>
      <c r="H232" s="251" t="s">
        <v>627</v>
      </c>
      <c r="I232" s="252" t="s">
        <v>170</v>
      </c>
      <c r="J232" s="458">
        <f>VLOOKUP(B232,'2020-21 feebased approved'!$A$4:$H$313,'2020-21 feebased approved'!$H$1,FALSE)</f>
        <v>444.62824956374834</v>
      </c>
      <c r="K232" s="461">
        <f>IF(OR(B232='Model update'!$P$187,B232='Model update'!$Q$187,B232='Model update'!$R$187,B232='Model update'!$S$187,B232='Model update'!$T$187,B232='Model update'!$U$187,B232='Model update'!$V$187,B232='Model update'!$W$187),'Model update'!$J$187,IF(OR(B232='Model update'!$P$188,B232='Model update'!$Q$188,B232='Model update'!$R$188,B232='Model update'!$S$188,B232='Model update'!$T$188,B232='Model update'!$U$188,B232='Model update'!$V$188,B232='Model update'!$W$188),'Model update'!$J$188,'Model update'!$J$186))</f>
        <v>-5.6176616047959003E-3</v>
      </c>
      <c r="L232" s="465">
        <f>J232*(1+'Model update'!$B$31)*(1-'2021_ACS service &amp; prices'!K232)+'Model update'!$J$196</f>
        <v>450.97392095921151</v>
      </c>
      <c r="M232" s="211"/>
    </row>
    <row r="233" spans="2:13" ht="26.4">
      <c r="B233" s="253" t="s">
        <v>545</v>
      </c>
      <c r="C233" s="253" t="str">
        <f>VLOOKUP(B233,'2020-21 feebased approved'!$A$4:$H$313,2,FALSE)</f>
        <v>NMDEBL
NMDEBI</v>
      </c>
      <c r="D233" s="253" t="s">
        <v>717</v>
      </c>
      <c r="E233" s="253" t="s">
        <v>859</v>
      </c>
      <c r="F233" s="253" t="s">
        <v>719</v>
      </c>
      <c r="G233" s="253" t="s">
        <v>636</v>
      </c>
      <c r="H233" s="251" t="s">
        <v>628</v>
      </c>
      <c r="I233" s="252" t="s">
        <v>170</v>
      </c>
      <c r="J233" s="458">
        <f>VLOOKUP(B233,'2020-21 feebased approved'!$A$4:$H$313,'2020-21 feebased approved'!$H$1,FALSE)</f>
        <v>736.79730423428146</v>
      </c>
      <c r="K233" s="461">
        <f>IF(OR(B233='Model update'!$P$187,B233='Model update'!$Q$187,B233='Model update'!$R$187,B233='Model update'!$S$187,B233='Model update'!$T$187,B233='Model update'!$U$187,B233='Model update'!$V$187,B233='Model update'!$W$187),'Model update'!$J$187,IF(OR(B233='Model update'!$P$188,B233='Model update'!$Q$188,B233='Model update'!$R$188,B233='Model update'!$S$188,B233='Model update'!$T$188,B233='Model update'!$U$188,B233='Model update'!$V$188,B233='Model update'!$W$188),'Model update'!$J$188,'Model update'!$J$186))</f>
        <v>-7.1123954104066918E-3</v>
      </c>
      <c r="L233" s="465">
        <f>J233*(1+'Model update'!$B$31)*(1-'2021_ACS service &amp; prices'!K233)+'Model update'!$J$196</f>
        <v>748.4235645913941</v>
      </c>
      <c r="M233" s="211"/>
    </row>
    <row r="234" spans="2:13" ht="26.4">
      <c r="B234" s="253" t="s">
        <v>546</v>
      </c>
      <c r="C234" s="253" t="str">
        <f>VLOOKUP(B234,'2020-21 feebased approved'!$A$4:$H$313,2,FALSE)</f>
        <v>NMPPBU</v>
      </c>
      <c r="D234" s="253" t="s">
        <v>717</v>
      </c>
      <c r="E234" s="253" t="s">
        <v>859</v>
      </c>
      <c r="F234" s="253" t="s">
        <v>720</v>
      </c>
      <c r="G234" s="253" t="s">
        <v>636</v>
      </c>
      <c r="H234" s="251" t="s">
        <v>627</v>
      </c>
      <c r="I234" s="252" t="s">
        <v>170</v>
      </c>
      <c r="J234" s="458">
        <f>VLOOKUP(B234,'2020-21 feebased approved'!$A$4:$H$313,'2020-21 feebased approved'!$H$1,FALSE)</f>
        <v>599.50946437566381</v>
      </c>
      <c r="K234" s="461">
        <f>IF(OR(B234='Model update'!$P$187,B234='Model update'!$Q$187,B234='Model update'!$R$187,B234='Model update'!$S$187,B234='Model update'!$T$187,B234='Model update'!$U$187,B234='Model update'!$V$187,B234='Model update'!$W$187),'Model update'!$J$187,IF(OR(B234='Model update'!$P$188,B234='Model update'!$Q$188,B234='Model update'!$R$188,B234='Model update'!$S$188,B234='Model update'!$T$188,B234='Model update'!$U$188,B234='Model update'!$V$188,B234='Model update'!$W$188),'Model update'!$J$188,'Model update'!$J$186))</f>
        <v>-5.6176616047959003E-3</v>
      </c>
      <c r="L234" s="465">
        <f>J234*(1+'Model update'!$B$31)*(1-'2021_ACS service &amp; prices'!K234)+'Model update'!$J$196</f>
        <v>608.06557852974811</v>
      </c>
      <c r="M234" s="211"/>
    </row>
    <row r="235" spans="2:13" ht="26.4">
      <c r="B235" s="253" t="s">
        <v>547</v>
      </c>
      <c r="C235" s="253" t="str">
        <f>VLOOKUP(B235,'2020-21 feebased approved'!$A$4:$H$313,2,FALSE)</f>
        <v>NMPPBL
NMPPBI</v>
      </c>
      <c r="D235" s="253" t="s">
        <v>717</v>
      </c>
      <c r="E235" s="253" t="s">
        <v>859</v>
      </c>
      <c r="F235" s="253" t="s">
        <v>720</v>
      </c>
      <c r="G235" s="253" t="s">
        <v>636</v>
      </c>
      <c r="H235" s="251" t="s">
        <v>628</v>
      </c>
      <c r="I235" s="252" t="s">
        <v>170</v>
      </c>
      <c r="J235" s="458">
        <f>VLOOKUP(B235,'2020-21 feebased approved'!$A$4:$H$313,'2020-21 feebased approved'!$H$1,FALSE)</f>
        <v>891.67851904619681</v>
      </c>
      <c r="K235" s="461">
        <f>IF(OR(B235='Model update'!$P$187,B235='Model update'!$Q$187,B235='Model update'!$R$187,B235='Model update'!$S$187,B235='Model update'!$T$187,B235='Model update'!$U$187,B235='Model update'!$V$187,B235='Model update'!$W$187),'Model update'!$J$187,IF(OR(B235='Model update'!$P$188,B235='Model update'!$Q$188,B235='Model update'!$R$188,B235='Model update'!$S$188,B235='Model update'!$T$188,B235='Model update'!$U$188,B235='Model update'!$V$188,B235='Model update'!$W$188),'Model update'!$J$188,'Model update'!$J$186))</f>
        <v>-7.1123954104066918E-3</v>
      </c>
      <c r="L235" s="465">
        <f>J235*(1+'Model update'!$B$31)*(1-'2021_ACS service &amp; prices'!K235)+'Model update'!$J$196</f>
        <v>905.74872065754698</v>
      </c>
      <c r="M235" s="211"/>
    </row>
    <row r="236" spans="2:13" ht="26.4">
      <c r="B236" s="253" t="s">
        <v>548</v>
      </c>
      <c r="C236" s="253" t="str">
        <f>VLOOKUP(B236,'2020-21 feebased approved'!$A$4:$H$313,2,FALSE)</f>
        <v>NMCTBU</v>
      </c>
      <c r="D236" s="253" t="s">
        <v>717</v>
      </c>
      <c r="E236" s="253" t="s">
        <v>859</v>
      </c>
      <c r="F236" s="253" t="s">
        <v>721</v>
      </c>
      <c r="G236" s="253" t="s">
        <v>636</v>
      </c>
      <c r="H236" s="251" t="s">
        <v>627</v>
      </c>
      <c r="I236" s="252" t="s">
        <v>170</v>
      </c>
      <c r="J236" s="458">
        <f>VLOOKUP(B236,'2020-21 feebased approved'!$A$4:$H$313,'2020-21 feebased approved'!$H$1,FALSE)</f>
        <v>2187.2819932908747</v>
      </c>
      <c r="K236" s="461">
        <f>IF(OR(B236='Model update'!$P$187,B236='Model update'!$Q$187,B236='Model update'!$R$187,B236='Model update'!$S$187,B236='Model update'!$T$187,B236='Model update'!$U$187,B236='Model update'!$V$187,B236='Model update'!$W$187),'Model update'!$J$187,IF(OR(B236='Model update'!$P$188,B236='Model update'!$Q$188,B236='Model update'!$R$188,B236='Model update'!$S$188,B236='Model update'!$T$188,B236='Model update'!$U$188,B236='Model update'!$V$188,B236='Model update'!$W$188),'Model update'!$J$188,'Model update'!$J$186))</f>
        <v>-5.6176616047959003E-3</v>
      </c>
      <c r="L236" s="465">
        <f>J236*(1+'Model update'!$B$31)*(1-'2021_ACS service &amp; prices'!K236)+'Model update'!$J$196</f>
        <v>2218.4985720670902</v>
      </c>
      <c r="M236" s="211"/>
    </row>
    <row r="237" spans="2:13" ht="26.4">
      <c r="B237" s="253" t="s">
        <v>549</v>
      </c>
      <c r="C237" s="253" t="str">
        <f>VLOOKUP(B237,'2020-21 feebased approved'!$A$4:$H$313,2,FALSE)</f>
        <v>NMCTBL
NMCTBI</v>
      </c>
      <c r="D237" s="253" t="s">
        <v>717</v>
      </c>
      <c r="E237" s="253" t="s">
        <v>859</v>
      </c>
      <c r="F237" s="253" t="s">
        <v>721</v>
      </c>
      <c r="G237" s="253" t="s">
        <v>636</v>
      </c>
      <c r="H237" s="251" t="s">
        <v>628</v>
      </c>
      <c r="I237" s="252" t="s">
        <v>170</v>
      </c>
      <c r="J237" s="458">
        <f>VLOOKUP(B237,'2020-21 feebased approved'!$A$4:$H$313,'2020-21 feebased approved'!$H$1,FALSE)</f>
        <v>2771.6201026319404</v>
      </c>
      <c r="K237" s="461">
        <f>IF(OR(B237='Model update'!$P$187,B237='Model update'!$Q$187,B237='Model update'!$R$187,B237='Model update'!$S$187,B237='Model update'!$T$187,B237='Model update'!$U$187,B237='Model update'!$V$187,B237='Model update'!$W$187),'Model update'!$J$187,IF(OR(B237='Model update'!$P$188,B237='Model update'!$Q$188,B237='Model update'!$R$188,B237='Model update'!$S$188,B237='Model update'!$T$188,B237='Model update'!$U$188,B237='Model update'!$V$188,B237='Model update'!$W$188),'Model update'!$J$188,'Model update'!$J$186))</f>
        <v>-7.1123954104066918E-3</v>
      </c>
      <c r="L237" s="465">
        <f>J237*(1+'Model update'!$B$31)*(1-'2021_ACS service &amp; prices'!K237)+'Model update'!$J$196</f>
        <v>2815.3547590143962</v>
      </c>
      <c r="M237" s="211"/>
    </row>
    <row r="238" spans="2:13" ht="26.4">
      <c r="B238" s="253" t="s">
        <v>550</v>
      </c>
      <c r="C238" s="253" t="str">
        <f>VLOOKUP(B238,'2020-21 feebased approved'!$A$4:$H$313,2,FALSE)</f>
        <v>ADSPBU</v>
      </c>
      <c r="D238" s="253" t="s">
        <v>717</v>
      </c>
      <c r="E238" s="253" t="s">
        <v>859</v>
      </c>
      <c r="F238" s="253" t="s">
        <v>722</v>
      </c>
      <c r="G238" s="253" t="s">
        <v>636</v>
      </c>
      <c r="H238" s="251" t="s">
        <v>627</v>
      </c>
      <c r="I238" s="252" t="s">
        <v>170</v>
      </c>
      <c r="J238" s="458">
        <f>VLOOKUP(B238,'2020-21 feebased approved'!$A$4:$H$313,'2020-21 feebased approved'!$H$1,FALSE)</f>
        <v>385.93642079291726</v>
      </c>
      <c r="K238" s="461">
        <f>IF(OR(B238='Model update'!$P$187,B238='Model update'!$Q$187,B238='Model update'!$R$187,B238='Model update'!$S$187,B238='Model update'!$T$187,B238='Model update'!$U$187,B238='Model update'!$V$187,B238='Model update'!$W$187),'Model update'!$J$187,IF(OR(B238='Model update'!$P$188,B238='Model update'!$Q$188,B238='Model update'!$R$188,B238='Model update'!$S$188,B238='Model update'!$T$188,B238='Model update'!$U$188,B238='Model update'!$V$188,B238='Model update'!$W$188),'Model update'!$J$188,'Model update'!$J$186))</f>
        <v>-5.6176616047959003E-3</v>
      </c>
      <c r="L238" s="465">
        <f>J238*(1+'Model update'!$B$31)*(1-'2021_ACS service &amp; prices'!K238)+'Model update'!$J$196</f>
        <v>391.4444507219556</v>
      </c>
      <c r="M238" s="211"/>
    </row>
    <row r="239" spans="2:13" ht="26.4">
      <c r="B239" s="253" t="s">
        <v>551</v>
      </c>
      <c r="C239" s="253" t="str">
        <f>VLOOKUP(B239,'2020-21 feebased approved'!$A$4:$H$313,2,FALSE)</f>
        <v>ADSPBL
ADSPBI</v>
      </c>
      <c r="D239" s="253" t="s">
        <v>717</v>
      </c>
      <c r="E239" s="253" t="s">
        <v>859</v>
      </c>
      <c r="F239" s="253" t="s">
        <v>722</v>
      </c>
      <c r="G239" s="253" t="s">
        <v>636</v>
      </c>
      <c r="H239" s="251" t="s">
        <v>628</v>
      </c>
      <c r="I239" s="252" t="s">
        <v>170</v>
      </c>
      <c r="J239" s="458">
        <f>VLOOKUP(B239,'2020-21 feebased approved'!$A$4:$H$313,'2020-21 feebased approved'!$H$1,FALSE)</f>
        <v>678.10547546345038</v>
      </c>
      <c r="K239" s="461">
        <f>IF(OR(B239='Model update'!$P$187,B239='Model update'!$Q$187,B239='Model update'!$R$187,B239='Model update'!$S$187,B239='Model update'!$T$187,B239='Model update'!$U$187,B239='Model update'!$V$187,B239='Model update'!$W$187),'Model update'!$J$187,IF(OR(B239='Model update'!$P$188,B239='Model update'!$Q$188,B239='Model update'!$R$188,B239='Model update'!$S$188,B239='Model update'!$T$188,B239='Model update'!$U$188,B239='Model update'!$V$188,B239='Model update'!$W$188),'Model update'!$J$188,'Model update'!$J$186))</f>
        <v>-7.1123954104066918E-3</v>
      </c>
      <c r="L239" s="465">
        <f>J239*(1+'Model update'!$B$31)*(1-'2021_ACS service &amp; prices'!K239)+'Model update'!$J$196</f>
        <v>688.80561071369402</v>
      </c>
      <c r="M239" s="211"/>
    </row>
    <row r="240" spans="2:13" ht="26.4">
      <c r="B240" s="253" t="s">
        <v>552</v>
      </c>
      <c r="C240" s="253" t="str">
        <f>VLOOKUP(B240,'2020-21 feebased approved'!$A$4:$H$313,2,FALSE)</f>
        <v>ADDEBU</v>
      </c>
      <c r="D240" s="253" t="s">
        <v>717</v>
      </c>
      <c r="E240" s="253" t="s">
        <v>859</v>
      </c>
      <c r="F240" s="253" t="s">
        <v>723</v>
      </c>
      <c r="G240" s="253" t="s">
        <v>636</v>
      </c>
      <c r="H240" s="251" t="s">
        <v>627</v>
      </c>
      <c r="I240" s="252" t="s">
        <v>170</v>
      </c>
      <c r="J240" s="458">
        <f>VLOOKUP(B240,'2020-21 feebased approved'!$A$4:$H$313,'2020-21 feebased approved'!$H$1,FALSE)</f>
        <v>444.62824956374834</v>
      </c>
      <c r="K240" s="461">
        <f>IF(OR(B240='Model update'!$P$187,B240='Model update'!$Q$187,B240='Model update'!$R$187,B240='Model update'!$S$187,B240='Model update'!$T$187,B240='Model update'!$U$187,B240='Model update'!$V$187,B240='Model update'!$W$187),'Model update'!$J$187,IF(OR(B240='Model update'!$P$188,B240='Model update'!$Q$188,B240='Model update'!$R$188,B240='Model update'!$S$188,B240='Model update'!$T$188,B240='Model update'!$U$188,B240='Model update'!$V$188,B240='Model update'!$W$188),'Model update'!$J$188,'Model update'!$J$186))</f>
        <v>-5.6176616047959003E-3</v>
      </c>
      <c r="L240" s="465">
        <f>J240*(1+'Model update'!$B$31)*(1-'2021_ACS service &amp; prices'!K240)+'Model update'!$J$196</f>
        <v>450.97392095921151</v>
      </c>
      <c r="M240" s="211"/>
    </row>
    <row r="241" spans="2:13" ht="26.4">
      <c r="B241" s="253" t="s">
        <v>553</v>
      </c>
      <c r="C241" s="253" t="str">
        <f>VLOOKUP(B241,'2020-21 feebased approved'!$A$4:$H$313,2,FALSE)</f>
        <v>ADDEBL
ADDEBI</v>
      </c>
      <c r="D241" s="253" t="s">
        <v>717</v>
      </c>
      <c r="E241" s="253" t="s">
        <v>859</v>
      </c>
      <c r="F241" s="253" t="s">
        <v>724</v>
      </c>
      <c r="G241" s="253" t="s">
        <v>636</v>
      </c>
      <c r="H241" s="251" t="s">
        <v>628</v>
      </c>
      <c r="I241" s="252" t="s">
        <v>170</v>
      </c>
      <c r="J241" s="458">
        <f>VLOOKUP(B241,'2020-21 feebased approved'!$A$4:$H$313,'2020-21 feebased approved'!$H$1,FALSE)</f>
        <v>736.79730423428146</v>
      </c>
      <c r="K241" s="461">
        <f>IF(OR(B241='Model update'!$P$187,B241='Model update'!$Q$187,B241='Model update'!$R$187,B241='Model update'!$S$187,B241='Model update'!$T$187,B241='Model update'!$U$187,B241='Model update'!$V$187,B241='Model update'!$W$187),'Model update'!$J$187,IF(OR(B241='Model update'!$P$188,B241='Model update'!$Q$188,B241='Model update'!$R$188,B241='Model update'!$S$188,B241='Model update'!$T$188,B241='Model update'!$U$188,B241='Model update'!$V$188,B241='Model update'!$W$188),'Model update'!$J$188,'Model update'!$J$186))</f>
        <v>-7.1123954104066918E-3</v>
      </c>
      <c r="L241" s="465">
        <f>J241*(1+'Model update'!$B$31)*(1-'2021_ACS service &amp; prices'!K241)+'Model update'!$J$196</f>
        <v>748.4235645913941</v>
      </c>
      <c r="M241" s="211"/>
    </row>
    <row r="242" spans="2:13" ht="26.4">
      <c r="B242" s="253" t="s">
        <v>1297</v>
      </c>
      <c r="C242" s="253" t="str">
        <f>VLOOKUP(B242,'2020-21 feebased approved'!$A$4:$H$313,2,FALSE)</f>
        <v>ADPPBU</v>
      </c>
      <c r="D242" s="253" t="s">
        <v>717</v>
      </c>
      <c r="E242" s="253" t="s">
        <v>859</v>
      </c>
      <c r="F242" s="253" t="s">
        <v>725</v>
      </c>
      <c r="G242" s="253" t="s">
        <v>636</v>
      </c>
      <c r="H242" s="251" t="s">
        <v>627</v>
      </c>
      <c r="I242" s="252" t="s">
        <v>170</v>
      </c>
      <c r="J242" s="458">
        <f>VLOOKUP(B242,'2020-21 feebased approved'!$A$4:$H$313,'2020-21 feebased approved'!$H$1,FALSE)</f>
        <v>599.50946437566381</v>
      </c>
      <c r="K242" s="461">
        <f>IF(OR(B242='Model update'!$P$187,B242='Model update'!$Q$187,B242='Model update'!$R$187,B242='Model update'!$S$187,B242='Model update'!$T$187,B242='Model update'!$U$187,B242='Model update'!$V$187,B242='Model update'!$W$187),'Model update'!$J$187,IF(OR(B242='Model update'!$P$188,B242='Model update'!$Q$188,B242='Model update'!$R$188,B242='Model update'!$S$188,B242='Model update'!$T$188,B242='Model update'!$U$188,B242='Model update'!$V$188,B242='Model update'!$W$188),'Model update'!$J$188,'Model update'!$J$186))</f>
        <v>-5.6176616047959003E-3</v>
      </c>
      <c r="L242" s="465">
        <f>J242*(1+'Model update'!$B$31)*(1-'2021_ACS service &amp; prices'!K242)+'Model update'!$J$196</f>
        <v>608.06557852974811</v>
      </c>
      <c r="M242" s="211"/>
    </row>
    <row r="243" spans="2:13" ht="26.4">
      <c r="B243" s="253" t="s">
        <v>554</v>
      </c>
      <c r="C243" s="253" t="str">
        <f>VLOOKUP(B243,'2020-21 feebased approved'!$A$4:$H$313,2,FALSE)</f>
        <v>ADPPBL
ADPPBI</v>
      </c>
      <c r="D243" s="253" t="s">
        <v>717</v>
      </c>
      <c r="E243" s="253" t="s">
        <v>859</v>
      </c>
      <c r="F243" s="253" t="s">
        <v>725</v>
      </c>
      <c r="G243" s="253" t="s">
        <v>636</v>
      </c>
      <c r="H243" s="251" t="s">
        <v>628</v>
      </c>
      <c r="I243" s="252" t="s">
        <v>170</v>
      </c>
      <c r="J243" s="458">
        <f>VLOOKUP(B243,'2020-21 feebased approved'!$A$4:$H$313,'2020-21 feebased approved'!$H$1,FALSE)</f>
        <v>891.67851904619681</v>
      </c>
      <c r="K243" s="461">
        <f>IF(OR(B243='Model update'!$P$187,B243='Model update'!$Q$187,B243='Model update'!$R$187,B243='Model update'!$S$187,B243='Model update'!$T$187,B243='Model update'!$U$187,B243='Model update'!$V$187,B243='Model update'!$W$187),'Model update'!$J$187,IF(OR(B243='Model update'!$P$188,B243='Model update'!$Q$188,B243='Model update'!$R$188,B243='Model update'!$S$188,B243='Model update'!$T$188,B243='Model update'!$U$188,B243='Model update'!$V$188,B243='Model update'!$W$188),'Model update'!$J$188,'Model update'!$J$186))</f>
        <v>-7.1123954104066918E-3</v>
      </c>
      <c r="L243" s="465">
        <f>J243*(1+'Model update'!$B$31)*(1-'2021_ACS service &amp; prices'!K243)+'Model update'!$J$196</f>
        <v>905.74872065754698</v>
      </c>
      <c r="M243" s="211"/>
    </row>
    <row r="244" spans="2:13" ht="26.4">
      <c r="B244" s="253" t="s">
        <v>555</v>
      </c>
      <c r="C244" s="253" t="str">
        <f>VLOOKUP(B244,'2020-21 feebased approved'!$A$4:$H$313,2,FALSE)</f>
        <v>ADCTBU</v>
      </c>
      <c r="D244" s="253" t="s">
        <v>717</v>
      </c>
      <c r="E244" s="253" t="s">
        <v>859</v>
      </c>
      <c r="F244" s="253" t="s">
        <v>726</v>
      </c>
      <c r="G244" s="253" t="s">
        <v>636</v>
      </c>
      <c r="H244" s="251" t="s">
        <v>627</v>
      </c>
      <c r="I244" s="252" t="s">
        <v>170</v>
      </c>
      <c r="J244" s="458">
        <f>VLOOKUP(B244,'2020-21 feebased approved'!$A$4:$H$313,'2020-21 feebased approved'!$H$1,FALSE)</f>
        <v>2187.2819932908747</v>
      </c>
      <c r="K244" s="461">
        <f>IF(OR(B244='Model update'!$P$187,B244='Model update'!$Q$187,B244='Model update'!$R$187,B244='Model update'!$S$187,B244='Model update'!$T$187,B244='Model update'!$U$187,B244='Model update'!$V$187,B244='Model update'!$W$187),'Model update'!$J$187,IF(OR(B244='Model update'!$P$188,B244='Model update'!$Q$188,B244='Model update'!$R$188,B244='Model update'!$S$188,B244='Model update'!$T$188,B244='Model update'!$U$188,B244='Model update'!$V$188,B244='Model update'!$W$188),'Model update'!$J$188,'Model update'!$J$186))</f>
        <v>-5.6176616047959003E-3</v>
      </c>
      <c r="L244" s="465">
        <f>J244*(1+'Model update'!$B$31)*(1-'2021_ACS service &amp; prices'!K244)+'Model update'!$J$196</f>
        <v>2218.4985720670902</v>
      </c>
      <c r="M244" s="211"/>
    </row>
    <row r="245" spans="2:13" ht="26.4">
      <c r="B245" s="253" t="s">
        <v>556</v>
      </c>
      <c r="C245" s="253" t="str">
        <f>VLOOKUP(B245,'2020-21 feebased approved'!$A$4:$H$313,2,FALSE)</f>
        <v>ADCTBL
ADCTBI</v>
      </c>
      <c r="D245" s="253" t="s">
        <v>717</v>
      </c>
      <c r="E245" s="253" t="s">
        <v>859</v>
      </c>
      <c r="F245" s="253" t="s">
        <v>726</v>
      </c>
      <c r="G245" s="253" t="s">
        <v>636</v>
      </c>
      <c r="H245" s="251" t="s">
        <v>628</v>
      </c>
      <c r="I245" s="252" t="s">
        <v>170</v>
      </c>
      <c r="J245" s="458">
        <f>VLOOKUP(B245,'2020-21 feebased approved'!$A$4:$H$313,'2020-21 feebased approved'!$H$1,FALSE)</f>
        <v>2771.6201026319404</v>
      </c>
      <c r="K245" s="461">
        <f>IF(OR(B245='Model update'!$P$187,B245='Model update'!$Q$187,B245='Model update'!$R$187,B245='Model update'!$S$187,B245='Model update'!$T$187,B245='Model update'!$U$187,B245='Model update'!$V$187,B245='Model update'!$W$187),'Model update'!$J$187,IF(OR(B245='Model update'!$P$188,B245='Model update'!$Q$188,B245='Model update'!$R$188,B245='Model update'!$S$188,B245='Model update'!$T$188,B245='Model update'!$U$188,B245='Model update'!$V$188,B245='Model update'!$W$188),'Model update'!$J$188,'Model update'!$J$186))</f>
        <v>-7.1123954104066918E-3</v>
      </c>
      <c r="L245" s="465">
        <f>J245*(1+'Model update'!$B$31)*(1-'2021_ACS service &amp; prices'!K245)+'Model update'!$J$196</f>
        <v>2815.3547590143962</v>
      </c>
      <c r="M245" s="211"/>
    </row>
    <row r="246" spans="2:13" ht="39.6">
      <c r="B246" s="253" t="s">
        <v>557</v>
      </c>
      <c r="C246" s="253" t="str">
        <f>VLOOKUP(B246,'2020-21 feebased approved'!$A$4:$H$313,2,FALSE)</f>
        <v>RM1MBU</v>
      </c>
      <c r="D246" s="253" t="s">
        <v>717</v>
      </c>
      <c r="E246" s="253" t="s">
        <v>860</v>
      </c>
      <c r="F246" s="253" t="s">
        <v>727</v>
      </c>
      <c r="G246" s="253" t="s">
        <v>626</v>
      </c>
      <c r="H246" s="251" t="s">
        <v>627</v>
      </c>
      <c r="I246" s="252" t="s">
        <v>170</v>
      </c>
      <c r="J246" s="458">
        <f>VLOOKUP(B246,'2020-21 feebased approved'!$A$4:$H$313,'2020-21 feebased approved'!$H$1,FALSE)</f>
        <v>135.86625959710659</v>
      </c>
      <c r="K246" s="461">
        <f>IF(OR(B246='Model update'!$P$187,B246='Model update'!$Q$187,B246='Model update'!$R$187,B246='Model update'!$S$187,B246='Model update'!$T$187,B246='Model update'!$U$187,B246='Model update'!$V$187,B246='Model update'!$W$187),'Model update'!$J$187,IF(OR(B246='Model update'!$P$188,B246='Model update'!$Q$188,B246='Model update'!$R$188,B246='Model update'!$S$188,B246='Model update'!$T$188,B246='Model update'!$U$188,B246='Model update'!$V$188,B246='Model update'!$W$188),'Model update'!$J$188,'Model update'!$J$186))</f>
        <v>-9.8252646141938002E-3</v>
      </c>
      <c r="L246" s="465">
        <f>J246*(1+'Model update'!$B$31)*(1-'2021_ACS service &amp; prices'!K246)+'Model update'!$J$196</f>
        <v>138.38191460959777</v>
      </c>
      <c r="M246" s="211"/>
    </row>
    <row r="247" spans="2:13" ht="39.6">
      <c r="B247" s="253" t="s">
        <v>558</v>
      </c>
      <c r="C247" s="253" t="str">
        <f>VLOOKUP(B247,'2020-21 feebased approved'!$A$4:$H$313,2,FALSE)</f>
        <v>RM1MBL
RM1MBI</v>
      </c>
      <c r="D247" s="253" t="s">
        <v>717</v>
      </c>
      <c r="E247" s="253" t="s">
        <v>860</v>
      </c>
      <c r="F247" s="253" t="s">
        <v>727</v>
      </c>
      <c r="G247" s="253" t="s">
        <v>626</v>
      </c>
      <c r="H247" s="251" t="s">
        <v>628</v>
      </c>
      <c r="I247" s="252" t="s">
        <v>170</v>
      </c>
      <c r="J247" s="458">
        <f>VLOOKUP(B247,'2020-21 feebased approved'!$A$4:$H$313,'2020-21 feebased approved'!$H$1,FALSE)</f>
        <v>428.03531426763965</v>
      </c>
      <c r="K247" s="461">
        <f>IF(OR(B247='Model update'!$P$187,B247='Model update'!$Q$187,B247='Model update'!$R$187,B247='Model update'!$S$187,B247='Model update'!$T$187,B247='Model update'!$U$187,B247='Model update'!$V$187,B247='Model update'!$W$187),'Model update'!$J$187,IF(OR(B247='Model update'!$P$188,B247='Model update'!$Q$188,B247='Model update'!$R$188,B247='Model update'!$S$188,B247='Model update'!$T$188,B247='Model update'!$U$188,B247='Model update'!$V$188,B247='Model update'!$W$188),'Model update'!$J$188,'Model update'!$J$186))</f>
        <v>-9.8252646141938002E-3</v>
      </c>
      <c r="L247" s="465">
        <f>J247*(1+'Model update'!$B$31)*(1-'2021_ACS service &amp; prices'!K247)+'Model update'!$J$196</f>
        <v>435.96067547986189</v>
      </c>
      <c r="M247" s="211"/>
    </row>
    <row r="248" spans="2:13" ht="39.6">
      <c r="B248" s="253" t="s">
        <v>559</v>
      </c>
      <c r="C248" s="253" t="str">
        <f>VLOOKUP(B248,'2020-21 feebased approved'!$A$4:$H$313,2,FALSE)</f>
        <v>RM2MBU</v>
      </c>
      <c r="D248" s="253" t="s">
        <v>717</v>
      </c>
      <c r="E248" s="253" t="s">
        <v>860</v>
      </c>
      <c r="F248" s="253" t="s">
        <v>727</v>
      </c>
      <c r="G248" s="253" t="s">
        <v>630</v>
      </c>
      <c r="H248" s="251" t="s">
        <v>627</v>
      </c>
      <c r="I248" s="252" t="s">
        <v>170</v>
      </c>
      <c r="J248" s="458">
        <f>VLOOKUP(B248,'2020-21 feebased approved'!$A$4:$H$313,'2020-21 feebased approved'!$H$1,FALSE)</f>
        <v>219.84299387366704</v>
      </c>
      <c r="K248" s="461">
        <f>IF(OR(B248='Model update'!$P$187,B248='Model update'!$Q$187,B248='Model update'!$R$187,B248='Model update'!$S$187,B248='Model update'!$T$187,B248='Model update'!$U$187,B248='Model update'!$V$187,B248='Model update'!$W$187),'Model update'!$J$187,IF(OR(B248='Model update'!$P$188,B248='Model update'!$Q$188,B248='Model update'!$R$188,B248='Model update'!$S$188,B248='Model update'!$T$188,B248='Model update'!$U$188,B248='Model update'!$V$188,B248='Model update'!$W$188),'Model update'!$J$188,'Model update'!$J$186))</f>
        <v>-9.8252646141938002E-3</v>
      </c>
      <c r="L248" s="465">
        <f>J248*(1+'Model update'!$B$31)*(1-'2021_ACS service &amp; prices'!K248)+'Model update'!$J$196</f>
        <v>223.91353450045219</v>
      </c>
      <c r="M248" s="211"/>
    </row>
    <row r="249" spans="2:13" ht="39.6">
      <c r="B249" s="253" t="s">
        <v>560</v>
      </c>
      <c r="C249" s="253" t="str">
        <f>VLOOKUP(B249,'2020-21 feebased approved'!$A$4:$H$313,2,FALSE)</f>
        <v>RM2MBL
RM2MBI</v>
      </c>
      <c r="D249" s="253" t="s">
        <v>717</v>
      </c>
      <c r="E249" s="253" t="s">
        <v>860</v>
      </c>
      <c r="F249" s="253" t="s">
        <v>727</v>
      </c>
      <c r="G249" s="253" t="s">
        <v>630</v>
      </c>
      <c r="H249" s="251" t="s">
        <v>628</v>
      </c>
      <c r="I249" s="252" t="s">
        <v>170</v>
      </c>
      <c r="J249" s="458">
        <f>VLOOKUP(B249,'2020-21 feebased approved'!$A$4:$H$313,'2020-21 feebased approved'!$H$1,FALSE)</f>
        <v>512.01204854420007</v>
      </c>
      <c r="K249" s="461">
        <f>IF(OR(B249='Model update'!$P$187,B249='Model update'!$Q$187,B249='Model update'!$R$187,B249='Model update'!$S$187,B249='Model update'!$T$187,B249='Model update'!$U$187,B249='Model update'!$V$187,B249='Model update'!$W$187),'Model update'!$J$187,IF(OR(B249='Model update'!$P$188,B249='Model update'!$Q$188,B249='Model update'!$R$188,B249='Model update'!$S$188,B249='Model update'!$T$188,B249='Model update'!$U$188,B249='Model update'!$V$188,B249='Model update'!$W$188),'Model update'!$J$188,'Model update'!$J$186))</f>
        <v>-9.8252646141938002E-3</v>
      </c>
      <c r="L249" s="465">
        <f>J249*(1+'Model update'!$B$31)*(1-'2021_ACS service &amp; prices'!K249)+'Model update'!$J$196</f>
        <v>521.49229537071619</v>
      </c>
      <c r="M249" s="211"/>
    </row>
    <row r="250" spans="2:13" ht="39.6">
      <c r="B250" s="253" t="s">
        <v>561</v>
      </c>
      <c r="C250" s="253" t="str">
        <f>VLOOKUP(B250,'2020-21 feebased approved'!$A$4:$H$313,2,FALSE)</f>
        <v>RM1MAU</v>
      </c>
      <c r="D250" s="253" t="s">
        <v>717</v>
      </c>
      <c r="E250" s="253" t="s">
        <v>860</v>
      </c>
      <c r="F250" s="253" t="s">
        <v>727</v>
      </c>
      <c r="G250" s="253" t="s">
        <v>629</v>
      </c>
      <c r="H250" s="251" t="s">
        <v>627</v>
      </c>
      <c r="I250" s="252" t="s">
        <v>170</v>
      </c>
      <c r="J250" s="458">
        <f>VLOOKUP(B250,'2020-21 feebased approved'!$A$4:$H$313,'2020-21 feebased approved'!$H$1,FALSE)</f>
        <v>176.03998928166874</v>
      </c>
      <c r="K250" s="461">
        <f>IF(OR(B250='Model update'!$P$187,B250='Model update'!$Q$187,B250='Model update'!$R$187,B250='Model update'!$S$187,B250='Model update'!$T$187,B250='Model update'!$U$187,B250='Model update'!$V$187,B250='Model update'!$W$187),'Model update'!$J$187,IF(OR(B250='Model update'!$P$188,B250='Model update'!$Q$188,B250='Model update'!$R$188,B250='Model update'!$S$188,B250='Model update'!$T$188,B250='Model update'!$U$188,B250='Model update'!$V$188,B250='Model update'!$W$188),'Model update'!$J$188,'Model update'!$J$186))</f>
        <v>-9.8252646141938002E-3</v>
      </c>
      <c r="L250" s="465">
        <f>J250*(1+'Model update'!$B$31)*(1-'2021_ACS service &amp; prices'!K250)+'Model update'!$J$196</f>
        <v>179.29948787056458</v>
      </c>
      <c r="M250" s="211"/>
    </row>
    <row r="251" spans="2:13" ht="39.6">
      <c r="B251" s="253" t="s">
        <v>562</v>
      </c>
      <c r="C251" s="253" t="str">
        <f>VLOOKUP(B251,'2020-21 feebased approved'!$A$4:$H$313,2,FALSE)</f>
        <v>RM1MAL
RM1MAI</v>
      </c>
      <c r="D251" s="253" t="s">
        <v>717</v>
      </c>
      <c r="E251" s="253" t="s">
        <v>860</v>
      </c>
      <c r="F251" s="253" t="s">
        <v>727</v>
      </c>
      <c r="G251" s="253" t="s">
        <v>629</v>
      </c>
      <c r="H251" s="251" t="s">
        <v>628</v>
      </c>
      <c r="I251" s="252" t="s">
        <v>170</v>
      </c>
      <c r="J251" s="458">
        <f>VLOOKUP(B251,'2020-21 feebased approved'!$A$4:$H$313,'2020-21 feebased approved'!$H$1,FALSE)</f>
        <v>560.11332966893985</v>
      </c>
      <c r="K251" s="461">
        <f>IF(OR(B251='Model update'!$P$187,B251='Model update'!$Q$187,B251='Model update'!$R$187,B251='Model update'!$S$187,B251='Model update'!$T$187,B251='Model update'!$U$187,B251='Model update'!$V$187,B251='Model update'!$W$187),'Model update'!$J$187,IF(OR(B251='Model update'!$P$188,B251='Model update'!$Q$188,B251='Model update'!$R$188,B251='Model update'!$S$188,B251='Model update'!$T$188,B251='Model update'!$U$188,B251='Model update'!$V$188,B251='Model update'!$W$188),'Model update'!$J$188,'Model update'!$J$186))</f>
        <v>-9.8252646141938002E-3</v>
      </c>
      <c r="L251" s="465">
        <f>J251*(1+'Model update'!$B$31)*(1-'2021_ACS service &amp; prices'!K251)+'Model update'!$J$196</f>
        <v>570.48420400906775</v>
      </c>
      <c r="M251" s="211"/>
    </row>
    <row r="252" spans="2:13" ht="39.6">
      <c r="B252" s="253" t="s">
        <v>563</v>
      </c>
      <c r="C252" s="253" t="str">
        <f>VLOOKUP(B252,'2020-21 feebased approved'!$A$4:$H$313,2,FALSE)</f>
        <v>RM2MAU</v>
      </c>
      <c r="D252" s="253" t="s">
        <v>717</v>
      </c>
      <c r="E252" s="253" t="s">
        <v>860</v>
      </c>
      <c r="F252" s="253" t="s">
        <v>727</v>
      </c>
      <c r="G252" s="253" t="s">
        <v>632</v>
      </c>
      <c r="H252" s="251" t="s">
        <v>627</v>
      </c>
      <c r="I252" s="252" t="s">
        <v>170</v>
      </c>
      <c r="J252" s="458">
        <f>VLOOKUP(B252,'2020-21 feebased approved'!$A$4:$H$313,'2020-21 feebased approved'!$H$1,FALSE)</f>
        <v>287.198940092356</v>
      </c>
      <c r="K252" s="461">
        <f>IF(OR(B252='Model update'!$P$187,B252='Model update'!$Q$187,B252='Model update'!$R$187,B252='Model update'!$S$187,B252='Model update'!$T$187,B252='Model update'!$U$187,B252='Model update'!$V$187,B252='Model update'!$W$187),'Model update'!$J$187,IF(OR(B252='Model update'!$P$188,B252='Model update'!$Q$188,B252='Model update'!$R$188,B252='Model update'!$S$188,B252='Model update'!$T$188,B252='Model update'!$U$188,B252='Model update'!$V$188,B252='Model update'!$W$188),'Model update'!$J$188,'Model update'!$J$186))</f>
        <v>-9.8252646141938002E-3</v>
      </c>
      <c r="L252" s="465">
        <f>J252*(1+'Model update'!$B$31)*(1-'2021_ACS service &amp; prices'!K252)+'Model update'!$J$196</f>
        <v>292.51662128390387</v>
      </c>
      <c r="M252" s="211"/>
    </row>
    <row r="253" spans="2:13" ht="39.6">
      <c r="B253" s="253" t="s">
        <v>564</v>
      </c>
      <c r="C253" s="253" t="str">
        <f>VLOOKUP(B253,'2020-21 feebased approved'!$A$4:$H$313,2,FALSE)</f>
        <v>RM2MAL
RM2MAI</v>
      </c>
      <c r="D253" s="253" t="s">
        <v>717</v>
      </c>
      <c r="E253" s="253" t="s">
        <v>860</v>
      </c>
      <c r="F253" s="253" t="s">
        <v>727</v>
      </c>
      <c r="G253" s="253" t="s">
        <v>632</v>
      </c>
      <c r="H253" s="251" t="s">
        <v>628</v>
      </c>
      <c r="I253" s="252" t="s">
        <v>170</v>
      </c>
      <c r="J253" s="458">
        <f>VLOOKUP(B253,'2020-21 feebased approved'!$A$4:$H$313,'2020-21 feebased approved'!$H$1,FALSE)</f>
        <v>671.27228047962717</v>
      </c>
      <c r="K253" s="461">
        <f>IF(OR(B253='Model update'!$P$187,B253='Model update'!$Q$187,B253='Model update'!$R$187,B253='Model update'!$S$187,B253='Model update'!$T$187,B253='Model update'!$U$187,B253='Model update'!$V$187,B253='Model update'!$W$187),'Model update'!$J$187,IF(OR(B253='Model update'!$P$188,B253='Model update'!$Q$188,B253='Model update'!$R$188,B253='Model update'!$S$188,B253='Model update'!$T$188,B253='Model update'!$U$188,B253='Model update'!$V$188,B253='Model update'!$W$188),'Model update'!$J$188,'Model update'!$J$186))</f>
        <v>-9.8252646141938002E-3</v>
      </c>
      <c r="L253" s="465">
        <f>J253*(1+'Model update'!$B$31)*(1-'2021_ACS service &amp; prices'!K253)+'Model update'!$J$196</f>
        <v>683.70133742240705</v>
      </c>
      <c r="M253" s="211"/>
    </row>
    <row r="254" spans="2:13" ht="26.4">
      <c r="B254" s="253" t="s">
        <v>565</v>
      </c>
      <c r="C254" s="253" t="str">
        <f>VLOOKUP(B254,'2020-21 feebased approved'!$A$4:$H$313,2,FALSE)</f>
        <v>MIMT1MBU</v>
      </c>
      <c r="D254" s="253" t="s">
        <v>717</v>
      </c>
      <c r="E254" s="253" t="s">
        <v>861</v>
      </c>
      <c r="F254" s="253" t="s">
        <v>728</v>
      </c>
      <c r="G254" s="253" t="s">
        <v>626</v>
      </c>
      <c r="H254" s="251" t="s">
        <v>627</v>
      </c>
      <c r="I254" s="252" t="s">
        <v>170</v>
      </c>
      <c r="J254" s="458">
        <f>VLOOKUP(B254,'2020-21 feebased approved'!$A$4:$H$313,'2020-21 feebased approved'!$H$1,FALSE)</f>
        <v>424.53628367278299</v>
      </c>
      <c r="K254" s="461">
        <f>IF(OR(B254='Model update'!$P$187,B254='Model update'!$Q$187,B254='Model update'!$R$187,B254='Model update'!$S$187,B254='Model update'!$T$187,B254='Model update'!$U$187,B254='Model update'!$V$187,B254='Model update'!$W$187),'Model update'!$J$187,IF(OR(B254='Model update'!$P$188,B254='Model update'!$Q$188,B254='Model update'!$R$188,B254='Model update'!$S$188,B254='Model update'!$T$188,B254='Model update'!$U$188,B254='Model update'!$V$188,B254='Model update'!$W$188),'Model update'!$J$188,'Model update'!$J$186))</f>
        <v>-9.8252646141938002E-3</v>
      </c>
      <c r="L254" s="465">
        <f>J254*(1+'Model update'!$B$31)*(1-'2021_ACS service &amp; prices'!K254)+'Model update'!$J$196</f>
        <v>432.39685798440962</v>
      </c>
      <c r="M254" s="211"/>
    </row>
    <row r="255" spans="2:13" ht="26.4">
      <c r="B255" s="253" t="s">
        <v>566</v>
      </c>
      <c r="C255" s="253" t="str">
        <f>VLOOKUP(B255,'2020-21 feebased approved'!$A$4:$H$313,2,FALSE)</f>
        <v>MIMT1MBL
MIMT1MBI</v>
      </c>
      <c r="D255" s="253" t="s">
        <v>717</v>
      </c>
      <c r="E255" s="253" t="s">
        <v>861</v>
      </c>
      <c r="F255" s="253" t="s">
        <v>728</v>
      </c>
      <c r="G255" s="253" t="s">
        <v>626</v>
      </c>
      <c r="H255" s="251" t="s">
        <v>628</v>
      </c>
      <c r="I255" s="252" t="s">
        <v>170</v>
      </c>
      <c r="J255" s="458">
        <f>VLOOKUP(B255,'2020-21 feebased approved'!$A$4:$H$313,'2020-21 feebased approved'!$H$1,FALSE)</f>
        <v>716.70533834331604</v>
      </c>
      <c r="K255" s="461">
        <f>IF(OR(B255='Model update'!$P$187,B255='Model update'!$Q$187,B255='Model update'!$R$187,B255='Model update'!$S$187,B255='Model update'!$T$187,B255='Model update'!$U$187,B255='Model update'!$V$187,B255='Model update'!$W$187),'Model update'!$J$187,IF(OR(B255='Model update'!$P$188,B255='Model update'!$Q$188,B255='Model update'!$R$188,B255='Model update'!$S$188,B255='Model update'!$T$188,B255='Model update'!$U$188,B255='Model update'!$V$188,B255='Model update'!$W$188),'Model update'!$J$188,'Model update'!$J$186))</f>
        <v>-9.8252646141938002E-3</v>
      </c>
      <c r="L255" s="465">
        <f>J255*(1+'Model update'!$B$31)*(1-'2021_ACS service &amp; prices'!K255)+'Model update'!$J$196</f>
        <v>729.97561885467371</v>
      </c>
      <c r="M255" s="211"/>
    </row>
    <row r="256" spans="2:13" ht="26.4">
      <c r="B256" s="253" t="s">
        <v>567</v>
      </c>
      <c r="C256" s="253" t="str">
        <f>VLOOKUP(B256,'2020-21 feebased approved'!$A$4:$H$313,2,FALSE)</f>
        <v>MIMT2MBU</v>
      </c>
      <c r="D256" s="253" t="s">
        <v>717</v>
      </c>
      <c r="E256" s="253" t="s">
        <v>861</v>
      </c>
      <c r="F256" s="253" t="s">
        <v>728</v>
      </c>
      <c r="G256" s="253" t="s">
        <v>630</v>
      </c>
      <c r="H256" s="251" t="s">
        <v>627</v>
      </c>
      <c r="I256" s="252" t="s">
        <v>170</v>
      </c>
      <c r="J256" s="458">
        <f>VLOOKUP(B256,'2020-21 feebased approved'!$A$4:$H$313,'2020-21 feebased approved'!$H$1,FALSE)</f>
        <v>881.74294806738965</v>
      </c>
      <c r="K256" s="461">
        <f>IF(OR(B256='Model update'!$P$187,B256='Model update'!$Q$187,B256='Model update'!$R$187,B256='Model update'!$S$187,B256='Model update'!$T$187,B256='Model update'!$U$187,B256='Model update'!$V$187,B256='Model update'!$W$187),'Model update'!$J$187,IF(OR(B256='Model update'!$P$188,B256='Model update'!$Q$188,B256='Model update'!$R$188,B256='Model update'!$S$188,B256='Model update'!$T$188,B256='Model update'!$U$188,B256='Model update'!$V$188,B256='Model update'!$W$188),'Model update'!$J$188,'Model update'!$J$186))</f>
        <v>-9.8252646141938002E-3</v>
      </c>
      <c r="L256" s="465">
        <f>J256*(1+'Model update'!$B$31)*(1-'2021_ACS service &amp; prices'!K256)+'Model update'!$J$196</f>
        <v>898.06901072350558</v>
      </c>
      <c r="M256" s="211"/>
    </row>
    <row r="257" spans="2:13" ht="26.4">
      <c r="B257" s="253" t="s">
        <v>568</v>
      </c>
      <c r="C257" s="253" t="str">
        <f>VLOOKUP(B257,'2020-21 feebased approved'!$A$4:$H$313,2,FALSE)</f>
        <v>MIMT2MBL
MIMT2MBI</v>
      </c>
      <c r="D257" s="253" t="s">
        <v>717</v>
      </c>
      <c r="E257" s="253" t="s">
        <v>861</v>
      </c>
      <c r="F257" s="253" t="s">
        <v>728</v>
      </c>
      <c r="G257" s="253" t="s">
        <v>630</v>
      </c>
      <c r="H257" s="251" t="s">
        <v>628</v>
      </c>
      <c r="I257" s="252" t="s">
        <v>170</v>
      </c>
      <c r="J257" s="458">
        <f>VLOOKUP(B257,'2020-21 feebased approved'!$A$4:$H$313,'2020-21 feebased approved'!$H$1,FALSE)</f>
        <v>1466.0810574084558</v>
      </c>
      <c r="K257" s="461">
        <f>IF(OR(B257='Model update'!$P$187,B257='Model update'!$Q$187,B257='Model update'!$R$187,B257='Model update'!$S$187,B257='Model update'!$T$187,B257='Model update'!$U$187,B257='Model update'!$V$187,B257='Model update'!$W$187),'Model update'!$J$187,IF(OR(B257='Model update'!$P$188,B257='Model update'!$Q$188,B257='Model update'!$R$188,B257='Model update'!$S$188,B257='Model update'!$T$188,B257='Model update'!$U$188,B257='Model update'!$V$188,B257='Model update'!$W$188),'Model update'!$J$188,'Model update'!$J$186))</f>
        <v>-9.8252646141938002E-3</v>
      </c>
      <c r="L257" s="465">
        <f>J257*(1+'Model update'!$B$31)*(1-'2021_ACS service &amp; prices'!K257)+'Model update'!$J$196</f>
        <v>1493.2265324640337</v>
      </c>
      <c r="M257" s="211"/>
    </row>
    <row r="258" spans="2:13" ht="26.4">
      <c r="B258" s="253" t="s">
        <v>569</v>
      </c>
      <c r="C258" s="253" t="str">
        <f>VLOOKUP(B258,'2020-21 feebased approved'!$A$4:$H$313,2,FALSE)</f>
        <v>MINS1MBU</v>
      </c>
      <c r="D258" s="253" t="s">
        <v>717</v>
      </c>
      <c r="E258" s="253" t="s">
        <v>862</v>
      </c>
      <c r="F258" s="253" t="s">
        <v>729</v>
      </c>
      <c r="G258" s="253" t="s">
        <v>626</v>
      </c>
      <c r="H258" s="251" t="s">
        <v>627</v>
      </c>
      <c r="I258" s="252" t="s">
        <v>170</v>
      </c>
      <c r="J258" s="458">
        <f>VLOOKUP(B258,'2020-21 feebased approved'!$A$4:$H$313,'2020-21 feebased approved'!$H$1,FALSE)</f>
        <v>75.757336790882988</v>
      </c>
      <c r="K258" s="461">
        <f>IF(OR(B258='Model update'!$P$187,B258='Model update'!$Q$187,B258='Model update'!$R$187,B258='Model update'!$S$187,B258='Model update'!$T$187,B258='Model update'!$U$187,B258='Model update'!$V$187,B258='Model update'!$W$187),'Model update'!$J$187,IF(OR(B258='Model update'!$P$188,B258='Model update'!$Q$188,B258='Model update'!$R$188,B258='Model update'!$S$188,B258='Model update'!$T$188,B258='Model update'!$U$188,B258='Model update'!$V$188,B258='Model update'!$W$188),'Model update'!$J$188,'Model update'!$J$186))</f>
        <v>-9.8252646141938002E-3</v>
      </c>
      <c r="L258" s="465">
        <f>J258*(1+'Model update'!$B$31)*(1-'2021_ACS service &amp; prices'!K258)+'Model update'!$J$196</f>
        <v>77.160034742501779</v>
      </c>
      <c r="M258" s="211"/>
    </row>
    <row r="259" spans="2:13" ht="26.4">
      <c r="B259" s="253" t="s">
        <v>570</v>
      </c>
      <c r="C259" s="253" t="str">
        <f>VLOOKUP(B259,'2020-21 feebased approved'!$A$4:$H$313,2,FALSE)</f>
        <v>MINS1MBL
MINS1MBI</v>
      </c>
      <c r="D259" s="253" t="s">
        <v>717</v>
      </c>
      <c r="E259" s="253" t="s">
        <v>862</v>
      </c>
      <c r="F259" s="253" t="s">
        <v>729</v>
      </c>
      <c r="G259" s="253" t="s">
        <v>626</v>
      </c>
      <c r="H259" s="251" t="s">
        <v>628</v>
      </c>
      <c r="I259" s="252" t="s">
        <v>170</v>
      </c>
      <c r="J259" s="458">
        <f>VLOOKUP(B259,'2020-21 feebased approved'!$A$4:$H$313,'2020-21 feebased approved'!$H$1,FALSE)</f>
        <v>152.28852261641168</v>
      </c>
      <c r="K259" s="461">
        <f>IF(OR(B259='Model update'!$P$187,B259='Model update'!$Q$187,B259='Model update'!$R$187,B259='Model update'!$S$187,B259='Model update'!$T$187,B259='Model update'!$U$187,B259='Model update'!$V$187,B259='Model update'!$W$187),'Model update'!$J$187,IF(OR(B259='Model update'!$P$188,B259='Model update'!$Q$188,B259='Model update'!$R$188,B259='Model update'!$S$188,B259='Model update'!$T$188,B259='Model update'!$U$188,B259='Model update'!$V$188,B259='Model update'!$W$188),'Model update'!$J$188,'Model update'!$J$186))</f>
        <v>-9.8252646141938002E-3</v>
      </c>
      <c r="L259" s="465">
        <f>J259*(1+'Model update'!$B$31)*(1-'2021_ACS service &amp; prices'!K259)+'Model update'!$J$196</f>
        <v>155.108246854062</v>
      </c>
      <c r="M259" s="211"/>
    </row>
    <row r="260" spans="2:13" ht="26.4">
      <c r="B260" s="253" t="s">
        <v>571</v>
      </c>
      <c r="C260" s="253" t="str">
        <f>VLOOKUP(B260,'2020-21 feebased approved'!$A$4:$H$313,2,FALSE)</f>
        <v>MINS1MAU</v>
      </c>
      <c r="D260" s="253" t="s">
        <v>717</v>
      </c>
      <c r="E260" s="253" t="s">
        <v>862</v>
      </c>
      <c r="F260" s="253" t="s">
        <v>729</v>
      </c>
      <c r="G260" s="253" t="s">
        <v>629</v>
      </c>
      <c r="H260" s="251" t="s">
        <v>627</v>
      </c>
      <c r="I260" s="252" t="s">
        <v>170</v>
      </c>
      <c r="J260" s="458">
        <f>VLOOKUP(B260,'2020-21 feebased approved'!$A$4:$H$313,'2020-21 feebased approved'!$H$1,FALSE)</f>
        <v>135.27438166113484</v>
      </c>
      <c r="K260" s="461">
        <f>IF(OR(B260='Model update'!$P$187,B260='Model update'!$Q$187,B260='Model update'!$R$187,B260='Model update'!$S$187,B260='Model update'!$T$187,B260='Model update'!$U$187,B260='Model update'!$V$187,B260='Model update'!$W$187),'Model update'!$J$187,IF(OR(B260='Model update'!$P$188,B260='Model update'!$Q$188,B260='Model update'!$R$188,B260='Model update'!$S$188,B260='Model update'!$T$188,B260='Model update'!$U$188,B260='Model update'!$V$188,B260='Model update'!$W$188),'Model update'!$J$188,'Model update'!$J$186))</f>
        <v>-9.8252646141938002E-3</v>
      </c>
      <c r="L260" s="465">
        <f>J260*(1+'Model update'!$B$31)*(1-'2021_ACS service &amp; prices'!K260)+'Model update'!$J$196</f>
        <v>137.7790776562745</v>
      </c>
      <c r="M260" s="211"/>
    </row>
    <row r="261" spans="2:13" ht="26.4">
      <c r="B261" s="253" t="s">
        <v>572</v>
      </c>
      <c r="C261" s="253" t="str">
        <f>VLOOKUP(B261,'2020-21 feebased approved'!$A$4:$H$313,2,FALSE)</f>
        <v>MINS1MAL
MINS1MAI</v>
      </c>
      <c r="D261" s="253" t="s">
        <v>717</v>
      </c>
      <c r="E261" s="253" t="s">
        <v>862</v>
      </c>
      <c r="F261" s="253" t="s">
        <v>729</v>
      </c>
      <c r="G261" s="253" t="s">
        <v>629</v>
      </c>
      <c r="H261" s="251" t="s">
        <v>628</v>
      </c>
      <c r="I261" s="252" t="s">
        <v>170</v>
      </c>
      <c r="J261" s="458">
        <f>VLOOKUP(B261,'2020-21 feebased approved'!$A$4:$H$313,'2020-21 feebased approved'!$H$1,FALSE)</f>
        <v>235.87910934852022</v>
      </c>
      <c r="K261" s="461">
        <f>IF(OR(B261='Model update'!$P$187,B261='Model update'!$Q$187,B261='Model update'!$R$187,B261='Model update'!$S$187,B261='Model update'!$T$187,B261='Model update'!$U$187,B261='Model update'!$V$187,B261='Model update'!$W$187),'Model update'!$J$187,IF(OR(B261='Model update'!$P$188,B261='Model update'!$Q$188,B261='Model update'!$R$188,B261='Model update'!$S$188,B261='Model update'!$T$188,B261='Model update'!$U$188,B261='Model update'!$V$188,B261='Model update'!$W$188),'Model update'!$J$188,'Model update'!$J$186))</f>
        <v>-9.8252646141938002E-3</v>
      </c>
      <c r="L261" s="465">
        <f>J261*(1+'Model update'!$B$31)*(1-'2021_ACS service &amp; prices'!K261)+'Model update'!$J$196</f>
        <v>240.24656941943246</v>
      </c>
      <c r="M261" s="211"/>
    </row>
    <row r="262" spans="2:13" ht="26.4">
      <c r="B262" s="253" t="s">
        <v>573</v>
      </c>
      <c r="C262" s="253" t="str">
        <f>VLOOKUP(B262,'2020-21 feebased approved'!$A$4:$H$313,2,FALSE)</f>
        <v>MINS2MBU</v>
      </c>
      <c r="D262" s="253" t="s">
        <v>717</v>
      </c>
      <c r="E262" s="253" t="s">
        <v>862</v>
      </c>
      <c r="F262" s="253" t="s">
        <v>729</v>
      </c>
      <c r="G262" s="253" t="s">
        <v>630</v>
      </c>
      <c r="H262" s="251" t="s">
        <v>627</v>
      </c>
      <c r="I262" s="252" t="s">
        <v>170</v>
      </c>
      <c r="J262" s="458">
        <f>VLOOKUP(B262,'2020-21 feebased approved'!$A$4:$H$313,'2020-21 feebased approved'!$H$1,FALSE)</f>
        <v>368.55179415507604</v>
      </c>
      <c r="K262" s="461">
        <f>IF(OR(B262='Model update'!$P$187,B262='Model update'!$Q$187,B262='Model update'!$R$187,B262='Model update'!$S$187,B262='Model update'!$T$187,B262='Model update'!$U$187,B262='Model update'!$V$187,B262='Model update'!$W$187),'Model update'!$J$187,IF(OR(B262='Model update'!$P$188,B262='Model update'!$Q$188,B262='Model update'!$R$188,B262='Model update'!$S$188,B262='Model update'!$T$188,B262='Model update'!$U$188,B262='Model update'!$V$188,B262='Model update'!$W$188),'Model update'!$J$188,'Model update'!$J$186))</f>
        <v>-9.8252646141938002E-3</v>
      </c>
      <c r="L262" s="465">
        <f>J262*(1+'Model update'!$B$31)*(1-'2021_ACS service &amp; prices'!K262)+'Model update'!$J$196</f>
        <v>375.37577805717336</v>
      </c>
      <c r="M262" s="211"/>
    </row>
    <row r="263" spans="2:13" ht="26.4">
      <c r="B263" s="253" t="s">
        <v>574</v>
      </c>
      <c r="C263" s="253" t="str">
        <f>VLOOKUP(B263,'2020-21 feebased approved'!$A$4:$H$313,2,FALSE)</f>
        <v>MINS2MBL
MINS2MBI</v>
      </c>
      <c r="D263" s="253" t="s">
        <v>717</v>
      </c>
      <c r="E263" s="253" t="s">
        <v>862</v>
      </c>
      <c r="F263" s="253" t="s">
        <v>729</v>
      </c>
      <c r="G263" s="253" t="s">
        <v>630</v>
      </c>
      <c r="H263" s="251" t="s">
        <v>628</v>
      </c>
      <c r="I263" s="252" t="s">
        <v>170</v>
      </c>
      <c r="J263" s="458">
        <f>VLOOKUP(B263,'2020-21 feebased approved'!$A$4:$H$313,'2020-21 feebased approved'!$H$1,FALSE)</f>
        <v>952.8899034961421</v>
      </c>
      <c r="K263" s="461">
        <f>IF(OR(B263='Model update'!$P$187,B263='Model update'!$Q$187,B263='Model update'!$R$187,B263='Model update'!$S$187,B263='Model update'!$T$187,B263='Model update'!$U$187,B263='Model update'!$V$187,B263='Model update'!$W$187),'Model update'!$J$187,IF(OR(B263='Model update'!$P$188,B263='Model update'!$Q$188,B263='Model update'!$R$188,B263='Model update'!$S$188,B263='Model update'!$T$188,B263='Model update'!$U$188,B263='Model update'!$V$188,B263='Model update'!$W$188),'Model update'!$J$188,'Model update'!$J$186))</f>
        <v>-9.8252646141938002E-3</v>
      </c>
      <c r="L263" s="465">
        <f>J263*(1+'Model update'!$B$31)*(1-'2021_ACS service &amp; prices'!K263)+'Model update'!$J$196</f>
        <v>970.5332997977016</v>
      </c>
      <c r="M263" s="211"/>
    </row>
    <row r="264" spans="2:13" ht="26.4">
      <c r="B264" s="253" t="s">
        <v>575</v>
      </c>
      <c r="C264" s="253" t="str">
        <f>VLOOKUP(B264,'2020-21 feebased approved'!$A$4:$H$313,2,FALSE)</f>
        <v>MINS2MAU</v>
      </c>
      <c r="D264" s="253" t="s">
        <v>717</v>
      </c>
      <c r="E264" s="253" t="s">
        <v>862</v>
      </c>
      <c r="F264" s="253" t="s">
        <v>729</v>
      </c>
      <c r="G264" s="253" t="s">
        <v>632</v>
      </c>
      <c r="H264" s="251" t="s">
        <v>627</v>
      </c>
      <c r="I264" s="252" t="s">
        <v>170</v>
      </c>
      <c r="J264" s="458">
        <f>VLOOKUP(B264,'2020-21 feebased approved'!$A$4:$H$313,'2020-21 feebased approved'!$H$1,FALSE)</f>
        <v>481.9187573745254</v>
      </c>
      <c r="K264" s="461">
        <f>IF(OR(B264='Model update'!$P$187,B264='Model update'!$Q$187,B264='Model update'!$R$187,B264='Model update'!$S$187,B264='Model update'!$T$187,B264='Model update'!$U$187,B264='Model update'!$V$187,B264='Model update'!$W$187),'Model update'!$J$187,IF(OR(B264='Model update'!$P$188,B264='Model update'!$Q$188,B264='Model update'!$R$188,B264='Model update'!$S$188,B264='Model update'!$T$188,B264='Model update'!$U$188,B264='Model update'!$V$188,B264='Model update'!$W$188),'Model update'!$J$188,'Model update'!$J$186))</f>
        <v>-9.8252646141938002E-3</v>
      </c>
      <c r="L264" s="465">
        <f>J264*(1+'Model update'!$B$31)*(1-'2021_ACS service &amp; prices'!K264)+'Model update'!$J$196</f>
        <v>490.84180671140848</v>
      </c>
      <c r="M264" s="211"/>
    </row>
    <row r="265" spans="2:13" ht="26.4">
      <c r="B265" s="253" t="s">
        <v>576</v>
      </c>
      <c r="C265" s="253" t="str">
        <f>VLOOKUP(B265,'2020-21 feebased approved'!$A$4:$H$313,2,FALSE)</f>
        <v>MINS2MAL
MINS2MAI</v>
      </c>
      <c r="D265" s="253" t="s">
        <v>717</v>
      </c>
      <c r="E265" s="253" t="s">
        <v>862</v>
      </c>
      <c r="F265" s="253" t="s">
        <v>729</v>
      </c>
      <c r="G265" s="253" t="s">
        <v>632</v>
      </c>
      <c r="H265" s="251" t="s">
        <v>628</v>
      </c>
      <c r="I265" s="252" t="s">
        <v>170</v>
      </c>
      <c r="J265" s="458">
        <f>VLOOKUP(B265,'2020-21 feebased approved'!$A$4:$H$313,'2020-21 feebased approved'!$H$1,FALSE)</f>
        <v>1250.0654381490676</v>
      </c>
      <c r="K265" s="461">
        <f>IF(OR(B265='Model update'!$P$187,B265='Model update'!$Q$187,B265='Model update'!$R$187,B265='Model update'!$S$187,B265='Model update'!$T$187,B265='Model update'!$U$187,B265='Model update'!$V$187,B265='Model update'!$W$187),'Model update'!$J$187,IF(OR(B265='Model update'!$P$188,B265='Model update'!$Q$188,B265='Model update'!$R$188,B265='Model update'!$S$188,B265='Model update'!$T$188,B265='Model update'!$U$188,B265='Model update'!$V$188,B265='Model update'!$W$188),'Model update'!$J$188,'Model update'!$J$186))</f>
        <v>-9.8252646141938002E-3</v>
      </c>
      <c r="L265" s="465">
        <f>J265*(1+'Model update'!$B$31)*(1-'2021_ACS service &amp; prices'!K265)+'Model update'!$J$196</f>
        <v>1273.2112389884148</v>
      </c>
      <c r="M265" s="211"/>
    </row>
    <row r="266" spans="2:13" ht="51" customHeight="1">
      <c r="B266" s="253" t="s">
        <v>577</v>
      </c>
      <c r="C266" s="253" t="str">
        <f>VLOOKUP(B266,'2020-21 feebased approved'!$A$4:$H$313,2,FALSE)</f>
        <v>MINSSUBU</v>
      </c>
      <c r="D266" s="253" t="s">
        <v>717</v>
      </c>
      <c r="E266" s="253" t="s">
        <v>862</v>
      </c>
      <c r="F266" s="253" t="s">
        <v>730</v>
      </c>
      <c r="G266" s="253" t="s">
        <v>636</v>
      </c>
      <c r="H266" s="251" t="s">
        <v>627</v>
      </c>
      <c r="I266" s="252" t="s">
        <v>170</v>
      </c>
      <c r="J266" s="458">
        <f>VLOOKUP(B266,'2020-21 feebased approved'!$A$4:$H$313,'2020-21 feebased approved'!$H$1,FALSE)</f>
        <v>141.6979772552011</v>
      </c>
      <c r="K266" s="461">
        <f>IF(OR(B266='Model update'!$P$187,B266='Model update'!$Q$187,B266='Model update'!$R$187,B266='Model update'!$S$187,B266='Model update'!$T$187,B266='Model update'!$U$187,B266='Model update'!$V$187,B266='Model update'!$W$187),'Model update'!$J$187,IF(OR(B266='Model update'!$P$188,B266='Model update'!$Q$188,B266='Model update'!$R$188,B266='Model update'!$S$188,B266='Model update'!$T$188,B266='Model update'!$U$188,B266='Model update'!$V$188,B266='Model update'!$W$188),'Model update'!$J$188,'Model update'!$J$186))</f>
        <v>-9.8252646141938002E-3</v>
      </c>
      <c r="L266" s="465">
        <f>J266*(1+'Model update'!$B$31)*(1-'2021_ACS service &amp; prices'!K266)+'Model update'!$J$196</f>
        <v>144.32161043535157</v>
      </c>
      <c r="M266" s="211"/>
    </row>
    <row r="267" spans="2:13" ht="51" customHeight="1">
      <c r="B267" s="253" t="s">
        <v>578</v>
      </c>
      <c r="C267" s="253" t="str">
        <f>VLOOKUP(B267,'2020-21 feebased approved'!$A$4:$H$313,2,FALSE)</f>
        <v>MINSSUBL
MINSSUBI</v>
      </c>
      <c r="D267" s="253" t="s">
        <v>717</v>
      </c>
      <c r="E267" s="253" t="s">
        <v>862</v>
      </c>
      <c r="F267" s="253" t="s">
        <v>730</v>
      </c>
      <c r="G267" s="253" t="s">
        <v>636</v>
      </c>
      <c r="H267" s="251" t="s">
        <v>628</v>
      </c>
      <c r="I267" s="252" t="s">
        <v>170</v>
      </c>
      <c r="J267" s="458">
        <f>VLOOKUP(B267,'2020-21 feebased approved'!$A$4:$H$313,'2020-21 feebased approved'!$H$1,FALSE)</f>
        <v>433.86703192573418</v>
      </c>
      <c r="K267" s="461">
        <f>IF(OR(B267='Model update'!$P$187,B267='Model update'!$Q$187,B267='Model update'!$R$187,B267='Model update'!$S$187,B267='Model update'!$T$187,B267='Model update'!$U$187,B267='Model update'!$V$187,B267='Model update'!$W$187),'Model update'!$J$187,IF(OR(B267='Model update'!$P$188,B267='Model update'!$Q$188,B267='Model update'!$R$188,B267='Model update'!$S$188,B267='Model update'!$T$188,B267='Model update'!$U$188,B267='Model update'!$V$188,B267='Model update'!$W$188),'Model update'!$J$188,'Model update'!$J$186))</f>
        <v>-9.8252646141938002E-3</v>
      </c>
      <c r="L267" s="465">
        <f>J267*(1+'Model update'!$B$31)*(1-'2021_ACS service &amp; prices'!K267)+'Model update'!$J$196</f>
        <v>441.90037130561569</v>
      </c>
      <c r="M267" s="211"/>
    </row>
    <row r="268" spans="2:13" ht="51" customHeight="1">
      <c r="B268" s="253" t="s">
        <v>579</v>
      </c>
      <c r="C268" s="253" t="str">
        <f>VLOOKUP(B268,'2020-21 feebased approved'!$A$4:$H$313,2,FALSE)</f>
        <v>MINSSUAU</v>
      </c>
      <c r="D268" s="253" t="s">
        <v>717</v>
      </c>
      <c r="E268" s="253" t="s">
        <v>862</v>
      </c>
      <c r="F268" s="253" t="s">
        <v>730</v>
      </c>
      <c r="G268" s="253" t="s">
        <v>637</v>
      </c>
      <c r="H268" s="251" t="s">
        <v>627</v>
      </c>
      <c r="I268" s="252" t="s">
        <v>170</v>
      </c>
      <c r="J268" s="458">
        <f>VLOOKUP(B268,'2020-21 feebased approved'!$A$4:$H$313,'2020-21 feebased approved'!$H$1,FALSE)</f>
        <v>183.70612382033681</v>
      </c>
      <c r="K268" s="461">
        <f>IF(OR(B268='Model update'!$P$187,B268='Model update'!$Q$187,B268='Model update'!$R$187,B268='Model update'!$S$187,B268='Model update'!$T$187,B268='Model update'!$U$187,B268='Model update'!$V$187,B268='Model update'!$W$187),'Model update'!$J$187,IF(OR(B268='Model update'!$P$188,B268='Model update'!$Q$188,B268='Model update'!$R$188,B268='Model update'!$S$188,B268='Model update'!$T$188,B268='Model update'!$U$188,B268='Model update'!$V$188,B268='Model update'!$W$188),'Model update'!$J$188,'Model update'!$J$186))</f>
        <v>-9.8252646141938002E-3</v>
      </c>
      <c r="L268" s="465">
        <f>J268*(1+'Model update'!$B$31)*(1-'2021_ACS service &amp; prices'!K268)+'Model update'!$J$196</f>
        <v>187.10756603700176</v>
      </c>
      <c r="M268" s="211"/>
    </row>
    <row r="269" spans="2:13" ht="51" customHeight="1">
      <c r="B269" s="253" t="s">
        <v>580</v>
      </c>
      <c r="C269" s="253" t="str">
        <f>VLOOKUP(B269,'2020-21 feebased approved'!$A$4:$H$313,2,FALSE)</f>
        <v>MINSSUAL
MINSSUAI</v>
      </c>
      <c r="D269" s="253" t="s">
        <v>717</v>
      </c>
      <c r="E269" s="253" t="s">
        <v>862</v>
      </c>
      <c r="F269" s="253" t="s">
        <v>730</v>
      </c>
      <c r="G269" s="253" t="s">
        <v>637</v>
      </c>
      <c r="H269" s="251" t="s">
        <v>628</v>
      </c>
      <c r="I269" s="252" t="s">
        <v>170</v>
      </c>
      <c r="J269" s="458">
        <f>VLOOKUP(B269,'2020-21 feebased approved'!$A$4:$H$313,'2020-21 feebased approved'!$H$1,FALSE)</f>
        <v>567.77946420760793</v>
      </c>
      <c r="K269" s="461">
        <f>IF(OR(B269='Model update'!$P$187,B269='Model update'!$Q$187,B269='Model update'!$R$187,B269='Model update'!$S$187,B269='Model update'!$T$187,B269='Model update'!$U$187,B269='Model update'!$V$187,B269='Model update'!$W$187),'Model update'!$J$187,IF(OR(B269='Model update'!$P$188,B269='Model update'!$Q$188,B269='Model update'!$R$188,B269='Model update'!$S$188,B269='Model update'!$T$188,B269='Model update'!$U$188,B269='Model update'!$V$188,B269='Model update'!$W$188),'Model update'!$J$188,'Model update'!$J$186))</f>
        <v>-9.8252646141938002E-3</v>
      </c>
      <c r="L269" s="465">
        <f>J269*(1+'Model update'!$B$31)*(1-'2021_ACS service &amp; prices'!K269)+'Model update'!$J$196</f>
        <v>578.29228217550497</v>
      </c>
      <c r="M269" s="211"/>
    </row>
    <row r="270" spans="2:13" ht="51" customHeight="1">
      <c r="B270" s="253" t="s">
        <v>581</v>
      </c>
      <c r="C270" s="253" t="str">
        <f>VLOOKUP(B270,'2020-21 feebased approved'!$A$4:$H$313,2,FALSE)</f>
        <v>MINSMUBU</v>
      </c>
      <c r="D270" s="253" t="s">
        <v>717</v>
      </c>
      <c r="E270" s="253" t="s">
        <v>862</v>
      </c>
      <c r="F270" s="253" t="s">
        <v>731</v>
      </c>
      <c r="G270" s="253" t="s">
        <v>636</v>
      </c>
      <c r="H270" s="251" t="s">
        <v>627</v>
      </c>
      <c r="I270" s="252" t="s">
        <v>170</v>
      </c>
      <c r="J270" s="458">
        <f>VLOOKUP(B270,'2020-21 feebased approved'!$A$4:$H$313,'2020-21 feebased approved'!$H$1,FALSE)</f>
        <v>83.963972440065817</v>
      </c>
      <c r="K270" s="461">
        <f>IF(OR(B270='Model update'!$P$187,B270='Model update'!$Q$187,B270='Model update'!$R$187,B270='Model update'!$S$187,B270='Model update'!$T$187,B270='Model update'!$U$187,B270='Model update'!$V$187,B270='Model update'!$W$187),'Model update'!$J$187,IF(OR(B270='Model update'!$P$188,B270='Model update'!$Q$188,B270='Model update'!$R$188,B270='Model update'!$S$188,B270='Model update'!$T$188,B270='Model update'!$U$188,B270='Model update'!$V$188,B270='Model update'!$W$188),'Model update'!$J$188,'Model update'!$J$186))</f>
        <v>-9.8252646141938002E-3</v>
      </c>
      <c r="L270" s="465">
        <f>J270*(1+'Model update'!$B$31)*(1-'2021_ACS service &amp; prices'!K270)+'Model update'!$J$196</f>
        <v>85.518621760389209</v>
      </c>
      <c r="M270" s="211"/>
    </row>
    <row r="271" spans="2:13" ht="51" customHeight="1">
      <c r="B271" s="253" t="s">
        <v>582</v>
      </c>
      <c r="C271" s="253" t="str">
        <f>VLOOKUP(B271,'2020-21 feebased approved'!$A$4:$H$313,2,FALSE)</f>
        <v>MINSMUBL
MINSMUBI</v>
      </c>
      <c r="D271" s="253" t="s">
        <v>717</v>
      </c>
      <c r="E271" s="253" t="s">
        <v>862</v>
      </c>
      <c r="F271" s="253" t="s">
        <v>731</v>
      </c>
      <c r="G271" s="253" t="s">
        <v>636</v>
      </c>
      <c r="H271" s="251" t="s">
        <v>628</v>
      </c>
      <c r="I271" s="252" t="s">
        <v>170</v>
      </c>
      <c r="J271" s="458">
        <f>VLOOKUP(B271,'2020-21 feebased approved'!$A$4:$H$313,'2020-21 feebased approved'!$H$1,FALSE)</f>
        <v>83.963972440065817</v>
      </c>
      <c r="K271" s="461">
        <f>IF(OR(B271='Model update'!$P$187,B271='Model update'!$Q$187,B271='Model update'!$R$187,B271='Model update'!$S$187,B271='Model update'!$T$187,B271='Model update'!$U$187,B271='Model update'!$V$187,B271='Model update'!$W$187),'Model update'!$J$187,IF(OR(B271='Model update'!$P$188,B271='Model update'!$Q$188,B271='Model update'!$R$188,B271='Model update'!$S$188,B271='Model update'!$T$188,B271='Model update'!$U$188,B271='Model update'!$V$188,B271='Model update'!$W$188),'Model update'!$J$188,'Model update'!$J$186))</f>
        <v>-9.8252646141938002E-3</v>
      </c>
      <c r="L271" s="465">
        <f>J271*(1+'Model update'!$B$31)*(1-'2021_ACS service &amp; prices'!K271)+'Model update'!$J$196</f>
        <v>85.518621760389209</v>
      </c>
      <c r="M271" s="211"/>
    </row>
    <row r="272" spans="2:13" ht="51" customHeight="1">
      <c r="B272" s="253" t="s">
        <v>583</v>
      </c>
      <c r="C272" s="253" t="str">
        <f>VLOOKUP(B272,'2020-21 feebased approved'!$A$4:$H$313,2,FALSE)</f>
        <v>MINSMUAU</v>
      </c>
      <c r="D272" s="253" t="s">
        <v>717</v>
      </c>
      <c r="E272" s="253" t="s">
        <v>862</v>
      </c>
      <c r="F272" s="253" t="s">
        <v>731</v>
      </c>
      <c r="G272" s="253" t="s">
        <v>637</v>
      </c>
      <c r="H272" s="251" t="s">
        <v>627</v>
      </c>
      <c r="I272" s="252" t="s">
        <v>170</v>
      </c>
      <c r="J272" s="458">
        <f>VLOOKUP(B272,'2020-21 feebased approved'!$A$4:$H$313,'2020-21 feebased approved'!$H$1,FALSE)</f>
        <v>107.81139188752277</v>
      </c>
      <c r="K272" s="461">
        <f>IF(OR(B272='Model update'!$P$187,B272='Model update'!$Q$187,B272='Model update'!$R$187,B272='Model update'!$S$187,B272='Model update'!$T$187,B272='Model update'!$U$187,B272='Model update'!$V$187,B272='Model update'!$W$187),'Model update'!$J$187,IF(OR(B272='Model update'!$P$188,B272='Model update'!$Q$188,B272='Model update'!$R$188,B272='Model update'!$S$188,B272='Model update'!$T$188,B272='Model update'!$U$188,B272='Model update'!$V$188,B272='Model update'!$W$188),'Model update'!$J$188,'Model update'!$J$186))</f>
        <v>-9.8252646141938002E-3</v>
      </c>
      <c r="L272" s="465">
        <f>J272*(1+'Model update'!$B$31)*(1-'2021_ACS service &amp; prices'!K272)+'Model update'!$J$196</f>
        <v>109.80759218927358</v>
      </c>
      <c r="M272" s="211"/>
    </row>
    <row r="273" spans="2:13" ht="51" customHeight="1">
      <c r="B273" s="253" t="s">
        <v>584</v>
      </c>
      <c r="C273" s="253" t="str">
        <f>VLOOKUP(B273,'2020-21 feebased approved'!$A$4:$H$313,2,FALSE)</f>
        <v>MINSMUAL
MINSMUAI</v>
      </c>
      <c r="D273" s="253" t="s">
        <v>717</v>
      </c>
      <c r="E273" s="253" t="s">
        <v>862</v>
      </c>
      <c r="F273" s="253" t="s">
        <v>731</v>
      </c>
      <c r="G273" s="253" t="s">
        <v>637</v>
      </c>
      <c r="H273" s="251" t="s">
        <v>628</v>
      </c>
      <c r="I273" s="252" t="s">
        <v>170</v>
      </c>
      <c r="J273" s="458">
        <f>VLOOKUP(B273,'2020-21 feebased approved'!$A$4:$H$313,'2020-21 feebased approved'!$H$1,FALSE)</f>
        <v>107.81139188752277</v>
      </c>
      <c r="K273" s="461">
        <f>IF(OR(B273='Model update'!$P$187,B273='Model update'!$Q$187,B273='Model update'!$R$187,B273='Model update'!$S$187,B273='Model update'!$T$187,B273='Model update'!$U$187,B273='Model update'!$V$187,B273='Model update'!$W$187),'Model update'!$J$187,IF(OR(B273='Model update'!$P$188,B273='Model update'!$Q$188,B273='Model update'!$R$188,B273='Model update'!$S$188,B273='Model update'!$T$188,B273='Model update'!$U$188,B273='Model update'!$V$188,B273='Model update'!$W$188),'Model update'!$J$188,'Model update'!$J$186))</f>
        <v>-9.8252646141938002E-3</v>
      </c>
      <c r="L273" s="465">
        <f>J273*(1+'Model update'!$B$31)*(1-'2021_ACS service &amp; prices'!K273)+'Model update'!$J$196</f>
        <v>109.80759218927358</v>
      </c>
      <c r="M273" s="211"/>
    </row>
    <row r="274" spans="2:13" ht="26.4">
      <c r="B274" s="253" t="s">
        <v>585</v>
      </c>
      <c r="C274" s="253" t="str">
        <f>VLOOKUP(B274,'2020-21 feebased approved'!$A$4:$H$313,2,FALSE)</f>
        <v>MRCLT1MBU</v>
      </c>
      <c r="D274" s="253" t="s">
        <v>717</v>
      </c>
      <c r="E274" s="253" t="s">
        <v>863</v>
      </c>
      <c r="F274" s="253" t="s">
        <v>732</v>
      </c>
      <c r="G274" s="253" t="s">
        <v>626</v>
      </c>
      <c r="H274" s="251" t="s">
        <v>627</v>
      </c>
      <c r="I274" s="252" t="s">
        <v>170</v>
      </c>
      <c r="J274" s="458">
        <f>VLOOKUP(B274,'2020-21 feebased approved'!$A$4:$H$313,'2020-21 feebased approved'!$H$1,FALSE)</f>
        <v>98.884892018902548</v>
      </c>
      <c r="K274" s="461">
        <f>IF(OR(B274='Model update'!$P$187,B274='Model update'!$Q$187,B274='Model update'!$R$187,B274='Model update'!$S$187,B274='Model update'!$T$187,B274='Model update'!$U$187,B274='Model update'!$V$187,B274='Model update'!$W$187),'Model update'!$J$187,IF(OR(B274='Model update'!$P$188,B274='Model update'!$Q$188,B274='Model update'!$R$188,B274='Model update'!$S$188,B274='Model update'!$T$188,B274='Model update'!$U$188,B274='Model update'!$V$188,B274='Model update'!$W$188),'Model update'!$J$188,'Model update'!$J$186))</f>
        <v>-9.8252646141938002E-3</v>
      </c>
      <c r="L274" s="465">
        <f>J274*(1+'Model update'!$B$31)*(1-'2021_ACS service &amp; prices'!K274)+'Model update'!$J$196</f>
        <v>100.71581218263317</v>
      </c>
      <c r="M274" s="211"/>
    </row>
    <row r="275" spans="2:13" ht="26.4">
      <c r="B275" s="253" t="s">
        <v>586</v>
      </c>
      <c r="C275" s="253" t="str">
        <f>VLOOKUP(B275,'2020-21 feebased approved'!$A$4:$H$313,2,FALSE)</f>
        <v>MRCLT1MBL
MRCLT1MBI</v>
      </c>
      <c r="D275" s="253" t="s">
        <v>717</v>
      </c>
      <c r="E275" s="253" t="s">
        <v>863</v>
      </c>
      <c r="F275" s="253" t="s">
        <v>732</v>
      </c>
      <c r="G275" s="253" t="s">
        <v>626</v>
      </c>
      <c r="H275" s="251" t="s">
        <v>628</v>
      </c>
      <c r="I275" s="252" t="s">
        <v>170</v>
      </c>
      <c r="J275" s="458">
        <f>VLOOKUP(B275,'2020-21 feebased approved'!$A$4:$H$313,'2020-21 feebased approved'!$H$1,FALSE)</f>
        <v>186.61670505414472</v>
      </c>
      <c r="K275" s="461">
        <f>IF(OR(B275='Model update'!$P$187,B275='Model update'!$Q$187,B275='Model update'!$R$187,B275='Model update'!$S$187,B275='Model update'!$T$187,B275='Model update'!$U$187,B275='Model update'!$V$187,B275='Model update'!$W$187),'Model update'!$J$187,IF(OR(B275='Model update'!$P$188,B275='Model update'!$Q$188,B275='Model update'!$R$188,B275='Model update'!$S$188,B275='Model update'!$T$188,B275='Model update'!$U$188,B275='Model update'!$V$188,B275='Model update'!$W$188),'Model update'!$J$188,'Model update'!$J$186))</f>
        <v>-9.8252646141938002E-3</v>
      </c>
      <c r="L275" s="465">
        <f>J275*(1+'Model update'!$B$31)*(1-'2021_ACS service &amp; prices'!K275)+'Model update'!$J$196</f>
        <v>190.07203863642025</v>
      </c>
      <c r="M275" s="211"/>
    </row>
    <row r="276" spans="2:13" ht="26.4">
      <c r="B276" s="253" t="s">
        <v>587</v>
      </c>
      <c r="C276" s="253" t="str">
        <f>VLOOKUP(B276,'2020-21 feebased approved'!$A$4:$H$313,2,FALSE)</f>
        <v>MRCLT1MAU</v>
      </c>
      <c r="D276" s="253" t="s">
        <v>717</v>
      </c>
      <c r="E276" s="253" t="s">
        <v>863</v>
      </c>
      <c r="F276" s="253" t="s">
        <v>732</v>
      </c>
      <c r="G276" s="253" t="s">
        <v>629</v>
      </c>
      <c r="H276" s="251" t="s">
        <v>627</v>
      </c>
      <c r="I276" s="252" t="s">
        <v>170</v>
      </c>
      <c r="J276" s="458">
        <f>VLOOKUP(B276,'2020-21 feebased approved'!$A$4:$H$313,'2020-21 feebased approved'!$H$1,FALSE)</f>
        <v>163.69007596211523</v>
      </c>
      <c r="K276" s="461">
        <f>IF(OR(B276='Model update'!$P$187,B276='Model update'!$Q$187,B276='Model update'!$R$187,B276='Model update'!$S$187,B276='Model update'!$T$187,B276='Model update'!$U$187,B276='Model update'!$V$187,B276='Model update'!$W$187),'Model update'!$J$187,IF(OR(B276='Model update'!$P$188,B276='Model update'!$Q$188,B276='Model update'!$R$188,B276='Model update'!$S$188,B276='Model update'!$T$188,B276='Model update'!$U$188,B276='Model update'!$V$188,B276='Model update'!$W$188),'Model update'!$J$188,'Model update'!$J$186))</f>
        <v>-9.8252646141938002E-3</v>
      </c>
      <c r="L276" s="465">
        <f>J276*(1+'Model update'!$B$31)*(1-'2021_ACS service &amp; prices'!K276)+'Model update'!$J$196</f>
        <v>166.72090761458185</v>
      </c>
      <c r="M276" s="211"/>
    </row>
    <row r="277" spans="2:13" ht="26.4">
      <c r="B277" s="253" t="s">
        <v>588</v>
      </c>
      <c r="C277" s="253" t="str">
        <f>VLOOKUP(B277,'2020-21 feebased approved'!$A$4:$H$313,2,FALSE)</f>
        <v>MRCLT1MAL
MRCLT1MAI</v>
      </c>
      <c r="D277" s="253" t="s">
        <v>717</v>
      </c>
      <c r="E277" s="253" t="s">
        <v>863</v>
      </c>
      <c r="F277" s="253" t="s">
        <v>732</v>
      </c>
      <c r="G277" s="253" t="s">
        <v>629</v>
      </c>
      <c r="H277" s="251" t="s">
        <v>628</v>
      </c>
      <c r="I277" s="252" t="s">
        <v>170</v>
      </c>
      <c r="J277" s="458">
        <f>VLOOKUP(B277,'2020-21 feebased approved'!$A$4:$H$313,'2020-21 feebased approved'!$H$1,FALSE)</f>
        <v>279.01868435520453</v>
      </c>
      <c r="K277" s="461">
        <f>IF(OR(B277='Model update'!$P$187,B277='Model update'!$Q$187,B277='Model update'!$R$187,B277='Model update'!$S$187,B277='Model update'!$T$187,B277='Model update'!$U$187,B277='Model update'!$V$187,B277='Model update'!$W$187),'Model update'!$J$187,IF(OR(B277='Model update'!$P$188,B277='Model update'!$Q$188,B277='Model update'!$R$188,B277='Model update'!$S$188,B277='Model update'!$T$188,B277='Model update'!$U$188,B277='Model update'!$V$188,B277='Model update'!$W$188),'Model update'!$J$188,'Model update'!$J$186))</f>
        <v>-9.8252646141938002E-3</v>
      </c>
      <c r="L277" s="465">
        <f>J277*(1+'Model update'!$B$31)*(1-'2021_ACS service &amp; prices'!K277)+'Model update'!$J$196</f>
        <v>284.18490261982964</v>
      </c>
      <c r="M277" s="211"/>
    </row>
    <row r="278" spans="2:13" ht="26.4">
      <c r="B278" s="253" t="s">
        <v>589</v>
      </c>
      <c r="C278" s="253" t="str">
        <f>VLOOKUP(B278,'2020-21 feebased approved'!$A$4:$H$313,2,FALSE)</f>
        <v>MRCLT2MBU</v>
      </c>
      <c r="D278" s="253" t="s">
        <v>717</v>
      </c>
      <c r="E278" s="253" t="s">
        <v>863</v>
      </c>
      <c r="F278" s="253" t="s">
        <v>732</v>
      </c>
      <c r="G278" s="253" t="s">
        <v>630</v>
      </c>
      <c r="H278" s="251" t="s">
        <v>627</v>
      </c>
      <c r="I278" s="252" t="s">
        <v>170</v>
      </c>
      <c r="J278" s="458">
        <f>VLOOKUP(B278,'2020-21 feebased approved'!$A$4:$H$313,'2020-21 feebased approved'!$H$1,FALSE)</f>
        <v>298.57118225794238</v>
      </c>
      <c r="K278" s="461">
        <f>IF(OR(B278='Model update'!$P$187,B278='Model update'!$Q$187,B278='Model update'!$R$187,B278='Model update'!$S$187,B278='Model update'!$T$187,B278='Model update'!$U$187,B278='Model update'!$V$187,B278='Model update'!$W$187),'Model update'!$J$187,IF(OR(B278='Model update'!$P$188,B278='Model update'!$Q$188,B278='Model update'!$R$188,B278='Model update'!$S$188,B278='Model update'!$T$188,B278='Model update'!$U$188,B278='Model update'!$V$188,B278='Model update'!$W$188),'Model update'!$J$188,'Model update'!$J$186))</f>
        <v>-9.8252646141938002E-3</v>
      </c>
      <c r="L278" s="465">
        <f>J278*(1+'Model update'!$B$31)*(1-'2021_ACS service &amp; prices'!K278)+'Model update'!$J$196</f>
        <v>304.09942814812808</v>
      </c>
      <c r="M278" s="211"/>
    </row>
    <row r="279" spans="2:13" ht="26.4">
      <c r="B279" s="253" t="s">
        <v>590</v>
      </c>
      <c r="C279" s="253" t="str">
        <f>VLOOKUP(B279,'2020-21 feebased approved'!$A$4:$H$313,2,FALSE)</f>
        <v>MRCLT2MBL
MRCLT2MBI</v>
      </c>
      <c r="D279" s="253" t="s">
        <v>717</v>
      </c>
      <c r="E279" s="253" t="s">
        <v>863</v>
      </c>
      <c r="F279" s="253" t="s">
        <v>732</v>
      </c>
      <c r="G279" s="253" t="s">
        <v>630</v>
      </c>
      <c r="H279" s="251" t="s">
        <v>628</v>
      </c>
      <c r="I279" s="252" t="s">
        <v>170</v>
      </c>
      <c r="J279" s="458">
        <f>VLOOKUP(B279,'2020-21 feebased approved'!$A$4:$H$313,'2020-21 feebased approved'!$H$1,FALSE)</f>
        <v>882.90929159900861</v>
      </c>
      <c r="K279" s="461">
        <f>IF(OR(B279='Model update'!$P$187,B279='Model update'!$Q$187,B279='Model update'!$R$187,B279='Model update'!$S$187,B279='Model update'!$T$187,B279='Model update'!$U$187,B279='Model update'!$V$187,B279='Model update'!$W$187),'Model update'!$J$187,IF(OR(B279='Model update'!$P$188,B279='Model update'!$Q$188,B279='Model update'!$R$188,B279='Model update'!$S$188,B279='Model update'!$T$188,B279='Model update'!$U$188,B279='Model update'!$V$188,B279='Model update'!$W$188),'Model update'!$J$188,'Model update'!$J$186))</f>
        <v>-9.8252646141938002E-3</v>
      </c>
      <c r="L279" s="465">
        <f>J279*(1+'Model update'!$B$31)*(1-'2021_ACS service &amp; prices'!K279)+'Model update'!$J$196</f>
        <v>899.25694988865644</v>
      </c>
      <c r="M279" s="211"/>
    </row>
    <row r="280" spans="2:13" ht="26.4">
      <c r="B280" s="253" t="s">
        <v>591</v>
      </c>
      <c r="C280" s="253" t="str">
        <f>VLOOKUP(B280,'2020-21 feebased approved'!$A$4:$H$313,2,FALSE)</f>
        <v>MRCLT2MAU</v>
      </c>
      <c r="D280" s="253" t="s">
        <v>717</v>
      </c>
      <c r="E280" s="253" t="s">
        <v>863</v>
      </c>
      <c r="F280" s="253" t="s">
        <v>732</v>
      </c>
      <c r="G280" s="253" t="s">
        <v>632</v>
      </c>
      <c r="H280" s="251" t="s">
        <v>627</v>
      </c>
      <c r="I280" s="252" t="s">
        <v>170</v>
      </c>
      <c r="J280" s="458">
        <f>VLOOKUP(B280,'2020-21 feebased approved'!$A$4:$H$313,'2020-21 feebased approved'!$H$1,FALSE)</f>
        <v>389.92514291050838</v>
      </c>
      <c r="K280" s="461">
        <f>IF(OR(B280='Model update'!$P$187,B280='Model update'!$Q$187,B280='Model update'!$R$187,B280='Model update'!$S$187,B280='Model update'!$T$187,B280='Model update'!$U$187,B280='Model update'!$V$187,B280='Model update'!$W$187),'Model update'!$J$187,IF(OR(B280='Model update'!$P$188,B280='Model update'!$Q$188,B280='Model update'!$R$188,B280='Model update'!$S$188,B280='Model update'!$T$188,B280='Model update'!$U$188,B280='Model update'!$V$188,B280='Model update'!$W$188),'Model update'!$J$188,'Model update'!$J$186))</f>
        <v>-9.8252646141938002E-3</v>
      </c>
      <c r="L280" s="465">
        <f>J280*(1+'Model update'!$B$31)*(1-'2021_ACS service &amp; prices'!K280)+'Model update'!$J$196</f>
        <v>397.14486871416221</v>
      </c>
      <c r="M280" s="211"/>
    </row>
    <row r="281" spans="2:13" ht="26.4">
      <c r="B281" s="253" t="s">
        <v>592</v>
      </c>
      <c r="C281" s="253" t="str">
        <f>VLOOKUP(B281,'2020-21 feebased approved'!$A$4:$H$313,2,FALSE)</f>
        <v>MRCLT2MAL
MRCLT2MAI</v>
      </c>
      <c r="D281" s="253" t="s">
        <v>717</v>
      </c>
      <c r="E281" s="253" t="s">
        <v>863</v>
      </c>
      <c r="F281" s="253" t="s">
        <v>732</v>
      </c>
      <c r="G281" s="253" t="s">
        <v>632</v>
      </c>
      <c r="H281" s="251" t="s">
        <v>628</v>
      </c>
      <c r="I281" s="252" t="s">
        <v>170</v>
      </c>
      <c r="J281" s="458">
        <f>VLOOKUP(B281,'2020-21 feebased approved'!$A$4:$H$313,'2020-21 feebased approved'!$H$1,FALSE)</f>
        <v>1158.0718236850507</v>
      </c>
      <c r="K281" s="461">
        <f>IF(OR(B281='Model update'!$P$187,B281='Model update'!$Q$187,B281='Model update'!$R$187,B281='Model update'!$S$187,B281='Model update'!$T$187,B281='Model update'!$U$187,B281='Model update'!$V$187,B281='Model update'!$W$187),'Model update'!$J$187,IF(OR(B281='Model update'!$P$188,B281='Model update'!$Q$188,B281='Model update'!$R$188,B281='Model update'!$S$188,B281='Model update'!$T$188,B281='Model update'!$U$188,B281='Model update'!$V$188,B281='Model update'!$W$188),'Model update'!$J$188,'Model update'!$J$186))</f>
        <v>-9.8252646141938002E-3</v>
      </c>
      <c r="L281" s="465">
        <f>J281*(1+'Model update'!$B$31)*(1-'2021_ACS service &amp; prices'!K281)+'Model update'!$J$196</f>
        <v>1179.5143009911687</v>
      </c>
      <c r="M281" s="211"/>
    </row>
    <row r="282" spans="2:13">
      <c r="B282" s="253" t="s">
        <v>593</v>
      </c>
      <c r="C282" s="253" t="str">
        <f>VLOOKUP(B282,'2020-21 feebased approved'!$A$4:$H$313,2,FALSE)</f>
        <v>MRCT1MBU</v>
      </c>
      <c r="D282" s="253" t="s">
        <v>717</v>
      </c>
      <c r="E282" s="253" t="s">
        <v>863</v>
      </c>
      <c r="F282" s="253" t="s">
        <v>733</v>
      </c>
      <c r="G282" s="253" t="s">
        <v>626</v>
      </c>
      <c r="H282" s="251" t="s">
        <v>627</v>
      </c>
      <c r="I282" s="252" t="s">
        <v>170</v>
      </c>
      <c r="J282" s="458">
        <f>VLOOKUP(B282,'2020-21 feebased approved'!$A$4:$H$313,'2020-21 feebased approved'!$H$1,FALSE)</f>
        <v>98.884892018902548</v>
      </c>
      <c r="K282" s="461">
        <f>IF(OR(B282='Model update'!$P$187,B282='Model update'!$Q$187,B282='Model update'!$R$187,B282='Model update'!$S$187,B282='Model update'!$T$187,B282='Model update'!$U$187,B282='Model update'!$V$187,B282='Model update'!$W$187),'Model update'!$J$187,IF(OR(B282='Model update'!$P$188,B282='Model update'!$Q$188,B282='Model update'!$R$188,B282='Model update'!$S$188,B282='Model update'!$T$188,B282='Model update'!$U$188,B282='Model update'!$V$188,B282='Model update'!$W$188),'Model update'!$J$188,'Model update'!$J$186))</f>
        <v>-9.8252646141938002E-3</v>
      </c>
      <c r="L282" s="465">
        <f>J282*(1+'Model update'!$B$31)*(1-'2021_ACS service &amp; prices'!K282)+'Model update'!$J$196</f>
        <v>100.71581218263317</v>
      </c>
      <c r="M282" s="211"/>
    </row>
    <row r="283" spans="2:13" ht="26.4">
      <c r="B283" s="253" t="s">
        <v>594</v>
      </c>
      <c r="C283" s="253" t="str">
        <f>VLOOKUP(B283,'2020-21 feebased approved'!$A$4:$H$313,2,FALSE)</f>
        <v>MRCT1MBL
MRCT1MBI</v>
      </c>
      <c r="D283" s="253" t="s">
        <v>717</v>
      </c>
      <c r="E283" s="253" t="s">
        <v>863</v>
      </c>
      <c r="F283" s="253" t="s">
        <v>733</v>
      </c>
      <c r="G283" s="253" t="s">
        <v>626</v>
      </c>
      <c r="H283" s="251" t="s">
        <v>628</v>
      </c>
      <c r="I283" s="252" t="s">
        <v>170</v>
      </c>
      <c r="J283" s="458">
        <f>VLOOKUP(B283,'2020-21 feebased approved'!$A$4:$H$313,'2020-21 feebased approved'!$H$1,FALSE)</f>
        <v>186.61670505414472</v>
      </c>
      <c r="K283" s="461">
        <f>IF(OR(B283='Model update'!$P$187,B283='Model update'!$Q$187,B283='Model update'!$R$187,B283='Model update'!$S$187,B283='Model update'!$T$187,B283='Model update'!$U$187,B283='Model update'!$V$187,B283='Model update'!$W$187),'Model update'!$J$187,IF(OR(B283='Model update'!$P$188,B283='Model update'!$Q$188,B283='Model update'!$R$188,B283='Model update'!$S$188,B283='Model update'!$T$188,B283='Model update'!$U$188,B283='Model update'!$V$188,B283='Model update'!$W$188),'Model update'!$J$188,'Model update'!$J$186))</f>
        <v>-9.8252646141938002E-3</v>
      </c>
      <c r="L283" s="465">
        <f>J283*(1+'Model update'!$B$31)*(1-'2021_ACS service &amp; prices'!K283)+'Model update'!$J$196</f>
        <v>190.07203863642025</v>
      </c>
      <c r="M283" s="211"/>
    </row>
    <row r="284" spans="2:13">
      <c r="B284" s="253" t="s">
        <v>595</v>
      </c>
      <c r="C284" s="253" t="str">
        <f>VLOOKUP(B284,'2020-21 feebased approved'!$A$4:$H$313,2,FALSE)</f>
        <v>MRCT1MAU</v>
      </c>
      <c r="D284" s="253" t="s">
        <v>717</v>
      </c>
      <c r="E284" s="253" t="s">
        <v>863</v>
      </c>
      <c r="F284" s="253" t="s">
        <v>733</v>
      </c>
      <c r="G284" s="253" t="s">
        <v>629</v>
      </c>
      <c r="H284" s="251" t="s">
        <v>627</v>
      </c>
      <c r="I284" s="252" t="s">
        <v>170</v>
      </c>
      <c r="J284" s="458">
        <f>VLOOKUP(B284,'2020-21 feebased approved'!$A$4:$H$313,'2020-21 feebased approved'!$H$1,FALSE)</f>
        <v>163.69007596211523</v>
      </c>
      <c r="K284" s="461">
        <f>IF(OR(B284='Model update'!$P$187,B284='Model update'!$Q$187,B284='Model update'!$R$187,B284='Model update'!$S$187,B284='Model update'!$T$187,B284='Model update'!$U$187,B284='Model update'!$V$187,B284='Model update'!$W$187),'Model update'!$J$187,IF(OR(B284='Model update'!$P$188,B284='Model update'!$Q$188,B284='Model update'!$R$188,B284='Model update'!$S$188,B284='Model update'!$T$188,B284='Model update'!$U$188,B284='Model update'!$V$188,B284='Model update'!$W$188),'Model update'!$J$188,'Model update'!$J$186))</f>
        <v>-9.8252646141938002E-3</v>
      </c>
      <c r="L284" s="465">
        <f>J284*(1+'Model update'!$B$31)*(1-'2021_ACS service &amp; prices'!K284)+'Model update'!$J$196</f>
        <v>166.72090761458185</v>
      </c>
      <c r="M284" s="211"/>
    </row>
    <row r="285" spans="2:13" ht="26.4">
      <c r="B285" s="253" t="s">
        <v>596</v>
      </c>
      <c r="C285" s="253" t="str">
        <f>VLOOKUP(B285,'2020-21 feebased approved'!$A$4:$H$313,2,FALSE)</f>
        <v>MRCT1MAL
MRCT1MAI</v>
      </c>
      <c r="D285" s="253" t="s">
        <v>717</v>
      </c>
      <c r="E285" s="253" t="s">
        <v>863</v>
      </c>
      <c r="F285" s="253" t="s">
        <v>733</v>
      </c>
      <c r="G285" s="253" t="s">
        <v>629</v>
      </c>
      <c r="H285" s="251" t="s">
        <v>628</v>
      </c>
      <c r="I285" s="252" t="s">
        <v>170</v>
      </c>
      <c r="J285" s="458">
        <f>VLOOKUP(B285,'2020-21 feebased approved'!$A$4:$H$313,'2020-21 feebased approved'!$H$1,FALSE)</f>
        <v>279.01868435520453</v>
      </c>
      <c r="K285" s="461">
        <f>IF(OR(B285='Model update'!$P$187,B285='Model update'!$Q$187,B285='Model update'!$R$187,B285='Model update'!$S$187,B285='Model update'!$T$187,B285='Model update'!$U$187,B285='Model update'!$V$187,B285='Model update'!$W$187),'Model update'!$J$187,IF(OR(B285='Model update'!$P$188,B285='Model update'!$Q$188,B285='Model update'!$R$188,B285='Model update'!$S$188,B285='Model update'!$T$188,B285='Model update'!$U$188,B285='Model update'!$V$188,B285='Model update'!$W$188),'Model update'!$J$188,'Model update'!$J$186))</f>
        <v>-9.8252646141938002E-3</v>
      </c>
      <c r="L285" s="465">
        <f>J285*(1+'Model update'!$B$31)*(1-'2021_ACS service &amp; prices'!K285)+'Model update'!$J$196</f>
        <v>284.18490261982964</v>
      </c>
      <c r="M285" s="211"/>
    </row>
    <row r="286" spans="2:13">
      <c r="B286" s="253" t="s">
        <v>597</v>
      </c>
      <c r="C286" s="253" t="str">
        <f>VLOOKUP(B286,'2020-21 feebased approved'!$A$4:$H$313,2,FALSE)</f>
        <v>MRCT2MBU</v>
      </c>
      <c r="D286" s="253" t="s">
        <v>717</v>
      </c>
      <c r="E286" s="253" t="s">
        <v>863</v>
      </c>
      <c r="F286" s="253" t="s">
        <v>733</v>
      </c>
      <c r="G286" s="253" t="s">
        <v>630</v>
      </c>
      <c r="H286" s="251" t="s">
        <v>627</v>
      </c>
      <c r="I286" s="252" t="s">
        <v>170</v>
      </c>
      <c r="J286" s="458">
        <f>VLOOKUP(B286,'2020-21 feebased approved'!$A$4:$H$313,'2020-21 feebased approved'!$H$1,FALSE)</f>
        <v>473.52271200077655</v>
      </c>
      <c r="K286" s="461">
        <f>IF(OR(B286='Model update'!$P$187,B286='Model update'!$Q$187,B286='Model update'!$R$187,B286='Model update'!$S$187,B286='Model update'!$T$187,B286='Model update'!$U$187,B286='Model update'!$V$187,B286='Model update'!$W$187),'Model update'!$J$187,IF(OR(B286='Model update'!$P$188,B286='Model update'!$Q$188,B286='Model update'!$R$188,B286='Model update'!$S$188,B286='Model update'!$T$188,B286='Model update'!$U$188,B286='Model update'!$V$188,B286='Model update'!$W$188),'Model update'!$J$188,'Model update'!$J$186))</f>
        <v>-9.8252646141938002E-3</v>
      </c>
      <c r="L286" s="465">
        <f>J286*(1+'Model update'!$B$31)*(1-'2021_ACS service &amp; prices'!K286)+'Model update'!$J$196</f>
        <v>482.29030292074134</v>
      </c>
      <c r="M286" s="211"/>
    </row>
    <row r="287" spans="2:13" ht="26.4">
      <c r="B287" s="253" t="s">
        <v>598</v>
      </c>
      <c r="C287" s="253" t="str">
        <f>VLOOKUP(B287,'2020-21 feebased approved'!$A$4:$H$313,2,FALSE)</f>
        <v>MRCT2MBL
MRCT2MBI</v>
      </c>
      <c r="D287" s="253" t="s">
        <v>717</v>
      </c>
      <c r="E287" s="253" t="s">
        <v>863</v>
      </c>
      <c r="F287" s="253" t="s">
        <v>733</v>
      </c>
      <c r="G287" s="253" t="s">
        <v>630</v>
      </c>
      <c r="H287" s="251" t="s">
        <v>628</v>
      </c>
      <c r="I287" s="252" t="s">
        <v>170</v>
      </c>
      <c r="J287" s="458">
        <f>VLOOKUP(B287,'2020-21 feebased approved'!$A$4:$H$313,'2020-21 feebased approved'!$H$1,FALSE)</f>
        <v>1057.8608213418427</v>
      </c>
      <c r="K287" s="461">
        <f>IF(OR(B287='Model update'!$P$187,B287='Model update'!$Q$187,B287='Model update'!$R$187,B287='Model update'!$S$187,B287='Model update'!$T$187,B287='Model update'!$U$187,B287='Model update'!$V$187,B287='Model update'!$W$187),'Model update'!$J$187,IF(OR(B287='Model update'!$P$188,B287='Model update'!$Q$188,B287='Model update'!$R$188,B287='Model update'!$S$188,B287='Model update'!$T$188,B287='Model update'!$U$188,B287='Model update'!$V$188,B287='Model update'!$W$188),'Model update'!$J$188,'Model update'!$J$186))</f>
        <v>-9.8252646141938002E-3</v>
      </c>
      <c r="L287" s="465">
        <f>J287*(1+'Model update'!$B$31)*(1-'2021_ACS service &amp; prices'!K287)+'Model update'!$J$196</f>
        <v>1077.4478246612696</v>
      </c>
      <c r="M287" s="211"/>
    </row>
    <row r="288" spans="2:13">
      <c r="B288" s="253" t="s">
        <v>599</v>
      </c>
      <c r="C288" s="253" t="str">
        <f>VLOOKUP(B288,'2020-21 feebased approved'!$A$4:$H$313,2,FALSE)</f>
        <v>MRCT2MAU</v>
      </c>
      <c r="D288" s="253" t="s">
        <v>717</v>
      </c>
      <c r="E288" s="253" t="s">
        <v>863</v>
      </c>
      <c r="F288" s="253" t="s">
        <v>733</v>
      </c>
      <c r="G288" s="253" t="s">
        <v>632</v>
      </c>
      <c r="H288" s="251" t="s">
        <v>627</v>
      </c>
      <c r="I288" s="252" t="s">
        <v>170</v>
      </c>
      <c r="J288" s="458">
        <f>VLOOKUP(B288,'2020-21 feebased approved'!$A$4:$H$313,'2020-21 feebased approved'!$H$1,FALSE)</f>
        <v>619.90917907055098</v>
      </c>
      <c r="K288" s="461">
        <f>IF(OR(B288='Model update'!$P$187,B288='Model update'!$Q$187,B288='Model update'!$R$187,B288='Model update'!$S$187,B288='Model update'!$T$187,B288='Model update'!$U$187,B288='Model update'!$V$187,B288='Model update'!$W$187),'Model update'!$J$187,IF(OR(B288='Model update'!$P$188,B288='Model update'!$Q$188,B288='Model update'!$R$188,B288='Model update'!$S$188,B288='Model update'!$T$188,B288='Model update'!$U$188,B288='Model update'!$V$188,B288='Model update'!$W$188),'Model update'!$J$188,'Model update'!$J$186))</f>
        <v>-9.8252646141938002E-3</v>
      </c>
      <c r="L288" s="465">
        <f>J288*(1+'Model update'!$B$31)*(1-'2021_ACS service &amp; prices'!K288)+'Model update'!$J$196</f>
        <v>631.38721370727797</v>
      </c>
      <c r="M288" s="211"/>
    </row>
    <row r="289" spans="2:13" ht="26.4">
      <c r="B289" s="253" t="s">
        <v>600</v>
      </c>
      <c r="C289" s="253" t="str">
        <f>VLOOKUP(B289,'2020-21 feebased approved'!$A$4:$H$313,2,FALSE)</f>
        <v>MRCT2MAL
MRCT2MAI</v>
      </c>
      <c r="D289" s="253" t="s">
        <v>717</v>
      </c>
      <c r="E289" s="253" t="s">
        <v>863</v>
      </c>
      <c r="F289" s="253" t="s">
        <v>733</v>
      </c>
      <c r="G289" s="253" t="s">
        <v>632</v>
      </c>
      <c r="H289" s="251" t="s">
        <v>628</v>
      </c>
      <c r="I289" s="252" t="s">
        <v>170</v>
      </c>
      <c r="J289" s="458">
        <f>VLOOKUP(B289,'2020-21 feebased approved'!$A$4:$H$313,'2020-21 feebased approved'!$H$1,FALSE)</f>
        <v>1388.0558598450934</v>
      </c>
      <c r="K289" s="461">
        <f>IF(OR(B289='Model update'!$P$187,B289='Model update'!$Q$187,B289='Model update'!$R$187,B289='Model update'!$S$187,B289='Model update'!$T$187,B289='Model update'!$U$187,B289='Model update'!$V$187,B289='Model update'!$W$187),'Model update'!$J$187,IF(OR(B289='Model update'!$P$188,B289='Model update'!$Q$188,B289='Model update'!$R$188,B289='Model update'!$S$188,B289='Model update'!$T$188,B289='Model update'!$U$188,B289='Model update'!$V$188,B289='Model update'!$W$188),'Model update'!$J$188,'Model update'!$J$186))</f>
        <v>-9.8252646141938002E-3</v>
      </c>
      <c r="L289" s="465">
        <f>J289*(1+'Model update'!$B$31)*(1-'2021_ACS service &amp; prices'!K289)+'Model update'!$J$196</f>
        <v>1413.7566459842847</v>
      </c>
      <c r="M289" s="211"/>
    </row>
    <row r="290" spans="2:13" ht="26.4">
      <c r="B290" s="253" t="s">
        <v>601</v>
      </c>
      <c r="C290" s="253" t="str">
        <f>VLOOKUP(B290,'2020-21 feebased approved'!$A$4:$H$313,2,FALSE)</f>
        <v>MRCL1MBU</v>
      </c>
      <c r="D290" s="253" t="s">
        <v>717</v>
      </c>
      <c r="E290" s="253" t="s">
        <v>864</v>
      </c>
      <c r="F290" s="253" t="s">
        <v>734</v>
      </c>
      <c r="G290" s="253" t="s">
        <v>626</v>
      </c>
      <c r="H290" s="251" t="s">
        <v>627</v>
      </c>
      <c r="I290" s="252" t="s">
        <v>170</v>
      </c>
      <c r="J290" s="458">
        <f>VLOOKUP(B290,'2020-21 feebased approved'!$A$4:$H$313,'2020-21 feebased approved'!$H$1,FALSE)</f>
        <v>135.86625959710659</v>
      </c>
      <c r="K290" s="461">
        <f>IF(OR(B290='Model update'!$P$187,B290='Model update'!$Q$187,B290='Model update'!$R$187,B290='Model update'!$S$187,B290='Model update'!$T$187,B290='Model update'!$U$187,B290='Model update'!$V$187,B290='Model update'!$W$187),'Model update'!$J$187,IF(OR(B290='Model update'!$P$188,B290='Model update'!$Q$188,B290='Model update'!$R$188,B290='Model update'!$S$188,B290='Model update'!$T$188,B290='Model update'!$U$188,B290='Model update'!$V$188,B290='Model update'!$W$188),'Model update'!$J$188,'Model update'!$J$186))</f>
        <v>-9.8252646141938002E-3</v>
      </c>
      <c r="L290" s="465">
        <f>J290*(1+'Model update'!$B$31)*(1-'2021_ACS service &amp; prices'!K290)+'Model update'!$J$196</f>
        <v>138.38191460959777</v>
      </c>
      <c r="M290" s="211"/>
    </row>
    <row r="291" spans="2:13" ht="26.4">
      <c r="B291" s="253" t="s">
        <v>602</v>
      </c>
      <c r="C291" s="253" t="str">
        <f>VLOOKUP(B291,'2020-21 feebased approved'!$A$4:$H$313,2,FALSE)</f>
        <v>MRCL1MBL
MRCL1MBI</v>
      </c>
      <c r="D291" s="253" t="s">
        <v>717</v>
      </c>
      <c r="E291" s="253" t="s">
        <v>864</v>
      </c>
      <c r="F291" s="253" t="s">
        <v>734</v>
      </c>
      <c r="G291" s="253" t="s">
        <v>626</v>
      </c>
      <c r="H291" s="251" t="s">
        <v>628</v>
      </c>
      <c r="I291" s="252" t="s">
        <v>170</v>
      </c>
      <c r="J291" s="458">
        <f>VLOOKUP(B291,'2020-21 feebased approved'!$A$4:$H$313,'2020-21 feebased approved'!$H$1,FALSE)</f>
        <v>428.03531426763965</v>
      </c>
      <c r="K291" s="461">
        <f>IF(OR(B291='Model update'!$P$187,B291='Model update'!$Q$187,B291='Model update'!$R$187,B291='Model update'!$S$187,B291='Model update'!$T$187,B291='Model update'!$U$187,B291='Model update'!$V$187,B291='Model update'!$W$187),'Model update'!$J$187,IF(OR(B291='Model update'!$P$188,B291='Model update'!$Q$188,B291='Model update'!$R$188,B291='Model update'!$S$188,B291='Model update'!$T$188,B291='Model update'!$U$188,B291='Model update'!$V$188,B291='Model update'!$W$188),'Model update'!$J$188,'Model update'!$J$186))</f>
        <v>-9.8252646141938002E-3</v>
      </c>
      <c r="L291" s="465">
        <f>J291*(1+'Model update'!$B$31)*(1-'2021_ACS service &amp; prices'!K291)+'Model update'!$J$196</f>
        <v>435.96067547986189</v>
      </c>
      <c r="M291" s="211"/>
    </row>
    <row r="292" spans="2:13" ht="26.4">
      <c r="B292" s="253" t="s">
        <v>603</v>
      </c>
      <c r="C292" s="253" t="str">
        <f>VLOOKUP(B292,'2020-21 feebased approved'!$A$4:$H$313,2,FALSE)</f>
        <v>MRCL2MBU</v>
      </c>
      <c r="D292" s="253" t="s">
        <v>717</v>
      </c>
      <c r="E292" s="253" t="s">
        <v>864</v>
      </c>
      <c r="F292" s="253" t="s">
        <v>734</v>
      </c>
      <c r="G292" s="253" t="s">
        <v>630</v>
      </c>
      <c r="H292" s="251" t="s">
        <v>627</v>
      </c>
      <c r="I292" s="252" t="s">
        <v>170</v>
      </c>
      <c r="J292" s="458">
        <f>VLOOKUP(B292,'2020-21 feebased approved'!$A$4:$H$313,'2020-21 feebased approved'!$H$1,FALSE)</f>
        <v>432.70068839411533</v>
      </c>
      <c r="K292" s="461">
        <f>IF(OR(B292='Model update'!$P$187,B292='Model update'!$Q$187,B292='Model update'!$R$187,B292='Model update'!$S$187,B292='Model update'!$T$187,B292='Model update'!$U$187,B292='Model update'!$V$187,B292='Model update'!$W$187),'Model update'!$J$187,IF(OR(B292='Model update'!$P$188,B292='Model update'!$Q$188,B292='Model update'!$R$188,B292='Model update'!$S$188,B292='Model update'!$T$188,B292='Model update'!$U$188,B292='Model update'!$V$188,B292='Model update'!$W$188),'Model update'!$J$188,'Model update'!$J$186))</f>
        <v>-9.8252646141938002E-3</v>
      </c>
      <c r="L292" s="465">
        <f>J292*(1+'Model update'!$B$31)*(1-'2021_ACS service &amp; prices'!K292)+'Model update'!$J$196</f>
        <v>440.71243214046501</v>
      </c>
      <c r="M292" s="211"/>
    </row>
    <row r="293" spans="2:13" ht="26.4">
      <c r="B293" s="253" t="s">
        <v>604</v>
      </c>
      <c r="C293" s="253" t="str">
        <f>VLOOKUP(B293,'2020-21 feebased approved'!$A$4:$H$313,2,FALSE)</f>
        <v>MRCL2MBL
MRCL2MBI</v>
      </c>
      <c r="D293" s="253" t="s">
        <v>717</v>
      </c>
      <c r="E293" s="253" t="s">
        <v>864</v>
      </c>
      <c r="F293" s="253" t="s">
        <v>734</v>
      </c>
      <c r="G293" s="253" t="s">
        <v>630</v>
      </c>
      <c r="H293" s="251" t="s">
        <v>628</v>
      </c>
      <c r="I293" s="252" t="s">
        <v>170</v>
      </c>
      <c r="J293" s="458">
        <f>VLOOKUP(B293,'2020-21 feebased approved'!$A$4:$H$313,'2020-21 feebased approved'!$H$1,FALSE)</f>
        <v>1017.0387977351816</v>
      </c>
      <c r="K293" s="461">
        <f>IF(OR(B293='Model update'!$P$187,B293='Model update'!$Q$187,B293='Model update'!$R$187,B293='Model update'!$S$187,B293='Model update'!$T$187,B293='Model update'!$U$187,B293='Model update'!$V$187,B293='Model update'!$W$187),'Model update'!$J$187,IF(OR(B293='Model update'!$P$188,B293='Model update'!$Q$188,B293='Model update'!$R$188,B293='Model update'!$S$188,B293='Model update'!$T$188,B293='Model update'!$U$188,B293='Model update'!$V$188,B293='Model update'!$W$188),'Model update'!$J$188,'Model update'!$J$186))</f>
        <v>-9.8252646141938002E-3</v>
      </c>
      <c r="L293" s="465">
        <f>J293*(1+'Model update'!$B$31)*(1-'2021_ACS service &amp; prices'!K293)+'Model update'!$J$196</f>
        <v>1035.8699538809933</v>
      </c>
      <c r="M293" s="211"/>
    </row>
    <row r="294" spans="2:13" ht="39.6">
      <c r="B294" s="253" t="s">
        <v>605</v>
      </c>
      <c r="C294" s="253" t="str">
        <f>VLOOKUP(B294,'2020-21 feebased approved'!$A$4:$H$313,2,FALSE)</f>
        <v>MM1MBU</v>
      </c>
      <c r="D294" s="253" t="s">
        <v>717</v>
      </c>
      <c r="E294" s="253" t="s">
        <v>865</v>
      </c>
      <c r="F294" s="253" t="s">
        <v>735</v>
      </c>
      <c r="G294" s="253" t="s">
        <v>626</v>
      </c>
      <c r="H294" s="251" t="s">
        <v>627</v>
      </c>
      <c r="I294" s="252" t="s">
        <v>170</v>
      </c>
      <c r="J294" s="458">
        <f>VLOOKUP(B294,'2020-21 feebased approved'!$A$4:$H$313,'2020-21 feebased approved'!$H$1,FALSE)</f>
        <v>137.72439999661614</v>
      </c>
      <c r="K294" s="461">
        <f>IF(OR(B294='Model update'!$P$187,B294='Model update'!$Q$187,B294='Model update'!$R$187,B294='Model update'!$S$187,B294='Model update'!$T$187,B294='Model update'!$U$187,B294='Model update'!$V$187,B294='Model update'!$W$187),'Model update'!$J$187,IF(OR(B294='Model update'!$P$188,B294='Model update'!$Q$188,B294='Model update'!$R$188,B294='Model update'!$S$188,B294='Model update'!$T$188,B294='Model update'!$U$188,B294='Model update'!$V$188,B294='Model update'!$W$188),'Model update'!$J$188,'Model update'!$J$186))</f>
        <v>-9.8252646141938002E-3</v>
      </c>
      <c r="L294" s="465">
        <f>J294*(1+'Model update'!$B$31)*(1-'2021_ACS service &amp; prices'!K294)+'Model update'!$J$196</f>
        <v>140.27445972609738</v>
      </c>
      <c r="M294" s="211"/>
    </row>
    <row r="295" spans="2:13" ht="39.6">
      <c r="B295" s="253" t="s">
        <v>606</v>
      </c>
      <c r="C295" s="253" t="str">
        <f>VLOOKUP(B295,'2020-21 feebased approved'!$A$4:$H$313,2,FALSE)</f>
        <v>MM1MBL
MM1MBI</v>
      </c>
      <c r="D295" s="253" t="s">
        <v>717</v>
      </c>
      <c r="E295" s="253" t="s">
        <v>865</v>
      </c>
      <c r="F295" s="253" t="s">
        <v>735</v>
      </c>
      <c r="G295" s="253" t="s">
        <v>626</v>
      </c>
      <c r="H295" s="251" t="s">
        <v>628</v>
      </c>
      <c r="I295" s="252" t="s">
        <v>170</v>
      </c>
      <c r="J295" s="458">
        <f>VLOOKUP(B295,'2020-21 feebased approved'!$A$4:$H$313,'2020-21 feebased approved'!$H$1,FALSE)</f>
        <v>238.38334992789623</v>
      </c>
      <c r="K295" s="461">
        <f>IF(OR(B295='Model update'!$P$187,B295='Model update'!$Q$187,B295='Model update'!$R$187,B295='Model update'!$S$187,B295='Model update'!$T$187,B295='Model update'!$U$187,B295='Model update'!$V$187,B295='Model update'!$W$187),'Model update'!$J$187,IF(OR(B295='Model update'!$P$188,B295='Model update'!$Q$188,B295='Model update'!$R$188,B295='Model update'!$S$188,B295='Model update'!$T$188,B295='Model update'!$U$188,B295='Model update'!$V$188,B295='Model update'!$W$188),'Model update'!$J$188,'Model update'!$J$186))</f>
        <v>-9.8252646141938002E-3</v>
      </c>
      <c r="L295" s="465">
        <f>J295*(1+'Model update'!$B$31)*(1-'2021_ACS service &amp; prices'!K295)+'Model update'!$J$196</f>
        <v>242.79717769439878</v>
      </c>
      <c r="M295" s="211"/>
    </row>
    <row r="296" spans="2:13" ht="39.6">
      <c r="B296" s="253" t="s">
        <v>607</v>
      </c>
      <c r="C296" s="253" t="str">
        <f>VLOOKUP(B296,'2020-21 feebased approved'!$A$4:$H$313,2,FALSE)</f>
        <v>MM1MAU</v>
      </c>
      <c r="D296" s="253" t="s">
        <v>717</v>
      </c>
      <c r="E296" s="253" t="s">
        <v>865</v>
      </c>
      <c r="F296" s="253" t="s">
        <v>735</v>
      </c>
      <c r="G296" s="253" t="s">
        <v>629</v>
      </c>
      <c r="H296" s="251" t="s">
        <v>627</v>
      </c>
      <c r="I296" s="252" t="s">
        <v>170</v>
      </c>
      <c r="J296" s="458">
        <f>VLOOKUP(B296,'2020-21 feebased approved'!$A$4:$H$313,'2020-21 feebased approved'!$H$1,FALSE)</f>
        <v>186.3273974259364</v>
      </c>
      <c r="K296" s="461">
        <f>IF(OR(B296='Model update'!$P$187,B296='Model update'!$Q$187,B296='Model update'!$R$187,B296='Model update'!$S$187,B296='Model update'!$T$187,B296='Model update'!$U$187,B296='Model update'!$V$187,B296='Model update'!$W$187),'Model update'!$J$187,IF(OR(B296='Model update'!$P$188,B296='Model update'!$Q$188,B296='Model update'!$R$188,B296='Model update'!$S$188,B296='Model update'!$T$188,B296='Model update'!$U$188,B296='Model update'!$V$188,B296='Model update'!$W$188),'Model update'!$J$188,'Model update'!$J$186))</f>
        <v>-9.8252646141938002E-3</v>
      </c>
      <c r="L296" s="465">
        <f>J296*(1+'Model update'!$B$31)*(1-'2021_ACS service &amp; prices'!K296)+'Model update'!$J$196</f>
        <v>189.7773742832442</v>
      </c>
      <c r="M296" s="211"/>
    </row>
    <row r="297" spans="2:13" ht="39.6">
      <c r="B297" s="253" t="s">
        <v>608</v>
      </c>
      <c r="C297" s="253" t="str">
        <f>VLOOKUP(B297,'2020-21 feebased approved'!$A$4:$H$313,2,FALSE)</f>
        <v>MM1MAL
MM1MAI</v>
      </c>
      <c r="D297" s="253" t="s">
        <v>717</v>
      </c>
      <c r="E297" s="253" t="s">
        <v>865</v>
      </c>
      <c r="F297" s="253" t="s">
        <v>735</v>
      </c>
      <c r="G297" s="253" t="s">
        <v>629</v>
      </c>
      <c r="H297" s="251" t="s">
        <v>628</v>
      </c>
      <c r="I297" s="252" t="s">
        <v>170</v>
      </c>
      <c r="J297" s="458">
        <f>VLOOKUP(B297,'2020-21 feebased approved'!$A$4:$H$313,'2020-21 feebased approved'!$H$1,FALSE)</f>
        <v>318.64948466264798</v>
      </c>
      <c r="K297" s="461">
        <f>IF(OR(B297='Model update'!$P$187,B297='Model update'!$Q$187,B297='Model update'!$R$187,B297='Model update'!$S$187,B297='Model update'!$T$187,B297='Model update'!$U$187,B297='Model update'!$V$187,B297='Model update'!$W$187),'Model update'!$J$187,IF(OR(B297='Model update'!$P$188,B297='Model update'!$Q$188,B297='Model update'!$R$188,B297='Model update'!$S$188,B297='Model update'!$T$188,B297='Model update'!$U$188,B297='Model update'!$V$188,B297='Model update'!$W$188),'Model update'!$J$188,'Model update'!$J$186))</f>
        <v>-9.8252646141938002E-3</v>
      </c>
      <c r="L297" s="465">
        <f>J297*(1+'Model update'!$B$31)*(1-'2021_ACS service &amp; prices'!K297)+'Model update'!$J$196</f>
        <v>324.54949380175577</v>
      </c>
      <c r="M297" s="211"/>
    </row>
    <row r="298" spans="2:13" ht="39.6">
      <c r="B298" s="253" t="s">
        <v>609</v>
      </c>
      <c r="C298" s="253" t="str">
        <f>VLOOKUP(B298,'2020-21 feebased approved'!$A$4:$H$313,2,FALSE)</f>
        <v>MM2MBU</v>
      </c>
      <c r="D298" s="253" t="s">
        <v>717</v>
      </c>
      <c r="E298" s="253" t="s">
        <v>865</v>
      </c>
      <c r="F298" s="253" t="s">
        <v>735</v>
      </c>
      <c r="G298" s="253" t="s">
        <v>630</v>
      </c>
      <c r="H298" s="251" t="s">
        <v>627</v>
      </c>
      <c r="I298" s="252" t="s">
        <v>170</v>
      </c>
      <c r="J298" s="458">
        <f>VLOOKUP(B298,'2020-21 feebased approved'!$A$4:$H$313,'2020-21 feebased approved'!$H$1,FALSE)</f>
        <v>916.73325401595639</v>
      </c>
      <c r="K298" s="461">
        <f>IF(OR(B298='Model update'!$P$187,B298='Model update'!$Q$187,B298='Model update'!$R$187,B298='Model update'!$S$187,B298='Model update'!$T$187,B298='Model update'!$U$187,B298='Model update'!$V$187,B298='Model update'!$W$187),'Model update'!$J$187,IF(OR(B298='Model update'!$P$188,B298='Model update'!$Q$188,B298='Model update'!$R$188,B298='Model update'!$S$188,B298='Model update'!$T$188,B298='Model update'!$U$188,B298='Model update'!$V$188,B298='Model update'!$W$188),'Model update'!$J$188,'Model update'!$J$186))</f>
        <v>-9.8252646141938002E-3</v>
      </c>
      <c r="L298" s="465">
        <f>J298*(1+'Model update'!$B$31)*(1-'2021_ACS service &amp; prices'!K298)+'Model update'!$J$196</f>
        <v>933.70718567802817</v>
      </c>
      <c r="M298" s="211"/>
    </row>
    <row r="299" spans="2:13" ht="39.6">
      <c r="B299" s="253" t="s">
        <v>610</v>
      </c>
      <c r="C299" s="253" t="str">
        <f>VLOOKUP(B299,'2020-21 feebased approved'!$A$4:$H$313,2,FALSE)</f>
        <v>MM2MBL
MM2MBI</v>
      </c>
      <c r="D299" s="253" t="s">
        <v>717</v>
      </c>
      <c r="E299" s="253" t="s">
        <v>865</v>
      </c>
      <c r="F299" s="253" t="s">
        <v>735</v>
      </c>
      <c r="G299" s="253" t="s">
        <v>630</v>
      </c>
      <c r="H299" s="251" t="s">
        <v>628</v>
      </c>
      <c r="I299" s="252" t="s">
        <v>170</v>
      </c>
      <c r="J299" s="458">
        <f>VLOOKUP(B299,'2020-21 feebased approved'!$A$4:$H$313,'2020-21 feebased approved'!$H$1,FALSE)</f>
        <v>1501.0713633570226</v>
      </c>
      <c r="K299" s="461">
        <f>IF(OR(B299='Model update'!$P$187,B299='Model update'!$Q$187,B299='Model update'!$R$187,B299='Model update'!$S$187,B299='Model update'!$T$187,B299='Model update'!$U$187,B299='Model update'!$V$187,B299='Model update'!$W$187),'Model update'!$J$187,IF(OR(B299='Model update'!$P$188,B299='Model update'!$Q$188,B299='Model update'!$R$188,B299='Model update'!$S$188,B299='Model update'!$T$188,B299='Model update'!$U$188,B299='Model update'!$V$188,B299='Model update'!$W$188),'Model update'!$J$188,'Model update'!$J$186))</f>
        <v>-9.8252646141938002E-3</v>
      </c>
      <c r="L299" s="465">
        <f>J299*(1+'Model update'!$B$31)*(1-'2021_ACS service &amp; prices'!K299)+'Model update'!$J$196</f>
        <v>1528.8647074185565</v>
      </c>
      <c r="M299" s="211"/>
    </row>
    <row r="300" spans="2:13" ht="39.6">
      <c r="B300" s="253" t="s">
        <v>611</v>
      </c>
      <c r="C300" s="253" t="str">
        <f>VLOOKUP(B300,'2020-21 feebased approved'!$A$4:$H$313,2,FALSE)</f>
        <v>MM2MAU</v>
      </c>
      <c r="D300" s="253" t="s">
        <v>717</v>
      </c>
      <c r="E300" s="253" t="s">
        <v>865</v>
      </c>
      <c r="F300" s="253" t="s">
        <v>735</v>
      </c>
      <c r="G300" s="253" t="s">
        <v>632</v>
      </c>
      <c r="H300" s="251" t="s">
        <v>627</v>
      </c>
      <c r="I300" s="252" t="s">
        <v>170</v>
      </c>
      <c r="J300" s="458">
        <f>VLOOKUP(B300,'2020-21 feebased approved'!$A$4:$H$313,'2020-21 feebased approved'!$H$1,FALSE)</f>
        <v>1202.5354040093252</v>
      </c>
      <c r="K300" s="461">
        <f>IF(OR(B300='Model update'!$P$187,B300='Model update'!$Q$187,B300='Model update'!$R$187,B300='Model update'!$S$187,B300='Model update'!$T$187,B300='Model update'!$U$187,B300='Model update'!$V$187,B300='Model update'!$W$187),'Model update'!$J$187,IF(OR(B300='Model update'!$P$188,B300='Model update'!$Q$188,B300='Model update'!$R$188,B300='Model update'!$S$188,B300='Model update'!$T$188,B300='Model update'!$U$188,B300='Model update'!$V$188,B300='Model update'!$W$188),'Model update'!$J$188,'Model update'!$J$186))</f>
        <v>-9.8252646141938002E-3</v>
      </c>
      <c r="L300" s="465">
        <f>J300*(1+'Model update'!$B$31)*(1-'2021_ACS service &amp; prices'!K300)+'Model update'!$J$196</f>
        <v>1224.801154356504</v>
      </c>
      <c r="M300" s="211"/>
    </row>
    <row r="301" spans="2:13" ht="39.6">
      <c r="B301" s="253" t="s">
        <v>612</v>
      </c>
      <c r="C301" s="253" t="str">
        <f>VLOOKUP(B301,'2020-21 feebased approved'!$A$4:$H$313,2,FALSE)</f>
        <v>MM2MAL
MM2MAI</v>
      </c>
      <c r="D301" s="253" t="s">
        <v>717</v>
      </c>
      <c r="E301" s="253" t="s">
        <v>865</v>
      </c>
      <c r="F301" s="253" t="s">
        <v>735</v>
      </c>
      <c r="G301" s="253" t="s">
        <v>632</v>
      </c>
      <c r="H301" s="251" t="s">
        <v>628</v>
      </c>
      <c r="I301" s="252" t="s">
        <v>170</v>
      </c>
      <c r="J301" s="458">
        <f>VLOOKUP(B301,'2020-21 feebased approved'!$A$4:$H$313,'2020-21 feebased approved'!$H$1,FALSE)</f>
        <v>1970.6820847838676</v>
      </c>
      <c r="K301" s="461">
        <f>IF(OR(B301='Model update'!$P$187,B301='Model update'!$Q$187,B301='Model update'!$R$187,B301='Model update'!$S$187,B301='Model update'!$T$187,B301='Model update'!$U$187,B301='Model update'!$V$187,B301='Model update'!$W$187),'Model update'!$J$187,IF(OR(B301='Model update'!$P$188,B301='Model update'!$Q$188,B301='Model update'!$R$188,B301='Model update'!$S$188,B301='Model update'!$T$188,B301='Model update'!$U$188,B301='Model update'!$V$188,B301='Model update'!$W$188),'Model update'!$J$188,'Model update'!$J$186))</f>
        <v>-9.8252646141938002E-3</v>
      </c>
      <c r="L301" s="465">
        <f>J301*(1+'Model update'!$B$31)*(1-'2021_ACS service &amp; prices'!K301)+'Model update'!$J$196</f>
        <v>2007.1705866335108</v>
      </c>
      <c r="M301" s="211"/>
    </row>
    <row r="302" spans="2:13" ht="39.6">
      <c r="B302" s="253" t="s">
        <v>613</v>
      </c>
      <c r="C302" s="253" t="str">
        <f>VLOOKUP(B302,'2020-21 feebased approved'!$A$4:$H$313,2,FALSE)</f>
        <v>SRCRBU</v>
      </c>
      <c r="D302" s="253" t="s">
        <v>717</v>
      </c>
      <c r="E302" s="253" t="s">
        <v>866</v>
      </c>
      <c r="F302" s="253" t="s">
        <v>736</v>
      </c>
      <c r="G302" s="253" t="s">
        <v>636</v>
      </c>
      <c r="H302" s="251" t="s">
        <v>627</v>
      </c>
      <c r="I302" s="252" t="s">
        <v>170</v>
      </c>
      <c r="J302" s="458">
        <f>VLOOKUP(B302,'2020-21 feebased approved'!$A$4:$H$313,'2020-21 feebased approved'!$H$1,FALSE)</f>
        <v>35.323921247213136</v>
      </c>
      <c r="K302" s="461">
        <f>IF(OR(B302='Model update'!$P$187,B302='Model update'!$Q$187,B302='Model update'!$R$187,B302='Model update'!$S$187,B302='Model update'!$T$187,B302='Model update'!$U$187,B302='Model update'!$V$187,B302='Model update'!$W$187),'Model update'!$J$187,IF(OR(B302='Model update'!$P$188,B302='Model update'!$Q$188,B302='Model update'!$R$188,B302='Model update'!$S$188,B302='Model update'!$T$188,B302='Model update'!$U$188,B302='Model update'!$V$188,B302='Model update'!$W$188),'Model update'!$J$188,'Model update'!$J$186))</f>
        <v>-9.8252646141938002E-3</v>
      </c>
      <c r="L302" s="465">
        <f>J302*(1+'Model update'!$B$31)*(1-'2021_ACS service &amp; prices'!K302)+'Model update'!$J$196</f>
        <v>35.977967364401508</v>
      </c>
      <c r="M302" s="211"/>
    </row>
    <row r="303" spans="2:13" ht="39.6">
      <c r="B303" s="253" t="s">
        <v>614</v>
      </c>
      <c r="C303" s="253" t="str">
        <f>VLOOKUP(B303,'2020-21 feebased approved'!$A$4:$H$313,2,FALSE)</f>
        <v>SRCRBL
SRCRBI</v>
      </c>
      <c r="D303" s="253" t="s">
        <v>717</v>
      </c>
      <c r="E303" s="253" t="s">
        <v>866</v>
      </c>
      <c r="F303" s="253" t="s">
        <v>736</v>
      </c>
      <c r="G303" s="253" t="s">
        <v>636</v>
      </c>
      <c r="H303" s="251" t="s">
        <v>628</v>
      </c>
      <c r="I303" s="252" t="s">
        <v>170</v>
      </c>
      <c r="J303" s="458">
        <f>VLOOKUP(B303,'2020-21 feebased approved'!$A$4:$H$313,'2020-21 feebased approved'!$H$1,FALSE)</f>
        <v>35.323921247213136</v>
      </c>
      <c r="K303" s="461">
        <f>IF(OR(B303='Model update'!$P$187,B303='Model update'!$Q$187,B303='Model update'!$R$187,B303='Model update'!$S$187,B303='Model update'!$T$187,B303='Model update'!$U$187,B303='Model update'!$V$187,B303='Model update'!$W$187),'Model update'!$J$187,IF(OR(B303='Model update'!$P$188,B303='Model update'!$Q$188,B303='Model update'!$R$188,B303='Model update'!$S$188,B303='Model update'!$T$188,B303='Model update'!$U$188,B303='Model update'!$V$188,B303='Model update'!$W$188),'Model update'!$J$188,'Model update'!$J$186))</f>
        <v>-9.8252646141938002E-3</v>
      </c>
      <c r="L303" s="465">
        <f>J303*(1+'Model update'!$B$31)*(1-'2021_ACS service &amp; prices'!K303)+'Model update'!$J$196</f>
        <v>35.977967364401508</v>
      </c>
      <c r="M303" s="211"/>
    </row>
    <row r="304" spans="2:13" ht="26.4">
      <c r="B304" s="253" t="s">
        <v>615</v>
      </c>
      <c r="C304" s="253" t="str">
        <f>VLOOKUP(B304,'2020-21 feebased approved'!$A$4:$H$313,2,FALSE)</f>
        <v>RNRRBU</v>
      </c>
      <c r="D304" s="253" t="s">
        <v>717</v>
      </c>
      <c r="E304" s="253" t="s">
        <v>866</v>
      </c>
      <c r="F304" s="253" t="s">
        <v>737</v>
      </c>
      <c r="G304" s="253" t="s">
        <v>636</v>
      </c>
      <c r="H304" s="251" t="s">
        <v>627</v>
      </c>
      <c r="I304" s="252" t="s">
        <v>170</v>
      </c>
      <c r="J304" s="458">
        <f>VLOOKUP(B304,'2020-21 feebased approved'!$A$4:$H$313,'2020-21 feebased approved'!$H$1,FALSE)</f>
        <v>35.323921247213136</v>
      </c>
      <c r="K304" s="461">
        <f>IF(OR(B304='Model update'!$P$187,B304='Model update'!$Q$187,B304='Model update'!$R$187,B304='Model update'!$S$187,B304='Model update'!$T$187,B304='Model update'!$U$187,B304='Model update'!$V$187,B304='Model update'!$W$187),'Model update'!$J$187,IF(OR(B304='Model update'!$P$188,B304='Model update'!$Q$188,B304='Model update'!$R$188,B304='Model update'!$S$188,B304='Model update'!$T$188,B304='Model update'!$U$188,B304='Model update'!$V$188,B304='Model update'!$W$188),'Model update'!$J$188,'Model update'!$J$186))</f>
        <v>-9.8252646141938002E-3</v>
      </c>
      <c r="L304" s="465">
        <f>J304*(1+'Model update'!$B$31)*(1-'2021_ACS service &amp; prices'!K304)+'Model update'!$J$196</f>
        <v>35.977967364401508</v>
      </c>
      <c r="M304" s="211"/>
    </row>
    <row r="305" spans="2:16384" ht="26.4">
      <c r="B305" s="253" t="s">
        <v>616</v>
      </c>
      <c r="C305" s="253" t="str">
        <f>VLOOKUP(B305,'2020-21 feebased approved'!$A$4:$H$313,2,FALSE)</f>
        <v>RNRRBL
RNRRBI</v>
      </c>
      <c r="D305" s="253" t="s">
        <v>717</v>
      </c>
      <c r="E305" s="253" t="s">
        <v>866</v>
      </c>
      <c r="F305" s="253" t="s">
        <v>737</v>
      </c>
      <c r="G305" s="253" t="s">
        <v>636</v>
      </c>
      <c r="H305" s="251" t="s">
        <v>628</v>
      </c>
      <c r="I305" s="252" t="s">
        <v>170</v>
      </c>
      <c r="J305" s="458">
        <f>VLOOKUP(B305,'2020-21 feebased approved'!$A$4:$H$313,'2020-21 feebased approved'!$H$1,FALSE)</f>
        <v>35.323921247213136</v>
      </c>
      <c r="K305" s="461">
        <f>IF(OR(B305='Model update'!$P$187,B305='Model update'!$Q$187,B305='Model update'!$R$187,B305='Model update'!$S$187,B305='Model update'!$T$187,B305='Model update'!$U$187,B305='Model update'!$V$187,B305='Model update'!$W$187),'Model update'!$J$187,IF(OR(B305='Model update'!$P$188,B305='Model update'!$Q$188,B305='Model update'!$R$188,B305='Model update'!$S$188,B305='Model update'!$T$188,B305='Model update'!$U$188,B305='Model update'!$V$188,B305='Model update'!$W$188),'Model update'!$J$188,'Model update'!$J$186))</f>
        <v>-9.8252646141938002E-3</v>
      </c>
      <c r="L305" s="465">
        <f>J305*(1+'Model update'!$B$31)*(1-'2021_ACS service &amp; prices'!K305)+'Model update'!$J$196</f>
        <v>35.977967364401508</v>
      </c>
      <c r="M305" s="211"/>
    </row>
    <row r="306" spans="2:16384" ht="26.4">
      <c r="B306" s="253" t="s">
        <v>617</v>
      </c>
      <c r="C306" s="253" t="str">
        <f>VLOOKUP(B306,'2020-21 feebased approved'!$A$4:$H$313,2,FALSE)</f>
        <v>SRTRBU</v>
      </c>
      <c r="D306" s="253" t="s">
        <v>717</v>
      </c>
      <c r="E306" s="253" t="s">
        <v>866</v>
      </c>
      <c r="F306" s="253" t="s">
        <v>1765</v>
      </c>
      <c r="G306" s="253" t="s">
        <v>636</v>
      </c>
      <c r="H306" s="251" t="s">
        <v>627</v>
      </c>
      <c r="I306" s="252" t="s">
        <v>170</v>
      </c>
      <c r="J306" s="458">
        <f>VLOOKUP(B306,'2020-21 feebased approved'!$A$4:$H$313,'2020-21 feebased approved'!$H$1,FALSE)</f>
        <v>35.323921247213136</v>
      </c>
      <c r="K306" s="461">
        <f>IF(OR(B306='Model update'!$P$187,B306='Model update'!$Q$187,B306='Model update'!$R$187,B306='Model update'!$S$187,B306='Model update'!$T$187,B306='Model update'!$U$187,B306='Model update'!$V$187,B306='Model update'!$W$187),'Model update'!$J$187,IF(OR(B306='Model update'!$P$188,B306='Model update'!$Q$188,B306='Model update'!$R$188,B306='Model update'!$S$188,B306='Model update'!$T$188,B306='Model update'!$U$188,B306='Model update'!$V$188,B306='Model update'!$W$188),'Model update'!$J$188,'Model update'!$J$186))</f>
        <v>-9.8252646141938002E-3</v>
      </c>
      <c r="L306" s="465">
        <f>J306*(1+'Model update'!$B$31)*(1-'2021_ACS service &amp; prices'!K306)+'Model update'!$J$196</f>
        <v>35.977967364401508</v>
      </c>
      <c r="M306" s="211"/>
    </row>
    <row r="307" spans="2:16384" ht="26.4">
      <c r="B307" s="253" t="s">
        <v>618</v>
      </c>
      <c r="C307" s="253" t="str">
        <f>VLOOKUP(B307,'2020-21 feebased approved'!$A$4:$H$313,2,FALSE)</f>
        <v>SRTRBL
SRTRBI</v>
      </c>
      <c r="D307" s="253" t="s">
        <v>717</v>
      </c>
      <c r="E307" s="253" t="s">
        <v>866</v>
      </c>
      <c r="F307" s="253" t="s">
        <v>1765</v>
      </c>
      <c r="G307" s="253" t="s">
        <v>636</v>
      </c>
      <c r="H307" s="251" t="s">
        <v>628</v>
      </c>
      <c r="I307" s="252" t="s">
        <v>170</v>
      </c>
      <c r="J307" s="458">
        <f>VLOOKUP(B307,'2020-21 feebased approved'!$A$4:$H$313,'2020-21 feebased approved'!$H$1,FALSE)</f>
        <v>35.323921247213136</v>
      </c>
      <c r="K307" s="461">
        <f>IF(OR(B307='Model update'!$P$187,B307='Model update'!$Q$187,B307='Model update'!$R$187,B307='Model update'!$S$187,B307='Model update'!$T$187,B307='Model update'!$U$187,B307='Model update'!$V$187,B307='Model update'!$W$187),'Model update'!$J$187,IF(OR(B307='Model update'!$P$188,B307='Model update'!$Q$188,B307='Model update'!$R$188,B307='Model update'!$S$188,B307='Model update'!$T$188,B307='Model update'!$U$188,B307='Model update'!$V$188,B307='Model update'!$W$188),'Model update'!$J$188,'Model update'!$J$186))</f>
        <v>-9.8252646141938002E-3</v>
      </c>
      <c r="L307" s="465">
        <f>J307*(1+'Model update'!$B$31)*(1-'2021_ACS service &amp; prices'!K307)+'Model update'!$J$196</f>
        <v>35.977967364401508</v>
      </c>
      <c r="M307" s="211"/>
    </row>
    <row r="308" spans="2:16384" ht="26.4">
      <c r="B308" s="253" t="s">
        <v>619</v>
      </c>
      <c r="C308" s="253" t="str">
        <f>VLOOKUP(B308,'2020-21 feebased approved'!$A$4:$H$313,2,FALSE)</f>
        <v>LPDBU</v>
      </c>
      <c r="D308" s="253" t="s">
        <v>717</v>
      </c>
      <c r="E308" s="253" t="s">
        <v>867</v>
      </c>
      <c r="F308" s="253" t="s">
        <v>738</v>
      </c>
      <c r="G308" s="253" t="s">
        <v>636</v>
      </c>
      <c r="H308" s="251" t="s">
        <v>627</v>
      </c>
      <c r="I308" s="252" t="s">
        <v>170</v>
      </c>
      <c r="J308" s="458">
        <f>VLOOKUP(B308,'2020-21 feebased approved'!$A$4:$H$313,'2020-21 feebased approved'!$H$1,FALSE)</f>
        <v>145.20976968655236</v>
      </c>
      <c r="K308" s="461">
        <f>IF(OR(B308='Model update'!$P$187,B308='Model update'!$Q$187,B308='Model update'!$R$187,B308='Model update'!$S$187,B308='Model update'!$T$187,B308='Model update'!$U$187,B308='Model update'!$V$187,B308='Model update'!$W$187),'Model update'!$J$187,IF(OR(B308='Model update'!$P$188,B308='Model update'!$Q$188,B308='Model update'!$R$188,B308='Model update'!$S$188,B308='Model update'!$T$188,B308='Model update'!$U$188,B308='Model update'!$V$188,B308='Model update'!$W$188),'Model update'!$J$188,'Model update'!$J$186))</f>
        <v>-9.8252646141938002E-3</v>
      </c>
      <c r="L308" s="465">
        <f>J308*(1+'Model update'!$B$31)*(1-'2021_ACS service &amp; prices'!K308)+'Model update'!$J$196</f>
        <v>147.89842606126899</v>
      </c>
      <c r="M308" s="211"/>
    </row>
    <row r="309" spans="2:16384" ht="26.4">
      <c r="B309" s="253" t="s">
        <v>620</v>
      </c>
      <c r="C309" s="253" t="str">
        <f>VLOOKUP(B309,'2020-21 feebased approved'!$A$4:$H$313,2,FALSE)</f>
        <v>LPDBL
LPDBI</v>
      </c>
      <c r="D309" s="253" t="s">
        <v>717</v>
      </c>
      <c r="E309" s="253" t="s">
        <v>867</v>
      </c>
      <c r="F309" s="253" t="s">
        <v>738</v>
      </c>
      <c r="G309" s="253" t="s">
        <v>636</v>
      </c>
      <c r="H309" s="251" t="s">
        <v>628</v>
      </c>
      <c r="I309" s="252" t="s">
        <v>170</v>
      </c>
      <c r="J309" s="458">
        <f>VLOOKUP(B309,'2020-21 feebased approved'!$A$4:$H$313,'2020-21 feebased approved'!$H$1,FALSE)</f>
        <v>437.37882435708542</v>
      </c>
      <c r="K309" s="461">
        <f>IF(OR(B309='Model update'!$P$187,B309='Model update'!$Q$187,B309='Model update'!$R$187,B309='Model update'!$S$187,B309='Model update'!$T$187,B309='Model update'!$U$187,B309='Model update'!$V$187,B309='Model update'!$W$187),'Model update'!$J$187,IF(OR(B309='Model update'!$P$188,B309='Model update'!$Q$188,B309='Model update'!$R$188,B309='Model update'!$S$188,B309='Model update'!$T$188,B309='Model update'!$U$188,B309='Model update'!$V$188,B309='Model update'!$W$188),'Model update'!$J$188,'Model update'!$J$186))</f>
        <v>-9.8252646141938002E-3</v>
      </c>
      <c r="L309" s="465">
        <f>J309*(1+'Model update'!$B$31)*(1-'2021_ACS service &amp; prices'!K309)+'Model update'!$J$196</f>
        <v>445.47718693153308</v>
      </c>
      <c r="M309" s="211"/>
    </row>
    <row r="310" spans="2:16384">
      <c r="B310" s="253" t="s">
        <v>621</v>
      </c>
      <c r="C310" s="253" t="str">
        <f>VLOOKUP(B310,'2020-21 feebased approved'!$A$4:$H$313,2,FALSE)</f>
        <v>AAMRBU</v>
      </c>
      <c r="D310" s="253" t="s">
        <v>717</v>
      </c>
      <c r="E310" s="253" t="s">
        <v>868</v>
      </c>
      <c r="F310" s="253" t="s">
        <v>739</v>
      </c>
      <c r="G310" s="253" t="s">
        <v>636</v>
      </c>
      <c r="H310" s="251" t="s">
        <v>627</v>
      </c>
      <c r="I310" s="252" t="s">
        <v>170</v>
      </c>
      <c r="J310" s="458">
        <f>VLOOKUP(B310,'2020-21 feebased approved'!$A$4:$H$313,'2020-21 feebased approved'!$H$1,FALSE)</f>
        <v>109.62353013568148</v>
      </c>
      <c r="K310" s="461">
        <f>IF(OR(B310='Model update'!$P$187,B310='Model update'!$Q$187,B310='Model update'!$R$187,B310='Model update'!$S$187,B310='Model update'!$T$187,B310='Model update'!$U$187,B310='Model update'!$V$187,B310='Model update'!$W$187),'Model update'!$J$187,IF(OR(B310='Model update'!$P$188,B310='Model update'!$Q$188,B310='Model update'!$R$188,B310='Model update'!$S$188,B310='Model update'!$T$188,B310='Model update'!$U$188,B310='Model update'!$V$188,B310='Model update'!$W$188),'Model update'!$J$188,'Model update'!$J$186))</f>
        <v>-9.8252646141938002E-3</v>
      </c>
      <c r="L310" s="465">
        <f>J310*(1+'Model update'!$B$31)*(1-'2021_ACS service &amp; prices'!K310)+'Model update'!$J$196</f>
        <v>111.65328339370581</v>
      </c>
      <c r="M310" s="211"/>
    </row>
    <row r="311" spans="2:16384" ht="27" thickBot="1">
      <c r="B311" s="331" t="s">
        <v>622</v>
      </c>
      <c r="C311" s="331" t="str">
        <f>VLOOKUP(B311,'2020-21 feebased approved'!$A$4:$H$313,2,FALSE)</f>
        <v>AAMRBL
AAMRBI</v>
      </c>
      <c r="D311" s="331" t="s">
        <v>717</v>
      </c>
      <c r="E311" s="331" t="s">
        <v>868</v>
      </c>
      <c r="F311" s="331" t="s">
        <v>739</v>
      </c>
      <c r="G311" s="331" t="s">
        <v>636</v>
      </c>
      <c r="H311" s="332" t="s">
        <v>628</v>
      </c>
      <c r="I311" s="254" t="s">
        <v>170</v>
      </c>
      <c r="J311" s="460">
        <f>VLOOKUP(B311,'2020-21 feebased approved'!$A$4:$H$313,'2020-21 feebased approved'!$H$1,FALSE)</f>
        <v>401.79258480621456</v>
      </c>
      <c r="K311" s="462">
        <f>IF(OR(B311='Model update'!$P$187,B311='Model update'!$Q$187,B311='Model update'!$R$187,B311='Model update'!$S$187,B311='Model update'!$T$187,B311='Model update'!$U$187,B311='Model update'!$V$187,B311='Model update'!$W$187),'Model update'!$J$187,IF(OR(B311='Model update'!$P$188,B311='Model update'!$Q$188,B311='Model update'!$R$188,B311='Model update'!$S$188,B311='Model update'!$T$188,B311='Model update'!$U$188,B311='Model update'!$V$188,B311='Model update'!$W$188),'Model update'!$J$188,'Model update'!$J$186))</f>
        <v>-9.8252646141938002E-3</v>
      </c>
      <c r="L311" s="466">
        <f>J311*(1+'Model update'!$B$31)*(1-'2021_ACS service &amp; prices'!K311)+'Model update'!$J$196</f>
        <v>409.2320442639699</v>
      </c>
      <c r="M311" s="211"/>
    </row>
    <row r="312" spans="2:16384" ht="13.8" thickBot="1">
      <c r="B312" s="65"/>
      <c r="C312" s="65"/>
      <c r="D312" s="248"/>
      <c r="E312" s="248"/>
      <c r="F312" s="248"/>
      <c r="G312" s="248"/>
      <c r="H312" s="248"/>
      <c r="I312" s="248"/>
      <c r="J312" s="327"/>
      <c r="K312" s="211"/>
      <c r="L312" s="211"/>
      <c r="M312" s="211"/>
      <c r="AB312" s="287"/>
      <c r="AC312" s="287"/>
      <c r="AD312" s="287"/>
      <c r="AE312" s="287"/>
      <c r="AF312" s="287"/>
      <c r="AG312" s="287"/>
      <c r="AH312" s="287"/>
      <c r="AI312" s="287"/>
      <c r="AJ312" s="287"/>
      <c r="AK312" s="287"/>
      <c r="AL312" s="287"/>
      <c r="AM312" s="287"/>
      <c r="AN312" s="287"/>
      <c r="AO312" s="287"/>
      <c r="AP312" s="287"/>
      <c r="AQ312" s="287"/>
      <c r="AR312" s="287"/>
      <c r="AS312" s="287"/>
      <c r="AT312" s="287"/>
      <c r="AU312" s="287"/>
      <c r="AV312" s="287"/>
      <c r="AW312" s="287"/>
      <c r="AX312" s="287"/>
      <c r="AY312" s="287"/>
      <c r="AZ312" s="287"/>
      <c r="BA312" s="287"/>
      <c r="BB312" s="287"/>
      <c r="BC312" s="287"/>
      <c r="BD312" s="287"/>
      <c r="BE312" s="287"/>
      <c r="BF312" s="287"/>
      <c r="BG312" s="287"/>
      <c r="BH312" s="287"/>
      <c r="BI312" s="287"/>
      <c r="BJ312" s="287"/>
      <c r="BK312" s="287"/>
      <c r="BL312" s="287"/>
      <c r="BM312" s="287"/>
      <c r="BN312" s="287"/>
      <c r="BO312" s="287"/>
      <c r="BP312" s="287"/>
      <c r="BQ312" s="287"/>
      <c r="BR312" s="287"/>
      <c r="BS312" s="287"/>
      <c r="BT312" s="287"/>
      <c r="BU312" s="287"/>
      <c r="BV312" s="287"/>
      <c r="BW312" s="287"/>
      <c r="BX312" s="287"/>
      <c r="BY312" s="287"/>
      <c r="BZ312" s="287"/>
      <c r="CA312" s="287"/>
      <c r="CB312" s="287"/>
      <c r="CC312" s="287"/>
      <c r="CD312" s="287"/>
      <c r="CE312" s="287"/>
      <c r="CF312" s="287"/>
      <c r="CG312" s="287"/>
      <c r="CH312" s="287"/>
      <c r="CI312" s="287"/>
      <c r="CJ312" s="287"/>
      <c r="CK312" s="287"/>
      <c r="CL312" s="287"/>
      <c r="CM312" s="287"/>
      <c r="CN312" s="287"/>
      <c r="CO312" s="287"/>
      <c r="CP312" s="287"/>
      <c r="CQ312" s="287"/>
      <c r="CR312" s="287"/>
      <c r="CS312" s="287"/>
      <c r="CT312" s="287"/>
      <c r="CU312" s="287"/>
      <c r="CV312" s="287"/>
      <c r="CW312" s="287"/>
      <c r="CX312" s="287"/>
      <c r="CY312" s="287"/>
      <c r="CZ312" s="287"/>
      <c r="DA312" s="287"/>
      <c r="DB312" s="287"/>
      <c r="DC312" s="287"/>
      <c r="DD312" s="287"/>
      <c r="DE312" s="287"/>
      <c r="DF312" s="287"/>
      <c r="DG312" s="287"/>
      <c r="DH312" s="287"/>
      <c r="DI312" s="287"/>
      <c r="DJ312" s="287"/>
      <c r="DK312" s="287"/>
      <c r="DL312" s="287"/>
      <c r="DM312" s="287"/>
      <c r="DN312" s="287"/>
      <c r="DO312" s="287"/>
      <c r="DP312" s="287"/>
      <c r="DQ312" s="287"/>
      <c r="DR312" s="287"/>
      <c r="DS312" s="287"/>
      <c r="DT312" s="287"/>
      <c r="DU312" s="287"/>
      <c r="DV312" s="287"/>
      <c r="DW312" s="287"/>
      <c r="DX312" s="287"/>
      <c r="DY312" s="287"/>
      <c r="DZ312" s="287"/>
      <c r="EA312" s="287"/>
      <c r="EB312" s="287"/>
      <c r="EC312" s="287"/>
      <c r="ED312" s="287"/>
      <c r="EE312" s="287"/>
      <c r="EF312" s="287"/>
      <c r="EG312" s="287"/>
      <c r="EH312" s="287"/>
      <c r="EI312" s="287"/>
      <c r="EJ312" s="287"/>
      <c r="EK312" s="287"/>
      <c r="EL312" s="287"/>
      <c r="EM312" s="287"/>
      <c r="EN312" s="287"/>
      <c r="EO312" s="287"/>
      <c r="EP312" s="287"/>
      <c r="EQ312" s="287"/>
      <c r="ER312" s="287"/>
      <c r="ES312" s="287"/>
      <c r="ET312" s="287"/>
      <c r="EU312" s="287"/>
      <c r="EV312" s="287"/>
      <c r="EW312" s="287"/>
      <c r="EX312" s="287"/>
      <c r="EY312" s="287"/>
      <c r="EZ312" s="287"/>
      <c r="FA312" s="287"/>
      <c r="FB312" s="287"/>
      <c r="FC312" s="287"/>
      <c r="FD312" s="287"/>
      <c r="FE312" s="287"/>
      <c r="FF312" s="287"/>
      <c r="FG312" s="287"/>
      <c r="FH312" s="287"/>
      <c r="FI312" s="287"/>
      <c r="FJ312" s="287"/>
      <c r="FK312" s="287"/>
      <c r="FL312" s="287"/>
      <c r="FM312" s="287"/>
      <c r="FN312" s="287"/>
      <c r="FO312" s="287"/>
      <c r="FP312" s="287"/>
      <c r="FQ312" s="287"/>
      <c r="FR312" s="287"/>
      <c r="FS312" s="287"/>
      <c r="FT312" s="287"/>
      <c r="FU312" s="287"/>
      <c r="FV312" s="287"/>
      <c r="FW312" s="287"/>
      <c r="FX312" s="287"/>
      <c r="FY312" s="287"/>
      <c r="FZ312" s="287"/>
      <c r="GA312" s="287"/>
      <c r="GB312" s="287"/>
      <c r="GC312" s="287"/>
      <c r="GD312" s="287"/>
      <c r="GE312" s="287"/>
      <c r="GF312" s="287"/>
      <c r="GG312" s="287"/>
      <c r="GH312" s="287"/>
      <c r="GI312" s="287"/>
      <c r="GJ312" s="287"/>
      <c r="GK312" s="287"/>
      <c r="GL312" s="287"/>
      <c r="GM312" s="287"/>
      <c r="GN312" s="287"/>
      <c r="GO312" s="287"/>
      <c r="GP312" s="287"/>
      <c r="GQ312" s="287"/>
      <c r="GR312" s="287"/>
      <c r="GS312" s="287"/>
      <c r="GT312" s="287"/>
      <c r="GU312" s="287"/>
      <c r="GV312" s="287"/>
      <c r="GW312" s="287"/>
      <c r="GX312" s="287"/>
      <c r="GY312" s="287"/>
      <c r="GZ312" s="287"/>
      <c r="HA312" s="287"/>
      <c r="HB312" s="287"/>
      <c r="HC312" s="287"/>
      <c r="HD312" s="287"/>
      <c r="HE312" s="287"/>
      <c r="HF312" s="287"/>
      <c r="HG312" s="287"/>
      <c r="HH312" s="287"/>
      <c r="HI312" s="287"/>
      <c r="HJ312" s="287"/>
      <c r="HK312" s="287"/>
      <c r="HL312" s="287"/>
      <c r="HM312" s="287"/>
      <c r="HN312" s="287"/>
      <c r="HO312" s="287"/>
      <c r="HP312" s="287"/>
      <c r="HQ312" s="287"/>
      <c r="HR312" s="287"/>
      <c r="HS312" s="287"/>
      <c r="HT312" s="287"/>
      <c r="HU312" s="287"/>
      <c r="HV312" s="287"/>
      <c r="HW312" s="287"/>
      <c r="HX312" s="287"/>
      <c r="HY312" s="287"/>
      <c r="HZ312" s="287"/>
      <c r="IA312" s="287"/>
      <c r="IB312" s="287"/>
      <c r="IC312" s="287"/>
      <c r="ID312" s="287"/>
      <c r="IE312" s="287"/>
      <c r="IF312" s="287"/>
      <c r="IG312" s="287"/>
      <c r="IH312" s="287"/>
      <c r="II312" s="287"/>
      <c r="IJ312" s="287"/>
      <c r="IK312" s="287"/>
      <c r="IL312" s="287"/>
      <c r="IM312" s="287"/>
      <c r="IN312" s="287"/>
      <c r="IO312" s="287"/>
      <c r="IP312" s="287"/>
      <c r="IQ312" s="287"/>
      <c r="IR312" s="287"/>
      <c r="IS312" s="287"/>
      <c r="IT312" s="287"/>
      <c r="IU312" s="287"/>
      <c r="IV312" s="287"/>
      <c r="IW312" s="287"/>
      <c r="IX312" s="287"/>
      <c r="IY312" s="287"/>
      <c r="IZ312" s="287"/>
      <c r="JA312" s="287"/>
      <c r="JB312" s="287"/>
      <c r="JC312" s="287"/>
      <c r="JD312" s="287"/>
      <c r="JE312" s="287"/>
      <c r="JF312" s="287"/>
      <c r="JG312" s="287"/>
      <c r="JH312" s="287"/>
      <c r="JI312" s="287"/>
      <c r="JJ312" s="287"/>
      <c r="JK312" s="287"/>
      <c r="JL312" s="287"/>
      <c r="JM312" s="287"/>
      <c r="JN312" s="287"/>
      <c r="JO312" s="287"/>
      <c r="JP312" s="287"/>
      <c r="JQ312" s="287"/>
      <c r="JR312" s="287"/>
      <c r="JS312" s="287"/>
      <c r="JT312" s="287"/>
      <c r="JU312" s="287"/>
      <c r="JV312" s="287"/>
      <c r="JW312" s="287"/>
      <c r="JX312" s="287"/>
      <c r="JY312" s="287"/>
      <c r="JZ312" s="287"/>
      <c r="KA312" s="287"/>
      <c r="KB312" s="287"/>
      <c r="KC312" s="287"/>
      <c r="KD312" s="287"/>
      <c r="KE312" s="287"/>
      <c r="KF312" s="287"/>
      <c r="KG312" s="287"/>
      <c r="KH312" s="287"/>
      <c r="KI312" s="287"/>
      <c r="KJ312" s="287"/>
      <c r="KK312" s="287"/>
      <c r="KL312" s="287"/>
      <c r="KM312" s="287"/>
      <c r="KN312" s="287"/>
      <c r="KO312" s="287"/>
      <c r="KP312" s="287"/>
      <c r="KQ312" s="287"/>
      <c r="KR312" s="287"/>
      <c r="KS312" s="287"/>
      <c r="KT312" s="287"/>
      <c r="KU312" s="287"/>
      <c r="KV312" s="287"/>
      <c r="KW312" s="287"/>
      <c r="KX312" s="287"/>
      <c r="KY312" s="287"/>
      <c r="KZ312" s="287"/>
      <c r="LA312" s="287"/>
      <c r="LB312" s="287"/>
      <c r="LC312" s="287"/>
      <c r="LD312" s="287"/>
      <c r="LE312" s="287"/>
      <c r="LF312" s="287"/>
      <c r="LG312" s="287"/>
      <c r="LH312" s="287"/>
      <c r="LI312" s="287"/>
      <c r="LJ312" s="287"/>
      <c r="LK312" s="287"/>
      <c r="LL312" s="287"/>
      <c r="LM312" s="287"/>
      <c r="LN312" s="287"/>
      <c r="LO312" s="287"/>
      <c r="LP312" s="287"/>
      <c r="LQ312" s="287"/>
      <c r="LR312" s="287"/>
      <c r="LS312" s="287"/>
      <c r="LT312" s="287"/>
      <c r="LU312" s="287"/>
      <c r="LV312" s="287"/>
      <c r="LW312" s="287"/>
      <c r="LX312" s="287"/>
      <c r="LY312" s="287"/>
      <c r="LZ312" s="287"/>
      <c r="MA312" s="287"/>
      <c r="MB312" s="287"/>
      <c r="MC312" s="287"/>
      <c r="MD312" s="287"/>
      <c r="ME312" s="287"/>
      <c r="MF312" s="287"/>
      <c r="MG312" s="287"/>
      <c r="MH312" s="287"/>
      <c r="MI312" s="287"/>
      <c r="MJ312" s="287"/>
      <c r="MK312" s="287"/>
      <c r="ML312" s="287"/>
      <c r="MM312" s="287"/>
      <c r="MN312" s="287"/>
      <c r="MO312" s="287"/>
      <c r="MP312" s="287"/>
      <c r="MQ312" s="287"/>
      <c r="MR312" s="287"/>
      <c r="MS312" s="287"/>
      <c r="MT312" s="287"/>
      <c r="MU312" s="287"/>
      <c r="MV312" s="287"/>
      <c r="MW312" s="287"/>
      <c r="MX312" s="287"/>
      <c r="MY312" s="287"/>
      <c r="MZ312" s="287"/>
      <c r="NA312" s="287"/>
      <c r="NB312" s="287"/>
      <c r="NC312" s="287"/>
      <c r="ND312" s="287"/>
      <c r="NE312" s="287"/>
      <c r="NF312" s="287"/>
      <c r="NG312" s="287"/>
      <c r="NH312" s="287"/>
      <c r="NI312" s="287"/>
      <c r="NJ312" s="287"/>
      <c r="NK312" s="287"/>
      <c r="NL312" s="287"/>
      <c r="NM312" s="287"/>
      <c r="NN312" s="287"/>
      <c r="NO312" s="287"/>
      <c r="NP312" s="287"/>
      <c r="NQ312" s="287"/>
      <c r="NR312" s="287"/>
      <c r="NS312" s="287"/>
      <c r="NT312" s="287"/>
      <c r="NU312" s="287"/>
      <c r="NV312" s="287"/>
      <c r="NW312" s="287"/>
      <c r="NX312" s="287"/>
      <c r="NY312" s="287"/>
      <c r="NZ312" s="287"/>
      <c r="OA312" s="287"/>
      <c r="OB312" s="287"/>
      <c r="OC312" s="287"/>
      <c r="OD312" s="287"/>
      <c r="OE312" s="287"/>
      <c r="OF312" s="287"/>
      <c r="OG312" s="287"/>
      <c r="OH312" s="287"/>
      <c r="OI312" s="287"/>
      <c r="OJ312" s="287"/>
      <c r="OK312" s="287"/>
      <c r="OL312" s="287"/>
      <c r="OM312" s="287"/>
      <c r="ON312" s="287"/>
      <c r="OO312" s="287"/>
      <c r="OP312" s="287"/>
      <c r="OQ312" s="287"/>
      <c r="OR312" s="287"/>
      <c r="OS312" s="287"/>
      <c r="OT312" s="287"/>
      <c r="OU312" s="287"/>
      <c r="OV312" s="287"/>
      <c r="OW312" s="287"/>
      <c r="OX312" s="287"/>
      <c r="OY312" s="287"/>
      <c r="OZ312" s="287"/>
      <c r="PA312" s="287"/>
      <c r="PB312" s="287"/>
      <c r="PC312" s="287"/>
      <c r="PD312" s="287"/>
      <c r="PE312" s="287"/>
      <c r="PF312" s="287"/>
      <c r="PG312" s="287"/>
      <c r="PH312" s="287"/>
      <c r="PI312" s="287"/>
      <c r="PJ312" s="287"/>
      <c r="PK312" s="287"/>
      <c r="PL312" s="287"/>
      <c r="PM312" s="287"/>
      <c r="PN312" s="287"/>
      <c r="PO312" s="287"/>
      <c r="PP312" s="287"/>
      <c r="PQ312" s="287"/>
      <c r="PR312" s="287"/>
      <c r="PS312" s="287"/>
      <c r="PT312" s="287"/>
      <c r="PU312" s="287"/>
      <c r="PV312" s="287"/>
      <c r="PW312" s="287"/>
      <c r="PX312" s="287"/>
      <c r="PY312" s="287"/>
      <c r="PZ312" s="287"/>
      <c r="QA312" s="287"/>
      <c r="QB312" s="287"/>
      <c r="QC312" s="287"/>
      <c r="QD312" s="287"/>
      <c r="QE312" s="287"/>
      <c r="QF312" s="287"/>
      <c r="QG312" s="287"/>
      <c r="QH312" s="287"/>
      <c r="QI312" s="287"/>
      <c r="QJ312" s="287"/>
      <c r="QK312" s="287"/>
      <c r="QL312" s="287"/>
      <c r="QM312" s="287"/>
      <c r="QN312" s="287"/>
      <c r="QO312" s="287"/>
      <c r="QP312" s="287"/>
      <c r="QQ312" s="287"/>
      <c r="QR312" s="287"/>
      <c r="QS312" s="287"/>
      <c r="QT312" s="287"/>
      <c r="QU312" s="287"/>
      <c r="QV312" s="287"/>
      <c r="QW312" s="287"/>
      <c r="QX312" s="287"/>
      <c r="QY312" s="287"/>
      <c r="QZ312" s="287"/>
      <c r="RA312" s="287"/>
      <c r="RB312" s="287"/>
      <c r="RC312" s="287"/>
      <c r="RD312" s="287"/>
      <c r="RE312" s="287"/>
      <c r="RF312" s="287"/>
      <c r="RG312" s="287"/>
      <c r="RH312" s="287"/>
      <c r="RI312" s="287"/>
      <c r="RJ312" s="287"/>
      <c r="RK312" s="287"/>
      <c r="RL312" s="287"/>
      <c r="RM312" s="287"/>
      <c r="RN312" s="287"/>
      <c r="RO312" s="287"/>
      <c r="RP312" s="287"/>
      <c r="RQ312" s="287"/>
      <c r="RR312" s="287"/>
      <c r="RS312" s="287"/>
      <c r="RT312" s="287"/>
      <c r="RU312" s="287"/>
      <c r="RV312" s="287"/>
      <c r="RW312" s="287"/>
      <c r="RX312" s="287"/>
      <c r="RY312" s="287"/>
      <c r="RZ312" s="287"/>
      <c r="SA312" s="287"/>
      <c r="SB312" s="287"/>
      <c r="SC312" s="287"/>
      <c r="SD312" s="287"/>
      <c r="SE312" s="287"/>
      <c r="SF312" s="287"/>
      <c r="SG312" s="287"/>
      <c r="SH312" s="287"/>
      <c r="SI312" s="287"/>
      <c r="SJ312" s="287"/>
      <c r="SK312" s="287"/>
      <c r="SL312" s="287"/>
      <c r="SM312" s="287"/>
      <c r="SN312" s="287"/>
      <c r="SO312" s="287"/>
      <c r="SP312" s="287"/>
      <c r="SQ312" s="287"/>
      <c r="SR312" s="287"/>
      <c r="SS312" s="287"/>
      <c r="ST312" s="287"/>
      <c r="SU312" s="287"/>
      <c r="SV312" s="287"/>
      <c r="SW312" s="287"/>
      <c r="SX312" s="287"/>
      <c r="SY312" s="287"/>
      <c r="SZ312" s="287"/>
      <c r="TA312" s="287"/>
      <c r="TB312" s="287"/>
      <c r="TC312" s="287"/>
      <c r="TD312" s="287"/>
      <c r="TE312" s="287"/>
      <c r="TF312" s="287"/>
      <c r="TG312" s="287"/>
      <c r="TH312" s="287"/>
      <c r="TI312" s="287"/>
      <c r="TJ312" s="287"/>
      <c r="TK312" s="287"/>
      <c r="TL312" s="287"/>
      <c r="TM312" s="287"/>
      <c r="TN312" s="287"/>
      <c r="TO312" s="287"/>
      <c r="TP312" s="287"/>
      <c r="TQ312" s="287"/>
      <c r="TR312" s="287"/>
      <c r="TS312" s="287"/>
      <c r="TT312" s="287"/>
      <c r="TU312" s="287"/>
      <c r="TV312" s="287"/>
      <c r="TW312" s="287"/>
      <c r="TX312" s="287"/>
      <c r="TY312" s="287"/>
      <c r="TZ312" s="287"/>
      <c r="UA312" s="287"/>
      <c r="UB312" s="287"/>
      <c r="UC312" s="287"/>
      <c r="UD312" s="287"/>
      <c r="UE312" s="287"/>
      <c r="UF312" s="287"/>
      <c r="UG312" s="287"/>
      <c r="UH312" s="287"/>
      <c r="UI312" s="287"/>
      <c r="UJ312" s="287"/>
      <c r="UK312" s="287"/>
      <c r="UL312" s="287"/>
      <c r="UM312" s="287"/>
      <c r="UN312" s="287"/>
      <c r="UO312" s="287"/>
      <c r="UP312" s="287"/>
      <c r="UQ312" s="287"/>
      <c r="UR312" s="287"/>
      <c r="US312" s="287"/>
      <c r="UT312" s="287"/>
      <c r="UU312" s="287"/>
      <c r="UV312" s="287"/>
      <c r="UW312" s="287"/>
      <c r="UX312" s="287"/>
      <c r="UY312" s="287"/>
      <c r="UZ312" s="287"/>
      <c r="VA312" s="287"/>
      <c r="VB312" s="287"/>
      <c r="VC312" s="287"/>
      <c r="VD312" s="287"/>
      <c r="VE312" s="287"/>
      <c r="VF312" s="287"/>
      <c r="VG312" s="287"/>
      <c r="VH312" s="287"/>
      <c r="VI312" s="287"/>
      <c r="VJ312" s="287"/>
      <c r="VK312" s="287"/>
      <c r="VL312" s="287"/>
      <c r="VM312" s="287"/>
      <c r="VN312" s="287"/>
      <c r="VO312" s="287"/>
      <c r="VP312" s="287"/>
      <c r="VQ312" s="287"/>
      <c r="VR312" s="287"/>
      <c r="VS312" s="287"/>
      <c r="VT312" s="287"/>
      <c r="VU312" s="287"/>
      <c r="VV312" s="287"/>
      <c r="VW312" s="287"/>
      <c r="VX312" s="287"/>
      <c r="VY312" s="287"/>
      <c r="VZ312" s="287"/>
      <c r="WA312" s="287"/>
      <c r="WB312" s="287"/>
      <c r="WC312" s="287"/>
      <c r="WD312" s="287"/>
      <c r="WE312" s="287"/>
      <c r="WF312" s="287"/>
      <c r="WG312" s="287"/>
      <c r="WH312" s="287"/>
      <c r="WI312" s="287"/>
      <c r="WJ312" s="287"/>
      <c r="WK312" s="287"/>
      <c r="WL312" s="287"/>
      <c r="WM312" s="287"/>
      <c r="WN312" s="287"/>
      <c r="WO312" s="287"/>
      <c r="WP312" s="287"/>
      <c r="WQ312" s="287"/>
      <c r="WR312" s="287"/>
      <c r="WS312" s="287"/>
      <c r="WT312" s="287"/>
      <c r="WU312" s="287"/>
      <c r="WV312" s="287"/>
      <c r="WW312" s="287"/>
      <c r="WX312" s="287"/>
      <c r="WY312" s="287"/>
      <c r="WZ312" s="287"/>
      <c r="XA312" s="287"/>
      <c r="XB312" s="287"/>
      <c r="XC312" s="287"/>
      <c r="XD312" s="287"/>
      <c r="XE312" s="287"/>
      <c r="XF312" s="287"/>
      <c r="XG312" s="287"/>
      <c r="XH312" s="287"/>
      <c r="XI312" s="287"/>
      <c r="XJ312" s="287"/>
      <c r="XK312" s="287"/>
      <c r="XL312" s="287"/>
      <c r="XM312" s="287"/>
      <c r="XN312" s="287"/>
      <c r="XO312" s="287"/>
      <c r="XP312" s="287"/>
      <c r="XQ312" s="287"/>
      <c r="XR312" s="287"/>
      <c r="XS312" s="287"/>
      <c r="XT312" s="287"/>
      <c r="XU312" s="287"/>
      <c r="XV312" s="287"/>
      <c r="XW312" s="287"/>
      <c r="XX312" s="287"/>
      <c r="XY312" s="287"/>
      <c r="XZ312" s="287"/>
      <c r="YA312" s="287"/>
      <c r="YB312" s="287"/>
      <c r="YC312" s="287"/>
      <c r="YD312" s="287"/>
      <c r="YE312" s="287"/>
      <c r="YF312" s="287"/>
      <c r="YG312" s="287"/>
      <c r="YH312" s="287"/>
      <c r="YI312" s="287"/>
      <c r="YJ312" s="287"/>
      <c r="YK312" s="287"/>
      <c r="YL312" s="287"/>
      <c r="YM312" s="287"/>
      <c r="YN312" s="287"/>
      <c r="YO312" s="287"/>
      <c r="YP312" s="287"/>
      <c r="YQ312" s="287"/>
      <c r="YR312" s="287"/>
      <c r="YS312" s="287"/>
      <c r="YT312" s="287"/>
      <c r="YU312" s="287"/>
      <c r="YV312" s="287"/>
      <c r="YW312" s="287"/>
      <c r="YX312" s="287"/>
      <c r="YY312" s="287"/>
      <c r="YZ312" s="287"/>
      <c r="ZA312" s="287"/>
      <c r="ZB312" s="287"/>
      <c r="ZC312" s="287"/>
      <c r="ZD312" s="287"/>
      <c r="ZE312" s="287"/>
      <c r="ZF312" s="287"/>
      <c r="ZG312" s="287"/>
      <c r="ZH312" s="287"/>
      <c r="ZI312" s="287"/>
      <c r="ZJ312" s="287"/>
      <c r="ZK312" s="287"/>
      <c r="ZL312" s="287"/>
      <c r="ZM312" s="287"/>
      <c r="ZN312" s="287"/>
      <c r="ZO312" s="287"/>
      <c r="ZP312" s="287"/>
      <c r="ZQ312" s="287"/>
      <c r="ZR312" s="287"/>
      <c r="ZS312" s="287"/>
      <c r="ZT312" s="287"/>
      <c r="ZU312" s="287"/>
      <c r="ZV312" s="287"/>
      <c r="ZW312" s="287"/>
      <c r="ZX312" s="287"/>
      <c r="ZY312" s="287"/>
      <c r="ZZ312" s="287"/>
      <c r="AAA312" s="287"/>
      <c r="AAB312" s="287"/>
      <c r="AAC312" s="287"/>
      <c r="AAD312" s="287"/>
      <c r="AAE312" s="287"/>
      <c r="AAF312" s="287"/>
      <c r="AAG312" s="287"/>
      <c r="AAH312" s="287"/>
      <c r="AAI312" s="287"/>
      <c r="AAJ312" s="287"/>
      <c r="AAK312" s="287"/>
      <c r="AAL312" s="287"/>
      <c r="AAM312" s="287"/>
      <c r="AAN312" s="287"/>
      <c r="AAO312" s="287"/>
      <c r="AAP312" s="287"/>
      <c r="AAQ312" s="287"/>
      <c r="AAR312" s="287"/>
      <c r="AAS312" s="287"/>
      <c r="AAT312" s="287"/>
      <c r="AAU312" s="287"/>
      <c r="AAV312" s="287"/>
      <c r="AAW312" s="287"/>
      <c r="AAX312" s="287"/>
      <c r="AAY312" s="287"/>
      <c r="AAZ312" s="287"/>
      <c r="ABA312" s="287"/>
      <c r="ABB312" s="287"/>
      <c r="ABC312" s="287"/>
      <c r="ABD312" s="287"/>
      <c r="ABE312" s="287"/>
      <c r="ABF312" s="287"/>
      <c r="ABG312" s="287"/>
      <c r="ABH312" s="287"/>
      <c r="ABI312" s="287"/>
      <c r="ABJ312" s="287"/>
      <c r="ABK312" s="287"/>
      <c r="ABL312" s="287"/>
      <c r="ABM312" s="287"/>
      <c r="ABN312" s="287"/>
      <c r="ABO312" s="287"/>
      <c r="ABP312" s="287"/>
      <c r="ABQ312" s="287"/>
      <c r="ABR312" s="287"/>
      <c r="ABS312" s="287"/>
      <c r="ABT312" s="287"/>
      <c r="ABU312" s="287"/>
      <c r="ABV312" s="287"/>
      <c r="ABW312" s="287"/>
      <c r="ABX312" s="287"/>
      <c r="ABY312" s="287"/>
      <c r="ABZ312" s="287"/>
      <c r="ACA312" s="287"/>
      <c r="ACB312" s="287"/>
      <c r="ACC312" s="287"/>
      <c r="ACD312" s="287"/>
      <c r="ACE312" s="287"/>
      <c r="ACF312" s="287"/>
      <c r="ACG312" s="287"/>
      <c r="ACH312" s="287"/>
      <c r="ACI312" s="287"/>
      <c r="ACJ312" s="287"/>
      <c r="ACK312" s="287"/>
      <c r="ACL312" s="287"/>
      <c r="ACM312" s="287"/>
      <c r="ACN312" s="287"/>
      <c r="ACO312" s="287"/>
      <c r="ACP312" s="287"/>
      <c r="ACQ312" s="287"/>
      <c r="ACR312" s="287"/>
      <c r="ACS312" s="287"/>
      <c r="ACT312" s="287"/>
      <c r="ACU312" s="287"/>
      <c r="ACV312" s="287"/>
      <c r="ACW312" s="287"/>
      <c r="ACX312" s="287"/>
      <c r="ACY312" s="287"/>
      <c r="ACZ312" s="287"/>
      <c r="ADA312" s="287"/>
      <c r="ADB312" s="287"/>
      <c r="ADC312" s="287"/>
      <c r="ADD312" s="287"/>
      <c r="ADE312" s="287"/>
      <c r="ADF312" s="287"/>
      <c r="ADG312" s="287"/>
      <c r="ADH312" s="287"/>
      <c r="ADI312" s="287"/>
      <c r="ADJ312" s="287"/>
      <c r="ADK312" s="287"/>
      <c r="ADL312" s="287"/>
      <c r="ADM312" s="287"/>
      <c r="ADN312" s="287"/>
      <c r="ADO312" s="287"/>
      <c r="ADP312" s="287"/>
      <c r="ADQ312" s="287"/>
      <c r="ADR312" s="287"/>
      <c r="ADS312" s="287"/>
      <c r="ADT312" s="287"/>
      <c r="ADU312" s="287"/>
      <c r="ADV312" s="287"/>
      <c r="ADW312" s="287"/>
      <c r="ADX312" s="287"/>
      <c r="ADY312" s="287"/>
      <c r="ADZ312" s="287"/>
      <c r="AEA312" s="287"/>
      <c r="AEB312" s="287"/>
      <c r="AEC312" s="287"/>
      <c r="AED312" s="287"/>
      <c r="AEE312" s="287"/>
      <c r="AEF312" s="287"/>
      <c r="AEG312" s="287"/>
      <c r="AEH312" s="287"/>
      <c r="AEI312" s="287"/>
      <c r="AEJ312" s="287"/>
      <c r="AEK312" s="287"/>
      <c r="AEL312" s="287"/>
      <c r="AEM312" s="287"/>
      <c r="AEN312" s="287"/>
      <c r="AEO312" s="287"/>
      <c r="AEP312" s="287"/>
      <c r="AEQ312" s="287"/>
      <c r="AER312" s="287"/>
      <c r="AES312" s="287"/>
      <c r="AET312" s="287"/>
      <c r="AEU312" s="287"/>
      <c r="AEV312" s="287"/>
      <c r="AEW312" s="287"/>
      <c r="AEX312" s="287"/>
      <c r="AEY312" s="287"/>
      <c r="AEZ312" s="287"/>
      <c r="AFA312" s="287"/>
      <c r="AFB312" s="287"/>
      <c r="AFC312" s="287"/>
      <c r="AFD312" s="287"/>
      <c r="AFE312" s="287"/>
      <c r="AFF312" s="287"/>
      <c r="AFG312" s="287"/>
      <c r="AFH312" s="287"/>
      <c r="AFI312" s="287"/>
      <c r="AFJ312" s="287"/>
      <c r="AFK312" s="287"/>
      <c r="AFL312" s="287"/>
      <c r="AFM312" s="287"/>
      <c r="AFN312" s="287"/>
      <c r="AFO312" s="287"/>
      <c r="AFP312" s="287"/>
      <c r="AFQ312" s="287"/>
      <c r="AFR312" s="287"/>
      <c r="AFS312" s="287"/>
      <c r="AFT312" s="287"/>
      <c r="AFU312" s="287"/>
      <c r="AFV312" s="287"/>
      <c r="AFW312" s="287"/>
      <c r="AFX312" s="287"/>
      <c r="AFY312" s="287"/>
      <c r="AFZ312" s="287"/>
      <c r="AGA312" s="287"/>
      <c r="AGB312" s="287"/>
      <c r="AGC312" s="287"/>
      <c r="AGD312" s="287"/>
      <c r="AGE312" s="287"/>
      <c r="AGF312" s="287"/>
      <c r="AGG312" s="287"/>
      <c r="AGH312" s="287"/>
      <c r="AGI312" s="287"/>
      <c r="AGJ312" s="287"/>
      <c r="AGK312" s="287"/>
      <c r="AGL312" s="287"/>
      <c r="AGM312" s="287"/>
      <c r="AGN312" s="287"/>
      <c r="AGO312" s="287"/>
      <c r="AGP312" s="287"/>
      <c r="AGQ312" s="287"/>
      <c r="AGR312" s="287"/>
      <c r="AGS312" s="287"/>
      <c r="AGT312" s="287"/>
      <c r="AGU312" s="287"/>
      <c r="AGV312" s="287"/>
      <c r="AGW312" s="287"/>
      <c r="AGX312" s="287"/>
      <c r="AGY312" s="287"/>
      <c r="AGZ312" s="287"/>
      <c r="AHA312" s="287"/>
      <c r="AHB312" s="287"/>
      <c r="AHC312" s="287"/>
      <c r="AHD312" s="287"/>
      <c r="AHE312" s="287"/>
      <c r="AHF312" s="287"/>
      <c r="AHG312" s="287"/>
      <c r="AHH312" s="287"/>
      <c r="AHI312" s="287"/>
      <c r="AHJ312" s="287"/>
      <c r="AHK312" s="287"/>
      <c r="AHL312" s="287"/>
      <c r="AHM312" s="287"/>
      <c r="AHN312" s="287"/>
      <c r="AHO312" s="287"/>
      <c r="AHP312" s="287"/>
      <c r="AHQ312" s="287"/>
      <c r="AHR312" s="287"/>
      <c r="AHS312" s="287"/>
      <c r="AHT312" s="287"/>
      <c r="AHU312" s="287"/>
      <c r="AHV312" s="287"/>
      <c r="AHW312" s="287"/>
      <c r="AHX312" s="287"/>
      <c r="AHY312" s="287"/>
      <c r="AHZ312" s="287"/>
      <c r="AIA312" s="287"/>
      <c r="AIB312" s="287"/>
      <c r="AIC312" s="287"/>
      <c r="AID312" s="287"/>
      <c r="AIE312" s="287"/>
      <c r="AIF312" s="287"/>
      <c r="AIG312" s="287"/>
      <c r="AIH312" s="287"/>
      <c r="AII312" s="287"/>
      <c r="AIJ312" s="287"/>
      <c r="AIK312" s="287"/>
      <c r="AIL312" s="287"/>
      <c r="AIM312" s="287"/>
      <c r="AIN312" s="287"/>
      <c r="AIO312" s="287"/>
      <c r="AIP312" s="287"/>
      <c r="AIQ312" s="287"/>
      <c r="AIR312" s="287"/>
      <c r="AIS312" s="287"/>
      <c r="AIT312" s="287"/>
      <c r="AIU312" s="287"/>
      <c r="AIV312" s="287"/>
      <c r="AIW312" s="287"/>
      <c r="AIX312" s="287"/>
      <c r="AIY312" s="287"/>
      <c r="AIZ312" s="287"/>
      <c r="AJA312" s="287"/>
      <c r="AJB312" s="287"/>
      <c r="AJC312" s="287"/>
      <c r="AJD312" s="287"/>
      <c r="AJE312" s="287"/>
      <c r="AJF312" s="287"/>
      <c r="AJG312" s="287"/>
      <c r="AJH312" s="287"/>
      <c r="AJI312" s="287"/>
      <c r="AJJ312" s="287"/>
      <c r="AJK312" s="287"/>
      <c r="AJL312" s="287"/>
      <c r="AJM312" s="287"/>
      <c r="AJN312" s="287"/>
      <c r="AJO312" s="287"/>
      <c r="AJP312" s="287"/>
      <c r="AJQ312" s="287"/>
      <c r="AJR312" s="287"/>
      <c r="AJS312" s="287"/>
      <c r="AJT312" s="287"/>
      <c r="AJU312" s="287"/>
      <c r="AJV312" s="287"/>
      <c r="AJW312" s="287"/>
      <c r="AJX312" s="287"/>
      <c r="AJY312" s="287"/>
      <c r="AJZ312" s="287"/>
      <c r="AKA312" s="287"/>
      <c r="AKB312" s="287"/>
      <c r="AKC312" s="287"/>
      <c r="AKD312" s="287"/>
      <c r="AKE312" s="287"/>
      <c r="AKF312" s="287"/>
      <c r="AKG312" s="287"/>
      <c r="AKH312" s="287"/>
      <c r="AKI312" s="287"/>
      <c r="AKJ312" s="287"/>
      <c r="AKK312" s="287"/>
      <c r="AKL312" s="287"/>
      <c r="AKM312" s="287"/>
      <c r="AKN312" s="287"/>
      <c r="AKO312" s="287"/>
      <c r="AKP312" s="287"/>
      <c r="AKQ312" s="287"/>
      <c r="AKR312" s="287"/>
      <c r="AKS312" s="287"/>
      <c r="AKT312" s="287"/>
      <c r="AKU312" s="287"/>
      <c r="AKV312" s="287"/>
      <c r="AKW312" s="287"/>
      <c r="AKX312" s="287"/>
      <c r="AKY312" s="287"/>
      <c r="AKZ312" s="287"/>
      <c r="ALA312" s="287"/>
      <c r="ALB312" s="287"/>
      <c r="ALC312" s="287"/>
      <c r="ALD312" s="287"/>
      <c r="ALE312" s="287"/>
      <c r="ALF312" s="287"/>
      <c r="ALG312" s="287"/>
      <c r="ALH312" s="287"/>
      <c r="ALI312" s="287"/>
      <c r="ALJ312" s="287"/>
      <c r="ALK312" s="287"/>
      <c r="ALL312" s="287"/>
      <c r="ALM312" s="287"/>
      <c r="ALN312" s="287"/>
      <c r="ALO312" s="287"/>
      <c r="ALP312" s="287"/>
      <c r="ALQ312" s="287"/>
      <c r="ALR312" s="287"/>
      <c r="ALS312" s="287"/>
      <c r="ALT312" s="287"/>
      <c r="ALU312" s="287"/>
      <c r="ALV312" s="287"/>
      <c r="ALW312" s="287"/>
      <c r="ALX312" s="287"/>
      <c r="ALY312" s="287"/>
      <c r="ALZ312" s="287"/>
      <c r="AMA312" s="287"/>
      <c r="AMB312" s="287"/>
      <c r="AMC312" s="287"/>
      <c r="AMD312" s="287"/>
      <c r="AME312" s="287"/>
      <c r="AMF312" s="287"/>
      <c r="AMG312" s="287"/>
      <c r="AMH312" s="287"/>
      <c r="AMI312" s="287"/>
      <c r="AMJ312" s="287"/>
      <c r="AMK312" s="287"/>
      <c r="AML312" s="287"/>
      <c r="AMM312" s="287"/>
      <c r="AMN312" s="287"/>
      <c r="AMO312" s="287"/>
      <c r="AMP312" s="287"/>
      <c r="AMQ312" s="287"/>
      <c r="AMR312" s="287"/>
      <c r="AMS312" s="287"/>
      <c r="AMT312" s="287"/>
      <c r="AMU312" s="287"/>
      <c r="AMV312" s="287"/>
      <c r="AMW312" s="287"/>
      <c r="AMX312" s="287"/>
      <c r="AMY312" s="287"/>
      <c r="AMZ312" s="287"/>
      <c r="ANA312" s="287"/>
      <c r="ANB312" s="287"/>
      <c r="ANC312" s="287"/>
      <c r="AND312" s="287"/>
      <c r="ANE312" s="287"/>
      <c r="ANF312" s="287"/>
      <c r="ANG312" s="287"/>
      <c r="ANH312" s="287"/>
      <c r="ANI312" s="287"/>
      <c r="ANJ312" s="287"/>
      <c r="ANK312" s="287"/>
      <c r="ANL312" s="287"/>
      <c r="ANM312" s="287"/>
      <c r="ANN312" s="287"/>
      <c r="ANO312" s="287"/>
      <c r="ANP312" s="287"/>
      <c r="ANQ312" s="287"/>
      <c r="ANR312" s="287"/>
      <c r="ANS312" s="287"/>
      <c r="ANT312" s="287"/>
      <c r="ANU312" s="287"/>
      <c r="ANV312" s="287"/>
      <c r="ANW312" s="287"/>
      <c r="ANX312" s="287"/>
      <c r="ANY312" s="287"/>
      <c r="ANZ312" s="287"/>
      <c r="AOA312" s="287"/>
      <c r="AOB312" s="287"/>
      <c r="AOC312" s="287"/>
      <c r="AOD312" s="287"/>
      <c r="AOE312" s="287"/>
      <c r="AOF312" s="287"/>
      <c r="AOG312" s="287"/>
      <c r="AOH312" s="287"/>
      <c r="AOI312" s="287"/>
      <c r="AOJ312" s="287"/>
      <c r="AOK312" s="287"/>
      <c r="AOL312" s="287"/>
      <c r="AOM312" s="287"/>
      <c r="AON312" s="287"/>
      <c r="AOO312" s="287"/>
      <c r="AOP312" s="287"/>
      <c r="AOQ312" s="287"/>
      <c r="AOR312" s="287"/>
      <c r="AOS312" s="287"/>
      <c r="AOT312" s="287"/>
      <c r="AOU312" s="287"/>
      <c r="AOV312" s="287"/>
      <c r="AOW312" s="287"/>
      <c r="AOX312" s="287"/>
      <c r="AOY312" s="287"/>
      <c r="AOZ312" s="287"/>
      <c r="APA312" s="287"/>
      <c r="APB312" s="287"/>
      <c r="APC312" s="287"/>
      <c r="APD312" s="287"/>
      <c r="APE312" s="287"/>
      <c r="APF312" s="287"/>
      <c r="APG312" s="287"/>
      <c r="APH312" s="287"/>
      <c r="API312" s="287"/>
      <c r="APJ312" s="287"/>
      <c r="APK312" s="287"/>
      <c r="APL312" s="287"/>
      <c r="APM312" s="287"/>
      <c r="APN312" s="287"/>
      <c r="APO312" s="287"/>
      <c r="APP312" s="287"/>
      <c r="APQ312" s="287"/>
      <c r="APR312" s="287"/>
      <c r="APS312" s="287"/>
      <c r="APT312" s="287"/>
      <c r="APU312" s="287"/>
      <c r="APV312" s="287"/>
      <c r="APW312" s="287"/>
      <c r="APX312" s="287"/>
      <c r="APY312" s="287"/>
      <c r="APZ312" s="287"/>
      <c r="AQA312" s="287"/>
      <c r="AQB312" s="287"/>
      <c r="AQC312" s="287"/>
      <c r="AQD312" s="287"/>
      <c r="AQE312" s="287"/>
      <c r="AQF312" s="287"/>
      <c r="AQG312" s="287"/>
      <c r="AQH312" s="287"/>
      <c r="AQI312" s="287"/>
      <c r="AQJ312" s="287"/>
      <c r="AQK312" s="287"/>
      <c r="AQL312" s="287"/>
      <c r="AQM312" s="287"/>
      <c r="AQN312" s="287"/>
      <c r="AQO312" s="287"/>
      <c r="AQP312" s="287"/>
      <c r="AQQ312" s="287"/>
      <c r="AQR312" s="287"/>
      <c r="AQS312" s="287"/>
      <c r="AQT312" s="287"/>
      <c r="AQU312" s="287"/>
      <c r="AQV312" s="287"/>
      <c r="AQW312" s="287"/>
      <c r="AQX312" s="287"/>
      <c r="AQY312" s="287"/>
      <c r="AQZ312" s="287"/>
      <c r="ARA312" s="287"/>
      <c r="ARB312" s="287"/>
      <c r="ARC312" s="287"/>
      <c r="ARD312" s="287"/>
      <c r="ARE312" s="287"/>
      <c r="ARF312" s="287"/>
      <c r="ARG312" s="287"/>
      <c r="ARH312" s="287"/>
      <c r="ARI312" s="287"/>
      <c r="ARJ312" s="287"/>
      <c r="ARK312" s="287"/>
      <c r="ARL312" s="287"/>
      <c r="ARM312" s="287"/>
      <c r="ARN312" s="287"/>
      <c r="ARO312" s="287"/>
      <c r="ARP312" s="287"/>
      <c r="ARQ312" s="287"/>
      <c r="ARR312" s="287"/>
      <c r="ARS312" s="287"/>
      <c r="ART312" s="287"/>
      <c r="ARU312" s="287"/>
      <c r="ARV312" s="287"/>
      <c r="ARW312" s="287"/>
      <c r="ARX312" s="287"/>
      <c r="ARY312" s="287"/>
      <c r="ARZ312" s="287"/>
      <c r="ASA312" s="287"/>
      <c r="ASB312" s="287"/>
      <c r="ASC312" s="287"/>
      <c r="ASD312" s="287"/>
      <c r="ASE312" s="287"/>
      <c r="ASF312" s="287"/>
      <c r="ASG312" s="287"/>
      <c r="ASH312" s="287"/>
      <c r="ASI312" s="287"/>
      <c r="ASJ312" s="287"/>
      <c r="ASK312" s="287"/>
      <c r="ASL312" s="287"/>
      <c r="ASM312" s="287"/>
      <c r="ASN312" s="287"/>
      <c r="ASO312" s="287"/>
      <c r="ASP312" s="287"/>
      <c r="ASQ312" s="287"/>
      <c r="ASR312" s="287"/>
      <c r="ASS312" s="287"/>
      <c r="AST312" s="287"/>
      <c r="ASU312" s="287"/>
      <c r="ASV312" s="287"/>
      <c r="ASW312" s="287"/>
      <c r="ASX312" s="287"/>
      <c r="ASY312" s="287"/>
      <c r="ASZ312" s="287"/>
      <c r="ATA312" s="287"/>
      <c r="ATB312" s="287"/>
      <c r="ATC312" s="287"/>
      <c r="ATD312" s="287"/>
      <c r="ATE312" s="287"/>
      <c r="ATF312" s="287"/>
      <c r="ATG312" s="287"/>
      <c r="ATH312" s="287"/>
      <c r="ATI312" s="287"/>
      <c r="ATJ312" s="287"/>
      <c r="ATK312" s="287"/>
      <c r="ATL312" s="287"/>
      <c r="ATM312" s="287"/>
      <c r="ATN312" s="287"/>
      <c r="ATO312" s="287"/>
      <c r="ATP312" s="287"/>
      <c r="ATQ312" s="287"/>
      <c r="ATR312" s="287"/>
      <c r="ATS312" s="287"/>
      <c r="ATT312" s="287"/>
      <c r="ATU312" s="287"/>
      <c r="ATV312" s="287"/>
      <c r="ATW312" s="287"/>
      <c r="ATX312" s="287"/>
      <c r="ATY312" s="287"/>
      <c r="ATZ312" s="287"/>
      <c r="AUA312" s="287"/>
      <c r="AUB312" s="287"/>
      <c r="AUC312" s="287"/>
      <c r="AUD312" s="287"/>
      <c r="AUE312" s="287"/>
      <c r="AUF312" s="287"/>
      <c r="AUG312" s="287"/>
      <c r="AUH312" s="287"/>
      <c r="AUI312" s="287"/>
      <c r="AUJ312" s="287"/>
      <c r="AUK312" s="287"/>
      <c r="AUL312" s="287"/>
      <c r="AUM312" s="287"/>
      <c r="AUN312" s="287"/>
      <c r="AUO312" s="287"/>
      <c r="AUP312" s="287"/>
      <c r="AUQ312" s="287"/>
      <c r="AUR312" s="287"/>
      <c r="AUS312" s="287"/>
      <c r="AUT312" s="287"/>
      <c r="AUU312" s="287"/>
      <c r="AUV312" s="287"/>
      <c r="AUW312" s="287"/>
      <c r="AUX312" s="287"/>
      <c r="AUY312" s="287"/>
      <c r="AUZ312" s="287"/>
      <c r="AVA312" s="287"/>
      <c r="AVB312" s="287"/>
      <c r="AVC312" s="287"/>
      <c r="AVD312" s="287"/>
      <c r="AVE312" s="287"/>
      <c r="AVF312" s="287"/>
      <c r="AVG312" s="287"/>
      <c r="AVH312" s="287"/>
      <c r="AVI312" s="287"/>
      <c r="AVJ312" s="287"/>
      <c r="AVK312" s="287"/>
      <c r="AVL312" s="287"/>
      <c r="AVM312" s="287"/>
      <c r="AVN312" s="287"/>
      <c r="AVO312" s="287"/>
      <c r="AVP312" s="287"/>
      <c r="AVQ312" s="287"/>
      <c r="AVR312" s="287"/>
      <c r="AVS312" s="287"/>
      <c r="AVT312" s="287"/>
      <c r="AVU312" s="287"/>
      <c r="AVV312" s="287"/>
      <c r="AVW312" s="287"/>
      <c r="AVX312" s="287"/>
      <c r="AVY312" s="287"/>
      <c r="AVZ312" s="287"/>
      <c r="AWA312" s="287"/>
      <c r="AWB312" s="287"/>
      <c r="AWC312" s="287"/>
      <c r="AWD312" s="287"/>
      <c r="AWE312" s="287"/>
      <c r="AWF312" s="287"/>
      <c r="AWG312" s="287"/>
      <c r="AWH312" s="287"/>
      <c r="AWI312" s="287"/>
      <c r="AWJ312" s="287"/>
      <c r="AWK312" s="287"/>
      <c r="AWL312" s="287"/>
      <c r="AWM312" s="287"/>
      <c r="AWN312" s="287"/>
      <c r="AWO312" s="287"/>
      <c r="AWP312" s="287"/>
      <c r="AWQ312" s="287"/>
      <c r="AWR312" s="287"/>
      <c r="AWS312" s="287"/>
      <c r="AWT312" s="287"/>
      <c r="AWU312" s="287"/>
      <c r="AWV312" s="287"/>
      <c r="AWW312" s="287"/>
      <c r="AWX312" s="287"/>
      <c r="AWY312" s="287"/>
      <c r="AWZ312" s="287"/>
      <c r="AXA312" s="287"/>
      <c r="AXB312" s="287"/>
      <c r="AXC312" s="287"/>
      <c r="AXD312" s="287"/>
      <c r="AXE312" s="287"/>
      <c r="AXF312" s="287"/>
      <c r="AXG312" s="287"/>
      <c r="AXH312" s="287"/>
      <c r="AXI312" s="287"/>
      <c r="AXJ312" s="287"/>
      <c r="AXK312" s="287"/>
      <c r="AXL312" s="287"/>
      <c r="AXM312" s="287"/>
      <c r="AXN312" s="287"/>
      <c r="AXO312" s="287"/>
      <c r="AXP312" s="287"/>
      <c r="AXQ312" s="287"/>
      <c r="AXR312" s="287"/>
      <c r="AXS312" s="287"/>
      <c r="AXT312" s="287"/>
      <c r="AXU312" s="287"/>
      <c r="AXV312" s="287"/>
      <c r="AXW312" s="287"/>
      <c r="AXX312" s="287"/>
      <c r="AXY312" s="287"/>
      <c r="AXZ312" s="287"/>
      <c r="AYA312" s="287"/>
      <c r="AYB312" s="287"/>
      <c r="AYC312" s="287"/>
      <c r="AYD312" s="287"/>
      <c r="AYE312" s="287"/>
      <c r="AYF312" s="287"/>
      <c r="AYG312" s="287"/>
      <c r="AYH312" s="287"/>
      <c r="AYI312" s="287"/>
      <c r="AYJ312" s="287"/>
      <c r="AYK312" s="287"/>
      <c r="AYL312" s="287"/>
      <c r="AYM312" s="287"/>
      <c r="AYN312" s="287"/>
      <c r="AYO312" s="287"/>
      <c r="AYP312" s="287"/>
      <c r="AYQ312" s="287"/>
      <c r="AYR312" s="287"/>
      <c r="AYS312" s="287"/>
      <c r="AYT312" s="287"/>
      <c r="AYU312" s="287"/>
      <c r="AYV312" s="287"/>
      <c r="AYW312" s="287"/>
      <c r="AYX312" s="287"/>
      <c r="AYY312" s="287"/>
      <c r="AYZ312" s="287"/>
      <c r="AZA312" s="287"/>
      <c r="AZB312" s="287"/>
      <c r="AZC312" s="287"/>
      <c r="AZD312" s="287"/>
      <c r="AZE312" s="287"/>
      <c r="AZF312" s="287"/>
      <c r="AZG312" s="287"/>
      <c r="AZH312" s="287"/>
      <c r="AZI312" s="287"/>
      <c r="AZJ312" s="287"/>
      <c r="AZK312" s="287"/>
      <c r="AZL312" s="287"/>
      <c r="AZM312" s="287"/>
      <c r="AZN312" s="287"/>
      <c r="AZO312" s="287"/>
      <c r="AZP312" s="287"/>
      <c r="AZQ312" s="287"/>
      <c r="AZR312" s="287"/>
      <c r="AZS312" s="287"/>
      <c r="AZT312" s="287"/>
      <c r="AZU312" s="287"/>
      <c r="AZV312" s="287"/>
      <c r="AZW312" s="287"/>
      <c r="AZX312" s="287"/>
      <c r="AZY312" s="287"/>
      <c r="AZZ312" s="287"/>
      <c r="BAA312" s="287"/>
      <c r="BAB312" s="287"/>
      <c r="BAC312" s="287"/>
      <c r="BAD312" s="287"/>
      <c r="BAE312" s="287"/>
      <c r="BAF312" s="287"/>
      <c r="BAG312" s="287"/>
      <c r="BAH312" s="287"/>
      <c r="BAI312" s="287"/>
      <c r="BAJ312" s="287"/>
      <c r="BAK312" s="287"/>
      <c r="BAL312" s="287"/>
      <c r="BAM312" s="287"/>
      <c r="BAN312" s="287"/>
      <c r="BAO312" s="287"/>
      <c r="BAP312" s="287"/>
      <c r="BAQ312" s="287"/>
      <c r="BAR312" s="287"/>
      <c r="BAS312" s="287"/>
      <c r="BAT312" s="287"/>
      <c r="BAU312" s="287"/>
      <c r="BAV312" s="287"/>
      <c r="BAW312" s="287"/>
      <c r="BAX312" s="287"/>
      <c r="BAY312" s="287"/>
      <c r="BAZ312" s="287"/>
      <c r="BBA312" s="287"/>
      <c r="BBB312" s="287"/>
      <c r="BBC312" s="287"/>
      <c r="BBD312" s="287"/>
      <c r="BBE312" s="287"/>
      <c r="BBF312" s="287"/>
      <c r="BBG312" s="287"/>
      <c r="BBH312" s="287"/>
      <c r="BBI312" s="287"/>
      <c r="BBJ312" s="287"/>
      <c r="BBK312" s="287"/>
      <c r="BBL312" s="287"/>
      <c r="BBM312" s="287"/>
      <c r="BBN312" s="287"/>
      <c r="BBO312" s="287"/>
      <c r="BBP312" s="287"/>
      <c r="BBQ312" s="287"/>
      <c r="BBR312" s="287"/>
      <c r="BBS312" s="287"/>
      <c r="BBT312" s="287"/>
      <c r="BBU312" s="287"/>
      <c r="BBV312" s="287"/>
      <c r="BBW312" s="287"/>
      <c r="BBX312" s="287"/>
      <c r="BBY312" s="287"/>
      <c r="BBZ312" s="287"/>
      <c r="BCA312" s="287"/>
      <c r="BCB312" s="287"/>
      <c r="BCC312" s="287"/>
      <c r="BCD312" s="287"/>
      <c r="BCE312" s="287"/>
      <c r="BCF312" s="287"/>
      <c r="BCG312" s="287"/>
      <c r="BCH312" s="287"/>
      <c r="BCI312" s="287"/>
      <c r="BCJ312" s="287"/>
      <c r="BCK312" s="287"/>
      <c r="BCL312" s="287"/>
      <c r="BCM312" s="287"/>
      <c r="BCN312" s="287"/>
      <c r="BCO312" s="287"/>
      <c r="BCP312" s="287"/>
      <c r="BCQ312" s="287"/>
      <c r="BCR312" s="287"/>
      <c r="BCS312" s="287"/>
      <c r="BCT312" s="287"/>
      <c r="BCU312" s="287"/>
      <c r="BCV312" s="287"/>
      <c r="BCW312" s="287"/>
      <c r="BCX312" s="287"/>
      <c r="BCY312" s="287"/>
      <c r="BCZ312" s="287"/>
      <c r="BDA312" s="287"/>
      <c r="BDB312" s="287"/>
      <c r="BDC312" s="287"/>
      <c r="BDD312" s="287"/>
      <c r="BDE312" s="287"/>
      <c r="BDF312" s="287"/>
      <c r="BDG312" s="287"/>
      <c r="BDH312" s="287"/>
      <c r="BDI312" s="287"/>
      <c r="BDJ312" s="287"/>
      <c r="BDK312" s="287"/>
      <c r="BDL312" s="287"/>
      <c r="BDM312" s="287"/>
      <c r="BDN312" s="287"/>
      <c r="BDO312" s="287"/>
      <c r="BDP312" s="287"/>
      <c r="BDQ312" s="287"/>
      <c r="BDR312" s="287"/>
      <c r="BDS312" s="287"/>
      <c r="BDT312" s="287"/>
      <c r="BDU312" s="287"/>
      <c r="BDV312" s="287"/>
      <c r="BDW312" s="287"/>
      <c r="BDX312" s="287"/>
      <c r="BDY312" s="287"/>
      <c r="BDZ312" s="287"/>
      <c r="BEA312" s="287"/>
      <c r="BEB312" s="287"/>
      <c r="BEC312" s="287"/>
      <c r="BED312" s="287"/>
      <c r="BEE312" s="287"/>
      <c r="BEF312" s="287"/>
      <c r="BEG312" s="287"/>
      <c r="BEH312" s="287"/>
      <c r="BEI312" s="287"/>
      <c r="BEJ312" s="287"/>
      <c r="BEK312" s="287"/>
      <c r="BEL312" s="287"/>
      <c r="BEM312" s="287"/>
      <c r="BEN312" s="287"/>
      <c r="BEO312" s="287"/>
      <c r="BEP312" s="287"/>
      <c r="BEQ312" s="287"/>
      <c r="BER312" s="287"/>
      <c r="BES312" s="287"/>
      <c r="BET312" s="287"/>
      <c r="BEU312" s="287"/>
      <c r="BEV312" s="287"/>
      <c r="BEW312" s="287"/>
      <c r="BEX312" s="287"/>
      <c r="BEY312" s="287"/>
      <c r="BEZ312" s="287"/>
      <c r="BFA312" s="287"/>
      <c r="BFB312" s="287"/>
      <c r="BFC312" s="287"/>
      <c r="BFD312" s="287"/>
      <c r="BFE312" s="287"/>
      <c r="BFF312" s="287"/>
      <c r="BFG312" s="287"/>
      <c r="BFH312" s="287"/>
      <c r="BFI312" s="287"/>
      <c r="BFJ312" s="287"/>
      <c r="BFK312" s="287"/>
      <c r="BFL312" s="287"/>
      <c r="BFM312" s="287"/>
      <c r="BFN312" s="287"/>
      <c r="BFO312" s="287"/>
      <c r="BFP312" s="287"/>
      <c r="BFQ312" s="287"/>
      <c r="BFR312" s="287"/>
      <c r="BFS312" s="287"/>
      <c r="BFT312" s="287"/>
      <c r="BFU312" s="287"/>
      <c r="BFV312" s="287"/>
      <c r="BFW312" s="287"/>
      <c r="BFX312" s="287"/>
      <c r="BFY312" s="287"/>
      <c r="BFZ312" s="287"/>
      <c r="BGA312" s="287"/>
      <c r="BGB312" s="287"/>
      <c r="BGC312" s="287"/>
      <c r="BGD312" s="287"/>
      <c r="BGE312" s="287"/>
      <c r="BGF312" s="287"/>
      <c r="BGG312" s="287"/>
      <c r="BGH312" s="287"/>
      <c r="BGI312" s="287"/>
      <c r="BGJ312" s="287"/>
      <c r="BGK312" s="287"/>
      <c r="BGL312" s="287"/>
      <c r="BGM312" s="287"/>
      <c r="BGN312" s="287"/>
      <c r="BGO312" s="287"/>
      <c r="BGP312" s="287"/>
      <c r="BGQ312" s="287"/>
      <c r="BGR312" s="287"/>
      <c r="BGS312" s="287"/>
      <c r="BGT312" s="287"/>
      <c r="BGU312" s="287"/>
      <c r="BGV312" s="287"/>
      <c r="BGW312" s="287"/>
      <c r="BGX312" s="287"/>
      <c r="BGY312" s="287"/>
      <c r="BGZ312" s="287"/>
      <c r="BHA312" s="287"/>
      <c r="BHB312" s="287"/>
      <c r="BHC312" s="287"/>
      <c r="BHD312" s="287"/>
      <c r="BHE312" s="287"/>
      <c r="BHF312" s="287"/>
      <c r="BHG312" s="287"/>
      <c r="BHH312" s="287"/>
      <c r="BHI312" s="287"/>
      <c r="BHJ312" s="287"/>
      <c r="BHK312" s="287"/>
      <c r="BHL312" s="287"/>
      <c r="BHM312" s="287"/>
      <c r="BHN312" s="287"/>
      <c r="BHO312" s="287"/>
      <c r="BHP312" s="287"/>
      <c r="BHQ312" s="287"/>
      <c r="BHR312" s="287"/>
      <c r="BHS312" s="287"/>
      <c r="BHT312" s="287"/>
      <c r="BHU312" s="287"/>
      <c r="BHV312" s="287"/>
      <c r="BHW312" s="287"/>
      <c r="BHX312" s="287"/>
      <c r="BHY312" s="287"/>
      <c r="BHZ312" s="287"/>
      <c r="BIA312" s="287"/>
      <c r="BIB312" s="287"/>
      <c r="BIC312" s="287"/>
      <c r="BID312" s="287"/>
      <c r="BIE312" s="287"/>
      <c r="BIF312" s="287"/>
      <c r="BIG312" s="287"/>
      <c r="BIH312" s="287"/>
      <c r="BII312" s="287"/>
      <c r="BIJ312" s="287"/>
      <c r="BIK312" s="287"/>
      <c r="BIL312" s="287"/>
      <c r="BIM312" s="287"/>
      <c r="BIN312" s="287"/>
      <c r="BIO312" s="287"/>
      <c r="BIP312" s="287"/>
      <c r="BIQ312" s="287"/>
      <c r="BIR312" s="287"/>
      <c r="BIS312" s="287"/>
      <c r="BIT312" s="287"/>
      <c r="BIU312" s="287"/>
      <c r="BIV312" s="287"/>
      <c r="BIW312" s="287"/>
      <c r="BIX312" s="287"/>
      <c r="BIY312" s="287"/>
      <c r="BIZ312" s="287"/>
      <c r="BJA312" s="287"/>
      <c r="BJB312" s="287"/>
      <c r="BJC312" s="287"/>
      <c r="BJD312" s="287"/>
      <c r="BJE312" s="287"/>
      <c r="BJF312" s="287"/>
      <c r="BJG312" s="287"/>
      <c r="BJH312" s="287"/>
      <c r="BJI312" s="287"/>
      <c r="BJJ312" s="287"/>
      <c r="BJK312" s="287"/>
      <c r="BJL312" s="287"/>
      <c r="BJM312" s="287"/>
      <c r="BJN312" s="287"/>
      <c r="BJO312" s="287"/>
      <c r="BJP312" s="287"/>
      <c r="BJQ312" s="287"/>
      <c r="BJR312" s="287"/>
      <c r="BJS312" s="287"/>
      <c r="BJT312" s="287"/>
      <c r="BJU312" s="287"/>
      <c r="BJV312" s="287"/>
      <c r="BJW312" s="287"/>
      <c r="BJX312" s="287"/>
      <c r="BJY312" s="287"/>
      <c r="BJZ312" s="287"/>
      <c r="BKA312" s="287"/>
      <c r="BKB312" s="287"/>
      <c r="BKC312" s="287"/>
      <c r="BKD312" s="287"/>
      <c r="BKE312" s="287"/>
      <c r="BKF312" s="287"/>
      <c r="BKG312" s="287"/>
      <c r="BKH312" s="287"/>
      <c r="BKI312" s="287"/>
      <c r="BKJ312" s="287"/>
      <c r="BKK312" s="287"/>
      <c r="BKL312" s="287"/>
      <c r="BKM312" s="287"/>
      <c r="BKN312" s="287"/>
      <c r="BKO312" s="287"/>
      <c r="BKP312" s="287"/>
      <c r="BKQ312" s="287"/>
      <c r="BKR312" s="287"/>
      <c r="BKS312" s="287"/>
      <c r="BKT312" s="287"/>
      <c r="BKU312" s="287"/>
      <c r="BKV312" s="287"/>
      <c r="BKW312" s="287"/>
      <c r="BKX312" s="287"/>
      <c r="BKY312" s="287"/>
      <c r="BKZ312" s="287"/>
      <c r="BLA312" s="287"/>
      <c r="BLB312" s="287"/>
      <c r="BLC312" s="287"/>
      <c r="BLD312" s="287"/>
      <c r="BLE312" s="287"/>
      <c r="BLF312" s="287"/>
      <c r="BLG312" s="287"/>
      <c r="BLH312" s="287"/>
      <c r="BLI312" s="287"/>
      <c r="BLJ312" s="287"/>
      <c r="BLK312" s="287"/>
      <c r="BLL312" s="287"/>
      <c r="BLM312" s="287"/>
      <c r="BLN312" s="287"/>
      <c r="BLO312" s="287"/>
      <c r="BLP312" s="287"/>
      <c r="BLQ312" s="287"/>
      <c r="BLR312" s="287"/>
      <c r="BLS312" s="287"/>
      <c r="BLT312" s="287"/>
      <c r="BLU312" s="287"/>
      <c r="BLV312" s="287"/>
      <c r="BLW312" s="287"/>
      <c r="BLX312" s="287"/>
      <c r="BLY312" s="287"/>
      <c r="BLZ312" s="287"/>
      <c r="BMA312" s="287"/>
      <c r="BMB312" s="287"/>
      <c r="BMC312" s="287"/>
      <c r="BMD312" s="287"/>
      <c r="BME312" s="287"/>
      <c r="BMF312" s="287"/>
      <c r="BMG312" s="287"/>
      <c r="BMH312" s="287"/>
      <c r="BMI312" s="287"/>
      <c r="BMJ312" s="287"/>
      <c r="BMK312" s="287"/>
      <c r="BML312" s="287"/>
      <c r="BMM312" s="287"/>
      <c r="BMN312" s="287"/>
      <c r="BMO312" s="287"/>
      <c r="BMP312" s="287"/>
      <c r="BMQ312" s="287"/>
      <c r="BMR312" s="287"/>
      <c r="BMS312" s="287"/>
      <c r="BMT312" s="287"/>
      <c r="BMU312" s="287"/>
      <c r="BMV312" s="287"/>
      <c r="BMW312" s="287"/>
      <c r="BMX312" s="287"/>
      <c r="BMY312" s="287"/>
      <c r="BMZ312" s="287"/>
      <c r="BNA312" s="287"/>
      <c r="BNB312" s="287"/>
      <c r="BNC312" s="287"/>
      <c r="BND312" s="287"/>
      <c r="BNE312" s="287"/>
      <c r="BNF312" s="287"/>
      <c r="BNG312" s="287"/>
      <c r="BNH312" s="287"/>
      <c r="BNI312" s="287"/>
      <c r="BNJ312" s="287"/>
      <c r="BNK312" s="287"/>
      <c r="BNL312" s="287"/>
      <c r="BNM312" s="287"/>
      <c r="BNN312" s="287"/>
      <c r="BNO312" s="287"/>
      <c r="BNP312" s="287"/>
      <c r="BNQ312" s="287"/>
      <c r="BNR312" s="287"/>
      <c r="BNS312" s="287"/>
      <c r="BNT312" s="287"/>
      <c r="BNU312" s="287"/>
      <c r="BNV312" s="287"/>
      <c r="BNW312" s="287"/>
      <c r="BNX312" s="287"/>
      <c r="BNY312" s="287"/>
      <c r="BNZ312" s="287"/>
      <c r="BOA312" s="287"/>
      <c r="BOB312" s="287"/>
      <c r="BOC312" s="287"/>
      <c r="BOD312" s="287"/>
      <c r="BOE312" s="287"/>
      <c r="BOF312" s="287"/>
      <c r="BOG312" s="287"/>
      <c r="BOH312" s="287"/>
      <c r="BOI312" s="287"/>
      <c r="BOJ312" s="287"/>
      <c r="BOK312" s="287"/>
      <c r="BOL312" s="287"/>
      <c r="BOM312" s="287"/>
      <c r="BON312" s="287"/>
      <c r="BOO312" s="287"/>
      <c r="BOP312" s="287"/>
      <c r="BOQ312" s="287"/>
      <c r="BOR312" s="287"/>
      <c r="BOS312" s="287"/>
      <c r="BOT312" s="287"/>
      <c r="BOU312" s="287"/>
      <c r="BOV312" s="287"/>
      <c r="BOW312" s="287"/>
      <c r="BOX312" s="287"/>
      <c r="BOY312" s="287"/>
      <c r="BOZ312" s="287"/>
      <c r="BPA312" s="287"/>
      <c r="BPB312" s="287"/>
      <c r="BPC312" s="287"/>
      <c r="BPD312" s="287"/>
      <c r="BPE312" s="287"/>
      <c r="BPF312" s="287"/>
      <c r="BPG312" s="287"/>
      <c r="BPH312" s="287"/>
      <c r="BPI312" s="287"/>
      <c r="BPJ312" s="287"/>
      <c r="BPK312" s="287"/>
      <c r="BPL312" s="287"/>
      <c r="BPM312" s="287"/>
      <c r="BPN312" s="287"/>
      <c r="BPO312" s="287"/>
      <c r="BPP312" s="287"/>
      <c r="BPQ312" s="287"/>
      <c r="BPR312" s="287"/>
      <c r="BPS312" s="287"/>
      <c r="BPT312" s="287"/>
      <c r="BPU312" s="287"/>
      <c r="BPV312" s="287"/>
      <c r="BPW312" s="287"/>
      <c r="BPX312" s="287"/>
      <c r="BPY312" s="287"/>
      <c r="BPZ312" s="287"/>
      <c r="BQA312" s="287"/>
      <c r="BQB312" s="287"/>
      <c r="BQC312" s="287"/>
      <c r="BQD312" s="287"/>
      <c r="BQE312" s="287"/>
      <c r="BQF312" s="287"/>
      <c r="BQG312" s="287"/>
      <c r="BQH312" s="287"/>
      <c r="BQI312" s="287"/>
      <c r="BQJ312" s="287"/>
      <c r="BQK312" s="287"/>
      <c r="BQL312" s="287"/>
      <c r="BQM312" s="287"/>
      <c r="BQN312" s="287"/>
      <c r="BQO312" s="287"/>
      <c r="BQP312" s="287"/>
      <c r="BQQ312" s="287"/>
      <c r="BQR312" s="287"/>
      <c r="BQS312" s="287"/>
      <c r="BQT312" s="287"/>
      <c r="BQU312" s="287"/>
      <c r="BQV312" s="287"/>
      <c r="BQW312" s="287"/>
      <c r="BQX312" s="287"/>
      <c r="BQY312" s="287"/>
      <c r="BQZ312" s="287"/>
      <c r="BRA312" s="287"/>
      <c r="BRB312" s="287"/>
      <c r="BRC312" s="287"/>
      <c r="BRD312" s="287"/>
      <c r="BRE312" s="287"/>
      <c r="BRF312" s="287"/>
      <c r="BRG312" s="287"/>
      <c r="BRH312" s="287"/>
      <c r="BRI312" s="287"/>
      <c r="BRJ312" s="287"/>
      <c r="BRK312" s="287"/>
      <c r="BRL312" s="287"/>
      <c r="BRM312" s="287"/>
      <c r="BRN312" s="287"/>
      <c r="BRO312" s="287"/>
      <c r="BRP312" s="287"/>
      <c r="BRQ312" s="287"/>
      <c r="BRR312" s="287"/>
      <c r="BRS312" s="287"/>
      <c r="BRT312" s="287"/>
      <c r="BRU312" s="287"/>
      <c r="BRV312" s="287"/>
      <c r="BRW312" s="287"/>
      <c r="BRX312" s="287"/>
      <c r="BRY312" s="287"/>
      <c r="BRZ312" s="287"/>
      <c r="BSA312" s="287"/>
      <c r="BSB312" s="287"/>
      <c r="BSC312" s="287"/>
      <c r="BSD312" s="287"/>
      <c r="BSE312" s="287"/>
      <c r="BSF312" s="287"/>
      <c r="BSG312" s="287"/>
      <c r="BSH312" s="287"/>
      <c r="BSI312" s="287"/>
      <c r="BSJ312" s="287"/>
      <c r="BSK312" s="287"/>
      <c r="BSL312" s="287"/>
      <c r="BSM312" s="287"/>
      <c r="BSN312" s="287"/>
      <c r="BSO312" s="287"/>
      <c r="BSP312" s="287"/>
      <c r="BSQ312" s="287"/>
      <c r="BSR312" s="287"/>
      <c r="BSS312" s="287"/>
      <c r="BST312" s="287"/>
      <c r="BSU312" s="287"/>
      <c r="BSV312" s="287"/>
      <c r="BSW312" s="287"/>
      <c r="BSX312" s="287"/>
      <c r="BSY312" s="287"/>
      <c r="BSZ312" s="287"/>
      <c r="BTA312" s="287"/>
      <c r="BTB312" s="287"/>
      <c r="BTC312" s="287"/>
      <c r="BTD312" s="287"/>
      <c r="BTE312" s="287"/>
      <c r="BTF312" s="287"/>
      <c r="BTG312" s="287"/>
      <c r="BTH312" s="287"/>
      <c r="BTI312" s="287"/>
      <c r="BTJ312" s="287"/>
      <c r="BTK312" s="287"/>
      <c r="BTL312" s="287"/>
      <c r="BTM312" s="287"/>
      <c r="BTN312" s="287"/>
      <c r="BTO312" s="287"/>
      <c r="BTP312" s="287"/>
      <c r="BTQ312" s="287"/>
      <c r="BTR312" s="287"/>
      <c r="BTS312" s="287"/>
      <c r="BTT312" s="287"/>
      <c r="BTU312" s="287"/>
      <c r="BTV312" s="287"/>
      <c r="BTW312" s="287"/>
      <c r="BTX312" s="287"/>
      <c r="BTY312" s="287"/>
      <c r="BTZ312" s="287"/>
      <c r="BUA312" s="287"/>
      <c r="BUB312" s="287"/>
      <c r="BUC312" s="287"/>
      <c r="BUD312" s="287"/>
      <c r="BUE312" s="287"/>
      <c r="BUF312" s="287"/>
      <c r="BUG312" s="287"/>
      <c r="BUH312" s="287"/>
      <c r="BUI312" s="287"/>
      <c r="BUJ312" s="287"/>
      <c r="BUK312" s="287"/>
      <c r="BUL312" s="287"/>
      <c r="BUM312" s="287"/>
      <c r="BUN312" s="287"/>
      <c r="BUO312" s="287"/>
      <c r="BUP312" s="287"/>
      <c r="BUQ312" s="287"/>
      <c r="BUR312" s="287"/>
      <c r="BUS312" s="287"/>
      <c r="BUT312" s="287"/>
      <c r="BUU312" s="287"/>
      <c r="BUV312" s="287"/>
      <c r="BUW312" s="287"/>
      <c r="BUX312" s="287"/>
      <c r="BUY312" s="287"/>
      <c r="BUZ312" s="287"/>
      <c r="BVA312" s="287"/>
      <c r="BVB312" s="287"/>
      <c r="BVC312" s="287"/>
      <c r="BVD312" s="287"/>
      <c r="BVE312" s="287"/>
      <c r="BVF312" s="287"/>
      <c r="BVG312" s="287"/>
      <c r="BVH312" s="287"/>
      <c r="BVI312" s="287"/>
      <c r="BVJ312" s="287"/>
      <c r="BVK312" s="287"/>
      <c r="BVL312" s="287"/>
      <c r="BVM312" s="287"/>
      <c r="BVN312" s="287"/>
      <c r="BVO312" s="287"/>
      <c r="BVP312" s="287"/>
      <c r="BVQ312" s="287"/>
      <c r="BVR312" s="287"/>
      <c r="BVS312" s="287"/>
      <c r="BVT312" s="287"/>
      <c r="BVU312" s="287"/>
      <c r="BVV312" s="287"/>
      <c r="BVW312" s="287"/>
      <c r="BVX312" s="287"/>
      <c r="BVY312" s="287"/>
      <c r="BVZ312" s="287"/>
      <c r="BWA312" s="287"/>
      <c r="BWB312" s="287"/>
      <c r="BWC312" s="287"/>
      <c r="BWD312" s="287"/>
      <c r="BWE312" s="287"/>
      <c r="BWF312" s="287"/>
      <c r="BWG312" s="287"/>
      <c r="BWH312" s="287"/>
      <c r="BWI312" s="287"/>
      <c r="BWJ312" s="287"/>
      <c r="BWK312" s="287"/>
      <c r="BWL312" s="287"/>
      <c r="BWM312" s="287"/>
      <c r="BWN312" s="287"/>
      <c r="BWO312" s="287"/>
      <c r="BWP312" s="287"/>
      <c r="BWQ312" s="287"/>
      <c r="BWR312" s="287"/>
      <c r="BWS312" s="287"/>
      <c r="BWT312" s="287"/>
      <c r="BWU312" s="287"/>
      <c r="BWV312" s="287"/>
      <c r="BWW312" s="287"/>
      <c r="BWX312" s="287"/>
      <c r="BWY312" s="287"/>
      <c r="BWZ312" s="287"/>
      <c r="BXA312" s="287"/>
      <c r="BXB312" s="287"/>
      <c r="BXC312" s="287"/>
      <c r="BXD312" s="287"/>
      <c r="BXE312" s="287"/>
      <c r="BXF312" s="287"/>
      <c r="BXG312" s="287"/>
      <c r="BXH312" s="287"/>
      <c r="BXI312" s="287"/>
      <c r="BXJ312" s="287"/>
      <c r="BXK312" s="287"/>
      <c r="BXL312" s="287"/>
      <c r="BXM312" s="287"/>
      <c r="BXN312" s="287"/>
      <c r="BXO312" s="287"/>
      <c r="BXP312" s="287"/>
      <c r="BXQ312" s="287"/>
      <c r="BXR312" s="287"/>
      <c r="BXS312" s="287"/>
      <c r="BXT312" s="287"/>
      <c r="BXU312" s="287"/>
      <c r="BXV312" s="287"/>
      <c r="BXW312" s="287"/>
      <c r="BXX312" s="287"/>
      <c r="BXY312" s="287"/>
      <c r="BXZ312" s="287"/>
      <c r="BYA312" s="287"/>
      <c r="BYB312" s="287"/>
      <c r="BYC312" s="287"/>
      <c r="BYD312" s="287"/>
      <c r="BYE312" s="287"/>
      <c r="BYF312" s="287"/>
      <c r="BYG312" s="287"/>
      <c r="BYH312" s="287"/>
      <c r="BYI312" s="287"/>
      <c r="BYJ312" s="287"/>
      <c r="BYK312" s="287"/>
      <c r="BYL312" s="287"/>
      <c r="BYM312" s="287"/>
      <c r="BYN312" s="287"/>
      <c r="BYO312" s="287"/>
      <c r="BYP312" s="287"/>
      <c r="BYQ312" s="287"/>
      <c r="BYR312" s="287"/>
      <c r="BYS312" s="287"/>
      <c r="BYT312" s="287"/>
      <c r="BYU312" s="287"/>
      <c r="BYV312" s="287"/>
      <c r="BYW312" s="287"/>
      <c r="BYX312" s="287"/>
      <c r="BYY312" s="287"/>
      <c r="BYZ312" s="287"/>
      <c r="BZA312" s="287"/>
      <c r="BZB312" s="287"/>
      <c r="BZC312" s="287"/>
      <c r="BZD312" s="287"/>
      <c r="BZE312" s="287"/>
      <c r="BZF312" s="287"/>
      <c r="BZG312" s="287"/>
      <c r="BZH312" s="287"/>
      <c r="BZI312" s="287"/>
      <c r="BZJ312" s="287"/>
      <c r="BZK312" s="287"/>
      <c r="BZL312" s="287"/>
      <c r="BZM312" s="287"/>
      <c r="BZN312" s="287"/>
      <c r="BZO312" s="287"/>
      <c r="BZP312" s="287"/>
      <c r="BZQ312" s="287"/>
      <c r="BZR312" s="287"/>
      <c r="BZS312" s="287"/>
      <c r="BZT312" s="287"/>
      <c r="BZU312" s="287"/>
      <c r="BZV312" s="287"/>
      <c r="BZW312" s="287"/>
      <c r="BZX312" s="287"/>
      <c r="BZY312" s="287"/>
      <c r="BZZ312" s="287"/>
      <c r="CAA312" s="287"/>
      <c r="CAB312" s="287"/>
      <c r="CAC312" s="287"/>
      <c r="CAD312" s="287"/>
      <c r="CAE312" s="287"/>
      <c r="CAF312" s="287"/>
      <c r="CAG312" s="287"/>
      <c r="CAH312" s="287"/>
      <c r="CAI312" s="287"/>
      <c r="CAJ312" s="287"/>
      <c r="CAK312" s="287"/>
      <c r="CAL312" s="287"/>
      <c r="CAM312" s="287"/>
      <c r="CAN312" s="287"/>
      <c r="CAO312" s="287"/>
      <c r="CAP312" s="287"/>
      <c r="CAQ312" s="287"/>
      <c r="CAR312" s="287"/>
      <c r="CAS312" s="287"/>
      <c r="CAT312" s="287"/>
      <c r="CAU312" s="287"/>
      <c r="CAV312" s="287"/>
      <c r="CAW312" s="287"/>
      <c r="CAX312" s="287"/>
      <c r="CAY312" s="287"/>
      <c r="CAZ312" s="287"/>
      <c r="CBA312" s="287"/>
      <c r="CBB312" s="287"/>
      <c r="CBC312" s="287"/>
      <c r="CBD312" s="287"/>
      <c r="CBE312" s="287"/>
      <c r="CBF312" s="287"/>
      <c r="CBG312" s="287"/>
      <c r="CBH312" s="287"/>
      <c r="CBI312" s="287"/>
      <c r="CBJ312" s="287"/>
      <c r="CBK312" s="287"/>
      <c r="CBL312" s="287"/>
      <c r="CBM312" s="287"/>
      <c r="CBN312" s="287"/>
      <c r="CBO312" s="287"/>
      <c r="CBP312" s="287"/>
      <c r="CBQ312" s="287"/>
      <c r="CBR312" s="287"/>
      <c r="CBS312" s="287"/>
      <c r="CBT312" s="287"/>
      <c r="CBU312" s="287"/>
      <c r="CBV312" s="287"/>
      <c r="CBW312" s="287"/>
      <c r="CBX312" s="287"/>
      <c r="CBY312" s="287"/>
      <c r="CBZ312" s="287"/>
      <c r="CCA312" s="287"/>
      <c r="CCB312" s="287"/>
      <c r="CCC312" s="287"/>
      <c r="CCD312" s="287"/>
      <c r="CCE312" s="287"/>
      <c r="CCF312" s="287"/>
      <c r="CCG312" s="287"/>
      <c r="CCH312" s="287"/>
      <c r="CCI312" s="287"/>
      <c r="CCJ312" s="287"/>
      <c r="CCK312" s="287"/>
      <c r="CCL312" s="287"/>
      <c r="CCM312" s="287"/>
      <c r="CCN312" s="287"/>
      <c r="CCO312" s="287"/>
      <c r="CCP312" s="287"/>
      <c r="CCQ312" s="287"/>
      <c r="CCR312" s="287"/>
      <c r="CCS312" s="287"/>
      <c r="CCT312" s="287"/>
      <c r="CCU312" s="287"/>
      <c r="CCV312" s="287"/>
      <c r="CCW312" s="287"/>
      <c r="CCX312" s="287"/>
      <c r="CCY312" s="287"/>
      <c r="CCZ312" s="287"/>
      <c r="CDA312" s="287"/>
      <c r="CDB312" s="287"/>
      <c r="CDC312" s="287"/>
      <c r="CDD312" s="287"/>
      <c r="CDE312" s="287"/>
      <c r="CDF312" s="287"/>
      <c r="CDG312" s="287"/>
      <c r="CDH312" s="287"/>
      <c r="CDI312" s="287"/>
      <c r="CDJ312" s="287"/>
      <c r="CDK312" s="287"/>
      <c r="CDL312" s="287"/>
      <c r="CDM312" s="287"/>
      <c r="CDN312" s="287"/>
      <c r="CDO312" s="287"/>
      <c r="CDP312" s="287"/>
      <c r="CDQ312" s="287"/>
      <c r="CDR312" s="287"/>
      <c r="CDS312" s="287"/>
      <c r="CDT312" s="287"/>
      <c r="CDU312" s="287"/>
      <c r="CDV312" s="287"/>
      <c r="CDW312" s="287"/>
      <c r="CDX312" s="287"/>
      <c r="CDY312" s="287"/>
      <c r="CDZ312" s="287"/>
      <c r="CEA312" s="287"/>
      <c r="CEB312" s="287"/>
      <c r="CEC312" s="287"/>
      <c r="CED312" s="287"/>
      <c r="CEE312" s="287"/>
      <c r="CEF312" s="287"/>
      <c r="CEG312" s="287"/>
      <c r="CEH312" s="287"/>
      <c r="CEI312" s="287"/>
      <c r="CEJ312" s="287"/>
      <c r="CEK312" s="287"/>
      <c r="CEL312" s="287"/>
      <c r="CEM312" s="287"/>
      <c r="CEN312" s="287"/>
      <c r="CEO312" s="287"/>
      <c r="CEP312" s="287"/>
      <c r="CEQ312" s="287"/>
      <c r="CER312" s="287"/>
      <c r="CES312" s="287"/>
      <c r="CET312" s="287"/>
      <c r="CEU312" s="287"/>
      <c r="CEV312" s="287"/>
      <c r="CEW312" s="287"/>
      <c r="CEX312" s="287"/>
      <c r="CEY312" s="287"/>
      <c r="CEZ312" s="287"/>
      <c r="CFA312" s="287"/>
      <c r="CFB312" s="287"/>
      <c r="CFC312" s="287"/>
      <c r="CFD312" s="287"/>
      <c r="CFE312" s="287"/>
      <c r="CFF312" s="287"/>
      <c r="CFG312" s="287"/>
      <c r="CFH312" s="287"/>
      <c r="CFI312" s="287"/>
      <c r="CFJ312" s="287"/>
      <c r="CFK312" s="287"/>
      <c r="CFL312" s="287"/>
      <c r="CFM312" s="287"/>
      <c r="CFN312" s="287"/>
      <c r="CFO312" s="287"/>
      <c r="CFP312" s="287"/>
      <c r="CFQ312" s="287"/>
      <c r="CFR312" s="287"/>
      <c r="CFS312" s="287"/>
      <c r="CFT312" s="287"/>
      <c r="CFU312" s="287"/>
      <c r="CFV312" s="287"/>
      <c r="CFW312" s="287"/>
      <c r="CFX312" s="287"/>
      <c r="CFY312" s="287"/>
      <c r="CFZ312" s="287"/>
      <c r="CGA312" s="287"/>
      <c r="CGB312" s="287"/>
      <c r="CGC312" s="287"/>
      <c r="CGD312" s="287"/>
      <c r="CGE312" s="287"/>
      <c r="CGF312" s="287"/>
      <c r="CGG312" s="287"/>
      <c r="CGH312" s="287"/>
      <c r="CGI312" s="287"/>
      <c r="CGJ312" s="287"/>
      <c r="CGK312" s="287"/>
      <c r="CGL312" s="287"/>
      <c r="CGM312" s="287"/>
      <c r="CGN312" s="287"/>
      <c r="CGO312" s="287"/>
      <c r="CGP312" s="287"/>
      <c r="CGQ312" s="287"/>
      <c r="CGR312" s="287"/>
      <c r="CGS312" s="287"/>
      <c r="CGT312" s="287"/>
      <c r="CGU312" s="287"/>
      <c r="CGV312" s="287"/>
      <c r="CGW312" s="287"/>
      <c r="CGX312" s="287"/>
      <c r="CGY312" s="287"/>
      <c r="CGZ312" s="287"/>
      <c r="CHA312" s="287"/>
      <c r="CHB312" s="287"/>
      <c r="CHC312" s="287"/>
      <c r="CHD312" s="287"/>
      <c r="CHE312" s="287"/>
      <c r="CHF312" s="287"/>
      <c r="CHG312" s="287"/>
      <c r="CHH312" s="287"/>
      <c r="CHI312" s="287"/>
      <c r="CHJ312" s="287"/>
      <c r="CHK312" s="287"/>
      <c r="CHL312" s="287"/>
      <c r="CHM312" s="287"/>
      <c r="CHN312" s="287"/>
      <c r="CHO312" s="287"/>
      <c r="CHP312" s="287"/>
      <c r="CHQ312" s="287"/>
      <c r="CHR312" s="287"/>
      <c r="CHS312" s="287"/>
      <c r="CHT312" s="287"/>
      <c r="CHU312" s="287"/>
      <c r="CHV312" s="287"/>
      <c r="CHW312" s="287"/>
      <c r="CHX312" s="287"/>
      <c r="CHY312" s="287"/>
      <c r="CHZ312" s="287"/>
      <c r="CIA312" s="287"/>
      <c r="CIB312" s="287"/>
      <c r="CIC312" s="287"/>
      <c r="CID312" s="287"/>
      <c r="CIE312" s="287"/>
      <c r="CIF312" s="287"/>
      <c r="CIG312" s="287"/>
      <c r="CIH312" s="287"/>
      <c r="CII312" s="287"/>
      <c r="CIJ312" s="287"/>
      <c r="CIK312" s="287"/>
      <c r="CIL312" s="287"/>
      <c r="CIM312" s="287"/>
      <c r="CIN312" s="287"/>
      <c r="CIO312" s="287"/>
      <c r="CIP312" s="287"/>
      <c r="CIQ312" s="287"/>
      <c r="CIR312" s="287"/>
      <c r="CIS312" s="287"/>
      <c r="CIT312" s="287"/>
      <c r="CIU312" s="287"/>
      <c r="CIV312" s="287"/>
      <c r="CIW312" s="287"/>
      <c r="CIX312" s="287"/>
      <c r="CIY312" s="287"/>
      <c r="CIZ312" s="287"/>
      <c r="CJA312" s="287"/>
      <c r="CJB312" s="287"/>
      <c r="CJC312" s="287"/>
      <c r="CJD312" s="287"/>
      <c r="CJE312" s="287"/>
      <c r="CJF312" s="287"/>
      <c r="CJG312" s="287"/>
      <c r="CJH312" s="287"/>
      <c r="CJI312" s="287"/>
      <c r="CJJ312" s="287"/>
      <c r="CJK312" s="287"/>
      <c r="CJL312" s="287"/>
      <c r="CJM312" s="287"/>
      <c r="CJN312" s="287"/>
      <c r="CJO312" s="287"/>
      <c r="CJP312" s="287"/>
      <c r="CJQ312" s="287"/>
      <c r="CJR312" s="287"/>
      <c r="CJS312" s="287"/>
      <c r="CJT312" s="287"/>
      <c r="CJU312" s="287"/>
      <c r="CJV312" s="287"/>
      <c r="CJW312" s="287"/>
      <c r="CJX312" s="287"/>
      <c r="CJY312" s="287"/>
      <c r="CJZ312" s="287"/>
      <c r="CKA312" s="287"/>
      <c r="CKB312" s="287"/>
      <c r="CKC312" s="287"/>
      <c r="CKD312" s="287"/>
      <c r="CKE312" s="287"/>
      <c r="CKF312" s="287"/>
      <c r="CKG312" s="287"/>
      <c r="CKH312" s="287"/>
      <c r="CKI312" s="287"/>
      <c r="CKJ312" s="287"/>
      <c r="CKK312" s="287"/>
      <c r="CKL312" s="287"/>
      <c r="CKM312" s="287"/>
      <c r="CKN312" s="287"/>
      <c r="CKO312" s="287"/>
      <c r="CKP312" s="287"/>
      <c r="CKQ312" s="287"/>
      <c r="CKR312" s="287"/>
      <c r="CKS312" s="287"/>
      <c r="CKT312" s="287"/>
      <c r="CKU312" s="287"/>
      <c r="CKV312" s="287"/>
      <c r="CKW312" s="287"/>
      <c r="CKX312" s="287"/>
      <c r="CKY312" s="287"/>
      <c r="CKZ312" s="287"/>
      <c r="CLA312" s="287"/>
      <c r="CLB312" s="287"/>
      <c r="CLC312" s="287"/>
      <c r="CLD312" s="287"/>
      <c r="CLE312" s="287"/>
      <c r="CLF312" s="287"/>
      <c r="CLG312" s="287"/>
      <c r="CLH312" s="287"/>
      <c r="CLI312" s="287"/>
      <c r="CLJ312" s="287"/>
      <c r="CLK312" s="287"/>
      <c r="CLL312" s="287"/>
      <c r="CLM312" s="287"/>
      <c r="CLN312" s="287"/>
      <c r="CLO312" s="287"/>
      <c r="CLP312" s="287"/>
      <c r="CLQ312" s="287"/>
      <c r="CLR312" s="287"/>
      <c r="CLS312" s="287"/>
      <c r="CLT312" s="287"/>
      <c r="CLU312" s="287"/>
      <c r="CLV312" s="287"/>
      <c r="CLW312" s="287"/>
      <c r="CLX312" s="287"/>
      <c r="CLY312" s="287"/>
      <c r="CLZ312" s="287"/>
      <c r="CMA312" s="287"/>
      <c r="CMB312" s="287"/>
      <c r="CMC312" s="287"/>
      <c r="CMD312" s="287"/>
      <c r="CME312" s="287"/>
      <c r="CMF312" s="287"/>
      <c r="CMG312" s="287"/>
      <c r="CMH312" s="287"/>
      <c r="CMI312" s="287"/>
      <c r="CMJ312" s="287"/>
      <c r="CMK312" s="287"/>
      <c r="CML312" s="287"/>
      <c r="CMM312" s="287"/>
      <c r="CMN312" s="287"/>
      <c r="CMO312" s="287"/>
      <c r="CMP312" s="287"/>
      <c r="CMQ312" s="287"/>
      <c r="CMR312" s="287"/>
      <c r="CMS312" s="287"/>
      <c r="CMT312" s="287"/>
      <c r="CMU312" s="287"/>
      <c r="CMV312" s="287"/>
      <c r="CMW312" s="287"/>
      <c r="CMX312" s="287"/>
      <c r="CMY312" s="287"/>
      <c r="CMZ312" s="287"/>
      <c r="CNA312" s="287"/>
      <c r="CNB312" s="287"/>
      <c r="CNC312" s="287"/>
      <c r="CND312" s="287"/>
      <c r="CNE312" s="287"/>
      <c r="CNF312" s="287"/>
      <c r="CNG312" s="287"/>
      <c r="CNH312" s="287"/>
      <c r="CNI312" s="287"/>
      <c r="CNJ312" s="287"/>
      <c r="CNK312" s="287"/>
      <c r="CNL312" s="287"/>
      <c r="CNM312" s="287"/>
      <c r="CNN312" s="287"/>
      <c r="CNO312" s="287"/>
      <c r="CNP312" s="287"/>
      <c r="CNQ312" s="287"/>
      <c r="CNR312" s="287"/>
      <c r="CNS312" s="287"/>
      <c r="CNT312" s="287"/>
      <c r="CNU312" s="287"/>
      <c r="CNV312" s="287"/>
      <c r="CNW312" s="287"/>
      <c r="CNX312" s="287"/>
      <c r="CNY312" s="287"/>
      <c r="CNZ312" s="287"/>
      <c r="COA312" s="287"/>
      <c r="COB312" s="287"/>
      <c r="COC312" s="287"/>
      <c r="COD312" s="287"/>
      <c r="COE312" s="287"/>
      <c r="COF312" s="287"/>
      <c r="COG312" s="287"/>
      <c r="COH312" s="287"/>
      <c r="COI312" s="287"/>
      <c r="COJ312" s="287"/>
      <c r="COK312" s="287"/>
      <c r="COL312" s="287"/>
      <c r="COM312" s="287"/>
      <c r="CON312" s="287"/>
      <c r="COO312" s="287"/>
      <c r="COP312" s="287"/>
      <c r="COQ312" s="287"/>
      <c r="COR312" s="287"/>
      <c r="COS312" s="287"/>
      <c r="COT312" s="287"/>
      <c r="COU312" s="287"/>
      <c r="COV312" s="287"/>
      <c r="COW312" s="287"/>
      <c r="COX312" s="287"/>
      <c r="COY312" s="287"/>
      <c r="COZ312" s="287"/>
      <c r="CPA312" s="287"/>
      <c r="CPB312" s="287"/>
      <c r="CPC312" s="287"/>
      <c r="CPD312" s="287"/>
      <c r="CPE312" s="287"/>
      <c r="CPF312" s="287"/>
      <c r="CPG312" s="287"/>
      <c r="CPH312" s="287"/>
      <c r="CPI312" s="287"/>
      <c r="CPJ312" s="287"/>
      <c r="CPK312" s="287"/>
      <c r="CPL312" s="287"/>
      <c r="CPM312" s="287"/>
      <c r="CPN312" s="287"/>
      <c r="CPO312" s="287"/>
      <c r="CPP312" s="287"/>
      <c r="CPQ312" s="287"/>
      <c r="CPR312" s="287"/>
      <c r="CPS312" s="287"/>
      <c r="CPT312" s="287"/>
      <c r="CPU312" s="287"/>
      <c r="CPV312" s="287"/>
      <c r="CPW312" s="287"/>
      <c r="CPX312" s="287"/>
      <c r="CPY312" s="287"/>
      <c r="CPZ312" s="287"/>
      <c r="CQA312" s="287"/>
      <c r="CQB312" s="287"/>
      <c r="CQC312" s="287"/>
      <c r="CQD312" s="287"/>
      <c r="CQE312" s="287"/>
      <c r="CQF312" s="287"/>
      <c r="CQG312" s="287"/>
      <c r="CQH312" s="287"/>
      <c r="CQI312" s="287"/>
      <c r="CQJ312" s="287"/>
      <c r="CQK312" s="287"/>
      <c r="CQL312" s="287"/>
      <c r="CQM312" s="287"/>
      <c r="CQN312" s="287"/>
      <c r="CQO312" s="287"/>
      <c r="CQP312" s="287"/>
      <c r="CQQ312" s="287"/>
      <c r="CQR312" s="287"/>
      <c r="CQS312" s="287"/>
      <c r="CQT312" s="287"/>
      <c r="CQU312" s="287"/>
      <c r="CQV312" s="287"/>
      <c r="CQW312" s="287"/>
      <c r="CQX312" s="287"/>
      <c r="CQY312" s="287"/>
      <c r="CQZ312" s="287"/>
      <c r="CRA312" s="287"/>
      <c r="CRB312" s="287"/>
      <c r="CRC312" s="287"/>
      <c r="CRD312" s="287"/>
      <c r="CRE312" s="287"/>
      <c r="CRF312" s="287"/>
      <c r="CRG312" s="287"/>
      <c r="CRH312" s="287"/>
      <c r="CRI312" s="287"/>
      <c r="CRJ312" s="287"/>
      <c r="CRK312" s="287"/>
      <c r="CRL312" s="287"/>
      <c r="CRM312" s="287"/>
      <c r="CRN312" s="287"/>
      <c r="CRO312" s="287"/>
      <c r="CRP312" s="287"/>
      <c r="CRQ312" s="287"/>
      <c r="CRR312" s="287"/>
      <c r="CRS312" s="287"/>
      <c r="CRT312" s="287"/>
      <c r="CRU312" s="287"/>
      <c r="CRV312" s="287"/>
      <c r="CRW312" s="287"/>
      <c r="CRX312" s="287"/>
      <c r="CRY312" s="287"/>
      <c r="CRZ312" s="287"/>
      <c r="CSA312" s="287"/>
      <c r="CSB312" s="287"/>
      <c r="CSC312" s="287"/>
      <c r="CSD312" s="287"/>
      <c r="CSE312" s="287"/>
      <c r="CSF312" s="287"/>
      <c r="CSG312" s="287"/>
      <c r="CSH312" s="287"/>
      <c r="CSI312" s="287"/>
      <c r="CSJ312" s="287"/>
      <c r="CSK312" s="287"/>
      <c r="CSL312" s="287"/>
      <c r="CSM312" s="287"/>
      <c r="CSN312" s="287"/>
      <c r="CSO312" s="287"/>
      <c r="CSP312" s="287"/>
      <c r="CSQ312" s="287"/>
      <c r="CSR312" s="287"/>
      <c r="CSS312" s="287"/>
      <c r="CST312" s="287"/>
      <c r="CSU312" s="287"/>
      <c r="CSV312" s="287"/>
      <c r="CSW312" s="287"/>
      <c r="CSX312" s="287"/>
      <c r="CSY312" s="287"/>
      <c r="CSZ312" s="287"/>
      <c r="CTA312" s="287"/>
      <c r="CTB312" s="287"/>
      <c r="CTC312" s="287"/>
      <c r="CTD312" s="287"/>
      <c r="CTE312" s="287"/>
      <c r="CTF312" s="287"/>
      <c r="CTG312" s="287"/>
      <c r="CTH312" s="287"/>
      <c r="CTI312" s="287"/>
      <c r="CTJ312" s="287"/>
      <c r="CTK312" s="287"/>
      <c r="CTL312" s="287"/>
      <c r="CTM312" s="287"/>
      <c r="CTN312" s="287"/>
      <c r="CTO312" s="287"/>
      <c r="CTP312" s="287"/>
      <c r="CTQ312" s="287"/>
      <c r="CTR312" s="287"/>
      <c r="CTS312" s="287"/>
      <c r="CTT312" s="287"/>
      <c r="CTU312" s="287"/>
      <c r="CTV312" s="287"/>
      <c r="CTW312" s="287"/>
      <c r="CTX312" s="287"/>
      <c r="CTY312" s="287"/>
      <c r="CTZ312" s="287"/>
      <c r="CUA312" s="287"/>
      <c r="CUB312" s="287"/>
      <c r="CUC312" s="287"/>
      <c r="CUD312" s="287"/>
      <c r="CUE312" s="287"/>
      <c r="CUF312" s="287"/>
      <c r="CUG312" s="287"/>
      <c r="CUH312" s="287"/>
      <c r="CUI312" s="287"/>
      <c r="CUJ312" s="287"/>
      <c r="CUK312" s="287"/>
      <c r="CUL312" s="287"/>
      <c r="CUM312" s="287"/>
      <c r="CUN312" s="287"/>
      <c r="CUO312" s="287"/>
      <c r="CUP312" s="287"/>
      <c r="CUQ312" s="287"/>
      <c r="CUR312" s="287"/>
      <c r="CUS312" s="287"/>
      <c r="CUT312" s="287"/>
      <c r="CUU312" s="287"/>
      <c r="CUV312" s="287"/>
      <c r="CUW312" s="287"/>
      <c r="CUX312" s="287"/>
      <c r="CUY312" s="287"/>
      <c r="CUZ312" s="287"/>
      <c r="CVA312" s="287"/>
      <c r="CVB312" s="287"/>
      <c r="CVC312" s="287"/>
      <c r="CVD312" s="287"/>
      <c r="CVE312" s="287"/>
      <c r="CVF312" s="287"/>
      <c r="CVG312" s="287"/>
      <c r="CVH312" s="287"/>
      <c r="CVI312" s="287"/>
      <c r="CVJ312" s="287"/>
      <c r="CVK312" s="287"/>
      <c r="CVL312" s="287"/>
      <c r="CVM312" s="287"/>
      <c r="CVN312" s="287"/>
      <c r="CVO312" s="287"/>
      <c r="CVP312" s="287"/>
      <c r="CVQ312" s="287"/>
      <c r="CVR312" s="287"/>
      <c r="CVS312" s="287"/>
      <c r="CVT312" s="287"/>
      <c r="CVU312" s="287"/>
      <c r="CVV312" s="287"/>
      <c r="CVW312" s="287"/>
      <c r="CVX312" s="287"/>
      <c r="CVY312" s="287"/>
      <c r="CVZ312" s="287"/>
      <c r="CWA312" s="287"/>
      <c r="CWB312" s="287"/>
      <c r="CWC312" s="287"/>
      <c r="CWD312" s="287"/>
      <c r="CWE312" s="287"/>
      <c r="CWF312" s="287"/>
      <c r="CWG312" s="287"/>
      <c r="CWH312" s="287"/>
      <c r="CWI312" s="287"/>
      <c r="CWJ312" s="287"/>
      <c r="CWK312" s="287"/>
      <c r="CWL312" s="287"/>
      <c r="CWM312" s="287"/>
      <c r="CWN312" s="287"/>
      <c r="CWO312" s="287"/>
      <c r="CWP312" s="287"/>
      <c r="CWQ312" s="287"/>
      <c r="CWR312" s="287"/>
      <c r="CWS312" s="287"/>
      <c r="CWT312" s="287"/>
      <c r="CWU312" s="287"/>
      <c r="CWV312" s="287"/>
      <c r="CWW312" s="287"/>
      <c r="CWX312" s="287"/>
      <c r="CWY312" s="287"/>
      <c r="CWZ312" s="287"/>
      <c r="CXA312" s="287"/>
      <c r="CXB312" s="287"/>
      <c r="CXC312" s="287"/>
      <c r="CXD312" s="287"/>
      <c r="CXE312" s="287"/>
      <c r="CXF312" s="287"/>
      <c r="CXG312" s="287"/>
      <c r="CXH312" s="287"/>
      <c r="CXI312" s="287"/>
      <c r="CXJ312" s="287"/>
      <c r="CXK312" s="287"/>
      <c r="CXL312" s="287"/>
      <c r="CXM312" s="287"/>
      <c r="CXN312" s="287"/>
      <c r="CXO312" s="287"/>
      <c r="CXP312" s="287"/>
      <c r="CXQ312" s="287"/>
      <c r="CXR312" s="287"/>
      <c r="CXS312" s="287"/>
      <c r="CXT312" s="287"/>
      <c r="CXU312" s="287"/>
      <c r="CXV312" s="287"/>
      <c r="CXW312" s="287"/>
      <c r="CXX312" s="287"/>
      <c r="CXY312" s="287"/>
      <c r="CXZ312" s="287"/>
      <c r="CYA312" s="287"/>
      <c r="CYB312" s="287"/>
      <c r="CYC312" s="287"/>
      <c r="CYD312" s="287"/>
      <c r="CYE312" s="287"/>
      <c r="CYF312" s="287"/>
      <c r="CYG312" s="287"/>
      <c r="CYH312" s="287"/>
      <c r="CYI312" s="287"/>
      <c r="CYJ312" s="287"/>
      <c r="CYK312" s="287"/>
      <c r="CYL312" s="287"/>
      <c r="CYM312" s="287"/>
      <c r="CYN312" s="287"/>
      <c r="CYO312" s="287"/>
      <c r="CYP312" s="287"/>
      <c r="CYQ312" s="287"/>
      <c r="CYR312" s="287"/>
      <c r="CYS312" s="287"/>
      <c r="CYT312" s="287"/>
      <c r="CYU312" s="287"/>
      <c r="CYV312" s="287"/>
      <c r="CYW312" s="287"/>
      <c r="CYX312" s="287"/>
      <c r="CYY312" s="287"/>
      <c r="CYZ312" s="287"/>
      <c r="CZA312" s="287"/>
      <c r="CZB312" s="287"/>
      <c r="CZC312" s="287"/>
      <c r="CZD312" s="287"/>
      <c r="CZE312" s="287"/>
      <c r="CZF312" s="287"/>
      <c r="CZG312" s="287"/>
      <c r="CZH312" s="287"/>
      <c r="CZI312" s="287"/>
      <c r="CZJ312" s="287"/>
      <c r="CZK312" s="287"/>
      <c r="CZL312" s="287"/>
      <c r="CZM312" s="287"/>
      <c r="CZN312" s="287"/>
      <c r="CZO312" s="287"/>
      <c r="CZP312" s="287"/>
      <c r="CZQ312" s="287"/>
      <c r="CZR312" s="287"/>
      <c r="CZS312" s="287"/>
      <c r="CZT312" s="287"/>
      <c r="CZU312" s="287"/>
      <c r="CZV312" s="287"/>
      <c r="CZW312" s="287"/>
      <c r="CZX312" s="287"/>
      <c r="CZY312" s="287"/>
      <c r="CZZ312" s="287"/>
      <c r="DAA312" s="287"/>
      <c r="DAB312" s="287"/>
      <c r="DAC312" s="287"/>
      <c r="DAD312" s="287"/>
      <c r="DAE312" s="287"/>
      <c r="DAF312" s="287"/>
      <c r="DAG312" s="287"/>
      <c r="DAH312" s="287"/>
      <c r="DAI312" s="287"/>
      <c r="DAJ312" s="287"/>
      <c r="DAK312" s="287"/>
      <c r="DAL312" s="287"/>
      <c r="DAM312" s="287"/>
      <c r="DAN312" s="287"/>
      <c r="DAO312" s="287"/>
      <c r="DAP312" s="287"/>
      <c r="DAQ312" s="287"/>
      <c r="DAR312" s="287"/>
      <c r="DAS312" s="287"/>
      <c r="DAT312" s="287"/>
      <c r="DAU312" s="287"/>
      <c r="DAV312" s="287"/>
      <c r="DAW312" s="287"/>
      <c r="DAX312" s="287"/>
      <c r="DAY312" s="287"/>
      <c r="DAZ312" s="287"/>
      <c r="DBA312" s="287"/>
      <c r="DBB312" s="287"/>
      <c r="DBC312" s="287"/>
      <c r="DBD312" s="287"/>
      <c r="DBE312" s="287"/>
      <c r="DBF312" s="287"/>
      <c r="DBG312" s="287"/>
      <c r="DBH312" s="287"/>
      <c r="DBI312" s="287"/>
      <c r="DBJ312" s="287"/>
      <c r="DBK312" s="287"/>
      <c r="DBL312" s="287"/>
      <c r="DBM312" s="287"/>
      <c r="DBN312" s="287"/>
      <c r="DBO312" s="287"/>
      <c r="DBP312" s="287"/>
      <c r="DBQ312" s="287"/>
      <c r="DBR312" s="287"/>
      <c r="DBS312" s="287"/>
      <c r="DBT312" s="287"/>
      <c r="DBU312" s="287"/>
      <c r="DBV312" s="287"/>
      <c r="DBW312" s="287"/>
      <c r="DBX312" s="287"/>
      <c r="DBY312" s="287"/>
      <c r="DBZ312" s="287"/>
      <c r="DCA312" s="287"/>
      <c r="DCB312" s="287"/>
      <c r="DCC312" s="287"/>
      <c r="DCD312" s="287"/>
      <c r="DCE312" s="287"/>
      <c r="DCF312" s="287"/>
      <c r="DCG312" s="287"/>
      <c r="DCH312" s="287"/>
      <c r="DCI312" s="287"/>
      <c r="DCJ312" s="287"/>
      <c r="DCK312" s="287"/>
      <c r="DCL312" s="287"/>
      <c r="DCM312" s="287"/>
      <c r="DCN312" s="287"/>
      <c r="DCO312" s="287"/>
      <c r="DCP312" s="287"/>
      <c r="DCQ312" s="287"/>
      <c r="DCR312" s="287"/>
      <c r="DCS312" s="287"/>
      <c r="DCT312" s="287"/>
      <c r="DCU312" s="287"/>
      <c r="DCV312" s="287"/>
      <c r="DCW312" s="287"/>
      <c r="DCX312" s="287"/>
      <c r="DCY312" s="287"/>
      <c r="DCZ312" s="287"/>
      <c r="DDA312" s="287"/>
      <c r="DDB312" s="287"/>
      <c r="DDC312" s="287"/>
      <c r="DDD312" s="287"/>
      <c r="DDE312" s="287"/>
      <c r="DDF312" s="287"/>
      <c r="DDG312" s="287"/>
      <c r="DDH312" s="287"/>
      <c r="DDI312" s="287"/>
      <c r="DDJ312" s="287"/>
      <c r="DDK312" s="287"/>
      <c r="DDL312" s="287"/>
      <c r="DDM312" s="287"/>
      <c r="DDN312" s="287"/>
      <c r="DDO312" s="287"/>
      <c r="DDP312" s="287"/>
      <c r="DDQ312" s="287"/>
      <c r="DDR312" s="287"/>
      <c r="DDS312" s="287"/>
      <c r="DDT312" s="287"/>
      <c r="DDU312" s="287"/>
      <c r="DDV312" s="287"/>
      <c r="DDW312" s="287"/>
      <c r="DDX312" s="287"/>
      <c r="DDY312" s="287"/>
      <c r="DDZ312" s="287"/>
      <c r="DEA312" s="287"/>
      <c r="DEB312" s="287"/>
      <c r="DEC312" s="287"/>
      <c r="DED312" s="287"/>
      <c r="DEE312" s="287"/>
      <c r="DEF312" s="287"/>
      <c r="DEG312" s="287"/>
      <c r="DEH312" s="287"/>
      <c r="DEI312" s="287"/>
      <c r="DEJ312" s="287"/>
      <c r="DEK312" s="287"/>
      <c r="DEL312" s="287"/>
      <c r="DEM312" s="287"/>
      <c r="DEN312" s="287"/>
      <c r="DEO312" s="287"/>
      <c r="DEP312" s="287"/>
      <c r="DEQ312" s="287"/>
      <c r="DER312" s="287"/>
      <c r="DES312" s="287"/>
      <c r="DET312" s="287"/>
      <c r="DEU312" s="287"/>
      <c r="DEV312" s="287"/>
      <c r="DEW312" s="287"/>
      <c r="DEX312" s="287"/>
      <c r="DEY312" s="287"/>
      <c r="DEZ312" s="287"/>
      <c r="DFA312" s="287"/>
      <c r="DFB312" s="287"/>
      <c r="DFC312" s="287"/>
      <c r="DFD312" s="287"/>
      <c r="DFE312" s="287"/>
      <c r="DFF312" s="287"/>
      <c r="DFG312" s="287"/>
      <c r="DFH312" s="287"/>
      <c r="DFI312" s="287"/>
      <c r="DFJ312" s="287"/>
      <c r="DFK312" s="287"/>
      <c r="DFL312" s="287"/>
      <c r="DFM312" s="287"/>
      <c r="DFN312" s="287"/>
      <c r="DFO312" s="287"/>
      <c r="DFP312" s="287"/>
      <c r="DFQ312" s="287"/>
      <c r="DFR312" s="287"/>
      <c r="DFS312" s="287"/>
      <c r="DFT312" s="287"/>
      <c r="DFU312" s="287"/>
      <c r="DFV312" s="287"/>
      <c r="DFW312" s="287"/>
      <c r="DFX312" s="287"/>
      <c r="DFY312" s="287"/>
      <c r="DFZ312" s="287"/>
      <c r="DGA312" s="287"/>
      <c r="DGB312" s="287"/>
      <c r="DGC312" s="287"/>
      <c r="DGD312" s="287"/>
      <c r="DGE312" s="287"/>
      <c r="DGF312" s="287"/>
      <c r="DGG312" s="287"/>
      <c r="DGH312" s="287"/>
      <c r="DGI312" s="287"/>
      <c r="DGJ312" s="287"/>
      <c r="DGK312" s="287"/>
      <c r="DGL312" s="287"/>
      <c r="DGM312" s="287"/>
      <c r="DGN312" s="287"/>
      <c r="DGO312" s="287"/>
      <c r="DGP312" s="287"/>
      <c r="DGQ312" s="287"/>
      <c r="DGR312" s="287"/>
      <c r="DGS312" s="287"/>
      <c r="DGT312" s="287"/>
      <c r="DGU312" s="287"/>
      <c r="DGV312" s="287"/>
      <c r="DGW312" s="287"/>
      <c r="DGX312" s="287"/>
      <c r="DGY312" s="287"/>
      <c r="DGZ312" s="287"/>
      <c r="DHA312" s="287"/>
      <c r="DHB312" s="287"/>
      <c r="DHC312" s="287"/>
      <c r="DHD312" s="287"/>
      <c r="DHE312" s="287"/>
      <c r="DHF312" s="287"/>
      <c r="DHG312" s="287"/>
      <c r="DHH312" s="287"/>
      <c r="DHI312" s="287"/>
      <c r="DHJ312" s="287"/>
      <c r="DHK312" s="287"/>
      <c r="DHL312" s="287"/>
      <c r="DHM312" s="287"/>
      <c r="DHN312" s="287"/>
      <c r="DHO312" s="287"/>
      <c r="DHP312" s="287"/>
      <c r="DHQ312" s="287"/>
      <c r="DHR312" s="287"/>
      <c r="DHS312" s="287"/>
      <c r="DHT312" s="287"/>
      <c r="DHU312" s="287"/>
      <c r="DHV312" s="287"/>
      <c r="DHW312" s="287"/>
      <c r="DHX312" s="287"/>
      <c r="DHY312" s="287"/>
      <c r="DHZ312" s="287"/>
      <c r="DIA312" s="287"/>
      <c r="DIB312" s="287"/>
      <c r="DIC312" s="287"/>
      <c r="DID312" s="287"/>
      <c r="DIE312" s="287"/>
      <c r="DIF312" s="287"/>
      <c r="DIG312" s="287"/>
      <c r="DIH312" s="287"/>
      <c r="DII312" s="287"/>
      <c r="DIJ312" s="287"/>
      <c r="DIK312" s="287"/>
      <c r="DIL312" s="287"/>
      <c r="DIM312" s="287"/>
      <c r="DIN312" s="287"/>
      <c r="DIO312" s="287"/>
      <c r="DIP312" s="287"/>
      <c r="DIQ312" s="287"/>
      <c r="DIR312" s="287"/>
      <c r="DIS312" s="287"/>
      <c r="DIT312" s="287"/>
      <c r="DIU312" s="287"/>
      <c r="DIV312" s="287"/>
      <c r="DIW312" s="287"/>
      <c r="DIX312" s="287"/>
      <c r="DIY312" s="287"/>
      <c r="DIZ312" s="287"/>
      <c r="DJA312" s="287"/>
      <c r="DJB312" s="287"/>
      <c r="DJC312" s="287"/>
      <c r="DJD312" s="287"/>
      <c r="DJE312" s="287"/>
      <c r="DJF312" s="287"/>
      <c r="DJG312" s="287"/>
      <c r="DJH312" s="287"/>
      <c r="DJI312" s="287"/>
      <c r="DJJ312" s="287"/>
      <c r="DJK312" s="287"/>
      <c r="DJL312" s="287"/>
      <c r="DJM312" s="287"/>
      <c r="DJN312" s="287"/>
      <c r="DJO312" s="287"/>
      <c r="DJP312" s="287"/>
      <c r="DJQ312" s="287"/>
      <c r="DJR312" s="287"/>
      <c r="DJS312" s="287"/>
      <c r="DJT312" s="287"/>
      <c r="DJU312" s="287"/>
      <c r="DJV312" s="287"/>
      <c r="DJW312" s="287"/>
      <c r="DJX312" s="287"/>
      <c r="DJY312" s="287"/>
      <c r="DJZ312" s="287"/>
      <c r="DKA312" s="287"/>
      <c r="DKB312" s="287"/>
      <c r="DKC312" s="287"/>
      <c r="DKD312" s="287"/>
      <c r="DKE312" s="287"/>
      <c r="DKF312" s="287"/>
      <c r="DKG312" s="287"/>
      <c r="DKH312" s="287"/>
      <c r="DKI312" s="287"/>
      <c r="DKJ312" s="287"/>
      <c r="DKK312" s="287"/>
      <c r="DKL312" s="287"/>
      <c r="DKM312" s="287"/>
      <c r="DKN312" s="287"/>
      <c r="DKO312" s="287"/>
      <c r="DKP312" s="287"/>
      <c r="DKQ312" s="287"/>
      <c r="DKR312" s="287"/>
      <c r="DKS312" s="287"/>
      <c r="DKT312" s="287"/>
      <c r="DKU312" s="287"/>
      <c r="DKV312" s="287"/>
      <c r="DKW312" s="287"/>
      <c r="DKX312" s="287"/>
      <c r="DKY312" s="287"/>
      <c r="DKZ312" s="287"/>
      <c r="DLA312" s="287"/>
      <c r="DLB312" s="287"/>
      <c r="DLC312" s="287"/>
      <c r="DLD312" s="287"/>
      <c r="DLE312" s="287"/>
      <c r="DLF312" s="287"/>
      <c r="DLG312" s="287"/>
      <c r="DLH312" s="287"/>
      <c r="DLI312" s="287"/>
      <c r="DLJ312" s="287"/>
      <c r="DLK312" s="287"/>
      <c r="DLL312" s="287"/>
      <c r="DLM312" s="287"/>
      <c r="DLN312" s="287"/>
      <c r="DLO312" s="287"/>
      <c r="DLP312" s="287"/>
      <c r="DLQ312" s="287"/>
      <c r="DLR312" s="287"/>
      <c r="DLS312" s="287"/>
      <c r="DLT312" s="287"/>
      <c r="DLU312" s="287"/>
      <c r="DLV312" s="287"/>
      <c r="DLW312" s="287"/>
      <c r="DLX312" s="287"/>
      <c r="DLY312" s="287"/>
      <c r="DLZ312" s="287"/>
      <c r="DMA312" s="287"/>
      <c r="DMB312" s="287"/>
      <c r="DMC312" s="287"/>
      <c r="DMD312" s="287"/>
      <c r="DME312" s="287"/>
      <c r="DMF312" s="287"/>
      <c r="DMG312" s="287"/>
      <c r="DMH312" s="287"/>
      <c r="DMI312" s="287"/>
      <c r="DMJ312" s="287"/>
      <c r="DMK312" s="287"/>
      <c r="DML312" s="287"/>
      <c r="DMM312" s="287"/>
      <c r="DMN312" s="287"/>
      <c r="DMO312" s="287"/>
      <c r="DMP312" s="287"/>
      <c r="DMQ312" s="287"/>
      <c r="DMR312" s="287"/>
      <c r="DMS312" s="287"/>
      <c r="DMT312" s="287"/>
      <c r="DMU312" s="287"/>
      <c r="DMV312" s="287"/>
      <c r="DMW312" s="287"/>
      <c r="DMX312" s="287"/>
      <c r="DMY312" s="287"/>
      <c r="DMZ312" s="287"/>
      <c r="DNA312" s="287"/>
      <c r="DNB312" s="287"/>
      <c r="DNC312" s="287"/>
      <c r="DND312" s="287"/>
      <c r="DNE312" s="287"/>
      <c r="DNF312" s="287"/>
      <c r="DNG312" s="287"/>
      <c r="DNH312" s="287"/>
      <c r="DNI312" s="287"/>
      <c r="DNJ312" s="287"/>
      <c r="DNK312" s="287"/>
      <c r="DNL312" s="287"/>
      <c r="DNM312" s="287"/>
      <c r="DNN312" s="287"/>
      <c r="DNO312" s="287"/>
      <c r="DNP312" s="287"/>
      <c r="DNQ312" s="287"/>
      <c r="DNR312" s="287"/>
      <c r="DNS312" s="287"/>
      <c r="DNT312" s="287"/>
      <c r="DNU312" s="287"/>
      <c r="DNV312" s="287"/>
      <c r="DNW312" s="287"/>
      <c r="DNX312" s="287"/>
      <c r="DNY312" s="287"/>
      <c r="DNZ312" s="287"/>
      <c r="DOA312" s="287"/>
      <c r="DOB312" s="287"/>
      <c r="DOC312" s="287"/>
      <c r="DOD312" s="287"/>
      <c r="DOE312" s="287"/>
      <c r="DOF312" s="287"/>
      <c r="DOG312" s="287"/>
      <c r="DOH312" s="287"/>
      <c r="DOI312" s="287"/>
      <c r="DOJ312" s="287"/>
      <c r="DOK312" s="287"/>
      <c r="DOL312" s="287"/>
      <c r="DOM312" s="287"/>
      <c r="DON312" s="287"/>
      <c r="DOO312" s="287"/>
      <c r="DOP312" s="287"/>
      <c r="DOQ312" s="287"/>
      <c r="DOR312" s="287"/>
      <c r="DOS312" s="287"/>
      <c r="DOT312" s="287"/>
      <c r="DOU312" s="287"/>
      <c r="DOV312" s="287"/>
      <c r="DOW312" s="287"/>
      <c r="DOX312" s="287"/>
      <c r="DOY312" s="287"/>
      <c r="DOZ312" s="287"/>
      <c r="DPA312" s="287"/>
      <c r="DPB312" s="287"/>
      <c r="DPC312" s="287"/>
      <c r="DPD312" s="287"/>
      <c r="DPE312" s="287"/>
      <c r="DPF312" s="287"/>
      <c r="DPG312" s="287"/>
      <c r="DPH312" s="287"/>
      <c r="DPI312" s="287"/>
      <c r="DPJ312" s="287"/>
      <c r="DPK312" s="287"/>
      <c r="DPL312" s="287"/>
      <c r="DPM312" s="287"/>
      <c r="DPN312" s="287"/>
      <c r="DPO312" s="287"/>
      <c r="DPP312" s="287"/>
      <c r="DPQ312" s="287"/>
      <c r="DPR312" s="287"/>
      <c r="DPS312" s="287"/>
      <c r="DPT312" s="287"/>
      <c r="DPU312" s="287"/>
      <c r="DPV312" s="287"/>
      <c r="DPW312" s="287"/>
      <c r="DPX312" s="287"/>
      <c r="DPY312" s="287"/>
      <c r="DPZ312" s="287"/>
      <c r="DQA312" s="287"/>
      <c r="DQB312" s="287"/>
      <c r="DQC312" s="287"/>
      <c r="DQD312" s="287"/>
      <c r="DQE312" s="287"/>
      <c r="DQF312" s="287"/>
      <c r="DQG312" s="287"/>
      <c r="DQH312" s="287"/>
      <c r="DQI312" s="287"/>
      <c r="DQJ312" s="287"/>
      <c r="DQK312" s="287"/>
      <c r="DQL312" s="287"/>
      <c r="DQM312" s="287"/>
      <c r="DQN312" s="287"/>
      <c r="DQO312" s="287"/>
      <c r="DQP312" s="287"/>
      <c r="DQQ312" s="287"/>
      <c r="DQR312" s="287"/>
      <c r="DQS312" s="287"/>
      <c r="DQT312" s="287"/>
      <c r="DQU312" s="287"/>
      <c r="DQV312" s="287"/>
      <c r="DQW312" s="287"/>
      <c r="DQX312" s="287"/>
      <c r="DQY312" s="287"/>
      <c r="DQZ312" s="287"/>
      <c r="DRA312" s="287"/>
      <c r="DRB312" s="287"/>
      <c r="DRC312" s="287"/>
      <c r="DRD312" s="287"/>
      <c r="DRE312" s="287"/>
      <c r="DRF312" s="287"/>
      <c r="DRG312" s="287"/>
      <c r="DRH312" s="287"/>
      <c r="DRI312" s="287"/>
      <c r="DRJ312" s="287"/>
      <c r="DRK312" s="287"/>
      <c r="DRL312" s="287"/>
      <c r="DRM312" s="287"/>
      <c r="DRN312" s="287"/>
      <c r="DRO312" s="287"/>
      <c r="DRP312" s="287"/>
      <c r="DRQ312" s="287"/>
      <c r="DRR312" s="287"/>
      <c r="DRS312" s="287"/>
      <c r="DRT312" s="287"/>
      <c r="DRU312" s="287"/>
      <c r="DRV312" s="287"/>
      <c r="DRW312" s="287"/>
      <c r="DRX312" s="287"/>
      <c r="DRY312" s="287"/>
      <c r="DRZ312" s="287"/>
      <c r="DSA312" s="287"/>
      <c r="DSB312" s="287"/>
      <c r="DSC312" s="287"/>
      <c r="DSD312" s="287"/>
      <c r="DSE312" s="287"/>
      <c r="DSF312" s="287"/>
      <c r="DSG312" s="287"/>
      <c r="DSH312" s="287"/>
      <c r="DSI312" s="287"/>
      <c r="DSJ312" s="287"/>
      <c r="DSK312" s="287"/>
      <c r="DSL312" s="287"/>
      <c r="DSM312" s="287"/>
      <c r="DSN312" s="287"/>
      <c r="DSO312" s="287"/>
      <c r="DSP312" s="287"/>
      <c r="DSQ312" s="287"/>
      <c r="DSR312" s="287"/>
      <c r="DSS312" s="287"/>
      <c r="DST312" s="287"/>
      <c r="DSU312" s="287"/>
      <c r="DSV312" s="287"/>
      <c r="DSW312" s="287"/>
      <c r="DSX312" s="287"/>
      <c r="DSY312" s="287"/>
      <c r="DSZ312" s="287"/>
      <c r="DTA312" s="287"/>
      <c r="DTB312" s="287"/>
      <c r="DTC312" s="287"/>
      <c r="DTD312" s="287"/>
      <c r="DTE312" s="287"/>
      <c r="DTF312" s="287"/>
      <c r="DTG312" s="287"/>
      <c r="DTH312" s="287"/>
      <c r="DTI312" s="287"/>
      <c r="DTJ312" s="287"/>
      <c r="DTK312" s="287"/>
      <c r="DTL312" s="287"/>
      <c r="DTM312" s="287"/>
      <c r="DTN312" s="287"/>
      <c r="DTO312" s="287"/>
      <c r="DTP312" s="287"/>
      <c r="DTQ312" s="287"/>
      <c r="DTR312" s="287"/>
      <c r="DTS312" s="287"/>
      <c r="DTT312" s="287"/>
      <c r="DTU312" s="287"/>
      <c r="DTV312" s="287"/>
      <c r="DTW312" s="287"/>
      <c r="DTX312" s="287"/>
      <c r="DTY312" s="287"/>
      <c r="DTZ312" s="287"/>
      <c r="DUA312" s="287"/>
      <c r="DUB312" s="287"/>
      <c r="DUC312" s="287"/>
      <c r="DUD312" s="287"/>
      <c r="DUE312" s="287"/>
      <c r="DUF312" s="287"/>
      <c r="DUG312" s="287"/>
      <c r="DUH312" s="287"/>
      <c r="DUI312" s="287"/>
      <c r="DUJ312" s="287"/>
      <c r="DUK312" s="287"/>
      <c r="DUL312" s="287"/>
      <c r="DUM312" s="287"/>
      <c r="DUN312" s="287"/>
      <c r="DUO312" s="287"/>
      <c r="DUP312" s="287"/>
      <c r="DUQ312" s="287"/>
      <c r="DUR312" s="287"/>
      <c r="DUS312" s="287"/>
      <c r="DUT312" s="287"/>
      <c r="DUU312" s="287"/>
      <c r="DUV312" s="287"/>
      <c r="DUW312" s="287"/>
      <c r="DUX312" s="287"/>
      <c r="DUY312" s="287"/>
      <c r="DUZ312" s="287"/>
      <c r="DVA312" s="287"/>
      <c r="DVB312" s="287"/>
      <c r="DVC312" s="287"/>
      <c r="DVD312" s="287"/>
      <c r="DVE312" s="287"/>
      <c r="DVF312" s="287"/>
      <c r="DVG312" s="287"/>
      <c r="DVH312" s="287"/>
      <c r="DVI312" s="287"/>
      <c r="DVJ312" s="287"/>
      <c r="DVK312" s="287"/>
      <c r="DVL312" s="287"/>
      <c r="DVM312" s="287"/>
      <c r="DVN312" s="287"/>
      <c r="DVO312" s="287"/>
      <c r="DVP312" s="287"/>
      <c r="DVQ312" s="287"/>
      <c r="DVR312" s="287"/>
      <c r="DVS312" s="287"/>
      <c r="DVT312" s="287"/>
      <c r="DVU312" s="287"/>
      <c r="DVV312" s="287"/>
      <c r="DVW312" s="287"/>
      <c r="DVX312" s="287"/>
      <c r="DVY312" s="287"/>
      <c r="DVZ312" s="287"/>
      <c r="DWA312" s="287"/>
      <c r="DWB312" s="287"/>
      <c r="DWC312" s="287"/>
      <c r="DWD312" s="287"/>
      <c r="DWE312" s="287"/>
      <c r="DWF312" s="287"/>
      <c r="DWG312" s="287"/>
      <c r="DWH312" s="287"/>
      <c r="DWI312" s="287"/>
      <c r="DWJ312" s="287"/>
      <c r="DWK312" s="287"/>
      <c r="DWL312" s="287"/>
      <c r="DWM312" s="287"/>
      <c r="DWN312" s="287"/>
      <c r="DWO312" s="287"/>
      <c r="DWP312" s="287"/>
      <c r="DWQ312" s="287"/>
      <c r="DWR312" s="287"/>
      <c r="DWS312" s="287"/>
      <c r="DWT312" s="287"/>
      <c r="DWU312" s="287"/>
      <c r="DWV312" s="287"/>
      <c r="DWW312" s="287"/>
      <c r="DWX312" s="287"/>
      <c r="DWY312" s="287"/>
      <c r="DWZ312" s="287"/>
      <c r="DXA312" s="287"/>
      <c r="DXB312" s="287"/>
      <c r="DXC312" s="287"/>
      <c r="DXD312" s="287"/>
      <c r="DXE312" s="287"/>
      <c r="DXF312" s="287"/>
      <c r="DXG312" s="287"/>
      <c r="DXH312" s="287"/>
      <c r="DXI312" s="287"/>
      <c r="DXJ312" s="287"/>
      <c r="DXK312" s="287"/>
      <c r="DXL312" s="287"/>
      <c r="DXM312" s="287"/>
      <c r="DXN312" s="287"/>
      <c r="DXO312" s="287"/>
      <c r="DXP312" s="287"/>
      <c r="DXQ312" s="287"/>
      <c r="DXR312" s="287"/>
      <c r="DXS312" s="287"/>
      <c r="DXT312" s="287"/>
      <c r="DXU312" s="287"/>
      <c r="DXV312" s="287"/>
      <c r="DXW312" s="287"/>
      <c r="DXX312" s="287"/>
      <c r="DXY312" s="287"/>
      <c r="DXZ312" s="287"/>
      <c r="DYA312" s="287"/>
      <c r="DYB312" s="287"/>
      <c r="DYC312" s="287"/>
      <c r="DYD312" s="287"/>
      <c r="DYE312" s="287"/>
      <c r="DYF312" s="287"/>
      <c r="DYG312" s="287"/>
      <c r="DYH312" s="287"/>
      <c r="DYI312" s="287"/>
      <c r="DYJ312" s="287"/>
      <c r="DYK312" s="287"/>
      <c r="DYL312" s="287"/>
      <c r="DYM312" s="287"/>
      <c r="DYN312" s="287"/>
      <c r="DYO312" s="287"/>
      <c r="DYP312" s="287"/>
      <c r="DYQ312" s="287"/>
      <c r="DYR312" s="287"/>
      <c r="DYS312" s="287"/>
      <c r="DYT312" s="287"/>
      <c r="DYU312" s="287"/>
      <c r="DYV312" s="287"/>
      <c r="DYW312" s="287"/>
      <c r="DYX312" s="287"/>
      <c r="DYY312" s="287"/>
      <c r="DYZ312" s="287"/>
      <c r="DZA312" s="287"/>
      <c r="DZB312" s="287"/>
      <c r="DZC312" s="287"/>
      <c r="DZD312" s="287"/>
      <c r="DZE312" s="287"/>
      <c r="DZF312" s="287"/>
      <c r="DZG312" s="287"/>
      <c r="DZH312" s="287"/>
      <c r="DZI312" s="287"/>
      <c r="DZJ312" s="287"/>
      <c r="DZK312" s="287"/>
      <c r="DZL312" s="287"/>
      <c r="DZM312" s="287"/>
      <c r="DZN312" s="287"/>
      <c r="DZO312" s="287"/>
      <c r="DZP312" s="287"/>
      <c r="DZQ312" s="287"/>
      <c r="DZR312" s="287"/>
      <c r="DZS312" s="287"/>
      <c r="DZT312" s="287"/>
      <c r="DZU312" s="287"/>
      <c r="DZV312" s="287"/>
      <c r="DZW312" s="287"/>
      <c r="DZX312" s="287"/>
      <c r="DZY312" s="287"/>
      <c r="DZZ312" s="287"/>
      <c r="EAA312" s="287"/>
      <c r="EAB312" s="287"/>
      <c r="EAC312" s="287"/>
      <c r="EAD312" s="287"/>
      <c r="EAE312" s="287"/>
      <c r="EAF312" s="287"/>
      <c r="EAG312" s="287"/>
      <c r="EAH312" s="287"/>
      <c r="EAI312" s="287"/>
      <c r="EAJ312" s="287"/>
      <c r="EAK312" s="287"/>
      <c r="EAL312" s="287"/>
      <c r="EAM312" s="287"/>
      <c r="EAN312" s="287"/>
      <c r="EAO312" s="287"/>
      <c r="EAP312" s="287"/>
      <c r="EAQ312" s="287"/>
      <c r="EAR312" s="287"/>
      <c r="EAS312" s="287"/>
      <c r="EAT312" s="287"/>
      <c r="EAU312" s="287"/>
      <c r="EAV312" s="287"/>
      <c r="EAW312" s="287"/>
      <c r="EAX312" s="287"/>
      <c r="EAY312" s="287"/>
      <c r="EAZ312" s="287"/>
      <c r="EBA312" s="287"/>
      <c r="EBB312" s="287"/>
      <c r="EBC312" s="287"/>
      <c r="EBD312" s="287"/>
      <c r="EBE312" s="287"/>
      <c r="EBF312" s="287"/>
      <c r="EBG312" s="287"/>
      <c r="EBH312" s="287"/>
      <c r="EBI312" s="287"/>
      <c r="EBJ312" s="287"/>
      <c r="EBK312" s="287"/>
      <c r="EBL312" s="287"/>
      <c r="EBM312" s="287"/>
      <c r="EBN312" s="287"/>
      <c r="EBO312" s="287"/>
      <c r="EBP312" s="287"/>
      <c r="EBQ312" s="287"/>
      <c r="EBR312" s="287"/>
      <c r="EBS312" s="287"/>
      <c r="EBT312" s="287"/>
      <c r="EBU312" s="287"/>
      <c r="EBV312" s="287"/>
      <c r="EBW312" s="287"/>
      <c r="EBX312" s="287"/>
      <c r="EBY312" s="287"/>
      <c r="EBZ312" s="287"/>
      <c r="ECA312" s="287"/>
      <c r="ECB312" s="287"/>
      <c r="ECC312" s="287"/>
      <c r="ECD312" s="287"/>
      <c r="ECE312" s="287"/>
      <c r="ECF312" s="287"/>
      <c r="ECG312" s="287"/>
      <c r="ECH312" s="287"/>
      <c r="ECI312" s="287"/>
      <c r="ECJ312" s="287"/>
      <c r="ECK312" s="287"/>
      <c r="ECL312" s="287"/>
      <c r="ECM312" s="287"/>
      <c r="ECN312" s="287"/>
      <c r="ECO312" s="287"/>
      <c r="ECP312" s="287"/>
      <c r="ECQ312" s="287"/>
      <c r="ECR312" s="287"/>
      <c r="ECS312" s="287"/>
      <c r="ECT312" s="287"/>
      <c r="ECU312" s="287"/>
      <c r="ECV312" s="287"/>
      <c r="ECW312" s="287"/>
      <c r="ECX312" s="287"/>
      <c r="ECY312" s="287"/>
      <c r="ECZ312" s="287"/>
      <c r="EDA312" s="287"/>
      <c r="EDB312" s="287"/>
      <c r="EDC312" s="287"/>
      <c r="EDD312" s="287"/>
      <c r="EDE312" s="287"/>
      <c r="EDF312" s="287"/>
      <c r="EDG312" s="287"/>
      <c r="EDH312" s="287"/>
      <c r="EDI312" s="287"/>
      <c r="EDJ312" s="287"/>
      <c r="EDK312" s="287"/>
      <c r="EDL312" s="287"/>
      <c r="EDM312" s="287"/>
      <c r="EDN312" s="287"/>
      <c r="EDO312" s="287"/>
      <c r="EDP312" s="287"/>
      <c r="EDQ312" s="287"/>
      <c r="EDR312" s="287"/>
      <c r="EDS312" s="287"/>
      <c r="EDT312" s="287"/>
      <c r="EDU312" s="287"/>
      <c r="EDV312" s="287"/>
      <c r="EDW312" s="287"/>
      <c r="EDX312" s="287"/>
      <c r="EDY312" s="287"/>
      <c r="EDZ312" s="287"/>
      <c r="EEA312" s="287"/>
      <c r="EEB312" s="287"/>
      <c r="EEC312" s="287"/>
      <c r="EED312" s="287"/>
      <c r="EEE312" s="287"/>
      <c r="EEF312" s="287"/>
      <c r="EEG312" s="287"/>
      <c r="EEH312" s="287"/>
      <c r="EEI312" s="287"/>
      <c r="EEJ312" s="287"/>
      <c r="EEK312" s="287"/>
      <c r="EEL312" s="287"/>
      <c r="EEM312" s="287"/>
      <c r="EEN312" s="287"/>
      <c r="EEO312" s="287"/>
      <c r="EEP312" s="287"/>
      <c r="EEQ312" s="287"/>
      <c r="EER312" s="287"/>
      <c r="EES312" s="287"/>
      <c r="EET312" s="287"/>
      <c r="EEU312" s="287"/>
      <c r="EEV312" s="287"/>
      <c r="EEW312" s="287"/>
      <c r="EEX312" s="287"/>
      <c r="EEY312" s="287"/>
      <c r="EEZ312" s="287"/>
      <c r="EFA312" s="287"/>
      <c r="EFB312" s="287"/>
      <c r="EFC312" s="287"/>
      <c r="EFD312" s="287"/>
      <c r="EFE312" s="287"/>
      <c r="EFF312" s="287"/>
      <c r="EFG312" s="287"/>
      <c r="EFH312" s="287"/>
      <c r="EFI312" s="287"/>
      <c r="EFJ312" s="287"/>
      <c r="EFK312" s="287"/>
      <c r="EFL312" s="287"/>
      <c r="EFM312" s="287"/>
      <c r="EFN312" s="287"/>
      <c r="EFO312" s="287"/>
      <c r="EFP312" s="287"/>
      <c r="EFQ312" s="287"/>
      <c r="EFR312" s="287"/>
      <c r="EFS312" s="287"/>
      <c r="EFT312" s="287"/>
      <c r="EFU312" s="287"/>
      <c r="EFV312" s="287"/>
      <c r="EFW312" s="287"/>
      <c r="EFX312" s="287"/>
      <c r="EFY312" s="287"/>
      <c r="EFZ312" s="287"/>
      <c r="EGA312" s="287"/>
      <c r="EGB312" s="287"/>
      <c r="EGC312" s="287"/>
      <c r="EGD312" s="287"/>
      <c r="EGE312" s="287"/>
      <c r="EGF312" s="287"/>
      <c r="EGG312" s="287"/>
      <c r="EGH312" s="287"/>
      <c r="EGI312" s="287"/>
      <c r="EGJ312" s="287"/>
      <c r="EGK312" s="287"/>
      <c r="EGL312" s="287"/>
      <c r="EGM312" s="287"/>
      <c r="EGN312" s="287"/>
      <c r="EGO312" s="287"/>
      <c r="EGP312" s="287"/>
      <c r="EGQ312" s="287"/>
      <c r="EGR312" s="287"/>
      <c r="EGS312" s="287"/>
      <c r="EGT312" s="287"/>
      <c r="EGU312" s="287"/>
      <c r="EGV312" s="287"/>
      <c r="EGW312" s="287"/>
      <c r="EGX312" s="287"/>
      <c r="EGY312" s="287"/>
      <c r="EGZ312" s="287"/>
      <c r="EHA312" s="287"/>
      <c r="EHB312" s="287"/>
      <c r="EHC312" s="287"/>
      <c r="EHD312" s="287"/>
      <c r="EHE312" s="287"/>
      <c r="EHF312" s="287"/>
      <c r="EHG312" s="287"/>
      <c r="EHH312" s="287"/>
      <c r="EHI312" s="287"/>
      <c r="EHJ312" s="287"/>
      <c r="EHK312" s="287"/>
      <c r="EHL312" s="287"/>
      <c r="EHM312" s="287"/>
      <c r="EHN312" s="287"/>
      <c r="EHO312" s="287"/>
      <c r="EHP312" s="287"/>
      <c r="EHQ312" s="287"/>
      <c r="EHR312" s="287"/>
      <c r="EHS312" s="287"/>
      <c r="EHT312" s="287"/>
      <c r="EHU312" s="287"/>
      <c r="EHV312" s="287"/>
      <c r="EHW312" s="287"/>
      <c r="EHX312" s="287"/>
      <c r="EHY312" s="287"/>
      <c r="EHZ312" s="287"/>
      <c r="EIA312" s="287"/>
      <c r="EIB312" s="287"/>
      <c r="EIC312" s="287"/>
      <c r="EID312" s="287"/>
      <c r="EIE312" s="287"/>
      <c r="EIF312" s="287"/>
      <c r="EIG312" s="287"/>
      <c r="EIH312" s="287"/>
      <c r="EII312" s="287"/>
      <c r="EIJ312" s="287"/>
      <c r="EIK312" s="287"/>
      <c r="EIL312" s="287"/>
      <c r="EIM312" s="287"/>
      <c r="EIN312" s="287"/>
      <c r="EIO312" s="287"/>
      <c r="EIP312" s="287"/>
      <c r="EIQ312" s="287"/>
      <c r="EIR312" s="287"/>
      <c r="EIS312" s="287"/>
      <c r="EIT312" s="287"/>
      <c r="EIU312" s="287"/>
      <c r="EIV312" s="287"/>
      <c r="EIW312" s="287"/>
      <c r="EIX312" s="287"/>
      <c r="EIY312" s="287"/>
      <c r="EIZ312" s="287"/>
      <c r="EJA312" s="287"/>
      <c r="EJB312" s="287"/>
      <c r="EJC312" s="287"/>
      <c r="EJD312" s="287"/>
      <c r="EJE312" s="287"/>
      <c r="EJF312" s="287"/>
      <c r="EJG312" s="287"/>
      <c r="EJH312" s="287"/>
      <c r="EJI312" s="287"/>
      <c r="EJJ312" s="287"/>
      <c r="EJK312" s="287"/>
      <c r="EJL312" s="287"/>
      <c r="EJM312" s="287"/>
      <c r="EJN312" s="287"/>
      <c r="EJO312" s="287"/>
      <c r="EJP312" s="287"/>
      <c r="EJQ312" s="287"/>
      <c r="EJR312" s="287"/>
      <c r="EJS312" s="287"/>
      <c r="EJT312" s="287"/>
      <c r="EJU312" s="287"/>
      <c r="EJV312" s="287"/>
      <c r="EJW312" s="287"/>
      <c r="EJX312" s="287"/>
      <c r="EJY312" s="287"/>
      <c r="EJZ312" s="287"/>
      <c r="EKA312" s="287"/>
      <c r="EKB312" s="287"/>
      <c r="EKC312" s="287"/>
      <c r="EKD312" s="287"/>
      <c r="EKE312" s="287"/>
      <c r="EKF312" s="287"/>
      <c r="EKG312" s="287"/>
      <c r="EKH312" s="287"/>
      <c r="EKI312" s="287"/>
      <c r="EKJ312" s="287"/>
      <c r="EKK312" s="287"/>
      <c r="EKL312" s="287"/>
      <c r="EKM312" s="287"/>
      <c r="EKN312" s="287"/>
      <c r="EKO312" s="287"/>
      <c r="EKP312" s="287"/>
      <c r="EKQ312" s="287"/>
      <c r="EKR312" s="287"/>
      <c r="EKS312" s="287"/>
      <c r="EKT312" s="287"/>
      <c r="EKU312" s="287"/>
      <c r="EKV312" s="287"/>
      <c r="EKW312" s="287"/>
      <c r="EKX312" s="287"/>
      <c r="EKY312" s="287"/>
      <c r="EKZ312" s="287"/>
      <c r="ELA312" s="287"/>
      <c r="ELB312" s="287"/>
      <c r="ELC312" s="287"/>
      <c r="ELD312" s="287"/>
      <c r="ELE312" s="287"/>
      <c r="ELF312" s="287"/>
      <c r="ELG312" s="287"/>
      <c r="ELH312" s="287"/>
      <c r="ELI312" s="287"/>
      <c r="ELJ312" s="287"/>
      <c r="ELK312" s="287"/>
      <c r="ELL312" s="287"/>
      <c r="ELM312" s="287"/>
      <c r="ELN312" s="287"/>
      <c r="ELO312" s="287"/>
      <c r="ELP312" s="287"/>
      <c r="ELQ312" s="287"/>
      <c r="ELR312" s="287"/>
      <c r="ELS312" s="287"/>
      <c r="ELT312" s="287"/>
      <c r="ELU312" s="287"/>
      <c r="ELV312" s="287"/>
      <c r="ELW312" s="287"/>
      <c r="ELX312" s="287"/>
      <c r="ELY312" s="287"/>
      <c r="ELZ312" s="287"/>
      <c r="EMA312" s="287"/>
      <c r="EMB312" s="287"/>
      <c r="EMC312" s="287"/>
      <c r="EMD312" s="287"/>
      <c r="EME312" s="287"/>
      <c r="EMF312" s="287"/>
      <c r="EMG312" s="287"/>
      <c r="EMH312" s="287"/>
      <c r="EMI312" s="287"/>
      <c r="EMJ312" s="287"/>
      <c r="EMK312" s="287"/>
      <c r="EML312" s="287"/>
      <c r="EMM312" s="287"/>
      <c r="EMN312" s="287"/>
      <c r="EMO312" s="287"/>
      <c r="EMP312" s="287"/>
      <c r="EMQ312" s="287"/>
      <c r="EMR312" s="287"/>
      <c r="EMS312" s="287"/>
      <c r="EMT312" s="287"/>
      <c r="EMU312" s="287"/>
      <c r="EMV312" s="287"/>
      <c r="EMW312" s="287"/>
      <c r="EMX312" s="287"/>
      <c r="EMY312" s="287"/>
      <c r="EMZ312" s="287"/>
      <c r="ENA312" s="287"/>
      <c r="ENB312" s="287"/>
      <c r="ENC312" s="287"/>
      <c r="END312" s="287"/>
      <c r="ENE312" s="287"/>
      <c r="ENF312" s="287"/>
      <c r="ENG312" s="287"/>
      <c r="ENH312" s="287"/>
      <c r="ENI312" s="287"/>
      <c r="ENJ312" s="287"/>
      <c r="ENK312" s="287"/>
      <c r="ENL312" s="287"/>
      <c r="ENM312" s="287"/>
      <c r="ENN312" s="287"/>
      <c r="ENO312" s="287"/>
      <c r="ENP312" s="287"/>
      <c r="ENQ312" s="287"/>
      <c r="ENR312" s="287"/>
      <c r="ENS312" s="287"/>
      <c r="ENT312" s="287"/>
      <c r="ENU312" s="287"/>
      <c r="ENV312" s="287"/>
      <c r="ENW312" s="287"/>
      <c r="ENX312" s="287"/>
      <c r="ENY312" s="287"/>
      <c r="ENZ312" s="287"/>
      <c r="EOA312" s="287"/>
      <c r="EOB312" s="287"/>
      <c r="EOC312" s="287"/>
      <c r="EOD312" s="287"/>
      <c r="EOE312" s="287"/>
      <c r="EOF312" s="287"/>
      <c r="EOG312" s="287"/>
      <c r="EOH312" s="287"/>
      <c r="EOI312" s="287"/>
      <c r="EOJ312" s="287"/>
      <c r="EOK312" s="287"/>
      <c r="EOL312" s="287"/>
      <c r="EOM312" s="287"/>
      <c r="EON312" s="287"/>
      <c r="EOO312" s="287"/>
      <c r="EOP312" s="287"/>
      <c r="EOQ312" s="287"/>
      <c r="EOR312" s="287"/>
      <c r="EOS312" s="287"/>
      <c r="EOT312" s="287"/>
      <c r="EOU312" s="287"/>
      <c r="EOV312" s="287"/>
      <c r="EOW312" s="287"/>
      <c r="EOX312" s="287"/>
      <c r="EOY312" s="287"/>
      <c r="EOZ312" s="287"/>
      <c r="EPA312" s="287"/>
      <c r="EPB312" s="287"/>
      <c r="EPC312" s="287"/>
      <c r="EPD312" s="287"/>
      <c r="EPE312" s="287"/>
      <c r="EPF312" s="287"/>
      <c r="EPG312" s="287"/>
      <c r="EPH312" s="287"/>
      <c r="EPI312" s="287"/>
      <c r="EPJ312" s="287"/>
      <c r="EPK312" s="287"/>
      <c r="EPL312" s="287"/>
      <c r="EPM312" s="287"/>
      <c r="EPN312" s="287"/>
      <c r="EPO312" s="287"/>
      <c r="EPP312" s="287"/>
      <c r="EPQ312" s="287"/>
      <c r="EPR312" s="287"/>
      <c r="EPS312" s="287"/>
      <c r="EPT312" s="287"/>
      <c r="EPU312" s="287"/>
      <c r="EPV312" s="287"/>
      <c r="EPW312" s="287"/>
      <c r="EPX312" s="287"/>
      <c r="EPY312" s="287"/>
      <c r="EPZ312" s="287"/>
      <c r="EQA312" s="287"/>
      <c r="EQB312" s="287"/>
      <c r="EQC312" s="287"/>
      <c r="EQD312" s="287"/>
      <c r="EQE312" s="287"/>
      <c r="EQF312" s="287"/>
      <c r="EQG312" s="287"/>
      <c r="EQH312" s="287"/>
      <c r="EQI312" s="287"/>
      <c r="EQJ312" s="287"/>
      <c r="EQK312" s="287"/>
      <c r="EQL312" s="287"/>
      <c r="EQM312" s="287"/>
      <c r="EQN312" s="287"/>
      <c r="EQO312" s="287"/>
      <c r="EQP312" s="287"/>
      <c r="EQQ312" s="287"/>
      <c r="EQR312" s="287"/>
      <c r="EQS312" s="287"/>
      <c r="EQT312" s="287"/>
      <c r="EQU312" s="287"/>
      <c r="EQV312" s="287"/>
      <c r="EQW312" s="287"/>
      <c r="EQX312" s="287"/>
      <c r="EQY312" s="287"/>
      <c r="EQZ312" s="287"/>
      <c r="ERA312" s="287"/>
      <c r="ERB312" s="287"/>
      <c r="ERC312" s="287"/>
      <c r="ERD312" s="287"/>
      <c r="ERE312" s="287"/>
      <c r="ERF312" s="287"/>
      <c r="ERG312" s="287"/>
      <c r="ERH312" s="287"/>
      <c r="ERI312" s="287"/>
      <c r="ERJ312" s="287"/>
      <c r="ERK312" s="287"/>
      <c r="ERL312" s="287"/>
      <c r="ERM312" s="287"/>
      <c r="ERN312" s="287"/>
      <c r="ERO312" s="287"/>
      <c r="ERP312" s="287"/>
      <c r="ERQ312" s="287"/>
      <c r="ERR312" s="287"/>
      <c r="ERS312" s="287"/>
      <c r="ERT312" s="287"/>
      <c r="ERU312" s="287"/>
      <c r="ERV312" s="287"/>
      <c r="ERW312" s="287"/>
      <c r="ERX312" s="287"/>
      <c r="ERY312" s="287"/>
      <c r="ERZ312" s="287"/>
      <c r="ESA312" s="287"/>
      <c r="ESB312" s="287"/>
      <c r="ESC312" s="287"/>
      <c r="ESD312" s="287"/>
      <c r="ESE312" s="287"/>
      <c r="ESF312" s="287"/>
      <c r="ESG312" s="287"/>
      <c r="ESH312" s="287"/>
      <c r="ESI312" s="287"/>
      <c r="ESJ312" s="287"/>
      <c r="ESK312" s="287"/>
      <c r="ESL312" s="287"/>
      <c r="ESM312" s="287"/>
      <c r="ESN312" s="287"/>
      <c r="ESO312" s="287"/>
      <c r="ESP312" s="287"/>
      <c r="ESQ312" s="287"/>
      <c r="ESR312" s="287"/>
      <c r="ESS312" s="287"/>
      <c r="EST312" s="287"/>
      <c r="ESU312" s="287"/>
      <c r="ESV312" s="287"/>
      <c r="ESW312" s="287"/>
      <c r="ESX312" s="287"/>
      <c r="ESY312" s="287"/>
      <c r="ESZ312" s="287"/>
      <c r="ETA312" s="287"/>
      <c r="ETB312" s="287"/>
      <c r="ETC312" s="287"/>
      <c r="ETD312" s="287"/>
      <c r="ETE312" s="287"/>
      <c r="ETF312" s="287"/>
      <c r="ETG312" s="287"/>
      <c r="ETH312" s="287"/>
      <c r="ETI312" s="287"/>
      <c r="ETJ312" s="287"/>
      <c r="ETK312" s="287"/>
      <c r="ETL312" s="287"/>
      <c r="ETM312" s="287"/>
      <c r="ETN312" s="287"/>
      <c r="ETO312" s="287"/>
      <c r="ETP312" s="287"/>
      <c r="ETQ312" s="287"/>
      <c r="ETR312" s="287"/>
      <c r="ETS312" s="287"/>
      <c r="ETT312" s="287"/>
      <c r="ETU312" s="287"/>
      <c r="ETV312" s="287"/>
      <c r="ETW312" s="287"/>
      <c r="ETX312" s="287"/>
      <c r="ETY312" s="287"/>
      <c r="ETZ312" s="287"/>
      <c r="EUA312" s="287"/>
      <c r="EUB312" s="287"/>
      <c r="EUC312" s="287"/>
      <c r="EUD312" s="287"/>
      <c r="EUE312" s="287"/>
      <c r="EUF312" s="287"/>
      <c r="EUG312" s="287"/>
      <c r="EUH312" s="287"/>
      <c r="EUI312" s="287"/>
      <c r="EUJ312" s="287"/>
      <c r="EUK312" s="287"/>
      <c r="EUL312" s="287"/>
      <c r="EUM312" s="287"/>
      <c r="EUN312" s="287"/>
      <c r="EUO312" s="287"/>
      <c r="EUP312" s="287"/>
      <c r="EUQ312" s="287"/>
      <c r="EUR312" s="287"/>
      <c r="EUS312" s="287"/>
      <c r="EUT312" s="287"/>
      <c r="EUU312" s="287"/>
      <c r="EUV312" s="287"/>
      <c r="EUW312" s="287"/>
      <c r="EUX312" s="287"/>
      <c r="EUY312" s="287"/>
      <c r="EUZ312" s="287"/>
      <c r="EVA312" s="287"/>
      <c r="EVB312" s="287"/>
      <c r="EVC312" s="287"/>
      <c r="EVD312" s="287"/>
      <c r="EVE312" s="287"/>
      <c r="EVF312" s="287"/>
      <c r="EVG312" s="287"/>
      <c r="EVH312" s="287"/>
      <c r="EVI312" s="287"/>
      <c r="EVJ312" s="287"/>
      <c r="EVK312" s="287"/>
      <c r="EVL312" s="287"/>
      <c r="EVM312" s="287"/>
      <c r="EVN312" s="287"/>
      <c r="EVO312" s="287"/>
      <c r="EVP312" s="287"/>
      <c r="EVQ312" s="287"/>
      <c r="EVR312" s="287"/>
      <c r="EVS312" s="287"/>
      <c r="EVT312" s="287"/>
      <c r="EVU312" s="287"/>
      <c r="EVV312" s="287"/>
      <c r="EVW312" s="287"/>
      <c r="EVX312" s="287"/>
      <c r="EVY312" s="287"/>
      <c r="EVZ312" s="287"/>
      <c r="EWA312" s="287"/>
      <c r="EWB312" s="287"/>
      <c r="EWC312" s="287"/>
      <c r="EWD312" s="287"/>
      <c r="EWE312" s="287"/>
      <c r="EWF312" s="287"/>
      <c r="EWG312" s="287"/>
      <c r="EWH312" s="287"/>
      <c r="EWI312" s="287"/>
      <c r="EWJ312" s="287"/>
      <c r="EWK312" s="287"/>
      <c r="EWL312" s="287"/>
      <c r="EWM312" s="287"/>
      <c r="EWN312" s="287"/>
      <c r="EWO312" s="287"/>
      <c r="EWP312" s="287"/>
      <c r="EWQ312" s="287"/>
      <c r="EWR312" s="287"/>
      <c r="EWS312" s="287"/>
      <c r="EWT312" s="287"/>
      <c r="EWU312" s="287"/>
      <c r="EWV312" s="287"/>
      <c r="EWW312" s="287"/>
      <c r="EWX312" s="287"/>
      <c r="EWY312" s="287"/>
      <c r="EWZ312" s="287"/>
      <c r="EXA312" s="287"/>
      <c r="EXB312" s="287"/>
      <c r="EXC312" s="287"/>
      <c r="EXD312" s="287"/>
      <c r="EXE312" s="287"/>
      <c r="EXF312" s="287"/>
      <c r="EXG312" s="287"/>
      <c r="EXH312" s="287"/>
      <c r="EXI312" s="287"/>
      <c r="EXJ312" s="287"/>
      <c r="EXK312" s="287"/>
      <c r="EXL312" s="287"/>
      <c r="EXM312" s="287"/>
      <c r="EXN312" s="287"/>
      <c r="EXO312" s="287"/>
      <c r="EXP312" s="287"/>
      <c r="EXQ312" s="287"/>
      <c r="EXR312" s="287"/>
      <c r="EXS312" s="287"/>
      <c r="EXT312" s="287"/>
      <c r="EXU312" s="287"/>
      <c r="EXV312" s="287"/>
      <c r="EXW312" s="287"/>
      <c r="EXX312" s="287"/>
      <c r="EXY312" s="287"/>
      <c r="EXZ312" s="287"/>
      <c r="EYA312" s="287"/>
      <c r="EYB312" s="287"/>
      <c r="EYC312" s="287"/>
      <c r="EYD312" s="287"/>
      <c r="EYE312" s="287"/>
      <c r="EYF312" s="287"/>
      <c r="EYG312" s="287"/>
      <c r="EYH312" s="287"/>
      <c r="EYI312" s="287"/>
      <c r="EYJ312" s="287"/>
      <c r="EYK312" s="287"/>
      <c r="EYL312" s="287"/>
      <c r="EYM312" s="287"/>
      <c r="EYN312" s="287"/>
      <c r="EYO312" s="287"/>
      <c r="EYP312" s="287"/>
      <c r="EYQ312" s="287"/>
      <c r="EYR312" s="287"/>
      <c r="EYS312" s="287"/>
      <c r="EYT312" s="287"/>
      <c r="EYU312" s="287"/>
      <c r="EYV312" s="287"/>
      <c r="EYW312" s="287"/>
      <c r="EYX312" s="287"/>
      <c r="EYY312" s="287"/>
      <c r="EYZ312" s="287"/>
      <c r="EZA312" s="287"/>
      <c r="EZB312" s="287"/>
      <c r="EZC312" s="287"/>
      <c r="EZD312" s="287"/>
      <c r="EZE312" s="287"/>
      <c r="EZF312" s="287"/>
      <c r="EZG312" s="287"/>
      <c r="EZH312" s="287"/>
      <c r="EZI312" s="287"/>
      <c r="EZJ312" s="287"/>
      <c r="EZK312" s="287"/>
      <c r="EZL312" s="287"/>
      <c r="EZM312" s="287"/>
      <c r="EZN312" s="287"/>
      <c r="EZO312" s="287"/>
      <c r="EZP312" s="287"/>
      <c r="EZQ312" s="287"/>
      <c r="EZR312" s="287"/>
      <c r="EZS312" s="287"/>
      <c r="EZT312" s="287"/>
      <c r="EZU312" s="287"/>
      <c r="EZV312" s="287"/>
      <c r="EZW312" s="287"/>
      <c r="EZX312" s="287"/>
      <c r="EZY312" s="287"/>
      <c r="EZZ312" s="287"/>
      <c r="FAA312" s="287"/>
      <c r="FAB312" s="287"/>
      <c r="FAC312" s="287"/>
      <c r="FAD312" s="287"/>
      <c r="FAE312" s="287"/>
      <c r="FAF312" s="287"/>
      <c r="FAG312" s="287"/>
      <c r="FAH312" s="287"/>
      <c r="FAI312" s="287"/>
      <c r="FAJ312" s="287"/>
      <c r="FAK312" s="287"/>
      <c r="FAL312" s="287"/>
      <c r="FAM312" s="287"/>
      <c r="FAN312" s="287"/>
      <c r="FAO312" s="287"/>
      <c r="FAP312" s="287"/>
      <c r="FAQ312" s="287"/>
      <c r="FAR312" s="287"/>
      <c r="FAS312" s="287"/>
      <c r="FAT312" s="287"/>
      <c r="FAU312" s="287"/>
      <c r="FAV312" s="287"/>
      <c r="FAW312" s="287"/>
      <c r="FAX312" s="287"/>
      <c r="FAY312" s="287"/>
      <c r="FAZ312" s="287"/>
      <c r="FBA312" s="287"/>
      <c r="FBB312" s="287"/>
      <c r="FBC312" s="287"/>
      <c r="FBD312" s="287"/>
      <c r="FBE312" s="287"/>
      <c r="FBF312" s="287"/>
      <c r="FBG312" s="287"/>
      <c r="FBH312" s="287"/>
      <c r="FBI312" s="287"/>
      <c r="FBJ312" s="287"/>
      <c r="FBK312" s="287"/>
      <c r="FBL312" s="287"/>
      <c r="FBM312" s="287"/>
      <c r="FBN312" s="287"/>
      <c r="FBO312" s="287"/>
      <c r="FBP312" s="287"/>
      <c r="FBQ312" s="287"/>
      <c r="FBR312" s="287"/>
      <c r="FBS312" s="287"/>
      <c r="FBT312" s="287"/>
      <c r="FBU312" s="287"/>
      <c r="FBV312" s="287"/>
      <c r="FBW312" s="287"/>
      <c r="FBX312" s="287"/>
      <c r="FBY312" s="287"/>
      <c r="FBZ312" s="287"/>
      <c r="FCA312" s="287"/>
      <c r="FCB312" s="287"/>
      <c r="FCC312" s="287"/>
      <c r="FCD312" s="287"/>
      <c r="FCE312" s="287"/>
      <c r="FCF312" s="287"/>
      <c r="FCG312" s="287"/>
      <c r="FCH312" s="287"/>
      <c r="FCI312" s="287"/>
      <c r="FCJ312" s="287"/>
      <c r="FCK312" s="287"/>
      <c r="FCL312" s="287"/>
      <c r="FCM312" s="287"/>
      <c r="FCN312" s="287"/>
      <c r="FCO312" s="287"/>
      <c r="FCP312" s="287"/>
      <c r="FCQ312" s="287"/>
      <c r="FCR312" s="287"/>
      <c r="FCS312" s="287"/>
      <c r="FCT312" s="287"/>
      <c r="FCU312" s="287"/>
      <c r="FCV312" s="287"/>
      <c r="FCW312" s="287"/>
      <c r="FCX312" s="287"/>
      <c r="FCY312" s="287"/>
      <c r="FCZ312" s="287"/>
      <c r="FDA312" s="287"/>
      <c r="FDB312" s="287"/>
      <c r="FDC312" s="287"/>
      <c r="FDD312" s="287"/>
      <c r="FDE312" s="287"/>
      <c r="FDF312" s="287"/>
      <c r="FDG312" s="287"/>
      <c r="FDH312" s="287"/>
      <c r="FDI312" s="287"/>
      <c r="FDJ312" s="287"/>
      <c r="FDK312" s="287"/>
      <c r="FDL312" s="287"/>
      <c r="FDM312" s="287"/>
      <c r="FDN312" s="287"/>
      <c r="FDO312" s="287"/>
      <c r="FDP312" s="287"/>
      <c r="FDQ312" s="287"/>
      <c r="FDR312" s="287"/>
      <c r="FDS312" s="287"/>
      <c r="FDT312" s="287"/>
      <c r="FDU312" s="287"/>
      <c r="FDV312" s="287"/>
      <c r="FDW312" s="287"/>
      <c r="FDX312" s="287"/>
      <c r="FDY312" s="287"/>
      <c r="FDZ312" s="287"/>
      <c r="FEA312" s="287"/>
      <c r="FEB312" s="287"/>
      <c r="FEC312" s="287"/>
      <c r="FED312" s="287"/>
      <c r="FEE312" s="287"/>
      <c r="FEF312" s="287"/>
      <c r="FEG312" s="287"/>
      <c r="FEH312" s="287"/>
      <c r="FEI312" s="287"/>
      <c r="FEJ312" s="287"/>
      <c r="FEK312" s="287"/>
      <c r="FEL312" s="287"/>
      <c r="FEM312" s="287"/>
      <c r="FEN312" s="287"/>
      <c r="FEO312" s="287"/>
      <c r="FEP312" s="287"/>
      <c r="FEQ312" s="287"/>
      <c r="FER312" s="287"/>
      <c r="FES312" s="287"/>
      <c r="FET312" s="287"/>
      <c r="FEU312" s="287"/>
      <c r="FEV312" s="287"/>
      <c r="FEW312" s="287"/>
      <c r="FEX312" s="287"/>
      <c r="FEY312" s="287"/>
      <c r="FEZ312" s="287"/>
      <c r="FFA312" s="287"/>
      <c r="FFB312" s="287"/>
      <c r="FFC312" s="287"/>
      <c r="FFD312" s="287"/>
      <c r="FFE312" s="287"/>
      <c r="FFF312" s="287"/>
      <c r="FFG312" s="287"/>
      <c r="FFH312" s="287"/>
      <c r="FFI312" s="287"/>
      <c r="FFJ312" s="287"/>
      <c r="FFK312" s="287"/>
      <c r="FFL312" s="287"/>
      <c r="FFM312" s="287"/>
      <c r="FFN312" s="287"/>
      <c r="FFO312" s="287"/>
      <c r="FFP312" s="287"/>
      <c r="FFQ312" s="287"/>
      <c r="FFR312" s="287"/>
      <c r="FFS312" s="287"/>
      <c r="FFT312" s="287"/>
      <c r="FFU312" s="287"/>
      <c r="FFV312" s="287"/>
      <c r="FFW312" s="287"/>
      <c r="FFX312" s="287"/>
      <c r="FFY312" s="287"/>
      <c r="FFZ312" s="287"/>
      <c r="FGA312" s="287"/>
      <c r="FGB312" s="287"/>
      <c r="FGC312" s="287"/>
      <c r="FGD312" s="287"/>
      <c r="FGE312" s="287"/>
      <c r="FGF312" s="287"/>
      <c r="FGG312" s="287"/>
      <c r="FGH312" s="287"/>
      <c r="FGI312" s="287"/>
      <c r="FGJ312" s="287"/>
      <c r="FGK312" s="287"/>
      <c r="FGL312" s="287"/>
      <c r="FGM312" s="287"/>
      <c r="FGN312" s="287"/>
      <c r="FGO312" s="287"/>
      <c r="FGP312" s="287"/>
      <c r="FGQ312" s="287"/>
      <c r="FGR312" s="287"/>
      <c r="FGS312" s="287"/>
      <c r="FGT312" s="287"/>
      <c r="FGU312" s="287"/>
      <c r="FGV312" s="287"/>
      <c r="FGW312" s="287"/>
      <c r="FGX312" s="287"/>
      <c r="FGY312" s="287"/>
      <c r="FGZ312" s="287"/>
      <c r="FHA312" s="287"/>
      <c r="FHB312" s="287"/>
      <c r="FHC312" s="287"/>
      <c r="FHD312" s="287"/>
      <c r="FHE312" s="287"/>
      <c r="FHF312" s="287"/>
      <c r="FHG312" s="287"/>
      <c r="FHH312" s="287"/>
      <c r="FHI312" s="287"/>
      <c r="FHJ312" s="287"/>
      <c r="FHK312" s="287"/>
      <c r="FHL312" s="287"/>
      <c r="FHM312" s="287"/>
      <c r="FHN312" s="287"/>
      <c r="FHO312" s="287"/>
      <c r="FHP312" s="287"/>
      <c r="FHQ312" s="287"/>
      <c r="FHR312" s="287"/>
      <c r="FHS312" s="287"/>
      <c r="FHT312" s="287"/>
      <c r="FHU312" s="287"/>
      <c r="FHV312" s="287"/>
      <c r="FHW312" s="287"/>
      <c r="FHX312" s="287"/>
      <c r="FHY312" s="287"/>
      <c r="FHZ312" s="287"/>
      <c r="FIA312" s="287"/>
      <c r="FIB312" s="287"/>
      <c r="FIC312" s="287"/>
      <c r="FID312" s="287"/>
      <c r="FIE312" s="287"/>
      <c r="FIF312" s="287"/>
      <c r="FIG312" s="287"/>
      <c r="FIH312" s="287"/>
      <c r="FII312" s="287"/>
      <c r="FIJ312" s="287"/>
      <c r="FIK312" s="287"/>
      <c r="FIL312" s="287"/>
      <c r="FIM312" s="287"/>
      <c r="FIN312" s="287"/>
      <c r="FIO312" s="287"/>
      <c r="FIP312" s="287"/>
      <c r="FIQ312" s="287"/>
      <c r="FIR312" s="287"/>
      <c r="FIS312" s="287"/>
      <c r="FIT312" s="287"/>
      <c r="FIU312" s="287"/>
      <c r="FIV312" s="287"/>
      <c r="FIW312" s="287"/>
      <c r="FIX312" s="287"/>
      <c r="FIY312" s="287"/>
      <c r="FIZ312" s="287"/>
      <c r="FJA312" s="287"/>
      <c r="FJB312" s="287"/>
      <c r="FJC312" s="287"/>
      <c r="FJD312" s="287"/>
      <c r="FJE312" s="287"/>
      <c r="FJF312" s="287"/>
      <c r="FJG312" s="287"/>
      <c r="FJH312" s="287"/>
      <c r="FJI312" s="287"/>
      <c r="FJJ312" s="287"/>
      <c r="FJK312" s="287"/>
      <c r="FJL312" s="287"/>
      <c r="FJM312" s="287"/>
      <c r="FJN312" s="287"/>
      <c r="FJO312" s="287"/>
      <c r="FJP312" s="287"/>
      <c r="FJQ312" s="287"/>
      <c r="FJR312" s="287"/>
      <c r="FJS312" s="287"/>
      <c r="FJT312" s="287"/>
      <c r="FJU312" s="287"/>
      <c r="FJV312" s="287"/>
      <c r="FJW312" s="287"/>
      <c r="FJX312" s="287"/>
      <c r="FJY312" s="287"/>
      <c r="FJZ312" s="287"/>
      <c r="FKA312" s="287"/>
      <c r="FKB312" s="287"/>
      <c r="FKC312" s="287"/>
      <c r="FKD312" s="287"/>
      <c r="FKE312" s="287"/>
      <c r="FKF312" s="287"/>
      <c r="FKG312" s="287"/>
      <c r="FKH312" s="287"/>
      <c r="FKI312" s="287"/>
      <c r="FKJ312" s="287"/>
      <c r="FKK312" s="287"/>
      <c r="FKL312" s="287"/>
      <c r="FKM312" s="287"/>
      <c r="FKN312" s="287"/>
      <c r="FKO312" s="287"/>
      <c r="FKP312" s="287"/>
      <c r="FKQ312" s="287"/>
      <c r="FKR312" s="287"/>
      <c r="FKS312" s="287"/>
      <c r="FKT312" s="287"/>
      <c r="FKU312" s="287"/>
      <c r="FKV312" s="287"/>
      <c r="FKW312" s="287"/>
      <c r="FKX312" s="287"/>
      <c r="FKY312" s="287"/>
      <c r="FKZ312" s="287"/>
      <c r="FLA312" s="287"/>
      <c r="FLB312" s="287"/>
      <c r="FLC312" s="287"/>
      <c r="FLD312" s="287"/>
      <c r="FLE312" s="287"/>
      <c r="FLF312" s="287"/>
      <c r="FLG312" s="287"/>
      <c r="FLH312" s="287"/>
      <c r="FLI312" s="287"/>
      <c r="FLJ312" s="287"/>
      <c r="FLK312" s="287"/>
      <c r="FLL312" s="287"/>
      <c r="FLM312" s="287"/>
      <c r="FLN312" s="287"/>
      <c r="FLO312" s="287"/>
      <c r="FLP312" s="287"/>
      <c r="FLQ312" s="287"/>
      <c r="FLR312" s="287"/>
      <c r="FLS312" s="287"/>
      <c r="FLT312" s="287"/>
      <c r="FLU312" s="287"/>
      <c r="FLV312" s="287"/>
      <c r="FLW312" s="287"/>
      <c r="FLX312" s="287"/>
      <c r="FLY312" s="287"/>
      <c r="FLZ312" s="287"/>
      <c r="FMA312" s="287"/>
      <c r="FMB312" s="287"/>
      <c r="FMC312" s="287"/>
      <c r="FMD312" s="287"/>
      <c r="FME312" s="287"/>
      <c r="FMF312" s="287"/>
      <c r="FMG312" s="287"/>
      <c r="FMH312" s="287"/>
      <c r="FMI312" s="287"/>
      <c r="FMJ312" s="287"/>
      <c r="FMK312" s="287"/>
      <c r="FML312" s="287"/>
      <c r="FMM312" s="287"/>
      <c r="FMN312" s="287"/>
      <c r="FMO312" s="287"/>
      <c r="FMP312" s="287"/>
      <c r="FMQ312" s="287"/>
      <c r="FMR312" s="287"/>
      <c r="FMS312" s="287"/>
      <c r="FMT312" s="287"/>
      <c r="FMU312" s="287"/>
      <c r="FMV312" s="287"/>
      <c r="FMW312" s="287"/>
      <c r="FMX312" s="287"/>
      <c r="FMY312" s="287"/>
      <c r="FMZ312" s="287"/>
      <c r="FNA312" s="287"/>
      <c r="FNB312" s="287"/>
      <c r="FNC312" s="287"/>
      <c r="FND312" s="287"/>
      <c r="FNE312" s="287"/>
      <c r="FNF312" s="287"/>
      <c r="FNG312" s="287"/>
      <c r="FNH312" s="287"/>
      <c r="FNI312" s="287"/>
      <c r="FNJ312" s="287"/>
      <c r="FNK312" s="287"/>
      <c r="FNL312" s="287"/>
      <c r="FNM312" s="287"/>
      <c r="FNN312" s="287"/>
      <c r="FNO312" s="287"/>
      <c r="FNP312" s="287"/>
      <c r="FNQ312" s="287"/>
      <c r="FNR312" s="287"/>
      <c r="FNS312" s="287"/>
      <c r="FNT312" s="287"/>
      <c r="FNU312" s="287"/>
      <c r="FNV312" s="287"/>
      <c r="FNW312" s="287"/>
      <c r="FNX312" s="287"/>
      <c r="FNY312" s="287"/>
      <c r="FNZ312" s="287"/>
      <c r="FOA312" s="287"/>
      <c r="FOB312" s="287"/>
      <c r="FOC312" s="287"/>
      <c r="FOD312" s="287"/>
      <c r="FOE312" s="287"/>
      <c r="FOF312" s="287"/>
      <c r="FOG312" s="287"/>
      <c r="FOH312" s="287"/>
      <c r="FOI312" s="287"/>
      <c r="FOJ312" s="287"/>
      <c r="FOK312" s="287"/>
      <c r="FOL312" s="287"/>
      <c r="FOM312" s="287"/>
      <c r="FON312" s="287"/>
      <c r="FOO312" s="287"/>
      <c r="FOP312" s="287"/>
      <c r="FOQ312" s="287"/>
      <c r="FOR312" s="287"/>
      <c r="FOS312" s="287"/>
      <c r="FOT312" s="287"/>
      <c r="FOU312" s="287"/>
      <c r="FOV312" s="287"/>
      <c r="FOW312" s="287"/>
      <c r="FOX312" s="287"/>
      <c r="FOY312" s="287"/>
      <c r="FOZ312" s="287"/>
      <c r="FPA312" s="287"/>
      <c r="FPB312" s="287"/>
      <c r="FPC312" s="287"/>
      <c r="FPD312" s="287"/>
      <c r="FPE312" s="287"/>
      <c r="FPF312" s="287"/>
      <c r="FPG312" s="287"/>
      <c r="FPH312" s="287"/>
      <c r="FPI312" s="287"/>
      <c r="FPJ312" s="287"/>
      <c r="FPK312" s="287"/>
      <c r="FPL312" s="287"/>
      <c r="FPM312" s="287"/>
      <c r="FPN312" s="287"/>
      <c r="FPO312" s="287"/>
      <c r="FPP312" s="287"/>
      <c r="FPQ312" s="287"/>
      <c r="FPR312" s="287"/>
      <c r="FPS312" s="287"/>
      <c r="FPT312" s="287"/>
      <c r="FPU312" s="287"/>
      <c r="FPV312" s="287"/>
      <c r="FPW312" s="287"/>
      <c r="FPX312" s="287"/>
      <c r="FPY312" s="287"/>
      <c r="FPZ312" s="287"/>
      <c r="FQA312" s="287"/>
      <c r="FQB312" s="287"/>
      <c r="FQC312" s="287"/>
      <c r="FQD312" s="287"/>
      <c r="FQE312" s="287"/>
      <c r="FQF312" s="287"/>
      <c r="FQG312" s="287"/>
      <c r="FQH312" s="287"/>
      <c r="FQI312" s="287"/>
      <c r="FQJ312" s="287"/>
      <c r="FQK312" s="287"/>
      <c r="FQL312" s="287"/>
      <c r="FQM312" s="287"/>
      <c r="FQN312" s="287"/>
      <c r="FQO312" s="287"/>
      <c r="FQP312" s="287"/>
      <c r="FQQ312" s="287"/>
      <c r="FQR312" s="287"/>
      <c r="FQS312" s="287"/>
      <c r="FQT312" s="287"/>
      <c r="FQU312" s="287"/>
      <c r="FQV312" s="287"/>
      <c r="FQW312" s="287"/>
      <c r="FQX312" s="287"/>
      <c r="FQY312" s="287"/>
      <c r="FQZ312" s="287"/>
      <c r="FRA312" s="287"/>
      <c r="FRB312" s="287"/>
      <c r="FRC312" s="287"/>
      <c r="FRD312" s="287"/>
      <c r="FRE312" s="287"/>
      <c r="FRF312" s="287"/>
      <c r="FRG312" s="287"/>
      <c r="FRH312" s="287"/>
      <c r="FRI312" s="287"/>
      <c r="FRJ312" s="287"/>
      <c r="FRK312" s="287"/>
      <c r="FRL312" s="287"/>
      <c r="FRM312" s="287"/>
      <c r="FRN312" s="287"/>
      <c r="FRO312" s="287"/>
      <c r="FRP312" s="287"/>
      <c r="FRQ312" s="287"/>
      <c r="FRR312" s="287"/>
      <c r="FRS312" s="287"/>
      <c r="FRT312" s="287"/>
      <c r="FRU312" s="287"/>
      <c r="FRV312" s="287"/>
      <c r="FRW312" s="287"/>
      <c r="FRX312" s="287"/>
      <c r="FRY312" s="287"/>
      <c r="FRZ312" s="287"/>
      <c r="FSA312" s="287"/>
      <c r="FSB312" s="287"/>
      <c r="FSC312" s="287"/>
      <c r="FSD312" s="287"/>
      <c r="FSE312" s="287"/>
      <c r="FSF312" s="287"/>
      <c r="FSG312" s="287"/>
      <c r="FSH312" s="287"/>
      <c r="FSI312" s="287"/>
      <c r="FSJ312" s="287"/>
      <c r="FSK312" s="287"/>
      <c r="FSL312" s="287"/>
      <c r="FSM312" s="287"/>
      <c r="FSN312" s="287"/>
      <c r="FSO312" s="287"/>
      <c r="FSP312" s="287"/>
      <c r="FSQ312" s="287"/>
      <c r="FSR312" s="287"/>
      <c r="FSS312" s="287"/>
      <c r="FST312" s="287"/>
      <c r="FSU312" s="287"/>
      <c r="FSV312" s="287"/>
      <c r="FSW312" s="287"/>
      <c r="FSX312" s="287"/>
      <c r="FSY312" s="287"/>
      <c r="FSZ312" s="287"/>
      <c r="FTA312" s="287"/>
      <c r="FTB312" s="287"/>
      <c r="FTC312" s="287"/>
      <c r="FTD312" s="287"/>
      <c r="FTE312" s="287"/>
      <c r="FTF312" s="287"/>
      <c r="FTG312" s="287"/>
      <c r="FTH312" s="287"/>
      <c r="FTI312" s="287"/>
      <c r="FTJ312" s="287"/>
      <c r="FTK312" s="287"/>
      <c r="FTL312" s="287"/>
      <c r="FTM312" s="287"/>
      <c r="FTN312" s="287"/>
      <c r="FTO312" s="287"/>
      <c r="FTP312" s="287"/>
      <c r="FTQ312" s="287"/>
      <c r="FTR312" s="287"/>
      <c r="FTS312" s="287"/>
      <c r="FTT312" s="287"/>
      <c r="FTU312" s="287"/>
      <c r="FTV312" s="287"/>
      <c r="FTW312" s="287"/>
      <c r="FTX312" s="287"/>
      <c r="FTY312" s="287"/>
      <c r="FTZ312" s="287"/>
      <c r="FUA312" s="287"/>
      <c r="FUB312" s="287"/>
      <c r="FUC312" s="287"/>
      <c r="FUD312" s="287"/>
      <c r="FUE312" s="287"/>
      <c r="FUF312" s="287"/>
      <c r="FUG312" s="287"/>
      <c r="FUH312" s="287"/>
      <c r="FUI312" s="287"/>
      <c r="FUJ312" s="287"/>
      <c r="FUK312" s="287"/>
      <c r="FUL312" s="287"/>
      <c r="FUM312" s="287"/>
      <c r="FUN312" s="287"/>
      <c r="FUO312" s="287"/>
      <c r="FUP312" s="287"/>
      <c r="FUQ312" s="287"/>
      <c r="FUR312" s="287"/>
      <c r="FUS312" s="287"/>
      <c r="FUT312" s="287"/>
      <c r="FUU312" s="287"/>
      <c r="FUV312" s="287"/>
      <c r="FUW312" s="287"/>
      <c r="FUX312" s="287"/>
      <c r="FUY312" s="287"/>
      <c r="FUZ312" s="287"/>
      <c r="FVA312" s="287"/>
      <c r="FVB312" s="287"/>
      <c r="FVC312" s="287"/>
      <c r="FVD312" s="287"/>
      <c r="FVE312" s="287"/>
      <c r="FVF312" s="287"/>
      <c r="FVG312" s="287"/>
      <c r="FVH312" s="287"/>
      <c r="FVI312" s="287"/>
      <c r="FVJ312" s="287"/>
      <c r="FVK312" s="287"/>
      <c r="FVL312" s="287"/>
      <c r="FVM312" s="287"/>
      <c r="FVN312" s="287"/>
      <c r="FVO312" s="287"/>
      <c r="FVP312" s="287"/>
      <c r="FVQ312" s="287"/>
      <c r="FVR312" s="287"/>
      <c r="FVS312" s="287"/>
      <c r="FVT312" s="287"/>
      <c r="FVU312" s="287"/>
      <c r="FVV312" s="287"/>
      <c r="FVW312" s="287"/>
      <c r="FVX312" s="287"/>
      <c r="FVY312" s="287"/>
      <c r="FVZ312" s="287"/>
      <c r="FWA312" s="287"/>
      <c r="FWB312" s="287"/>
      <c r="FWC312" s="287"/>
      <c r="FWD312" s="287"/>
      <c r="FWE312" s="287"/>
      <c r="FWF312" s="287"/>
      <c r="FWG312" s="287"/>
      <c r="FWH312" s="287"/>
      <c r="FWI312" s="287"/>
      <c r="FWJ312" s="287"/>
      <c r="FWK312" s="287"/>
      <c r="FWL312" s="287"/>
      <c r="FWM312" s="287"/>
      <c r="FWN312" s="287"/>
      <c r="FWO312" s="287"/>
      <c r="FWP312" s="287"/>
      <c r="FWQ312" s="287"/>
      <c r="FWR312" s="287"/>
      <c r="FWS312" s="287"/>
      <c r="FWT312" s="287"/>
      <c r="FWU312" s="287"/>
      <c r="FWV312" s="287"/>
      <c r="FWW312" s="287"/>
      <c r="FWX312" s="287"/>
      <c r="FWY312" s="287"/>
      <c r="FWZ312" s="287"/>
      <c r="FXA312" s="287"/>
      <c r="FXB312" s="287"/>
      <c r="FXC312" s="287"/>
      <c r="FXD312" s="287"/>
      <c r="FXE312" s="287"/>
      <c r="FXF312" s="287"/>
      <c r="FXG312" s="287"/>
      <c r="FXH312" s="287"/>
      <c r="FXI312" s="287"/>
      <c r="FXJ312" s="287"/>
      <c r="FXK312" s="287"/>
      <c r="FXL312" s="287"/>
      <c r="FXM312" s="287"/>
      <c r="FXN312" s="287"/>
      <c r="FXO312" s="287"/>
      <c r="FXP312" s="287"/>
      <c r="FXQ312" s="287"/>
      <c r="FXR312" s="287"/>
      <c r="FXS312" s="287"/>
      <c r="FXT312" s="287"/>
      <c r="FXU312" s="287"/>
      <c r="FXV312" s="287"/>
      <c r="FXW312" s="287"/>
      <c r="FXX312" s="287"/>
      <c r="FXY312" s="287"/>
      <c r="FXZ312" s="287"/>
      <c r="FYA312" s="287"/>
      <c r="FYB312" s="287"/>
      <c r="FYC312" s="287"/>
      <c r="FYD312" s="287"/>
      <c r="FYE312" s="287"/>
      <c r="FYF312" s="287"/>
      <c r="FYG312" s="287"/>
      <c r="FYH312" s="287"/>
      <c r="FYI312" s="287"/>
      <c r="FYJ312" s="287"/>
      <c r="FYK312" s="287"/>
      <c r="FYL312" s="287"/>
      <c r="FYM312" s="287"/>
      <c r="FYN312" s="287"/>
      <c r="FYO312" s="287"/>
      <c r="FYP312" s="287"/>
      <c r="FYQ312" s="287"/>
      <c r="FYR312" s="287"/>
      <c r="FYS312" s="287"/>
      <c r="FYT312" s="287"/>
      <c r="FYU312" s="287"/>
      <c r="FYV312" s="287"/>
      <c r="FYW312" s="287"/>
      <c r="FYX312" s="287"/>
      <c r="FYY312" s="287"/>
      <c r="FYZ312" s="287"/>
      <c r="FZA312" s="287"/>
      <c r="FZB312" s="287"/>
      <c r="FZC312" s="287"/>
      <c r="FZD312" s="287"/>
      <c r="FZE312" s="287"/>
      <c r="FZF312" s="287"/>
      <c r="FZG312" s="287"/>
      <c r="FZH312" s="287"/>
      <c r="FZI312" s="287"/>
      <c r="FZJ312" s="287"/>
      <c r="FZK312" s="287"/>
      <c r="FZL312" s="287"/>
      <c r="FZM312" s="287"/>
      <c r="FZN312" s="287"/>
      <c r="FZO312" s="287"/>
      <c r="FZP312" s="287"/>
      <c r="FZQ312" s="287"/>
      <c r="FZR312" s="287"/>
      <c r="FZS312" s="287"/>
      <c r="FZT312" s="287"/>
      <c r="FZU312" s="287"/>
      <c r="FZV312" s="287"/>
      <c r="FZW312" s="287"/>
      <c r="FZX312" s="287"/>
      <c r="FZY312" s="287"/>
      <c r="FZZ312" s="287"/>
      <c r="GAA312" s="287"/>
      <c r="GAB312" s="287"/>
      <c r="GAC312" s="287"/>
      <c r="GAD312" s="287"/>
      <c r="GAE312" s="287"/>
      <c r="GAF312" s="287"/>
      <c r="GAG312" s="287"/>
      <c r="GAH312" s="287"/>
      <c r="GAI312" s="287"/>
      <c r="GAJ312" s="287"/>
      <c r="GAK312" s="287"/>
      <c r="GAL312" s="287"/>
      <c r="GAM312" s="287"/>
      <c r="GAN312" s="287"/>
      <c r="GAO312" s="287"/>
      <c r="GAP312" s="287"/>
      <c r="GAQ312" s="287"/>
      <c r="GAR312" s="287"/>
      <c r="GAS312" s="287"/>
      <c r="GAT312" s="287"/>
      <c r="GAU312" s="287"/>
      <c r="GAV312" s="287"/>
      <c r="GAW312" s="287"/>
      <c r="GAX312" s="287"/>
      <c r="GAY312" s="287"/>
      <c r="GAZ312" s="287"/>
      <c r="GBA312" s="287"/>
      <c r="GBB312" s="287"/>
      <c r="GBC312" s="287"/>
      <c r="GBD312" s="287"/>
      <c r="GBE312" s="287"/>
      <c r="GBF312" s="287"/>
      <c r="GBG312" s="287"/>
      <c r="GBH312" s="287"/>
      <c r="GBI312" s="287"/>
      <c r="GBJ312" s="287"/>
      <c r="GBK312" s="287"/>
      <c r="GBL312" s="287"/>
      <c r="GBM312" s="287"/>
      <c r="GBN312" s="287"/>
      <c r="GBO312" s="287"/>
      <c r="GBP312" s="287"/>
      <c r="GBQ312" s="287"/>
      <c r="GBR312" s="287"/>
      <c r="GBS312" s="287"/>
      <c r="GBT312" s="287"/>
      <c r="GBU312" s="287"/>
      <c r="GBV312" s="287"/>
      <c r="GBW312" s="287"/>
      <c r="GBX312" s="287"/>
      <c r="GBY312" s="287"/>
      <c r="GBZ312" s="287"/>
      <c r="GCA312" s="287"/>
      <c r="GCB312" s="287"/>
      <c r="GCC312" s="287"/>
      <c r="GCD312" s="287"/>
      <c r="GCE312" s="287"/>
      <c r="GCF312" s="287"/>
      <c r="GCG312" s="287"/>
      <c r="GCH312" s="287"/>
      <c r="GCI312" s="287"/>
      <c r="GCJ312" s="287"/>
      <c r="GCK312" s="287"/>
      <c r="GCL312" s="287"/>
      <c r="GCM312" s="287"/>
      <c r="GCN312" s="287"/>
      <c r="GCO312" s="287"/>
      <c r="GCP312" s="287"/>
      <c r="GCQ312" s="287"/>
      <c r="GCR312" s="287"/>
      <c r="GCS312" s="287"/>
      <c r="GCT312" s="287"/>
      <c r="GCU312" s="287"/>
      <c r="GCV312" s="287"/>
      <c r="GCW312" s="287"/>
      <c r="GCX312" s="287"/>
      <c r="GCY312" s="287"/>
      <c r="GCZ312" s="287"/>
      <c r="GDA312" s="287"/>
      <c r="GDB312" s="287"/>
      <c r="GDC312" s="287"/>
      <c r="GDD312" s="287"/>
      <c r="GDE312" s="287"/>
      <c r="GDF312" s="287"/>
      <c r="GDG312" s="287"/>
      <c r="GDH312" s="287"/>
      <c r="GDI312" s="287"/>
      <c r="GDJ312" s="287"/>
      <c r="GDK312" s="287"/>
      <c r="GDL312" s="287"/>
      <c r="GDM312" s="287"/>
      <c r="GDN312" s="287"/>
      <c r="GDO312" s="287"/>
      <c r="GDP312" s="287"/>
      <c r="GDQ312" s="287"/>
      <c r="GDR312" s="287"/>
      <c r="GDS312" s="287"/>
      <c r="GDT312" s="287"/>
      <c r="GDU312" s="287"/>
      <c r="GDV312" s="287"/>
      <c r="GDW312" s="287"/>
      <c r="GDX312" s="287"/>
      <c r="GDY312" s="287"/>
      <c r="GDZ312" s="287"/>
      <c r="GEA312" s="287"/>
      <c r="GEB312" s="287"/>
      <c r="GEC312" s="287"/>
      <c r="GED312" s="287"/>
      <c r="GEE312" s="287"/>
      <c r="GEF312" s="287"/>
      <c r="GEG312" s="287"/>
      <c r="GEH312" s="287"/>
      <c r="GEI312" s="287"/>
      <c r="GEJ312" s="287"/>
      <c r="GEK312" s="287"/>
      <c r="GEL312" s="287"/>
      <c r="GEM312" s="287"/>
      <c r="GEN312" s="287"/>
      <c r="GEO312" s="287"/>
      <c r="GEP312" s="287"/>
      <c r="GEQ312" s="287"/>
      <c r="GER312" s="287"/>
      <c r="GES312" s="287"/>
      <c r="GET312" s="287"/>
      <c r="GEU312" s="287"/>
      <c r="GEV312" s="287"/>
      <c r="GEW312" s="287"/>
      <c r="GEX312" s="287"/>
      <c r="GEY312" s="287"/>
      <c r="GEZ312" s="287"/>
      <c r="GFA312" s="287"/>
      <c r="GFB312" s="287"/>
      <c r="GFC312" s="287"/>
      <c r="GFD312" s="287"/>
      <c r="GFE312" s="287"/>
      <c r="GFF312" s="287"/>
      <c r="GFG312" s="287"/>
      <c r="GFH312" s="287"/>
      <c r="GFI312" s="287"/>
      <c r="GFJ312" s="287"/>
      <c r="GFK312" s="287"/>
      <c r="GFL312" s="287"/>
      <c r="GFM312" s="287"/>
      <c r="GFN312" s="287"/>
      <c r="GFO312" s="287"/>
      <c r="GFP312" s="287"/>
      <c r="GFQ312" s="287"/>
      <c r="GFR312" s="287"/>
      <c r="GFS312" s="287"/>
      <c r="GFT312" s="287"/>
      <c r="GFU312" s="287"/>
      <c r="GFV312" s="287"/>
      <c r="GFW312" s="287"/>
      <c r="GFX312" s="287"/>
      <c r="GFY312" s="287"/>
      <c r="GFZ312" s="287"/>
      <c r="GGA312" s="287"/>
      <c r="GGB312" s="287"/>
      <c r="GGC312" s="287"/>
      <c r="GGD312" s="287"/>
      <c r="GGE312" s="287"/>
      <c r="GGF312" s="287"/>
      <c r="GGG312" s="287"/>
      <c r="GGH312" s="287"/>
      <c r="GGI312" s="287"/>
      <c r="GGJ312" s="287"/>
      <c r="GGK312" s="287"/>
      <c r="GGL312" s="287"/>
      <c r="GGM312" s="287"/>
      <c r="GGN312" s="287"/>
      <c r="GGO312" s="287"/>
      <c r="GGP312" s="287"/>
      <c r="GGQ312" s="287"/>
      <c r="GGR312" s="287"/>
      <c r="GGS312" s="287"/>
      <c r="GGT312" s="287"/>
      <c r="GGU312" s="287"/>
      <c r="GGV312" s="287"/>
      <c r="GGW312" s="287"/>
      <c r="GGX312" s="287"/>
      <c r="GGY312" s="287"/>
      <c r="GGZ312" s="287"/>
      <c r="GHA312" s="287"/>
      <c r="GHB312" s="287"/>
      <c r="GHC312" s="287"/>
      <c r="GHD312" s="287"/>
      <c r="GHE312" s="287"/>
      <c r="GHF312" s="287"/>
      <c r="GHG312" s="287"/>
      <c r="GHH312" s="287"/>
      <c r="GHI312" s="287"/>
      <c r="GHJ312" s="287"/>
      <c r="GHK312" s="287"/>
      <c r="GHL312" s="287"/>
      <c r="GHM312" s="287"/>
      <c r="GHN312" s="287"/>
      <c r="GHO312" s="287"/>
      <c r="GHP312" s="287"/>
      <c r="GHQ312" s="287"/>
      <c r="GHR312" s="287"/>
      <c r="GHS312" s="287"/>
      <c r="GHT312" s="287"/>
      <c r="GHU312" s="287"/>
      <c r="GHV312" s="287"/>
      <c r="GHW312" s="287"/>
      <c r="GHX312" s="287"/>
      <c r="GHY312" s="287"/>
      <c r="GHZ312" s="287"/>
      <c r="GIA312" s="287"/>
      <c r="GIB312" s="287"/>
      <c r="GIC312" s="287"/>
      <c r="GID312" s="287"/>
      <c r="GIE312" s="287"/>
      <c r="GIF312" s="287"/>
      <c r="GIG312" s="287"/>
      <c r="GIH312" s="287"/>
      <c r="GII312" s="287"/>
      <c r="GIJ312" s="287"/>
      <c r="GIK312" s="287"/>
      <c r="GIL312" s="287"/>
      <c r="GIM312" s="287"/>
      <c r="GIN312" s="287"/>
      <c r="GIO312" s="287"/>
      <c r="GIP312" s="287"/>
      <c r="GIQ312" s="287"/>
      <c r="GIR312" s="287"/>
      <c r="GIS312" s="287"/>
      <c r="GIT312" s="287"/>
      <c r="GIU312" s="287"/>
      <c r="GIV312" s="287"/>
      <c r="GIW312" s="287"/>
      <c r="GIX312" s="287"/>
      <c r="GIY312" s="287"/>
      <c r="GIZ312" s="287"/>
      <c r="GJA312" s="287"/>
      <c r="GJB312" s="287"/>
      <c r="GJC312" s="287"/>
      <c r="GJD312" s="287"/>
      <c r="GJE312" s="287"/>
      <c r="GJF312" s="287"/>
      <c r="GJG312" s="287"/>
      <c r="GJH312" s="287"/>
      <c r="GJI312" s="287"/>
      <c r="GJJ312" s="287"/>
      <c r="GJK312" s="287"/>
      <c r="GJL312" s="287"/>
      <c r="GJM312" s="287"/>
      <c r="GJN312" s="287"/>
      <c r="GJO312" s="287"/>
      <c r="GJP312" s="287"/>
      <c r="GJQ312" s="287"/>
      <c r="GJR312" s="287"/>
      <c r="GJS312" s="287"/>
      <c r="GJT312" s="287"/>
      <c r="GJU312" s="287"/>
      <c r="GJV312" s="287"/>
      <c r="GJW312" s="287"/>
      <c r="GJX312" s="287"/>
      <c r="GJY312" s="287"/>
      <c r="GJZ312" s="287"/>
      <c r="GKA312" s="287"/>
      <c r="GKB312" s="287"/>
      <c r="GKC312" s="287"/>
      <c r="GKD312" s="287"/>
      <c r="GKE312" s="287"/>
      <c r="GKF312" s="287"/>
      <c r="GKG312" s="287"/>
      <c r="GKH312" s="287"/>
      <c r="GKI312" s="287"/>
      <c r="GKJ312" s="287"/>
      <c r="GKK312" s="287"/>
      <c r="GKL312" s="287"/>
      <c r="GKM312" s="287"/>
      <c r="GKN312" s="287"/>
      <c r="GKO312" s="287"/>
      <c r="GKP312" s="287"/>
      <c r="GKQ312" s="287"/>
      <c r="GKR312" s="287"/>
      <c r="GKS312" s="287"/>
      <c r="GKT312" s="287"/>
      <c r="GKU312" s="287"/>
      <c r="GKV312" s="287"/>
      <c r="GKW312" s="287"/>
      <c r="GKX312" s="287"/>
      <c r="GKY312" s="287"/>
      <c r="GKZ312" s="287"/>
      <c r="GLA312" s="287"/>
      <c r="GLB312" s="287"/>
      <c r="GLC312" s="287"/>
      <c r="GLD312" s="287"/>
      <c r="GLE312" s="287"/>
      <c r="GLF312" s="287"/>
      <c r="GLG312" s="287"/>
      <c r="GLH312" s="287"/>
      <c r="GLI312" s="287"/>
      <c r="GLJ312" s="287"/>
      <c r="GLK312" s="287"/>
      <c r="GLL312" s="287"/>
      <c r="GLM312" s="287"/>
      <c r="GLN312" s="287"/>
      <c r="GLO312" s="287"/>
      <c r="GLP312" s="287"/>
      <c r="GLQ312" s="287"/>
      <c r="GLR312" s="287"/>
      <c r="GLS312" s="287"/>
      <c r="GLT312" s="287"/>
      <c r="GLU312" s="287"/>
      <c r="GLV312" s="287"/>
      <c r="GLW312" s="287"/>
      <c r="GLX312" s="287"/>
      <c r="GLY312" s="287"/>
      <c r="GLZ312" s="287"/>
      <c r="GMA312" s="287"/>
      <c r="GMB312" s="287"/>
      <c r="GMC312" s="287"/>
      <c r="GMD312" s="287"/>
      <c r="GME312" s="287"/>
      <c r="GMF312" s="287"/>
      <c r="GMG312" s="287"/>
      <c r="GMH312" s="287"/>
      <c r="GMI312" s="287"/>
      <c r="GMJ312" s="287"/>
      <c r="GMK312" s="287"/>
      <c r="GML312" s="287"/>
      <c r="GMM312" s="287"/>
      <c r="GMN312" s="287"/>
      <c r="GMO312" s="287"/>
      <c r="GMP312" s="287"/>
      <c r="GMQ312" s="287"/>
      <c r="GMR312" s="287"/>
      <c r="GMS312" s="287"/>
      <c r="GMT312" s="287"/>
      <c r="GMU312" s="287"/>
      <c r="GMV312" s="287"/>
      <c r="GMW312" s="287"/>
      <c r="GMX312" s="287"/>
      <c r="GMY312" s="287"/>
      <c r="GMZ312" s="287"/>
      <c r="GNA312" s="287"/>
      <c r="GNB312" s="287"/>
      <c r="GNC312" s="287"/>
      <c r="GND312" s="287"/>
      <c r="GNE312" s="287"/>
      <c r="GNF312" s="287"/>
      <c r="GNG312" s="287"/>
      <c r="GNH312" s="287"/>
      <c r="GNI312" s="287"/>
      <c r="GNJ312" s="287"/>
      <c r="GNK312" s="287"/>
      <c r="GNL312" s="287"/>
      <c r="GNM312" s="287"/>
      <c r="GNN312" s="287"/>
      <c r="GNO312" s="287"/>
      <c r="GNP312" s="287"/>
      <c r="GNQ312" s="287"/>
      <c r="GNR312" s="287"/>
      <c r="GNS312" s="287"/>
      <c r="GNT312" s="287"/>
      <c r="GNU312" s="287"/>
      <c r="GNV312" s="287"/>
      <c r="GNW312" s="287"/>
      <c r="GNX312" s="287"/>
      <c r="GNY312" s="287"/>
      <c r="GNZ312" s="287"/>
      <c r="GOA312" s="287"/>
      <c r="GOB312" s="287"/>
      <c r="GOC312" s="287"/>
      <c r="GOD312" s="287"/>
      <c r="GOE312" s="287"/>
      <c r="GOF312" s="287"/>
      <c r="GOG312" s="287"/>
      <c r="GOH312" s="287"/>
      <c r="GOI312" s="287"/>
      <c r="GOJ312" s="287"/>
      <c r="GOK312" s="287"/>
      <c r="GOL312" s="287"/>
      <c r="GOM312" s="287"/>
      <c r="GON312" s="287"/>
      <c r="GOO312" s="287"/>
      <c r="GOP312" s="287"/>
      <c r="GOQ312" s="287"/>
      <c r="GOR312" s="287"/>
      <c r="GOS312" s="287"/>
      <c r="GOT312" s="287"/>
      <c r="GOU312" s="287"/>
      <c r="GOV312" s="287"/>
      <c r="GOW312" s="287"/>
      <c r="GOX312" s="287"/>
      <c r="GOY312" s="287"/>
      <c r="GOZ312" s="287"/>
      <c r="GPA312" s="287"/>
      <c r="GPB312" s="287"/>
      <c r="GPC312" s="287"/>
      <c r="GPD312" s="287"/>
      <c r="GPE312" s="287"/>
      <c r="GPF312" s="287"/>
      <c r="GPG312" s="287"/>
      <c r="GPH312" s="287"/>
      <c r="GPI312" s="287"/>
      <c r="GPJ312" s="287"/>
      <c r="GPK312" s="287"/>
      <c r="GPL312" s="287"/>
      <c r="GPM312" s="287"/>
      <c r="GPN312" s="287"/>
      <c r="GPO312" s="287"/>
      <c r="GPP312" s="287"/>
      <c r="GPQ312" s="287"/>
      <c r="GPR312" s="287"/>
      <c r="GPS312" s="287"/>
      <c r="GPT312" s="287"/>
      <c r="GPU312" s="287"/>
      <c r="GPV312" s="287"/>
      <c r="GPW312" s="287"/>
      <c r="GPX312" s="287"/>
      <c r="GPY312" s="287"/>
      <c r="GPZ312" s="287"/>
      <c r="GQA312" s="287"/>
      <c r="GQB312" s="287"/>
      <c r="GQC312" s="287"/>
      <c r="GQD312" s="287"/>
      <c r="GQE312" s="287"/>
      <c r="GQF312" s="287"/>
      <c r="GQG312" s="287"/>
      <c r="GQH312" s="287"/>
      <c r="GQI312" s="287"/>
      <c r="GQJ312" s="287"/>
      <c r="GQK312" s="287"/>
      <c r="GQL312" s="287"/>
      <c r="GQM312" s="287"/>
      <c r="GQN312" s="287"/>
      <c r="GQO312" s="287"/>
      <c r="GQP312" s="287"/>
      <c r="GQQ312" s="287"/>
      <c r="GQR312" s="287"/>
      <c r="GQS312" s="287"/>
      <c r="GQT312" s="287"/>
      <c r="GQU312" s="287"/>
      <c r="GQV312" s="287"/>
      <c r="GQW312" s="287"/>
      <c r="GQX312" s="287"/>
      <c r="GQY312" s="287"/>
      <c r="GQZ312" s="287"/>
      <c r="GRA312" s="287"/>
      <c r="GRB312" s="287"/>
      <c r="GRC312" s="287"/>
      <c r="GRD312" s="287"/>
      <c r="GRE312" s="287"/>
      <c r="GRF312" s="287"/>
      <c r="GRG312" s="287"/>
      <c r="GRH312" s="287"/>
      <c r="GRI312" s="287"/>
      <c r="GRJ312" s="287"/>
      <c r="GRK312" s="287"/>
      <c r="GRL312" s="287"/>
      <c r="GRM312" s="287"/>
      <c r="GRN312" s="287"/>
      <c r="GRO312" s="287"/>
      <c r="GRP312" s="287"/>
      <c r="GRQ312" s="287"/>
      <c r="GRR312" s="287"/>
      <c r="GRS312" s="287"/>
      <c r="GRT312" s="287"/>
      <c r="GRU312" s="287"/>
      <c r="GRV312" s="287"/>
      <c r="GRW312" s="287"/>
      <c r="GRX312" s="287"/>
      <c r="GRY312" s="287"/>
      <c r="GRZ312" s="287"/>
      <c r="GSA312" s="287"/>
      <c r="GSB312" s="287"/>
      <c r="GSC312" s="287"/>
      <c r="GSD312" s="287"/>
      <c r="GSE312" s="287"/>
      <c r="GSF312" s="287"/>
      <c r="GSG312" s="287"/>
      <c r="GSH312" s="287"/>
      <c r="GSI312" s="287"/>
      <c r="GSJ312" s="287"/>
      <c r="GSK312" s="287"/>
      <c r="GSL312" s="287"/>
      <c r="GSM312" s="287"/>
      <c r="GSN312" s="287"/>
      <c r="GSO312" s="287"/>
      <c r="GSP312" s="287"/>
      <c r="GSQ312" s="287"/>
      <c r="GSR312" s="287"/>
      <c r="GSS312" s="287"/>
      <c r="GST312" s="287"/>
      <c r="GSU312" s="287"/>
      <c r="GSV312" s="287"/>
      <c r="GSW312" s="287"/>
      <c r="GSX312" s="287"/>
      <c r="GSY312" s="287"/>
      <c r="GSZ312" s="287"/>
      <c r="GTA312" s="287"/>
      <c r="GTB312" s="287"/>
      <c r="GTC312" s="287"/>
      <c r="GTD312" s="287"/>
      <c r="GTE312" s="287"/>
      <c r="GTF312" s="287"/>
      <c r="GTG312" s="287"/>
      <c r="GTH312" s="287"/>
      <c r="GTI312" s="287"/>
      <c r="GTJ312" s="287"/>
      <c r="GTK312" s="287"/>
      <c r="GTL312" s="287"/>
      <c r="GTM312" s="287"/>
      <c r="GTN312" s="287"/>
      <c r="GTO312" s="287"/>
      <c r="GTP312" s="287"/>
      <c r="GTQ312" s="287"/>
      <c r="GTR312" s="287"/>
      <c r="GTS312" s="287"/>
      <c r="GTT312" s="287"/>
      <c r="GTU312" s="287"/>
      <c r="GTV312" s="287"/>
      <c r="GTW312" s="287"/>
      <c r="GTX312" s="287"/>
      <c r="GTY312" s="287"/>
      <c r="GTZ312" s="287"/>
      <c r="GUA312" s="287"/>
      <c r="GUB312" s="287"/>
      <c r="GUC312" s="287"/>
      <c r="GUD312" s="287"/>
      <c r="GUE312" s="287"/>
      <c r="GUF312" s="287"/>
      <c r="GUG312" s="287"/>
      <c r="GUH312" s="287"/>
      <c r="GUI312" s="287"/>
      <c r="GUJ312" s="287"/>
      <c r="GUK312" s="287"/>
      <c r="GUL312" s="287"/>
      <c r="GUM312" s="287"/>
      <c r="GUN312" s="287"/>
      <c r="GUO312" s="287"/>
      <c r="GUP312" s="287"/>
      <c r="GUQ312" s="287"/>
      <c r="GUR312" s="287"/>
      <c r="GUS312" s="287"/>
      <c r="GUT312" s="287"/>
      <c r="GUU312" s="287"/>
      <c r="GUV312" s="287"/>
      <c r="GUW312" s="287"/>
      <c r="GUX312" s="287"/>
      <c r="GUY312" s="287"/>
      <c r="GUZ312" s="287"/>
      <c r="GVA312" s="287"/>
      <c r="GVB312" s="287"/>
      <c r="GVC312" s="287"/>
      <c r="GVD312" s="287"/>
      <c r="GVE312" s="287"/>
      <c r="GVF312" s="287"/>
      <c r="GVG312" s="287"/>
      <c r="GVH312" s="287"/>
      <c r="GVI312" s="287"/>
      <c r="GVJ312" s="287"/>
      <c r="GVK312" s="287"/>
      <c r="GVL312" s="287"/>
      <c r="GVM312" s="287"/>
      <c r="GVN312" s="287"/>
      <c r="GVO312" s="287"/>
      <c r="GVP312" s="287"/>
      <c r="GVQ312" s="287"/>
      <c r="GVR312" s="287"/>
      <c r="GVS312" s="287"/>
      <c r="GVT312" s="287"/>
      <c r="GVU312" s="287"/>
      <c r="GVV312" s="287"/>
      <c r="GVW312" s="287"/>
      <c r="GVX312" s="287"/>
      <c r="GVY312" s="287"/>
      <c r="GVZ312" s="287"/>
      <c r="GWA312" s="287"/>
      <c r="GWB312" s="287"/>
      <c r="GWC312" s="287"/>
      <c r="GWD312" s="287"/>
      <c r="GWE312" s="287"/>
      <c r="GWF312" s="287"/>
      <c r="GWG312" s="287"/>
      <c r="GWH312" s="287"/>
      <c r="GWI312" s="287"/>
      <c r="GWJ312" s="287"/>
      <c r="GWK312" s="287"/>
      <c r="GWL312" s="287"/>
      <c r="GWM312" s="287"/>
      <c r="GWN312" s="287"/>
      <c r="GWO312" s="287"/>
      <c r="GWP312" s="287"/>
      <c r="GWQ312" s="287"/>
      <c r="GWR312" s="287"/>
      <c r="GWS312" s="287"/>
      <c r="GWT312" s="287"/>
      <c r="GWU312" s="287"/>
      <c r="GWV312" s="287"/>
      <c r="GWW312" s="287"/>
      <c r="GWX312" s="287"/>
      <c r="GWY312" s="287"/>
      <c r="GWZ312" s="287"/>
      <c r="GXA312" s="287"/>
      <c r="GXB312" s="287"/>
      <c r="GXC312" s="287"/>
      <c r="GXD312" s="287"/>
      <c r="GXE312" s="287"/>
      <c r="GXF312" s="287"/>
      <c r="GXG312" s="287"/>
      <c r="GXH312" s="287"/>
      <c r="GXI312" s="287"/>
      <c r="GXJ312" s="287"/>
      <c r="GXK312" s="287"/>
      <c r="GXL312" s="287"/>
      <c r="GXM312" s="287"/>
      <c r="GXN312" s="287"/>
      <c r="GXO312" s="287"/>
      <c r="GXP312" s="287"/>
      <c r="GXQ312" s="287"/>
      <c r="GXR312" s="287"/>
      <c r="GXS312" s="287"/>
      <c r="GXT312" s="287"/>
      <c r="GXU312" s="287"/>
      <c r="GXV312" s="287"/>
      <c r="GXW312" s="287"/>
      <c r="GXX312" s="287"/>
      <c r="GXY312" s="287"/>
      <c r="GXZ312" s="287"/>
      <c r="GYA312" s="287"/>
      <c r="GYB312" s="287"/>
      <c r="GYC312" s="287"/>
      <c r="GYD312" s="287"/>
      <c r="GYE312" s="287"/>
      <c r="GYF312" s="287"/>
      <c r="GYG312" s="287"/>
      <c r="GYH312" s="287"/>
      <c r="GYI312" s="287"/>
      <c r="GYJ312" s="287"/>
      <c r="GYK312" s="287"/>
      <c r="GYL312" s="287"/>
      <c r="GYM312" s="287"/>
      <c r="GYN312" s="287"/>
      <c r="GYO312" s="287"/>
      <c r="GYP312" s="287"/>
      <c r="GYQ312" s="287"/>
      <c r="GYR312" s="287"/>
      <c r="GYS312" s="287"/>
      <c r="GYT312" s="287"/>
      <c r="GYU312" s="287"/>
      <c r="GYV312" s="287"/>
      <c r="GYW312" s="287"/>
      <c r="GYX312" s="287"/>
      <c r="GYY312" s="287"/>
      <c r="GYZ312" s="287"/>
      <c r="GZA312" s="287"/>
      <c r="GZB312" s="287"/>
      <c r="GZC312" s="287"/>
      <c r="GZD312" s="287"/>
      <c r="GZE312" s="287"/>
      <c r="GZF312" s="287"/>
      <c r="GZG312" s="287"/>
      <c r="GZH312" s="287"/>
      <c r="GZI312" s="287"/>
      <c r="GZJ312" s="287"/>
      <c r="GZK312" s="287"/>
      <c r="GZL312" s="287"/>
      <c r="GZM312" s="287"/>
      <c r="GZN312" s="287"/>
      <c r="GZO312" s="287"/>
      <c r="GZP312" s="287"/>
      <c r="GZQ312" s="287"/>
      <c r="GZR312" s="287"/>
      <c r="GZS312" s="287"/>
      <c r="GZT312" s="287"/>
      <c r="GZU312" s="287"/>
      <c r="GZV312" s="287"/>
      <c r="GZW312" s="287"/>
      <c r="GZX312" s="287"/>
      <c r="GZY312" s="287"/>
      <c r="GZZ312" s="287"/>
      <c r="HAA312" s="287"/>
      <c r="HAB312" s="287"/>
      <c r="HAC312" s="287"/>
      <c r="HAD312" s="287"/>
      <c r="HAE312" s="287"/>
      <c r="HAF312" s="287"/>
      <c r="HAG312" s="287"/>
      <c r="HAH312" s="287"/>
      <c r="HAI312" s="287"/>
      <c r="HAJ312" s="287"/>
      <c r="HAK312" s="287"/>
      <c r="HAL312" s="287"/>
      <c r="HAM312" s="287"/>
      <c r="HAN312" s="287"/>
      <c r="HAO312" s="287"/>
      <c r="HAP312" s="287"/>
      <c r="HAQ312" s="287"/>
      <c r="HAR312" s="287"/>
      <c r="HAS312" s="287"/>
      <c r="HAT312" s="287"/>
      <c r="HAU312" s="287"/>
      <c r="HAV312" s="287"/>
      <c r="HAW312" s="287"/>
      <c r="HAX312" s="287"/>
      <c r="HAY312" s="287"/>
      <c r="HAZ312" s="287"/>
      <c r="HBA312" s="287"/>
      <c r="HBB312" s="287"/>
      <c r="HBC312" s="287"/>
      <c r="HBD312" s="287"/>
      <c r="HBE312" s="287"/>
      <c r="HBF312" s="287"/>
      <c r="HBG312" s="287"/>
      <c r="HBH312" s="287"/>
      <c r="HBI312" s="287"/>
      <c r="HBJ312" s="287"/>
      <c r="HBK312" s="287"/>
      <c r="HBL312" s="287"/>
      <c r="HBM312" s="287"/>
      <c r="HBN312" s="287"/>
      <c r="HBO312" s="287"/>
      <c r="HBP312" s="287"/>
      <c r="HBQ312" s="287"/>
      <c r="HBR312" s="287"/>
      <c r="HBS312" s="287"/>
      <c r="HBT312" s="287"/>
      <c r="HBU312" s="287"/>
      <c r="HBV312" s="287"/>
      <c r="HBW312" s="287"/>
      <c r="HBX312" s="287"/>
      <c r="HBY312" s="287"/>
      <c r="HBZ312" s="287"/>
      <c r="HCA312" s="287"/>
      <c r="HCB312" s="287"/>
      <c r="HCC312" s="287"/>
      <c r="HCD312" s="287"/>
      <c r="HCE312" s="287"/>
      <c r="HCF312" s="287"/>
      <c r="HCG312" s="287"/>
      <c r="HCH312" s="287"/>
      <c r="HCI312" s="287"/>
      <c r="HCJ312" s="287"/>
      <c r="HCK312" s="287"/>
      <c r="HCL312" s="287"/>
      <c r="HCM312" s="287"/>
      <c r="HCN312" s="287"/>
      <c r="HCO312" s="287"/>
      <c r="HCP312" s="287"/>
      <c r="HCQ312" s="287"/>
      <c r="HCR312" s="287"/>
      <c r="HCS312" s="287"/>
      <c r="HCT312" s="287"/>
      <c r="HCU312" s="287"/>
      <c r="HCV312" s="287"/>
      <c r="HCW312" s="287"/>
      <c r="HCX312" s="287"/>
      <c r="HCY312" s="287"/>
      <c r="HCZ312" s="287"/>
      <c r="HDA312" s="287"/>
      <c r="HDB312" s="287"/>
      <c r="HDC312" s="287"/>
      <c r="HDD312" s="287"/>
      <c r="HDE312" s="287"/>
      <c r="HDF312" s="287"/>
      <c r="HDG312" s="287"/>
      <c r="HDH312" s="287"/>
      <c r="HDI312" s="287"/>
      <c r="HDJ312" s="287"/>
      <c r="HDK312" s="287"/>
      <c r="HDL312" s="287"/>
      <c r="HDM312" s="287"/>
      <c r="HDN312" s="287"/>
      <c r="HDO312" s="287"/>
      <c r="HDP312" s="287"/>
      <c r="HDQ312" s="287"/>
      <c r="HDR312" s="287"/>
      <c r="HDS312" s="287"/>
      <c r="HDT312" s="287"/>
      <c r="HDU312" s="287"/>
      <c r="HDV312" s="287"/>
      <c r="HDW312" s="287"/>
      <c r="HDX312" s="287"/>
      <c r="HDY312" s="287"/>
      <c r="HDZ312" s="287"/>
      <c r="HEA312" s="287"/>
      <c r="HEB312" s="287"/>
      <c r="HEC312" s="287"/>
      <c r="HED312" s="287"/>
      <c r="HEE312" s="287"/>
      <c r="HEF312" s="287"/>
      <c r="HEG312" s="287"/>
      <c r="HEH312" s="287"/>
      <c r="HEI312" s="287"/>
      <c r="HEJ312" s="287"/>
      <c r="HEK312" s="287"/>
      <c r="HEL312" s="287"/>
      <c r="HEM312" s="287"/>
      <c r="HEN312" s="287"/>
      <c r="HEO312" s="287"/>
      <c r="HEP312" s="287"/>
      <c r="HEQ312" s="287"/>
      <c r="HER312" s="287"/>
      <c r="HES312" s="287"/>
      <c r="HET312" s="287"/>
      <c r="HEU312" s="287"/>
      <c r="HEV312" s="287"/>
      <c r="HEW312" s="287"/>
      <c r="HEX312" s="287"/>
      <c r="HEY312" s="287"/>
      <c r="HEZ312" s="287"/>
      <c r="HFA312" s="287"/>
      <c r="HFB312" s="287"/>
      <c r="HFC312" s="287"/>
      <c r="HFD312" s="287"/>
      <c r="HFE312" s="287"/>
      <c r="HFF312" s="287"/>
      <c r="HFG312" s="287"/>
      <c r="HFH312" s="287"/>
      <c r="HFI312" s="287"/>
      <c r="HFJ312" s="287"/>
      <c r="HFK312" s="287"/>
      <c r="HFL312" s="287"/>
      <c r="HFM312" s="287"/>
      <c r="HFN312" s="287"/>
      <c r="HFO312" s="287"/>
      <c r="HFP312" s="287"/>
      <c r="HFQ312" s="287"/>
      <c r="HFR312" s="287"/>
      <c r="HFS312" s="287"/>
      <c r="HFT312" s="287"/>
      <c r="HFU312" s="287"/>
      <c r="HFV312" s="287"/>
      <c r="HFW312" s="287"/>
      <c r="HFX312" s="287"/>
      <c r="HFY312" s="287"/>
      <c r="HFZ312" s="287"/>
      <c r="HGA312" s="287"/>
      <c r="HGB312" s="287"/>
      <c r="HGC312" s="287"/>
      <c r="HGD312" s="287"/>
      <c r="HGE312" s="287"/>
      <c r="HGF312" s="287"/>
      <c r="HGG312" s="287"/>
      <c r="HGH312" s="287"/>
      <c r="HGI312" s="287"/>
      <c r="HGJ312" s="287"/>
      <c r="HGK312" s="287"/>
      <c r="HGL312" s="287"/>
      <c r="HGM312" s="287"/>
      <c r="HGN312" s="287"/>
      <c r="HGO312" s="287"/>
      <c r="HGP312" s="287"/>
      <c r="HGQ312" s="287"/>
      <c r="HGR312" s="287"/>
      <c r="HGS312" s="287"/>
      <c r="HGT312" s="287"/>
      <c r="HGU312" s="287"/>
      <c r="HGV312" s="287"/>
      <c r="HGW312" s="287"/>
      <c r="HGX312" s="287"/>
      <c r="HGY312" s="287"/>
      <c r="HGZ312" s="287"/>
      <c r="HHA312" s="287"/>
      <c r="HHB312" s="287"/>
      <c r="HHC312" s="287"/>
      <c r="HHD312" s="287"/>
      <c r="HHE312" s="287"/>
      <c r="HHF312" s="287"/>
      <c r="HHG312" s="287"/>
      <c r="HHH312" s="287"/>
      <c r="HHI312" s="287"/>
      <c r="HHJ312" s="287"/>
      <c r="HHK312" s="287"/>
      <c r="HHL312" s="287"/>
      <c r="HHM312" s="287"/>
      <c r="HHN312" s="287"/>
      <c r="HHO312" s="287"/>
      <c r="HHP312" s="287"/>
      <c r="HHQ312" s="287"/>
      <c r="HHR312" s="287"/>
      <c r="HHS312" s="287"/>
      <c r="HHT312" s="287"/>
      <c r="HHU312" s="287"/>
      <c r="HHV312" s="287"/>
      <c r="HHW312" s="287"/>
      <c r="HHX312" s="287"/>
      <c r="HHY312" s="287"/>
      <c r="HHZ312" s="287"/>
      <c r="HIA312" s="287"/>
      <c r="HIB312" s="287"/>
      <c r="HIC312" s="287"/>
      <c r="HID312" s="287"/>
      <c r="HIE312" s="287"/>
      <c r="HIF312" s="287"/>
      <c r="HIG312" s="287"/>
      <c r="HIH312" s="287"/>
      <c r="HII312" s="287"/>
      <c r="HIJ312" s="287"/>
      <c r="HIK312" s="287"/>
      <c r="HIL312" s="287"/>
      <c r="HIM312" s="287"/>
      <c r="HIN312" s="287"/>
      <c r="HIO312" s="287"/>
      <c r="HIP312" s="287"/>
      <c r="HIQ312" s="287"/>
      <c r="HIR312" s="287"/>
      <c r="HIS312" s="287"/>
      <c r="HIT312" s="287"/>
      <c r="HIU312" s="287"/>
      <c r="HIV312" s="287"/>
      <c r="HIW312" s="287"/>
      <c r="HIX312" s="287"/>
      <c r="HIY312" s="287"/>
      <c r="HIZ312" s="287"/>
      <c r="HJA312" s="287"/>
      <c r="HJB312" s="287"/>
      <c r="HJC312" s="287"/>
      <c r="HJD312" s="287"/>
      <c r="HJE312" s="287"/>
      <c r="HJF312" s="287"/>
      <c r="HJG312" s="287"/>
      <c r="HJH312" s="287"/>
      <c r="HJI312" s="287"/>
      <c r="HJJ312" s="287"/>
      <c r="HJK312" s="287"/>
      <c r="HJL312" s="287"/>
      <c r="HJM312" s="287"/>
      <c r="HJN312" s="287"/>
      <c r="HJO312" s="287"/>
      <c r="HJP312" s="287"/>
      <c r="HJQ312" s="287"/>
      <c r="HJR312" s="287"/>
      <c r="HJS312" s="287"/>
      <c r="HJT312" s="287"/>
      <c r="HJU312" s="287"/>
      <c r="HJV312" s="287"/>
      <c r="HJW312" s="287"/>
      <c r="HJX312" s="287"/>
      <c r="HJY312" s="287"/>
      <c r="HJZ312" s="287"/>
      <c r="HKA312" s="287"/>
      <c r="HKB312" s="287"/>
      <c r="HKC312" s="287"/>
      <c r="HKD312" s="287"/>
      <c r="HKE312" s="287"/>
      <c r="HKF312" s="287"/>
      <c r="HKG312" s="287"/>
      <c r="HKH312" s="287"/>
      <c r="HKI312" s="287"/>
      <c r="HKJ312" s="287"/>
      <c r="HKK312" s="287"/>
      <c r="HKL312" s="287"/>
      <c r="HKM312" s="287"/>
      <c r="HKN312" s="287"/>
      <c r="HKO312" s="287"/>
      <c r="HKP312" s="287"/>
      <c r="HKQ312" s="287"/>
      <c r="HKR312" s="287"/>
      <c r="HKS312" s="287"/>
      <c r="HKT312" s="287"/>
      <c r="HKU312" s="287"/>
      <c r="HKV312" s="287"/>
      <c r="HKW312" s="287"/>
      <c r="HKX312" s="287"/>
      <c r="HKY312" s="287"/>
      <c r="HKZ312" s="287"/>
      <c r="HLA312" s="287"/>
      <c r="HLB312" s="287"/>
      <c r="HLC312" s="287"/>
      <c r="HLD312" s="287"/>
      <c r="HLE312" s="287"/>
      <c r="HLF312" s="287"/>
      <c r="HLG312" s="287"/>
      <c r="HLH312" s="287"/>
      <c r="HLI312" s="287"/>
      <c r="HLJ312" s="287"/>
      <c r="HLK312" s="287"/>
      <c r="HLL312" s="287"/>
      <c r="HLM312" s="287"/>
      <c r="HLN312" s="287"/>
      <c r="HLO312" s="287"/>
      <c r="HLP312" s="287"/>
      <c r="HLQ312" s="287"/>
      <c r="HLR312" s="287"/>
      <c r="HLS312" s="287"/>
      <c r="HLT312" s="287"/>
      <c r="HLU312" s="287"/>
      <c r="HLV312" s="287"/>
      <c r="HLW312" s="287"/>
      <c r="HLX312" s="287"/>
      <c r="HLY312" s="287"/>
      <c r="HLZ312" s="287"/>
      <c r="HMA312" s="287"/>
      <c r="HMB312" s="287"/>
      <c r="HMC312" s="287"/>
      <c r="HMD312" s="287"/>
      <c r="HME312" s="287"/>
      <c r="HMF312" s="287"/>
      <c r="HMG312" s="287"/>
      <c r="HMH312" s="287"/>
      <c r="HMI312" s="287"/>
      <c r="HMJ312" s="287"/>
      <c r="HMK312" s="287"/>
      <c r="HML312" s="287"/>
      <c r="HMM312" s="287"/>
      <c r="HMN312" s="287"/>
      <c r="HMO312" s="287"/>
      <c r="HMP312" s="287"/>
      <c r="HMQ312" s="287"/>
      <c r="HMR312" s="287"/>
      <c r="HMS312" s="287"/>
      <c r="HMT312" s="287"/>
      <c r="HMU312" s="287"/>
      <c r="HMV312" s="287"/>
      <c r="HMW312" s="287"/>
      <c r="HMX312" s="287"/>
      <c r="HMY312" s="287"/>
      <c r="HMZ312" s="287"/>
      <c r="HNA312" s="287"/>
      <c r="HNB312" s="287"/>
      <c r="HNC312" s="287"/>
      <c r="HND312" s="287"/>
      <c r="HNE312" s="287"/>
      <c r="HNF312" s="287"/>
      <c r="HNG312" s="287"/>
      <c r="HNH312" s="287"/>
      <c r="HNI312" s="287"/>
      <c r="HNJ312" s="287"/>
      <c r="HNK312" s="287"/>
      <c r="HNL312" s="287"/>
      <c r="HNM312" s="287"/>
      <c r="HNN312" s="287"/>
      <c r="HNO312" s="287"/>
      <c r="HNP312" s="287"/>
      <c r="HNQ312" s="287"/>
      <c r="HNR312" s="287"/>
      <c r="HNS312" s="287"/>
      <c r="HNT312" s="287"/>
      <c r="HNU312" s="287"/>
      <c r="HNV312" s="287"/>
      <c r="HNW312" s="287"/>
      <c r="HNX312" s="287"/>
      <c r="HNY312" s="287"/>
      <c r="HNZ312" s="287"/>
      <c r="HOA312" s="287"/>
      <c r="HOB312" s="287"/>
      <c r="HOC312" s="287"/>
      <c r="HOD312" s="287"/>
      <c r="HOE312" s="287"/>
      <c r="HOF312" s="287"/>
      <c r="HOG312" s="287"/>
      <c r="HOH312" s="287"/>
      <c r="HOI312" s="287"/>
      <c r="HOJ312" s="287"/>
      <c r="HOK312" s="287"/>
      <c r="HOL312" s="287"/>
      <c r="HOM312" s="287"/>
      <c r="HON312" s="287"/>
      <c r="HOO312" s="287"/>
      <c r="HOP312" s="287"/>
      <c r="HOQ312" s="287"/>
      <c r="HOR312" s="287"/>
      <c r="HOS312" s="287"/>
      <c r="HOT312" s="287"/>
      <c r="HOU312" s="287"/>
      <c r="HOV312" s="287"/>
      <c r="HOW312" s="287"/>
      <c r="HOX312" s="287"/>
      <c r="HOY312" s="287"/>
      <c r="HOZ312" s="287"/>
      <c r="HPA312" s="287"/>
      <c r="HPB312" s="287"/>
      <c r="HPC312" s="287"/>
      <c r="HPD312" s="287"/>
      <c r="HPE312" s="287"/>
      <c r="HPF312" s="287"/>
      <c r="HPG312" s="287"/>
      <c r="HPH312" s="287"/>
      <c r="HPI312" s="287"/>
      <c r="HPJ312" s="287"/>
      <c r="HPK312" s="287"/>
      <c r="HPL312" s="287"/>
      <c r="HPM312" s="287"/>
      <c r="HPN312" s="287"/>
      <c r="HPO312" s="287"/>
      <c r="HPP312" s="287"/>
      <c r="HPQ312" s="287"/>
      <c r="HPR312" s="287"/>
      <c r="HPS312" s="287"/>
      <c r="HPT312" s="287"/>
      <c r="HPU312" s="287"/>
      <c r="HPV312" s="287"/>
      <c r="HPW312" s="287"/>
      <c r="HPX312" s="287"/>
      <c r="HPY312" s="287"/>
      <c r="HPZ312" s="287"/>
      <c r="HQA312" s="287"/>
      <c r="HQB312" s="287"/>
      <c r="HQC312" s="287"/>
      <c r="HQD312" s="287"/>
      <c r="HQE312" s="287"/>
      <c r="HQF312" s="287"/>
      <c r="HQG312" s="287"/>
      <c r="HQH312" s="287"/>
      <c r="HQI312" s="287"/>
      <c r="HQJ312" s="287"/>
      <c r="HQK312" s="287"/>
      <c r="HQL312" s="287"/>
      <c r="HQM312" s="287"/>
      <c r="HQN312" s="287"/>
      <c r="HQO312" s="287"/>
      <c r="HQP312" s="287"/>
      <c r="HQQ312" s="287"/>
      <c r="HQR312" s="287"/>
      <c r="HQS312" s="287"/>
      <c r="HQT312" s="287"/>
      <c r="HQU312" s="287"/>
      <c r="HQV312" s="287"/>
      <c r="HQW312" s="287"/>
      <c r="HQX312" s="287"/>
      <c r="HQY312" s="287"/>
      <c r="HQZ312" s="287"/>
      <c r="HRA312" s="287"/>
      <c r="HRB312" s="287"/>
      <c r="HRC312" s="287"/>
      <c r="HRD312" s="287"/>
      <c r="HRE312" s="287"/>
      <c r="HRF312" s="287"/>
      <c r="HRG312" s="287"/>
      <c r="HRH312" s="287"/>
      <c r="HRI312" s="287"/>
      <c r="HRJ312" s="287"/>
      <c r="HRK312" s="287"/>
      <c r="HRL312" s="287"/>
      <c r="HRM312" s="287"/>
      <c r="HRN312" s="287"/>
      <c r="HRO312" s="287"/>
      <c r="HRP312" s="287"/>
      <c r="HRQ312" s="287"/>
      <c r="HRR312" s="287"/>
      <c r="HRS312" s="287"/>
      <c r="HRT312" s="287"/>
      <c r="HRU312" s="287"/>
      <c r="HRV312" s="287"/>
      <c r="HRW312" s="287"/>
      <c r="HRX312" s="287"/>
      <c r="HRY312" s="287"/>
      <c r="HRZ312" s="287"/>
      <c r="HSA312" s="287"/>
      <c r="HSB312" s="287"/>
      <c r="HSC312" s="287"/>
      <c r="HSD312" s="287"/>
      <c r="HSE312" s="287"/>
      <c r="HSF312" s="287"/>
      <c r="HSG312" s="287"/>
      <c r="HSH312" s="287"/>
      <c r="HSI312" s="287"/>
      <c r="HSJ312" s="287"/>
      <c r="HSK312" s="287"/>
      <c r="HSL312" s="287"/>
      <c r="HSM312" s="287"/>
      <c r="HSN312" s="287"/>
      <c r="HSO312" s="287"/>
      <c r="HSP312" s="287"/>
      <c r="HSQ312" s="287"/>
      <c r="HSR312" s="287"/>
      <c r="HSS312" s="287"/>
      <c r="HST312" s="287"/>
      <c r="HSU312" s="287"/>
      <c r="HSV312" s="287"/>
      <c r="HSW312" s="287"/>
      <c r="HSX312" s="287"/>
      <c r="HSY312" s="287"/>
      <c r="HSZ312" s="287"/>
      <c r="HTA312" s="287"/>
      <c r="HTB312" s="287"/>
      <c r="HTC312" s="287"/>
      <c r="HTD312" s="287"/>
      <c r="HTE312" s="287"/>
      <c r="HTF312" s="287"/>
      <c r="HTG312" s="287"/>
      <c r="HTH312" s="287"/>
      <c r="HTI312" s="287"/>
      <c r="HTJ312" s="287"/>
      <c r="HTK312" s="287"/>
      <c r="HTL312" s="287"/>
      <c r="HTM312" s="287"/>
      <c r="HTN312" s="287"/>
      <c r="HTO312" s="287"/>
      <c r="HTP312" s="287"/>
      <c r="HTQ312" s="287"/>
      <c r="HTR312" s="287"/>
      <c r="HTS312" s="287"/>
      <c r="HTT312" s="287"/>
      <c r="HTU312" s="287"/>
      <c r="HTV312" s="287"/>
      <c r="HTW312" s="287"/>
      <c r="HTX312" s="287"/>
      <c r="HTY312" s="287"/>
      <c r="HTZ312" s="287"/>
      <c r="HUA312" s="287"/>
      <c r="HUB312" s="287"/>
      <c r="HUC312" s="287"/>
      <c r="HUD312" s="287"/>
      <c r="HUE312" s="287"/>
      <c r="HUF312" s="287"/>
      <c r="HUG312" s="287"/>
      <c r="HUH312" s="287"/>
      <c r="HUI312" s="287"/>
      <c r="HUJ312" s="287"/>
      <c r="HUK312" s="287"/>
      <c r="HUL312" s="287"/>
      <c r="HUM312" s="287"/>
      <c r="HUN312" s="287"/>
      <c r="HUO312" s="287"/>
      <c r="HUP312" s="287"/>
      <c r="HUQ312" s="287"/>
      <c r="HUR312" s="287"/>
      <c r="HUS312" s="287"/>
      <c r="HUT312" s="287"/>
      <c r="HUU312" s="287"/>
      <c r="HUV312" s="287"/>
      <c r="HUW312" s="287"/>
      <c r="HUX312" s="287"/>
      <c r="HUY312" s="287"/>
      <c r="HUZ312" s="287"/>
      <c r="HVA312" s="287"/>
      <c r="HVB312" s="287"/>
      <c r="HVC312" s="287"/>
      <c r="HVD312" s="287"/>
      <c r="HVE312" s="287"/>
      <c r="HVF312" s="287"/>
      <c r="HVG312" s="287"/>
      <c r="HVH312" s="287"/>
      <c r="HVI312" s="287"/>
      <c r="HVJ312" s="287"/>
      <c r="HVK312" s="287"/>
      <c r="HVL312" s="287"/>
      <c r="HVM312" s="287"/>
      <c r="HVN312" s="287"/>
      <c r="HVO312" s="287"/>
      <c r="HVP312" s="287"/>
      <c r="HVQ312" s="287"/>
      <c r="HVR312" s="287"/>
      <c r="HVS312" s="287"/>
      <c r="HVT312" s="287"/>
      <c r="HVU312" s="287"/>
      <c r="HVV312" s="287"/>
      <c r="HVW312" s="287"/>
      <c r="HVX312" s="287"/>
      <c r="HVY312" s="287"/>
      <c r="HVZ312" s="287"/>
      <c r="HWA312" s="287"/>
      <c r="HWB312" s="287"/>
      <c r="HWC312" s="287"/>
      <c r="HWD312" s="287"/>
      <c r="HWE312" s="287"/>
      <c r="HWF312" s="287"/>
      <c r="HWG312" s="287"/>
      <c r="HWH312" s="287"/>
      <c r="HWI312" s="287"/>
      <c r="HWJ312" s="287"/>
      <c r="HWK312" s="287"/>
      <c r="HWL312" s="287"/>
      <c r="HWM312" s="287"/>
      <c r="HWN312" s="287"/>
      <c r="HWO312" s="287"/>
      <c r="HWP312" s="287"/>
      <c r="HWQ312" s="287"/>
      <c r="HWR312" s="287"/>
      <c r="HWS312" s="287"/>
      <c r="HWT312" s="287"/>
      <c r="HWU312" s="287"/>
      <c r="HWV312" s="287"/>
      <c r="HWW312" s="287"/>
      <c r="HWX312" s="287"/>
      <c r="HWY312" s="287"/>
      <c r="HWZ312" s="287"/>
      <c r="HXA312" s="287"/>
      <c r="HXB312" s="287"/>
      <c r="HXC312" s="287"/>
      <c r="HXD312" s="287"/>
      <c r="HXE312" s="287"/>
      <c r="HXF312" s="287"/>
      <c r="HXG312" s="287"/>
      <c r="HXH312" s="287"/>
      <c r="HXI312" s="287"/>
      <c r="HXJ312" s="287"/>
      <c r="HXK312" s="287"/>
      <c r="HXL312" s="287"/>
      <c r="HXM312" s="287"/>
      <c r="HXN312" s="287"/>
      <c r="HXO312" s="287"/>
      <c r="HXP312" s="287"/>
      <c r="HXQ312" s="287"/>
      <c r="HXR312" s="287"/>
      <c r="HXS312" s="287"/>
      <c r="HXT312" s="287"/>
      <c r="HXU312" s="287"/>
      <c r="HXV312" s="287"/>
      <c r="HXW312" s="287"/>
      <c r="HXX312" s="287"/>
      <c r="HXY312" s="287"/>
      <c r="HXZ312" s="287"/>
      <c r="HYA312" s="287"/>
      <c r="HYB312" s="287"/>
      <c r="HYC312" s="287"/>
      <c r="HYD312" s="287"/>
      <c r="HYE312" s="287"/>
      <c r="HYF312" s="287"/>
      <c r="HYG312" s="287"/>
      <c r="HYH312" s="287"/>
      <c r="HYI312" s="287"/>
      <c r="HYJ312" s="287"/>
      <c r="HYK312" s="287"/>
      <c r="HYL312" s="287"/>
      <c r="HYM312" s="287"/>
      <c r="HYN312" s="287"/>
      <c r="HYO312" s="287"/>
      <c r="HYP312" s="287"/>
      <c r="HYQ312" s="287"/>
      <c r="HYR312" s="287"/>
      <c r="HYS312" s="287"/>
      <c r="HYT312" s="287"/>
      <c r="HYU312" s="287"/>
      <c r="HYV312" s="287"/>
      <c r="HYW312" s="287"/>
      <c r="HYX312" s="287"/>
      <c r="HYY312" s="287"/>
      <c r="HYZ312" s="287"/>
      <c r="HZA312" s="287"/>
      <c r="HZB312" s="287"/>
      <c r="HZC312" s="287"/>
      <c r="HZD312" s="287"/>
      <c r="HZE312" s="287"/>
      <c r="HZF312" s="287"/>
      <c r="HZG312" s="287"/>
      <c r="HZH312" s="287"/>
      <c r="HZI312" s="287"/>
      <c r="HZJ312" s="287"/>
      <c r="HZK312" s="287"/>
      <c r="HZL312" s="287"/>
      <c r="HZM312" s="287"/>
      <c r="HZN312" s="287"/>
      <c r="HZO312" s="287"/>
      <c r="HZP312" s="287"/>
      <c r="HZQ312" s="287"/>
      <c r="HZR312" s="287"/>
      <c r="HZS312" s="287"/>
      <c r="HZT312" s="287"/>
      <c r="HZU312" s="287"/>
      <c r="HZV312" s="287"/>
      <c r="HZW312" s="287"/>
      <c r="HZX312" s="287"/>
      <c r="HZY312" s="287"/>
      <c r="HZZ312" s="287"/>
      <c r="IAA312" s="287"/>
      <c r="IAB312" s="287"/>
      <c r="IAC312" s="287"/>
      <c r="IAD312" s="287"/>
      <c r="IAE312" s="287"/>
      <c r="IAF312" s="287"/>
      <c r="IAG312" s="287"/>
      <c r="IAH312" s="287"/>
      <c r="IAI312" s="287"/>
      <c r="IAJ312" s="287"/>
      <c r="IAK312" s="287"/>
      <c r="IAL312" s="287"/>
      <c r="IAM312" s="287"/>
      <c r="IAN312" s="287"/>
      <c r="IAO312" s="287"/>
      <c r="IAP312" s="287"/>
      <c r="IAQ312" s="287"/>
      <c r="IAR312" s="287"/>
      <c r="IAS312" s="287"/>
      <c r="IAT312" s="287"/>
      <c r="IAU312" s="287"/>
      <c r="IAV312" s="287"/>
      <c r="IAW312" s="287"/>
      <c r="IAX312" s="287"/>
      <c r="IAY312" s="287"/>
      <c r="IAZ312" s="287"/>
      <c r="IBA312" s="287"/>
      <c r="IBB312" s="287"/>
      <c r="IBC312" s="287"/>
      <c r="IBD312" s="287"/>
      <c r="IBE312" s="287"/>
      <c r="IBF312" s="287"/>
      <c r="IBG312" s="287"/>
      <c r="IBH312" s="287"/>
      <c r="IBI312" s="287"/>
      <c r="IBJ312" s="287"/>
      <c r="IBK312" s="287"/>
      <c r="IBL312" s="287"/>
      <c r="IBM312" s="287"/>
      <c r="IBN312" s="287"/>
      <c r="IBO312" s="287"/>
      <c r="IBP312" s="287"/>
      <c r="IBQ312" s="287"/>
      <c r="IBR312" s="287"/>
      <c r="IBS312" s="287"/>
      <c r="IBT312" s="287"/>
      <c r="IBU312" s="287"/>
      <c r="IBV312" s="287"/>
      <c r="IBW312" s="287"/>
      <c r="IBX312" s="287"/>
      <c r="IBY312" s="287"/>
      <c r="IBZ312" s="287"/>
      <c r="ICA312" s="287"/>
      <c r="ICB312" s="287"/>
      <c r="ICC312" s="287"/>
      <c r="ICD312" s="287"/>
      <c r="ICE312" s="287"/>
      <c r="ICF312" s="287"/>
      <c r="ICG312" s="287"/>
      <c r="ICH312" s="287"/>
      <c r="ICI312" s="287"/>
      <c r="ICJ312" s="287"/>
      <c r="ICK312" s="287"/>
      <c r="ICL312" s="287"/>
      <c r="ICM312" s="287"/>
      <c r="ICN312" s="287"/>
      <c r="ICO312" s="287"/>
      <c r="ICP312" s="287"/>
      <c r="ICQ312" s="287"/>
      <c r="ICR312" s="287"/>
      <c r="ICS312" s="287"/>
      <c r="ICT312" s="287"/>
      <c r="ICU312" s="287"/>
      <c r="ICV312" s="287"/>
      <c r="ICW312" s="287"/>
      <c r="ICX312" s="287"/>
      <c r="ICY312" s="287"/>
      <c r="ICZ312" s="287"/>
      <c r="IDA312" s="287"/>
      <c r="IDB312" s="287"/>
      <c r="IDC312" s="287"/>
      <c r="IDD312" s="287"/>
      <c r="IDE312" s="287"/>
      <c r="IDF312" s="287"/>
      <c r="IDG312" s="287"/>
      <c r="IDH312" s="287"/>
      <c r="IDI312" s="287"/>
      <c r="IDJ312" s="287"/>
      <c r="IDK312" s="287"/>
      <c r="IDL312" s="287"/>
      <c r="IDM312" s="287"/>
      <c r="IDN312" s="287"/>
      <c r="IDO312" s="287"/>
      <c r="IDP312" s="287"/>
      <c r="IDQ312" s="287"/>
      <c r="IDR312" s="287"/>
      <c r="IDS312" s="287"/>
      <c r="IDT312" s="287"/>
      <c r="IDU312" s="287"/>
      <c r="IDV312" s="287"/>
      <c r="IDW312" s="287"/>
      <c r="IDX312" s="287"/>
      <c r="IDY312" s="287"/>
      <c r="IDZ312" s="287"/>
      <c r="IEA312" s="287"/>
      <c r="IEB312" s="287"/>
      <c r="IEC312" s="287"/>
      <c r="IED312" s="287"/>
      <c r="IEE312" s="287"/>
      <c r="IEF312" s="287"/>
      <c r="IEG312" s="287"/>
      <c r="IEH312" s="287"/>
      <c r="IEI312" s="287"/>
      <c r="IEJ312" s="287"/>
      <c r="IEK312" s="287"/>
      <c r="IEL312" s="287"/>
      <c r="IEM312" s="287"/>
      <c r="IEN312" s="287"/>
      <c r="IEO312" s="287"/>
      <c r="IEP312" s="287"/>
      <c r="IEQ312" s="287"/>
      <c r="IER312" s="287"/>
      <c r="IES312" s="287"/>
      <c r="IET312" s="287"/>
      <c r="IEU312" s="287"/>
      <c r="IEV312" s="287"/>
      <c r="IEW312" s="287"/>
      <c r="IEX312" s="287"/>
      <c r="IEY312" s="287"/>
      <c r="IEZ312" s="287"/>
      <c r="IFA312" s="287"/>
      <c r="IFB312" s="287"/>
      <c r="IFC312" s="287"/>
      <c r="IFD312" s="287"/>
      <c r="IFE312" s="287"/>
      <c r="IFF312" s="287"/>
      <c r="IFG312" s="287"/>
      <c r="IFH312" s="287"/>
      <c r="IFI312" s="287"/>
      <c r="IFJ312" s="287"/>
      <c r="IFK312" s="287"/>
      <c r="IFL312" s="287"/>
      <c r="IFM312" s="287"/>
      <c r="IFN312" s="287"/>
      <c r="IFO312" s="287"/>
      <c r="IFP312" s="287"/>
      <c r="IFQ312" s="287"/>
      <c r="IFR312" s="287"/>
      <c r="IFS312" s="287"/>
      <c r="IFT312" s="287"/>
      <c r="IFU312" s="287"/>
      <c r="IFV312" s="287"/>
      <c r="IFW312" s="287"/>
      <c r="IFX312" s="287"/>
      <c r="IFY312" s="287"/>
      <c r="IFZ312" s="287"/>
      <c r="IGA312" s="287"/>
      <c r="IGB312" s="287"/>
      <c r="IGC312" s="287"/>
      <c r="IGD312" s="287"/>
      <c r="IGE312" s="287"/>
      <c r="IGF312" s="287"/>
      <c r="IGG312" s="287"/>
      <c r="IGH312" s="287"/>
      <c r="IGI312" s="287"/>
      <c r="IGJ312" s="287"/>
      <c r="IGK312" s="287"/>
      <c r="IGL312" s="287"/>
      <c r="IGM312" s="287"/>
      <c r="IGN312" s="287"/>
      <c r="IGO312" s="287"/>
      <c r="IGP312" s="287"/>
      <c r="IGQ312" s="287"/>
      <c r="IGR312" s="287"/>
      <c r="IGS312" s="287"/>
      <c r="IGT312" s="287"/>
      <c r="IGU312" s="287"/>
      <c r="IGV312" s="287"/>
      <c r="IGW312" s="287"/>
      <c r="IGX312" s="287"/>
      <c r="IGY312" s="287"/>
      <c r="IGZ312" s="287"/>
      <c r="IHA312" s="287"/>
      <c r="IHB312" s="287"/>
      <c r="IHC312" s="287"/>
      <c r="IHD312" s="287"/>
      <c r="IHE312" s="287"/>
      <c r="IHF312" s="287"/>
      <c r="IHG312" s="287"/>
      <c r="IHH312" s="287"/>
      <c r="IHI312" s="287"/>
      <c r="IHJ312" s="287"/>
      <c r="IHK312" s="287"/>
      <c r="IHL312" s="287"/>
      <c r="IHM312" s="287"/>
      <c r="IHN312" s="287"/>
      <c r="IHO312" s="287"/>
      <c r="IHP312" s="287"/>
      <c r="IHQ312" s="287"/>
      <c r="IHR312" s="287"/>
      <c r="IHS312" s="287"/>
      <c r="IHT312" s="287"/>
      <c r="IHU312" s="287"/>
      <c r="IHV312" s="287"/>
      <c r="IHW312" s="287"/>
      <c r="IHX312" s="287"/>
      <c r="IHY312" s="287"/>
      <c r="IHZ312" s="287"/>
      <c r="IIA312" s="287"/>
      <c r="IIB312" s="287"/>
      <c r="IIC312" s="287"/>
      <c r="IID312" s="287"/>
      <c r="IIE312" s="287"/>
      <c r="IIF312" s="287"/>
      <c r="IIG312" s="287"/>
      <c r="IIH312" s="287"/>
      <c r="III312" s="287"/>
      <c r="IIJ312" s="287"/>
      <c r="IIK312" s="287"/>
      <c r="IIL312" s="287"/>
      <c r="IIM312" s="287"/>
      <c r="IIN312" s="287"/>
      <c r="IIO312" s="287"/>
      <c r="IIP312" s="287"/>
      <c r="IIQ312" s="287"/>
      <c r="IIR312" s="287"/>
      <c r="IIS312" s="287"/>
      <c r="IIT312" s="287"/>
      <c r="IIU312" s="287"/>
      <c r="IIV312" s="287"/>
      <c r="IIW312" s="287"/>
      <c r="IIX312" s="287"/>
      <c r="IIY312" s="287"/>
      <c r="IIZ312" s="287"/>
      <c r="IJA312" s="287"/>
      <c r="IJB312" s="287"/>
      <c r="IJC312" s="287"/>
      <c r="IJD312" s="287"/>
      <c r="IJE312" s="287"/>
      <c r="IJF312" s="287"/>
      <c r="IJG312" s="287"/>
      <c r="IJH312" s="287"/>
      <c r="IJI312" s="287"/>
      <c r="IJJ312" s="287"/>
      <c r="IJK312" s="287"/>
      <c r="IJL312" s="287"/>
      <c r="IJM312" s="287"/>
      <c r="IJN312" s="287"/>
      <c r="IJO312" s="287"/>
      <c r="IJP312" s="287"/>
      <c r="IJQ312" s="287"/>
      <c r="IJR312" s="287"/>
      <c r="IJS312" s="287"/>
      <c r="IJT312" s="287"/>
      <c r="IJU312" s="287"/>
      <c r="IJV312" s="287"/>
      <c r="IJW312" s="287"/>
      <c r="IJX312" s="287"/>
      <c r="IJY312" s="287"/>
      <c r="IJZ312" s="287"/>
      <c r="IKA312" s="287"/>
      <c r="IKB312" s="287"/>
      <c r="IKC312" s="287"/>
      <c r="IKD312" s="287"/>
      <c r="IKE312" s="287"/>
      <c r="IKF312" s="287"/>
      <c r="IKG312" s="287"/>
      <c r="IKH312" s="287"/>
      <c r="IKI312" s="287"/>
      <c r="IKJ312" s="287"/>
      <c r="IKK312" s="287"/>
      <c r="IKL312" s="287"/>
      <c r="IKM312" s="287"/>
      <c r="IKN312" s="287"/>
      <c r="IKO312" s="287"/>
      <c r="IKP312" s="287"/>
      <c r="IKQ312" s="287"/>
      <c r="IKR312" s="287"/>
      <c r="IKS312" s="287"/>
      <c r="IKT312" s="287"/>
      <c r="IKU312" s="287"/>
      <c r="IKV312" s="287"/>
      <c r="IKW312" s="287"/>
      <c r="IKX312" s="287"/>
      <c r="IKY312" s="287"/>
      <c r="IKZ312" s="287"/>
      <c r="ILA312" s="287"/>
      <c r="ILB312" s="287"/>
      <c r="ILC312" s="287"/>
      <c r="ILD312" s="287"/>
      <c r="ILE312" s="287"/>
      <c r="ILF312" s="287"/>
      <c r="ILG312" s="287"/>
      <c r="ILH312" s="287"/>
      <c r="ILI312" s="287"/>
      <c r="ILJ312" s="287"/>
      <c r="ILK312" s="287"/>
      <c r="ILL312" s="287"/>
      <c r="ILM312" s="287"/>
      <c r="ILN312" s="287"/>
      <c r="ILO312" s="287"/>
      <c r="ILP312" s="287"/>
      <c r="ILQ312" s="287"/>
      <c r="ILR312" s="287"/>
      <c r="ILS312" s="287"/>
      <c r="ILT312" s="287"/>
      <c r="ILU312" s="287"/>
      <c r="ILV312" s="287"/>
      <c r="ILW312" s="287"/>
      <c r="ILX312" s="287"/>
      <c r="ILY312" s="287"/>
      <c r="ILZ312" s="287"/>
      <c r="IMA312" s="287"/>
      <c r="IMB312" s="287"/>
      <c r="IMC312" s="287"/>
      <c r="IMD312" s="287"/>
      <c r="IME312" s="287"/>
      <c r="IMF312" s="287"/>
      <c r="IMG312" s="287"/>
      <c r="IMH312" s="287"/>
      <c r="IMI312" s="287"/>
      <c r="IMJ312" s="287"/>
      <c r="IMK312" s="287"/>
      <c r="IML312" s="287"/>
      <c r="IMM312" s="287"/>
      <c r="IMN312" s="287"/>
      <c r="IMO312" s="287"/>
      <c r="IMP312" s="287"/>
      <c r="IMQ312" s="287"/>
      <c r="IMR312" s="287"/>
      <c r="IMS312" s="287"/>
      <c r="IMT312" s="287"/>
      <c r="IMU312" s="287"/>
      <c r="IMV312" s="287"/>
      <c r="IMW312" s="287"/>
      <c r="IMX312" s="287"/>
      <c r="IMY312" s="287"/>
      <c r="IMZ312" s="287"/>
      <c r="INA312" s="287"/>
      <c r="INB312" s="287"/>
      <c r="INC312" s="287"/>
      <c r="IND312" s="287"/>
      <c r="INE312" s="287"/>
      <c r="INF312" s="287"/>
      <c r="ING312" s="287"/>
      <c r="INH312" s="287"/>
      <c r="INI312" s="287"/>
      <c r="INJ312" s="287"/>
      <c r="INK312" s="287"/>
      <c r="INL312" s="287"/>
      <c r="INM312" s="287"/>
      <c r="INN312" s="287"/>
      <c r="INO312" s="287"/>
      <c r="INP312" s="287"/>
      <c r="INQ312" s="287"/>
      <c r="INR312" s="287"/>
      <c r="INS312" s="287"/>
      <c r="INT312" s="287"/>
      <c r="INU312" s="287"/>
      <c r="INV312" s="287"/>
      <c r="INW312" s="287"/>
      <c r="INX312" s="287"/>
      <c r="INY312" s="287"/>
      <c r="INZ312" s="287"/>
      <c r="IOA312" s="287"/>
      <c r="IOB312" s="287"/>
      <c r="IOC312" s="287"/>
      <c r="IOD312" s="287"/>
      <c r="IOE312" s="287"/>
      <c r="IOF312" s="287"/>
      <c r="IOG312" s="287"/>
      <c r="IOH312" s="287"/>
      <c r="IOI312" s="287"/>
      <c r="IOJ312" s="287"/>
      <c r="IOK312" s="287"/>
      <c r="IOL312" s="287"/>
      <c r="IOM312" s="287"/>
      <c r="ION312" s="287"/>
      <c r="IOO312" s="287"/>
      <c r="IOP312" s="287"/>
      <c r="IOQ312" s="287"/>
      <c r="IOR312" s="287"/>
      <c r="IOS312" s="287"/>
      <c r="IOT312" s="287"/>
      <c r="IOU312" s="287"/>
      <c r="IOV312" s="287"/>
      <c r="IOW312" s="287"/>
      <c r="IOX312" s="287"/>
      <c r="IOY312" s="287"/>
      <c r="IOZ312" s="287"/>
      <c r="IPA312" s="287"/>
      <c r="IPB312" s="287"/>
      <c r="IPC312" s="287"/>
      <c r="IPD312" s="287"/>
      <c r="IPE312" s="287"/>
      <c r="IPF312" s="287"/>
      <c r="IPG312" s="287"/>
      <c r="IPH312" s="287"/>
      <c r="IPI312" s="287"/>
      <c r="IPJ312" s="287"/>
      <c r="IPK312" s="287"/>
      <c r="IPL312" s="287"/>
      <c r="IPM312" s="287"/>
      <c r="IPN312" s="287"/>
      <c r="IPO312" s="287"/>
      <c r="IPP312" s="287"/>
      <c r="IPQ312" s="287"/>
      <c r="IPR312" s="287"/>
      <c r="IPS312" s="287"/>
      <c r="IPT312" s="287"/>
      <c r="IPU312" s="287"/>
      <c r="IPV312" s="287"/>
      <c r="IPW312" s="287"/>
      <c r="IPX312" s="287"/>
      <c r="IPY312" s="287"/>
      <c r="IPZ312" s="287"/>
      <c r="IQA312" s="287"/>
      <c r="IQB312" s="287"/>
      <c r="IQC312" s="287"/>
      <c r="IQD312" s="287"/>
      <c r="IQE312" s="287"/>
      <c r="IQF312" s="287"/>
      <c r="IQG312" s="287"/>
      <c r="IQH312" s="287"/>
      <c r="IQI312" s="287"/>
      <c r="IQJ312" s="287"/>
      <c r="IQK312" s="287"/>
      <c r="IQL312" s="287"/>
      <c r="IQM312" s="287"/>
      <c r="IQN312" s="287"/>
      <c r="IQO312" s="287"/>
      <c r="IQP312" s="287"/>
      <c r="IQQ312" s="287"/>
      <c r="IQR312" s="287"/>
      <c r="IQS312" s="287"/>
      <c r="IQT312" s="287"/>
      <c r="IQU312" s="287"/>
      <c r="IQV312" s="287"/>
      <c r="IQW312" s="287"/>
      <c r="IQX312" s="287"/>
      <c r="IQY312" s="287"/>
      <c r="IQZ312" s="287"/>
      <c r="IRA312" s="287"/>
      <c r="IRB312" s="287"/>
      <c r="IRC312" s="287"/>
      <c r="IRD312" s="287"/>
      <c r="IRE312" s="287"/>
      <c r="IRF312" s="287"/>
      <c r="IRG312" s="287"/>
      <c r="IRH312" s="287"/>
      <c r="IRI312" s="287"/>
      <c r="IRJ312" s="287"/>
      <c r="IRK312" s="287"/>
      <c r="IRL312" s="287"/>
      <c r="IRM312" s="287"/>
      <c r="IRN312" s="287"/>
      <c r="IRO312" s="287"/>
      <c r="IRP312" s="287"/>
      <c r="IRQ312" s="287"/>
      <c r="IRR312" s="287"/>
      <c r="IRS312" s="287"/>
      <c r="IRT312" s="287"/>
      <c r="IRU312" s="287"/>
      <c r="IRV312" s="287"/>
      <c r="IRW312" s="287"/>
      <c r="IRX312" s="287"/>
      <c r="IRY312" s="287"/>
      <c r="IRZ312" s="287"/>
      <c r="ISA312" s="287"/>
      <c r="ISB312" s="287"/>
      <c r="ISC312" s="287"/>
      <c r="ISD312" s="287"/>
      <c r="ISE312" s="287"/>
      <c r="ISF312" s="287"/>
      <c r="ISG312" s="287"/>
      <c r="ISH312" s="287"/>
      <c r="ISI312" s="287"/>
      <c r="ISJ312" s="287"/>
      <c r="ISK312" s="287"/>
      <c r="ISL312" s="287"/>
      <c r="ISM312" s="287"/>
      <c r="ISN312" s="287"/>
      <c r="ISO312" s="287"/>
      <c r="ISP312" s="287"/>
      <c r="ISQ312" s="287"/>
      <c r="ISR312" s="287"/>
      <c r="ISS312" s="287"/>
      <c r="IST312" s="287"/>
      <c r="ISU312" s="287"/>
      <c r="ISV312" s="287"/>
      <c r="ISW312" s="287"/>
      <c r="ISX312" s="287"/>
      <c r="ISY312" s="287"/>
      <c r="ISZ312" s="287"/>
      <c r="ITA312" s="287"/>
      <c r="ITB312" s="287"/>
      <c r="ITC312" s="287"/>
      <c r="ITD312" s="287"/>
      <c r="ITE312" s="287"/>
      <c r="ITF312" s="287"/>
      <c r="ITG312" s="287"/>
      <c r="ITH312" s="287"/>
      <c r="ITI312" s="287"/>
      <c r="ITJ312" s="287"/>
      <c r="ITK312" s="287"/>
      <c r="ITL312" s="287"/>
      <c r="ITM312" s="287"/>
      <c r="ITN312" s="287"/>
      <c r="ITO312" s="287"/>
      <c r="ITP312" s="287"/>
      <c r="ITQ312" s="287"/>
      <c r="ITR312" s="287"/>
      <c r="ITS312" s="287"/>
      <c r="ITT312" s="287"/>
      <c r="ITU312" s="287"/>
      <c r="ITV312" s="287"/>
      <c r="ITW312" s="287"/>
      <c r="ITX312" s="287"/>
      <c r="ITY312" s="287"/>
      <c r="ITZ312" s="287"/>
      <c r="IUA312" s="287"/>
      <c r="IUB312" s="287"/>
      <c r="IUC312" s="287"/>
      <c r="IUD312" s="287"/>
      <c r="IUE312" s="287"/>
      <c r="IUF312" s="287"/>
      <c r="IUG312" s="287"/>
      <c r="IUH312" s="287"/>
      <c r="IUI312" s="287"/>
      <c r="IUJ312" s="287"/>
      <c r="IUK312" s="287"/>
      <c r="IUL312" s="287"/>
      <c r="IUM312" s="287"/>
      <c r="IUN312" s="287"/>
      <c r="IUO312" s="287"/>
      <c r="IUP312" s="287"/>
      <c r="IUQ312" s="287"/>
      <c r="IUR312" s="287"/>
      <c r="IUS312" s="287"/>
      <c r="IUT312" s="287"/>
      <c r="IUU312" s="287"/>
      <c r="IUV312" s="287"/>
      <c r="IUW312" s="287"/>
      <c r="IUX312" s="287"/>
      <c r="IUY312" s="287"/>
      <c r="IUZ312" s="287"/>
      <c r="IVA312" s="287"/>
      <c r="IVB312" s="287"/>
      <c r="IVC312" s="287"/>
      <c r="IVD312" s="287"/>
      <c r="IVE312" s="287"/>
      <c r="IVF312" s="287"/>
      <c r="IVG312" s="287"/>
      <c r="IVH312" s="287"/>
      <c r="IVI312" s="287"/>
      <c r="IVJ312" s="287"/>
      <c r="IVK312" s="287"/>
      <c r="IVL312" s="287"/>
      <c r="IVM312" s="287"/>
      <c r="IVN312" s="287"/>
      <c r="IVO312" s="287"/>
      <c r="IVP312" s="287"/>
      <c r="IVQ312" s="287"/>
      <c r="IVR312" s="287"/>
      <c r="IVS312" s="287"/>
      <c r="IVT312" s="287"/>
      <c r="IVU312" s="287"/>
      <c r="IVV312" s="287"/>
      <c r="IVW312" s="287"/>
      <c r="IVX312" s="287"/>
      <c r="IVY312" s="287"/>
      <c r="IVZ312" s="287"/>
      <c r="IWA312" s="287"/>
      <c r="IWB312" s="287"/>
      <c r="IWC312" s="287"/>
      <c r="IWD312" s="287"/>
      <c r="IWE312" s="287"/>
      <c r="IWF312" s="287"/>
      <c r="IWG312" s="287"/>
      <c r="IWH312" s="287"/>
      <c r="IWI312" s="287"/>
      <c r="IWJ312" s="287"/>
      <c r="IWK312" s="287"/>
      <c r="IWL312" s="287"/>
      <c r="IWM312" s="287"/>
      <c r="IWN312" s="287"/>
      <c r="IWO312" s="287"/>
      <c r="IWP312" s="287"/>
      <c r="IWQ312" s="287"/>
      <c r="IWR312" s="287"/>
      <c r="IWS312" s="287"/>
      <c r="IWT312" s="287"/>
      <c r="IWU312" s="287"/>
      <c r="IWV312" s="287"/>
      <c r="IWW312" s="287"/>
      <c r="IWX312" s="287"/>
      <c r="IWY312" s="287"/>
      <c r="IWZ312" s="287"/>
      <c r="IXA312" s="287"/>
      <c r="IXB312" s="287"/>
      <c r="IXC312" s="287"/>
      <c r="IXD312" s="287"/>
      <c r="IXE312" s="287"/>
      <c r="IXF312" s="287"/>
      <c r="IXG312" s="287"/>
      <c r="IXH312" s="287"/>
      <c r="IXI312" s="287"/>
      <c r="IXJ312" s="287"/>
      <c r="IXK312" s="287"/>
      <c r="IXL312" s="287"/>
      <c r="IXM312" s="287"/>
      <c r="IXN312" s="287"/>
      <c r="IXO312" s="287"/>
      <c r="IXP312" s="287"/>
      <c r="IXQ312" s="287"/>
      <c r="IXR312" s="287"/>
      <c r="IXS312" s="287"/>
      <c r="IXT312" s="287"/>
      <c r="IXU312" s="287"/>
      <c r="IXV312" s="287"/>
      <c r="IXW312" s="287"/>
      <c r="IXX312" s="287"/>
      <c r="IXY312" s="287"/>
      <c r="IXZ312" s="287"/>
      <c r="IYA312" s="287"/>
      <c r="IYB312" s="287"/>
      <c r="IYC312" s="287"/>
      <c r="IYD312" s="287"/>
      <c r="IYE312" s="287"/>
      <c r="IYF312" s="287"/>
      <c r="IYG312" s="287"/>
      <c r="IYH312" s="287"/>
      <c r="IYI312" s="287"/>
      <c r="IYJ312" s="287"/>
      <c r="IYK312" s="287"/>
      <c r="IYL312" s="287"/>
      <c r="IYM312" s="287"/>
      <c r="IYN312" s="287"/>
      <c r="IYO312" s="287"/>
      <c r="IYP312" s="287"/>
      <c r="IYQ312" s="287"/>
      <c r="IYR312" s="287"/>
      <c r="IYS312" s="287"/>
      <c r="IYT312" s="287"/>
      <c r="IYU312" s="287"/>
      <c r="IYV312" s="287"/>
      <c r="IYW312" s="287"/>
      <c r="IYX312" s="287"/>
      <c r="IYY312" s="287"/>
      <c r="IYZ312" s="287"/>
      <c r="IZA312" s="287"/>
      <c r="IZB312" s="287"/>
      <c r="IZC312" s="287"/>
      <c r="IZD312" s="287"/>
      <c r="IZE312" s="287"/>
      <c r="IZF312" s="287"/>
      <c r="IZG312" s="287"/>
      <c r="IZH312" s="287"/>
      <c r="IZI312" s="287"/>
      <c r="IZJ312" s="287"/>
      <c r="IZK312" s="287"/>
      <c r="IZL312" s="287"/>
      <c r="IZM312" s="287"/>
      <c r="IZN312" s="287"/>
      <c r="IZO312" s="287"/>
      <c r="IZP312" s="287"/>
      <c r="IZQ312" s="287"/>
      <c r="IZR312" s="287"/>
      <c r="IZS312" s="287"/>
      <c r="IZT312" s="287"/>
      <c r="IZU312" s="287"/>
      <c r="IZV312" s="287"/>
      <c r="IZW312" s="287"/>
      <c r="IZX312" s="287"/>
      <c r="IZY312" s="287"/>
      <c r="IZZ312" s="287"/>
      <c r="JAA312" s="287"/>
      <c r="JAB312" s="287"/>
      <c r="JAC312" s="287"/>
      <c r="JAD312" s="287"/>
      <c r="JAE312" s="287"/>
      <c r="JAF312" s="287"/>
      <c r="JAG312" s="287"/>
      <c r="JAH312" s="287"/>
      <c r="JAI312" s="287"/>
      <c r="JAJ312" s="287"/>
      <c r="JAK312" s="287"/>
      <c r="JAL312" s="287"/>
      <c r="JAM312" s="287"/>
      <c r="JAN312" s="287"/>
      <c r="JAO312" s="287"/>
      <c r="JAP312" s="287"/>
      <c r="JAQ312" s="287"/>
      <c r="JAR312" s="287"/>
      <c r="JAS312" s="287"/>
      <c r="JAT312" s="287"/>
      <c r="JAU312" s="287"/>
      <c r="JAV312" s="287"/>
      <c r="JAW312" s="287"/>
      <c r="JAX312" s="287"/>
      <c r="JAY312" s="287"/>
      <c r="JAZ312" s="287"/>
      <c r="JBA312" s="287"/>
      <c r="JBB312" s="287"/>
      <c r="JBC312" s="287"/>
      <c r="JBD312" s="287"/>
      <c r="JBE312" s="287"/>
      <c r="JBF312" s="287"/>
      <c r="JBG312" s="287"/>
      <c r="JBH312" s="287"/>
      <c r="JBI312" s="287"/>
      <c r="JBJ312" s="287"/>
      <c r="JBK312" s="287"/>
      <c r="JBL312" s="287"/>
      <c r="JBM312" s="287"/>
      <c r="JBN312" s="287"/>
      <c r="JBO312" s="287"/>
      <c r="JBP312" s="287"/>
      <c r="JBQ312" s="287"/>
      <c r="JBR312" s="287"/>
      <c r="JBS312" s="287"/>
      <c r="JBT312" s="287"/>
      <c r="JBU312" s="287"/>
      <c r="JBV312" s="287"/>
      <c r="JBW312" s="287"/>
      <c r="JBX312" s="287"/>
      <c r="JBY312" s="287"/>
      <c r="JBZ312" s="287"/>
      <c r="JCA312" s="287"/>
      <c r="JCB312" s="287"/>
      <c r="JCC312" s="287"/>
      <c r="JCD312" s="287"/>
      <c r="JCE312" s="287"/>
      <c r="JCF312" s="287"/>
      <c r="JCG312" s="287"/>
      <c r="JCH312" s="287"/>
      <c r="JCI312" s="287"/>
      <c r="JCJ312" s="287"/>
      <c r="JCK312" s="287"/>
      <c r="JCL312" s="287"/>
      <c r="JCM312" s="287"/>
      <c r="JCN312" s="287"/>
      <c r="JCO312" s="287"/>
      <c r="JCP312" s="287"/>
      <c r="JCQ312" s="287"/>
      <c r="JCR312" s="287"/>
      <c r="JCS312" s="287"/>
      <c r="JCT312" s="287"/>
      <c r="JCU312" s="287"/>
      <c r="JCV312" s="287"/>
      <c r="JCW312" s="287"/>
      <c r="JCX312" s="287"/>
      <c r="JCY312" s="287"/>
      <c r="JCZ312" s="287"/>
      <c r="JDA312" s="287"/>
      <c r="JDB312" s="287"/>
      <c r="JDC312" s="287"/>
      <c r="JDD312" s="287"/>
      <c r="JDE312" s="287"/>
      <c r="JDF312" s="287"/>
      <c r="JDG312" s="287"/>
      <c r="JDH312" s="287"/>
      <c r="JDI312" s="287"/>
      <c r="JDJ312" s="287"/>
      <c r="JDK312" s="287"/>
      <c r="JDL312" s="287"/>
      <c r="JDM312" s="287"/>
      <c r="JDN312" s="287"/>
      <c r="JDO312" s="287"/>
      <c r="JDP312" s="287"/>
      <c r="JDQ312" s="287"/>
      <c r="JDR312" s="287"/>
      <c r="JDS312" s="287"/>
      <c r="JDT312" s="287"/>
      <c r="JDU312" s="287"/>
      <c r="JDV312" s="287"/>
      <c r="JDW312" s="287"/>
      <c r="JDX312" s="287"/>
      <c r="JDY312" s="287"/>
      <c r="JDZ312" s="287"/>
      <c r="JEA312" s="287"/>
      <c r="JEB312" s="287"/>
      <c r="JEC312" s="287"/>
      <c r="JED312" s="287"/>
      <c r="JEE312" s="287"/>
      <c r="JEF312" s="287"/>
      <c r="JEG312" s="287"/>
      <c r="JEH312" s="287"/>
      <c r="JEI312" s="287"/>
      <c r="JEJ312" s="287"/>
      <c r="JEK312" s="287"/>
      <c r="JEL312" s="287"/>
      <c r="JEM312" s="287"/>
      <c r="JEN312" s="287"/>
      <c r="JEO312" s="287"/>
      <c r="JEP312" s="287"/>
      <c r="JEQ312" s="287"/>
      <c r="JER312" s="287"/>
      <c r="JES312" s="287"/>
      <c r="JET312" s="287"/>
      <c r="JEU312" s="287"/>
      <c r="JEV312" s="287"/>
      <c r="JEW312" s="287"/>
      <c r="JEX312" s="287"/>
      <c r="JEY312" s="287"/>
      <c r="JEZ312" s="287"/>
      <c r="JFA312" s="287"/>
      <c r="JFB312" s="287"/>
      <c r="JFC312" s="287"/>
      <c r="JFD312" s="287"/>
      <c r="JFE312" s="287"/>
      <c r="JFF312" s="287"/>
      <c r="JFG312" s="287"/>
      <c r="JFH312" s="287"/>
      <c r="JFI312" s="287"/>
      <c r="JFJ312" s="287"/>
      <c r="JFK312" s="287"/>
      <c r="JFL312" s="287"/>
      <c r="JFM312" s="287"/>
      <c r="JFN312" s="287"/>
      <c r="JFO312" s="287"/>
      <c r="JFP312" s="287"/>
      <c r="JFQ312" s="287"/>
      <c r="JFR312" s="287"/>
      <c r="JFS312" s="287"/>
      <c r="JFT312" s="287"/>
      <c r="JFU312" s="287"/>
      <c r="JFV312" s="287"/>
      <c r="JFW312" s="287"/>
      <c r="JFX312" s="287"/>
      <c r="JFY312" s="287"/>
      <c r="JFZ312" s="287"/>
      <c r="JGA312" s="287"/>
      <c r="JGB312" s="287"/>
      <c r="JGC312" s="287"/>
      <c r="JGD312" s="287"/>
      <c r="JGE312" s="287"/>
      <c r="JGF312" s="287"/>
      <c r="JGG312" s="287"/>
      <c r="JGH312" s="287"/>
      <c r="JGI312" s="287"/>
      <c r="JGJ312" s="287"/>
      <c r="JGK312" s="287"/>
      <c r="JGL312" s="287"/>
      <c r="JGM312" s="287"/>
      <c r="JGN312" s="287"/>
      <c r="JGO312" s="287"/>
      <c r="JGP312" s="287"/>
      <c r="JGQ312" s="287"/>
      <c r="JGR312" s="287"/>
      <c r="JGS312" s="287"/>
      <c r="JGT312" s="287"/>
      <c r="JGU312" s="287"/>
      <c r="JGV312" s="287"/>
      <c r="JGW312" s="287"/>
      <c r="JGX312" s="287"/>
      <c r="JGY312" s="287"/>
      <c r="JGZ312" s="287"/>
      <c r="JHA312" s="287"/>
      <c r="JHB312" s="287"/>
      <c r="JHC312" s="287"/>
      <c r="JHD312" s="287"/>
      <c r="JHE312" s="287"/>
      <c r="JHF312" s="287"/>
      <c r="JHG312" s="287"/>
      <c r="JHH312" s="287"/>
      <c r="JHI312" s="287"/>
      <c r="JHJ312" s="287"/>
      <c r="JHK312" s="287"/>
      <c r="JHL312" s="287"/>
      <c r="JHM312" s="287"/>
      <c r="JHN312" s="287"/>
      <c r="JHO312" s="287"/>
      <c r="JHP312" s="287"/>
      <c r="JHQ312" s="287"/>
      <c r="JHR312" s="287"/>
      <c r="JHS312" s="287"/>
      <c r="JHT312" s="287"/>
      <c r="JHU312" s="287"/>
      <c r="JHV312" s="287"/>
      <c r="JHW312" s="287"/>
      <c r="JHX312" s="287"/>
      <c r="JHY312" s="287"/>
      <c r="JHZ312" s="287"/>
      <c r="JIA312" s="287"/>
      <c r="JIB312" s="287"/>
      <c r="JIC312" s="287"/>
      <c r="JID312" s="287"/>
      <c r="JIE312" s="287"/>
      <c r="JIF312" s="287"/>
      <c r="JIG312" s="287"/>
      <c r="JIH312" s="287"/>
      <c r="JII312" s="287"/>
      <c r="JIJ312" s="287"/>
      <c r="JIK312" s="287"/>
      <c r="JIL312" s="287"/>
      <c r="JIM312" s="287"/>
      <c r="JIN312" s="287"/>
      <c r="JIO312" s="287"/>
      <c r="JIP312" s="287"/>
      <c r="JIQ312" s="287"/>
      <c r="JIR312" s="287"/>
      <c r="JIS312" s="287"/>
      <c r="JIT312" s="287"/>
      <c r="JIU312" s="287"/>
      <c r="JIV312" s="287"/>
      <c r="JIW312" s="287"/>
      <c r="JIX312" s="287"/>
      <c r="JIY312" s="287"/>
      <c r="JIZ312" s="287"/>
      <c r="JJA312" s="287"/>
      <c r="JJB312" s="287"/>
      <c r="JJC312" s="287"/>
      <c r="JJD312" s="287"/>
      <c r="JJE312" s="287"/>
      <c r="JJF312" s="287"/>
      <c r="JJG312" s="287"/>
      <c r="JJH312" s="287"/>
      <c r="JJI312" s="287"/>
      <c r="JJJ312" s="287"/>
      <c r="JJK312" s="287"/>
      <c r="JJL312" s="287"/>
      <c r="JJM312" s="287"/>
      <c r="JJN312" s="287"/>
      <c r="JJO312" s="287"/>
      <c r="JJP312" s="287"/>
      <c r="JJQ312" s="287"/>
      <c r="JJR312" s="287"/>
      <c r="JJS312" s="287"/>
      <c r="JJT312" s="287"/>
      <c r="JJU312" s="287"/>
      <c r="JJV312" s="287"/>
      <c r="JJW312" s="287"/>
      <c r="JJX312" s="287"/>
      <c r="JJY312" s="287"/>
      <c r="JJZ312" s="287"/>
      <c r="JKA312" s="287"/>
      <c r="JKB312" s="287"/>
      <c r="JKC312" s="287"/>
      <c r="JKD312" s="287"/>
      <c r="JKE312" s="287"/>
      <c r="JKF312" s="287"/>
      <c r="JKG312" s="287"/>
      <c r="JKH312" s="287"/>
      <c r="JKI312" s="287"/>
      <c r="JKJ312" s="287"/>
      <c r="JKK312" s="287"/>
      <c r="JKL312" s="287"/>
      <c r="JKM312" s="287"/>
      <c r="JKN312" s="287"/>
      <c r="JKO312" s="287"/>
      <c r="JKP312" s="287"/>
      <c r="JKQ312" s="287"/>
      <c r="JKR312" s="287"/>
      <c r="JKS312" s="287"/>
      <c r="JKT312" s="287"/>
      <c r="JKU312" s="287"/>
      <c r="JKV312" s="287"/>
      <c r="JKW312" s="287"/>
      <c r="JKX312" s="287"/>
      <c r="JKY312" s="287"/>
      <c r="JKZ312" s="287"/>
      <c r="JLA312" s="287"/>
      <c r="JLB312" s="287"/>
      <c r="JLC312" s="287"/>
      <c r="JLD312" s="287"/>
      <c r="JLE312" s="287"/>
      <c r="JLF312" s="287"/>
      <c r="JLG312" s="287"/>
      <c r="JLH312" s="287"/>
      <c r="JLI312" s="287"/>
      <c r="JLJ312" s="287"/>
      <c r="JLK312" s="287"/>
      <c r="JLL312" s="287"/>
      <c r="JLM312" s="287"/>
      <c r="JLN312" s="287"/>
      <c r="JLO312" s="287"/>
      <c r="JLP312" s="287"/>
      <c r="JLQ312" s="287"/>
      <c r="JLR312" s="287"/>
      <c r="JLS312" s="287"/>
      <c r="JLT312" s="287"/>
      <c r="JLU312" s="287"/>
      <c r="JLV312" s="287"/>
      <c r="JLW312" s="287"/>
      <c r="JLX312" s="287"/>
      <c r="JLY312" s="287"/>
      <c r="JLZ312" s="287"/>
      <c r="JMA312" s="287"/>
      <c r="JMB312" s="287"/>
      <c r="JMC312" s="287"/>
      <c r="JMD312" s="287"/>
      <c r="JME312" s="287"/>
      <c r="JMF312" s="287"/>
      <c r="JMG312" s="287"/>
      <c r="JMH312" s="287"/>
      <c r="JMI312" s="287"/>
      <c r="JMJ312" s="287"/>
      <c r="JMK312" s="287"/>
      <c r="JML312" s="287"/>
      <c r="JMM312" s="287"/>
      <c r="JMN312" s="287"/>
      <c r="JMO312" s="287"/>
      <c r="JMP312" s="287"/>
      <c r="JMQ312" s="287"/>
      <c r="JMR312" s="287"/>
      <c r="JMS312" s="287"/>
      <c r="JMT312" s="287"/>
      <c r="JMU312" s="287"/>
      <c r="JMV312" s="287"/>
      <c r="JMW312" s="287"/>
      <c r="JMX312" s="287"/>
      <c r="JMY312" s="287"/>
      <c r="JMZ312" s="287"/>
      <c r="JNA312" s="287"/>
      <c r="JNB312" s="287"/>
      <c r="JNC312" s="287"/>
      <c r="JND312" s="287"/>
      <c r="JNE312" s="287"/>
      <c r="JNF312" s="287"/>
      <c r="JNG312" s="287"/>
      <c r="JNH312" s="287"/>
      <c r="JNI312" s="287"/>
      <c r="JNJ312" s="287"/>
      <c r="JNK312" s="287"/>
      <c r="JNL312" s="287"/>
      <c r="JNM312" s="287"/>
      <c r="JNN312" s="287"/>
      <c r="JNO312" s="287"/>
      <c r="JNP312" s="287"/>
      <c r="JNQ312" s="287"/>
      <c r="JNR312" s="287"/>
      <c r="JNS312" s="287"/>
      <c r="JNT312" s="287"/>
      <c r="JNU312" s="287"/>
      <c r="JNV312" s="287"/>
      <c r="JNW312" s="287"/>
      <c r="JNX312" s="287"/>
      <c r="JNY312" s="287"/>
      <c r="JNZ312" s="287"/>
      <c r="JOA312" s="287"/>
      <c r="JOB312" s="287"/>
      <c r="JOC312" s="287"/>
      <c r="JOD312" s="287"/>
      <c r="JOE312" s="287"/>
      <c r="JOF312" s="287"/>
      <c r="JOG312" s="287"/>
      <c r="JOH312" s="287"/>
      <c r="JOI312" s="287"/>
      <c r="JOJ312" s="287"/>
      <c r="JOK312" s="287"/>
      <c r="JOL312" s="287"/>
      <c r="JOM312" s="287"/>
      <c r="JON312" s="287"/>
      <c r="JOO312" s="287"/>
      <c r="JOP312" s="287"/>
      <c r="JOQ312" s="287"/>
      <c r="JOR312" s="287"/>
      <c r="JOS312" s="287"/>
      <c r="JOT312" s="287"/>
      <c r="JOU312" s="287"/>
      <c r="JOV312" s="287"/>
      <c r="JOW312" s="287"/>
      <c r="JOX312" s="287"/>
      <c r="JOY312" s="287"/>
      <c r="JOZ312" s="287"/>
      <c r="JPA312" s="287"/>
      <c r="JPB312" s="287"/>
      <c r="JPC312" s="287"/>
      <c r="JPD312" s="287"/>
      <c r="JPE312" s="287"/>
      <c r="JPF312" s="287"/>
      <c r="JPG312" s="287"/>
      <c r="JPH312" s="287"/>
      <c r="JPI312" s="287"/>
      <c r="JPJ312" s="287"/>
      <c r="JPK312" s="287"/>
      <c r="JPL312" s="287"/>
      <c r="JPM312" s="287"/>
      <c r="JPN312" s="287"/>
      <c r="JPO312" s="287"/>
      <c r="JPP312" s="287"/>
      <c r="JPQ312" s="287"/>
      <c r="JPR312" s="287"/>
      <c r="JPS312" s="287"/>
      <c r="JPT312" s="287"/>
      <c r="JPU312" s="287"/>
      <c r="JPV312" s="287"/>
      <c r="JPW312" s="287"/>
      <c r="JPX312" s="287"/>
      <c r="JPY312" s="287"/>
      <c r="JPZ312" s="287"/>
      <c r="JQA312" s="287"/>
      <c r="JQB312" s="287"/>
      <c r="JQC312" s="287"/>
      <c r="JQD312" s="287"/>
      <c r="JQE312" s="287"/>
      <c r="JQF312" s="287"/>
      <c r="JQG312" s="287"/>
      <c r="JQH312" s="287"/>
      <c r="JQI312" s="287"/>
      <c r="JQJ312" s="287"/>
      <c r="JQK312" s="287"/>
      <c r="JQL312" s="287"/>
      <c r="JQM312" s="287"/>
      <c r="JQN312" s="287"/>
      <c r="JQO312" s="287"/>
      <c r="JQP312" s="287"/>
      <c r="JQQ312" s="287"/>
      <c r="JQR312" s="287"/>
      <c r="JQS312" s="287"/>
      <c r="JQT312" s="287"/>
      <c r="JQU312" s="287"/>
      <c r="JQV312" s="287"/>
      <c r="JQW312" s="287"/>
      <c r="JQX312" s="287"/>
      <c r="JQY312" s="287"/>
      <c r="JQZ312" s="287"/>
      <c r="JRA312" s="287"/>
      <c r="JRB312" s="287"/>
      <c r="JRC312" s="287"/>
      <c r="JRD312" s="287"/>
      <c r="JRE312" s="287"/>
      <c r="JRF312" s="287"/>
      <c r="JRG312" s="287"/>
      <c r="JRH312" s="287"/>
      <c r="JRI312" s="287"/>
      <c r="JRJ312" s="287"/>
      <c r="JRK312" s="287"/>
      <c r="JRL312" s="287"/>
      <c r="JRM312" s="287"/>
      <c r="JRN312" s="287"/>
      <c r="JRO312" s="287"/>
      <c r="JRP312" s="287"/>
      <c r="JRQ312" s="287"/>
      <c r="JRR312" s="287"/>
      <c r="JRS312" s="287"/>
      <c r="JRT312" s="287"/>
      <c r="JRU312" s="287"/>
      <c r="JRV312" s="287"/>
      <c r="JRW312" s="287"/>
      <c r="JRX312" s="287"/>
      <c r="JRY312" s="287"/>
      <c r="JRZ312" s="287"/>
      <c r="JSA312" s="287"/>
      <c r="JSB312" s="287"/>
      <c r="JSC312" s="287"/>
      <c r="JSD312" s="287"/>
      <c r="JSE312" s="287"/>
      <c r="JSF312" s="287"/>
      <c r="JSG312" s="287"/>
      <c r="JSH312" s="287"/>
      <c r="JSI312" s="287"/>
      <c r="JSJ312" s="287"/>
      <c r="JSK312" s="287"/>
      <c r="JSL312" s="287"/>
      <c r="JSM312" s="287"/>
      <c r="JSN312" s="287"/>
      <c r="JSO312" s="287"/>
      <c r="JSP312" s="287"/>
      <c r="JSQ312" s="287"/>
      <c r="JSR312" s="287"/>
      <c r="JSS312" s="287"/>
      <c r="JST312" s="287"/>
      <c r="JSU312" s="287"/>
      <c r="JSV312" s="287"/>
      <c r="JSW312" s="287"/>
      <c r="JSX312" s="287"/>
      <c r="JSY312" s="287"/>
      <c r="JSZ312" s="287"/>
      <c r="JTA312" s="287"/>
      <c r="JTB312" s="287"/>
      <c r="JTC312" s="287"/>
      <c r="JTD312" s="287"/>
      <c r="JTE312" s="287"/>
      <c r="JTF312" s="287"/>
      <c r="JTG312" s="287"/>
      <c r="JTH312" s="287"/>
      <c r="JTI312" s="287"/>
      <c r="JTJ312" s="287"/>
      <c r="JTK312" s="287"/>
      <c r="JTL312" s="287"/>
      <c r="JTM312" s="287"/>
      <c r="JTN312" s="287"/>
      <c r="JTO312" s="287"/>
      <c r="JTP312" s="287"/>
      <c r="JTQ312" s="287"/>
      <c r="JTR312" s="287"/>
      <c r="JTS312" s="287"/>
      <c r="JTT312" s="287"/>
      <c r="JTU312" s="287"/>
      <c r="JTV312" s="287"/>
      <c r="JTW312" s="287"/>
      <c r="JTX312" s="287"/>
      <c r="JTY312" s="287"/>
      <c r="JTZ312" s="287"/>
      <c r="JUA312" s="287"/>
      <c r="JUB312" s="287"/>
      <c r="JUC312" s="287"/>
      <c r="JUD312" s="287"/>
      <c r="JUE312" s="287"/>
      <c r="JUF312" s="287"/>
      <c r="JUG312" s="287"/>
      <c r="JUH312" s="287"/>
      <c r="JUI312" s="287"/>
      <c r="JUJ312" s="287"/>
      <c r="JUK312" s="287"/>
      <c r="JUL312" s="287"/>
      <c r="JUM312" s="287"/>
      <c r="JUN312" s="287"/>
      <c r="JUO312" s="287"/>
      <c r="JUP312" s="287"/>
      <c r="JUQ312" s="287"/>
      <c r="JUR312" s="287"/>
      <c r="JUS312" s="287"/>
      <c r="JUT312" s="287"/>
      <c r="JUU312" s="287"/>
      <c r="JUV312" s="287"/>
      <c r="JUW312" s="287"/>
      <c r="JUX312" s="287"/>
      <c r="JUY312" s="287"/>
      <c r="JUZ312" s="287"/>
      <c r="JVA312" s="287"/>
      <c r="JVB312" s="287"/>
      <c r="JVC312" s="287"/>
      <c r="JVD312" s="287"/>
      <c r="JVE312" s="287"/>
      <c r="JVF312" s="287"/>
      <c r="JVG312" s="287"/>
      <c r="JVH312" s="287"/>
      <c r="JVI312" s="287"/>
      <c r="JVJ312" s="287"/>
      <c r="JVK312" s="287"/>
      <c r="JVL312" s="287"/>
      <c r="JVM312" s="287"/>
      <c r="JVN312" s="287"/>
      <c r="JVO312" s="287"/>
      <c r="JVP312" s="287"/>
      <c r="JVQ312" s="287"/>
      <c r="JVR312" s="287"/>
      <c r="JVS312" s="287"/>
      <c r="JVT312" s="287"/>
      <c r="JVU312" s="287"/>
      <c r="JVV312" s="287"/>
      <c r="JVW312" s="287"/>
      <c r="JVX312" s="287"/>
      <c r="JVY312" s="287"/>
      <c r="JVZ312" s="287"/>
      <c r="JWA312" s="287"/>
      <c r="JWB312" s="287"/>
      <c r="JWC312" s="287"/>
      <c r="JWD312" s="287"/>
      <c r="JWE312" s="287"/>
      <c r="JWF312" s="287"/>
      <c r="JWG312" s="287"/>
      <c r="JWH312" s="287"/>
      <c r="JWI312" s="287"/>
      <c r="JWJ312" s="287"/>
      <c r="JWK312" s="287"/>
      <c r="JWL312" s="287"/>
      <c r="JWM312" s="287"/>
      <c r="JWN312" s="287"/>
      <c r="JWO312" s="287"/>
      <c r="JWP312" s="287"/>
      <c r="JWQ312" s="287"/>
      <c r="JWR312" s="287"/>
      <c r="JWS312" s="287"/>
      <c r="JWT312" s="287"/>
      <c r="JWU312" s="287"/>
      <c r="JWV312" s="287"/>
      <c r="JWW312" s="287"/>
      <c r="JWX312" s="287"/>
      <c r="JWY312" s="287"/>
      <c r="JWZ312" s="287"/>
      <c r="JXA312" s="287"/>
      <c r="JXB312" s="287"/>
      <c r="JXC312" s="287"/>
      <c r="JXD312" s="287"/>
      <c r="JXE312" s="287"/>
      <c r="JXF312" s="287"/>
      <c r="JXG312" s="287"/>
      <c r="JXH312" s="287"/>
      <c r="JXI312" s="287"/>
      <c r="JXJ312" s="287"/>
      <c r="JXK312" s="287"/>
      <c r="JXL312" s="287"/>
      <c r="JXM312" s="287"/>
      <c r="JXN312" s="287"/>
      <c r="JXO312" s="287"/>
      <c r="JXP312" s="287"/>
      <c r="JXQ312" s="287"/>
      <c r="JXR312" s="287"/>
      <c r="JXS312" s="287"/>
      <c r="JXT312" s="287"/>
      <c r="JXU312" s="287"/>
      <c r="JXV312" s="287"/>
      <c r="JXW312" s="287"/>
      <c r="JXX312" s="287"/>
      <c r="JXY312" s="287"/>
      <c r="JXZ312" s="287"/>
      <c r="JYA312" s="287"/>
      <c r="JYB312" s="287"/>
      <c r="JYC312" s="287"/>
      <c r="JYD312" s="287"/>
      <c r="JYE312" s="287"/>
      <c r="JYF312" s="287"/>
      <c r="JYG312" s="287"/>
      <c r="JYH312" s="287"/>
      <c r="JYI312" s="287"/>
      <c r="JYJ312" s="287"/>
      <c r="JYK312" s="287"/>
      <c r="JYL312" s="287"/>
      <c r="JYM312" s="287"/>
      <c r="JYN312" s="287"/>
      <c r="JYO312" s="287"/>
      <c r="JYP312" s="287"/>
      <c r="JYQ312" s="287"/>
      <c r="JYR312" s="287"/>
      <c r="JYS312" s="287"/>
      <c r="JYT312" s="287"/>
      <c r="JYU312" s="287"/>
      <c r="JYV312" s="287"/>
      <c r="JYW312" s="287"/>
      <c r="JYX312" s="287"/>
      <c r="JYY312" s="287"/>
      <c r="JYZ312" s="287"/>
      <c r="JZA312" s="287"/>
      <c r="JZB312" s="287"/>
      <c r="JZC312" s="287"/>
      <c r="JZD312" s="287"/>
      <c r="JZE312" s="287"/>
      <c r="JZF312" s="287"/>
      <c r="JZG312" s="287"/>
      <c r="JZH312" s="287"/>
      <c r="JZI312" s="287"/>
      <c r="JZJ312" s="287"/>
      <c r="JZK312" s="287"/>
      <c r="JZL312" s="287"/>
      <c r="JZM312" s="287"/>
      <c r="JZN312" s="287"/>
      <c r="JZO312" s="287"/>
      <c r="JZP312" s="287"/>
      <c r="JZQ312" s="287"/>
      <c r="JZR312" s="287"/>
      <c r="JZS312" s="287"/>
      <c r="JZT312" s="287"/>
      <c r="JZU312" s="287"/>
      <c r="JZV312" s="287"/>
      <c r="JZW312" s="287"/>
      <c r="JZX312" s="287"/>
      <c r="JZY312" s="287"/>
      <c r="JZZ312" s="287"/>
      <c r="KAA312" s="287"/>
      <c r="KAB312" s="287"/>
      <c r="KAC312" s="287"/>
      <c r="KAD312" s="287"/>
      <c r="KAE312" s="287"/>
      <c r="KAF312" s="287"/>
      <c r="KAG312" s="287"/>
      <c r="KAH312" s="287"/>
      <c r="KAI312" s="287"/>
      <c r="KAJ312" s="287"/>
      <c r="KAK312" s="287"/>
      <c r="KAL312" s="287"/>
      <c r="KAM312" s="287"/>
      <c r="KAN312" s="287"/>
      <c r="KAO312" s="287"/>
      <c r="KAP312" s="287"/>
      <c r="KAQ312" s="287"/>
      <c r="KAR312" s="287"/>
      <c r="KAS312" s="287"/>
      <c r="KAT312" s="287"/>
      <c r="KAU312" s="287"/>
      <c r="KAV312" s="287"/>
      <c r="KAW312" s="287"/>
      <c r="KAX312" s="287"/>
      <c r="KAY312" s="287"/>
      <c r="KAZ312" s="287"/>
      <c r="KBA312" s="287"/>
      <c r="KBB312" s="287"/>
      <c r="KBC312" s="287"/>
      <c r="KBD312" s="287"/>
      <c r="KBE312" s="287"/>
      <c r="KBF312" s="287"/>
      <c r="KBG312" s="287"/>
      <c r="KBH312" s="287"/>
      <c r="KBI312" s="287"/>
      <c r="KBJ312" s="287"/>
      <c r="KBK312" s="287"/>
      <c r="KBL312" s="287"/>
      <c r="KBM312" s="287"/>
      <c r="KBN312" s="287"/>
      <c r="KBO312" s="287"/>
      <c r="KBP312" s="287"/>
      <c r="KBQ312" s="287"/>
      <c r="KBR312" s="287"/>
      <c r="KBS312" s="287"/>
      <c r="KBT312" s="287"/>
      <c r="KBU312" s="287"/>
      <c r="KBV312" s="287"/>
      <c r="KBW312" s="287"/>
      <c r="KBX312" s="287"/>
      <c r="KBY312" s="287"/>
      <c r="KBZ312" s="287"/>
      <c r="KCA312" s="287"/>
      <c r="KCB312" s="287"/>
      <c r="KCC312" s="287"/>
      <c r="KCD312" s="287"/>
      <c r="KCE312" s="287"/>
      <c r="KCF312" s="287"/>
      <c r="KCG312" s="287"/>
      <c r="KCH312" s="287"/>
      <c r="KCI312" s="287"/>
      <c r="KCJ312" s="287"/>
      <c r="KCK312" s="287"/>
      <c r="KCL312" s="287"/>
      <c r="KCM312" s="287"/>
      <c r="KCN312" s="287"/>
      <c r="KCO312" s="287"/>
      <c r="KCP312" s="287"/>
      <c r="KCQ312" s="287"/>
      <c r="KCR312" s="287"/>
      <c r="KCS312" s="287"/>
      <c r="KCT312" s="287"/>
      <c r="KCU312" s="287"/>
      <c r="KCV312" s="287"/>
      <c r="KCW312" s="287"/>
      <c r="KCX312" s="287"/>
      <c r="KCY312" s="287"/>
      <c r="KCZ312" s="287"/>
      <c r="KDA312" s="287"/>
      <c r="KDB312" s="287"/>
      <c r="KDC312" s="287"/>
      <c r="KDD312" s="287"/>
      <c r="KDE312" s="287"/>
      <c r="KDF312" s="287"/>
      <c r="KDG312" s="287"/>
      <c r="KDH312" s="287"/>
      <c r="KDI312" s="287"/>
      <c r="KDJ312" s="287"/>
      <c r="KDK312" s="287"/>
      <c r="KDL312" s="287"/>
      <c r="KDM312" s="287"/>
      <c r="KDN312" s="287"/>
      <c r="KDO312" s="287"/>
      <c r="KDP312" s="287"/>
      <c r="KDQ312" s="287"/>
      <c r="KDR312" s="287"/>
      <c r="KDS312" s="287"/>
      <c r="KDT312" s="287"/>
      <c r="KDU312" s="287"/>
      <c r="KDV312" s="287"/>
      <c r="KDW312" s="287"/>
      <c r="KDX312" s="287"/>
      <c r="KDY312" s="287"/>
      <c r="KDZ312" s="287"/>
      <c r="KEA312" s="287"/>
      <c r="KEB312" s="287"/>
      <c r="KEC312" s="287"/>
      <c r="KED312" s="287"/>
      <c r="KEE312" s="287"/>
      <c r="KEF312" s="287"/>
      <c r="KEG312" s="287"/>
      <c r="KEH312" s="287"/>
      <c r="KEI312" s="287"/>
      <c r="KEJ312" s="287"/>
      <c r="KEK312" s="287"/>
      <c r="KEL312" s="287"/>
      <c r="KEM312" s="287"/>
      <c r="KEN312" s="287"/>
      <c r="KEO312" s="287"/>
      <c r="KEP312" s="287"/>
      <c r="KEQ312" s="287"/>
      <c r="KER312" s="287"/>
      <c r="KES312" s="287"/>
      <c r="KET312" s="287"/>
      <c r="KEU312" s="287"/>
      <c r="KEV312" s="287"/>
      <c r="KEW312" s="287"/>
      <c r="KEX312" s="287"/>
      <c r="KEY312" s="287"/>
      <c r="KEZ312" s="287"/>
      <c r="KFA312" s="287"/>
      <c r="KFB312" s="287"/>
      <c r="KFC312" s="287"/>
      <c r="KFD312" s="287"/>
      <c r="KFE312" s="287"/>
      <c r="KFF312" s="287"/>
      <c r="KFG312" s="287"/>
      <c r="KFH312" s="287"/>
      <c r="KFI312" s="287"/>
      <c r="KFJ312" s="287"/>
      <c r="KFK312" s="287"/>
      <c r="KFL312" s="287"/>
      <c r="KFM312" s="287"/>
      <c r="KFN312" s="287"/>
      <c r="KFO312" s="287"/>
      <c r="KFP312" s="287"/>
      <c r="KFQ312" s="287"/>
      <c r="KFR312" s="287"/>
      <c r="KFS312" s="287"/>
      <c r="KFT312" s="287"/>
      <c r="KFU312" s="287"/>
      <c r="KFV312" s="287"/>
      <c r="KFW312" s="287"/>
      <c r="KFX312" s="287"/>
      <c r="KFY312" s="287"/>
      <c r="KFZ312" s="287"/>
      <c r="KGA312" s="287"/>
      <c r="KGB312" s="287"/>
      <c r="KGC312" s="287"/>
      <c r="KGD312" s="287"/>
      <c r="KGE312" s="287"/>
      <c r="KGF312" s="287"/>
      <c r="KGG312" s="287"/>
      <c r="KGH312" s="287"/>
      <c r="KGI312" s="287"/>
      <c r="KGJ312" s="287"/>
      <c r="KGK312" s="287"/>
      <c r="KGL312" s="287"/>
      <c r="KGM312" s="287"/>
      <c r="KGN312" s="287"/>
      <c r="KGO312" s="287"/>
      <c r="KGP312" s="287"/>
      <c r="KGQ312" s="287"/>
      <c r="KGR312" s="287"/>
      <c r="KGS312" s="287"/>
      <c r="KGT312" s="287"/>
      <c r="KGU312" s="287"/>
      <c r="KGV312" s="287"/>
      <c r="KGW312" s="287"/>
      <c r="KGX312" s="287"/>
      <c r="KGY312" s="287"/>
      <c r="KGZ312" s="287"/>
      <c r="KHA312" s="287"/>
      <c r="KHB312" s="287"/>
      <c r="KHC312" s="287"/>
      <c r="KHD312" s="287"/>
      <c r="KHE312" s="287"/>
      <c r="KHF312" s="287"/>
      <c r="KHG312" s="287"/>
      <c r="KHH312" s="287"/>
      <c r="KHI312" s="287"/>
      <c r="KHJ312" s="287"/>
      <c r="KHK312" s="287"/>
      <c r="KHL312" s="287"/>
      <c r="KHM312" s="287"/>
      <c r="KHN312" s="287"/>
      <c r="KHO312" s="287"/>
      <c r="KHP312" s="287"/>
      <c r="KHQ312" s="287"/>
      <c r="KHR312" s="287"/>
      <c r="KHS312" s="287"/>
      <c r="KHT312" s="287"/>
      <c r="KHU312" s="287"/>
      <c r="KHV312" s="287"/>
      <c r="KHW312" s="287"/>
      <c r="KHX312" s="287"/>
      <c r="KHY312" s="287"/>
      <c r="KHZ312" s="287"/>
      <c r="KIA312" s="287"/>
      <c r="KIB312" s="287"/>
      <c r="KIC312" s="287"/>
      <c r="KID312" s="287"/>
      <c r="KIE312" s="287"/>
      <c r="KIF312" s="287"/>
      <c r="KIG312" s="287"/>
      <c r="KIH312" s="287"/>
      <c r="KII312" s="287"/>
      <c r="KIJ312" s="287"/>
      <c r="KIK312" s="287"/>
      <c r="KIL312" s="287"/>
      <c r="KIM312" s="287"/>
      <c r="KIN312" s="287"/>
      <c r="KIO312" s="287"/>
      <c r="KIP312" s="287"/>
      <c r="KIQ312" s="287"/>
      <c r="KIR312" s="287"/>
      <c r="KIS312" s="287"/>
      <c r="KIT312" s="287"/>
      <c r="KIU312" s="287"/>
      <c r="KIV312" s="287"/>
      <c r="KIW312" s="287"/>
      <c r="KIX312" s="287"/>
      <c r="KIY312" s="287"/>
      <c r="KIZ312" s="287"/>
      <c r="KJA312" s="287"/>
      <c r="KJB312" s="287"/>
      <c r="KJC312" s="287"/>
      <c r="KJD312" s="287"/>
      <c r="KJE312" s="287"/>
      <c r="KJF312" s="287"/>
      <c r="KJG312" s="287"/>
      <c r="KJH312" s="287"/>
      <c r="KJI312" s="287"/>
      <c r="KJJ312" s="287"/>
      <c r="KJK312" s="287"/>
      <c r="KJL312" s="287"/>
      <c r="KJM312" s="287"/>
      <c r="KJN312" s="287"/>
      <c r="KJO312" s="287"/>
      <c r="KJP312" s="287"/>
      <c r="KJQ312" s="287"/>
      <c r="KJR312" s="287"/>
      <c r="KJS312" s="287"/>
      <c r="KJT312" s="287"/>
      <c r="KJU312" s="287"/>
      <c r="KJV312" s="287"/>
      <c r="KJW312" s="287"/>
      <c r="KJX312" s="287"/>
      <c r="KJY312" s="287"/>
      <c r="KJZ312" s="287"/>
      <c r="KKA312" s="287"/>
      <c r="KKB312" s="287"/>
      <c r="KKC312" s="287"/>
      <c r="KKD312" s="287"/>
      <c r="KKE312" s="287"/>
      <c r="KKF312" s="287"/>
      <c r="KKG312" s="287"/>
      <c r="KKH312" s="287"/>
      <c r="KKI312" s="287"/>
      <c r="KKJ312" s="287"/>
      <c r="KKK312" s="287"/>
      <c r="KKL312" s="287"/>
      <c r="KKM312" s="287"/>
      <c r="KKN312" s="287"/>
      <c r="KKO312" s="287"/>
      <c r="KKP312" s="287"/>
      <c r="KKQ312" s="287"/>
      <c r="KKR312" s="287"/>
      <c r="KKS312" s="287"/>
      <c r="KKT312" s="287"/>
      <c r="KKU312" s="287"/>
      <c r="KKV312" s="287"/>
      <c r="KKW312" s="287"/>
      <c r="KKX312" s="287"/>
      <c r="KKY312" s="287"/>
      <c r="KKZ312" s="287"/>
      <c r="KLA312" s="287"/>
      <c r="KLB312" s="287"/>
      <c r="KLC312" s="287"/>
      <c r="KLD312" s="287"/>
      <c r="KLE312" s="287"/>
      <c r="KLF312" s="287"/>
      <c r="KLG312" s="287"/>
      <c r="KLH312" s="287"/>
      <c r="KLI312" s="287"/>
      <c r="KLJ312" s="287"/>
      <c r="KLK312" s="287"/>
      <c r="KLL312" s="287"/>
      <c r="KLM312" s="287"/>
      <c r="KLN312" s="287"/>
      <c r="KLO312" s="287"/>
      <c r="KLP312" s="287"/>
      <c r="KLQ312" s="287"/>
      <c r="KLR312" s="287"/>
      <c r="KLS312" s="287"/>
      <c r="KLT312" s="287"/>
      <c r="KLU312" s="287"/>
      <c r="KLV312" s="287"/>
      <c r="KLW312" s="287"/>
      <c r="KLX312" s="287"/>
      <c r="KLY312" s="287"/>
      <c r="KLZ312" s="287"/>
      <c r="KMA312" s="287"/>
      <c r="KMB312" s="287"/>
      <c r="KMC312" s="287"/>
      <c r="KMD312" s="287"/>
      <c r="KME312" s="287"/>
      <c r="KMF312" s="287"/>
      <c r="KMG312" s="287"/>
      <c r="KMH312" s="287"/>
      <c r="KMI312" s="287"/>
      <c r="KMJ312" s="287"/>
      <c r="KMK312" s="287"/>
      <c r="KML312" s="287"/>
      <c r="KMM312" s="287"/>
      <c r="KMN312" s="287"/>
      <c r="KMO312" s="287"/>
      <c r="KMP312" s="287"/>
      <c r="KMQ312" s="287"/>
      <c r="KMR312" s="287"/>
      <c r="KMS312" s="287"/>
      <c r="KMT312" s="287"/>
      <c r="KMU312" s="287"/>
      <c r="KMV312" s="287"/>
      <c r="KMW312" s="287"/>
      <c r="KMX312" s="287"/>
      <c r="KMY312" s="287"/>
      <c r="KMZ312" s="287"/>
      <c r="KNA312" s="287"/>
      <c r="KNB312" s="287"/>
      <c r="KNC312" s="287"/>
      <c r="KND312" s="287"/>
      <c r="KNE312" s="287"/>
      <c r="KNF312" s="287"/>
      <c r="KNG312" s="287"/>
      <c r="KNH312" s="287"/>
      <c r="KNI312" s="287"/>
      <c r="KNJ312" s="287"/>
      <c r="KNK312" s="287"/>
      <c r="KNL312" s="287"/>
      <c r="KNM312" s="287"/>
      <c r="KNN312" s="287"/>
      <c r="KNO312" s="287"/>
      <c r="KNP312" s="287"/>
      <c r="KNQ312" s="287"/>
      <c r="KNR312" s="287"/>
      <c r="KNS312" s="287"/>
      <c r="KNT312" s="287"/>
      <c r="KNU312" s="287"/>
      <c r="KNV312" s="287"/>
      <c r="KNW312" s="287"/>
      <c r="KNX312" s="287"/>
      <c r="KNY312" s="287"/>
      <c r="KNZ312" s="287"/>
      <c r="KOA312" s="287"/>
      <c r="KOB312" s="287"/>
      <c r="KOC312" s="287"/>
      <c r="KOD312" s="287"/>
      <c r="KOE312" s="287"/>
      <c r="KOF312" s="287"/>
      <c r="KOG312" s="287"/>
      <c r="KOH312" s="287"/>
      <c r="KOI312" s="287"/>
      <c r="KOJ312" s="287"/>
      <c r="KOK312" s="287"/>
      <c r="KOL312" s="287"/>
      <c r="KOM312" s="287"/>
      <c r="KON312" s="287"/>
      <c r="KOO312" s="287"/>
      <c r="KOP312" s="287"/>
      <c r="KOQ312" s="287"/>
      <c r="KOR312" s="287"/>
      <c r="KOS312" s="287"/>
      <c r="KOT312" s="287"/>
      <c r="KOU312" s="287"/>
      <c r="KOV312" s="287"/>
      <c r="KOW312" s="287"/>
      <c r="KOX312" s="287"/>
      <c r="KOY312" s="287"/>
      <c r="KOZ312" s="287"/>
      <c r="KPA312" s="287"/>
      <c r="KPB312" s="287"/>
      <c r="KPC312" s="287"/>
      <c r="KPD312" s="287"/>
      <c r="KPE312" s="287"/>
      <c r="KPF312" s="287"/>
      <c r="KPG312" s="287"/>
      <c r="KPH312" s="287"/>
      <c r="KPI312" s="287"/>
      <c r="KPJ312" s="287"/>
      <c r="KPK312" s="287"/>
      <c r="KPL312" s="287"/>
      <c r="KPM312" s="287"/>
      <c r="KPN312" s="287"/>
      <c r="KPO312" s="287"/>
      <c r="KPP312" s="287"/>
      <c r="KPQ312" s="287"/>
      <c r="KPR312" s="287"/>
      <c r="KPS312" s="287"/>
      <c r="KPT312" s="287"/>
      <c r="KPU312" s="287"/>
      <c r="KPV312" s="287"/>
      <c r="KPW312" s="287"/>
      <c r="KPX312" s="287"/>
      <c r="KPY312" s="287"/>
      <c r="KPZ312" s="287"/>
      <c r="KQA312" s="287"/>
      <c r="KQB312" s="287"/>
      <c r="KQC312" s="287"/>
      <c r="KQD312" s="287"/>
      <c r="KQE312" s="287"/>
      <c r="KQF312" s="287"/>
      <c r="KQG312" s="287"/>
      <c r="KQH312" s="287"/>
      <c r="KQI312" s="287"/>
      <c r="KQJ312" s="287"/>
      <c r="KQK312" s="287"/>
      <c r="KQL312" s="287"/>
      <c r="KQM312" s="287"/>
      <c r="KQN312" s="287"/>
      <c r="KQO312" s="287"/>
      <c r="KQP312" s="287"/>
      <c r="KQQ312" s="287"/>
      <c r="KQR312" s="287"/>
      <c r="KQS312" s="287"/>
      <c r="KQT312" s="287"/>
      <c r="KQU312" s="287"/>
      <c r="KQV312" s="287"/>
      <c r="KQW312" s="287"/>
      <c r="KQX312" s="287"/>
      <c r="KQY312" s="287"/>
      <c r="KQZ312" s="287"/>
      <c r="KRA312" s="287"/>
      <c r="KRB312" s="287"/>
      <c r="KRC312" s="287"/>
      <c r="KRD312" s="287"/>
      <c r="KRE312" s="287"/>
      <c r="KRF312" s="287"/>
      <c r="KRG312" s="287"/>
      <c r="KRH312" s="287"/>
      <c r="KRI312" s="287"/>
      <c r="KRJ312" s="287"/>
      <c r="KRK312" s="287"/>
      <c r="KRL312" s="287"/>
      <c r="KRM312" s="287"/>
      <c r="KRN312" s="287"/>
      <c r="KRO312" s="287"/>
      <c r="KRP312" s="287"/>
      <c r="KRQ312" s="287"/>
      <c r="KRR312" s="287"/>
      <c r="KRS312" s="287"/>
      <c r="KRT312" s="287"/>
      <c r="KRU312" s="287"/>
      <c r="KRV312" s="287"/>
      <c r="KRW312" s="287"/>
      <c r="KRX312" s="287"/>
      <c r="KRY312" s="287"/>
      <c r="KRZ312" s="287"/>
      <c r="KSA312" s="287"/>
      <c r="KSB312" s="287"/>
      <c r="KSC312" s="287"/>
      <c r="KSD312" s="287"/>
      <c r="KSE312" s="287"/>
      <c r="KSF312" s="287"/>
      <c r="KSG312" s="287"/>
      <c r="KSH312" s="287"/>
      <c r="KSI312" s="287"/>
      <c r="KSJ312" s="287"/>
      <c r="KSK312" s="287"/>
      <c r="KSL312" s="287"/>
      <c r="KSM312" s="287"/>
      <c r="KSN312" s="287"/>
      <c r="KSO312" s="287"/>
      <c r="KSP312" s="287"/>
      <c r="KSQ312" s="287"/>
      <c r="KSR312" s="287"/>
      <c r="KSS312" s="287"/>
      <c r="KST312" s="287"/>
      <c r="KSU312" s="287"/>
      <c r="KSV312" s="287"/>
      <c r="KSW312" s="287"/>
      <c r="KSX312" s="287"/>
      <c r="KSY312" s="287"/>
      <c r="KSZ312" s="287"/>
      <c r="KTA312" s="287"/>
      <c r="KTB312" s="287"/>
      <c r="KTC312" s="287"/>
      <c r="KTD312" s="287"/>
      <c r="KTE312" s="287"/>
      <c r="KTF312" s="287"/>
      <c r="KTG312" s="287"/>
      <c r="KTH312" s="287"/>
      <c r="KTI312" s="287"/>
      <c r="KTJ312" s="287"/>
      <c r="KTK312" s="287"/>
      <c r="KTL312" s="287"/>
      <c r="KTM312" s="287"/>
      <c r="KTN312" s="287"/>
      <c r="KTO312" s="287"/>
      <c r="KTP312" s="287"/>
      <c r="KTQ312" s="287"/>
      <c r="KTR312" s="287"/>
      <c r="KTS312" s="287"/>
      <c r="KTT312" s="287"/>
      <c r="KTU312" s="287"/>
      <c r="KTV312" s="287"/>
      <c r="KTW312" s="287"/>
      <c r="KTX312" s="287"/>
      <c r="KTY312" s="287"/>
      <c r="KTZ312" s="287"/>
      <c r="KUA312" s="287"/>
      <c r="KUB312" s="287"/>
      <c r="KUC312" s="287"/>
      <c r="KUD312" s="287"/>
      <c r="KUE312" s="287"/>
      <c r="KUF312" s="287"/>
      <c r="KUG312" s="287"/>
      <c r="KUH312" s="287"/>
      <c r="KUI312" s="287"/>
      <c r="KUJ312" s="287"/>
      <c r="KUK312" s="287"/>
      <c r="KUL312" s="287"/>
      <c r="KUM312" s="287"/>
      <c r="KUN312" s="287"/>
      <c r="KUO312" s="287"/>
      <c r="KUP312" s="287"/>
      <c r="KUQ312" s="287"/>
      <c r="KUR312" s="287"/>
      <c r="KUS312" s="287"/>
      <c r="KUT312" s="287"/>
      <c r="KUU312" s="287"/>
      <c r="KUV312" s="287"/>
      <c r="KUW312" s="287"/>
      <c r="KUX312" s="287"/>
      <c r="KUY312" s="287"/>
      <c r="KUZ312" s="287"/>
      <c r="KVA312" s="287"/>
      <c r="KVB312" s="287"/>
      <c r="KVC312" s="287"/>
      <c r="KVD312" s="287"/>
      <c r="KVE312" s="287"/>
      <c r="KVF312" s="287"/>
      <c r="KVG312" s="287"/>
      <c r="KVH312" s="287"/>
      <c r="KVI312" s="287"/>
      <c r="KVJ312" s="287"/>
      <c r="KVK312" s="287"/>
      <c r="KVL312" s="287"/>
      <c r="KVM312" s="287"/>
      <c r="KVN312" s="287"/>
      <c r="KVO312" s="287"/>
      <c r="KVP312" s="287"/>
      <c r="KVQ312" s="287"/>
      <c r="KVR312" s="287"/>
      <c r="KVS312" s="287"/>
      <c r="KVT312" s="287"/>
      <c r="KVU312" s="287"/>
      <c r="KVV312" s="287"/>
      <c r="KVW312" s="287"/>
      <c r="KVX312" s="287"/>
      <c r="KVY312" s="287"/>
      <c r="KVZ312" s="287"/>
      <c r="KWA312" s="287"/>
      <c r="KWB312" s="287"/>
      <c r="KWC312" s="287"/>
      <c r="KWD312" s="287"/>
      <c r="KWE312" s="287"/>
      <c r="KWF312" s="287"/>
      <c r="KWG312" s="287"/>
      <c r="KWH312" s="287"/>
      <c r="KWI312" s="287"/>
      <c r="KWJ312" s="287"/>
      <c r="KWK312" s="287"/>
      <c r="KWL312" s="287"/>
      <c r="KWM312" s="287"/>
      <c r="KWN312" s="287"/>
      <c r="KWO312" s="287"/>
      <c r="KWP312" s="287"/>
      <c r="KWQ312" s="287"/>
      <c r="KWR312" s="287"/>
      <c r="KWS312" s="287"/>
      <c r="KWT312" s="287"/>
      <c r="KWU312" s="287"/>
      <c r="KWV312" s="287"/>
      <c r="KWW312" s="287"/>
      <c r="KWX312" s="287"/>
      <c r="KWY312" s="287"/>
      <c r="KWZ312" s="287"/>
      <c r="KXA312" s="287"/>
      <c r="KXB312" s="287"/>
      <c r="KXC312" s="287"/>
      <c r="KXD312" s="287"/>
      <c r="KXE312" s="287"/>
      <c r="KXF312" s="287"/>
      <c r="KXG312" s="287"/>
      <c r="KXH312" s="287"/>
      <c r="KXI312" s="287"/>
      <c r="KXJ312" s="287"/>
      <c r="KXK312" s="287"/>
      <c r="KXL312" s="287"/>
      <c r="KXM312" s="287"/>
      <c r="KXN312" s="287"/>
      <c r="KXO312" s="287"/>
      <c r="KXP312" s="287"/>
      <c r="KXQ312" s="287"/>
      <c r="KXR312" s="287"/>
      <c r="KXS312" s="287"/>
      <c r="KXT312" s="287"/>
      <c r="KXU312" s="287"/>
      <c r="KXV312" s="287"/>
      <c r="KXW312" s="287"/>
      <c r="KXX312" s="287"/>
      <c r="KXY312" s="287"/>
      <c r="KXZ312" s="287"/>
      <c r="KYA312" s="287"/>
      <c r="KYB312" s="287"/>
      <c r="KYC312" s="287"/>
      <c r="KYD312" s="287"/>
      <c r="KYE312" s="287"/>
      <c r="KYF312" s="287"/>
      <c r="KYG312" s="287"/>
      <c r="KYH312" s="287"/>
      <c r="KYI312" s="287"/>
      <c r="KYJ312" s="287"/>
      <c r="KYK312" s="287"/>
      <c r="KYL312" s="287"/>
      <c r="KYM312" s="287"/>
      <c r="KYN312" s="287"/>
      <c r="KYO312" s="287"/>
      <c r="KYP312" s="287"/>
      <c r="KYQ312" s="287"/>
      <c r="KYR312" s="287"/>
      <c r="KYS312" s="287"/>
      <c r="KYT312" s="287"/>
      <c r="KYU312" s="287"/>
      <c r="KYV312" s="287"/>
      <c r="KYW312" s="287"/>
      <c r="KYX312" s="287"/>
      <c r="KYY312" s="287"/>
      <c r="KYZ312" s="287"/>
      <c r="KZA312" s="287"/>
      <c r="KZB312" s="287"/>
      <c r="KZC312" s="287"/>
      <c r="KZD312" s="287"/>
      <c r="KZE312" s="287"/>
      <c r="KZF312" s="287"/>
      <c r="KZG312" s="287"/>
      <c r="KZH312" s="287"/>
      <c r="KZI312" s="287"/>
      <c r="KZJ312" s="287"/>
      <c r="KZK312" s="287"/>
      <c r="KZL312" s="287"/>
      <c r="KZM312" s="287"/>
      <c r="KZN312" s="287"/>
      <c r="KZO312" s="287"/>
      <c r="KZP312" s="287"/>
      <c r="KZQ312" s="287"/>
      <c r="KZR312" s="287"/>
      <c r="KZS312" s="287"/>
      <c r="KZT312" s="287"/>
      <c r="KZU312" s="287"/>
      <c r="KZV312" s="287"/>
      <c r="KZW312" s="287"/>
      <c r="KZX312" s="287"/>
      <c r="KZY312" s="287"/>
      <c r="KZZ312" s="287"/>
      <c r="LAA312" s="287"/>
      <c r="LAB312" s="287"/>
      <c r="LAC312" s="287"/>
      <c r="LAD312" s="287"/>
      <c r="LAE312" s="287"/>
      <c r="LAF312" s="287"/>
      <c r="LAG312" s="287"/>
      <c r="LAH312" s="287"/>
      <c r="LAI312" s="287"/>
      <c r="LAJ312" s="287"/>
      <c r="LAK312" s="287"/>
      <c r="LAL312" s="287"/>
      <c r="LAM312" s="287"/>
      <c r="LAN312" s="287"/>
      <c r="LAO312" s="287"/>
      <c r="LAP312" s="287"/>
      <c r="LAQ312" s="287"/>
      <c r="LAR312" s="287"/>
      <c r="LAS312" s="287"/>
      <c r="LAT312" s="287"/>
      <c r="LAU312" s="287"/>
      <c r="LAV312" s="287"/>
      <c r="LAW312" s="287"/>
      <c r="LAX312" s="287"/>
      <c r="LAY312" s="287"/>
      <c r="LAZ312" s="287"/>
      <c r="LBA312" s="287"/>
      <c r="LBB312" s="287"/>
      <c r="LBC312" s="287"/>
      <c r="LBD312" s="287"/>
      <c r="LBE312" s="287"/>
      <c r="LBF312" s="287"/>
      <c r="LBG312" s="287"/>
      <c r="LBH312" s="287"/>
      <c r="LBI312" s="287"/>
      <c r="LBJ312" s="287"/>
      <c r="LBK312" s="287"/>
      <c r="LBL312" s="287"/>
      <c r="LBM312" s="287"/>
      <c r="LBN312" s="287"/>
      <c r="LBO312" s="287"/>
      <c r="LBP312" s="287"/>
      <c r="LBQ312" s="287"/>
      <c r="LBR312" s="287"/>
      <c r="LBS312" s="287"/>
      <c r="LBT312" s="287"/>
      <c r="LBU312" s="287"/>
      <c r="LBV312" s="287"/>
      <c r="LBW312" s="287"/>
      <c r="LBX312" s="287"/>
      <c r="LBY312" s="287"/>
      <c r="LBZ312" s="287"/>
      <c r="LCA312" s="287"/>
      <c r="LCB312" s="287"/>
      <c r="LCC312" s="287"/>
      <c r="LCD312" s="287"/>
      <c r="LCE312" s="287"/>
      <c r="LCF312" s="287"/>
      <c r="LCG312" s="287"/>
      <c r="LCH312" s="287"/>
      <c r="LCI312" s="287"/>
      <c r="LCJ312" s="287"/>
      <c r="LCK312" s="287"/>
      <c r="LCL312" s="287"/>
      <c r="LCM312" s="287"/>
      <c r="LCN312" s="287"/>
      <c r="LCO312" s="287"/>
      <c r="LCP312" s="287"/>
      <c r="LCQ312" s="287"/>
      <c r="LCR312" s="287"/>
      <c r="LCS312" s="287"/>
      <c r="LCT312" s="287"/>
      <c r="LCU312" s="287"/>
      <c r="LCV312" s="287"/>
      <c r="LCW312" s="287"/>
      <c r="LCX312" s="287"/>
      <c r="LCY312" s="287"/>
      <c r="LCZ312" s="287"/>
      <c r="LDA312" s="287"/>
      <c r="LDB312" s="287"/>
      <c r="LDC312" s="287"/>
      <c r="LDD312" s="287"/>
      <c r="LDE312" s="287"/>
      <c r="LDF312" s="287"/>
      <c r="LDG312" s="287"/>
      <c r="LDH312" s="287"/>
      <c r="LDI312" s="287"/>
      <c r="LDJ312" s="287"/>
      <c r="LDK312" s="287"/>
      <c r="LDL312" s="287"/>
      <c r="LDM312" s="287"/>
      <c r="LDN312" s="287"/>
      <c r="LDO312" s="287"/>
      <c r="LDP312" s="287"/>
      <c r="LDQ312" s="287"/>
      <c r="LDR312" s="287"/>
      <c r="LDS312" s="287"/>
      <c r="LDT312" s="287"/>
      <c r="LDU312" s="287"/>
      <c r="LDV312" s="287"/>
      <c r="LDW312" s="287"/>
      <c r="LDX312" s="287"/>
      <c r="LDY312" s="287"/>
      <c r="LDZ312" s="287"/>
      <c r="LEA312" s="287"/>
      <c r="LEB312" s="287"/>
      <c r="LEC312" s="287"/>
      <c r="LED312" s="287"/>
      <c r="LEE312" s="287"/>
      <c r="LEF312" s="287"/>
      <c r="LEG312" s="287"/>
      <c r="LEH312" s="287"/>
      <c r="LEI312" s="287"/>
      <c r="LEJ312" s="287"/>
      <c r="LEK312" s="287"/>
      <c r="LEL312" s="287"/>
      <c r="LEM312" s="287"/>
      <c r="LEN312" s="287"/>
      <c r="LEO312" s="287"/>
      <c r="LEP312" s="287"/>
      <c r="LEQ312" s="287"/>
      <c r="LER312" s="287"/>
      <c r="LES312" s="287"/>
      <c r="LET312" s="287"/>
      <c r="LEU312" s="287"/>
      <c r="LEV312" s="287"/>
      <c r="LEW312" s="287"/>
      <c r="LEX312" s="287"/>
      <c r="LEY312" s="287"/>
      <c r="LEZ312" s="287"/>
      <c r="LFA312" s="287"/>
      <c r="LFB312" s="287"/>
      <c r="LFC312" s="287"/>
      <c r="LFD312" s="287"/>
      <c r="LFE312" s="287"/>
      <c r="LFF312" s="287"/>
      <c r="LFG312" s="287"/>
      <c r="LFH312" s="287"/>
      <c r="LFI312" s="287"/>
      <c r="LFJ312" s="287"/>
      <c r="LFK312" s="287"/>
      <c r="LFL312" s="287"/>
      <c r="LFM312" s="287"/>
      <c r="LFN312" s="287"/>
      <c r="LFO312" s="287"/>
      <c r="LFP312" s="287"/>
      <c r="LFQ312" s="287"/>
      <c r="LFR312" s="287"/>
      <c r="LFS312" s="287"/>
      <c r="LFT312" s="287"/>
      <c r="LFU312" s="287"/>
      <c r="LFV312" s="287"/>
      <c r="LFW312" s="287"/>
      <c r="LFX312" s="287"/>
      <c r="LFY312" s="287"/>
      <c r="LFZ312" s="287"/>
      <c r="LGA312" s="287"/>
      <c r="LGB312" s="287"/>
      <c r="LGC312" s="287"/>
      <c r="LGD312" s="287"/>
      <c r="LGE312" s="287"/>
      <c r="LGF312" s="287"/>
      <c r="LGG312" s="287"/>
      <c r="LGH312" s="287"/>
      <c r="LGI312" s="287"/>
      <c r="LGJ312" s="287"/>
      <c r="LGK312" s="287"/>
      <c r="LGL312" s="287"/>
      <c r="LGM312" s="287"/>
      <c r="LGN312" s="287"/>
      <c r="LGO312" s="287"/>
      <c r="LGP312" s="287"/>
      <c r="LGQ312" s="287"/>
      <c r="LGR312" s="287"/>
      <c r="LGS312" s="287"/>
      <c r="LGT312" s="287"/>
      <c r="LGU312" s="287"/>
      <c r="LGV312" s="287"/>
      <c r="LGW312" s="287"/>
      <c r="LGX312" s="287"/>
      <c r="LGY312" s="287"/>
      <c r="LGZ312" s="287"/>
      <c r="LHA312" s="287"/>
      <c r="LHB312" s="287"/>
      <c r="LHC312" s="287"/>
      <c r="LHD312" s="287"/>
      <c r="LHE312" s="287"/>
      <c r="LHF312" s="287"/>
      <c r="LHG312" s="287"/>
      <c r="LHH312" s="287"/>
      <c r="LHI312" s="287"/>
      <c r="LHJ312" s="287"/>
      <c r="LHK312" s="287"/>
      <c r="LHL312" s="287"/>
      <c r="LHM312" s="287"/>
      <c r="LHN312" s="287"/>
      <c r="LHO312" s="287"/>
      <c r="LHP312" s="287"/>
      <c r="LHQ312" s="287"/>
      <c r="LHR312" s="287"/>
      <c r="LHS312" s="287"/>
      <c r="LHT312" s="287"/>
      <c r="LHU312" s="287"/>
      <c r="LHV312" s="287"/>
      <c r="LHW312" s="287"/>
      <c r="LHX312" s="287"/>
      <c r="LHY312" s="287"/>
      <c r="LHZ312" s="287"/>
      <c r="LIA312" s="287"/>
      <c r="LIB312" s="287"/>
      <c r="LIC312" s="287"/>
      <c r="LID312" s="287"/>
      <c r="LIE312" s="287"/>
      <c r="LIF312" s="287"/>
      <c r="LIG312" s="287"/>
      <c r="LIH312" s="287"/>
      <c r="LII312" s="287"/>
      <c r="LIJ312" s="287"/>
      <c r="LIK312" s="287"/>
      <c r="LIL312" s="287"/>
      <c r="LIM312" s="287"/>
      <c r="LIN312" s="287"/>
      <c r="LIO312" s="287"/>
      <c r="LIP312" s="287"/>
      <c r="LIQ312" s="287"/>
      <c r="LIR312" s="287"/>
      <c r="LIS312" s="287"/>
      <c r="LIT312" s="287"/>
      <c r="LIU312" s="287"/>
      <c r="LIV312" s="287"/>
      <c r="LIW312" s="287"/>
      <c r="LIX312" s="287"/>
      <c r="LIY312" s="287"/>
      <c r="LIZ312" s="287"/>
      <c r="LJA312" s="287"/>
      <c r="LJB312" s="287"/>
      <c r="LJC312" s="287"/>
      <c r="LJD312" s="287"/>
      <c r="LJE312" s="287"/>
      <c r="LJF312" s="287"/>
      <c r="LJG312" s="287"/>
      <c r="LJH312" s="287"/>
      <c r="LJI312" s="287"/>
      <c r="LJJ312" s="287"/>
      <c r="LJK312" s="287"/>
      <c r="LJL312" s="287"/>
      <c r="LJM312" s="287"/>
      <c r="LJN312" s="287"/>
      <c r="LJO312" s="287"/>
      <c r="LJP312" s="287"/>
      <c r="LJQ312" s="287"/>
      <c r="LJR312" s="287"/>
      <c r="LJS312" s="287"/>
      <c r="LJT312" s="287"/>
      <c r="LJU312" s="287"/>
      <c r="LJV312" s="287"/>
      <c r="LJW312" s="287"/>
      <c r="LJX312" s="287"/>
      <c r="LJY312" s="287"/>
      <c r="LJZ312" s="287"/>
      <c r="LKA312" s="287"/>
      <c r="LKB312" s="287"/>
      <c r="LKC312" s="287"/>
      <c r="LKD312" s="287"/>
      <c r="LKE312" s="287"/>
      <c r="LKF312" s="287"/>
      <c r="LKG312" s="287"/>
      <c r="LKH312" s="287"/>
      <c r="LKI312" s="287"/>
      <c r="LKJ312" s="287"/>
      <c r="LKK312" s="287"/>
      <c r="LKL312" s="287"/>
      <c r="LKM312" s="287"/>
      <c r="LKN312" s="287"/>
      <c r="LKO312" s="287"/>
      <c r="LKP312" s="287"/>
      <c r="LKQ312" s="287"/>
      <c r="LKR312" s="287"/>
      <c r="LKS312" s="287"/>
      <c r="LKT312" s="287"/>
      <c r="LKU312" s="287"/>
      <c r="LKV312" s="287"/>
      <c r="LKW312" s="287"/>
      <c r="LKX312" s="287"/>
      <c r="LKY312" s="287"/>
      <c r="LKZ312" s="287"/>
      <c r="LLA312" s="287"/>
      <c r="LLB312" s="287"/>
      <c r="LLC312" s="287"/>
      <c r="LLD312" s="287"/>
      <c r="LLE312" s="287"/>
      <c r="LLF312" s="287"/>
      <c r="LLG312" s="287"/>
      <c r="LLH312" s="287"/>
      <c r="LLI312" s="287"/>
      <c r="LLJ312" s="287"/>
      <c r="LLK312" s="287"/>
      <c r="LLL312" s="287"/>
      <c r="LLM312" s="287"/>
      <c r="LLN312" s="287"/>
      <c r="LLO312" s="287"/>
      <c r="LLP312" s="287"/>
      <c r="LLQ312" s="287"/>
      <c r="LLR312" s="287"/>
      <c r="LLS312" s="287"/>
      <c r="LLT312" s="287"/>
      <c r="LLU312" s="287"/>
      <c r="LLV312" s="287"/>
      <c r="LLW312" s="287"/>
      <c r="LLX312" s="287"/>
      <c r="LLY312" s="287"/>
      <c r="LLZ312" s="287"/>
      <c r="LMA312" s="287"/>
      <c r="LMB312" s="287"/>
      <c r="LMC312" s="287"/>
      <c r="LMD312" s="287"/>
      <c r="LME312" s="287"/>
      <c r="LMF312" s="287"/>
      <c r="LMG312" s="287"/>
      <c r="LMH312" s="287"/>
      <c r="LMI312" s="287"/>
      <c r="LMJ312" s="287"/>
      <c r="LMK312" s="287"/>
      <c r="LML312" s="287"/>
      <c r="LMM312" s="287"/>
      <c r="LMN312" s="287"/>
      <c r="LMO312" s="287"/>
      <c r="LMP312" s="287"/>
      <c r="LMQ312" s="287"/>
      <c r="LMR312" s="287"/>
      <c r="LMS312" s="287"/>
      <c r="LMT312" s="287"/>
      <c r="LMU312" s="287"/>
      <c r="LMV312" s="287"/>
      <c r="LMW312" s="287"/>
      <c r="LMX312" s="287"/>
      <c r="LMY312" s="287"/>
      <c r="LMZ312" s="287"/>
      <c r="LNA312" s="287"/>
      <c r="LNB312" s="287"/>
      <c r="LNC312" s="287"/>
      <c r="LND312" s="287"/>
      <c r="LNE312" s="287"/>
      <c r="LNF312" s="287"/>
      <c r="LNG312" s="287"/>
      <c r="LNH312" s="287"/>
      <c r="LNI312" s="287"/>
      <c r="LNJ312" s="287"/>
      <c r="LNK312" s="287"/>
      <c r="LNL312" s="287"/>
      <c r="LNM312" s="287"/>
      <c r="LNN312" s="287"/>
      <c r="LNO312" s="287"/>
      <c r="LNP312" s="287"/>
      <c r="LNQ312" s="287"/>
      <c r="LNR312" s="287"/>
      <c r="LNS312" s="287"/>
      <c r="LNT312" s="287"/>
      <c r="LNU312" s="287"/>
      <c r="LNV312" s="287"/>
      <c r="LNW312" s="287"/>
      <c r="LNX312" s="287"/>
      <c r="LNY312" s="287"/>
      <c r="LNZ312" s="287"/>
      <c r="LOA312" s="287"/>
      <c r="LOB312" s="287"/>
      <c r="LOC312" s="287"/>
      <c r="LOD312" s="287"/>
      <c r="LOE312" s="287"/>
      <c r="LOF312" s="287"/>
      <c r="LOG312" s="287"/>
      <c r="LOH312" s="287"/>
      <c r="LOI312" s="287"/>
      <c r="LOJ312" s="287"/>
      <c r="LOK312" s="287"/>
      <c r="LOL312" s="287"/>
      <c r="LOM312" s="287"/>
      <c r="LON312" s="287"/>
      <c r="LOO312" s="287"/>
      <c r="LOP312" s="287"/>
      <c r="LOQ312" s="287"/>
      <c r="LOR312" s="287"/>
      <c r="LOS312" s="287"/>
      <c r="LOT312" s="287"/>
      <c r="LOU312" s="287"/>
      <c r="LOV312" s="287"/>
      <c r="LOW312" s="287"/>
      <c r="LOX312" s="287"/>
      <c r="LOY312" s="287"/>
      <c r="LOZ312" s="287"/>
      <c r="LPA312" s="287"/>
      <c r="LPB312" s="287"/>
      <c r="LPC312" s="287"/>
      <c r="LPD312" s="287"/>
      <c r="LPE312" s="287"/>
      <c r="LPF312" s="287"/>
      <c r="LPG312" s="287"/>
      <c r="LPH312" s="287"/>
      <c r="LPI312" s="287"/>
      <c r="LPJ312" s="287"/>
      <c r="LPK312" s="287"/>
      <c r="LPL312" s="287"/>
      <c r="LPM312" s="287"/>
      <c r="LPN312" s="287"/>
      <c r="LPO312" s="287"/>
      <c r="LPP312" s="287"/>
      <c r="LPQ312" s="287"/>
      <c r="LPR312" s="287"/>
      <c r="LPS312" s="287"/>
      <c r="LPT312" s="287"/>
      <c r="LPU312" s="287"/>
      <c r="LPV312" s="287"/>
      <c r="LPW312" s="287"/>
      <c r="LPX312" s="287"/>
      <c r="LPY312" s="287"/>
      <c r="LPZ312" s="287"/>
      <c r="LQA312" s="287"/>
      <c r="LQB312" s="287"/>
      <c r="LQC312" s="287"/>
      <c r="LQD312" s="287"/>
      <c r="LQE312" s="287"/>
      <c r="LQF312" s="287"/>
      <c r="LQG312" s="287"/>
      <c r="LQH312" s="287"/>
      <c r="LQI312" s="287"/>
      <c r="LQJ312" s="287"/>
      <c r="LQK312" s="287"/>
      <c r="LQL312" s="287"/>
      <c r="LQM312" s="287"/>
      <c r="LQN312" s="287"/>
      <c r="LQO312" s="287"/>
      <c r="LQP312" s="287"/>
      <c r="LQQ312" s="287"/>
      <c r="LQR312" s="287"/>
      <c r="LQS312" s="287"/>
      <c r="LQT312" s="287"/>
      <c r="LQU312" s="287"/>
      <c r="LQV312" s="287"/>
      <c r="LQW312" s="287"/>
      <c r="LQX312" s="287"/>
      <c r="LQY312" s="287"/>
      <c r="LQZ312" s="287"/>
      <c r="LRA312" s="287"/>
      <c r="LRB312" s="287"/>
      <c r="LRC312" s="287"/>
      <c r="LRD312" s="287"/>
      <c r="LRE312" s="287"/>
      <c r="LRF312" s="287"/>
      <c r="LRG312" s="287"/>
      <c r="LRH312" s="287"/>
      <c r="LRI312" s="287"/>
      <c r="LRJ312" s="287"/>
      <c r="LRK312" s="287"/>
      <c r="LRL312" s="287"/>
      <c r="LRM312" s="287"/>
      <c r="LRN312" s="287"/>
      <c r="LRO312" s="287"/>
      <c r="LRP312" s="287"/>
      <c r="LRQ312" s="287"/>
      <c r="LRR312" s="287"/>
      <c r="LRS312" s="287"/>
      <c r="LRT312" s="287"/>
      <c r="LRU312" s="287"/>
      <c r="LRV312" s="287"/>
      <c r="LRW312" s="287"/>
      <c r="LRX312" s="287"/>
      <c r="LRY312" s="287"/>
      <c r="LRZ312" s="287"/>
      <c r="LSA312" s="287"/>
      <c r="LSB312" s="287"/>
      <c r="LSC312" s="287"/>
      <c r="LSD312" s="287"/>
      <c r="LSE312" s="287"/>
      <c r="LSF312" s="287"/>
      <c r="LSG312" s="287"/>
      <c r="LSH312" s="287"/>
      <c r="LSI312" s="287"/>
      <c r="LSJ312" s="287"/>
      <c r="LSK312" s="287"/>
      <c r="LSL312" s="287"/>
      <c r="LSM312" s="287"/>
      <c r="LSN312" s="287"/>
      <c r="LSO312" s="287"/>
      <c r="LSP312" s="287"/>
      <c r="LSQ312" s="287"/>
      <c r="LSR312" s="287"/>
      <c r="LSS312" s="287"/>
      <c r="LST312" s="287"/>
      <c r="LSU312" s="287"/>
      <c r="LSV312" s="287"/>
      <c r="LSW312" s="287"/>
      <c r="LSX312" s="287"/>
      <c r="LSY312" s="287"/>
      <c r="LSZ312" s="287"/>
      <c r="LTA312" s="287"/>
      <c r="LTB312" s="287"/>
      <c r="LTC312" s="287"/>
      <c r="LTD312" s="287"/>
      <c r="LTE312" s="287"/>
      <c r="LTF312" s="287"/>
      <c r="LTG312" s="287"/>
      <c r="LTH312" s="287"/>
      <c r="LTI312" s="287"/>
      <c r="LTJ312" s="287"/>
      <c r="LTK312" s="287"/>
      <c r="LTL312" s="287"/>
      <c r="LTM312" s="287"/>
      <c r="LTN312" s="287"/>
      <c r="LTO312" s="287"/>
      <c r="LTP312" s="287"/>
      <c r="LTQ312" s="287"/>
      <c r="LTR312" s="287"/>
      <c r="LTS312" s="287"/>
      <c r="LTT312" s="287"/>
      <c r="LTU312" s="287"/>
      <c r="LTV312" s="287"/>
      <c r="LTW312" s="287"/>
      <c r="LTX312" s="287"/>
      <c r="LTY312" s="287"/>
      <c r="LTZ312" s="287"/>
      <c r="LUA312" s="287"/>
      <c r="LUB312" s="287"/>
      <c r="LUC312" s="287"/>
      <c r="LUD312" s="287"/>
      <c r="LUE312" s="287"/>
      <c r="LUF312" s="287"/>
      <c r="LUG312" s="287"/>
      <c r="LUH312" s="287"/>
      <c r="LUI312" s="287"/>
      <c r="LUJ312" s="287"/>
      <c r="LUK312" s="287"/>
      <c r="LUL312" s="287"/>
      <c r="LUM312" s="287"/>
      <c r="LUN312" s="287"/>
      <c r="LUO312" s="287"/>
      <c r="LUP312" s="287"/>
      <c r="LUQ312" s="287"/>
      <c r="LUR312" s="287"/>
      <c r="LUS312" s="287"/>
      <c r="LUT312" s="287"/>
      <c r="LUU312" s="287"/>
      <c r="LUV312" s="287"/>
      <c r="LUW312" s="287"/>
      <c r="LUX312" s="287"/>
      <c r="LUY312" s="287"/>
      <c r="LUZ312" s="287"/>
      <c r="LVA312" s="287"/>
      <c r="LVB312" s="287"/>
      <c r="LVC312" s="287"/>
      <c r="LVD312" s="287"/>
      <c r="LVE312" s="287"/>
      <c r="LVF312" s="287"/>
      <c r="LVG312" s="287"/>
      <c r="LVH312" s="287"/>
      <c r="LVI312" s="287"/>
      <c r="LVJ312" s="287"/>
      <c r="LVK312" s="287"/>
      <c r="LVL312" s="287"/>
      <c r="LVM312" s="287"/>
      <c r="LVN312" s="287"/>
      <c r="LVO312" s="287"/>
      <c r="LVP312" s="287"/>
      <c r="LVQ312" s="287"/>
      <c r="LVR312" s="287"/>
      <c r="LVS312" s="287"/>
      <c r="LVT312" s="287"/>
      <c r="LVU312" s="287"/>
      <c r="LVV312" s="287"/>
      <c r="LVW312" s="287"/>
      <c r="LVX312" s="287"/>
      <c r="LVY312" s="287"/>
      <c r="LVZ312" s="287"/>
      <c r="LWA312" s="287"/>
      <c r="LWB312" s="287"/>
      <c r="LWC312" s="287"/>
      <c r="LWD312" s="287"/>
      <c r="LWE312" s="287"/>
      <c r="LWF312" s="287"/>
      <c r="LWG312" s="287"/>
      <c r="LWH312" s="287"/>
      <c r="LWI312" s="287"/>
      <c r="LWJ312" s="287"/>
      <c r="LWK312" s="287"/>
      <c r="LWL312" s="287"/>
      <c r="LWM312" s="287"/>
      <c r="LWN312" s="287"/>
      <c r="LWO312" s="287"/>
      <c r="LWP312" s="287"/>
      <c r="LWQ312" s="287"/>
      <c r="LWR312" s="287"/>
      <c r="LWS312" s="287"/>
      <c r="LWT312" s="287"/>
      <c r="LWU312" s="287"/>
      <c r="LWV312" s="287"/>
      <c r="LWW312" s="287"/>
      <c r="LWX312" s="287"/>
      <c r="LWY312" s="287"/>
      <c r="LWZ312" s="287"/>
      <c r="LXA312" s="287"/>
      <c r="LXB312" s="287"/>
      <c r="LXC312" s="287"/>
      <c r="LXD312" s="287"/>
      <c r="LXE312" s="287"/>
      <c r="LXF312" s="287"/>
      <c r="LXG312" s="287"/>
      <c r="LXH312" s="287"/>
      <c r="LXI312" s="287"/>
      <c r="LXJ312" s="287"/>
      <c r="LXK312" s="287"/>
      <c r="LXL312" s="287"/>
      <c r="LXM312" s="287"/>
      <c r="LXN312" s="287"/>
      <c r="LXO312" s="287"/>
      <c r="LXP312" s="287"/>
      <c r="LXQ312" s="287"/>
      <c r="LXR312" s="287"/>
      <c r="LXS312" s="287"/>
      <c r="LXT312" s="287"/>
      <c r="LXU312" s="287"/>
      <c r="LXV312" s="287"/>
      <c r="LXW312" s="287"/>
      <c r="LXX312" s="287"/>
      <c r="LXY312" s="287"/>
      <c r="LXZ312" s="287"/>
      <c r="LYA312" s="287"/>
      <c r="LYB312" s="287"/>
      <c r="LYC312" s="287"/>
      <c r="LYD312" s="287"/>
      <c r="LYE312" s="287"/>
      <c r="LYF312" s="287"/>
      <c r="LYG312" s="287"/>
      <c r="LYH312" s="287"/>
      <c r="LYI312" s="287"/>
      <c r="LYJ312" s="287"/>
      <c r="LYK312" s="287"/>
      <c r="LYL312" s="287"/>
      <c r="LYM312" s="287"/>
      <c r="LYN312" s="287"/>
      <c r="LYO312" s="287"/>
      <c r="LYP312" s="287"/>
      <c r="LYQ312" s="287"/>
      <c r="LYR312" s="287"/>
      <c r="LYS312" s="287"/>
      <c r="LYT312" s="287"/>
      <c r="LYU312" s="287"/>
      <c r="LYV312" s="287"/>
      <c r="LYW312" s="287"/>
      <c r="LYX312" s="287"/>
      <c r="LYY312" s="287"/>
      <c r="LYZ312" s="287"/>
      <c r="LZA312" s="287"/>
      <c r="LZB312" s="287"/>
      <c r="LZC312" s="287"/>
      <c r="LZD312" s="287"/>
      <c r="LZE312" s="287"/>
      <c r="LZF312" s="287"/>
      <c r="LZG312" s="287"/>
      <c r="LZH312" s="287"/>
      <c r="LZI312" s="287"/>
      <c r="LZJ312" s="287"/>
      <c r="LZK312" s="287"/>
      <c r="LZL312" s="287"/>
      <c r="LZM312" s="287"/>
      <c r="LZN312" s="287"/>
      <c r="LZO312" s="287"/>
      <c r="LZP312" s="287"/>
      <c r="LZQ312" s="287"/>
      <c r="LZR312" s="287"/>
      <c r="LZS312" s="287"/>
      <c r="LZT312" s="287"/>
      <c r="LZU312" s="287"/>
      <c r="LZV312" s="287"/>
      <c r="LZW312" s="287"/>
      <c r="LZX312" s="287"/>
      <c r="LZY312" s="287"/>
      <c r="LZZ312" s="287"/>
      <c r="MAA312" s="287"/>
      <c r="MAB312" s="287"/>
      <c r="MAC312" s="287"/>
      <c r="MAD312" s="287"/>
      <c r="MAE312" s="287"/>
      <c r="MAF312" s="287"/>
      <c r="MAG312" s="287"/>
      <c r="MAH312" s="287"/>
      <c r="MAI312" s="287"/>
      <c r="MAJ312" s="287"/>
      <c r="MAK312" s="287"/>
      <c r="MAL312" s="287"/>
      <c r="MAM312" s="287"/>
      <c r="MAN312" s="287"/>
      <c r="MAO312" s="287"/>
      <c r="MAP312" s="287"/>
      <c r="MAQ312" s="287"/>
      <c r="MAR312" s="287"/>
      <c r="MAS312" s="287"/>
      <c r="MAT312" s="287"/>
      <c r="MAU312" s="287"/>
      <c r="MAV312" s="287"/>
      <c r="MAW312" s="287"/>
      <c r="MAX312" s="287"/>
      <c r="MAY312" s="287"/>
      <c r="MAZ312" s="287"/>
      <c r="MBA312" s="287"/>
      <c r="MBB312" s="287"/>
      <c r="MBC312" s="287"/>
      <c r="MBD312" s="287"/>
      <c r="MBE312" s="287"/>
      <c r="MBF312" s="287"/>
      <c r="MBG312" s="287"/>
      <c r="MBH312" s="287"/>
      <c r="MBI312" s="287"/>
      <c r="MBJ312" s="287"/>
      <c r="MBK312" s="287"/>
      <c r="MBL312" s="287"/>
      <c r="MBM312" s="287"/>
      <c r="MBN312" s="287"/>
      <c r="MBO312" s="287"/>
      <c r="MBP312" s="287"/>
      <c r="MBQ312" s="287"/>
      <c r="MBR312" s="287"/>
      <c r="MBS312" s="287"/>
      <c r="MBT312" s="287"/>
      <c r="MBU312" s="287"/>
      <c r="MBV312" s="287"/>
      <c r="MBW312" s="287"/>
      <c r="MBX312" s="287"/>
      <c r="MBY312" s="287"/>
      <c r="MBZ312" s="287"/>
      <c r="MCA312" s="287"/>
      <c r="MCB312" s="287"/>
      <c r="MCC312" s="287"/>
      <c r="MCD312" s="287"/>
      <c r="MCE312" s="287"/>
      <c r="MCF312" s="287"/>
      <c r="MCG312" s="287"/>
      <c r="MCH312" s="287"/>
      <c r="MCI312" s="287"/>
      <c r="MCJ312" s="287"/>
      <c r="MCK312" s="287"/>
      <c r="MCL312" s="287"/>
      <c r="MCM312" s="287"/>
      <c r="MCN312" s="287"/>
      <c r="MCO312" s="287"/>
      <c r="MCP312" s="287"/>
      <c r="MCQ312" s="287"/>
      <c r="MCR312" s="287"/>
      <c r="MCS312" s="287"/>
      <c r="MCT312" s="287"/>
      <c r="MCU312" s="287"/>
      <c r="MCV312" s="287"/>
      <c r="MCW312" s="287"/>
      <c r="MCX312" s="287"/>
      <c r="MCY312" s="287"/>
      <c r="MCZ312" s="287"/>
      <c r="MDA312" s="287"/>
      <c r="MDB312" s="287"/>
      <c r="MDC312" s="287"/>
      <c r="MDD312" s="287"/>
      <c r="MDE312" s="287"/>
      <c r="MDF312" s="287"/>
      <c r="MDG312" s="287"/>
      <c r="MDH312" s="287"/>
      <c r="MDI312" s="287"/>
      <c r="MDJ312" s="287"/>
      <c r="MDK312" s="287"/>
      <c r="MDL312" s="287"/>
      <c r="MDM312" s="287"/>
      <c r="MDN312" s="287"/>
      <c r="MDO312" s="287"/>
      <c r="MDP312" s="287"/>
      <c r="MDQ312" s="287"/>
      <c r="MDR312" s="287"/>
      <c r="MDS312" s="287"/>
      <c r="MDT312" s="287"/>
      <c r="MDU312" s="287"/>
      <c r="MDV312" s="287"/>
      <c r="MDW312" s="287"/>
      <c r="MDX312" s="287"/>
      <c r="MDY312" s="287"/>
      <c r="MDZ312" s="287"/>
      <c r="MEA312" s="287"/>
      <c r="MEB312" s="287"/>
      <c r="MEC312" s="287"/>
      <c r="MED312" s="287"/>
      <c r="MEE312" s="287"/>
      <c r="MEF312" s="287"/>
      <c r="MEG312" s="287"/>
      <c r="MEH312" s="287"/>
      <c r="MEI312" s="287"/>
      <c r="MEJ312" s="287"/>
      <c r="MEK312" s="287"/>
      <c r="MEL312" s="287"/>
      <c r="MEM312" s="287"/>
      <c r="MEN312" s="287"/>
      <c r="MEO312" s="287"/>
      <c r="MEP312" s="287"/>
      <c r="MEQ312" s="287"/>
      <c r="MER312" s="287"/>
      <c r="MES312" s="287"/>
      <c r="MET312" s="287"/>
      <c r="MEU312" s="287"/>
      <c r="MEV312" s="287"/>
      <c r="MEW312" s="287"/>
      <c r="MEX312" s="287"/>
      <c r="MEY312" s="287"/>
      <c r="MEZ312" s="287"/>
      <c r="MFA312" s="287"/>
      <c r="MFB312" s="287"/>
      <c r="MFC312" s="287"/>
      <c r="MFD312" s="287"/>
      <c r="MFE312" s="287"/>
      <c r="MFF312" s="287"/>
      <c r="MFG312" s="287"/>
      <c r="MFH312" s="287"/>
      <c r="MFI312" s="287"/>
      <c r="MFJ312" s="287"/>
      <c r="MFK312" s="287"/>
      <c r="MFL312" s="287"/>
      <c r="MFM312" s="287"/>
      <c r="MFN312" s="287"/>
      <c r="MFO312" s="287"/>
      <c r="MFP312" s="287"/>
      <c r="MFQ312" s="287"/>
      <c r="MFR312" s="287"/>
      <c r="MFS312" s="287"/>
      <c r="MFT312" s="287"/>
      <c r="MFU312" s="287"/>
      <c r="MFV312" s="287"/>
      <c r="MFW312" s="287"/>
      <c r="MFX312" s="287"/>
      <c r="MFY312" s="287"/>
      <c r="MFZ312" s="287"/>
      <c r="MGA312" s="287"/>
      <c r="MGB312" s="287"/>
      <c r="MGC312" s="287"/>
      <c r="MGD312" s="287"/>
      <c r="MGE312" s="287"/>
      <c r="MGF312" s="287"/>
      <c r="MGG312" s="287"/>
      <c r="MGH312" s="287"/>
      <c r="MGI312" s="287"/>
      <c r="MGJ312" s="287"/>
      <c r="MGK312" s="287"/>
      <c r="MGL312" s="287"/>
      <c r="MGM312" s="287"/>
      <c r="MGN312" s="287"/>
      <c r="MGO312" s="287"/>
      <c r="MGP312" s="287"/>
      <c r="MGQ312" s="287"/>
      <c r="MGR312" s="287"/>
      <c r="MGS312" s="287"/>
      <c r="MGT312" s="287"/>
      <c r="MGU312" s="287"/>
      <c r="MGV312" s="287"/>
      <c r="MGW312" s="287"/>
      <c r="MGX312" s="287"/>
      <c r="MGY312" s="287"/>
      <c r="MGZ312" s="287"/>
      <c r="MHA312" s="287"/>
      <c r="MHB312" s="287"/>
      <c r="MHC312" s="287"/>
      <c r="MHD312" s="287"/>
      <c r="MHE312" s="287"/>
      <c r="MHF312" s="287"/>
      <c r="MHG312" s="287"/>
      <c r="MHH312" s="287"/>
      <c r="MHI312" s="287"/>
      <c r="MHJ312" s="287"/>
      <c r="MHK312" s="287"/>
      <c r="MHL312" s="287"/>
      <c r="MHM312" s="287"/>
      <c r="MHN312" s="287"/>
      <c r="MHO312" s="287"/>
      <c r="MHP312" s="287"/>
      <c r="MHQ312" s="287"/>
      <c r="MHR312" s="287"/>
      <c r="MHS312" s="287"/>
      <c r="MHT312" s="287"/>
      <c r="MHU312" s="287"/>
      <c r="MHV312" s="287"/>
      <c r="MHW312" s="287"/>
      <c r="MHX312" s="287"/>
      <c r="MHY312" s="287"/>
      <c r="MHZ312" s="287"/>
      <c r="MIA312" s="287"/>
      <c r="MIB312" s="287"/>
      <c r="MIC312" s="287"/>
      <c r="MID312" s="287"/>
      <c r="MIE312" s="287"/>
      <c r="MIF312" s="287"/>
      <c r="MIG312" s="287"/>
      <c r="MIH312" s="287"/>
      <c r="MII312" s="287"/>
      <c r="MIJ312" s="287"/>
      <c r="MIK312" s="287"/>
      <c r="MIL312" s="287"/>
      <c r="MIM312" s="287"/>
      <c r="MIN312" s="287"/>
      <c r="MIO312" s="287"/>
      <c r="MIP312" s="287"/>
      <c r="MIQ312" s="287"/>
      <c r="MIR312" s="287"/>
      <c r="MIS312" s="287"/>
      <c r="MIT312" s="287"/>
      <c r="MIU312" s="287"/>
      <c r="MIV312" s="287"/>
      <c r="MIW312" s="287"/>
      <c r="MIX312" s="287"/>
      <c r="MIY312" s="287"/>
      <c r="MIZ312" s="287"/>
      <c r="MJA312" s="287"/>
      <c r="MJB312" s="287"/>
      <c r="MJC312" s="287"/>
      <c r="MJD312" s="287"/>
      <c r="MJE312" s="287"/>
      <c r="MJF312" s="287"/>
      <c r="MJG312" s="287"/>
      <c r="MJH312" s="287"/>
      <c r="MJI312" s="287"/>
      <c r="MJJ312" s="287"/>
      <c r="MJK312" s="287"/>
      <c r="MJL312" s="287"/>
      <c r="MJM312" s="287"/>
      <c r="MJN312" s="287"/>
      <c r="MJO312" s="287"/>
      <c r="MJP312" s="287"/>
      <c r="MJQ312" s="287"/>
      <c r="MJR312" s="287"/>
      <c r="MJS312" s="287"/>
      <c r="MJT312" s="287"/>
      <c r="MJU312" s="287"/>
      <c r="MJV312" s="287"/>
      <c r="MJW312" s="287"/>
      <c r="MJX312" s="287"/>
      <c r="MJY312" s="287"/>
      <c r="MJZ312" s="287"/>
      <c r="MKA312" s="287"/>
      <c r="MKB312" s="287"/>
      <c r="MKC312" s="287"/>
      <c r="MKD312" s="287"/>
      <c r="MKE312" s="287"/>
      <c r="MKF312" s="287"/>
      <c r="MKG312" s="287"/>
      <c r="MKH312" s="287"/>
      <c r="MKI312" s="287"/>
      <c r="MKJ312" s="287"/>
      <c r="MKK312" s="287"/>
      <c r="MKL312" s="287"/>
      <c r="MKM312" s="287"/>
      <c r="MKN312" s="287"/>
      <c r="MKO312" s="287"/>
      <c r="MKP312" s="287"/>
      <c r="MKQ312" s="287"/>
      <c r="MKR312" s="287"/>
      <c r="MKS312" s="287"/>
      <c r="MKT312" s="287"/>
      <c r="MKU312" s="287"/>
      <c r="MKV312" s="287"/>
      <c r="MKW312" s="287"/>
      <c r="MKX312" s="287"/>
      <c r="MKY312" s="287"/>
      <c r="MKZ312" s="287"/>
      <c r="MLA312" s="287"/>
      <c r="MLB312" s="287"/>
      <c r="MLC312" s="287"/>
      <c r="MLD312" s="287"/>
      <c r="MLE312" s="287"/>
      <c r="MLF312" s="287"/>
      <c r="MLG312" s="287"/>
      <c r="MLH312" s="287"/>
      <c r="MLI312" s="287"/>
      <c r="MLJ312" s="287"/>
      <c r="MLK312" s="287"/>
      <c r="MLL312" s="287"/>
      <c r="MLM312" s="287"/>
      <c r="MLN312" s="287"/>
      <c r="MLO312" s="287"/>
      <c r="MLP312" s="287"/>
      <c r="MLQ312" s="287"/>
      <c r="MLR312" s="287"/>
      <c r="MLS312" s="287"/>
      <c r="MLT312" s="287"/>
      <c r="MLU312" s="287"/>
      <c r="MLV312" s="287"/>
      <c r="MLW312" s="287"/>
      <c r="MLX312" s="287"/>
      <c r="MLY312" s="287"/>
      <c r="MLZ312" s="287"/>
      <c r="MMA312" s="287"/>
      <c r="MMB312" s="287"/>
      <c r="MMC312" s="287"/>
      <c r="MMD312" s="287"/>
      <c r="MME312" s="287"/>
      <c r="MMF312" s="287"/>
      <c r="MMG312" s="287"/>
      <c r="MMH312" s="287"/>
      <c r="MMI312" s="287"/>
      <c r="MMJ312" s="287"/>
      <c r="MMK312" s="287"/>
      <c r="MML312" s="287"/>
      <c r="MMM312" s="287"/>
      <c r="MMN312" s="287"/>
      <c r="MMO312" s="287"/>
      <c r="MMP312" s="287"/>
      <c r="MMQ312" s="287"/>
      <c r="MMR312" s="287"/>
      <c r="MMS312" s="287"/>
      <c r="MMT312" s="287"/>
      <c r="MMU312" s="287"/>
      <c r="MMV312" s="287"/>
      <c r="MMW312" s="287"/>
      <c r="MMX312" s="287"/>
      <c r="MMY312" s="287"/>
      <c r="MMZ312" s="287"/>
      <c r="MNA312" s="287"/>
      <c r="MNB312" s="287"/>
      <c r="MNC312" s="287"/>
      <c r="MND312" s="287"/>
      <c r="MNE312" s="287"/>
      <c r="MNF312" s="287"/>
      <c r="MNG312" s="287"/>
      <c r="MNH312" s="287"/>
      <c r="MNI312" s="287"/>
      <c r="MNJ312" s="287"/>
      <c r="MNK312" s="287"/>
      <c r="MNL312" s="287"/>
      <c r="MNM312" s="287"/>
      <c r="MNN312" s="287"/>
      <c r="MNO312" s="287"/>
      <c r="MNP312" s="287"/>
      <c r="MNQ312" s="287"/>
      <c r="MNR312" s="287"/>
      <c r="MNS312" s="287"/>
      <c r="MNT312" s="287"/>
      <c r="MNU312" s="287"/>
      <c r="MNV312" s="287"/>
      <c r="MNW312" s="287"/>
      <c r="MNX312" s="287"/>
      <c r="MNY312" s="287"/>
      <c r="MNZ312" s="287"/>
      <c r="MOA312" s="287"/>
      <c r="MOB312" s="287"/>
      <c r="MOC312" s="287"/>
      <c r="MOD312" s="287"/>
      <c r="MOE312" s="287"/>
      <c r="MOF312" s="287"/>
      <c r="MOG312" s="287"/>
      <c r="MOH312" s="287"/>
      <c r="MOI312" s="287"/>
      <c r="MOJ312" s="287"/>
      <c r="MOK312" s="287"/>
      <c r="MOL312" s="287"/>
      <c r="MOM312" s="287"/>
      <c r="MON312" s="287"/>
      <c r="MOO312" s="287"/>
      <c r="MOP312" s="287"/>
      <c r="MOQ312" s="287"/>
      <c r="MOR312" s="287"/>
      <c r="MOS312" s="287"/>
      <c r="MOT312" s="287"/>
      <c r="MOU312" s="287"/>
      <c r="MOV312" s="287"/>
      <c r="MOW312" s="287"/>
      <c r="MOX312" s="287"/>
      <c r="MOY312" s="287"/>
      <c r="MOZ312" s="287"/>
      <c r="MPA312" s="287"/>
      <c r="MPB312" s="287"/>
      <c r="MPC312" s="287"/>
      <c r="MPD312" s="287"/>
      <c r="MPE312" s="287"/>
      <c r="MPF312" s="287"/>
      <c r="MPG312" s="287"/>
      <c r="MPH312" s="287"/>
      <c r="MPI312" s="287"/>
      <c r="MPJ312" s="287"/>
      <c r="MPK312" s="287"/>
      <c r="MPL312" s="287"/>
      <c r="MPM312" s="287"/>
      <c r="MPN312" s="287"/>
      <c r="MPO312" s="287"/>
      <c r="MPP312" s="287"/>
      <c r="MPQ312" s="287"/>
      <c r="MPR312" s="287"/>
      <c r="MPS312" s="287"/>
      <c r="MPT312" s="287"/>
      <c r="MPU312" s="287"/>
      <c r="MPV312" s="287"/>
      <c r="MPW312" s="287"/>
      <c r="MPX312" s="287"/>
      <c r="MPY312" s="287"/>
      <c r="MPZ312" s="287"/>
      <c r="MQA312" s="287"/>
      <c r="MQB312" s="287"/>
      <c r="MQC312" s="287"/>
      <c r="MQD312" s="287"/>
      <c r="MQE312" s="287"/>
      <c r="MQF312" s="287"/>
      <c r="MQG312" s="287"/>
      <c r="MQH312" s="287"/>
      <c r="MQI312" s="287"/>
      <c r="MQJ312" s="287"/>
      <c r="MQK312" s="287"/>
      <c r="MQL312" s="287"/>
      <c r="MQM312" s="287"/>
      <c r="MQN312" s="287"/>
      <c r="MQO312" s="287"/>
      <c r="MQP312" s="287"/>
      <c r="MQQ312" s="287"/>
      <c r="MQR312" s="287"/>
      <c r="MQS312" s="287"/>
      <c r="MQT312" s="287"/>
      <c r="MQU312" s="287"/>
      <c r="MQV312" s="287"/>
      <c r="MQW312" s="287"/>
      <c r="MQX312" s="287"/>
      <c r="MQY312" s="287"/>
      <c r="MQZ312" s="287"/>
      <c r="MRA312" s="287"/>
      <c r="MRB312" s="287"/>
      <c r="MRC312" s="287"/>
      <c r="MRD312" s="287"/>
      <c r="MRE312" s="287"/>
      <c r="MRF312" s="287"/>
      <c r="MRG312" s="287"/>
      <c r="MRH312" s="287"/>
      <c r="MRI312" s="287"/>
      <c r="MRJ312" s="287"/>
      <c r="MRK312" s="287"/>
      <c r="MRL312" s="287"/>
      <c r="MRM312" s="287"/>
      <c r="MRN312" s="287"/>
      <c r="MRO312" s="287"/>
      <c r="MRP312" s="287"/>
      <c r="MRQ312" s="287"/>
      <c r="MRR312" s="287"/>
      <c r="MRS312" s="287"/>
      <c r="MRT312" s="287"/>
      <c r="MRU312" s="287"/>
      <c r="MRV312" s="287"/>
      <c r="MRW312" s="287"/>
      <c r="MRX312" s="287"/>
      <c r="MRY312" s="287"/>
      <c r="MRZ312" s="287"/>
      <c r="MSA312" s="287"/>
      <c r="MSB312" s="287"/>
      <c r="MSC312" s="287"/>
      <c r="MSD312" s="287"/>
      <c r="MSE312" s="287"/>
      <c r="MSF312" s="287"/>
      <c r="MSG312" s="287"/>
      <c r="MSH312" s="287"/>
      <c r="MSI312" s="287"/>
      <c r="MSJ312" s="287"/>
      <c r="MSK312" s="287"/>
      <c r="MSL312" s="287"/>
      <c r="MSM312" s="287"/>
      <c r="MSN312" s="287"/>
      <c r="MSO312" s="287"/>
      <c r="MSP312" s="287"/>
      <c r="MSQ312" s="287"/>
      <c r="MSR312" s="287"/>
      <c r="MSS312" s="287"/>
      <c r="MST312" s="287"/>
      <c r="MSU312" s="287"/>
      <c r="MSV312" s="287"/>
      <c r="MSW312" s="287"/>
      <c r="MSX312" s="287"/>
      <c r="MSY312" s="287"/>
      <c r="MSZ312" s="287"/>
      <c r="MTA312" s="287"/>
      <c r="MTB312" s="287"/>
      <c r="MTC312" s="287"/>
      <c r="MTD312" s="287"/>
      <c r="MTE312" s="287"/>
      <c r="MTF312" s="287"/>
      <c r="MTG312" s="287"/>
      <c r="MTH312" s="287"/>
      <c r="MTI312" s="287"/>
      <c r="MTJ312" s="287"/>
      <c r="MTK312" s="287"/>
      <c r="MTL312" s="287"/>
      <c r="MTM312" s="287"/>
      <c r="MTN312" s="287"/>
      <c r="MTO312" s="287"/>
      <c r="MTP312" s="287"/>
      <c r="MTQ312" s="287"/>
      <c r="MTR312" s="287"/>
      <c r="MTS312" s="287"/>
      <c r="MTT312" s="287"/>
      <c r="MTU312" s="287"/>
      <c r="MTV312" s="287"/>
      <c r="MTW312" s="287"/>
      <c r="MTX312" s="287"/>
      <c r="MTY312" s="287"/>
      <c r="MTZ312" s="287"/>
      <c r="MUA312" s="287"/>
      <c r="MUB312" s="287"/>
      <c r="MUC312" s="287"/>
      <c r="MUD312" s="287"/>
      <c r="MUE312" s="287"/>
      <c r="MUF312" s="287"/>
      <c r="MUG312" s="287"/>
      <c r="MUH312" s="287"/>
      <c r="MUI312" s="287"/>
      <c r="MUJ312" s="287"/>
      <c r="MUK312" s="287"/>
      <c r="MUL312" s="287"/>
      <c r="MUM312" s="287"/>
      <c r="MUN312" s="287"/>
      <c r="MUO312" s="287"/>
      <c r="MUP312" s="287"/>
      <c r="MUQ312" s="287"/>
      <c r="MUR312" s="287"/>
      <c r="MUS312" s="287"/>
      <c r="MUT312" s="287"/>
      <c r="MUU312" s="287"/>
      <c r="MUV312" s="287"/>
      <c r="MUW312" s="287"/>
      <c r="MUX312" s="287"/>
      <c r="MUY312" s="287"/>
      <c r="MUZ312" s="287"/>
      <c r="MVA312" s="287"/>
      <c r="MVB312" s="287"/>
      <c r="MVC312" s="287"/>
      <c r="MVD312" s="287"/>
      <c r="MVE312" s="287"/>
      <c r="MVF312" s="287"/>
      <c r="MVG312" s="287"/>
      <c r="MVH312" s="287"/>
      <c r="MVI312" s="287"/>
      <c r="MVJ312" s="287"/>
      <c r="MVK312" s="287"/>
      <c r="MVL312" s="287"/>
      <c r="MVM312" s="287"/>
      <c r="MVN312" s="287"/>
      <c r="MVO312" s="287"/>
      <c r="MVP312" s="287"/>
      <c r="MVQ312" s="287"/>
      <c r="MVR312" s="287"/>
      <c r="MVS312" s="287"/>
      <c r="MVT312" s="287"/>
      <c r="MVU312" s="287"/>
      <c r="MVV312" s="287"/>
      <c r="MVW312" s="287"/>
      <c r="MVX312" s="287"/>
      <c r="MVY312" s="287"/>
      <c r="MVZ312" s="287"/>
      <c r="MWA312" s="287"/>
      <c r="MWB312" s="287"/>
      <c r="MWC312" s="287"/>
      <c r="MWD312" s="287"/>
      <c r="MWE312" s="287"/>
      <c r="MWF312" s="287"/>
      <c r="MWG312" s="287"/>
      <c r="MWH312" s="287"/>
      <c r="MWI312" s="287"/>
      <c r="MWJ312" s="287"/>
      <c r="MWK312" s="287"/>
      <c r="MWL312" s="287"/>
      <c r="MWM312" s="287"/>
      <c r="MWN312" s="287"/>
      <c r="MWO312" s="287"/>
      <c r="MWP312" s="287"/>
      <c r="MWQ312" s="287"/>
      <c r="MWR312" s="287"/>
      <c r="MWS312" s="287"/>
      <c r="MWT312" s="287"/>
      <c r="MWU312" s="287"/>
      <c r="MWV312" s="287"/>
      <c r="MWW312" s="287"/>
      <c r="MWX312" s="287"/>
      <c r="MWY312" s="287"/>
      <c r="MWZ312" s="287"/>
      <c r="MXA312" s="287"/>
      <c r="MXB312" s="287"/>
      <c r="MXC312" s="287"/>
      <c r="MXD312" s="287"/>
      <c r="MXE312" s="287"/>
      <c r="MXF312" s="287"/>
      <c r="MXG312" s="287"/>
      <c r="MXH312" s="287"/>
      <c r="MXI312" s="287"/>
      <c r="MXJ312" s="287"/>
      <c r="MXK312" s="287"/>
      <c r="MXL312" s="287"/>
      <c r="MXM312" s="287"/>
      <c r="MXN312" s="287"/>
      <c r="MXO312" s="287"/>
      <c r="MXP312" s="287"/>
      <c r="MXQ312" s="287"/>
      <c r="MXR312" s="287"/>
      <c r="MXS312" s="287"/>
      <c r="MXT312" s="287"/>
      <c r="MXU312" s="287"/>
      <c r="MXV312" s="287"/>
      <c r="MXW312" s="287"/>
      <c r="MXX312" s="287"/>
      <c r="MXY312" s="287"/>
      <c r="MXZ312" s="287"/>
      <c r="MYA312" s="287"/>
      <c r="MYB312" s="287"/>
      <c r="MYC312" s="287"/>
      <c r="MYD312" s="287"/>
      <c r="MYE312" s="287"/>
      <c r="MYF312" s="287"/>
      <c r="MYG312" s="287"/>
      <c r="MYH312" s="287"/>
      <c r="MYI312" s="287"/>
      <c r="MYJ312" s="287"/>
      <c r="MYK312" s="287"/>
      <c r="MYL312" s="287"/>
      <c r="MYM312" s="287"/>
      <c r="MYN312" s="287"/>
      <c r="MYO312" s="287"/>
      <c r="MYP312" s="287"/>
      <c r="MYQ312" s="287"/>
      <c r="MYR312" s="287"/>
      <c r="MYS312" s="287"/>
      <c r="MYT312" s="287"/>
      <c r="MYU312" s="287"/>
      <c r="MYV312" s="287"/>
      <c r="MYW312" s="287"/>
      <c r="MYX312" s="287"/>
      <c r="MYY312" s="287"/>
      <c r="MYZ312" s="287"/>
      <c r="MZA312" s="287"/>
      <c r="MZB312" s="287"/>
      <c r="MZC312" s="287"/>
      <c r="MZD312" s="287"/>
      <c r="MZE312" s="287"/>
      <c r="MZF312" s="287"/>
      <c r="MZG312" s="287"/>
      <c r="MZH312" s="287"/>
      <c r="MZI312" s="287"/>
      <c r="MZJ312" s="287"/>
      <c r="MZK312" s="287"/>
      <c r="MZL312" s="287"/>
      <c r="MZM312" s="287"/>
      <c r="MZN312" s="287"/>
      <c r="MZO312" s="287"/>
      <c r="MZP312" s="287"/>
      <c r="MZQ312" s="287"/>
      <c r="MZR312" s="287"/>
      <c r="MZS312" s="287"/>
      <c r="MZT312" s="287"/>
      <c r="MZU312" s="287"/>
      <c r="MZV312" s="287"/>
      <c r="MZW312" s="287"/>
      <c r="MZX312" s="287"/>
      <c r="MZY312" s="287"/>
      <c r="MZZ312" s="287"/>
      <c r="NAA312" s="287"/>
      <c r="NAB312" s="287"/>
      <c r="NAC312" s="287"/>
      <c r="NAD312" s="287"/>
      <c r="NAE312" s="287"/>
      <c r="NAF312" s="287"/>
      <c r="NAG312" s="287"/>
      <c r="NAH312" s="287"/>
      <c r="NAI312" s="287"/>
      <c r="NAJ312" s="287"/>
      <c r="NAK312" s="287"/>
      <c r="NAL312" s="287"/>
      <c r="NAM312" s="287"/>
      <c r="NAN312" s="287"/>
      <c r="NAO312" s="287"/>
      <c r="NAP312" s="287"/>
      <c r="NAQ312" s="287"/>
      <c r="NAR312" s="287"/>
      <c r="NAS312" s="287"/>
      <c r="NAT312" s="287"/>
      <c r="NAU312" s="287"/>
      <c r="NAV312" s="287"/>
      <c r="NAW312" s="287"/>
      <c r="NAX312" s="287"/>
      <c r="NAY312" s="287"/>
      <c r="NAZ312" s="287"/>
      <c r="NBA312" s="287"/>
      <c r="NBB312" s="287"/>
      <c r="NBC312" s="287"/>
      <c r="NBD312" s="287"/>
      <c r="NBE312" s="287"/>
      <c r="NBF312" s="287"/>
      <c r="NBG312" s="287"/>
      <c r="NBH312" s="287"/>
      <c r="NBI312" s="287"/>
      <c r="NBJ312" s="287"/>
      <c r="NBK312" s="287"/>
      <c r="NBL312" s="287"/>
      <c r="NBM312" s="287"/>
      <c r="NBN312" s="287"/>
      <c r="NBO312" s="287"/>
      <c r="NBP312" s="287"/>
      <c r="NBQ312" s="287"/>
      <c r="NBR312" s="287"/>
      <c r="NBS312" s="287"/>
      <c r="NBT312" s="287"/>
      <c r="NBU312" s="287"/>
      <c r="NBV312" s="287"/>
      <c r="NBW312" s="287"/>
      <c r="NBX312" s="287"/>
      <c r="NBY312" s="287"/>
      <c r="NBZ312" s="287"/>
      <c r="NCA312" s="287"/>
      <c r="NCB312" s="287"/>
      <c r="NCC312" s="287"/>
      <c r="NCD312" s="287"/>
      <c r="NCE312" s="287"/>
      <c r="NCF312" s="287"/>
      <c r="NCG312" s="287"/>
      <c r="NCH312" s="287"/>
      <c r="NCI312" s="287"/>
      <c r="NCJ312" s="287"/>
      <c r="NCK312" s="287"/>
      <c r="NCL312" s="287"/>
      <c r="NCM312" s="287"/>
      <c r="NCN312" s="287"/>
      <c r="NCO312" s="287"/>
      <c r="NCP312" s="287"/>
      <c r="NCQ312" s="287"/>
      <c r="NCR312" s="287"/>
      <c r="NCS312" s="287"/>
      <c r="NCT312" s="287"/>
      <c r="NCU312" s="287"/>
      <c r="NCV312" s="287"/>
      <c r="NCW312" s="287"/>
      <c r="NCX312" s="287"/>
      <c r="NCY312" s="287"/>
      <c r="NCZ312" s="287"/>
      <c r="NDA312" s="287"/>
      <c r="NDB312" s="287"/>
      <c r="NDC312" s="287"/>
      <c r="NDD312" s="287"/>
      <c r="NDE312" s="287"/>
      <c r="NDF312" s="287"/>
      <c r="NDG312" s="287"/>
      <c r="NDH312" s="287"/>
      <c r="NDI312" s="287"/>
      <c r="NDJ312" s="287"/>
      <c r="NDK312" s="287"/>
      <c r="NDL312" s="287"/>
      <c r="NDM312" s="287"/>
      <c r="NDN312" s="287"/>
      <c r="NDO312" s="287"/>
      <c r="NDP312" s="287"/>
      <c r="NDQ312" s="287"/>
      <c r="NDR312" s="287"/>
      <c r="NDS312" s="287"/>
      <c r="NDT312" s="287"/>
      <c r="NDU312" s="287"/>
      <c r="NDV312" s="287"/>
      <c r="NDW312" s="287"/>
      <c r="NDX312" s="287"/>
      <c r="NDY312" s="287"/>
      <c r="NDZ312" s="287"/>
      <c r="NEA312" s="287"/>
      <c r="NEB312" s="287"/>
      <c r="NEC312" s="287"/>
      <c r="NED312" s="287"/>
      <c r="NEE312" s="287"/>
      <c r="NEF312" s="287"/>
      <c r="NEG312" s="287"/>
      <c r="NEH312" s="287"/>
      <c r="NEI312" s="287"/>
      <c r="NEJ312" s="287"/>
      <c r="NEK312" s="287"/>
      <c r="NEL312" s="287"/>
      <c r="NEM312" s="287"/>
      <c r="NEN312" s="287"/>
      <c r="NEO312" s="287"/>
      <c r="NEP312" s="287"/>
      <c r="NEQ312" s="287"/>
      <c r="NER312" s="287"/>
      <c r="NES312" s="287"/>
      <c r="NET312" s="287"/>
      <c r="NEU312" s="287"/>
      <c r="NEV312" s="287"/>
      <c r="NEW312" s="287"/>
      <c r="NEX312" s="287"/>
      <c r="NEY312" s="287"/>
      <c r="NEZ312" s="287"/>
      <c r="NFA312" s="287"/>
      <c r="NFB312" s="287"/>
      <c r="NFC312" s="287"/>
      <c r="NFD312" s="287"/>
      <c r="NFE312" s="287"/>
      <c r="NFF312" s="287"/>
      <c r="NFG312" s="287"/>
      <c r="NFH312" s="287"/>
      <c r="NFI312" s="287"/>
      <c r="NFJ312" s="287"/>
      <c r="NFK312" s="287"/>
      <c r="NFL312" s="287"/>
      <c r="NFM312" s="287"/>
      <c r="NFN312" s="287"/>
      <c r="NFO312" s="287"/>
      <c r="NFP312" s="287"/>
      <c r="NFQ312" s="287"/>
      <c r="NFR312" s="287"/>
      <c r="NFS312" s="287"/>
      <c r="NFT312" s="287"/>
      <c r="NFU312" s="287"/>
      <c r="NFV312" s="287"/>
      <c r="NFW312" s="287"/>
      <c r="NFX312" s="287"/>
      <c r="NFY312" s="287"/>
      <c r="NFZ312" s="287"/>
      <c r="NGA312" s="287"/>
      <c r="NGB312" s="287"/>
      <c r="NGC312" s="287"/>
      <c r="NGD312" s="287"/>
      <c r="NGE312" s="287"/>
      <c r="NGF312" s="287"/>
      <c r="NGG312" s="287"/>
      <c r="NGH312" s="287"/>
      <c r="NGI312" s="287"/>
      <c r="NGJ312" s="287"/>
      <c r="NGK312" s="287"/>
      <c r="NGL312" s="287"/>
      <c r="NGM312" s="287"/>
      <c r="NGN312" s="287"/>
      <c r="NGO312" s="287"/>
      <c r="NGP312" s="287"/>
      <c r="NGQ312" s="287"/>
      <c r="NGR312" s="287"/>
      <c r="NGS312" s="287"/>
      <c r="NGT312" s="287"/>
      <c r="NGU312" s="287"/>
      <c r="NGV312" s="287"/>
      <c r="NGW312" s="287"/>
      <c r="NGX312" s="287"/>
      <c r="NGY312" s="287"/>
      <c r="NGZ312" s="287"/>
      <c r="NHA312" s="287"/>
      <c r="NHB312" s="287"/>
      <c r="NHC312" s="287"/>
      <c r="NHD312" s="287"/>
      <c r="NHE312" s="287"/>
      <c r="NHF312" s="287"/>
      <c r="NHG312" s="287"/>
      <c r="NHH312" s="287"/>
      <c r="NHI312" s="287"/>
      <c r="NHJ312" s="287"/>
      <c r="NHK312" s="287"/>
      <c r="NHL312" s="287"/>
      <c r="NHM312" s="287"/>
      <c r="NHN312" s="287"/>
      <c r="NHO312" s="287"/>
      <c r="NHP312" s="287"/>
      <c r="NHQ312" s="287"/>
      <c r="NHR312" s="287"/>
      <c r="NHS312" s="287"/>
      <c r="NHT312" s="287"/>
      <c r="NHU312" s="287"/>
      <c r="NHV312" s="287"/>
      <c r="NHW312" s="287"/>
      <c r="NHX312" s="287"/>
      <c r="NHY312" s="287"/>
      <c r="NHZ312" s="287"/>
      <c r="NIA312" s="287"/>
      <c r="NIB312" s="287"/>
      <c r="NIC312" s="287"/>
      <c r="NID312" s="287"/>
      <c r="NIE312" s="287"/>
      <c r="NIF312" s="287"/>
      <c r="NIG312" s="287"/>
      <c r="NIH312" s="287"/>
      <c r="NII312" s="287"/>
      <c r="NIJ312" s="287"/>
      <c r="NIK312" s="287"/>
      <c r="NIL312" s="287"/>
      <c r="NIM312" s="287"/>
      <c r="NIN312" s="287"/>
      <c r="NIO312" s="287"/>
      <c r="NIP312" s="287"/>
      <c r="NIQ312" s="287"/>
      <c r="NIR312" s="287"/>
      <c r="NIS312" s="287"/>
      <c r="NIT312" s="287"/>
      <c r="NIU312" s="287"/>
      <c r="NIV312" s="287"/>
      <c r="NIW312" s="287"/>
      <c r="NIX312" s="287"/>
      <c r="NIY312" s="287"/>
      <c r="NIZ312" s="287"/>
      <c r="NJA312" s="287"/>
      <c r="NJB312" s="287"/>
      <c r="NJC312" s="287"/>
      <c r="NJD312" s="287"/>
      <c r="NJE312" s="287"/>
      <c r="NJF312" s="287"/>
      <c r="NJG312" s="287"/>
      <c r="NJH312" s="287"/>
      <c r="NJI312" s="287"/>
      <c r="NJJ312" s="287"/>
      <c r="NJK312" s="287"/>
      <c r="NJL312" s="287"/>
      <c r="NJM312" s="287"/>
      <c r="NJN312" s="287"/>
      <c r="NJO312" s="287"/>
      <c r="NJP312" s="287"/>
      <c r="NJQ312" s="287"/>
      <c r="NJR312" s="287"/>
      <c r="NJS312" s="287"/>
      <c r="NJT312" s="287"/>
      <c r="NJU312" s="287"/>
      <c r="NJV312" s="287"/>
      <c r="NJW312" s="287"/>
      <c r="NJX312" s="287"/>
      <c r="NJY312" s="287"/>
      <c r="NJZ312" s="287"/>
      <c r="NKA312" s="287"/>
      <c r="NKB312" s="287"/>
      <c r="NKC312" s="287"/>
      <c r="NKD312" s="287"/>
      <c r="NKE312" s="287"/>
      <c r="NKF312" s="287"/>
      <c r="NKG312" s="287"/>
      <c r="NKH312" s="287"/>
      <c r="NKI312" s="287"/>
      <c r="NKJ312" s="287"/>
      <c r="NKK312" s="287"/>
      <c r="NKL312" s="287"/>
      <c r="NKM312" s="287"/>
      <c r="NKN312" s="287"/>
      <c r="NKO312" s="287"/>
      <c r="NKP312" s="287"/>
      <c r="NKQ312" s="287"/>
      <c r="NKR312" s="287"/>
      <c r="NKS312" s="287"/>
      <c r="NKT312" s="287"/>
      <c r="NKU312" s="287"/>
      <c r="NKV312" s="287"/>
      <c r="NKW312" s="287"/>
      <c r="NKX312" s="287"/>
      <c r="NKY312" s="287"/>
      <c r="NKZ312" s="287"/>
      <c r="NLA312" s="287"/>
      <c r="NLB312" s="287"/>
      <c r="NLC312" s="287"/>
      <c r="NLD312" s="287"/>
      <c r="NLE312" s="287"/>
      <c r="NLF312" s="287"/>
      <c r="NLG312" s="287"/>
      <c r="NLH312" s="287"/>
      <c r="NLI312" s="287"/>
      <c r="NLJ312" s="287"/>
      <c r="NLK312" s="287"/>
      <c r="NLL312" s="287"/>
      <c r="NLM312" s="287"/>
      <c r="NLN312" s="287"/>
      <c r="NLO312" s="287"/>
      <c r="NLP312" s="287"/>
      <c r="NLQ312" s="287"/>
      <c r="NLR312" s="287"/>
      <c r="NLS312" s="287"/>
      <c r="NLT312" s="287"/>
      <c r="NLU312" s="287"/>
      <c r="NLV312" s="287"/>
      <c r="NLW312" s="287"/>
      <c r="NLX312" s="287"/>
      <c r="NLY312" s="287"/>
      <c r="NLZ312" s="287"/>
      <c r="NMA312" s="287"/>
      <c r="NMB312" s="287"/>
      <c r="NMC312" s="287"/>
      <c r="NMD312" s="287"/>
      <c r="NME312" s="287"/>
      <c r="NMF312" s="287"/>
      <c r="NMG312" s="287"/>
      <c r="NMH312" s="287"/>
      <c r="NMI312" s="287"/>
      <c r="NMJ312" s="287"/>
      <c r="NMK312" s="287"/>
      <c r="NML312" s="287"/>
      <c r="NMM312" s="287"/>
      <c r="NMN312" s="287"/>
      <c r="NMO312" s="287"/>
      <c r="NMP312" s="287"/>
      <c r="NMQ312" s="287"/>
      <c r="NMR312" s="287"/>
      <c r="NMS312" s="287"/>
      <c r="NMT312" s="287"/>
      <c r="NMU312" s="287"/>
      <c r="NMV312" s="287"/>
      <c r="NMW312" s="287"/>
      <c r="NMX312" s="287"/>
      <c r="NMY312" s="287"/>
      <c r="NMZ312" s="287"/>
      <c r="NNA312" s="287"/>
      <c r="NNB312" s="287"/>
      <c r="NNC312" s="287"/>
      <c r="NND312" s="287"/>
      <c r="NNE312" s="287"/>
      <c r="NNF312" s="287"/>
      <c r="NNG312" s="287"/>
      <c r="NNH312" s="287"/>
      <c r="NNI312" s="287"/>
      <c r="NNJ312" s="287"/>
      <c r="NNK312" s="287"/>
      <c r="NNL312" s="287"/>
      <c r="NNM312" s="287"/>
      <c r="NNN312" s="287"/>
      <c r="NNO312" s="287"/>
      <c r="NNP312" s="287"/>
      <c r="NNQ312" s="287"/>
      <c r="NNR312" s="287"/>
      <c r="NNS312" s="287"/>
      <c r="NNT312" s="287"/>
      <c r="NNU312" s="287"/>
      <c r="NNV312" s="287"/>
      <c r="NNW312" s="287"/>
      <c r="NNX312" s="287"/>
      <c r="NNY312" s="287"/>
      <c r="NNZ312" s="287"/>
      <c r="NOA312" s="287"/>
      <c r="NOB312" s="287"/>
      <c r="NOC312" s="287"/>
      <c r="NOD312" s="287"/>
      <c r="NOE312" s="287"/>
      <c r="NOF312" s="287"/>
      <c r="NOG312" s="287"/>
      <c r="NOH312" s="287"/>
      <c r="NOI312" s="287"/>
      <c r="NOJ312" s="287"/>
      <c r="NOK312" s="287"/>
      <c r="NOL312" s="287"/>
      <c r="NOM312" s="287"/>
      <c r="NON312" s="287"/>
      <c r="NOO312" s="287"/>
      <c r="NOP312" s="287"/>
      <c r="NOQ312" s="287"/>
      <c r="NOR312" s="287"/>
      <c r="NOS312" s="287"/>
      <c r="NOT312" s="287"/>
      <c r="NOU312" s="287"/>
      <c r="NOV312" s="287"/>
      <c r="NOW312" s="287"/>
      <c r="NOX312" s="287"/>
      <c r="NOY312" s="287"/>
      <c r="NOZ312" s="287"/>
      <c r="NPA312" s="287"/>
      <c r="NPB312" s="287"/>
      <c r="NPC312" s="287"/>
      <c r="NPD312" s="287"/>
      <c r="NPE312" s="287"/>
      <c r="NPF312" s="287"/>
      <c r="NPG312" s="287"/>
      <c r="NPH312" s="287"/>
      <c r="NPI312" s="287"/>
      <c r="NPJ312" s="287"/>
      <c r="NPK312" s="287"/>
      <c r="NPL312" s="287"/>
      <c r="NPM312" s="287"/>
      <c r="NPN312" s="287"/>
      <c r="NPO312" s="287"/>
      <c r="NPP312" s="287"/>
      <c r="NPQ312" s="287"/>
      <c r="NPR312" s="287"/>
      <c r="NPS312" s="287"/>
      <c r="NPT312" s="287"/>
      <c r="NPU312" s="287"/>
      <c r="NPV312" s="287"/>
      <c r="NPW312" s="287"/>
      <c r="NPX312" s="287"/>
      <c r="NPY312" s="287"/>
      <c r="NPZ312" s="287"/>
      <c r="NQA312" s="287"/>
      <c r="NQB312" s="287"/>
      <c r="NQC312" s="287"/>
      <c r="NQD312" s="287"/>
      <c r="NQE312" s="287"/>
      <c r="NQF312" s="287"/>
      <c r="NQG312" s="287"/>
      <c r="NQH312" s="287"/>
      <c r="NQI312" s="287"/>
      <c r="NQJ312" s="287"/>
      <c r="NQK312" s="287"/>
      <c r="NQL312" s="287"/>
      <c r="NQM312" s="287"/>
      <c r="NQN312" s="287"/>
      <c r="NQO312" s="287"/>
      <c r="NQP312" s="287"/>
      <c r="NQQ312" s="287"/>
      <c r="NQR312" s="287"/>
      <c r="NQS312" s="287"/>
      <c r="NQT312" s="287"/>
      <c r="NQU312" s="287"/>
      <c r="NQV312" s="287"/>
      <c r="NQW312" s="287"/>
      <c r="NQX312" s="287"/>
      <c r="NQY312" s="287"/>
      <c r="NQZ312" s="287"/>
      <c r="NRA312" s="287"/>
      <c r="NRB312" s="287"/>
      <c r="NRC312" s="287"/>
      <c r="NRD312" s="287"/>
      <c r="NRE312" s="287"/>
      <c r="NRF312" s="287"/>
      <c r="NRG312" s="287"/>
      <c r="NRH312" s="287"/>
      <c r="NRI312" s="287"/>
      <c r="NRJ312" s="287"/>
      <c r="NRK312" s="287"/>
      <c r="NRL312" s="287"/>
      <c r="NRM312" s="287"/>
      <c r="NRN312" s="287"/>
      <c r="NRO312" s="287"/>
      <c r="NRP312" s="287"/>
      <c r="NRQ312" s="287"/>
      <c r="NRR312" s="287"/>
      <c r="NRS312" s="287"/>
      <c r="NRT312" s="287"/>
      <c r="NRU312" s="287"/>
      <c r="NRV312" s="287"/>
      <c r="NRW312" s="287"/>
      <c r="NRX312" s="287"/>
      <c r="NRY312" s="287"/>
      <c r="NRZ312" s="287"/>
      <c r="NSA312" s="287"/>
      <c r="NSB312" s="287"/>
      <c r="NSC312" s="287"/>
      <c r="NSD312" s="287"/>
      <c r="NSE312" s="287"/>
      <c r="NSF312" s="287"/>
      <c r="NSG312" s="287"/>
      <c r="NSH312" s="287"/>
      <c r="NSI312" s="287"/>
      <c r="NSJ312" s="287"/>
      <c r="NSK312" s="287"/>
      <c r="NSL312" s="287"/>
      <c r="NSM312" s="287"/>
      <c r="NSN312" s="287"/>
      <c r="NSO312" s="287"/>
      <c r="NSP312" s="287"/>
      <c r="NSQ312" s="287"/>
      <c r="NSR312" s="287"/>
      <c r="NSS312" s="287"/>
      <c r="NST312" s="287"/>
      <c r="NSU312" s="287"/>
      <c r="NSV312" s="287"/>
      <c r="NSW312" s="287"/>
      <c r="NSX312" s="287"/>
      <c r="NSY312" s="287"/>
      <c r="NSZ312" s="287"/>
      <c r="NTA312" s="287"/>
      <c r="NTB312" s="287"/>
      <c r="NTC312" s="287"/>
      <c r="NTD312" s="287"/>
      <c r="NTE312" s="287"/>
      <c r="NTF312" s="287"/>
      <c r="NTG312" s="287"/>
      <c r="NTH312" s="287"/>
      <c r="NTI312" s="287"/>
      <c r="NTJ312" s="287"/>
      <c r="NTK312" s="287"/>
      <c r="NTL312" s="287"/>
      <c r="NTM312" s="287"/>
      <c r="NTN312" s="287"/>
      <c r="NTO312" s="287"/>
      <c r="NTP312" s="287"/>
      <c r="NTQ312" s="287"/>
      <c r="NTR312" s="287"/>
      <c r="NTS312" s="287"/>
      <c r="NTT312" s="287"/>
      <c r="NTU312" s="287"/>
      <c r="NTV312" s="287"/>
      <c r="NTW312" s="287"/>
      <c r="NTX312" s="287"/>
      <c r="NTY312" s="287"/>
      <c r="NTZ312" s="287"/>
      <c r="NUA312" s="287"/>
      <c r="NUB312" s="287"/>
      <c r="NUC312" s="287"/>
      <c r="NUD312" s="287"/>
      <c r="NUE312" s="287"/>
      <c r="NUF312" s="287"/>
      <c r="NUG312" s="287"/>
      <c r="NUH312" s="287"/>
      <c r="NUI312" s="287"/>
      <c r="NUJ312" s="287"/>
      <c r="NUK312" s="287"/>
      <c r="NUL312" s="287"/>
      <c r="NUM312" s="287"/>
      <c r="NUN312" s="287"/>
      <c r="NUO312" s="287"/>
      <c r="NUP312" s="287"/>
      <c r="NUQ312" s="287"/>
      <c r="NUR312" s="287"/>
      <c r="NUS312" s="287"/>
      <c r="NUT312" s="287"/>
      <c r="NUU312" s="287"/>
      <c r="NUV312" s="287"/>
      <c r="NUW312" s="287"/>
      <c r="NUX312" s="287"/>
      <c r="NUY312" s="287"/>
      <c r="NUZ312" s="287"/>
      <c r="NVA312" s="287"/>
      <c r="NVB312" s="287"/>
      <c r="NVC312" s="287"/>
      <c r="NVD312" s="287"/>
      <c r="NVE312" s="287"/>
      <c r="NVF312" s="287"/>
      <c r="NVG312" s="287"/>
      <c r="NVH312" s="287"/>
      <c r="NVI312" s="287"/>
      <c r="NVJ312" s="287"/>
      <c r="NVK312" s="287"/>
      <c r="NVL312" s="287"/>
      <c r="NVM312" s="287"/>
      <c r="NVN312" s="287"/>
      <c r="NVO312" s="287"/>
      <c r="NVP312" s="287"/>
      <c r="NVQ312" s="287"/>
      <c r="NVR312" s="287"/>
      <c r="NVS312" s="287"/>
      <c r="NVT312" s="287"/>
      <c r="NVU312" s="287"/>
      <c r="NVV312" s="287"/>
      <c r="NVW312" s="287"/>
      <c r="NVX312" s="287"/>
      <c r="NVY312" s="287"/>
      <c r="NVZ312" s="287"/>
      <c r="NWA312" s="287"/>
      <c r="NWB312" s="287"/>
      <c r="NWC312" s="287"/>
      <c r="NWD312" s="287"/>
      <c r="NWE312" s="287"/>
      <c r="NWF312" s="287"/>
      <c r="NWG312" s="287"/>
      <c r="NWH312" s="287"/>
      <c r="NWI312" s="287"/>
      <c r="NWJ312" s="287"/>
      <c r="NWK312" s="287"/>
      <c r="NWL312" s="287"/>
      <c r="NWM312" s="287"/>
      <c r="NWN312" s="287"/>
      <c r="NWO312" s="287"/>
      <c r="NWP312" s="287"/>
      <c r="NWQ312" s="287"/>
      <c r="NWR312" s="287"/>
      <c r="NWS312" s="287"/>
      <c r="NWT312" s="287"/>
      <c r="NWU312" s="287"/>
      <c r="NWV312" s="287"/>
      <c r="NWW312" s="287"/>
      <c r="NWX312" s="287"/>
      <c r="NWY312" s="287"/>
      <c r="NWZ312" s="287"/>
      <c r="NXA312" s="287"/>
      <c r="NXB312" s="287"/>
      <c r="NXC312" s="287"/>
      <c r="NXD312" s="287"/>
      <c r="NXE312" s="287"/>
      <c r="NXF312" s="287"/>
      <c r="NXG312" s="287"/>
      <c r="NXH312" s="287"/>
      <c r="NXI312" s="287"/>
      <c r="NXJ312" s="287"/>
      <c r="NXK312" s="287"/>
      <c r="NXL312" s="287"/>
      <c r="NXM312" s="287"/>
      <c r="NXN312" s="287"/>
      <c r="NXO312" s="287"/>
      <c r="NXP312" s="287"/>
      <c r="NXQ312" s="287"/>
      <c r="NXR312" s="287"/>
      <c r="NXS312" s="287"/>
      <c r="NXT312" s="287"/>
      <c r="NXU312" s="287"/>
      <c r="NXV312" s="287"/>
      <c r="NXW312" s="287"/>
      <c r="NXX312" s="287"/>
      <c r="NXY312" s="287"/>
      <c r="NXZ312" s="287"/>
      <c r="NYA312" s="287"/>
      <c r="NYB312" s="287"/>
      <c r="NYC312" s="287"/>
      <c r="NYD312" s="287"/>
      <c r="NYE312" s="287"/>
      <c r="NYF312" s="287"/>
      <c r="NYG312" s="287"/>
      <c r="NYH312" s="287"/>
      <c r="NYI312" s="287"/>
      <c r="NYJ312" s="287"/>
      <c r="NYK312" s="287"/>
      <c r="NYL312" s="287"/>
      <c r="NYM312" s="287"/>
      <c r="NYN312" s="287"/>
      <c r="NYO312" s="287"/>
      <c r="NYP312" s="287"/>
      <c r="NYQ312" s="287"/>
      <c r="NYR312" s="287"/>
      <c r="NYS312" s="287"/>
      <c r="NYT312" s="287"/>
      <c r="NYU312" s="287"/>
      <c r="NYV312" s="287"/>
      <c r="NYW312" s="287"/>
      <c r="NYX312" s="287"/>
      <c r="NYY312" s="287"/>
      <c r="NYZ312" s="287"/>
      <c r="NZA312" s="287"/>
      <c r="NZB312" s="287"/>
      <c r="NZC312" s="287"/>
      <c r="NZD312" s="287"/>
      <c r="NZE312" s="287"/>
      <c r="NZF312" s="287"/>
      <c r="NZG312" s="287"/>
      <c r="NZH312" s="287"/>
      <c r="NZI312" s="287"/>
      <c r="NZJ312" s="287"/>
      <c r="NZK312" s="287"/>
      <c r="NZL312" s="287"/>
      <c r="NZM312" s="287"/>
      <c r="NZN312" s="287"/>
      <c r="NZO312" s="287"/>
      <c r="NZP312" s="287"/>
      <c r="NZQ312" s="287"/>
      <c r="NZR312" s="287"/>
      <c r="NZS312" s="287"/>
      <c r="NZT312" s="287"/>
      <c r="NZU312" s="287"/>
      <c r="NZV312" s="287"/>
      <c r="NZW312" s="287"/>
      <c r="NZX312" s="287"/>
      <c r="NZY312" s="287"/>
      <c r="NZZ312" s="287"/>
      <c r="OAA312" s="287"/>
      <c r="OAB312" s="287"/>
      <c r="OAC312" s="287"/>
      <c r="OAD312" s="287"/>
      <c r="OAE312" s="287"/>
      <c r="OAF312" s="287"/>
      <c r="OAG312" s="287"/>
      <c r="OAH312" s="287"/>
      <c r="OAI312" s="287"/>
      <c r="OAJ312" s="287"/>
      <c r="OAK312" s="287"/>
      <c r="OAL312" s="287"/>
      <c r="OAM312" s="287"/>
      <c r="OAN312" s="287"/>
      <c r="OAO312" s="287"/>
      <c r="OAP312" s="287"/>
      <c r="OAQ312" s="287"/>
      <c r="OAR312" s="287"/>
      <c r="OAS312" s="287"/>
      <c r="OAT312" s="287"/>
      <c r="OAU312" s="287"/>
      <c r="OAV312" s="287"/>
      <c r="OAW312" s="287"/>
      <c r="OAX312" s="287"/>
      <c r="OAY312" s="287"/>
      <c r="OAZ312" s="287"/>
      <c r="OBA312" s="287"/>
      <c r="OBB312" s="287"/>
      <c r="OBC312" s="287"/>
      <c r="OBD312" s="287"/>
      <c r="OBE312" s="287"/>
      <c r="OBF312" s="287"/>
      <c r="OBG312" s="287"/>
      <c r="OBH312" s="287"/>
      <c r="OBI312" s="287"/>
      <c r="OBJ312" s="287"/>
      <c r="OBK312" s="287"/>
      <c r="OBL312" s="287"/>
      <c r="OBM312" s="287"/>
      <c r="OBN312" s="287"/>
      <c r="OBO312" s="287"/>
      <c r="OBP312" s="287"/>
      <c r="OBQ312" s="287"/>
      <c r="OBR312" s="287"/>
      <c r="OBS312" s="287"/>
      <c r="OBT312" s="287"/>
      <c r="OBU312" s="287"/>
      <c r="OBV312" s="287"/>
      <c r="OBW312" s="287"/>
      <c r="OBX312" s="287"/>
      <c r="OBY312" s="287"/>
      <c r="OBZ312" s="287"/>
      <c r="OCA312" s="287"/>
      <c r="OCB312" s="287"/>
      <c r="OCC312" s="287"/>
      <c r="OCD312" s="287"/>
      <c r="OCE312" s="287"/>
      <c r="OCF312" s="287"/>
      <c r="OCG312" s="287"/>
      <c r="OCH312" s="287"/>
      <c r="OCI312" s="287"/>
      <c r="OCJ312" s="287"/>
      <c r="OCK312" s="287"/>
      <c r="OCL312" s="287"/>
      <c r="OCM312" s="287"/>
      <c r="OCN312" s="287"/>
      <c r="OCO312" s="287"/>
      <c r="OCP312" s="287"/>
      <c r="OCQ312" s="287"/>
      <c r="OCR312" s="287"/>
      <c r="OCS312" s="287"/>
      <c r="OCT312" s="287"/>
      <c r="OCU312" s="287"/>
      <c r="OCV312" s="287"/>
      <c r="OCW312" s="287"/>
      <c r="OCX312" s="287"/>
      <c r="OCY312" s="287"/>
      <c r="OCZ312" s="287"/>
      <c r="ODA312" s="287"/>
      <c r="ODB312" s="287"/>
      <c r="ODC312" s="287"/>
      <c r="ODD312" s="287"/>
      <c r="ODE312" s="287"/>
      <c r="ODF312" s="287"/>
      <c r="ODG312" s="287"/>
      <c r="ODH312" s="287"/>
      <c r="ODI312" s="287"/>
      <c r="ODJ312" s="287"/>
      <c r="ODK312" s="287"/>
      <c r="ODL312" s="287"/>
      <c r="ODM312" s="287"/>
      <c r="ODN312" s="287"/>
      <c r="ODO312" s="287"/>
      <c r="ODP312" s="287"/>
      <c r="ODQ312" s="287"/>
      <c r="ODR312" s="287"/>
      <c r="ODS312" s="287"/>
      <c r="ODT312" s="287"/>
      <c r="ODU312" s="287"/>
      <c r="ODV312" s="287"/>
      <c r="ODW312" s="287"/>
      <c r="ODX312" s="287"/>
      <c r="ODY312" s="287"/>
      <c r="ODZ312" s="287"/>
      <c r="OEA312" s="287"/>
      <c r="OEB312" s="287"/>
      <c r="OEC312" s="287"/>
      <c r="OED312" s="287"/>
      <c r="OEE312" s="287"/>
      <c r="OEF312" s="287"/>
      <c r="OEG312" s="287"/>
      <c r="OEH312" s="287"/>
      <c r="OEI312" s="287"/>
      <c r="OEJ312" s="287"/>
      <c r="OEK312" s="287"/>
      <c r="OEL312" s="287"/>
      <c r="OEM312" s="287"/>
      <c r="OEN312" s="287"/>
      <c r="OEO312" s="287"/>
      <c r="OEP312" s="287"/>
      <c r="OEQ312" s="287"/>
      <c r="OER312" s="287"/>
      <c r="OES312" s="287"/>
      <c r="OET312" s="287"/>
      <c r="OEU312" s="287"/>
      <c r="OEV312" s="287"/>
      <c r="OEW312" s="287"/>
      <c r="OEX312" s="287"/>
      <c r="OEY312" s="287"/>
      <c r="OEZ312" s="287"/>
      <c r="OFA312" s="287"/>
      <c r="OFB312" s="287"/>
      <c r="OFC312" s="287"/>
      <c r="OFD312" s="287"/>
      <c r="OFE312" s="287"/>
      <c r="OFF312" s="287"/>
      <c r="OFG312" s="287"/>
      <c r="OFH312" s="287"/>
      <c r="OFI312" s="287"/>
      <c r="OFJ312" s="287"/>
      <c r="OFK312" s="287"/>
      <c r="OFL312" s="287"/>
      <c r="OFM312" s="287"/>
      <c r="OFN312" s="287"/>
      <c r="OFO312" s="287"/>
      <c r="OFP312" s="287"/>
      <c r="OFQ312" s="287"/>
      <c r="OFR312" s="287"/>
      <c r="OFS312" s="287"/>
      <c r="OFT312" s="287"/>
      <c r="OFU312" s="287"/>
      <c r="OFV312" s="287"/>
      <c r="OFW312" s="287"/>
      <c r="OFX312" s="287"/>
      <c r="OFY312" s="287"/>
      <c r="OFZ312" s="287"/>
      <c r="OGA312" s="287"/>
      <c r="OGB312" s="287"/>
      <c r="OGC312" s="287"/>
      <c r="OGD312" s="287"/>
      <c r="OGE312" s="287"/>
      <c r="OGF312" s="287"/>
      <c r="OGG312" s="287"/>
      <c r="OGH312" s="287"/>
      <c r="OGI312" s="287"/>
      <c r="OGJ312" s="287"/>
      <c r="OGK312" s="287"/>
      <c r="OGL312" s="287"/>
      <c r="OGM312" s="287"/>
      <c r="OGN312" s="287"/>
      <c r="OGO312" s="287"/>
      <c r="OGP312" s="287"/>
      <c r="OGQ312" s="287"/>
      <c r="OGR312" s="287"/>
      <c r="OGS312" s="287"/>
      <c r="OGT312" s="287"/>
      <c r="OGU312" s="287"/>
      <c r="OGV312" s="287"/>
      <c r="OGW312" s="287"/>
      <c r="OGX312" s="287"/>
      <c r="OGY312" s="287"/>
      <c r="OGZ312" s="287"/>
      <c r="OHA312" s="287"/>
      <c r="OHB312" s="287"/>
      <c r="OHC312" s="287"/>
      <c r="OHD312" s="287"/>
      <c r="OHE312" s="287"/>
      <c r="OHF312" s="287"/>
      <c r="OHG312" s="287"/>
      <c r="OHH312" s="287"/>
      <c r="OHI312" s="287"/>
      <c r="OHJ312" s="287"/>
      <c r="OHK312" s="287"/>
      <c r="OHL312" s="287"/>
      <c r="OHM312" s="287"/>
      <c r="OHN312" s="287"/>
      <c r="OHO312" s="287"/>
      <c r="OHP312" s="287"/>
      <c r="OHQ312" s="287"/>
      <c r="OHR312" s="287"/>
      <c r="OHS312" s="287"/>
      <c r="OHT312" s="287"/>
      <c r="OHU312" s="287"/>
      <c r="OHV312" s="287"/>
      <c r="OHW312" s="287"/>
      <c r="OHX312" s="287"/>
      <c r="OHY312" s="287"/>
      <c r="OHZ312" s="287"/>
      <c r="OIA312" s="287"/>
      <c r="OIB312" s="287"/>
      <c r="OIC312" s="287"/>
      <c r="OID312" s="287"/>
      <c r="OIE312" s="287"/>
      <c r="OIF312" s="287"/>
      <c r="OIG312" s="287"/>
      <c r="OIH312" s="287"/>
      <c r="OII312" s="287"/>
      <c r="OIJ312" s="287"/>
      <c r="OIK312" s="287"/>
      <c r="OIL312" s="287"/>
      <c r="OIM312" s="287"/>
      <c r="OIN312" s="287"/>
      <c r="OIO312" s="287"/>
      <c r="OIP312" s="287"/>
      <c r="OIQ312" s="287"/>
      <c r="OIR312" s="287"/>
      <c r="OIS312" s="287"/>
      <c r="OIT312" s="287"/>
      <c r="OIU312" s="287"/>
      <c r="OIV312" s="287"/>
      <c r="OIW312" s="287"/>
      <c r="OIX312" s="287"/>
      <c r="OIY312" s="287"/>
      <c r="OIZ312" s="287"/>
      <c r="OJA312" s="287"/>
      <c r="OJB312" s="287"/>
      <c r="OJC312" s="287"/>
      <c r="OJD312" s="287"/>
      <c r="OJE312" s="287"/>
      <c r="OJF312" s="287"/>
      <c r="OJG312" s="287"/>
      <c r="OJH312" s="287"/>
      <c r="OJI312" s="287"/>
      <c r="OJJ312" s="287"/>
      <c r="OJK312" s="287"/>
      <c r="OJL312" s="287"/>
      <c r="OJM312" s="287"/>
      <c r="OJN312" s="287"/>
      <c r="OJO312" s="287"/>
      <c r="OJP312" s="287"/>
      <c r="OJQ312" s="287"/>
      <c r="OJR312" s="287"/>
      <c r="OJS312" s="287"/>
      <c r="OJT312" s="287"/>
      <c r="OJU312" s="287"/>
      <c r="OJV312" s="287"/>
      <c r="OJW312" s="287"/>
      <c r="OJX312" s="287"/>
      <c r="OJY312" s="287"/>
      <c r="OJZ312" s="287"/>
      <c r="OKA312" s="287"/>
      <c r="OKB312" s="287"/>
      <c r="OKC312" s="287"/>
      <c r="OKD312" s="287"/>
      <c r="OKE312" s="287"/>
      <c r="OKF312" s="287"/>
      <c r="OKG312" s="287"/>
      <c r="OKH312" s="287"/>
      <c r="OKI312" s="287"/>
      <c r="OKJ312" s="287"/>
      <c r="OKK312" s="287"/>
      <c r="OKL312" s="287"/>
      <c r="OKM312" s="287"/>
      <c r="OKN312" s="287"/>
      <c r="OKO312" s="287"/>
      <c r="OKP312" s="287"/>
      <c r="OKQ312" s="287"/>
      <c r="OKR312" s="287"/>
      <c r="OKS312" s="287"/>
      <c r="OKT312" s="287"/>
      <c r="OKU312" s="287"/>
      <c r="OKV312" s="287"/>
      <c r="OKW312" s="287"/>
      <c r="OKX312" s="287"/>
      <c r="OKY312" s="287"/>
      <c r="OKZ312" s="287"/>
      <c r="OLA312" s="287"/>
      <c r="OLB312" s="287"/>
      <c r="OLC312" s="287"/>
      <c r="OLD312" s="287"/>
      <c r="OLE312" s="287"/>
      <c r="OLF312" s="287"/>
      <c r="OLG312" s="287"/>
      <c r="OLH312" s="287"/>
      <c r="OLI312" s="287"/>
      <c r="OLJ312" s="287"/>
      <c r="OLK312" s="287"/>
      <c r="OLL312" s="287"/>
      <c r="OLM312" s="287"/>
      <c r="OLN312" s="287"/>
      <c r="OLO312" s="287"/>
      <c r="OLP312" s="287"/>
      <c r="OLQ312" s="287"/>
      <c r="OLR312" s="287"/>
      <c r="OLS312" s="287"/>
      <c r="OLT312" s="287"/>
      <c r="OLU312" s="287"/>
      <c r="OLV312" s="287"/>
      <c r="OLW312" s="287"/>
      <c r="OLX312" s="287"/>
      <c r="OLY312" s="287"/>
      <c r="OLZ312" s="287"/>
      <c r="OMA312" s="287"/>
      <c r="OMB312" s="287"/>
      <c r="OMC312" s="287"/>
      <c r="OMD312" s="287"/>
      <c r="OME312" s="287"/>
      <c r="OMF312" s="287"/>
      <c r="OMG312" s="287"/>
      <c r="OMH312" s="287"/>
      <c r="OMI312" s="287"/>
      <c r="OMJ312" s="287"/>
      <c r="OMK312" s="287"/>
      <c r="OML312" s="287"/>
      <c r="OMM312" s="287"/>
      <c r="OMN312" s="287"/>
      <c r="OMO312" s="287"/>
      <c r="OMP312" s="287"/>
      <c r="OMQ312" s="287"/>
      <c r="OMR312" s="287"/>
      <c r="OMS312" s="287"/>
      <c r="OMT312" s="287"/>
      <c r="OMU312" s="287"/>
      <c r="OMV312" s="287"/>
      <c r="OMW312" s="287"/>
      <c r="OMX312" s="287"/>
      <c r="OMY312" s="287"/>
      <c r="OMZ312" s="287"/>
      <c r="ONA312" s="287"/>
      <c r="ONB312" s="287"/>
      <c r="ONC312" s="287"/>
      <c r="OND312" s="287"/>
      <c r="ONE312" s="287"/>
      <c r="ONF312" s="287"/>
      <c r="ONG312" s="287"/>
      <c r="ONH312" s="287"/>
      <c r="ONI312" s="287"/>
      <c r="ONJ312" s="287"/>
      <c r="ONK312" s="287"/>
      <c r="ONL312" s="287"/>
      <c r="ONM312" s="287"/>
      <c r="ONN312" s="287"/>
      <c r="ONO312" s="287"/>
      <c r="ONP312" s="287"/>
      <c r="ONQ312" s="287"/>
      <c r="ONR312" s="287"/>
      <c r="ONS312" s="287"/>
      <c r="ONT312" s="287"/>
      <c r="ONU312" s="287"/>
      <c r="ONV312" s="287"/>
      <c r="ONW312" s="287"/>
      <c r="ONX312" s="287"/>
      <c r="ONY312" s="287"/>
      <c r="ONZ312" s="287"/>
      <c r="OOA312" s="287"/>
      <c r="OOB312" s="287"/>
      <c r="OOC312" s="287"/>
      <c r="OOD312" s="287"/>
      <c r="OOE312" s="287"/>
      <c r="OOF312" s="287"/>
      <c r="OOG312" s="287"/>
      <c r="OOH312" s="287"/>
      <c r="OOI312" s="287"/>
      <c r="OOJ312" s="287"/>
      <c r="OOK312" s="287"/>
      <c r="OOL312" s="287"/>
      <c r="OOM312" s="287"/>
      <c r="OON312" s="287"/>
      <c r="OOO312" s="287"/>
      <c r="OOP312" s="287"/>
      <c r="OOQ312" s="287"/>
      <c r="OOR312" s="287"/>
      <c r="OOS312" s="287"/>
      <c r="OOT312" s="287"/>
      <c r="OOU312" s="287"/>
      <c r="OOV312" s="287"/>
      <c r="OOW312" s="287"/>
      <c r="OOX312" s="287"/>
      <c r="OOY312" s="287"/>
      <c r="OOZ312" s="287"/>
      <c r="OPA312" s="287"/>
      <c r="OPB312" s="287"/>
      <c r="OPC312" s="287"/>
      <c r="OPD312" s="287"/>
      <c r="OPE312" s="287"/>
      <c r="OPF312" s="287"/>
      <c r="OPG312" s="287"/>
      <c r="OPH312" s="287"/>
      <c r="OPI312" s="287"/>
      <c r="OPJ312" s="287"/>
      <c r="OPK312" s="287"/>
      <c r="OPL312" s="287"/>
      <c r="OPM312" s="287"/>
      <c r="OPN312" s="287"/>
      <c r="OPO312" s="287"/>
      <c r="OPP312" s="287"/>
      <c r="OPQ312" s="287"/>
      <c r="OPR312" s="287"/>
      <c r="OPS312" s="287"/>
      <c r="OPT312" s="287"/>
      <c r="OPU312" s="287"/>
      <c r="OPV312" s="287"/>
      <c r="OPW312" s="287"/>
      <c r="OPX312" s="287"/>
      <c r="OPY312" s="287"/>
      <c r="OPZ312" s="287"/>
      <c r="OQA312" s="287"/>
      <c r="OQB312" s="287"/>
      <c r="OQC312" s="287"/>
      <c r="OQD312" s="287"/>
      <c r="OQE312" s="287"/>
      <c r="OQF312" s="287"/>
      <c r="OQG312" s="287"/>
      <c r="OQH312" s="287"/>
      <c r="OQI312" s="287"/>
      <c r="OQJ312" s="287"/>
      <c r="OQK312" s="287"/>
      <c r="OQL312" s="287"/>
      <c r="OQM312" s="287"/>
      <c r="OQN312" s="287"/>
      <c r="OQO312" s="287"/>
      <c r="OQP312" s="287"/>
      <c r="OQQ312" s="287"/>
      <c r="OQR312" s="287"/>
      <c r="OQS312" s="287"/>
      <c r="OQT312" s="287"/>
      <c r="OQU312" s="287"/>
      <c r="OQV312" s="287"/>
      <c r="OQW312" s="287"/>
      <c r="OQX312" s="287"/>
      <c r="OQY312" s="287"/>
      <c r="OQZ312" s="287"/>
      <c r="ORA312" s="287"/>
      <c r="ORB312" s="287"/>
      <c r="ORC312" s="287"/>
      <c r="ORD312" s="287"/>
      <c r="ORE312" s="287"/>
      <c r="ORF312" s="287"/>
      <c r="ORG312" s="287"/>
      <c r="ORH312" s="287"/>
      <c r="ORI312" s="287"/>
      <c r="ORJ312" s="287"/>
      <c r="ORK312" s="287"/>
      <c r="ORL312" s="287"/>
      <c r="ORM312" s="287"/>
      <c r="ORN312" s="287"/>
      <c r="ORO312" s="287"/>
      <c r="ORP312" s="287"/>
      <c r="ORQ312" s="287"/>
      <c r="ORR312" s="287"/>
      <c r="ORS312" s="287"/>
      <c r="ORT312" s="287"/>
      <c r="ORU312" s="287"/>
      <c r="ORV312" s="287"/>
      <c r="ORW312" s="287"/>
      <c r="ORX312" s="287"/>
      <c r="ORY312" s="287"/>
      <c r="ORZ312" s="287"/>
      <c r="OSA312" s="287"/>
      <c r="OSB312" s="287"/>
      <c r="OSC312" s="287"/>
      <c r="OSD312" s="287"/>
      <c r="OSE312" s="287"/>
      <c r="OSF312" s="287"/>
      <c r="OSG312" s="287"/>
      <c r="OSH312" s="287"/>
      <c r="OSI312" s="287"/>
      <c r="OSJ312" s="287"/>
      <c r="OSK312" s="287"/>
      <c r="OSL312" s="287"/>
      <c r="OSM312" s="287"/>
      <c r="OSN312" s="287"/>
      <c r="OSO312" s="287"/>
      <c r="OSP312" s="287"/>
      <c r="OSQ312" s="287"/>
      <c r="OSR312" s="287"/>
      <c r="OSS312" s="287"/>
      <c r="OST312" s="287"/>
      <c r="OSU312" s="287"/>
      <c r="OSV312" s="287"/>
      <c r="OSW312" s="287"/>
      <c r="OSX312" s="287"/>
      <c r="OSY312" s="287"/>
      <c r="OSZ312" s="287"/>
      <c r="OTA312" s="287"/>
      <c r="OTB312" s="287"/>
      <c r="OTC312" s="287"/>
      <c r="OTD312" s="287"/>
      <c r="OTE312" s="287"/>
      <c r="OTF312" s="287"/>
      <c r="OTG312" s="287"/>
      <c r="OTH312" s="287"/>
      <c r="OTI312" s="287"/>
      <c r="OTJ312" s="287"/>
      <c r="OTK312" s="287"/>
      <c r="OTL312" s="287"/>
      <c r="OTM312" s="287"/>
      <c r="OTN312" s="287"/>
      <c r="OTO312" s="287"/>
      <c r="OTP312" s="287"/>
      <c r="OTQ312" s="287"/>
      <c r="OTR312" s="287"/>
      <c r="OTS312" s="287"/>
      <c r="OTT312" s="287"/>
      <c r="OTU312" s="287"/>
      <c r="OTV312" s="287"/>
      <c r="OTW312" s="287"/>
      <c r="OTX312" s="287"/>
      <c r="OTY312" s="287"/>
      <c r="OTZ312" s="287"/>
      <c r="OUA312" s="287"/>
      <c r="OUB312" s="287"/>
      <c r="OUC312" s="287"/>
      <c r="OUD312" s="287"/>
      <c r="OUE312" s="287"/>
      <c r="OUF312" s="287"/>
      <c r="OUG312" s="287"/>
      <c r="OUH312" s="287"/>
      <c r="OUI312" s="287"/>
      <c r="OUJ312" s="287"/>
      <c r="OUK312" s="287"/>
      <c r="OUL312" s="287"/>
      <c r="OUM312" s="287"/>
      <c r="OUN312" s="287"/>
      <c r="OUO312" s="287"/>
      <c r="OUP312" s="287"/>
      <c r="OUQ312" s="287"/>
      <c r="OUR312" s="287"/>
      <c r="OUS312" s="287"/>
      <c r="OUT312" s="287"/>
      <c r="OUU312" s="287"/>
      <c r="OUV312" s="287"/>
      <c r="OUW312" s="287"/>
      <c r="OUX312" s="287"/>
      <c r="OUY312" s="287"/>
      <c r="OUZ312" s="287"/>
      <c r="OVA312" s="287"/>
      <c r="OVB312" s="287"/>
      <c r="OVC312" s="287"/>
      <c r="OVD312" s="287"/>
      <c r="OVE312" s="287"/>
      <c r="OVF312" s="287"/>
      <c r="OVG312" s="287"/>
      <c r="OVH312" s="287"/>
      <c r="OVI312" s="287"/>
      <c r="OVJ312" s="287"/>
      <c r="OVK312" s="287"/>
      <c r="OVL312" s="287"/>
      <c r="OVM312" s="287"/>
      <c r="OVN312" s="287"/>
      <c r="OVO312" s="287"/>
      <c r="OVP312" s="287"/>
      <c r="OVQ312" s="287"/>
      <c r="OVR312" s="287"/>
      <c r="OVS312" s="287"/>
      <c r="OVT312" s="287"/>
      <c r="OVU312" s="287"/>
      <c r="OVV312" s="287"/>
      <c r="OVW312" s="287"/>
      <c r="OVX312" s="287"/>
      <c r="OVY312" s="287"/>
      <c r="OVZ312" s="287"/>
      <c r="OWA312" s="287"/>
      <c r="OWB312" s="287"/>
      <c r="OWC312" s="287"/>
      <c r="OWD312" s="287"/>
      <c r="OWE312" s="287"/>
      <c r="OWF312" s="287"/>
      <c r="OWG312" s="287"/>
      <c r="OWH312" s="287"/>
      <c r="OWI312" s="287"/>
      <c r="OWJ312" s="287"/>
      <c r="OWK312" s="287"/>
      <c r="OWL312" s="287"/>
      <c r="OWM312" s="287"/>
      <c r="OWN312" s="287"/>
      <c r="OWO312" s="287"/>
      <c r="OWP312" s="287"/>
      <c r="OWQ312" s="287"/>
      <c r="OWR312" s="287"/>
      <c r="OWS312" s="287"/>
      <c r="OWT312" s="287"/>
      <c r="OWU312" s="287"/>
      <c r="OWV312" s="287"/>
      <c r="OWW312" s="287"/>
      <c r="OWX312" s="287"/>
      <c r="OWY312" s="287"/>
      <c r="OWZ312" s="287"/>
      <c r="OXA312" s="287"/>
      <c r="OXB312" s="287"/>
      <c r="OXC312" s="287"/>
      <c r="OXD312" s="287"/>
      <c r="OXE312" s="287"/>
      <c r="OXF312" s="287"/>
      <c r="OXG312" s="287"/>
      <c r="OXH312" s="287"/>
      <c r="OXI312" s="287"/>
      <c r="OXJ312" s="287"/>
      <c r="OXK312" s="287"/>
      <c r="OXL312" s="287"/>
      <c r="OXM312" s="287"/>
      <c r="OXN312" s="287"/>
      <c r="OXO312" s="287"/>
      <c r="OXP312" s="287"/>
      <c r="OXQ312" s="287"/>
      <c r="OXR312" s="287"/>
      <c r="OXS312" s="287"/>
      <c r="OXT312" s="287"/>
      <c r="OXU312" s="287"/>
      <c r="OXV312" s="287"/>
      <c r="OXW312" s="287"/>
      <c r="OXX312" s="287"/>
      <c r="OXY312" s="287"/>
      <c r="OXZ312" s="287"/>
      <c r="OYA312" s="287"/>
      <c r="OYB312" s="287"/>
      <c r="OYC312" s="287"/>
      <c r="OYD312" s="287"/>
      <c r="OYE312" s="287"/>
      <c r="OYF312" s="287"/>
      <c r="OYG312" s="287"/>
      <c r="OYH312" s="287"/>
      <c r="OYI312" s="287"/>
      <c r="OYJ312" s="287"/>
      <c r="OYK312" s="287"/>
      <c r="OYL312" s="287"/>
      <c r="OYM312" s="287"/>
      <c r="OYN312" s="287"/>
      <c r="OYO312" s="287"/>
      <c r="OYP312" s="287"/>
      <c r="OYQ312" s="287"/>
      <c r="OYR312" s="287"/>
      <c r="OYS312" s="287"/>
      <c r="OYT312" s="287"/>
      <c r="OYU312" s="287"/>
      <c r="OYV312" s="287"/>
      <c r="OYW312" s="287"/>
      <c r="OYX312" s="287"/>
      <c r="OYY312" s="287"/>
      <c r="OYZ312" s="287"/>
      <c r="OZA312" s="287"/>
      <c r="OZB312" s="287"/>
      <c r="OZC312" s="287"/>
      <c r="OZD312" s="287"/>
      <c r="OZE312" s="287"/>
      <c r="OZF312" s="287"/>
      <c r="OZG312" s="287"/>
      <c r="OZH312" s="287"/>
      <c r="OZI312" s="287"/>
      <c r="OZJ312" s="287"/>
      <c r="OZK312" s="287"/>
      <c r="OZL312" s="287"/>
      <c r="OZM312" s="287"/>
      <c r="OZN312" s="287"/>
      <c r="OZO312" s="287"/>
      <c r="OZP312" s="287"/>
      <c r="OZQ312" s="287"/>
      <c r="OZR312" s="287"/>
      <c r="OZS312" s="287"/>
      <c r="OZT312" s="287"/>
      <c r="OZU312" s="287"/>
      <c r="OZV312" s="287"/>
      <c r="OZW312" s="287"/>
      <c r="OZX312" s="287"/>
      <c r="OZY312" s="287"/>
      <c r="OZZ312" s="287"/>
      <c r="PAA312" s="287"/>
      <c r="PAB312" s="287"/>
      <c r="PAC312" s="287"/>
      <c r="PAD312" s="287"/>
      <c r="PAE312" s="287"/>
      <c r="PAF312" s="287"/>
      <c r="PAG312" s="287"/>
      <c r="PAH312" s="287"/>
      <c r="PAI312" s="287"/>
      <c r="PAJ312" s="287"/>
      <c r="PAK312" s="287"/>
      <c r="PAL312" s="287"/>
      <c r="PAM312" s="287"/>
      <c r="PAN312" s="287"/>
      <c r="PAO312" s="287"/>
      <c r="PAP312" s="287"/>
      <c r="PAQ312" s="287"/>
      <c r="PAR312" s="287"/>
      <c r="PAS312" s="287"/>
      <c r="PAT312" s="287"/>
      <c r="PAU312" s="287"/>
      <c r="PAV312" s="287"/>
      <c r="PAW312" s="287"/>
      <c r="PAX312" s="287"/>
      <c r="PAY312" s="287"/>
      <c r="PAZ312" s="287"/>
      <c r="PBA312" s="287"/>
      <c r="PBB312" s="287"/>
      <c r="PBC312" s="287"/>
      <c r="PBD312" s="287"/>
      <c r="PBE312" s="287"/>
      <c r="PBF312" s="287"/>
      <c r="PBG312" s="287"/>
      <c r="PBH312" s="287"/>
      <c r="PBI312" s="287"/>
      <c r="PBJ312" s="287"/>
      <c r="PBK312" s="287"/>
      <c r="PBL312" s="287"/>
      <c r="PBM312" s="287"/>
      <c r="PBN312" s="287"/>
      <c r="PBO312" s="287"/>
      <c r="PBP312" s="287"/>
      <c r="PBQ312" s="287"/>
      <c r="PBR312" s="287"/>
      <c r="PBS312" s="287"/>
      <c r="PBT312" s="287"/>
      <c r="PBU312" s="287"/>
      <c r="PBV312" s="287"/>
      <c r="PBW312" s="287"/>
      <c r="PBX312" s="287"/>
      <c r="PBY312" s="287"/>
      <c r="PBZ312" s="287"/>
      <c r="PCA312" s="287"/>
      <c r="PCB312" s="287"/>
      <c r="PCC312" s="287"/>
      <c r="PCD312" s="287"/>
      <c r="PCE312" s="287"/>
      <c r="PCF312" s="287"/>
      <c r="PCG312" s="287"/>
      <c r="PCH312" s="287"/>
      <c r="PCI312" s="287"/>
      <c r="PCJ312" s="287"/>
      <c r="PCK312" s="287"/>
      <c r="PCL312" s="287"/>
      <c r="PCM312" s="287"/>
      <c r="PCN312" s="287"/>
      <c r="PCO312" s="287"/>
      <c r="PCP312" s="287"/>
      <c r="PCQ312" s="287"/>
      <c r="PCR312" s="287"/>
      <c r="PCS312" s="287"/>
      <c r="PCT312" s="287"/>
      <c r="PCU312" s="287"/>
      <c r="PCV312" s="287"/>
      <c r="PCW312" s="287"/>
      <c r="PCX312" s="287"/>
      <c r="PCY312" s="287"/>
      <c r="PCZ312" s="287"/>
      <c r="PDA312" s="287"/>
      <c r="PDB312" s="287"/>
      <c r="PDC312" s="287"/>
      <c r="PDD312" s="287"/>
      <c r="PDE312" s="287"/>
      <c r="PDF312" s="287"/>
      <c r="PDG312" s="287"/>
      <c r="PDH312" s="287"/>
      <c r="PDI312" s="287"/>
      <c r="PDJ312" s="287"/>
      <c r="PDK312" s="287"/>
      <c r="PDL312" s="287"/>
      <c r="PDM312" s="287"/>
      <c r="PDN312" s="287"/>
      <c r="PDO312" s="287"/>
      <c r="PDP312" s="287"/>
      <c r="PDQ312" s="287"/>
      <c r="PDR312" s="287"/>
      <c r="PDS312" s="287"/>
      <c r="PDT312" s="287"/>
      <c r="PDU312" s="287"/>
      <c r="PDV312" s="287"/>
      <c r="PDW312" s="287"/>
      <c r="PDX312" s="287"/>
      <c r="PDY312" s="287"/>
      <c r="PDZ312" s="287"/>
      <c r="PEA312" s="287"/>
      <c r="PEB312" s="287"/>
      <c r="PEC312" s="287"/>
      <c r="PED312" s="287"/>
      <c r="PEE312" s="287"/>
      <c r="PEF312" s="287"/>
      <c r="PEG312" s="287"/>
      <c r="PEH312" s="287"/>
      <c r="PEI312" s="287"/>
      <c r="PEJ312" s="287"/>
      <c r="PEK312" s="287"/>
      <c r="PEL312" s="287"/>
      <c r="PEM312" s="287"/>
      <c r="PEN312" s="287"/>
      <c r="PEO312" s="287"/>
      <c r="PEP312" s="287"/>
      <c r="PEQ312" s="287"/>
      <c r="PER312" s="287"/>
      <c r="PES312" s="287"/>
      <c r="PET312" s="287"/>
      <c r="PEU312" s="287"/>
      <c r="PEV312" s="287"/>
      <c r="PEW312" s="287"/>
      <c r="PEX312" s="287"/>
      <c r="PEY312" s="287"/>
      <c r="PEZ312" s="287"/>
      <c r="PFA312" s="287"/>
      <c r="PFB312" s="287"/>
      <c r="PFC312" s="287"/>
      <c r="PFD312" s="287"/>
      <c r="PFE312" s="287"/>
      <c r="PFF312" s="287"/>
      <c r="PFG312" s="287"/>
      <c r="PFH312" s="287"/>
      <c r="PFI312" s="287"/>
      <c r="PFJ312" s="287"/>
      <c r="PFK312" s="287"/>
      <c r="PFL312" s="287"/>
      <c r="PFM312" s="287"/>
      <c r="PFN312" s="287"/>
      <c r="PFO312" s="287"/>
      <c r="PFP312" s="287"/>
      <c r="PFQ312" s="287"/>
      <c r="PFR312" s="287"/>
      <c r="PFS312" s="287"/>
      <c r="PFT312" s="287"/>
      <c r="PFU312" s="287"/>
      <c r="PFV312" s="287"/>
      <c r="PFW312" s="287"/>
      <c r="PFX312" s="287"/>
      <c r="PFY312" s="287"/>
      <c r="PFZ312" s="287"/>
      <c r="PGA312" s="287"/>
      <c r="PGB312" s="287"/>
      <c r="PGC312" s="287"/>
      <c r="PGD312" s="287"/>
      <c r="PGE312" s="287"/>
      <c r="PGF312" s="287"/>
      <c r="PGG312" s="287"/>
      <c r="PGH312" s="287"/>
      <c r="PGI312" s="287"/>
      <c r="PGJ312" s="287"/>
      <c r="PGK312" s="287"/>
      <c r="PGL312" s="287"/>
      <c r="PGM312" s="287"/>
      <c r="PGN312" s="287"/>
      <c r="PGO312" s="287"/>
      <c r="PGP312" s="287"/>
      <c r="PGQ312" s="287"/>
      <c r="PGR312" s="287"/>
      <c r="PGS312" s="287"/>
      <c r="PGT312" s="287"/>
      <c r="PGU312" s="287"/>
      <c r="PGV312" s="287"/>
      <c r="PGW312" s="287"/>
      <c r="PGX312" s="287"/>
      <c r="PGY312" s="287"/>
      <c r="PGZ312" s="287"/>
      <c r="PHA312" s="287"/>
      <c r="PHB312" s="287"/>
      <c r="PHC312" s="287"/>
      <c r="PHD312" s="287"/>
      <c r="PHE312" s="287"/>
      <c r="PHF312" s="287"/>
      <c r="PHG312" s="287"/>
      <c r="PHH312" s="287"/>
      <c r="PHI312" s="287"/>
      <c r="PHJ312" s="287"/>
      <c r="PHK312" s="287"/>
      <c r="PHL312" s="287"/>
      <c r="PHM312" s="287"/>
      <c r="PHN312" s="287"/>
      <c r="PHO312" s="287"/>
      <c r="PHP312" s="287"/>
      <c r="PHQ312" s="287"/>
      <c r="PHR312" s="287"/>
      <c r="PHS312" s="287"/>
      <c r="PHT312" s="287"/>
      <c r="PHU312" s="287"/>
      <c r="PHV312" s="287"/>
      <c r="PHW312" s="287"/>
      <c r="PHX312" s="287"/>
      <c r="PHY312" s="287"/>
      <c r="PHZ312" s="287"/>
      <c r="PIA312" s="287"/>
      <c r="PIB312" s="287"/>
      <c r="PIC312" s="287"/>
      <c r="PID312" s="287"/>
      <c r="PIE312" s="287"/>
      <c r="PIF312" s="287"/>
      <c r="PIG312" s="287"/>
      <c r="PIH312" s="287"/>
      <c r="PII312" s="287"/>
      <c r="PIJ312" s="287"/>
      <c r="PIK312" s="287"/>
      <c r="PIL312" s="287"/>
      <c r="PIM312" s="287"/>
      <c r="PIN312" s="287"/>
      <c r="PIO312" s="287"/>
      <c r="PIP312" s="287"/>
      <c r="PIQ312" s="287"/>
      <c r="PIR312" s="287"/>
      <c r="PIS312" s="287"/>
      <c r="PIT312" s="287"/>
      <c r="PIU312" s="287"/>
      <c r="PIV312" s="287"/>
      <c r="PIW312" s="287"/>
      <c r="PIX312" s="287"/>
      <c r="PIY312" s="287"/>
      <c r="PIZ312" s="287"/>
      <c r="PJA312" s="287"/>
      <c r="PJB312" s="287"/>
      <c r="PJC312" s="287"/>
      <c r="PJD312" s="287"/>
      <c r="PJE312" s="287"/>
      <c r="PJF312" s="287"/>
      <c r="PJG312" s="287"/>
      <c r="PJH312" s="287"/>
      <c r="PJI312" s="287"/>
      <c r="PJJ312" s="287"/>
      <c r="PJK312" s="287"/>
      <c r="PJL312" s="287"/>
      <c r="PJM312" s="287"/>
      <c r="PJN312" s="287"/>
      <c r="PJO312" s="287"/>
      <c r="PJP312" s="287"/>
      <c r="PJQ312" s="287"/>
      <c r="PJR312" s="287"/>
      <c r="PJS312" s="287"/>
      <c r="PJT312" s="287"/>
      <c r="PJU312" s="287"/>
      <c r="PJV312" s="287"/>
      <c r="PJW312" s="287"/>
      <c r="PJX312" s="287"/>
      <c r="PJY312" s="287"/>
      <c r="PJZ312" s="287"/>
      <c r="PKA312" s="287"/>
      <c r="PKB312" s="287"/>
      <c r="PKC312" s="287"/>
      <c r="PKD312" s="287"/>
      <c r="PKE312" s="287"/>
      <c r="PKF312" s="287"/>
      <c r="PKG312" s="287"/>
      <c r="PKH312" s="287"/>
      <c r="PKI312" s="287"/>
      <c r="PKJ312" s="287"/>
      <c r="PKK312" s="287"/>
      <c r="PKL312" s="287"/>
      <c r="PKM312" s="287"/>
      <c r="PKN312" s="287"/>
      <c r="PKO312" s="287"/>
      <c r="PKP312" s="287"/>
      <c r="PKQ312" s="287"/>
      <c r="PKR312" s="287"/>
      <c r="PKS312" s="287"/>
      <c r="PKT312" s="287"/>
      <c r="PKU312" s="287"/>
      <c r="PKV312" s="287"/>
      <c r="PKW312" s="287"/>
      <c r="PKX312" s="287"/>
      <c r="PKY312" s="287"/>
      <c r="PKZ312" s="287"/>
      <c r="PLA312" s="287"/>
      <c r="PLB312" s="287"/>
      <c r="PLC312" s="287"/>
      <c r="PLD312" s="287"/>
      <c r="PLE312" s="287"/>
      <c r="PLF312" s="287"/>
      <c r="PLG312" s="287"/>
      <c r="PLH312" s="287"/>
      <c r="PLI312" s="287"/>
      <c r="PLJ312" s="287"/>
      <c r="PLK312" s="287"/>
      <c r="PLL312" s="287"/>
      <c r="PLM312" s="287"/>
      <c r="PLN312" s="287"/>
      <c r="PLO312" s="287"/>
      <c r="PLP312" s="287"/>
      <c r="PLQ312" s="287"/>
      <c r="PLR312" s="287"/>
      <c r="PLS312" s="287"/>
      <c r="PLT312" s="287"/>
      <c r="PLU312" s="287"/>
      <c r="PLV312" s="287"/>
      <c r="PLW312" s="287"/>
      <c r="PLX312" s="287"/>
      <c r="PLY312" s="287"/>
      <c r="PLZ312" s="287"/>
      <c r="PMA312" s="287"/>
      <c r="PMB312" s="287"/>
      <c r="PMC312" s="287"/>
      <c r="PMD312" s="287"/>
      <c r="PME312" s="287"/>
      <c r="PMF312" s="287"/>
      <c r="PMG312" s="287"/>
      <c r="PMH312" s="287"/>
      <c r="PMI312" s="287"/>
      <c r="PMJ312" s="287"/>
      <c r="PMK312" s="287"/>
      <c r="PML312" s="287"/>
      <c r="PMM312" s="287"/>
      <c r="PMN312" s="287"/>
      <c r="PMO312" s="287"/>
      <c r="PMP312" s="287"/>
      <c r="PMQ312" s="287"/>
      <c r="PMR312" s="287"/>
      <c r="PMS312" s="287"/>
      <c r="PMT312" s="287"/>
      <c r="PMU312" s="287"/>
      <c r="PMV312" s="287"/>
      <c r="PMW312" s="287"/>
      <c r="PMX312" s="287"/>
      <c r="PMY312" s="287"/>
      <c r="PMZ312" s="287"/>
      <c r="PNA312" s="287"/>
      <c r="PNB312" s="287"/>
      <c r="PNC312" s="287"/>
      <c r="PND312" s="287"/>
      <c r="PNE312" s="287"/>
      <c r="PNF312" s="287"/>
      <c r="PNG312" s="287"/>
      <c r="PNH312" s="287"/>
      <c r="PNI312" s="287"/>
      <c r="PNJ312" s="287"/>
      <c r="PNK312" s="287"/>
      <c r="PNL312" s="287"/>
      <c r="PNM312" s="287"/>
      <c r="PNN312" s="287"/>
      <c r="PNO312" s="287"/>
      <c r="PNP312" s="287"/>
      <c r="PNQ312" s="287"/>
      <c r="PNR312" s="287"/>
      <c r="PNS312" s="287"/>
      <c r="PNT312" s="287"/>
      <c r="PNU312" s="287"/>
      <c r="PNV312" s="287"/>
      <c r="PNW312" s="287"/>
      <c r="PNX312" s="287"/>
      <c r="PNY312" s="287"/>
      <c r="PNZ312" s="287"/>
      <c r="POA312" s="287"/>
      <c r="POB312" s="287"/>
      <c r="POC312" s="287"/>
      <c r="POD312" s="287"/>
      <c r="POE312" s="287"/>
      <c r="POF312" s="287"/>
      <c r="POG312" s="287"/>
      <c r="POH312" s="287"/>
      <c r="POI312" s="287"/>
      <c r="POJ312" s="287"/>
      <c r="POK312" s="287"/>
      <c r="POL312" s="287"/>
      <c r="POM312" s="287"/>
      <c r="PON312" s="287"/>
      <c r="POO312" s="287"/>
      <c r="POP312" s="287"/>
      <c r="POQ312" s="287"/>
      <c r="POR312" s="287"/>
      <c r="POS312" s="287"/>
      <c r="POT312" s="287"/>
      <c r="POU312" s="287"/>
      <c r="POV312" s="287"/>
      <c r="POW312" s="287"/>
      <c r="POX312" s="287"/>
      <c r="POY312" s="287"/>
      <c r="POZ312" s="287"/>
      <c r="PPA312" s="287"/>
      <c r="PPB312" s="287"/>
      <c r="PPC312" s="287"/>
      <c r="PPD312" s="287"/>
      <c r="PPE312" s="287"/>
      <c r="PPF312" s="287"/>
      <c r="PPG312" s="287"/>
      <c r="PPH312" s="287"/>
      <c r="PPI312" s="287"/>
      <c r="PPJ312" s="287"/>
      <c r="PPK312" s="287"/>
      <c r="PPL312" s="287"/>
      <c r="PPM312" s="287"/>
      <c r="PPN312" s="287"/>
      <c r="PPO312" s="287"/>
      <c r="PPP312" s="287"/>
      <c r="PPQ312" s="287"/>
      <c r="PPR312" s="287"/>
      <c r="PPS312" s="287"/>
      <c r="PPT312" s="287"/>
      <c r="PPU312" s="287"/>
      <c r="PPV312" s="287"/>
      <c r="PPW312" s="287"/>
      <c r="PPX312" s="287"/>
      <c r="PPY312" s="287"/>
      <c r="PPZ312" s="287"/>
      <c r="PQA312" s="287"/>
      <c r="PQB312" s="287"/>
      <c r="PQC312" s="287"/>
      <c r="PQD312" s="287"/>
      <c r="PQE312" s="287"/>
      <c r="PQF312" s="287"/>
      <c r="PQG312" s="287"/>
      <c r="PQH312" s="287"/>
      <c r="PQI312" s="287"/>
      <c r="PQJ312" s="287"/>
      <c r="PQK312" s="287"/>
      <c r="PQL312" s="287"/>
      <c r="PQM312" s="287"/>
      <c r="PQN312" s="287"/>
      <c r="PQO312" s="287"/>
      <c r="PQP312" s="287"/>
      <c r="PQQ312" s="287"/>
      <c r="PQR312" s="287"/>
      <c r="PQS312" s="287"/>
      <c r="PQT312" s="287"/>
      <c r="PQU312" s="287"/>
      <c r="PQV312" s="287"/>
      <c r="PQW312" s="287"/>
      <c r="PQX312" s="287"/>
      <c r="PQY312" s="287"/>
      <c r="PQZ312" s="287"/>
      <c r="PRA312" s="287"/>
      <c r="PRB312" s="287"/>
      <c r="PRC312" s="287"/>
      <c r="PRD312" s="287"/>
      <c r="PRE312" s="287"/>
      <c r="PRF312" s="287"/>
      <c r="PRG312" s="287"/>
      <c r="PRH312" s="287"/>
      <c r="PRI312" s="287"/>
      <c r="PRJ312" s="287"/>
      <c r="PRK312" s="287"/>
      <c r="PRL312" s="287"/>
      <c r="PRM312" s="287"/>
      <c r="PRN312" s="287"/>
      <c r="PRO312" s="287"/>
      <c r="PRP312" s="287"/>
      <c r="PRQ312" s="287"/>
      <c r="PRR312" s="287"/>
      <c r="PRS312" s="287"/>
      <c r="PRT312" s="287"/>
      <c r="PRU312" s="287"/>
      <c r="PRV312" s="287"/>
      <c r="PRW312" s="287"/>
      <c r="PRX312" s="287"/>
      <c r="PRY312" s="287"/>
      <c r="PRZ312" s="287"/>
      <c r="PSA312" s="287"/>
      <c r="PSB312" s="287"/>
      <c r="PSC312" s="287"/>
      <c r="PSD312" s="287"/>
      <c r="PSE312" s="287"/>
      <c r="PSF312" s="287"/>
      <c r="PSG312" s="287"/>
      <c r="PSH312" s="287"/>
      <c r="PSI312" s="287"/>
      <c r="PSJ312" s="287"/>
      <c r="PSK312" s="287"/>
      <c r="PSL312" s="287"/>
      <c r="PSM312" s="287"/>
      <c r="PSN312" s="287"/>
      <c r="PSO312" s="287"/>
      <c r="PSP312" s="287"/>
      <c r="PSQ312" s="287"/>
      <c r="PSR312" s="287"/>
      <c r="PSS312" s="287"/>
      <c r="PST312" s="287"/>
      <c r="PSU312" s="287"/>
      <c r="PSV312" s="287"/>
      <c r="PSW312" s="287"/>
      <c r="PSX312" s="287"/>
      <c r="PSY312" s="287"/>
      <c r="PSZ312" s="287"/>
      <c r="PTA312" s="287"/>
      <c r="PTB312" s="287"/>
      <c r="PTC312" s="287"/>
      <c r="PTD312" s="287"/>
      <c r="PTE312" s="287"/>
      <c r="PTF312" s="287"/>
      <c r="PTG312" s="287"/>
      <c r="PTH312" s="287"/>
      <c r="PTI312" s="287"/>
      <c r="PTJ312" s="287"/>
      <c r="PTK312" s="287"/>
      <c r="PTL312" s="287"/>
      <c r="PTM312" s="287"/>
      <c r="PTN312" s="287"/>
      <c r="PTO312" s="287"/>
      <c r="PTP312" s="287"/>
      <c r="PTQ312" s="287"/>
      <c r="PTR312" s="287"/>
      <c r="PTS312" s="287"/>
      <c r="PTT312" s="287"/>
      <c r="PTU312" s="287"/>
      <c r="PTV312" s="287"/>
      <c r="PTW312" s="287"/>
      <c r="PTX312" s="287"/>
      <c r="PTY312" s="287"/>
      <c r="PTZ312" s="287"/>
      <c r="PUA312" s="287"/>
      <c r="PUB312" s="287"/>
      <c r="PUC312" s="287"/>
      <c r="PUD312" s="287"/>
      <c r="PUE312" s="287"/>
      <c r="PUF312" s="287"/>
      <c r="PUG312" s="287"/>
      <c r="PUH312" s="287"/>
      <c r="PUI312" s="287"/>
      <c r="PUJ312" s="287"/>
      <c r="PUK312" s="287"/>
      <c r="PUL312" s="287"/>
      <c r="PUM312" s="287"/>
      <c r="PUN312" s="287"/>
      <c r="PUO312" s="287"/>
      <c r="PUP312" s="287"/>
      <c r="PUQ312" s="287"/>
      <c r="PUR312" s="287"/>
      <c r="PUS312" s="287"/>
      <c r="PUT312" s="287"/>
      <c r="PUU312" s="287"/>
      <c r="PUV312" s="287"/>
      <c r="PUW312" s="287"/>
      <c r="PUX312" s="287"/>
      <c r="PUY312" s="287"/>
      <c r="PUZ312" s="287"/>
      <c r="PVA312" s="287"/>
      <c r="PVB312" s="287"/>
      <c r="PVC312" s="287"/>
      <c r="PVD312" s="287"/>
      <c r="PVE312" s="287"/>
      <c r="PVF312" s="287"/>
      <c r="PVG312" s="287"/>
      <c r="PVH312" s="287"/>
      <c r="PVI312" s="287"/>
      <c r="PVJ312" s="287"/>
      <c r="PVK312" s="287"/>
      <c r="PVL312" s="287"/>
      <c r="PVM312" s="287"/>
      <c r="PVN312" s="287"/>
      <c r="PVO312" s="287"/>
      <c r="PVP312" s="287"/>
      <c r="PVQ312" s="287"/>
      <c r="PVR312" s="287"/>
      <c r="PVS312" s="287"/>
      <c r="PVT312" s="287"/>
      <c r="PVU312" s="287"/>
      <c r="PVV312" s="287"/>
      <c r="PVW312" s="287"/>
      <c r="PVX312" s="287"/>
      <c r="PVY312" s="287"/>
      <c r="PVZ312" s="287"/>
      <c r="PWA312" s="287"/>
      <c r="PWB312" s="287"/>
      <c r="PWC312" s="287"/>
      <c r="PWD312" s="287"/>
      <c r="PWE312" s="287"/>
      <c r="PWF312" s="287"/>
      <c r="PWG312" s="287"/>
      <c r="PWH312" s="287"/>
      <c r="PWI312" s="287"/>
      <c r="PWJ312" s="287"/>
      <c r="PWK312" s="287"/>
      <c r="PWL312" s="287"/>
      <c r="PWM312" s="287"/>
      <c r="PWN312" s="287"/>
      <c r="PWO312" s="287"/>
      <c r="PWP312" s="287"/>
      <c r="PWQ312" s="287"/>
      <c r="PWR312" s="287"/>
      <c r="PWS312" s="287"/>
      <c r="PWT312" s="287"/>
      <c r="PWU312" s="287"/>
      <c r="PWV312" s="287"/>
      <c r="PWW312" s="287"/>
      <c r="PWX312" s="287"/>
      <c r="PWY312" s="287"/>
      <c r="PWZ312" s="287"/>
      <c r="PXA312" s="287"/>
      <c r="PXB312" s="287"/>
      <c r="PXC312" s="287"/>
      <c r="PXD312" s="287"/>
      <c r="PXE312" s="287"/>
      <c r="PXF312" s="287"/>
      <c r="PXG312" s="287"/>
      <c r="PXH312" s="287"/>
      <c r="PXI312" s="287"/>
      <c r="PXJ312" s="287"/>
      <c r="PXK312" s="287"/>
      <c r="PXL312" s="287"/>
      <c r="PXM312" s="287"/>
      <c r="PXN312" s="287"/>
      <c r="PXO312" s="287"/>
      <c r="PXP312" s="287"/>
      <c r="PXQ312" s="287"/>
      <c r="PXR312" s="287"/>
      <c r="PXS312" s="287"/>
      <c r="PXT312" s="287"/>
      <c r="PXU312" s="287"/>
      <c r="PXV312" s="287"/>
      <c r="PXW312" s="287"/>
      <c r="PXX312" s="287"/>
      <c r="PXY312" s="287"/>
      <c r="PXZ312" s="287"/>
      <c r="PYA312" s="287"/>
      <c r="PYB312" s="287"/>
      <c r="PYC312" s="287"/>
      <c r="PYD312" s="287"/>
      <c r="PYE312" s="287"/>
      <c r="PYF312" s="287"/>
      <c r="PYG312" s="287"/>
      <c r="PYH312" s="287"/>
      <c r="PYI312" s="287"/>
      <c r="PYJ312" s="287"/>
      <c r="PYK312" s="287"/>
      <c r="PYL312" s="287"/>
      <c r="PYM312" s="287"/>
      <c r="PYN312" s="287"/>
      <c r="PYO312" s="287"/>
      <c r="PYP312" s="287"/>
      <c r="PYQ312" s="287"/>
      <c r="PYR312" s="287"/>
      <c r="PYS312" s="287"/>
      <c r="PYT312" s="287"/>
      <c r="PYU312" s="287"/>
      <c r="PYV312" s="287"/>
      <c r="PYW312" s="287"/>
      <c r="PYX312" s="287"/>
      <c r="PYY312" s="287"/>
      <c r="PYZ312" s="287"/>
      <c r="PZA312" s="287"/>
      <c r="PZB312" s="287"/>
      <c r="PZC312" s="287"/>
      <c r="PZD312" s="287"/>
      <c r="PZE312" s="287"/>
      <c r="PZF312" s="287"/>
      <c r="PZG312" s="287"/>
      <c r="PZH312" s="287"/>
      <c r="PZI312" s="287"/>
      <c r="PZJ312" s="287"/>
      <c r="PZK312" s="287"/>
      <c r="PZL312" s="287"/>
      <c r="PZM312" s="287"/>
      <c r="PZN312" s="287"/>
      <c r="PZO312" s="287"/>
      <c r="PZP312" s="287"/>
      <c r="PZQ312" s="287"/>
      <c r="PZR312" s="287"/>
      <c r="PZS312" s="287"/>
      <c r="PZT312" s="287"/>
      <c r="PZU312" s="287"/>
      <c r="PZV312" s="287"/>
      <c r="PZW312" s="287"/>
      <c r="PZX312" s="287"/>
      <c r="PZY312" s="287"/>
      <c r="PZZ312" s="287"/>
      <c r="QAA312" s="287"/>
      <c r="QAB312" s="287"/>
      <c r="QAC312" s="287"/>
      <c r="QAD312" s="287"/>
      <c r="QAE312" s="287"/>
      <c r="QAF312" s="287"/>
      <c r="QAG312" s="287"/>
      <c r="QAH312" s="287"/>
      <c r="QAI312" s="287"/>
      <c r="QAJ312" s="287"/>
      <c r="QAK312" s="287"/>
      <c r="QAL312" s="287"/>
      <c r="QAM312" s="287"/>
      <c r="QAN312" s="287"/>
      <c r="QAO312" s="287"/>
      <c r="QAP312" s="287"/>
      <c r="QAQ312" s="287"/>
      <c r="QAR312" s="287"/>
      <c r="QAS312" s="287"/>
      <c r="QAT312" s="287"/>
      <c r="QAU312" s="287"/>
      <c r="QAV312" s="287"/>
      <c r="QAW312" s="287"/>
      <c r="QAX312" s="287"/>
      <c r="QAY312" s="287"/>
      <c r="QAZ312" s="287"/>
      <c r="QBA312" s="287"/>
      <c r="QBB312" s="287"/>
      <c r="QBC312" s="287"/>
      <c r="QBD312" s="287"/>
      <c r="QBE312" s="287"/>
      <c r="QBF312" s="287"/>
      <c r="QBG312" s="287"/>
      <c r="QBH312" s="287"/>
      <c r="QBI312" s="287"/>
      <c r="QBJ312" s="287"/>
      <c r="QBK312" s="287"/>
      <c r="QBL312" s="287"/>
      <c r="QBM312" s="287"/>
      <c r="QBN312" s="287"/>
      <c r="QBO312" s="287"/>
      <c r="QBP312" s="287"/>
      <c r="QBQ312" s="287"/>
      <c r="QBR312" s="287"/>
      <c r="QBS312" s="287"/>
      <c r="QBT312" s="287"/>
      <c r="QBU312" s="287"/>
      <c r="QBV312" s="287"/>
      <c r="QBW312" s="287"/>
      <c r="QBX312" s="287"/>
      <c r="QBY312" s="287"/>
      <c r="QBZ312" s="287"/>
      <c r="QCA312" s="287"/>
      <c r="QCB312" s="287"/>
      <c r="QCC312" s="287"/>
      <c r="QCD312" s="287"/>
      <c r="QCE312" s="287"/>
      <c r="QCF312" s="287"/>
      <c r="QCG312" s="287"/>
      <c r="QCH312" s="287"/>
      <c r="QCI312" s="287"/>
      <c r="QCJ312" s="287"/>
      <c r="QCK312" s="287"/>
      <c r="QCL312" s="287"/>
      <c r="QCM312" s="287"/>
      <c r="QCN312" s="287"/>
      <c r="QCO312" s="287"/>
      <c r="QCP312" s="287"/>
      <c r="QCQ312" s="287"/>
      <c r="QCR312" s="287"/>
      <c r="QCS312" s="287"/>
      <c r="QCT312" s="287"/>
      <c r="QCU312" s="287"/>
      <c r="QCV312" s="287"/>
      <c r="QCW312" s="287"/>
      <c r="QCX312" s="287"/>
      <c r="QCY312" s="287"/>
      <c r="QCZ312" s="287"/>
      <c r="QDA312" s="287"/>
      <c r="QDB312" s="287"/>
      <c r="QDC312" s="287"/>
      <c r="QDD312" s="287"/>
      <c r="QDE312" s="287"/>
      <c r="QDF312" s="287"/>
      <c r="QDG312" s="287"/>
      <c r="QDH312" s="287"/>
      <c r="QDI312" s="287"/>
      <c r="QDJ312" s="287"/>
      <c r="QDK312" s="287"/>
      <c r="QDL312" s="287"/>
      <c r="QDM312" s="287"/>
      <c r="QDN312" s="287"/>
      <c r="QDO312" s="287"/>
      <c r="QDP312" s="287"/>
      <c r="QDQ312" s="287"/>
      <c r="QDR312" s="287"/>
      <c r="QDS312" s="287"/>
      <c r="QDT312" s="287"/>
      <c r="QDU312" s="287"/>
      <c r="QDV312" s="287"/>
      <c r="QDW312" s="287"/>
      <c r="QDX312" s="287"/>
      <c r="QDY312" s="287"/>
      <c r="QDZ312" s="287"/>
      <c r="QEA312" s="287"/>
      <c r="QEB312" s="287"/>
      <c r="QEC312" s="287"/>
      <c r="QED312" s="287"/>
      <c r="QEE312" s="287"/>
      <c r="QEF312" s="287"/>
      <c r="QEG312" s="287"/>
      <c r="QEH312" s="287"/>
      <c r="QEI312" s="287"/>
      <c r="QEJ312" s="287"/>
      <c r="QEK312" s="287"/>
      <c r="QEL312" s="287"/>
      <c r="QEM312" s="287"/>
      <c r="QEN312" s="287"/>
      <c r="QEO312" s="287"/>
      <c r="QEP312" s="287"/>
      <c r="QEQ312" s="287"/>
      <c r="QER312" s="287"/>
      <c r="QES312" s="287"/>
      <c r="QET312" s="287"/>
      <c r="QEU312" s="287"/>
      <c r="QEV312" s="287"/>
      <c r="QEW312" s="287"/>
      <c r="QEX312" s="287"/>
      <c r="QEY312" s="287"/>
      <c r="QEZ312" s="287"/>
      <c r="QFA312" s="287"/>
      <c r="QFB312" s="287"/>
      <c r="QFC312" s="287"/>
      <c r="QFD312" s="287"/>
      <c r="QFE312" s="287"/>
      <c r="QFF312" s="287"/>
      <c r="QFG312" s="287"/>
      <c r="QFH312" s="287"/>
      <c r="QFI312" s="287"/>
      <c r="QFJ312" s="287"/>
      <c r="QFK312" s="287"/>
      <c r="QFL312" s="287"/>
      <c r="QFM312" s="287"/>
      <c r="QFN312" s="287"/>
      <c r="QFO312" s="287"/>
      <c r="QFP312" s="287"/>
      <c r="QFQ312" s="287"/>
      <c r="QFR312" s="287"/>
      <c r="QFS312" s="287"/>
      <c r="QFT312" s="287"/>
      <c r="QFU312" s="287"/>
      <c r="QFV312" s="287"/>
      <c r="QFW312" s="287"/>
      <c r="QFX312" s="287"/>
      <c r="QFY312" s="287"/>
      <c r="QFZ312" s="287"/>
      <c r="QGA312" s="287"/>
      <c r="QGB312" s="287"/>
      <c r="QGC312" s="287"/>
      <c r="QGD312" s="287"/>
      <c r="QGE312" s="287"/>
      <c r="QGF312" s="287"/>
      <c r="QGG312" s="287"/>
      <c r="QGH312" s="287"/>
      <c r="QGI312" s="287"/>
      <c r="QGJ312" s="287"/>
      <c r="QGK312" s="287"/>
      <c r="QGL312" s="287"/>
      <c r="QGM312" s="287"/>
      <c r="QGN312" s="287"/>
      <c r="QGO312" s="287"/>
      <c r="QGP312" s="287"/>
      <c r="QGQ312" s="287"/>
      <c r="QGR312" s="287"/>
      <c r="QGS312" s="287"/>
      <c r="QGT312" s="287"/>
      <c r="QGU312" s="287"/>
      <c r="QGV312" s="287"/>
      <c r="QGW312" s="287"/>
      <c r="QGX312" s="287"/>
      <c r="QGY312" s="287"/>
      <c r="QGZ312" s="287"/>
      <c r="QHA312" s="287"/>
      <c r="QHB312" s="287"/>
      <c r="QHC312" s="287"/>
      <c r="QHD312" s="287"/>
      <c r="QHE312" s="287"/>
      <c r="QHF312" s="287"/>
      <c r="QHG312" s="287"/>
      <c r="QHH312" s="287"/>
      <c r="QHI312" s="287"/>
      <c r="QHJ312" s="287"/>
      <c r="QHK312" s="287"/>
      <c r="QHL312" s="287"/>
      <c r="QHM312" s="287"/>
      <c r="QHN312" s="287"/>
      <c r="QHO312" s="287"/>
      <c r="QHP312" s="287"/>
      <c r="QHQ312" s="287"/>
      <c r="QHR312" s="287"/>
      <c r="QHS312" s="287"/>
      <c r="QHT312" s="287"/>
      <c r="QHU312" s="287"/>
      <c r="QHV312" s="287"/>
      <c r="QHW312" s="287"/>
      <c r="QHX312" s="287"/>
      <c r="QHY312" s="287"/>
      <c r="QHZ312" s="287"/>
      <c r="QIA312" s="287"/>
      <c r="QIB312" s="287"/>
      <c r="QIC312" s="287"/>
      <c r="QID312" s="287"/>
      <c r="QIE312" s="287"/>
      <c r="QIF312" s="287"/>
      <c r="QIG312" s="287"/>
      <c r="QIH312" s="287"/>
      <c r="QII312" s="287"/>
      <c r="QIJ312" s="287"/>
      <c r="QIK312" s="287"/>
      <c r="QIL312" s="287"/>
      <c r="QIM312" s="287"/>
      <c r="QIN312" s="287"/>
      <c r="QIO312" s="287"/>
      <c r="QIP312" s="287"/>
      <c r="QIQ312" s="287"/>
      <c r="QIR312" s="287"/>
      <c r="QIS312" s="287"/>
      <c r="QIT312" s="287"/>
      <c r="QIU312" s="287"/>
      <c r="QIV312" s="287"/>
      <c r="QIW312" s="287"/>
      <c r="QIX312" s="287"/>
      <c r="QIY312" s="287"/>
      <c r="QIZ312" s="287"/>
      <c r="QJA312" s="287"/>
      <c r="QJB312" s="287"/>
      <c r="QJC312" s="287"/>
      <c r="QJD312" s="287"/>
      <c r="QJE312" s="287"/>
      <c r="QJF312" s="287"/>
      <c r="QJG312" s="287"/>
      <c r="QJH312" s="287"/>
      <c r="QJI312" s="287"/>
      <c r="QJJ312" s="287"/>
      <c r="QJK312" s="287"/>
      <c r="QJL312" s="287"/>
      <c r="QJM312" s="287"/>
      <c r="QJN312" s="287"/>
      <c r="QJO312" s="287"/>
      <c r="QJP312" s="287"/>
      <c r="QJQ312" s="287"/>
      <c r="QJR312" s="287"/>
      <c r="QJS312" s="287"/>
      <c r="QJT312" s="287"/>
      <c r="QJU312" s="287"/>
      <c r="QJV312" s="287"/>
      <c r="QJW312" s="287"/>
      <c r="QJX312" s="287"/>
      <c r="QJY312" s="287"/>
      <c r="QJZ312" s="287"/>
      <c r="QKA312" s="287"/>
      <c r="QKB312" s="287"/>
      <c r="QKC312" s="287"/>
      <c r="QKD312" s="287"/>
      <c r="QKE312" s="287"/>
      <c r="QKF312" s="287"/>
      <c r="QKG312" s="287"/>
      <c r="QKH312" s="287"/>
      <c r="QKI312" s="287"/>
      <c r="QKJ312" s="287"/>
      <c r="QKK312" s="287"/>
      <c r="QKL312" s="287"/>
      <c r="QKM312" s="287"/>
      <c r="QKN312" s="287"/>
      <c r="QKO312" s="287"/>
      <c r="QKP312" s="287"/>
      <c r="QKQ312" s="287"/>
      <c r="QKR312" s="287"/>
      <c r="QKS312" s="287"/>
      <c r="QKT312" s="287"/>
      <c r="QKU312" s="287"/>
      <c r="QKV312" s="287"/>
      <c r="QKW312" s="287"/>
      <c r="QKX312" s="287"/>
      <c r="QKY312" s="287"/>
      <c r="QKZ312" s="287"/>
      <c r="QLA312" s="287"/>
      <c r="QLB312" s="287"/>
      <c r="QLC312" s="287"/>
      <c r="QLD312" s="287"/>
      <c r="QLE312" s="287"/>
      <c r="QLF312" s="287"/>
      <c r="QLG312" s="287"/>
      <c r="QLH312" s="287"/>
      <c r="QLI312" s="287"/>
      <c r="QLJ312" s="287"/>
      <c r="QLK312" s="287"/>
      <c r="QLL312" s="287"/>
      <c r="QLM312" s="287"/>
      <c r="QLN312" s="287"/>
      <c r="QLO312" s="287"/>
      <c r="QLP312" s="287"/>
      <c r="QLQ312" s="287"/>
      <c r="QLR312" s="287"/>
      <c r="QLS312" s="287"/>
      <c r="QLT312" s="287"/>
      <c r="QLU312" s="287"/>
      <c r="QLV312" s="287"/>
      <c r="QLW312" s="287"/>
      <c r="QLX312" s="287"/>
      <c r="QLY312" s="287"/>
      <c r="QLZ312" s="287"/>
      <c r="QMA312" s="287"/>
      <c r="QMB312" s="287"/>
      <c r="QMC312" s="287"/>
      <c r="QMD312" s="287"/>
      <c r="QME312" s="287"/>
      <c r="QMF312" s="287"/>
      <c r="QMG312" s="287"/>
      <c r="QMH312" s="287"/>
      <c r="QMI312" s="287"/>
      <c r="QMJ312" s="287"/>
      <c r="QMK312" s="287"/>
      <c r="QML312" s="287"/>
      <c r="QMM312" s="287"/>
      <c r="QMN312" s="287"/>
      <c r="QMO312" s="287"/>
      <c r="QMP312" s="287"/>
      <c r="QMQ312" s="287"/>
      <c r="QMR312" s="287"/>
      <c r="QMS312" s="287"/>
      <c r="QMT312" s="287"/>
      <c r="QMU312" s="287"/>
      <c r="QMV312" s="287"/>
      <c r="QMW312" s="287"/>
      <c r="QMX312" s="287"/>
      <c r="QMY312" s="287"/>
      <c r="QMZ312" s="287"/>
      <c r="QNA312" s="287"/>
      <c r="QNB312" s="287"/>
      <c r="QNC312" s="287"/>
      <c r="QND312" s="287"/>
      <c r="QNE312" s="287"/>
      <c r="QNF312" s="287"/>
      <c r="QNG312" s="287"/>
      <c r="QNH312" s="287"/>
      <c r="QNI312" s="287"/>
      <c r="QNJ312" s="287"/>
      <c r="QNK312" s="287"/>
      <c r="QNL312" s="287"/>
      <c r="QNM312" s="287"/>
      <c r="QNN312" s="287"/>
      <c r="QNO312" s="287"/>
      <c r="QNP312" s="287"/>
      <c r="QNQ312" s="287"/>
      <c r="QNR312" s="287"/>
      <c r="QNS312" s="287"/>
      <c r="QNT312" s="287"/>
      <c r="QNU312" s="287"/>
      <c r="QNV312" s="287"/>
      <c r="QNW312" s="287"/>
      <c r="QNX312" s="287"/>
      <c r="QNY312" s="287"/>
      <c r="QNZ312" s="287"/>
      <c r="QOA312" s="287"/>
      <c r="QOB312" s="287"/>
      <c r="QOC312" s="287"/>
      <c r="QOD312" s="287"/>
      <c r="QOE312" s="287"/>
      <c r="QOF312" s="287"/>
      <c r="QOG312" s="287"/>
      <c r="QOH312" s="287"/>
      <c r="QOI312" s="287"/>
      <c r="QOJ312" s="287"/>
      <c r="QOK312" s="287"/>
      <c r="QOL312" s="287"/>
      <c r="QOM312" s="287"/>
      <c r="QON312" s="287"/>
      <c r="QOO312" s="287"/>
      <c r="QOP312" s="287"/>
      <c r="QOQ312" s="287"/>
      <c r="QOR312" s="287"/>
      <c r="QOS312" s="287"/>
      <c r="QOT312" s="287"/>
      <c r="QOU312" s="287"/>
      <c r="QOV312" s="287"/>
      <c r="QOW312" s="287"/>
      <c r="QOX312" s="287"/>
      <c r="QOY312" s="287"/>
      <c r="QOZ312" s="287"/>
      <c r="QPA312" s="287"/>
      <c r="QPB312" s="287"/>
      <c r="QPC312" s="287"/>
      <c r="QPD312" s="287"/>
      <c r="QPE312" s="287"/>
      <c r="QPF312" s="287"/>
      <c r="QPG312" s="287"/>
      <c r="QPH312" s="287"/>
      <c r="QPI312" s="287"/>
      <c r="QPJ312" s="287"/>
      <c r="QPK312" s="287"/>
      <c r="QPL312" s="287"/>
      <c r="QPM312" s="287"/>
      <c r="QPN312" s="287"/>
      <c r="QPO312" s="287"/>
      <c r="QPP312" s="287"/>
      <c r="QPQ312" s="287"/>
      <c r="QPR312" s="287"/>
      <c r="QPS312" s="287"/>
      <c r="QPT312" s="287"/>
      <c r="QPU312" s="287"/>
      <c r="QPV312" s="287"/>
      <c r="QPW312" s="287"/>
      <c r="QPX312" s="287"/>
      <c r="QPY312" s="287"/>
      <c r="QPZ312" s="287"/>
      <c r="QQA312" s="287"/>
      <c r="QQB312" s="287"/>
      <c r="QQC312" s="287"/>
      <c r="QQD312" s="287"/>
      <c r="QQE312" s="287"/>
      <c r="QQF312" s="287"/>
      <c r="QQG312" s="287"/>
      <c r="QQH312" s="287"/>
      <c r="QQI312" s="287"/>
      <c r="QQJ312" s="287"/>
      <c r="QQK312" s="287"/>
      <c r="QQL312" s="287"/>
      <c r="QQM312" s="287"/>
      <c r="QQN312" s="287"/>
      <c r="QQO312" s="287"/>
      <c r="QQP312" s="287"/>
      <c r="QQQ312" s="287"/>
      <c r="QQR312" s="287"/>
      <c r="QQS312" s="287"/>
      <c r="QQT312" s="287"/>
      <c r="QQU312" s="287"/>
      <c r="QQV312" s="287"/>
      <c r="QQW312" s="287"/>
      <c r="QQX312" s="287"/>
      <c r="QQY312" s="287"/>
      <c r="QQZ312" s="287"/>
      <c r="QRA312" s="287"/>
      <c r="QRB312" s="287"/>
      <c r="QRC312" s="287"/>
      <c r="QRD312" s="287"/>
      <c r="QRE312" s="287"/>
      <c r="QRF312" s="287"/>
      <c r="QRG312" s="287"/>
      <c r="QRH312" s="287"/>
      <c r="QRI312" s="287"/>
      <c r="QRJ312" s="287"/>
      <c r="QRK312" s="287"/>
      <c r="QRL312" s="287"/>
      <c r="QRM312" s="287"/>
      <c r="QRN312" s="287"/>
      <c r="QRO312" s="287"/>
      <c r="QRP312" s="287"/>
      <c r="QRQ312" s="287"/>
      <c r="QRR312" s="287"/>
      <c r="QRS312" s="287"/>
      <c r="QRT312" s="287"/>
      <c r="QRU312" s="287"/>
      <c r="QRV312" s="287"/>
      <c r="QRW312" s="287"/>
      <c r="QRX312" s="287"/>
      <c r="QRY312" s="287"/>
      <c r="QRZ312" s="287"/>
      <c r="QSA312" s="287"/>
      <c r="QSB312" s="287"/>
      <c r="QSC312" s="287"/>
      <c r="QSD312" s="287"/>
      <c r="QSE312" s="287"/>
      <c r="QSF312" s="287"/>
      <c r="QSG312" s="287"/>
      <c r="QSH312" s="287"/>
      <c r="QSI312" s="287"/>
      <c r="QSJ312" s="287"/>
      <c r="QSK312" s="287"/>
      <c r="QSL312" s="287"/>
      <c r="QSM312" s="287"/>
      <c r="QSN312" s="287"/>
      <c r="QSO312" s="287"/>
      <c r="QSP312" s="287"/>
      <c r="QSQ312" s="287"/>
      <c r="QSR312" s="287"/>
      <c r="QSS312" s="287"/>
      <c r="QST312" s="287"/>
      <c r="QSU312" s="287"/>
      <c r="QSV312" s="287"/>
      <c r="QSW312" s="287"/>
      <c r="QSX312" s="287"/>
      <c r="QSY312" s="287"/>
      <c r="QSZ312" s="287"/>
      <c r="QTA312" s="287"/>
      <c r="QTB312" s="287"/>
      <c r="QTC312" s="287"/>
      <c r="QTD312" s="287"/>
      <c r="QTE312" s="287"/>
      <c r="QTF312" s="287"/>
      <c r="QTG312" s="287"/>
      <c r="QTH312" s="287"/>
      <c r="QTI312" s="287"/>
      <c r="QTJ312" s="287"/>
      <c r="QTK312" s="287"/>
      <c r="QTL312" s="287"/>
      <c r="QTM312" s="287"/>
      <c r="QTN312" s="287"/>
      <c r="QTO312" s="287"/>
      <c r="QTP312" s="287"/>
      <c r="QTQ312" s="287"/>
      <c r="QTR312" s="287"/>
      <c r="QTS312" s="287"/>
      <c r="QTT312" s="287"/>
      <c r="QTU312" s="287"/>
      <c r="QTV312" s="287"/>
      <c r="QTW312" s="287"/>
      <c r="QTX312" s="287"/>
      <c r="QTY312" s="287"/>
      <c r="QTZ312" s="287"/>
      <c r="QUA312" s="287"/>
      <c r="QUB312" s="287"/>
      <c r="QUC312" s="287"/>
      <c r="QUD312" s="287"/>
      <c r="QUE312" s="287"/>
      <c r="QUF312" s="287"/>
      <c r="QUG312" s="287"/>
      <c r="QUH312" s="287"/>
      <c r="QUI312" s="287"/>
      <c r="QUJ312" s="287"/>
      <c r="QUK312" s="287"/>
      <c r="QUL312" s="287"/>
      <c r="QUM312" s="287"/>
      <c r="QUN312" s="287"/>
      <c r="QUO312" s="287"/>
      <c r="QUP312" s="287"/>
      <c r="QUQ312" s="287"/>
      <c r="QUR312" s="287"/>
      <c r="QUS312" s="287"/>
      <c r="QUT312" s="287"/>
      <c r="QUU312" s="287"/>
      <c r="QUV312" s="287"/>
      <c r="QUW312" s="287"/>
      <c r="QUX312" s="287"/>
      <c r="QUY312" s="287"/>
      <c r="QUZ312" s="287"/>
      <c r="QVA312" s="287"/>
      <c r="QVB312" s="287"/>
      <c r="QVC312" s="287"/>
      <c r="QVD312" s="287"/>
      <c r="QVE312" s="287"/>
      <c r="QVF312" s="287"/>
      <c r="QVG312" s="287"/>
      <c r="QVH312" s="287"/>
      <c r="QVI312" s="287"/>
      <c r="QVJ312" s="287"/>
      <c r="QVK312" s="287"/>
      <c r="QVL312" s="287"/>
      <c r="QVM312" s="287"/>
      <c r="QVN312" s="287"/>
      <c r="QVO312" s="287"/>
      <c r="QVP312" s="287"/>
      <c r="QVQ312" s="287"/>
      <c r="QVR312" s="287"/>
      <c r="QVS312" s="287"/>
      <c r="QVT312" s="287"/>
      <c r="QVU312" s="287"/>
      <c r="QVV312" s="287"/>
      <c r="QVW312" s="287"/>
      <c r="QVX312" s="287"/>
      <c r="QVY312" s="287"/>
      <c r="QVZ312" s="287"/>
      <c r="QWA312" s="287"/>
      <c r="QWB312" s="287"/>
      <c r="QWC312" s="287"/>
      <c r="QWD312" s="287"/>
      <c r="QWE312" s="287"/>
      <c r="QWF312" s="287"/>
      <c r="QWG312" s="287"/>
      <c r="QWH312" s="287"/>
      <c r="QWI312" s="287"/>
      <c r="QWJ312" s="287"/>
      <c r="QWK312" s="287"/>
      <c r="QWL312" s="287"/>
      <c r="QWM312" s="287"/>
      <c r="QWN312" s="287"/>
      <c r="QWO312" s="287"/>
      <c r="QWP312" s="287"/>
      <c r="QWQ312" s="287"/>
      <c r="QWR312" s="287"/>
      <c r="QWS312" s="287"/>
      <c r="QWT312" s="287"/>
      <c r="QWU312" s="287"/>
      <c r="QWV312" s="287"/>
      <c r="QWW312" s="287"/>
      <c r="QWX312" s="287"/>
      <c r="QWY312" s="287"/>
      <c r="QWZ312" s="287"/>
      <c r="QXA312" s="287"/>
      <c r="QXB312" s="287"/>
      <c r="QXC312" s="287"/>
      <c r="QXD312" s="287"/>
      <c r="QXE312" s="287"/>
      <c r="QXF312" s="287"/>
      <c r="QXG312" s="287"/>
      <c r="QXH312" s="287"/>
      <c r="QXI312" s="287"/>
      <c r="QXJ312" s="287"/>
      <c r="QXK312" s="287"/>
      <c r="QXL312" s="287"/>
      <c r="QXM312" s="287"/>
      <c r="QXN312" s="287"/>
      <c r="QXO312" s="287"/>
      <c r="QXP312" s="287"/>
      <c r="QXQ312" s="287"/>
      <c r="QXR312" s="287"/>
      <c r="QXS312" s="287"/>
      <c r="QXT312" s="287"/>
      <c r="QXU312" s="287"/>
      <c r="QXV312" s="287"/>
      <c r="QXW312" s="287"/>
      <c r="QXX312" s="287"/>
      <c r="QXY312" s="287"/>
      <c r="QXZ312" s="287"/>
      <c r="QYA312" s="287"/>
      <c r="QYB312" s="287"/>
      <c r="QYC312" s="287"/>
      <c r="QYD312" s="287"/>
      <c r="QYE312" s="287"/>
      <c r="QYF312" s="287"/>
      <c r="QYG312" s="287"/>
      <c r="QYH312" s="287"/>
      <c r="QYI312" s="287"/>
      <c r="QYJ312" s="287"/>
      <c r="QYK312" s="287"/>
      <c r="QYL312" s="287"/>
      <c r="QYM312" s="287"/>
      <c r="QYN312" s="287"/>
      <c r="QYO312" s="287"/>
      <c r="QYP312" s="287"/>
      <c r="QYQ312" s="287"/>
      <c r="QYR312" s="287"/>
      <c r="QYS312" s="287"/>
      <c r="QYT312" s="287"/>
      <c r="QYU312" s="287"/>
      <c r="QYV312" s="287"/>
      <c r="QYW312" s="287"/>
      <c r="QYX312" s="287"/>
      <c r="QYY312" s="287"/>
      <c r="QYZ312" s="287"/>
      <c r="QZA312" s="287"/>
      <c r="QZB312" s="287"/>
      <c r="QZC312" s="287"/>
      <c r="QZD312" s="287"/>
      <c r="QZE312" s="287"/>
      <c r="QZF312" s="287"/>
      <c r="QZG312" s="287"/>
      <c r="QZH312" s="287"/>
      <c r="QZI312" s="287"/>
      <c r="QZJ312" s="287"/>
      <c r="QZK312" s="287"/>
      <c r="QZL312" s="287"/>
      <c r="QZM312" s="287"/>
      <c r="QZN312" s="287"/>
      <c r="QZO312" s="287"/>
      <c r="QZP312" s="287"/>
      <c r="QZQ312" s="287"/>
      <c r="QZR312" s="287"/>
      <c r="QZS312" s="287"/>
      <c r="QZT312" s="287"/>
      <c r="QZU312" s="287"/>
      <c r="QZV312" s="287"/>
      <c r="QZW312" s="287"/>
      <c r="QZX312" s="287"/>
      <c r="QZY312" s="287"/>
      <c r="QZZ312" s="287"/>
      <c r="RAA312" s="287"/>
      <c r="RAB312" s="287"/>
      <c r="RAC312" s="287"/>
      <c r="RAD312" s="287"/>
      <c r="RAE312" s="287"/>
      <c r="RAF312" s="287"/>
      <c r="RAG312" s="287"/>
      <c r="RAH312" s="287"/>
      <c r="RAI312" s="287"/>
      <c r="RAJ312" s="287"/>
      <c r="RAK312" s="287"/>
      <c r="RAL312" s="287"/>
      <c r="RAM312" s="287"/>
      <c r="RAN312" s="287"/>
      <c r="RAO312" s="287"/>
      <c r="RAP312" s="287"/>
      <c r="RAQ312" s="287"/>
      <c r="RAR312" s="287"/>
      <c r="RAS312" s="287"/>
      <c r="RAT312" s="287"/>
      <c r="RAU312" s="287"/>
      <c r="RAV312" s="287"/>
      <c r="RAW312" s="287"/>
      <c r="RAX312" s="287"/>
      <c r="RAY312" s="287"/>
      <c r="RAZ312" s="287"/>
      <c r="RBA312" s="287"/>
      <c r="RBB312" s="287"/>
      <c r="RBC312" s="287"/>
      <c r="RBD312" s="287"/>
      <c r="RBE312" s="287"/>
      <c r="RBF312" s="287"/>
      <c r="RBG312" s="287"/>
      <c r="RBH312" s="287"/>
      <c r="RBI312" s="287"/>
      <c r="RBJ312" s="287"/>
      <c r="RBK312" s="287"/>
      <c r="RBL312" s="287"/>
      <c r="RBM312" s="287"/>
      <c r="RBN312" s="287"/>
      <c r="RBO312" s="287"/>
      <c r="RBP312" s="287"/>
      <c r="RBQ312" s="287"/>
      <c r="RBR312" s="287"/>
      <c r="RBS312" s="287"/>
      <c r="RBT312" s="287"/>
      <c r="RBU312" s="287"/>
      <c r="RBV312" s="287"/>
      <c r="RBW312" s="287"/>
      <c r="RBX312" s="287"/>
      <c r="RBY312" s="287"/>
      <c r="RBZ312" s="287"/>
      <c r="RCA312" s="287"/>
      <c r="RCB312" s="287"/>
      <c r="RCC312" s="287"/>
      <c r="RCD312" s="287"/>
      <c r="RCE312" s="287"/>
      <c r="RCF312" s="287"/>
      <c r="RCG312" s="287"/>
      <c r="RCH312" s="287"/>
      <c r="RCI312" s="287"/>
      <c r="RCJ312" s="287"/>
      <c r="RCK312" s="287"/>
      <c r="RCL312" s="287"/>
      <c r="RCM312" s="287"/>
      <c r="RCN312" s="287"/>
      <c r="RCO312" s="287"/>
      <c r="RCP312" s="287"/>
      <c r="RCQ312" s="287"/>
      <c r="RCR312" s="287"/>
      <c r="RCS312" s="287"/>
      <c r="RCT312" s="287"/>
      <c r="RCU312" s="287"/>
      <c r="RCV312" s="287"/>
      <c r="RCW312" s="287"/>
      <c r="RCX312" s="287"/>
      <c r="RCY312" s="287"/>
      <c r="RCZ312" s="287"/>
      <c r="RDA312" s="287"/>
      <c r="RDB312" s="287"/>
      <c r="RDC312" s="287"/>
      <c r="RDD312" s="287"/>
      <c r="RDE312" s="287"/>
      <c r="RDF312" s="287"/>
      <c r="RDG312" s="287"/>
      <c r="RDH312" s="287"/>
      <c r="RDI312" s="287"/>
      <c r="RDJ312" s="287"/>
      <c r="RDK312" s="287"/>
      <c r="RDL312" s="287"/>
      <c r="RDM312" s="287"/>
      <c r="RDN312" s="287"/>
      <c r="RDO312" s="287"/>
      <c r="RDP312" s="287"/>
      <c r="RDQ312" s="287"/>
      <c r="RDR312" s="287"/>
      <c r="RDS312" s="287"/>
      <c r="RDT312" s="287"/>
      <c r="RDU312" s="287"/>
      <c r="RDV312" s="287"/>
      <c r="RDW312" s="287"/>
      <c r="RDX312" s="287"/>
      <c r="RDY312" s="287"/>
      <c r="RDZ312" s="287"/>
      <c r="REA312" s="287"/>
      <c r="REB312" s="287"/>
      <c r="REC312" s="287"/>
      <c r="RED312" s="287"/>
      <c r="REE312" s="287"/>
      <c r="REF312" s="287"/>
      <c r="REG312" s="287"/>
      <c r="REH312" s="287"/>
      <c r="REI312" s="287"/>
      <c r="REJ312" s="287"/>
      <c r="REK312" s="287"/>
      <c r="REL312" s="287"/>
      <c r="REM312" s="287"/>
      <c r="REN312" s="287"/>
      <c r="REO312" s="287"/>
      <c r="REP312" s="287"/>
      <c r="REQ312" s="287"/>
      <c r="RER312" s="287"/>
      <c r="RES312" s="287"/>
      <c r="RET312" s="287"/>
      <c r="REU312" s="287"/>
      <c r="REV312" s="287"/>
      <c r="REW312" s="287"/>
      <c r="REX312" s="287"/>
      <c r="REY312" s="287"/>
      <c r="REZ312" s="287"/>
      <c r="RFA312" s="287"/>
      <c r="RFB312" s="287"/>
      <c r="RFC312" s="287"/>
      <c r="RFD312" s="287"/>
      <c r="RFE312" s="287"/>
      <c r="RFF312" s="287"/>
      <c r="RFG312" s="287"/>
      <c r="RFH312" s="287"/>
      <c r="RFI312" s="287"/>
      <c r="RFJ312" s="287"/>
      <c r="RFK312" s="287"/>
      <c r="RFL312" s="287"/>
      <c r="RFM312" s="287"/>
      <c r="RFN312" s="287"/>
      <c r="RFO312" s="287"/>
      <c r="RFP312" s="287"/>
      <c r="RFQ312" s="287"/>
      <c r="RFR312" s="287"/>
      <c r="RFS312" s="287"/>
      <c r="RFT312" s="287"/>
      <c r="RFU312" s="287"/>
      <c r="RFV312" s="287"/>
      <c r="RFW312" s="287"/>
      <c r="RFX312" s="287"/>
      <c r="RFY312" s="287"/>
      <c r="RFZ312" s="287"/>
      <c r="RGA312" s="287"/>
      <c r="RGB312" s="287"/>
      <c r="RGC312" s="287"/>
      <c r="RGD312" s="287"/>
      <c r="RGE312" s="287"/>
      <c r="RGF312" s="287"/>
      <c r="RGG312" s="287"/>
      <c r="RGH312" s="287"/>
      <c r="RGI312" s="287"/>
      <c r="RGJ312" s="287"/>
      <c r="RGK312" s="287"/>
      <c r="RGL312" s="287"/>
      <c r="RGM312" s="287"/>
      <c r="RGN312" s="287"/>
      <c r="RGO312" s="287"/>
      <c r="RGP312" s="287"/>
      <c r="RGQ312" s="287"/>
      <c r="RGR312" s="287"/>
      <c r="RGS312" s="287"/>
      <c r="RGT312" s="287"/>
      <c r="RGU312" s="287"/>
      <c r="RGV312" s="287"/>
      <c r="RGW312" s="287"/>
      <c r="RGX312" s="287"/>
      <c r="RGY312" s="287"/>
      <c r="RGZ312" s="287"/>
      <c r="RHA312" s="287"/>
      <c r="RHB312" s="287"/>
      <c r="RHC312" s="287"/>
      <c r="RHD312" s="287"/>
      <c r="RHE312" s="287"/>
      <c r="RHF312" s="287"/>
      <c r="RHG312" s="287"/>
      <c r="RHH312" s="287"/>
      <c r="RHI312" s="287"/>
      <c r="RHJ312" s="287"/>
      <c r="RHK312" s="287"/>
      <c r="RHL312" s="287"/>
      <c r="RHM312" s="287"/>
      <c r="RHN312" s="287"/>
      <c r="RHO312" s="287"/>
      <c r="RHP312" s="287"/>
      <c r="RHQ312" s="287"/>
      <c r="RHR312" s="287"/>
      <c r="RHS312" s="287"/>
      <c r="RHT312" s="287"/>
      <c r="RHU312" s="287"/>
      <c r="RHV312" s="287"/>
      <c r="RHW312" s="287"/>
      <c r="RHX312" s="287"/>
      <c r="RHY312" s="287"/>
      <c r="RHZ312" s="287"/>
      <c r="RIA312" s="287"/>
      <c r="RIB312" s="287"/>
      <c r="RIC312" s="287"/>
      <c r="RID312" s="287"/>
      <c r="RIE312" s="287"/>
      <c r="RIF312" s="287"/>
      <c r="RIG312" s="287"/>
      <c r="RIH312" s="287"/>
      <c r="RII312" s="287"/>
      <c r="RIJ312" s="287"/>
      <c r="RIK312" s="287"/>
      <c r="RIL312" s="287"/>
      <c r="RIM312" s="287"/>
      <c r="RIN312" s="287"/>
      <c r="RIO312" s="287"/>
      <c r="RIP312" s="287"/>
      <c r="RIQ312" s="287"/>
      <c r="RIR312" s="287"/>
      <c r="RIS312" s="287"/>
      <c r="RIT312" s="287"/>
      <c r="RIU312" s="287"/>
      <c r="RIV312" s="287"/>
      <c r="RIW312" s="287"/>
      <c r="RIX312" s="287"/>
      <c r="RIY312" s="287"/>
      <c r="RIZ312" s="287"/>
      <c r="RJA312" s="287"/>
      <c r="RJB312" s="287"/>
      <c r="RJC312" s="287"/>
      <c r="RJD312" s="287"/>
      <c r="RJE312" s="287"/>
      <c r="RJF312" s="287"/>
      <c r="RJG312" s="287"/>
      <c r="RJH312" s="287"/>
      <c r="RJI312" s="287"/>
      <c r="RJJ312" s="287"/>
      <c r="RJK312" s="287"/>
      <c r="RJL312" s="287"/>
      <c r="RJM312" s="287"/>
      <c r="RJN312" s="287"/>
      <c r="RJO312" s="287"/>
      <c r="RJP312" s="287"/>
      <c r="RJQ312" s="287"/>
      <c r="RJR312" s="287"/>
      <c r="RJS312" s="287"/>
      <c r="RJT312" s="287"/>
      <c r="RJU312" s="287"/>
      <c r="RJV312" s="287"/>
      <c r="RJW312" s="287"/>
      <c r="RJX312" s="287"/>
      <c r="RJY312" s="287"/>
      <c r="RJZ312" s="287"/>
      <c r="RKA312" s="287"/>
      <c r="RKB312" s="287"/>
      <c r="RKC312" s="287"/>
      <c r="RKD312" s="287"/>
      <c r="RKE312" s="287"/>
      <c r="RKF312" s="287"/>
      <c r="RKG312" s="287"/>
      <c r="RKH312" s="287"/>
      <c r="RKI312" s="287"/>
      <c r="RKJ312" s="287"/>
      <c r="RKK312" s="287"/>
      <c r="RKL312" s="287"/>
      <c r="RKM312" s="287"/>
      <c r="RKN312" s="287"/>
      <c r="RKO312" s="287"/>
      <c r="RKP312" s="287"/>
      <c r="RKQ312" s="287"/>
      <c r="RKR312" s="287"/>
      <c r="RKS312" s="287"/>
      <c r="RKT312" s="287"/>
      <c r="RKU312" s="287"/>
      <c r="RKV312" s="287"/>
      <c r="RKW312" s="287"/>
      <c r="RKX312" s="287"/>
      <c r="RKY312" s="287"/>
      <c r="RKZ312" s="287"/>
      <c r="RLA312" s="287"/>
      <c r="RLB312" s="287"/>
      <c r="RLC312" s="287"/>
      <c r="RLD312" s="287"/>
      <c r="RLE312" s="287"/>
      <c r="RLF312" s="287"/>
      <c r="RLG312" s="287"/>
      <c r="RLH312" s="287"/>
      <c r="RLI312" s="287"/>
      <c r="RLJ312" s="287"/>
      <c r="RLK312" s="287"/>
      <c r="RLL312" s="287"/>
      <c r="RLM312" s="287"/>
      <c r="RLN312" s="287"/>
      <c r="RLO312" s="287"/>
      <c r="RLP312" s="287"/>
      <c r="RLQ312" s="287"/>
      <c r="RLR312" s="287"/>
      <c r="RLS312" s="287"/>
      <c r="RLT312" s="287"/>
      <c r="RLU312" s="287"/>
      <c r="RLV312" s="287"/>
      <c r="RLW312" s="287"/>
      <c r="RLX312" s="287"/>
      <c r="RLY312" s="287"/>
      <c r="RLZ312" s="287"/>
      <c r="RMA312" s="287"/>
      <c r="RMB312" s="287"/>
      <c r="RMC312" s="287"/>
      <c r="RMD312" s="287"/>
      <c r="RME312" s="287"/>
      <c r="RMF312" s="287"/>
      <c r="RMG312" s="287"/>
      <c r="RMH312" s="287"/>
      <c r="RMI312" s="287"/>
      <c r="RMJ312" s="287"/>
      <c r="RMK312" s="287"/>
      <c r="RML312" s="287"/>
      <c r="RMM312" s="287"/>
      <c r="RMN312" s="287"/>
      <c r="RMO312" s="287"/>
      <c r="RMP312" s="287"/>
      <c r="RMQ312" s="287"/>
      <c r="RMR312" s="287"/>
      <c r="RMS312" s="287"/>
      <c r="RMT312" s="287"/>
      <c r="RMU312" s="287"/>
      <c r="RMV312" s="287"/>
      <c r="RMW312" s="287"/>
      <c r="RMX312" s="287"/>
      <c r="RMY312" s="287"/>
      <c r="RMZ312" s="287"/>
      <c r="RNA312" s="287"/>
      <c r="RNB312" s="287"/>
      <c r="RNC312" s="287"/>
      <c r="RND312" s="287"/>
      <c r="RNE312" s="287"/>
      <c r="RNF312" s="287"/>
      <c r="RNG312" s="287"/>
      <c r="RNH312" s="287"/>
      <c r="RNI312" s="287"/>
      <c r="RNJ312" s="287"/>
      <c r="RNK312" s="287"/>
      <c r="RNL312" s="287"/>
      <c r="RNM312" s="287"/>
      <c r="RNN312" s="287"/>
      <c r="RNO312" s="287"/>
      <c r="RNP312" s="287"/>
      <c r="RNQ312" s="287"/>
      <c r="RNR312" s="287"/>
      <c r="RNS312" s="287"/>
      <c r="RNT312" s="287"/>
      <c r="RNU312" s="287"/>
      <c r="RNV312" s="287"/>
      <c r="RNW312" s="287"/>
      <c r="RNX312" s="287"/>
      <c r="RNY312" s="287"/>
      <c r="RNZ312" s="287"/>
      <c r="ROA312" s="287"/>
      <c r="ROB312" s="287"/>
      <c r="ROC312" s="287"/>
      <c r="ROD312" s="287"/>
      <c r="ROE312" s="287"/>
      <c r="ROF312" s="287"/>
      <c r="ROG312" s="287"/>
      <c r="ROH312" s="287"/>
      <c r="ROI312" s="287"/>
      <c r="ROJ312" s="287"/>
      <c r="ROK312" s="287"/>
      <c r="ROL312" s="287"/>
      <c r="ROM312" s="287"/>
      <c r="RON312" s="287"/>
      <c r="ROO312" s="287"/>
      <c r="ROP312" s="287"/>
      <c r="ROQ312" s="287"/>
      <c r="ROR312" s="287"/>
      <c r="ROS312" s="287"/>
      <c r="ROT312" s="287"/>
      <c r="ROU312" s="287"/>
      <c r="ROV312" s="287"/>
      <c r="ROW312" s="287"/>
      <c r="ROX312" s="287"/>
      <c r="ROY312" s="287"/>
      <c r="ROZ312" s="287"/>
      <c r="RPA312" s="287"/>
      <c r="RPB312" s="287"/>
      <c r="RPC312" s="287"/>
      <c r="RPD312" s="287"/>
      <c r="RPE312" s="287"/>
      <c r="RPF312" s="287"/>
      <c r="RPG312" s="287"/>
      <c r="RPH312" s="287"/>
      <c r="RPI312" s="287"/>
      <c r="RPJ312" s="287"/>
      <c r="RPK312" s="287"/>
      <c r="RPL312" s="287"/>
      <c r="RPM312" s="287"/>
      <c r="RPN312" s="287"/>
      <c r="RPO312" s="287"/>
      <c r="RPP312" s="287"/>
      <c r="RPQ312" s="287"/>
      <c r="RPR312" s="287"/>
      <c r="RPS312" s="287"/>
      <c r="RPT312" s="287"/>
      <c r="RPU312" s="287"/>
      <c r="RPV312" s="287"/>
      <c r="RPW312" s="287"/>
      <c r="RPX312" s="287"/>
      <c r="RPY312" s="287"/>
      <c r="RPZ312" s="287"/>
      <c r="RQA312" s="287"/>
      <c r="RQB312" s="287"/>
      <c r="RQC312" s="287"/>
      <c r="RQD312" s="287"/>
      <c r="RQE312" s="287"/>
      <c r="RQF312" s="287"/>
      <c r="RQG312" s="287"/>
      <c r="RQH312" s="287"/>
      <c r="RQI312" s="287"/>
      <c r="RQJ312" s="287"/>
      <c r="RQK312" s="287"/>
      <c r="RQL312" s="287"/>
      <c r="RQM312" s="287"/>
      <c r="RQN312" s="287"/>
      <c r="RQO312" s="287"/>
      <c r="RQP312" s="287"/>
      <c r="RQQ312" s="287"/>
      <c r="RQR312" s="287"/>
      <c r="RQS312" s="287"/>
      <c r="RQT312" s="287"/>
      <c r="RQU312" s="287"/>
      <c r="RQV312" s="287"/>
      <c r="RQW312" s="287"/>
      <c r="RQX312" s="287"/>
      <c r="RQY312" s="287"/>
      <c r="RQZ312" s="287"/>
      <c r="RRA312" s="287"/>
      <c r="RRB312" s="287"/>
      <c r="RRC312" s="287"/>
      <c r="RRD312" s="287"/>
      <c r="RRE312" s="287"/>
      <c r="RRF312" s="287"/>
      <c r="RRG312" s="287"/>
      <c r="RRH312" s="287"/>
      <c r="RRI312" s="287"/>
      <c r="RRJ312" s="287"/>
      <c r="RRK312" s="287"/>
      <c r="RRL312" s="287"/>
      <c r="RRM312" s="287"/>
      <c r="RRN312" s="287"/>
      <c r="RRO312" s="287"/>
      <c r="RRP312" s="287"/>
      <c r="RRQ312" s="287"/>
      <c r="RRR312" s="287"/>
      <c r="RRS312" s="287"/>
      <c r="RRT312" s="287"/>
      <c r="RRU312" s="287"/>
      <c r="RRV312" s="287"/>
      <c r="RRW312" s="287"/>
      <c r="RRX312" s="287"/>
      <c r="RRY312" s="287"/>
      <c r="RRZ312" s="287"/>
      <c r="RSA312" s="287"/>
      <c r="RSB312" s="287"/>
      <c r="RSC312" s="287"/>
      <c r="RSD312" s="287"/>
      <c r="RSE312" s="287"/>
      <c r="RSF312" s="287"/>
      <c r="RSG312" s="287"/>
      <c r="RSH312" s="287"/>
      <c r="RSI312" s="287"/>
      <c r="RSJ312" s="287"/>
      <c r="RSK312" s="287"/>
      <c r="RSL312" s="287"/>
      <c r="RSM312" s="287"/>
      <c r="RSN312" s="287"/>
      <c r="RSO312" s="287"/>
      <c r="RSP312" s="287"/>
      <c r="RSQ312" s="287"/>
      <c r="RSR312" s="287"/>
      <c r="RSS312" s="287"/>
      <c r="RST312" s="287"/>
      <c r="RSU312" s="287"/>
      <c r="RSV312" s="287"/>
      <c r="RSW312" s="287"/>
      <c r="RSX312" s="287"/>
      <c r="RSY312" s="287"/>
      <c r="RSZ312" s="287"/>
      <c r="RTA312" s="287"/>
      <c r="RTB312" s="287"/>
      <c r="RTC312" s="287"/>
      <c r="RTD312" s="287"/>
      <c r="RTE312" s="287"/>
      <c r="RTF312" s="287"/>
      <c r="RTG312" s="287"/>
      <c r="RTH312" s="287"/>
      <c r="RTI312" s="287"/>
      <c r="RTJ312" s="287"/>
      <c r="RTK312" s="287"/>
      <c r="RTL312" s="287"/>
      <c r="RTM312" s="287"/>
      <c r="RTN312" s="287"/>
      <c r="RTO312" s="287"/>
      <c r="RTP312" s="287"/>
      <c r="RTQ312" s="287"/>
      <c r="RTR312" s="287"/>
      <c r="RTS312" s="287"/>
      <c r="RTT312" s="287"/>
      <c r="RTU312" s="287"/>
      <c r="RTV312" s="287"/>
      <c r="RTW312" s="287"/>
      <c r="RTX312" s="287"/>
      <c r="RTY312" s="287"/>
      <c r="RTZ312" s="287"/>
      <c r="RUA312" s="287"/>
      <c r="RUB312" s="287"/>
      <c r="RUC312" s="287"/>
      <c r="RUD312" s="287"/>
      <c r="RUE312" s="287"/>
      <c r="RUF312" s="287"/>
      <c r="RUG312" s="287"/>
      <c r="RUH312" s="287"/>
      <c r="RUI312" s="287"/>
      <c r="RUJ312" s="287"/>
      <c r="RUK312" s="287"/>
      <c r="RUL312" s="287"/>
      <c r="RUM312" s="287"/>
      <c r="RUN312" s="287"/>
      <c r="RUO312" s="287"/>
      <c r="RUP312" s="287"/>
      <c r="RUQ312" s="287"/>
      <c r="RUR312" s="287"/>
      <c r="RUS312" s="287"/>
      <c r="RUT312" s="287"/>
      <c r="RUU312" s="287"/>
      <c r="RUV312" s="287"/>
      <c r="RUW312" s="287"/>
      <c r="RUX312" s="287"/>
      <c r="RUY312" s="287"/>
      <c r="RUZ312" s="287"/>
      <c r="RVA312" s="287"/>
      <c r="RVB312" s="287"/>
      <c r="RVC312" s="287"/>
      <c r="RVD312" s="287"/>
      <c r="RVE312" s="287"/>
      <c r="RVF312" s="287"/>
      <c r="RVG312" s="287"/>
      <c r="RVH312" s="287"/>
      <c r="RVI312" s="287"/>
      <c r="RVJ312" s="287"/>
      <c r="RVK312" s="287"/>
      <c r="RVL312" s="287"/>
      <c r="RVM312" s="287"/>
      <c r="RVN312" s="287"/>
      <c r="RVO312" s="287"/>
      <c r="RVP312" s="287"/>
      <c r="RVQ312" s="287"/>
      <c r="RVR312" s="287"/>
      <c r="RVS312" s="287"/>
      <c r="RVT312" s="287"/>
      <c r="RVU312" s="287"/>
      <c r="RVV312" s="287"/>
      <c r="RVW312" s="287"/>
      <c r="RVX312" s="287"/>
      <c r="RVY312" s="287"/>
      <c r="RVZ312" s="287"/>
      <c r="RWA312" s="287"/>
      <c r="RWB312" s="287"/>
      <c r="RWC312" s="287"/>
      <c r="RWD312" s="287"/>
      <c r="RWE312" s="287"/>
      <c r="RWF312" s="287"/>
      <c r="RWG312" s="287"/>
      <c r="RWH312" s="287"/>
      <c r="RWI312" s="287"/>
      <c r="RWJ312" s="287"/>
      <c r="RWK312" s="287"/>
      <c r="RWL312" s="287"/>
      <c r="RWM312" s="287"/>
      <c r="RWN312" s="287"/>
      <c r="RWO312" s="287"/>
      <c r="RWP312" s="287"/>
      <c r="RWQ312" s="287"/>
      <c r="RWR312" s="287"/>
      <c r="RWS312" s="287"/>
      <c r="RWT312" s="287"/>
      <c r="RWU312" s="287"/>
      <c r="RWV312" s="287"/>
      <c r="RWW312" s="287"/>
      <c r="RWX312" s="287"/>
      <c r="RWY312" s="287"/>
      <c r="RWZ312" s="287"/>
      <c r="RXA312" s="287"/>
      <c r="RXB312" s="287"/>
      <c r="RXC312" s="287"/>
      <c r="RXD312" s="287"/>
      <c r="RXE312" s="287"/>
      <c r="RXF312" s="287"/>
      <c r="RXG312" s="287"/>
      <c r="RXH312" s="287"/>
      <c r="RXI312" s="287"/>
      <c r="RXJ312" s="287"/>
      <c r="RXK312" s="287"/>
      <c r="RXL312" s="287"/>
      <c r="RXM312" s="287"/>
      <c r="RXN312" s="287"/>
      <c r="RXO312" s="287"/>
      <c r="RXP312" s="287"/>
      <c r="RXQ312" s="287"/>
      <c r="RXR312" s="287"/>
      <c r="RXS312" s="287"/>
      <c r="RXT312" s="287"/>
      <c r="RXU312" s="287"/>
      <c r="RXV312" s="287"/>
      <c r="RXW312" s="287"/>
      <c r="RXX312" s="287"/>
      <c r="RXY312" s="287"/>
      <c r="RXZ312" s="287"/>
      <c r="RYA312" s="287"/>
      <c r="RYB312" s="287"/>
      <c r="RYC312" s="287"/>
      <c r="RYD312" s="287"/>
      <c r="RYE312" s="287"/>
      <c r="RYF312" s="287"/>
      <c r="RYG312" s="287"/>
      <c r="RYH312" s="287"/>
      <c r="RYI312" s="287"/>
      <c r="RYJ312" s="287"/>
      <c r="RYK312" s="287"/>
      <c r="RYL312" s="287"/>
      <c r="RYM312" s="287"/>
      <c r="RYN312" s="287"/>
      <c r="RYO312" s="287"/>
      <c r="RYP312" s="287"/>
      <c r="RYQ312" s="287"/>
      <c r="RYR312" s="287"/>
      <c r="RYS312" s="287"/>
      <c r="RYT312" s="287"/>
      <c r="RYU312" s="287"/>
      <c r="RYV312" s="287"/>
      <c r="RYW312" s="287"/>
      <c r="RYX312" s="287"/>
      <c r="RYY312" s="287"/>
      <c r="RYZ312" s="287"/>
      <c r="RZA312" s="287"/>
      <c r="RZB312" s="287"/>
      <c r="RZC312" s="287"/>
      <c r="RZD312" s="287"/>
      <c r="RZE312" s="287"/>
      <c r="RZF312" s="287"/>
      <c r="RZG312" s="287"/>
      <c r="RZH312" s="287"/>
      <c r="RZI312" s="287"/>
      <c r="RZJ312" s="287"/>
      <c r="RZK312" s="287"/>
      <c r="RZL312" s="287"/>
      <c r="RZM312" s="287"/>
      <c r="RZN312" s="287"/>
      <c r="RZO312" s="287"/>
      <c r="RZP312" s="287"/>
      <c r="RZQ312" s="287"/>
      <c r="RZR312" s="287"/>
      <c r="RZS312" s="287"/>
      <c r="RZT312" s="287"/>
      <c r="RZU312" s="287"/>
      <c r="RZV312" s="287"/>
      <c r="RZW312" s="287"/>
      <c r="RZX312" s="287"/>
      <c r="RZY312" s="287"/>
      <c r="RZZ312" s="287"/>
      <c r="SAA312" s="287"/>
      <c r="SAB312" s="287"/>
      <c r="SAC312" s="287"/>
      <c r="SAD312" s="287"/>
      <c r="SAE312" s="287"/>
      <c r="SAF312" s="287"/>
      <c r="SAG312" s="287"/>
      <c r="SAH312" s="287"/>
      <c r="SAI312" s="287"/>
      <c r="SAJ312" s="287"/>
      <c r="SAK312" s="287"/>
      <c r="SAL312" s="287"/>
      <c r="SAM312" s="287"/>
      <c r="SAN312" s="287"/>
      <c r="SAO312" s="287"/>
      <c r="SAP312" s="287"/>
      <c r="SAQ312" s="287"/>
      <c r="SAR312" s="287"/>
      <c r="SAS312" s="287"/>
      <c r="SAT312" s="287"/>
      <c r="SAU312" s="287"/>
      <c r="SAV312" s="287"/>
      <c r="SAW312" s="287"/>
      <c r="SAX312" s="287"/>
      <c r="SAY312" s="287"/>
      <c r="SAZ312" s="287"/>
      <c r="SBA312" s="287"/>
      <c r="SBB312" s="287"/>
      <c r="SBC312" s="287"/>
      <c r="SBD312" s="287"/>
      <c r="SBE312" s="287"/>
      <c r="SBF312" s="287"/>
      <c r="SBG312" s="287"/>
      <c r="SBH312" s="287"/>
      <c r="SBI312" s="287"/>
      <c r="SBJ312" s="287"/>
      <c r="SBK312" s="287"/>
      <c r="SBL312" s="287"/>
      <c r="SBM312" s="287"/>
      <c r="SBN312" s="287"/>
      <c r="SBO312" s="287"/>
      <c r="SBP312" s="287"/>
      <c r="SBQ312" s="287"/>
      <c r="SBR312" s="287"/>
      <c r="SBS312" s="287"/>
      <c r="SBT312" s="287"/>
      <c r="SBU312" s="287"/>
      <c r="SBV312" s="287"/>
      <c r="SBW312" s="287"/>
      <c r="SBX312" s="287"/>
      <c r="SBY312" s="287"/>
      <c r="SBZ312" s="287"/>
      <c r="SCA312" s="287"/>
      <c r="SCB312" s="287"/>
      <c r="SCC312" s="287"/>
      <c r="SCD312" s="287"/>
      <c r="SCE312" s="287"/>
      <c r="SCF312" s="287"/>
      <c r="SCG312" s="287"/>
      <c r="SCH312" s="287"/>
      <c r="SCI312" s="287"/>
      <c r="SCJ312" s="287"/>
      <c r="SCK312" s="287"/>
      <c r="SCL312" s="287"/>
      <c r="SCM312" s="287"/>
      <c r="SCN312" s="287"/>
      <c r="SCO312" s="287"/>
      <c r="SCP312" s="287"/>
      <c r="SCQ312" s="287"/>
      <c r="SCR312" s="287"/>
      <c r="SCS312" s="287"/>
      <c r="SCT312" s="287"/>
      <c r="SCU312" s="287"/>
      <c r="SCV312" s="287"/>
      <c r="SCW312" s="287"/>
      <c r="SCX312" s="287"/>
      <c r="SCY312" s="287"/>
      <c r="SCZ312" s="287"/>
      <c r="SDA312" s="287"/>
      <c r="SDB312" s="287"/>
      <c r="SDC312" s="287"/>
      <c r="SDD312" s="287"/>
      <c r="SDE312" s="287"/>
      <c r="SDF312" s="287"/>
      <c r="SDG312" s="287"/>
      <c r="SDH312" s="287"/>
      <c r="SDI312" s="287"/>
      <c r="SDJ312" s="287"/>
      <c r="SDK312" s="287"/>
      <c r="SDL312" s="287"/>
      <c r="SDM312" s="287"/>
      <c r="SDN312" s="287"/>
      <c r="SDO312" s="287"/>
      <c r="SDP312" s="287"/>
      <c r="SDQ312" s="287"/>
      <c r="SDR312" s="287"/>
      <c r="SDS312" s="287"/>
      <c r="SDT312" s="287"/>
      <c r="SDU312" s="287"/>
      <c r="SDV312" s="287"/>
      <c r="SDW312" s="287"/>
      <c r="SDX312" s="287"/>
      <c r="SDY312" s="287"/>
      <c r="SDZ312" s="287"/>
      <c r="SEA312" s="287"/>
      <c r="SEB312" s="287"/>
      <c r="SEC312" s="287"/>
      <c r="SED312" s="287"/>
      <c r="SEE312" s="287"/>
      <c r="SEF312" s="287"/>
      <c r="SEG312" s="287"/>
      <c r="SEH312" s="287"/>
      <c r="SEI312" s="287"/>
      <c r="SEJ312" s="287"/>
      <c r="SEK312" s="287"/>
      <c r="SEL312" s="287"/>
      <c r="SEM312" s="287"/>
      <c r="SEN312" s="287"/>
      <c r="SEO312" s="287"/>
      <c r="SEP312" s="287"/>
      <c r="SEQ312" s="287"/>
      <c r="SER312" s="287"/>
      <c r="SES312" s="287"/>
      <c r="SET312" s="287"/>
      <c r="SEU312" s="287"/>
      <c r="SEV312" s="287"/>
      <c r="SEW312" s="287"/>
      <c r="SEX312" s="287"/>
      <c r="SEY312" s="287"/>
      <c r="SEZ312" s="287"/>
      <c r="SFA312" s="287"/>
      <c r="SFB312" s="287"/>
      <c r="SFC312" s="287"/>
      <c r="SFD312" s="287"/>
      <c r="SFE312" s="287"/>
      <c r="SFF312" s="287"/>
      <c r="SFG312" s="287"/>
      <c r="SFH312" s="287"/>
      <c r="SFI312" s="287"/>
      <c r="SFJ312" s="287"/>
      <c r="SFK312" s="287"/>
      <c r="SFL312" s="287"/>
      <c r="SFM312" s="287"/>
      <c r="SFN312" s="287"/>
      <c r="SFO312" s="287"/>
      <c r="SFP312" s="287"/>
      <c r="SFQ312" s="287"/>
      <c r="SFR312" s="287"/>
      <c r="SFS312" s="287"/>
      <c r="SFT312" s="287"/>
      <c r="SFU312" s="287"/>
      <c r="SFV312" s="287"/>
      <c r="SFW312" s="287"/>
      <c r="SFX312" s="287"/>
      <c r="SFY312" s="287"/>
      <c r="SFZ312" s="287"/>
      <c r="SGA312" s="287"/>
      <c r="SGB312" s="287"/>
      <c r="SGC312" s="287"/>
      <c r="SGD312" s="287"/>
      <c r="SGE312" s="287"/>
      <c r="SGF312" s="287"/>
      <c r="SGG312" s="287"/>
      <c r="SGH312" s="287"/>
      <c r="SGI312" s="287"/>
      <c r="SGJ312" s="287"/>
      <c r="SGK312" s="287"/>
      <c r="SGL312" s="287"/>
      <c r="SGM312" s="287"/>
      <c r="SGN312" s="287"/>
      <c r="SGO312" s="287"/>
      <c r="SGP312" s="287"/>
      <c r="SGQ312" s="287"/>
      <c r="SGR312" s="287"/>
      <c r="SGS312" s="287"/>
      <c r="SGT312" s="287"/>
      <c r="SGU312" s="287"/>
      <c r="SGV312" s="287"/>
      <c r="SGW312" s="287"/>
      <c r="SGX312" s="287"/>
      <c r="SGY312" s="287"/>
      <c r="SGZ312" s="287"/>
      <c r="SHA312" s="287"/>
      <c r="SHB312" s="287"/>
      <c r="SHC312" s="287"/>
      <c r="SHD312" s="287"/>
      <c r="SHE312" s="287"/>
      <c r="SHF312" s="287"/>
      <c r="SHG312" s="287"/>
      <c r="SHH312" s="287"/>
      <c r="SHI312" s="287"/>
      <c r="SHJ312" s="287"/>
      <c r="SHK312" s="287"/>
      <c r="SHL312" s="287"/>
      <c r="SHM312" s="287"/>
      <c r="SHN312" s="287"/>
      <c r="SHO312" s="287"/>
      <c r="SHP312" s="287"/>
      <c r="SHQ312" s="287"/>
      <c r="SHR312" s="287"/>
      <c r="SHS312" s="287"/>
      <c r="SHT312" s="287"/>
      <c r="SHU312" s="287"/>
      <c r="SHV312" s="287"/>
      <c r="SHW312" s="287"/>
      <c r="SHX312" s="287"/>
      <c r="SHY312" s="287"/>
      <c r="SHZ312" s="287"/>
      <c r="SIA312" s="287"/>
      <c r="SIB312" s="287"/>
      <c r="SIC312" s="287"/>
      <c r="SID312" s="287"/>
      <c r="SIE312" s="287"/>
      <c r="SIF312" s="287"/>
      <c r="SIG312" s="287"/>
      <c r="SIH312" s="287"/>
      <c r="SII312" s="287"/>
      <c r="SIJ312" s="287"/>
      <c r="SIK312" s="287"/>
      <c r="SIL312" s="287"/>
      <c r="SIM312" s="287"/>
      <c r="SIN312" s="287"/>
      <c r="SIO312" s="287"/>
      <c r="SIP312" s="287"/>
      <c r="SIQ312" s="287"/>
      <c r="SIR312" s="287"/>
      <c r="SIS312" s="287"/>
      <c r="SIT312" s="287"/>
      <c r="SIU312" s="287"/>
      <c r="SIV312" s="287"/>
      <c r="SIW312" s="287"/>
      <c r="SIX312" s="287"/>
      <c r="SIY312" s="287"/>
      <c r="SIZ312" s="287"/>
      <c r="SJA312" s="287"/>
      <c r="SJB312" s="287"/>
      <c r="SJC312" s="287"/>
      <c r="SJD312" s="287"/>
      <c r="SJE312" s="287"/>
      <c r="SJF312" s="287"/>
      <c r="SJG312" s="287"/>
      <c r="SJH312" s="287"/>
      <c r="SJI312" s="287"/>
      <c r="SJJ312" s="287"/>
      <c r="SJK312" s="287"/>
      <c r="SJL312" s="287"/>
      <c r="SJM312" s="287"/>
      <c r="SJN312" s="287"/>
      <c r="SJO312" s="287"/>
      <c r="SJP312" s="287"/>
      <c r="SJQ312" s="287"/>
      <c r="SJR312" s="287"/>
      <c r="SJS312" s="287"/>
      <c r="SJT312" s="287"/>
      <c r="SJU312" s="287"/>
      <c r="SJV312" s="287"/>
      <c r="SJW312" s="287"/>
      <c r="SJX312" s="287"/>
      <c r="SJY312" s="287"/>
      <c r="SJZ312" s="287"/>
      <c r="SKA312" s="287"/>
      <c r="SKB312" s="287"/>
      <c r="SKC312" s="287"/>
      <c r="SKD312" s="287"/>
      <c r="SKE312" s="287"/>
      <c r="SKF312" s="287"/>
      <c r="SKG312" s="287"/>
      <c r="SKH312" s="287"/>
      <c r="SKI312" s="287"/>
      <c r="SKJ312" s="287"/>
      <c r="SKK312" s="287"/>
      <c r="SKL312" s="287"/>
      <c r="SKM312" s="287"/>
      <c r="SKN312" s="287"/>
      <c r="SKO312" s="287"/>
      <c r="SKP312" s="287"/>
      <c r="SKQ312" s="287"/>
      <c r="SKR312" s="287"/>
      <c r="SKS312" s="287"/>
      <c r="SKT312" s="287"/>
      <c r="SKU312" s="287"/>
      <c r="SKV312" s="287"/>
      <c r="SKW312" s="287"/>
      <c r="SKX312" s="287"/>
      <c r="SKY312" s="287"/>
      <c r="SKZ312" s="287"/>
      <c r="SLA312" s="287"/>
      <c r="SLB312" s="287"/>
      <c r="SLC312" s="287"/>
      <c r="SLD312" s="287"/>
      <c r="SLE312" s="287"/>
      <c r="SLF312" s="287"/>
      <c r="SLG312" s="287"/>
      <c r="SLH312" s="287"/>
      <c r="SLI312" s="287"/>
      <c r="SLJ312" s="287"/>
      <c r="SLK312" s="287"/>
      <c r="SLL312" s="287"/>
      <c r="SLM312" s="287"/>
      <c r="SLN312" s="287"/>
      <c r="SLO312" s="287"/>
      <c r="SLP312" s="287"/>
      <c r="SLQ312" s="287"/>
      <c r="SLR312" s="287"/>
      <c r="SLS312" s="287"/>
      <c r="SLT312" s="287"/>
      <c r="SLU312" s="287"/>
      <c r="SLV312" s="287"/>
      <c r="SLW312" s="287"/>
      <c r="SLX312" s="287"/>
      <c r="SLY312" s="287"/>
      <c r="SLZ312" s="287"/>
      <c r="SMA312" s="287"/>
      <c r="SMB312" s="287"/>
      <c r="SMC312" s="287"/>
      <c r="SMD312" s="287"/>
      <c r="SME312" s="287"/>
      <c r="SMF312" s="287"/>
      <c r="SMG312" s="287"/>
      <c r="SMH312" s="287"/>
      <c r="SMI312" s="287"/>
      <c r="SMJ312" s="287"/>
      <c r="SMK312" s="287"/>
      <c r="SML312" s="287"/>
      <c r="SMM312" s="287"/>
      <c r="SMN312" s="287"/>
      <c r="SMO312" s="287"/>
      <c r="SMP312" s="287"/>
      <c r="SMQ312" s="287"/>
      <c r="SMR312" s="287"/>
      <c r="SMS312" s="287"/>
      <c r="SMT312" s="287"/>
      <c r="SMU312" s="287"/>
      <c r="SMV312" s="287"/>
      <c r="SMW312" s="287"/>
      <c r="SMX312" s="287"/>
      <c r="SMY312" s="287"/>
      <c r="SMZ312" s="287"/>
      <c r="SNA312" s="287"/>
      <c r="SNB312" s="287"/>
      <c r="SNC312" s="287"/>
      <c r="SND312" s="287"/>
      <c r="SNE312" s="287"/>
      <c r="SNF312" s="287"/>
      <c r="SNG312" s="287"/>
      <c r="SNH312" s="287"/>
      <c r="SNI312" s="287"/>
      <c r="SNJ312" s="287"/>
      <c r="SNK312" s="287"/>
      <c r="SNL312" s="287"/>
      <c r="SNM312" s="287"/>
      <c r="SNN312" s="287"/>
      <c r="SNO312" s="287"/>
      <c r="SNP312" s="287"/>
      <c r="SNQ312" s="287"/>
      <c r="SNR312" s="287"/>
      <c r="SNS312" s="287"/>
      <c r="SNT312" s="287"/>
      <c r="SNU312" s="287"/>
      <c r="SNV312" s="287"/>
      <c r="SNW312" s="287"/>
      <c r="SNX312" s="287"/>
      <c r="SNY312" s="287"/>
      <c r="SNZ312" s="287"/>
      <c r="SOA312" s="287"/>
      <c r="SOB312" s="287"/>
      <c r="SOC312" s="287"/>
      <c r="SOD312" s="287"/>
      <c r="SOE312" s="287"/>
      <c r="SOF312" s="287"/>
      <c r="SOG312" s="287"/>
      <c r="SOH312" s="287"/>
      <c r="SOI312" s="287"/>
      <c r="SOJ312" s="287"/>
      <c r="SOK312" s="287"/>
      <c r="SOL312" s="287"/>
      <c r="SOM312" s="287"/>
      <c r="SON312" s="287"/>
      <c r="SOO312" s="287"/>
      <c r="SOP312" s="287"/>
      <c r="SOQ312" s="287"/>
      <c r="SOR312" s="287"/>
      <c r="SOS312" s="287"/>
      <c r="SOT312" s="287"/>
      <c r="SOU312" s="287"/>
      <c r="SOV312" s="287"/>
      <c r="SOW312" s="287"/>
      <c r="SOX312" s="287"/>
      <c r="SOY312" s="287"/>
      <c r="SOZ312" s="287"/>
      <c r="SPA312" s="287"/>
      <c r="SPB312" s="287"/>
      <c r="SPC312" s="287"/>
      <c r="SPD312" s="287"/>
      <c r="SPE312" s="287"/>
      <c r="SPF312" s="287"/>
      <c r="SPG312" s="287"/>
      <c r="SPH312" s="287"/>
      <c r="SPI312" s="287"/>
      <c r="SPJ312" s="287"/>
      <c r="SPK312" s="287"/>
      <c r="SPL312" s="287"/>
      <c r="SPM312" s="287"/>
      <c r="SPN312" s="287"/>
      <c r="SPO312" s="287"/>
      <c r="SPP312" s="287"/>
      <c r="SPQ312" s="287"/>
      <c r="SPR312" s="287"/>
      <c r="SPS312" s="287"/>
      <c r="SPT312" s="287"/>
      <c r="SPU312" s="287"/>
      <c r="SPV312" s="287"/>
      <c r="SPW312" s="287"/>
      <c r="SPX312" s="287"/>
      <c r="SPY312" s="287"/>
      <c r="SPZ312" s="287"/>
      <c r="SQA312" s="287"/>
      <c r="SQB312" s="287"/>
      <c r="SQC312" s="287"/>
      <c r="SQD312" s="287"/>
      <c r="SQE312" s="287"/>
      <c r="SQF312" s="287"/>
      <c r="SQG312" s="287"/>
      <c r="SQH312" s="287"/>
      <c r="SQI312" s="287"/>
      <c r="SQJ312" s="287"/>
      <c r="SQK312" s="287"/>
      <c r="SQL312" s="287"/>
      <c r="SQM312" s="287"/>
      <c r="SQN312" s="287"/>
      <c r="SQO312" s="287"/>
      <c r="SQP312" s="287"/>
      <c r="SQQ312" s="287"/>
      <c r="SQR312" s="287"/>
      <c r="SQS312" s="287"/>
      <c r="SQT312" s="287"/>
      <c r="SQU312" s="287"/>
      <c r="SQV312" s="287"/>
      <c r="SQW312" s="287"/>
      <c r="SQX312" s="287"/>
      <c r="SQY312" s="287"/>
      <c r="SQZ312" s="287"/>
      <c r="SRA312" s="287"/>
      <c r="SRB312" s="287"/>
      <c r="SRC312" s="287"/>
      <c r="SRD312" s="287"/>
      <c r="SRE312" s="287"/>
      <c r="SRF312" s="287"/>
      <c r="SRG312" s="287"/>
      <c r="SRH312" s="287"/>
      <c r="SRI312" s="287"/>
      <c r="SRJ312" s="287"/>
      <c r="SRK312" s="287"/>
      <c r="SRL312" s="287"/>
      <c r="SRM312" s="287"/>
      <c r="SRN312" s="287"/>
      <c r="SRO312" s="287"/>
      <c r="SRP312" s="287"/>
      <c r="SRQ312" s="287"/>
      <c r="SRR312" s="287"/>
      <c r="SRS312" s="287"/>
      <c r="SRT312" s="287"/>
      <c r="SRU312" s="287"/>
      <c r="SRV312" s="287"/>
      <c r="SRW312" s="287"/>
      <c r="SRX312" s="287"/>
      <c r="SRY312" s="287"/>
      <c r="SRZ312" s="287"/>
      <c r="SSA312" s="287"/>
      <c r="SSB312" s="287"/>
      <c r="SSC312" s="287"/>
      <c r="SSD312" s="287"/>
      <c r="SSE312" s="287"/>
      <c r="SSF312" s="287"/>
      <c r="SSG312" s="287"/>
      <c r="SSH312" s="287"/>
      <c r="SSI312" s="287"/>
      <c r="SSJ312" s="287"/>
      <c r="SSK312" s="287"/>
      <c r="SSL312" s="287"/>
      <c r="SSM312" s="287"/>
      <c r="SSN312" s="287"/>
      <c r="SSO312" s="287"/>
      <c r="SSP312" s="287"/>
      <c r="SSQ312" s="287"/>
      <c r="SSR312" s="287"/>
      <c r="SSS312" s="287"/>
      <c r="SST312" s="287"/>
      <c r="SSU312" s="287"/>
      <c r="SSV312" s="287"/>
      <c r="SSW312" s="287"/>
      <c r="SSX312" s="287"/>
      <c r="SSY312" s="287"/>
      <c r="SSZ312" s="287"/>
      <c r="STA312" s="287"/>
      <c r="STB312" s="287"/>
      <c r="STC312" s="287"/>
      <c r="STD312" s="287"/>
      <c r="STE312" s="287"/>
      <c r="STF312" s="287"/>
      <c r="STG312" s="287"/>
      <c r="STH312" s="287"/>
      <c r="STI312" s="287"/>
      <c r="STJ312" s="287"/>
      <c r="STK312" s="287"/>
      <c r="STL312" s="287"/>
      <c r="STM312" s="287"/>
      <c r="STN312" s="287"/>
      <c r="STO312" s="287"/>
      <c r="STP312" s="287"/>
      <c r="STQ312" s="287"/>
      <c r="STR312" s="287"/>
      <c r="STS312" s="287"/>
      <c r="STT312" s="287"/>
      <c r="STU312" s="287"/>
      <c r="STV312" s="287"/>
      <c r="STW312" s="287"/>
      <c r="STX312" s="287"/>
      <c r="STY312" s="287"/>
      <c r="STZ312" s="287"/>
      <c r="SUA312" s="287"/>
      <c r="SUB312" s="287"/>
      <c r="SUC312" s="287"/>
      <c r="SUD312" s="287"/>
      <c r="SUE312" s="287"/>
      <c r="SUF312" s="287"/>
      <c r="SUG312" s="287"/>
      <c r="SUH312" s="287"/>
      <c r="SUI312" s="287"/>
      <c r="SUJ312" s="287"/>
      <c r="SUK312" s="287"/>
      <c r="SUL312" s="287"/>
      <c r="SUM312" s="287"/>
      <c r="SUN312" s="287"/>
      <c r="SUO312" s="287"/>
      <c r="SUP312" s="287"/>
      <c r="SUQ312" s="287"/>
      <c r="SUR312" s="287"/>
      <c r="SUS312" s="287"/>
      <c r="SUT312" s="287"/>
      <c r="SUU312" s="287"/>
      <c r="SUV312" s="287"/>
      <c r="SUW312" s="287"/>
      <c r="SUX312" s="287"/>
      <c r="SUY312" s="287"/>
      <c r="SUZ312" s="287"/>
      <c r="SVA312" s="287"/>
      <c r="SVB312" s="287"/>
      <c r="SVC312" s="287"/>
      <c r="SVD312" s="287"/>
      <c r="SVE312" s="287"/>
      <c r="SVF312" s="287"/>
      <c r="SVG312" s="287"/>
      <c r="SVH312" s="287"/>
      <c r="SVI312" s="287"/>
      <c r="SVJ312" s="287"/>
      <c r="SVK312" s="287"/>
      <c r="SVL312" s="287"/>
      <c r="SVM312" s="287"/>
      <c r="SVN312" s="287"/>
      <c r="SVO312" s="287"/>
      <c r="SVP312" s="287"/>
      <c r="SVQ312" s="287"/>
      <c r="SVR312" s="287"/>
      <c r="SVS312" s="287"/>
      <c r="SVT312" s="287"/>
      <c r="SVU312" s="287"/>
      <c r="SVV312" s="287"/>
      <c r="SVW312" s="287"/>
      <c r="SVX312" s="287"/>
      <c r="SVY312" s="287"/>
      <c r="SVZ312" s="287"/>
      <c r="SWA312" s="287"/>
      <c r="SWB312" s="287"/>
      <c r="SWC312" s="287"/>
      <c r="SWD312" s="287"/>
      <c r="SWE312" s="287"/>
      <c r="SWF312" s="287"/>
      <c r="SWG312" s="287"/>
      <c r="SWH312" s="287"/>
      <c r="SWI312" s="287"/>
      <c r="SWJ312" s="287"/>
      <c r="SWK312" s="287"/>
      <c r="SWL312" s="287"/>
      <c r="SWM312" s="287"/>
      <c r="SWN312" s="287"/>
      <c r="SWO312" s="287"/>
      <c r="SWP312" s="287"/>
      <c r="SWQ312" s="287"/>
      <c r="SWR312" s="287"/>
      <c r="SWS312" s="287"/>
      <c r="SWT312" s="287"/>
      <c r="SWU312" s="287"/>
      <c r="SWV312" s="287"/>
      <c r="SWW312" s="287"/>
      <c r="SWX312" s="287"/>
      <c r="SWY312" s="287"/>
      <c r="SWZ312" s="287"/>
      <c r="SXA312" s="287"/>
      <c r="SXB312" s="287"/>
      <c r="SXC312" s="287"/>
      <c r="SXD312" s="287"/>
      <c r="SXE312" s="287"/>
      <c r="SXF312" s="287"/>
      <c r="SXG312" s="287"/>
      <c r="SXH312" s="287"/>
      <c r="SXI312" s="287"/>
      <c r="SXJ312" s="287"/>
      <c r="SXK312" s="287"/>
      <c r="SXL312" s="287"/>
      <c r="SXM312" s="287"/>
      <c r="SXN312" s="287"/>
      <c r="SXO312" s="287"/>
      <c r="SXP312" s="287"/>
      <c r="SXQ312" s="287"/>
      <c r="SXR312" s="287"/>
      <c r="SXS312" s="287"/>
      <c r="SXT312" s="287"/>
      <c r="SXU312" s="287"/>
      <c r="SXV312" s="287"/>
      <c r="SXW312" s="287"/>
      <c r="SXX312" s="287"/>
      <c r="SXY312" s="287"/>
      <c r="SXZ312" s="287"/>
      <c r="SYA312" s="287"/>
      <c r="SYB312" s="287"/>
      <c r="SYC312" s="287"/>
      <c r="SYD312" s="287"/>
      <c r="SYE312" s="287"/>
      <c r="SYF312" s="287"/>
      <c r="SYG312" s="287"/>
      <c r="SYH312" s="287"/>
      <c r="SYI312" s="287"/>
      <c r="SYJ312" s="287"/>
      <c r="SYK312" s="287"/>
      <c r="SYL312" s="287"/>
      <c r="SYM312" s="287"/>
      <c r="SYN312" s="287"/>
      <c r="SYO312" s="287"/>
      <c r="SYP312" s="287"/>
      <c r="SYQ312" s="287"/>
      <c r="SYR312" s="287"/>
      <c r="SYS312" s="287"/>
      <c r="SYT312" s="287"/>
      <c r="SYU312" s="287"/>
      <c r="SYV312" s="287"/>
      <c r="SYW312" s="287"/>
      <c r="SYX312" s="287"/>
      <c r="SYY312" s="287"/>
      <c r="SYZ312" s="287"/>
      <c r="SZA312" s="287"/>
      <c r="SZB312" s="287"/>
      <c r="SZC312" s="287"/>
      <c r="SZD312" s="287"/>
      <c r="SZE312" s="287"/>
      <c r="SZF312" s="287"/>
      <c r="SZG312" s="287"/>
      <c r="SZH312" s="287"/>
      <c r="SZI312" s="287"/>
      <c r="SZJ312" s="287"/>
      <c r="SZK312" s="287"/>
      <c r="SZL312" s="287"/>
      <c r="SZM312" s="287"/>
      <c r="SZN312" s="287"/>
      <c r="SZO312" s="287"/>
      <c r="SZP312" s="287"/>
      <c r="SZQ312" s="287"/>
      <c r="SZR312" s="287"/>
      <c r="SZS312" s="287"/>
      <c r="SZT312" s="287"/>
      <c r="SZU312" s="287"/>
      <c r="SZV312" s="287"/>
      <c r="SZW312" s="287"/>
      <c r="SZX312" s="287"/>
      <c r="SZY312" s="287"/>
      <c r="SZZ312" s="287"/>
      <c r="TAA312" s="287"/>
      <c r="TAB312" s="287"/>
      <c r="TAC312" s="287"/>
      <c r="TAD312" s="287"/>
      <c r="TAE312" s="287"/>
      <c r="TAF312" s="287"/>
      <c r="TAG312" s="287"/>
      <c r="TAH312" s="287"/>
      <c r="TAI312" s="287"/>
      <c r="TAJ312" s="287"/>
      <c r="TAK312" s="287"/>
      <c r="TAL312" s="287"/>
      <c r="TAM312" s="287"/>
      <c r="TAN312" s="287"/>
      <c r="TAO312" s="287"/>
      <c r="TAP312" s="287"/>
      <c r="TAQ312" s="287"/>
      <c r="TAR312" s="287"/>
      <c r="TAS312" s="287"/>
      <c r="TAT312" s="287"/>
      <c r="TAU312" s="287"/>
      <c r="TAV312" s="287"/>
      <c r="TAW312" s="287"/>
      <c r="TAX312" s="287"/>
      <c r="TAY312" s="287"/>
      <c r="TAZ312" s="287"/>
      <c r="TBA312" s="287"/>
      <c r="TBB312" s="287"/>
      <c r="TBC312" s="287"/>
      <c r="TBD312" s="287"/>
      <c r="TBE312" s="287"/>
      <c r="TBF312" s="287"/>
      <c r="TBG312" s="287"/>
      <c r="TBH312" s="287"/>
      <c r="TBI312" s="287"/>
      <c r="TBJ312" s="287"/>
      <c r="TBK312" s="287"/>
      <c r="TBL312" s="287"/>
      <c r="TBM312" s="287"/>
      <c r="TBN312" s="287"/>
      <c r="TBO312" s="287"/>
      <c r="TBP312" s="287"/>
      <c r="TBQ312" s="287"/>
      <c r="TBR312" s="287"/>
      <c r="TBS312" s="287"/>
      <c r="TBT312" s="287"/>
      <c r="TBU312" s="287"/>
      <c r="TBV312" s="287"/>
      <c r="TBW312" s="287"/>
      <c r="TBX312" s="287"/>
      <c r="TBY312" s="287"/>
      <c r="TBZ312" s="287"/>
      <c r="TCA312" s="287"/>
      <c r="TCB312" s="287"/>
      <c r="TCC312" s="287"/>
      <c r="TCD312" s="287"/>
      <c r="TCE312" s="287"/>
      <c r="TCF312" s="287"/>
      <c r="TCG312" s="287"/>
      <c r="TCH312" s="287"/>
      <c r="TCI312" s="287"/>
      <c r="TCJ312" s="287"/>
      <c r="TCK312" s="287"/>
      <c r="TCL312" s="287"/>
      <c r="TCM312" s="287"/>
      <c r="TCN312" s="287"/>
      <c r="TCO312" s="287"/>
      <c r="TCP312" s="287"/>
      <c r="TCQ312" s="287"/>
      <c r="TCR312" s="287"/>
      <c r="TCS312" s="287"/>
      <c r="TCT312" s="287"/>
      <c r="TCU312" s="287"/>
      <c r="TCV312" s="287"/>
      <c r="TCW312" s="287"/>
      <c r="TCX312" s="287"/>
      <c r="TCY312" s="287"/>
      <c r="TCZ312" s="287"/>
      <c r="TDA312" s="287"/>
      <c r="TDB312" s="287"/>
      <c r="TDC312" s="287"/>
      <c r="TDD312" s="287"/>
      <c r="TDE312" s="287"/>
      <c r="TDF312" s="287"/>
      <c r="TDG312" s="287"/>
      <c r="TDH312" s="287"/>
      <c r="TDI312" s="287"/>
      <c r="TDJ312" s="287"/>
      <c r="TDK312" s="287"/>
      <c r="TDL312" s="287"/>
      <c r="TDM312" s="287"/>
      <c r="TDN312" s="287"/>
      <c r="TDO312" s="287"/>
      <c r="TDP312" s="287"/>
      <c r="TDQ312" s="287"/>
      <c r="TDR312" s="287"/>
      <c r="TDS312" s="287"/>
      <c r="TDT312" s="287"/>
      <c r="TDU312" s="287"/>
      <c r="TDV312" s="287"/>
      <c r="TDW312" s="287"/>
      <c r="TDX312" s="287"/>
      <c r="TDY312" s="287"/>
      <c r="TDZ312" s="287"/>
      <c r="TEA312" s="287"/>
      <c r="TEB312" s="287"/>
      <c r="TEC312" s="287"/>
      <c r="TED312" s="287"/>
      <c r="TEE312" s="287"/>
      <c r="TEF312" s="287"/>
      <c r="TEG312" s="287"/>
      <c r="TEH312" s="287"/>
      <c r="TEI312" s="287"/>
      <c r="TEJ312" s="287"/>
      <c r="TEK312" s="287"/>
      <c r="TEL312" s="287"/>
      <c r="TEM312" s="287"/>
      <c r="TEN312" s="287"/>
      <c r="TEO312" s="287"/>
      <c r="TEP312" s="287"/>
      <c r="TEQ312" s="287"/>
      <c r="TER312" s="287"/>
      <c r="TES312" s="287"/>
      <c r="TET312" s="287"/>
      <c r="TEU312" s="287"/>
      <c r="TEV312" s="287"/>
      <c r="TEW312" s="287"/>
      <c r="TEX312" s="287"/>
      <c r="TEY312" s="287"/>
      <c r="TEZ312" s="287"/>
      <c r="TFA312" s="287"/>
      <c r="TFB312" s="287"/>
      <c r="TFC312" s="287"/>
      <c r="TFD312" s="287"/>
      <c r="TFE312" s="287"/>
      <c r="TFF312" s="287"/>
      <c r="TFG312" s="287"/>
      <c r="TFH312" s="287"/>
      <c r="TFI312" s="287"/>
      <c r="TFJ312" s="287"/>
      <c r="TFK312" s="287"/>
      <c r="TFL312" s="287"/>
      <c r="TFM312" s="287"/>
      <c r="TFN312" s="287"/>
      <c r="TFO312" s="287"/>
      <c r="TFP312" s="287"/>
      <c r="TFQ312" s="287"/>
      <c r="TFR312" s="287"/>
      <c r="TFS312" s="287"/>
      <c r="TFT312" s="287"/>
      <c r="TFU312" s="287"/>
      <c r="TFV312" s="287"/>
      <c r="TFW312" s="287"/>
      <c r="TFX312" s="287"/>
      <c r="TFY312" s="287"/>
      <c r="TFZ312" s="287"/>
      <c r="TGA312" s="287"/>
      <c r="TGB312" s="287"/>
      <c r="TGC312" s="287"/>
      <c r="TGD312" s="287"/>
      <c r="TGE312" s="287"/>
      <c r="TGF312" s="287"/>
      <c r="TGG312" s="287"/>
      <c r="TGH312" s="287"/>
      <c r="TGI312" s="287"/>
      <c r="TGJ312" s="287"/>
      <c r="TGK312" s="287"/>
      <c r="TGL312" s="287"/>
      <c r="TGM312" s="287"/>
      <c r="TGN312" s="287"/>
      <c r="TGO312" s="287"/>
      <c r="TGP312" s="287"/>
      <c r="TGQ312" s="287"/>
      <c r="TGR312" s="287"/>
      <c r="TGS312" s="287"/>
      <c r="TGT312" s="287"/>
      <c r="TGU312" s="287"/>
      <c r="TGV312" s="287"/>
      <c r="TGW312" s="287"/>
      <c r="TGX312" s="287"/>
      <c r="TGY312" s="287"/>
      <c r="TGZ312" s="287"/>
      <c r="THA312" s="287"/>
      <c r="THB312" s="287"/>
      <c r="THC312" s="287"/>
      <c r="THD312" s="287"/>
      <c r="THE312" s="287"/>
      <c r="THF312" s="287"/>
      <c r="THG312" s="287"/>
      <c r="THH312" s="287"/>
      <c r="THI312" s="287"/>
      <c r="THJ312" s="287"/>
      <c r="THK312" s="287"/>
      <c r="THL312" s="287"/>
      <c r="THM312" s="287"/>
      <c r="THN312" s="287"/>
      <c r="THO312" s="287"/>
      <c r="THP312" s="287"/>
      <c r="THQ312" s="287"/>
      <c r="THR312" s="287"/>
      <c r="THS312" s="287"/>
      <c r="THT312" s="287"/>
      <c r="THU312" s="287"/>
      <c r="THV312" s="287"/>
      <c r="THW312" s="287"/>
      <c r="THX312" s="287"/>
      <c r="THY312" s="287"/>
      <c r="THZ312" s="287"/>
      <c r="TIA312" s="287"/>
      <c r="TIB312" s="287"/>
      <c r="TIC312" s="287"/>
      <c r="TID312" s="287"/>
      <c r="TIE312" s="287"/>
      <c r="TIF312" s="287"/>
      <c r="TIG312" s="287"/>
      <c r="TIH312" s="287"/>
      <c r="TII312" s="287"/>
      <c r="TIJ312" s="287"/>
      <c r="TIK312" s="287"/>
      <c r="TIL312" s="287"/>
      <c r="TIM312" s="287"/>
      <c r="TIN312" s="287"/>
      <c r="TIO312" s="287"/>
      <c r="TIP312" s="287"/>
      <c r="TIQ312" s="287"/>
      <c r="TIR312" s="287"/>
      <c r="TIS312" s="287"/>
      <c r="TIT312" s="287"/>
      <c r="TIU312" s="287"/>
      <c r="TIV312" s="287"/>
      <c r="TIW312" s="287"/>
      <c r="TIX312" s="287"/>
      <c r="TIY312" s="287"/>
      <c r="TIZ312" s="287"/>
      <c r="TJA312" s="287"/>
      <c r="TJB312" s="287"/>
      <c r="TJC312" s="287"/>
      <c r="TJD312" s="287"/>
      <c r="TJE312" s="287"/>
      <c r="TJF312" s="287"/>
      <c r="TJG312" s="287"/>
      <c r="TJH312" s="287"/>
      <c r="TJI312" s="287"/>
      <c r="TJJ312" s="287"/>
      <c r="TJK312" s="287"/>
      <c r="TJL312" s="287"/>
      <c r="TJM312" s="287"/>
      <c r="TJN312" s="287"/>
      <c r="TJO312" s="287"/>
      <c r="TJP312" s="287"/>
      <c r="TJQ312" s="287"/>
      <c r="TJR312" s="287"/>
      <c r="TJS312" s="287"/>
      <c r="TJT312" s="287"/>
      <c r="TJU312" s="287"/>
      <c r="TJV312" s="287"/>
      <c r="TJW312" s="287"/>
      <c r="TJX312" s="287"/>
      <c r="TJY312" s="287"/>
      <c r="TJZ312" s="287"/>
      <c r="TKA312" s="287"/>
      <c r="TKB312" s="287"/>
      <c r="TKC312" s="287"/>
      <c r="TKD312" s="287"/>
      <c r="TKE312" s="287"/>
      <c r="TKF312" s="287"/>
      <c r="TKG312" s="287"/>
      <c r="TKH312" s="287"/>
      <c r="TKI312" s="287"/>
      <c r="TKJ312" s="287"/>
      <c r="TKK312" s="287"/>
      <c r="TKL312" s="287"/>
      <c r="TKM312" s="287"/>
      <c r="TKN312" s="287"/>
      <c r="TKO312" s="287"/>
      <c r="TKP312" s="287"/>
      <c r="TKQ312" s="287"/>
      <c r="TKR312" s="287"/>
      <c r="TKS312" s="287"/>
      <c r="TKT312" s="287"/>
      <c r="TKU312" s="287"/>
      <c r="TKV312" s="287"/>
      <c r="TKW312" s="287"/>
      <c r="TKX312" s="287"/>
      <c r="TKY312" s="287"/>
      <c r="TKZ312" s="287"/>
      <c r="TLA312" s="287"/>
      <c r="TLB312" s="287"/>
      <c r="TLC312" s="287"/>
      <c r="TLD312" s="287"/>
      <c r="TLE312" s="287"/>
      <c r="TLF312" s="287"/>
      <c r="TLG312" s="287"/>
      <c r="TLH312" s="287"/>
      <c r="TLI312" s="287"/>
      <c r="TLJ312" s="287"/>
      <c r="TLK312" s="287"/>
      <c r="TLL312" s="287"/>
      <c r="TLM312" s="287"/>
      <c r="TLN312" s="287"/>
      <c r="TLO312" s="287"/>
      <c r="TLP312" s="287"/>
      <c r="TLQ312" s="287"/>
      <c r="TLR312" s="287"/>
      <c r="TLS312" s="287"/>
      <c r="TLT312" s="287"/>
      <c r="TLU312" s="287"/>
      <c r="TLV312" s="287"/>
      <c r="TLW312" s="287"/>
      <c r="TLX312" s="287"/>
      <c r="TLY312" s="287"/>
      <c r="TLZ312" s="287"/>
      <c r="TMA312" s="287"/>
      <c r="TMB312" s="287"/>
      <c r="TMC312" s="287"/>
      <c r="TMD312" s="287"/>
      <c r="TME312" s="287"/>
      <c r="TMF312" s="287"/>
      <c r="TMG312" s="287"/>
      <c r="TMH312" s="287"/>
      <c r="TMI312" s="287"/>
      <c r="TMJ312" s="287"/>
      <c r="TMK312" s="287"/>
      <c r="TML312" s="287"/>
      <c r="TMM312" s="287"/>
      <c r="TMN312" s="287"/>
      <c r="TMO312" s="287"/>
      <c r="TMP312" s="287"/>
      <c r="TMQ312" s="287"/>
      <c r="TMR312" s="287"/>
      <c r="TMS312" s="287"/>
      <c r="TMT312" s="287"/>
      <c r="TMU312" s="287"/>
      <c r="TMV312" s="287"/>
      <c r="TMW312" s="287"/>
      <c r="TMX312" s="287"/>
      <c r="TMY312" s="287"/>
      <c r="TMZ312" s="287"/>
      <c r="TNA312" s="287"/>
      <c r="TNB312" s="287"/>
      <c r="TNC312" s="287"/>
      <c r="TND312" s="287"/>
      <c r="TNE312" s="287"/>
      <c r="TNF312" s="287"/>
      <c r="TNG312" s="287"/>
      <c r="TNH312" s="287"/>
      <c r="TNI312" s="287"/>
      <c r="TNJ312" s="287"/>
      <c r="TNK312" s="287"/>
      <c r="TNL312" s="287"/>
      <c r="TNM312" s="287"/>
      <c r="TNN312" s="287"/>
      <c r="TNO312" s="287"/>
      <c r="TNP312" s="287"/>
      <c r="TNQ312" s="287"/>
      <c r="TNR312" s="287"/>
      <c r="TNS312" s="287"/>
      <c r="TNT312" s="287"/>
      <c r="TNU312" s="287"/>
      <c r="TNV312" s="287"/>
      <c r="TNW312" s="287"/>
      <c r="TNX312" s="287"/>
      <c r="TNY312" s="287"/>
      <c r="TNZ312" s="287"/>
      <c r="TOA312" s="287"/>
      <c r="TOB312" s="287"/>
      <c r="TOC312" s="287"/>
      <c r="TOD312" s="287"/>
      <c r="TOE312" s="287"/>
      <c r="TOF312" s="287"/>
      <c r="TOG312" s="287"/>
      <c r="TOH312" s="287"/>
      <c r="TOI312" s="287"/>
      <c r="TOJ312" s="287"/>
      <c r="TOK312" s="287"/>
      <c r="TOL312" s="287"/>
      <c r="TOM312" s="287"/>
      <c r="TON312" s="287"/>
      <c r="TOO312" s="287"/>
      <c r="TOP312" s="287"/>
      <c r="TOQ312" s="287"/>
      <c r="TOR312" s="287"/>
      <c r="TOS312" s="287"/>
      <c r="TOT312" s="287"/>
      <c r="TOU312" s="287"/>
      <c r="TOV312" s="287"/>
      <c r="TOW312" s="287"/>
      <c r="TOX312" s="287"/>
      <c r="TOY312" s="287"/>
      <c r="TOZ312" s="287"/>
      <c r="TPA312" s="287"/>
      <c r="TPB312" s="287"/>
      <c r="TPC312" s="287"/>
      <c r="TPD312" s="287"/>
      <c r="TPE312" s="287"/>
      <c r="TPF312" s="287"/>
      <c r="TPG312" s="287"/>
      <c r="TPH312" s="287"/>
      <c r="TPI312" s="287"/>
      <c r="TPJ312" s="287"/>
      <c r="TPK312" s="287"/>
      <c r="TPL312" s="287"/>
      <c r="TPM312" s="287"/>
      <c r="TPN312" s="287"/>
      <c r="TPO312" s="287"/>
      <c r="TPP312" s="287"/>
      <c r="TPQ312" s="287"/>
      <c r="TPR312" s="287"/>
      <c r="TPS312" s="287"/>
      <c r="TPT312" s="287"/>
      <c r="TPU312" s="287"/>
      <c r="TPV312" s="287"/>
      <c r="TPW312" s="287"/>
      <c r="TPX312" s="287"/>
      <c r="TPY312" s="287"/>
      <c r="TPZ312" s="287"/>
      <c r="TQA312" s="287"/>
      <c r="TQB312" s="287"/>
      <c r="TQC312" s="287"/>
      <c r="TQD312" s="287"/>
      <c r="TQE312" s="287"/>
      <c r="TQF312" s="287"/>
      <c r="TQG312" s="287"/>
      <c r="TQH312" s="287"/>
      <c r="TQI312" s="287"/>
      <c r="TQJ312" s="287"/>
      <c r="TQK312" s="287"/>
      <c r="TQL312" s="287"/>
      <c r="TQM312" s="287"/>
      <c r="TQN312" s="287"/>
      <c r="TQO312" s="287"/>
      <c r="TQP312" s="287"/>
      <c r="TQQ312" s="287"/>
      <c r="TQR312" s="287"/>
      <c r="TQS312" s="287"/>
      <c r="TQT312" s="287"/>
      <c r="TQU312" s="287"/>
      <c r="TQV312" s="287"/>
      <c r="TQW312" s="287"/>
      <c r="TQX312" s="287"/>
      <c r="TQY312" s="287"/>
      <c r="TQZ312" s="287"/>
      <c r="TRA312" s="287"/>
      <c r="TRB312" s="287"/>
      <c r="TRC312" s="287"/>
      <c r="TRD312" s="287"/>
      <c r="TRE312" s="287"/>
      <c r="TRF312" s="287"/>
      <c r="TRG312" s="287"/>
      <c r="TRH312" s="287"/>
      <c r="TRI312" s="287"/>
      <c r="TRJ312" s="287"/>
      <c r="TRK312" s="287"/>
      <c r="TRL312" s="287"/>
      <c r="TRM312" s="287"/>
      <c r="TRN312" s="287"/>
      <c r="TRO312" s="287"/>
      <c r="TRP312" s="287"/>
      <c r="TRQ312" s="287"/>
      <c r="TRR312" s="287"/>
      <c r="TRS312" s="287"/>
      <c r="TRT312" s="287"/>
      <c r="TRU312" s="287"/>
      <c r="TRV312" s="287"/>
      <c r="TRW312" s="287"/>
      <c r="TRX312" s="287"/>
      <c r="TRY312" s="287"/>
      <c r="TRZ312" s="287"/>
      <c r="TSA312" s="287"/>
      <c r="TSB312" s="287"/>
      <c r="TSC312" s="287"/>
      <c r="TSD312" s="287"/>
      <c r="TSE312" s="287"/>
      <c r="TSF312" s="287"/>
      <c r="TSG312" s="287"/>
      <c r="TSH312" s="287"/>
      <c r="TSI312" s="287"/>
      <c r="TSJ312" s="287"/>
      <c r="TSK312" s="287"/>
      <c r="TSL312" s="287"/>
      <c r="TSM312" s="287"/>
      <c r="TSN312" s="287"/>
      <c r="TSO312" s="287"/>
      <c r="TSP312" s="287"/>
      <c r="TSQ312" s="287"/>
      <c r="TSR312" s="287"/>
      <c r="TSS312" s="287"/>
      <c r="TST312" s="287"/>
      <c r="TSU312" s="287"/>
      <c r="TSV312" s="287"/>
      <c r="TSW312" s="287"/>
      <c r="TSX312" s="287"/>
      <c r="TSY312" s="287"/>
      <c r="TSZ312" s="287"/>
      <c r="TTA312" s="287"/>
      <c r="TTB312" s="287"/>
      <c r="TTC312" s="287"/>
      <c r="TTD312" s="287"/>
      <c r="TTE312" s="287"/>
      <c r="TTF312" s="287"/>
      <c r="TTG312" s="287"/>
      <c r="TTH312" s="287"/>
      <c r="TTI312" s="287"/>
      <c r="TTJ312" s="287"/>
      <c r="TTK312" s="287"/>
      <c r="TTL312" s="287"/>
      <c r="TTM312" s="287"/>
      <c r="TTN312" s="287"/>
      <c r="TTO312" s="287"/>
      <c r="TTP312" s="287"/>
      <c r="TTQ312" s="287"/>
      <c r="TTR312" s="287"/>
      <c r="TTS312" s="287"/>
      <c r="TTT312" s="287"/>
      <c r="TTU312" s="287"/>
      <c r="TTV312" s="287"/>
      <c r="TTW312" s="287"/>
      <c r="TTX312" s="287"/>
      <c r="TTY312" s="287"/>
      <c r="TTZ312" s="287"/>
      <c r="TUA312" s="287"/>
      <c r="TUB312" s="287"/>
      <c r="TUC312" s="287"/>
      <c r="TUD312" s="287"/>
      <c r="TUE312" s="287"/>
      <c r="TUF312" s="287"/>
      <c r="TUG312" s="287"/>
      <c r="TUH312" s="287"/>
      <c r="TUI312" s="287"/>
      <c r="TUJ312" s="287"/>
      <c r="TUK312" s="287"/>
      <c r="TUL312" s="287"/>
      <c r="TUM312" s="287"/>
      <c r="TUN312" s="287"/>
      <c r="TUO312" s="287"/>
      <c r="TUP312" s="287"/>
      <c r="TUQ312" s="287"/>
      <c r="TUR312" s="287"/>
      <c r="TUS312" s="287"/>
      <c r="TUT312" s="287"/>
      <c r="TUU312" s="287"/>
      <c r="TUV312" s="287"/>
      <c r="TUW312" s="287"/>
      <c r="TUX312" s="287"/>
      <c r="TUY312" s="287"/>
      <c r="TUZ312" s="287"/>
      <c r="TVA312" s="287"/>
      <c r="TVB312" s="287"/>
      <c r="TVC312" s="287"/>
      <c r="TVD312" s="287"/>
      <c r="TVE312" s="287"/>
      <c r="TVF312" s="287"/>
      <c r="TVG312" s="287"/>
      <c r="TVH312" s="287"/>
      <c r="TVI312" s="287"/>
      <c r="TVJ312" s="287"/>
      <c r="TVK312" s="287"/>
      <c r="TVL312" s="287"/>
      <c r="TVM312" s="287"/>
      <c r="TVN312" s="287"/>
      <c r="TVO312" s="287"/>
      <c r="TVP312" s="287"/>
      <c r="TVQ312" s="287"/>
      <c r="TVR312" s="287"/>
      <c r="TVS312" s="287"/>
      <c r="TVT312" s="287"/>
      <c r="TVU312" s="287"/>
      <c r="TVV312" s="287"/>
      <c r="TVW312" s="287"/>
      <c r="TVX312" s="287"/>
      <c r="TVY312" s="287"/>
      <c r="TVZ312" s="287"/>
      <c r="TWA312" s="287"/>
      <c r="TWB312" s="287"/>
      <c r="TWC312" s="287"/>
      <c r="TWD312" s="287"/>
      <c r="TWE312" s="287"/>
      <c r="TWF312" s="287"/>
      <c r="TWG312" s="287"/>
      <c r="TWH312" s="287"/>
      <c r="TWI312" s="287"/>
      <c r="TWJ312" s="287"/>
      <c r="TWK312" s="287"/>
      <c r="TWL312" s="287"/>
      <c r="TWM312" s="287"/>
      <c r="TWN312" s="287"/>
      <c r="TWO312" s="287"/>
      <c r="TWP312" s="287"/>
      <c r="TWQ312" s="287"/>
      <c r="TWR312" s="287"/>
      <c r="TWS312" s="287"/>
      <c r="TWT312" s="287"/>
      <c r="TWU312" s="287"/>
      <c r="TWV312" s="287"/>
      <c r="TWW312" s="287"/>
      <c r="TWX312" s="287"/>
      <c r="TWY312" s="287"/>
      <c r="TWZ312" s="287"/>
      <c r="TXA312" s="287"/>
      <c r="TXB312" s="287"/>
      <c r="TXC312" s="287"/>
      <c r="TXD312" s="287"/>
      <c r="TXE312" s="287"/>
      <c r="TXF312" s="287"/>
      <c r="TXG312" s="287"/>
      <c r="TXH312" s="287"/>
      <c r="TXI312" s="287"/>
      <c r="TXJ312" s="287"/>
      <c r="TXK312" s="287"/>
      <c r="TXL312" s="287"/>
      <c r="TXM312" s="287"/>
      <c r="TXN312" s="287"/>
      <c r="TXO312" s="287"/>
      <c r="TXP312" s="287"/>
      <c r="TXQ312" s="287"/>
      <c r="TXR312" s="287"/>
      <c r="TXS312" s="287"/>
      <c r="TXT312" s="287"/>
      <c r="TXU312" s="287"/>
      <c r="TXV312" s="287"/>
      <c r="TXW312" s="287"/>
      <c r="TXX312" s="287"/>
      <c r="TXY312" s="287"/>
      <c r="TXZ312" s="287"/>
      <c r="TYA312" s="287"/>
      <c r="TYB312" s="287"/>
      <c r="TYC312" s="287"/>
      <c r="TYD312" s="287"/>
      <c r="TYE312" s="287"/>
      <c r="TYF312" s="287"/>
      <c r="TYG312" s="287"/>
      <c r="TYH312" s="287"/>
      <c r="TYI312" s="287"/>
      <c r="TYJ312" s="287"/>
      <c r="TYK312" s="287"/>
      <c r="TYL312" s="287"/>
      <c r="TYM312" s="287"/>
      <c r="TYN312" s="287"/>
      <c r="TYO312" s="287"/>
      <c r="TYP312" s="287"/>
      <c r="TYQ312" s="287"/>
      <c r="TYR312" s="287"/>
      <c r="TYS312" s="287"/>
      <c r="TYT312" s="287"/>
      <c r="TYU312" s="287"/>
      <c r="TYV312" s="287"/>
      <c r="TYW312" s="287"/>
      <c r="TYX312" s="287"/>
      <c r="TYY312" s="287"/>
      <c r="TYZ312" s="287"/>
      <c r="TZA312" s="287"/>
      <c r="TZB312" s="287"/>
      <c r="TZC312" s="287"/>
      <c r="TZD312" s="287"/>
      <c r="TZE312" s="287"/>
      <c r="TZF312" s="287"/>
      <c r="TZG312" s="287"/>
      <c r="TZH312" s="287"/>
      <c r="TZI312" s="287"/>
      <c r="TZJ312" s="287"/>
      <c r="TZK312" s="287"/>
      <c r="TZL312" s="287"/>
      <c r="TZM312" s="287"/>
      <c r="TZN312" s="287"/>
      <c r="TZO312" s="287"/>
      <c r="TZP312" s="287"/>
      <c r="TZQ312" s="287"/>
      <c r="TZR312" s="287"/>
      <c r="TZS312" s="287"/>
      <c r="TZT312" s="287"/>
      <c r="TZU312" s="287"/>
      <c r="TZV312" s="287"/>
      <c r="TZW312" s="287"/>
      <c r="TZX312" s="287"/>
      <c r="TZY312" s="287"/>
      <c r="TZZ312" s="287"/>
      <c r="UAA312" s="287"/>
      <c r="UAB312" s="287"/>
      <c r="UAC312" s="287"/>
      <c r="UAD312" s="287"/>
      <c r="UAE312" s="287"/>
      <c r="UAF312" s="287"/>
      <c r="UAG312" s="287"/>
      <c r="UAH312" s="287"/>
      <c r="UAI312" s="287"/>
      <c r="UAJ312" s="287"/>
      <c r="UAK312" s="287"/>
      <c r="UAL312" s="287"/>
      <c r="UAM312" s="287"/>
      <c r="UAN312" s="287"/>
      <c r="UAO312" s="287"/>
      <c r="UAP312" s="287"/>
      <c r="UAQ312" s="287"/>
      <c r="UAR312" s="287"/>
      <c r="UAS312" s="287"/>
      <c r="UAT312" s="287"/>
      <c r="UAU312" s="287"/>
      <c r="UAV312" s="287"/>
      <c r="UAW312" s="287"/>
      <c r="UAX312" s="287"/>
      <c r="UAY312" s="287"/>
      <c r="UAZ312" s="287"/>
      <c r="UBA312" s="287"/>
      <c r="UBB312" s="287"/>
      <c r="UBC312" s="287"/>
      <c r="UBD312" s="287"/>
      <c r="UBE312" s="287"/>
      <c r="UBF312" s="287"/>
      <c r="UBG312" s="287"/>
      <c r="UBH312" s="287"/>
      <c r="UBI312" s="287"/>
      <c r="UBJ312" s="287"/>
      <c r="UBK312" s="287"/>
      <c r="UBL312" s="287"/>
      <c r="UBM312" s="287"/>
      <c r="UBN312" s="287"/>
      <c r="UBO312" s="287"/>
      <c r="UBP312" s="287"/>
      <c r="UBQ312" s="287"/>
      <c r="UBR312" s="287"/>
      <c r="UBS312" s="287"/>
      <c r="UBT312" s="287"/>
      <c r="UBU312" s="287"/>
      <c r="UBV312" s="287"/>
      <c r="UBW312" s="287"/>
      <c r="UBX312" s="287"/>
      <c r="UBY312" s="287"/>
      <c r="UBZ312" s="287"/>
      <c r="UCA312" s="287"/>
      <c r="UCB312" s="287"/>
      <c r="UCC312" s="287"/>
      <c r="UCD312" s="287"/>
      <c r="UCE312" s="287"/>
      <c r="UCF312" s="287"/>
      <c r="UCG312" s="287"/>
      <c r="UCH312" s="287"/>
      <c r="UCI312" s="287"/>
      <c r="UCJ312" s="287"/>
      <c r="UCK312" s="287"/>
      <c r="UCL312" s="287"/>
      <c r="UCM312" s="287"/>
      <c r="UCN312" s="287"/>
      <c r="UCO312" s="287"/>
      <c r="UCP312" s="287"/>
      <c r="UCQ312" s="287"/>
      <c r="UCR312" s="287"/>
      <c r="UCS312" s="287"/>
      <c r="UCT312" s="287"/>
      <c r="UCU312" s="287"/>
      <c r="UCV312" s="287"/>
      <c r="UCW312" s="287"/>
      <c r="UCX312" s="287"/>
      <c r="UCY312" s="287"/>
      <c r="UCZ312" s="287"/>
      <c r="UDA312" s="287"/>
      <c r="UDB312" s="287"/>
      <c r="UDC312" s="287"/>
      <c r="UDD312" s="287"/>
      <c r="UDE312" s="287"/>
      <c r="UDF312" s="287"/>
      <c r="UDG312" s="287"/>
      <c r="UDH312" s="287"/>
      <c r="UDI312" s="287"/>
      <c r="UDJ312" s="287"/>
      <c r="UDK312" s="287"/>
      <c r="UDL312" s="287"/>
      <c r="UDM312" s="287"/>
      <c r="UDN312" s="287"/>
      <c r="UDO312" s="287"/>
      <c r="UDP312" s="287"/>
      <c r="UDQ312" s="287"/>
      <c r="UDR312" s="287"/>
      <c r="UDS312" s="287"/>
      <c r="UDT312" s="287"/>
      <c r="UDU312" s="287"/>
      <c r="UDV312" s="287"/>
      <c r="UDW312" s="287"/>
      <c r="UDX312" s="287"/>
      <c r="UDY312" s="287"/>
      <c r="UDZ312" s="287"/>
      <c r="UEA312" s="287"/>
      <c r="UEB312" s="287"/>
      <c r="UEC312" s="287"/>
      <c r="UED312" s="287"/>
      <c r="UEE312" s="287"/>
      <c r="UEF312" s="287"/>
      <c r="UEG312" s="287"/>
      <c r="UEH312" s="287"/>
      <c r="UEI312" s="287"/>
      <c r="UEJ312" s="287"/>
      <c r="UEK312" s="287"/>
      <c r="UEL312" s="287"/>
      <c r="UEM312" s="287"/>
      <c r="UEN312" s="287"/>
      <c r="UEO312" s="287"/>
      <c r="UEP312" s="287"/>
      <c r="UEQ312" s="287"/>
      <c r="UER312" s="287"/>
      <c r="UES312" s="287"/>
      <c r="UET312" s="287"/>
      <c r="UEU312" s="287"/>
      <c r="UEV312" s="287"/>
      <c r="UEW312" s="287"/>
      <c r="UEX312" s="287"/>
      <c r="UEY312" s="287"/>
      <c r="UEZ312" s="287"/>
      <c r="UFA312" s="287"/>
      <c r="UFB312" s="287"/>
      <c r="UFC312" s="287"/>
      <c r="UFD312" s="287"/>
      <c r="UFE312" s="287"/>
      <c r="UFF312" s="287"/>
      <c r="UFG312" s="287"/>
      <c r="UFH312" s="287"/>
      <c r="UFI312" s="287"/>
      <c r="UFJ312" s="287"/>
      <c r="UFK312" s="287"/>
      <c r="UFL312" s="287"/>
      <c r="UFM312" s="287"/>
      <c r="UFN312" s="287"/>
      <c r="UFO312" s="287"/>
      <c r="UFP312" s="287"/>
      <c r="UFQ312" s="287"/>
      <c r="UFR312" s="287"/>
      <c r="UFS312" s="287"/>
      <c r="UFT312" s="287"/>
      <c r="UFU312" s="287"/>
      <c r="UFV312" s="287"/>
      <c r="UFW312" s="287"/>
      <c r="UFX312" s="287"/>
      <c r="UFY312" s="287"/>
      <c r="UFZ312" s="287"/>
      <c r="UGA312" s="287"/>
      <c r="UGB312" s="287"/>
      <c r="UGC312" s="287"/>
      <c r="UGD312" s="287"/>
      <c r="UGE312" s="287"/>
      <c r="UGF312" s="287"/>
      <c r="UGG312" s="287"/>
      <c r="UGH312" s="287"/>
      <c r="UGI312" s="287"/>
      <c r="UGJ312" s="287"/>
      <c r="UGK312" s="287"/>
      <c r="UGL312" s="287"/>
      <c r="UGM312" s="287"/>
      <c r="UGN312" s="287"/>
      <c r="UGO312" s="287"/>
      <c r="UGP312" s="287"/>
      <c r="UGQ312" s="287"/>
      <c r="UGR312" s="287"/>
      <c r="UGS312" s="287"/>
      <c r="UGT312" s="287"/>
      <c r="UGU312" s="287"/>
      <c r="UGV312" s="287"/>
      <c r="UGW312" s="287"/>
      <c r="UGX312" s="287"/>
      <c r="UGY312" s="287"/>
      <c r="UGZ312" s="287"/>
      <c r="UHA312" s="287"/>
      <c r="UHB312" s="287"/>
      <c r="UHC312" s="287"/>
      <c r="UHD312" s="287"/>
      <c r="UHE312" s="287"/>
      <c r="UHF312" s="287"/>
      <c r="UHG312" s="287"/>
      <c r="UHH312" s="287"/>
      <c r="UHI312" s="287"/>
      <c r="UHJ312" s="287"/>
      <c r="UHK312" s="287"/>
      <c r="UHL312" s="287"/>
      <c r="UHM312" s="287"/>
      <c r="UHN312" s="287"/>
      <c r="UHO312" s="287"/>
      <c r="UHP312" s="287"/>
      <c r="UHQ312" s="287"/>
      <c r="UHR312" s="287"/>
      <c r="UHS312" s="287"/>
      <c r="UHT312" s="287"/>
      <c r="UHU312" s="287"/>
      <c r="UHV312" s="287"/>
      <c r="UHW312" s="287"/>
      <c r="UHX312" s="287"/>
      <c r="UHY312" s="287"/>
      <c r="UHZ312" s="287"/>
      <c r="UIA312" s="287"/>
      <c r="UIB312" s="287"/>
      <c r="UIC312" s="287"/>
      <c r="UID312" s="287"/>
      <c r="UIE312" s="287"/>
      <c r="UIF312" s="287"/>
      <c r="UIG312" s="287"/>
      <c r="UIH312" s="287"/>
      <c r="UII312" s="287"/>
      <c r="UIJ312" s="287"/>
      <c r="UIK312" s="287"/>
      <c r="UIL312" s="287"/>
      <c r="UIM312" s="287"/>
      <c r="UIN312" s="287"/>
      <c r="UIO312" s="287"/>
      <c r="UIP312" s="287"/>
      <c r="UIQ312" s="287"/>
      <c r="UIR312" s="287"/>
      <c r="UIS312" s="287"/>
      <c r="UIT312" s="287"/>
      <c r="UIU312" s="287"/>
      <c r="UIV312" s="287"/>
      <c r="UIW312" s="287"/>
      <c r="UIX312" s="287"/>
      <c r="UIY312" s="287"/>
      <c r="UIZ312" s="287"/>
      <c r="UJA312" s="287"/>
      <c r="UJB312" s="287"/>
      <c r="UJC312" s="287"/>
      <c r="UJD312" s="287"/>
      <c r="UJE312" s="287"/>
      <c r="UJF312" s="287"/>
      <c r="UJG312" s="287"/>
      <c r="UJH312" s="287"/>
      <c r="UJI312" s="287"/>
      <c r="UJJ312" s="287"/>
      <c r="UJK312" s="287"/>
      <c r="UJL312" s="287"/>
      <c r="UJM312" s="287"/>
      <c r="UJN312" s="287"/>
      <c r="UJO312" s="287"/>
      <c r="UJP312" s="287"/>
      <c r="UJQ312" s="287"/>
      <c r="UJR312" s="287"/>
      <c r="UJS312" s="287"/>
      <c r="UJT312" s="287"/>
      <c r="UJU312" s="287"/>
      <c r="UJV312" s="287"/>
      <c r="UJW312" s="287"/>
      <c r="UJX312" s="287"/>
      <c r="UJY312" s="287"/>
      <c r="UJZ312" s="287"/>
      <c r="UKA312" s="287"/>
      <c r="UKB312" s="287"/>
      <c r="UKC312" s="287"/>
      <c r="UKD312" s="287"/>
      <c r="UKE312" s="287"/>
      <c r="UKF312" s="287"/>
      <c r="UKG312" s="287"/>
      <c r="UKH312" s="287"/>
      <c r="UKI312" s="287"/>
      <c r="UKJ312" s="287"/>
      <c r="UKK312" s="287"/>
      <c r="UKL312" s="287"/>
      <c r="UKM312" s="287"/>
      <c r="UKN312" s="287"/>
      <c r="UKO312" s="287"/>
      <c r="UKP312" s="287"/>
      <c r="UKQ312" s="287"/>
      <c r="UKR312" s="287"/>
      <c r="UKS312" s="287"/>
      <c r="UKT312" s="287"/>
      <c r="UKU312" s="287"/>
      <c r="UKV312" s="287"/>
      <c r="UKW312" s="287"/>
      <c r="UKX312" s="287"/>
      <c r="UKY312" s="287"/>
      <c r="UKZ312" s="287"/>
      <c r="ULA312" s="287"/>
      <c r="ULB312" s="287"/>
      <c r="ULC312" s="287"/>
      <c r="ULD312" s="287"/>
      <c r="ULE312" s="287"/>
      <c r="ULF312" s="287"/>
      <c r="ULG312" s="287"/>
      <c r="ULH312" s="287"/>
      <c r="ULI312" s="287"/>
      <c r="ULJ312" s="287"/>
      <c r="ULK312" s="287"/>
      <c r="ULL312" s="287"/>
      <c r="ULM312" s="287"/>
      <c r="ULN312" s="287"/>
      <c r="ULO312" s="287"/>
      <c r="ULP312" s="287"/>
      <c r="ULQ312" s="287"/>
      <c r="ULR312" s="287"/>
      <c r="ULS312" s="287"/>
      <c r="ULT312" s="287"/>
      <c r="ULU312" s="287"/>
      <c r="ULV312" s="287"/>
      <c r="ULW312" s="287"/>
      <c r="ULX312" s="287"/>
      <c r="ULY312" s="287"/>
      <c r="ULZ312" s="287"/>
      <c r="UMA312" s="287"/>
      <c r="UMB312" s="287"/>
      <c r="UMC312" s="287"/>
      <c r="UMD312" s="287"/>
      <c r="UME312" s="287"/>
      <c r="UMF312" s="287"/>
      <c r="UMG312" s="287"/>
      <c r="UMH312" s="287"/>
      <c r="UMI312" s="287"/>
      <c r="UMJ312" s="287"/>
      <c r="UMK312" s="287"/>
      <c r="UML312" s="287"/>
      <c r="UMM312" s="287"/>
      <c r="UMN312" s="287"/>
      <c r="UMO312" s="287"/>
      <c r="UMP312" s="287"/>
      <c r="UMQ312" s="287"/>
      <c r="UMR312" s="287"/>
      <c r="UMS312" s="287"/>
      <c r="UMT312" s="287"/>
      <c r="UMU312" s="287"/>
      <c r="UMV312" s="287"/>
      <c r="UMW312" s="287"/>
      <c r="UMX312" s="287"/>
      <c r="UMY312" s="287"/>
      <c r="UMZ312" s="287"/>
      <c r="UNA312" s="287"/>
      <c r="UNB312" s="287"/>
      <c r="UNC312" s="287"/>
      <c r="UND312" s="287"/>
      <c r="UNE312" s="287"/>
      <c r="UNF312" s="287"/>
      <c r="UNG312" s="287"/>
      <c r="UNH312" s="287"/>
      <c r="UNI312" s="287"/>
      <c r="UNJ312" s="287"/>
      <c r="UNK312" s="287"/>
      <c r="UNL312" s="287"/>
      <c r="UNM312" s="287"/>
      <c r="UNN312" s="287"/>
      <c r="UNO312" s="287"/>
      <c r="UNP312" s="287"/>
      <c r="UNQ312" s="287"/>
      <c r="UNR312" s="287"/>
      <c r="UNS312" s="287"/>
      <c r="UNT312" s="287"/>
      <c r="UNU312" s="287"/>
      <c r="UNV312" s="287"/>
      <c r="UNW312" s="287"/>
      <c r="UNX312" s="287"/>
      <c r="UNY312" s="287"/>
      <c r="UNZ312" s="287"/>
      <c r="UOA312" s="287"/>
      <c r="UOB312" s="287"/>
      <c r="UOC312" s="287"/>
      <c r="UOD312" s="287"/>
      <c r="UOE312" s="287"/>
      <c r="UOF312" s="287"/>
      <c r="UOG312" s="287"/>
      <c r="UOH312" s="287"/>
      <c r="UOI312" s="287"/>
      <c r="UOJ312" s="287"/>
      <c r="UOK312" s="287"/>
      <c r="UOL312" s="287"/>
      <c r="UOM312" s="287"/>
      <c r="UON312" s="287"/>
      <c r="UOO312" s="287"/>
      <c r="UOP312" s="287"/>
      <c r="UOQ312" s="287"/>
      <c r="UOR312" s="287"/>
      <c r="UOS312" s="287"/>
      <c r="UOT312" s="287"/>
      <c r="UOU312" s="287"/>
      <c r="UOV312" s="287"/>
      <c r="UOW312" s="287"/>
      <c r="UOX312" s="287"/>
      <c r="UOY312" s="287"/>
      <c r="UOZ312" s="287"/>
      <c r="UPA312" s="287"/>
      <c r="UPB312" s="287"/>
      <c r="UPC312" s="287"/>
      <c r="UPD312" s="287"/>
      <c r="UPE312" s="287"/>
      <c r="UPF312" s="287"/>
      <c r="UPG312" s="287"/>
      <c r="UPH312" s="287"/>
      <c r="UPI312" s="287"/>
      <c r="UPJ312" s="287"/>
      <c r="UPK312" s="287"/>
      <c r="UPL312" s="287"/>
      <c r="UPM312" s="287"/>
      <c r="UPN312" s="287"/>
      <c r="UPO312" s="287"/>
      <c r="UPP312" s="287"/>
      <c r="UPQ312" s="287"/>
      <c r="UPR312" s="287"/>
      <c r="UPS312" s="287"/>
      <c r="UPT312" s="287"/>
      <c r="UPU312" s="287"/>
      <c r="UPV312" s="287"/>
      <c r="UPW312" s="287"/>
      <c r="UPX312" s="287"/>
      <c r="UPY312" s="287"/>
      <c r="UPZ312" s="287"/>
      <c r="UQA312" s="287"/>
      <c r="UQB312" s="287"/>
      <c r="UQC312" s="287"/>
      <c r="UQD312" s="287"/>
      <c r="UQE312" s="287"/>
      <c r="UQF312" s="287"/>
      <c r="UQG312" s="287"/>
      <c r="UQH312" s="287"/>
      <c r="UQI312" s="287"/>
      <c r="UQJ312" s="287"/>
      <c r="UQK312" s="287"/>
      <c r="UQL312" s="287"/>
      <c r="UQM312" s="287"/>
      <c r="UQN312" s="287"/>
      <c r="UQO312" s="287"/>
      <c r="UQP312" s="287"/>
      <c r="UQQ312" s="287"/>
      <c r="UQR312" s="287"/>
      <c r="UQS312" s="287"/>
      <c r="UQT312" s="287"/>
      <c r="UQU312" s="287"/>
      <c r="UQV312" s="287"/>
      <c r="UQW312" s="287"/>
      <c r="UQX312" s="287"/>
      <c r="UQY312" s="287"/>
      <c r="UQZ312" s="287"/>
      <c r="URA312" s="287"/>
      <c r="URB312" s="287"/>
      <c r="URC312" s="287"/>
      <c r="URD312" s="287"/>
      <c r="URE312" s="287"/>
      <c r="URF312" s="287"/>
      <c r="URG312" s="287"/>
      <c r="URH312" s="287"/>
      <c r="URI312" s="287"/>
      <c r="URJ312" s="287"/>
      <c r="URK312" s="287"/>
      <c r="URL312" s="287"/>
      <c r="URM312" s="287"/>
      <c r="URN312" s="287"/>
      <c r="URO312" s="287"/>
      <c r="URP312" s="287"/>
      <c r="URQ312" s="287"/>
      <c r="URR312" s="287"/>
      <c r="URS312" s="287"/>
      <c r="URT312" s="287"/>
      <c r="URU312" s="287"/>
      <c r="URV312" s="287"/>
      <c r="URW312" s="287"/>
      <c r="URX312" s="287"/>
      <c r="URY312" s="287"/>
      <c r="URZ312" s="287"/>
      <c r="USA312" s="287"/>
      <c r="USB312" s="287"/>
      <c r="USC312" s="287"/>
      <c r="USD312" s="287"/>
      <c r="USE312" s="287"/>
      <c r="USF312" s="287"/>
      <c r="USG312" s="287"/>
      <c r="USH312" s="287"/>
      <c r="USI312" s="287"/>
      <c r="USJ312" s="287"/>
      <c r="USK312" s="287"/>
      <c r="USL312" s="287"/>
      <c r="USM312" s="287"/>
      <c r="USN312" s="287"/>
      <c r="USO312" s="287"/>
      <c r="USP312" s="287"/>
      <c r="USQ312" s="287"/>
      <c r="USR312" s="287"/>
      <c r="USS312" s="287"/>
      <c r="UST312" s="287"/>
      <c r="USU312" s="287"/>
      <c r="USV312" s="287"/>
      <c r="USW312" s="287"/>
      <c r="USX312" s="287"/>
      <c r="USY312" s="287"/>
      <c r="USZ312" s="287"/>
      <c r="UTA312" s="287"/>
      <c r="UTB312" s="287"/>
      <c r="UTC312" s="287"/>
      <c r="UTD312" s="287"/>
      <c r="UTE312" s="287"/>
      <c r="UTF312" s="287"/>
      <c r="UTG312" s="287"/>
      <c r="UTH312" s="287"/>
      <c r="UTI312" s="287"/>
      <c r="UTJ312" s="287"/>
      <c r="UTK312" s="287"/>
      <c r="UTL312" s="287"/>
      <c r="UTM312" s="287"/>
      <c r="UTN312" s="287"/>
      <c r="UTO312" s="287"/>
      <c r="UTP312" s="287"/>
      <c r="UTQ312" s="287"/>
      <c r="UTR312" s="287"/>
      <c r="UTS312" s="287"/>
      <c r="UTT312" s="287"/>
      <c r="UTU312" s="287"/>
      <c r="UTV312" s="287"/>
      <c r="UTW312" s="287"/>
      <c r="UTX312" s="287"/>
      <c r="UTY312" s="287"/>
      <c r="UTZ312" s="287"/>
      <c r="UUA312" s="287"/>
      <c r="UUB312" s="287"/>
      <c r="UUC312" s="287"/>
      <c r="UUD312" s="287"/>
      <c r="UUE312" s="287"/>
      <c r="UUF312" s="287"/>
      <c r="UUG312" s="287"/>
      <c r="UUH312" s="287"/>
      <c r="UUI312" s="287"/>
      <c r="UUJ312" s="287"/>
      <c r="UUK312" s="287"/>
      <c r="UUL312" s="287"/>
      <c r="UUM312" s="287"/>
      <c r="UUN312" s="287"/>
      <c r="UUO312" s="287"/>
      <c r="UUP312" s="287"/>
      <c r="UUQ312" s="287"/>
      <c r="UUR312" s="287"/>
      <c r="UUS312" s="287"/>
      <c r="UUT312" s="287"/>
      <c r="UUU312" s="287"/>
      <c r="UUV312" s="287"/>
      <c r="UUW312" s="287"/>
      <c r="UUX312" s="287"/>
      <c r="UUY312" s="287"/>
      <c r="UUZ312" s="287"/>
      <c r="UVA312" s="287"/>
      <c r="UVB312" s="287"/>
      <c r="UVC312" s="287"/>
      <c r="UVD312" s="287"/>
      <c r="UVE312" s="287"/>
      <c r="UVF312" s="287"/>
      <c r="UVG312" s="287"/>
      <c r="UVH312" s="287"/>
      <c r="UVI312" s="287"/>
      <c r="UVJ312" s="287"/>
      <c r="UVK312" s="287"/>
      <c r="UVL312" s="287"/>
      <c r="UVM312" s="287"/>
      <c r="UVN312" s="287"/>
      <c r="UVO312" s="287"/>
      <c r="UVP312" s="287"/>
      <c r="UVQ312" s="287"/>
      <c r="UVR312" s="287"/>
      <c r="UVS312" s="287"/>
      <c r="UVT312" s="287"/>
      <c r="UVU312" s="287"/>
      <c r="UVV312" s="287"/>
      <c r="UVW312" s="287"/>
      <c r="UVX312" s="287"/>
      <c r="UVY312" s="287"/>
      <c r="UVZ312" s="287"/>
      <c r="UWA312" s="287"/>
      <c r="UWB312" s="287"/>
      <c r="UWC312" s="287"/>
      <c r="UWD312" s="287"/>
      <c r="UWE312" s="287"/>
      <c r="UWF312" s="287"/>
      <c r="UWG312" s="287"/>
      <c r="UWH312" s="287"/>
      <c r="UWI312" s="287"/>
      <c r="UWJ312" s="287"/>
      <c r="UWK312" s="287"/>
      <c r="UWL312" s="287"/>
      <c r="UWM312" s="287"/>
      <c r="UWN312" s="287"/>
      <c r="UWO312" s="287"/>
      <c r="UWP312" s="287"/>
      <c r="UWQ312" s="287"/>
      <c r="UWR312" s="287"/>
      <c r="UWS312" s="287"/>
      <c r="UWT312" s="287"/>
      <c r="UWU312" s="287"/>
      <c r="UWV312" s="287"/>
      <c r="UWW312" s="287"/>
      <c r="UWX312" s="287"/>
      <c r="UWY312" s="287"/>
      <c r="UWZ312" s="287"/>
      <c r="UXA312" s="287"/>
      <c r="UXB312" s="287"/>
      <c r="UXC312" s="287"/>
      <c r="UXD312" s="287"/>
      <c r="UXE312" s="287"/>
      <c r="UXF312" s="287"/>
      <c r="UXG312" s="287"/>
      <c r="UXH312" s="287"/>
      <c r="UXI312" s="287"/>
      <c r="UXJ312" s="287"/>
      <c r="UXK312" s="287"/>
      <c r="UXL312" s="287"/>
      <c r="UXM312" s="287"/>
      <c r="UXN312" s="287"/>
      <c r="UXO312" s="287"/>
      <c r="UXP312" s="287"/>
      <c r="UXQ312" s="287"/>
      <c r="UXR312" s="287"/>
      <c r="UXS312" s="287"/>
      <c r="UXT312" s="287"/>
      <c r="UXU312" s="287"/>
      <c r="UXV312" s="287"/>
      <c r="UXW312" s="287"/>
      <c r="UXX312" s="287"/>
      <c r="UXY312" s="287"/>
      <c r="UXZ312" s="287"/>
      <c r="UYA312" s="287"/>
      <c r="UYB312" s="287"/>
      <c r="UYC312" s="287"/>
      <c r="UYD312" s="287"/>
      <c r="UYE312" s="287"/>
      <c r="UYF312" s="287"/>
      <c r="UYG312" s="287"/>
      <c r="UYH312" s="287"/>
      <c r="UYI312" s="287"/>
      <c r="UYJ312" s="287"/>
      <c r="UYK312" s="287"/>
      <c r="UYL312" s="287"/>
      <c r="UYM312" s="287"/>
      <c r="UYN312" s="287"/>
      <c r="UYO312" s="287"/>
      <c r="UYP312" s="287"/>
      <c r="UYQ312" s="287"/>
      <c r="UYR312" s="287"/>
      <c r="UYS312" s="287"/>
      <c r="UYT312" s="287"/>
      <c r="UYU312" s="287"/>
      <c r="UYV312" s="287"/>
      <c r="UYW312" s="287"/>
      <c r="UYX312" s="287"/>
      <c r="UYY312" s="287"/>
      <c r="UYZ312" s="287"/>
      <c r="UZA312" s="287"/>
      <c r="UZB312" s="287"/>
      <c r="UZC312" s="287"/>
      <c r="UZD312" s="287"/>
      <c r="UZE312" s="287"/>
      <c r="UZF312" s="287"/>
      <c r="UZG312" s="287"/>
      <c r="UZH312" s="287"/>
      <c r="UZI312" s="287"/>
      <c r="UZJ312" s="287"/>
      <c r="UZK312" s="287"/>
      <c r="UZL312" s="287"/>
      <c r="UZM312" s="287"/>
      <c r="UZN312" s="287"/>
      <c r="UZO312" s="287"/>
      <c r="UZP312" s="287"/>
      <c r="UZQ312" s="287"/>
      <c r="UZR312" s="287"/>
      <c r="UZS312" s="287"/>
      <c r="UZT312" s="287"/>
      <c r="UZU312" s="287"/>
      <c r="UZV312" s="287"/>
      <c r="UZW312" s="287"/>
      <c r="UZX312" s="287"/>
      <c r="UZY312" s="287"/>
      <c r="UZZ312" s="287"/>
      <c r="VAA312" s="287"/>
      <c r="VAB312" s="287"/>
      <c r="VAC312" s="287"/>
      <c r="VAD312" s="287"/>
      <c r="VAE312" s="287"/>
      <c r="VAF312" s="287"/>
      <c r="VAG312" s="287"/>
      <c r="VAH312" s="287"/>
      <c r="VAI312" s="287"/>
      <c r="VAJ312" s="287"/>
      <c r="VAK312" s="287"/>
      <c r="VAL312" s="287"/>
      <c r="VAM312" s="287"/>
      <c r="VAN312" s="287"/>
      <c r="VAO312" s="287"/>
      <c r="VAP312" s="287"/>
      <c r="VAQ312" s="287"/>
      <c r="VAR312" s="287"/>
      <c r="VAS312" s="287"/>
      <c r="VAT312" s="287"/>
      <c r="VAU312" s="287"/>
      <c r="VAV312" s="287"/>
      <c r="VAW312" s="287"/>
      <c r="VAX312" s="287"/>
      <c r="VAY312" s="287"/>
      <c r="VAZ312" s="287"/>
      <c r="VBA312" s="287"/>
      <c r="VBB312" s="287"/>
      <c r="VBC312" s="287"/>
      <c r="VBD312" s="287"/>
      <c r="VBE312" s="287"/>
      <c r="VBF312" s="287"/>
      <c r="VBG312" s="287"/>
      <c r="VBH312" s="287"/>
      <c r="VBI312" s="287"/>
      <c r="VBJ312" s="287"/>
      <c r="VBK312" s="287"/>
      <c r="VBL312" s="287"/>
      <c r="VBM312" s="287"/>
      <c r="VBN312" s="287"/>
      <c r="VBO312" s="287"/>
      <c r="VBP312" s="287"/>
      <c r="VBQ312" s="287"/>
      <c r="VBR312" s="287"/>
      <c r="VBS312" s="287"/>
      <c r="VBT312" s="287"/>
      <c r="VBU312" s="287"/>
      <c r="VBV312" s="287"/>
      <c r="VBW312" s="287"/>
      <c r="VBX312" s="287"/>
      <c r="VBY312" s="287"/>
      <c r="VBZ312" s="287"/>
      <c r="VCA312" s="287"/>
      <c r="VCB312" s="287"/>
      <c r="VCC312" s="287"/>
      <c r="VCD312" s="287"/>
      <c r="VCE312" s="287"/>
      <c r="VCF312" s="287"/>
      <c r="VCG312" s="287"/>
      <c r="VCH312" s="287"/>
      <c r="VCI312" s="287"/>
      <c r="VCJ312" s="287"/>
      <c r="VCK312" s="287"/>
      <c r="VCL312" s="287"/>
      <c r="VCM312" s="287"/>
      <c r="VCN312" s="287"/>
      <c r="VCO312" s="287"/>
      <c r="VCP312" s="287"/>
      <c r="VCQ312" s="287"/>
      <c r="VCR312" s="287"/>
      <c r="VCS312" s="287"/>
      <c r="VCT312" s="287"/>
      <c r="VCU312" s="287"/>
      <c r="VCV312" s="287"/>
      <c r="VCW312" s="287"/>
      <c r="VCX312" s="287"/>
      <c r="VCY312" s="287"/>
      <c r="VCZ312" s="287"/>
      <c r="VDA312" s="287"/>
      <c r="VDB312" s="287"/>
      <c r="VDC312" s="287"/>
      <c r="VDD312" s="287"/>
      <c r="VDE312" s="287"/>
      <c r="VDF312" s="287"/>
      <c r="VDG312" s="287"/>
      <c r="VDH312" s="287"/>
      <c r="VDI312" s="287"/>
      <c r="VDJ312" s="287"/>
      <c r="VDK312" s="287"/>
      <c r="VDL312" s="287"/>
      <c r="VDM312" s="287"/>
      <c r="VDN312" s="287"/>
      <c r="VDO312" s="287"/>
      <c r="VDP312" s="287"/>
      <c r="VDQ312" s="287"/>
      <c r="VDR312" s="287"/>
      <c r="VDS312" s="287"/>
      <c r="VDT312" s="287"/>
      <c r="VDU312" s="287"/>
      <c r="VDV312" s="287"/>
      <c r="VDW312" s="287"/>
      <c r="VDX312" s="287"/>
      <c r="VDY312" s="287"/>
      <c r="VDZ312" s="287"/>
      <c r="VEA312" s="287"/>
      <c r="VEB312" s="287"/>
      <c r="VEC312" s="287"/>
      <c r="VED312" s="287"/>
      <c r="VEE312" s="287"/>
      <c r="VEF312" s="287"/>
      <c r="VEG312" s="287"/>
      <c r="VEH312" s="287"/>
      <c r="VEI312" s="287"/>
      <c r="VEJ312" s="287"/>
      <c r="VEK312" s="287"/>
      <c r="VEL312" s="287"/>
      <c r="VEM312" s="287"/>
      <c r="VEN312" s="287"/>
      <c r="VEO312" s="287"/>
      <c r="VEP312" s="287"/>
      <c r="VEQ312" s="287"/>
      <c r="VER312" s="287"/>
      <c r="VES312" s="287"/>
      <c r="VET312" s="287"/>
      <c r="VEU312" s="287"/>
      <c r="VEV312" s="287"/>
      <c r="VEW312" s="287"/>
      <c r="VEX312" s="287"/>
      <c r="VEY312" s="287"/>
      <c r="VEZ312" s="287"/>
      <c r="VFA312" s="287"/>
      <c r="VFB312" s="287"/>
      <c r="VFC312" s="287"/>
      <c r="VFD312" s="287"/>
      <c r="VFE312" s="287"/>
      <c r="VFF312" s="287"/>
      <c r="VFG312" s="287"/>
      <c r="VFH312" s="287"/>
      <c r="VFI312" s="287"/>
      <c r="VFJ312" s="287"/>
      <c r="VFK312" s="287"/>
      <c r="VFL312" s="287"/>
      <c r="VFM312" s="287"/>
      <c r="VFN312" s="287"/>
      <c r="VFO312" s="287"/>
      <c r="VFP312" s="287"/>
      <c r="VFQ312" s="287"/>
      <c r="VFR312" s="287"/>
      <c r="VFS312" s="287"/>
      <c r="VFT312" s="287"/>
      <c r="VFU312" s="287"/>
      <c r="VFV312" s="287"/>
      <c r="VFW312" s="287"/>
      <c r="VFX312" s="287"/>
      <c r="VFY312" s="287"/>
      <c r="VFZ312" s="287"/>
      <c r="VGA312" s="287"/>
      <c r="VGB312" s="287"/>
      <c r="VGC312" s="287"/>
      <c r="VGD312" s="287"/>
      <c r="VGE312" s="287"/>
      <c r="VGF312" s="287"/>
      <c r="VGG312" s="287"/>
      <c r="VGH312" s="287"/>
      <c r="VGI312" s="287"/>
      <c r="VGJ312" s="287"/>
      <c r="VGK312" s="287"/>
      <c r="VGL312" s="287"/>
      <c r="VGM312" s="287"/>
      <c r="VGN312" s="287"/>
      <c r="VGO312" s="287"/>
      <c r="VGP312" s="287"/>
      <c r="VGQ312" s="287"/>
      <c r="VGR312" s="287"/>
      <c r="VGS312" s="287"/>
      <c r="VGT312" s="287"/>
      <c r="VGU312" s="287"/>
      <c r="VGV312" s="287"/>
      <c r="VGW312" s="287"/>
      <c r="VGX312" s="287"/>
      <c r="VGY312" s="287"/>
      <c r="VGZ312" s="287"/>
      <c r="VHA312" s="287"/>
      <c r="VHB312" s="287"/>
      <c r="VHC312" s="287"/>
      <c r="VHD312" s="287"/>
      <c r="VHE312" s="287"/>
      <c r="VHF312" s="287"/>
      <c r="VHG312" s="287"/>
      <c r="VHH312" s="287"/>
      <c r="VHI312" s="287"/>
      <c r="VHJ312" s="287"/>
      <c r="VHK312" s="287"/>
      <c r="VHL312" s="287"/>
      <c r="VHM312" s="287"/>
      <c r="VHN312" s="287"/>
      <c r="VHO312" s="287"/>
      <c r="VHP312" s="287"/>
      <c r="VHQ312" s="287"/>
      <c r="VHR312" s="287"/>
      <c r="VHS312" s="287"/>
      <c r="VHT312" s="287"/>
      <c r="VHU312" s="287"/>
      <c r="VHV312" s="287"/>
      <c r="VHW312" s="287"/>
      <c r="VHX312" s="287"/>
      <c r="VHY312" s="287"/>
      <c r="VHZ312" s="287"/>
      <c r="VIA312" s="287"/>
      <c r="VIB312" s="287"/>
      <c r="VIC312" s="287"/>
      <c r="VID312" s="287"/>
      <c r="VIE312" s="287"/>
      <c r="VIF312" s="287"/>
      <c r="VIG312" s="287"/>
      <c r="VIH312" s="287"/>
      <c r="VII312" s="287"/>
      <c r="VIJ312" s="287"/>
      <c r="VIK312" s="287"/>
      <c r="VIL312" s="287"/>
      <c r="VIM312" s="287"/>
      <c r="VIN312" s="287"/>
      <c r="VIO312" s="287"/>
      <c r="VIP312" s="287"/>
      <c r="VIQ312" s="287"/>
      <c r="VIR312" s="287"/>
      <c r="VIS312" s="287"/>
      <c r="VIT312" s="287"/>
      <c r="VIU312" s="287"/>
      <c r="VIV312" s="287"/>
      <c r="VIW312" s="287"/>
      <c r="VIX312" s="287"/>
      <c r="VIY312" s="287"/>
      <c r="VIZ312" s="287"/>
      <c r="VJA312" s="287"/>
      <c r="VJB312" s="287"/>
      <c r="VJC312" s="287"/>
      <c r="VJD312" s="287"/>
      <c r="VJE312" s="287"/>
      <c r="VJF312" s="287"/>
      <c r="VJG312" s="287"/>
      <c r="VJH312" s="287"/>
      <c r="VJI312" s="287"/>
      <c r="VJJ312" s="287"/>
      <c r="VJK312" s="287"/>
      <c r="VJL312" s="287"/>
      <c r="VJM312" s="287"/>
      <c r="VJN312" s="287"/>
      <c r="VJO312" s="287"/>
      <c r="VJP312" s="287"/>
      <c r="VJQ312" s="287"/>
      <c r="VJR312" s="287"/>
      <c r="VJS312" s="287"/>
      <c r="VJT312" s="287"/>
      <c r="VJU312" s="287"/>
      <c r="VJV312" s="287"/>
      <c r="VJW312" s="287"/>
      <c r="VJX312" s="287"/>
      <c r="VJY312" s="287"/>
      <c r="VJZ312" s="287"/>
      <c r="VKA312" s="287"/>
      <c r="VKB312" s="287"/>
      <c r="VKC312" s="287"/>
      <c r="VKD312" s="287"/>
      <c r="VKE312" s="287"/>
      <c r="VKF312" s="287"/>
      <c r="VKG312" s="287"/>
      <c r="VKH312" s="287"/>
      <c r="VKI312" s="287"/>
      <c r="VKJ312" s="287"/>
      <c r="VKK312" s="287"/>
      <c r="VKL312" s="287"/>
      <c r="VKM312" s="287"/>
      <c r="VKN312" s="287"/>
      <c r="VKO312" s="287"/>
      <c r="VKP312" s="287"/>
      <c r="VKQ312" s="287"/>
      <c r="VKR312" s="287"/>
      <c r="VKS312" s="287"/>
      <c r="VKT312" s="287"/>
      <c r="VKU312" s="287"/>
      <c r="VKV312" s="287"/>
      <c r="VKW312" s="287"/>
      <c r="VKX312" s="287"/>
      <c r="VKY312" s="287"/>
      <c r="VKZ312" s="287"/>
      <c r="VLA312" s="287"/>
      <c r="VLB312" s="287"/>
      <c r="VLC312" s="287"/>
      <c r="VLD312" s="287"/>
      <c r="VLE312" s="287"/>
      <c r="VLF312" s="287"/>
      <c r="VLG312" s="287"/>
      <c r="VLH312" s="287"/>
      <c r="VLI312" s="287"/>
      <c r="VLJ312" s="287"/>
      <c r="VLK312" s="287"/>
      <c r="VLL312" s="287"/>
      <c r="VLM312" s="287"/>
      <c r="VLN312" s="287"/>
      <c r="VLO312" s="287"/>
      <c r="VLP312" s="287"/>
      <c r="VLQ312" s="287"/>
      <c r="VLR312" s="287"/>
      <c r="VLS312" s="287"/>
      <c r="VLT312" s="287"/>
      <c r="VLU312" s="287"/>
      <c r="VLV312" s="287"/>
      <c r="VLW312" s="287"/>
      <c r="VLX312" s="287"/>
      <c r="VLY312" s="287"/>
      <c r="VLZ312" s="287"/>
      <c r="VMA312" s="287"/>
      <c r="VMB312" s="287"/>
      <c r="VMC312" s="287"/>
      <c r="VMD312" s="287"/>
      <c r="VME312" s="287"/>
      <c r="VMF312" s="287"/>
      <c r="VMG312" s="287"/>
      <c r="VMH312" s="287"/>
      <c r="VMI312" s="287"/>
      <c r="VMJ312" s="287"/>
      <c r="VMK312" s="287"/>
      <c r="VML312" s="287"/>
      <c r="VMM312" s="287"/>
      <c r="VMN312" s="287"/>
      <c r="VMO312" s="287"/>
      <c r="VMP312" s="287"/>
      <c r="VMQ312" s="287"/>
      <c r="VMR312" s="287"/>
      <c r="VMS312" s="287"/>
      <c r="VMT312" s="287"/>
      <c r="VMU312" s="287"/>
      <c r="VMV312" s="287"/>
      <c r="VMW312" s="287"/>
      <c r="VMX312" s="287"/>
      <c r="VMY312" s="287"/>
      <c r="VMZ312" s="287"/>
      <c r="VNA312" s="287"/>
      <c r="VNB312" s="287"/>
      <c r="VNC312" s="287"/>
      <c r="VND312" s="287"/>
      <c r="VNE312" s="287"/>
      <c r="VNF312" s="287"/>
      <c r="VNG312" s="287"/>
      <c r="VNH312" s="287"/>
      <c r="VNI312" s="287"/>
      <c r="VNJ312" s="287"/>
      <c r="VNK312" s="287"/>
      <c r="VNL312" s="287"/>
      <c r="VNM312" s="287"/>
      <c r="VNN312" s="287"/>
      <c r="VNO312" s="287"/>
      <c r="VNP312" s="287"/>
      <c r="VNQ312" s="287"/>
      <c r="VNR312" s="287"/>
      <c r="VNS312" s="287"/>
      <c r="VNT312" s="287"/>
      <c r="VNU312" s="287"/>
      <c r="VNV312" s="287"/>
      <c r="VNW312" s="287"/>
      <c r="VNX312" s="287"/>
      <c r="VNY312" s="287"/>
      <c r="VNZ312" s="287"/>
      <c r="VOA312" s="287"/>
      <c r="VOB312" s="287"/>
      <c r="VOC312" s="287"/>
      <c r="VOD312" s="287"/>
      <c r="VOE312" s="287"/>
      <c r="VOF312" s="287"/>
      <c r="VOG312" s="287"/>
      <c r="VOH312" s="287"/>
      <c r="VOI312" s="287"/>
      <c r="VOJ312" s="287"/>
      <c r="VOK312" s="287"/>
      <c r="VOL312" s="287"/>
      <c r="VOM312" s="287"/>
      <c r="VON312" s="287"/>
      <c r="VOO312" s="287"/>
      <c r="VOP312" s="287"/>
      <c r="VOQ312" s="287"/>
      <c r="VOR312" s="287"/>
      <c r="VOS312" s="287"/>
      <c r="VOT312" s="287"/>
      <c r="VOU312" s="287"/>
      <c r="VOV312" s="287"/>
      <c r="VOW312" s="287"/>
      <c r="VOX312" s="287"/>
      <c r="VOY312" s="287"/>
      <c r="VOZ312" s="287"/>
      <c r="VPA312" s="287"/>
      <c r="VPB312" s="287"/>
      <c r="VPC312" s="287"/>
      <c r="VPD312" s="287"/>
      <c r="VPE312" s="287"/>
      <c r="VPF312" s="287"/>
      <c r="VPG312" s="287"/>
      <c r="VPH312" s="287"/>
      <c r="VPI312" s="287"/>
      <c r="VPJ312" s="287"/>
      <c r="VPK312" s="287"/>
      <c r="VPL312" s="287"/>
      <c r="VPM312" s="287"/>
      <c r="VPN312" s="287"/>
      <c r="VPO312" s="287"/>
      <c r="VPP312" s="287"/>
      <c r="VPQ312" s="287"/>
      <c r="VPR312" s="287"/>
      <c r="VPS312" s="287"/>
      <c r="VPT312" s="287"/>
      <c r="VPU312" s="287"/>
      <c r="VPV312" s="287"/>
      <c r="VPW312" s="287"/>
      <c r="VPX312" s="287"/>
      <c r="VPY312" s="287"/>
      <c r="VPZ312" s="287"/>
      <c r="VQA312" s="287"/>
      <c r="VQB312" s="287"/>
      <c r="VQC312" s="287"/>
      <c r="VQD312" s="287"/>
      <c r="VQE312" s="287"/>
      <c r="VQF312" s="287"/>
      <c r="VQG312" s="287"/>
      <c r="VQH312" s="287"/>
      <c r="VQI312" s="287"/>
      <c r="VQJ312" s="287"/>
      <c r="VQK312" s="287"/>
      <c r="VQL312" s="287"/>
      <c r="VQM312" s="287"/>
      <c r="VQN312" s="287"/>
      <c r="VQO312" s="287"/>
      <c r="VQP312" s="287"/>
      <c r="VQQ312" s="287"/>
      <c r="VQR312" s="287"/>
      <c r="VQS312" s="287"/>
      <c r="VQT312" s="287"/>
      <c r="VQU312" s="287"/>
      <c r="VQV312" s="287"/>
      <c r="VQW312" s="287"/>
      <c r="VQX312" s="287"/>
      <c r="VQY312" s="287"/>
      <c r="VQZ312" s="287"/>
      <c r="VRA312" s="287"/>
      <c r="VRB312" s="287"/>
      <c r="VRC312" s="287"/>
      <c r="VRD312" s="287"/>
      <c r="VRE312" s="287"/>
      <c r="VRF312" s="287"/>
      <c r="VRG312" s="287"/>
      <c r="VRH312" s="287"/>
      <c r="VRI312" s="287"/>
      <c r="VRJ312" s="287"/>
      <c r="VRK312" s="287"/>
      <c r="VRL312" s="287"/>
      <c r="VRM312" s="287"/>
      <c r="VRN312" s="287"/>
      <c r="VRO312" s="287"/>
      <c r="VRP312" s="287"/>
      <c r="VRQ312" s="287"/>
      <c r="VRR312" s="287"/>
      <c r="VRS312" s="287"/>
      <c r="VRT312" s="287"/>
      <c r="VRU312" s="287"/>
      <c r="VRV312" s="287"/>
      <c r="VRW312" s="287"/>
      <c r="VRX312" s="287"/>
      <c r="VRY312" s="287"/>
      <c r="VRZ312" s="287"/>
      <c r="VSA312" s="287"/>
      <c r="VSB312" s="287"/>
      <c r="VSC312" s="287"/>
      <c r="VSD312" s="287"/>
      <c r="VSE312" s="287"/>
      <c r="VSF312" s="287"/>
      <c r="VSG312" s="287"/>
      <c r="VSH312" s="287"/>
      <c r="VSI312" s="287"/>
      <c r="VSJ312" s="287"/>
      <c r="VSK312" s="287"/>
      <c r="VSL312" s="287"/>
      <c r="VSM312" s="287"/>
      <c r="VSN312" s="287"/>
      <c r="VSO312" s="287"/>
      <c r="VSP312" s="287"/>
      <c r="VSQ312" s="287"/>
      <c r="VSR312" s="287"/>
      <c r="VSS312" s="287"/>
      <c r="VST312" s="287"/>
      <c r="VSU312" s="287"/>
      <c r="VSV312" s="287"/>
      <c r="VSW312" s="287"/>
      <c r="VSX312" s="287"/>
      <c r="VSY312" s="287"/>
      <c r="VSZ312" s="287"/>
      <c r="VTA312" s="287"/>
      <c r="VTB312" s="287"/>
      <c r="VTC312" s="287"/>
      <c r="VTD312" s="287"/>
      <c r="VTE312" s="287"/>
      <c r="VTF312" s="287"/>
      <c r="VTG312" s="287"/>
      <c r="VTH312" s="287"/>
      <c r="VTI312" s="287"/>
      <c r="VTJ312" s="287"/>
      <c r="VTK312" s="287"/>
      <c r="VTL312" s="287"/>
      <c r="VTM312" s="287"/>
      <c r="VTN312" s="287"/>
      <c r="VTO312" s="287"/>
      <c r="VTP312" s="287"/>
      <c r="VTQ312" s="287"/>
      <c r="VTR312" s="287"/>
      <c r="VTS312" s="287"/>
      <c r="VTT312" s="287"/>
      <c r="VTU312" s="287"/>
      <c r="VTV312" s="287"/>
      <c r="VTW312" s="287"/>
      <c r="VTX312" s="287"/>
      <c r="VTY312" s="287"/>
      <c r="VTZ312" s="287"/>
      <c r="VUA312" s="287"/>
      <c r="VUB312" s="287"/>
      <c r="VUC312" s="287"/>
      <c r="VUD312" s="287"/>
      <c r="VUE312" s="287"/>
      <c r="VUF312" s="287"/>
      <c r="VUG312" s="287"/>
      <c r="VUH312" s="287"/>
      <c r="VUI312" s="287"/>
      <c r="VUJ312" s="287"/>
      <c r="VUK312" s="287"/>
      <c r="VUL312" s="287"/>
      <c r="VUM312" s="287"/>
      <c r="VUN312" s="287"/>
      <c r="VUO312" s="287"/>
      <c r="VUP312" s="287"/>
      <c r="VUQ312" s="287"/>
      <c r="VUR312" s="287"/>
      <c r="VUS312" s="287"/>
      <c r="VUT312" s="287"/>
      <c r="VUU312" s="287"/>
      <c r="VUV312" s="287"/>
      <c r="VUW312" s="287"/>
      <c r="VUX312" s="287"/>
      <c r="VUY312" s="287"/>
      <c r="VUZ312" s="287"/>
      <c r="VVA312" s="287"/>
      <c r="VVB312" s="287"/>
      <c r="VVC312" s="287"/>
      <c r="VVD312" s="287"/>
      <c r="VVE312" s="287"/>
      <c r="VVF312" s="287"/>
      <c r="VVG312" s="287"/>
      <c r="VVH312" s="287"/>
      <c r="VVI312" s="287"/>
      <c r="VVJ312" s="287"/>
      <c r="VVK312" s="287"/>
      <c r="VVL312" s="287"/>
      <c r="VVM312" s="287"/>
      <c r="VVN312" s="287"/>
      <c r="VVO312" s="287"/>
      <c r="VVP312" s="287"/>
      <c r="VVQ312" s="287"/>
      <c r="VVR312" s="287"/>
      <c r="VVS312" s="287"/>
      <c r="VVT312" s="287"/>
      <c r="VVU312" s="287"/>
      <c r="VVV312" s="287"/>
      <c r="VVW312" s="287"/>
      <c r="VVX312" s="287"/>
      <c r="VVY312" s="287"/>
      <c r="VVZ312" s="287"/>
      <c r="VWA312" s="287"/>
      <c r="VWB312" s="287"/>
      <c r="VWC312" s="287"/>
      <c r="VWD312" s="287"/>
      <c r="VWE312" s="287"/>
      <c r="VWF312" s="287"/>
      <c r="VWG312" s="287"/>
      <c r="VWH312" s="287"/>
      <c r="VWI312" s="287"/>
      <c r="VWJ312" s="287"/>
      <c r="VWK312" s="287"/>
      <c r="VWL312" s="287"/>
      <c r="VWM312" s="287"/>
      <c r="VWN312" s="287"/>
      <c r="VWO312" s="287"/>
      <c r="VWP312" s="287"/>
      <c r="VWQ312" s="287"/>
      <c r="VWR312" s="287"/>
      <c r="VWS312" s="287"/>
      <c r="VWT312" s="287"/>
      <c r="VWU312" s="287"/>
      <c r="VWV312" s="287"/>
      <c r="VWW312" s="287"/>
      <c r="VWX312" s="287"/>
      <c r="VWY312" s="287"/>
      <c r="VWZ312" s="287"/>
      <c r="VXA312" s="287"/>
      <c r="VXB312" s="287"/>
      <c r="VXC312" s="287"/>
      <c r="VXD312" s="287"/>
      <c r="VXE312" s="287"/>
      <c r="VXF312" s="287"/>
      <c r="VXG312" s="287"/>
      <c r="VXH312" s="287"/>
      <c r="VXI312" s="287"/>
      <c r="VXJ312" s="287"/>
      <c r="VXK312" s="287"/>
      <c r="VXL312" s="287"/>
      <c r="VXM312" s="287"/>
      <c r="VXN312" s="287"/>
      <c r="VXO312" s="287"/>
      <c r="VXP312" s="287"/>
      <c r="VXQ312" s="287"/>
      <c r="VXR312" s="287"/>
      <c r="VXS312" s="287"/>
      <c r="VXT312" s="287"/>
      <c r="VXU312" s="287"/>
      <c r="VXV312" s="287"/>
      <c r="VXW312" s="287"/>
      <c r="VXX312" s="287"/>
      <c r="VXY312" s="287"/>
      <c r="VXZ312" s="287"/>
      <c r="VYA312" s="287"/>
      <c r="VYB312" s="287"/>
      <c r="VYC312" s="287"/>
      <c r="VYD312" s="287"/>
      <c r="VYE312" s="287"/>
      <c r="VYF312" s="287"/>
      <c r="VYG312" s="287"/>
      <c r="VYH312" s="287"/>
      <c r="VYI312" s="287"/>
      <c r="VYJ312" s="287"/>
      <c r="VYK312" s="287"/>
      <c r="VYL312" s="287"/>
      <c r="VYM312" s="287"/>
      <c r="VYN312" s="287"/>
      <c r="VYO312" s="287"/>
      <c r="VYP312" s="287"/>
      <c r="VYQ312" s="287"/>
      <c r="VYR312" s="287"/>
      <c r="VYS312" s="287"/>
      <c r="VYT312" s="287"/>
      <c r="VYU312" s="287"/>
      <c r="VYV312" s="287"/>
      <c r="VYW312" s="287"/>
      <c r="VYX312" s="287"/>
      <c r="VYY312" s="287"/>
      <c r="VYZ312" s="287"/>
      <c r="VZA312" s="287"/>
      <c r="VZB312" s="287"/>
      <c r="VZC312" s="287"/>
      <c r="VZD312" s="287"/>
      <c r="VZE312" s="287"/>
      <c r="VZF312" s="287"/>
      <c r="VZG312" s="287"/>
      <c r="VZH312" s="287"/>
      <c r="VZI312" s="287"/>
      <c r="VZJ312" s="287"/>
      <c r="VZK312" s="287"/>
      <c r="VZL312" s="287"/>
      <c r="VZM312" s="287"/>
      <c r="VZN312" s="287"/>
      <c r="VZO312" s="287"/>
      <c r="VZP312" s="287"/>
      <c r="VZQ312" s="287"/>
      <c r="VZR312" s="287"/>
      <c r="VZS312" s="287"/>
      <c r="VZT312" s="287"/>
      <c r="VZU312" s="287"/>
      <c r="VZV312" s="287"/>
      <c r="VZW312" s="287"/>
      <c r="VZX312" s="287"/>
      <c r="VZY312" s="287"/>
      <c r="VZZ312" s="287"/>
      <c r="WAA312" s="287"/>
      <c r="WAB312" s="287"/>
      <c r="WAC312" s="287"/>
      <c r="WAD312" s="287"/>
      <c r="WAE312" s="287"/>
      <c r="WAF312" s="287"/>
      <c r="WAG312" s="287"/>
      <c r="WAH312" s="287"/>
      <c r="WAI312" s="287"/>
      <c r="WAJ312" s="287"/>
      <c r="WAK312" s="287"/>
      <c r="WAL312" s="287"/>
      <c r="WAM312" s="287"/>
      <c r="WAN312" s="287"/>
      <c r="WAO312" s="287"/>
      <c r="WAP312" s="287"/>
      <c r="WAQ312" s="287"/>
      <c r="WAR312" s="287"/>
      <c r="WAS312" s="287"/>
      <c r="WAT312" s="287"/>
      <c r="WAU312" s="287"/>
      <c r="WAV312" s="287"/>
      <c r="WAW312" s="287"/>
      <c r="WAX312" s="287"/>
      <c r="WAY312" s="287"/>
      <c r="WAZ312" s="287"/>
      <c r="WBA312" s="287"/>
      <c r="WBB312" s="287"/>
      <c r="WBC312" s="287"/>
      <c r="WBD312" s="287"/>
      <c r="WBE312" s="287"/>
      <c r="WBF312" s="287"/>
      <c r="WBG312" s="287"/>
      <c r="WBH312" s="287"/>
      <c r="WBI312" s="287"/>
      <c r="WBJ312" s="287"/>
      <c r="WBK312" s="287"/>
      <c r="WBL312" s="287"/>
      <c r="WBM312" s="287"/>
      <c r="WBN312" s="287"/>
      <c r="WBO312" s="287"/>
      <c r="WBP312" s="287"/>
      <c r="WBQ312" s="287"/>
      <c r="WBR312" s="287"/>
      <c r="WBS312" s="287"/>
      <c r="WBT312" s="287"/>
      <c r="WBU312" s="287"/>
      <c r="WBV312" s="287"/>
      <c r="WBW312" s="287"/>
      <c r="WBX312" s="287"/>
      <c r="WBY312" s="287"/>
      <c r="WBZ312" s="287"/>
      <c r="WCA312" s="287"/>
      <c r="WCB312" s="287"/>
      <c r="WCC312" s="287"/>
      <c r="WCD312" s="287"/>
      <c r="WCE312" s="287"/>
      <c r="WCF312" s="287"/>
      <c r="WCG312" s="287"/>
      <c r="WCH312" s="287"/>
      <c r="WCI312" s="287"/>
      <c r="WCJ312" s="287"/>
      <c r="WCK312" s="287"/>
      <c r="WCL312" s="287"/>
      <c r="WCM312" s="287"/>
      <c r="WCN312" s="287"/>
      <c r="WCO312" s="287"/>
      <c r="WCP312" s="287"/>
      <c r="WCQ312" s="287"/>
      <c r="WCR312" s="287"/>
      <c r="WCS312" s="287"/>
      <c r="WCT312" s="287"/>
      <c r="WCU312" s="287"/>
      <c r="WCV312" s="287"/>
      <c r="WCW312" s="287"/>
      <c r="WCX312" s="287"/>
      <c r="WCY312" s="287"/>
      <c r="WCZ312" s="287"/>
      <c r="WDA312" s="287"/>
      <c r="WDB312" s="287"/>
      <c r="WDC312" s="287"/>
      <c r="WDD312" s="287"/>
      <c r="WDE312" s="287"/>
      <c r="WDF312" s="287"/>
      <c r="WDG312" s="287"/>
      <c r="WDH312" s="287"/>
      <c r="WDI312" s="287"/>
      <c r="WDJ312" s="287"/>
      <c r="WDK312" s="287"/>
      <c r="WDL312" s="287"/>
      <c r="WDM312" s="287"/>
      <c r="WDN312" s="287"/>
      <c r="WDO312" s="287"/>
      <c r="WDP312" s="287"/>
      <c r="WDQ312" s="287"/>
      <c r="WDR312" s="287"/>
      <c r="WDS312" s="287"/>
      <c r="WDT312" s="287"/>
      <c r="WDU312" s="287"/>
      <c r="WDV312" s="287"/>
      <c r="WDW312" s="287"/>
      <c r="WDX312" s="287"/>
      <c r="WDY312" s="287"/>
      <c r="WDZ312" s="287"/>
      <c r="WEA312" s="287"/>
      <c r="WEB312" s="287"/>
      <c r="WEC312" s="287"/>
      <c r="WED312" s="287"/>
      <c r="WEE312" s="287"/>
      <c r="WEF312" s="287"/>
      <c r="WEG312" s="287"/>
      <c r="WEH312" s="287"/>
      <c r="WEI312" s="287"/>
      <c r="WEJ312" s="287"/>
      <c r="WEK312" s="287"/>
      <c r="WEL312" s="287"/>
      <c r="WEM312" s="287"/>
      <c r="WEN312" s="287"/>
      <c r="WEO312" s="287"/>
      <c r="WEP312" s="287"/>
      <c r="WEQ312" s="287"/>
      <c r="WER312" s="287"/>
      <c r="WES312" s="287"/>
      <c r="WET312" s="287"/>
      <c r="WEU312" s="287"/>
      <c r="WEV312" s="287"/>
      <c r="WEW312" s="287"/>
      <c r="WEX312" s="287"/>
      <c r="WEY312" s="287"/>
      <c r="WEZ312" s="287"/>
      <c r="WFA312" s="287"/>
      <c r="WFB312" s="287"/>
      <c r="WFC312" s="287"/>
      <c r="WFD312" s="287"/>
      <c r="WFE312" s="287"/>
      <c r="WFF312" s="287"/>
      <c r="WFG312" s="287"/>
      <c r="WFH312" s="287"/>
      <c r="WFI312" s="287"/>
      <c r="WFJ312" s="287"/>
      <c r="WFK312" s="287"/>
      <c r="WFL312" s="287"/>
      <c r="WFM312" s="287"/>
      <c r="WFN312" s="287"/>
      <c r="WFO312" s="287"/>
      <c r="WFP312" s="287"/>
      <c r="WFQ312" s="287"/>
      <c r="WFR312" s="287"/>
      <c r="WFS312" s="287"/>
      <c r="WFT312" s="287"/>
      <c r="WFU312" s="287"/>
      <c r="WFV312" s="287"/>
      <c r="WFW312" s="287"/>
      <c r="WFX312" s="287"/>
      <c r="WFY312" s="287"/>
      <c r="WFZ312" s="287"/>
      <c r="WGA312" s="287"/>
      <c r="WGB312" s="287"/>
      <c r="WGC312" s="287"/>
      <c r="WGD312" s="287"/>
      <c r="WGE312" s="287"/>
      <c r="WGF312" s="287"/>
      <c r="WGG312" s="287"/>
      <c r="WGH312" s="287"/>
      <c r="WGI312" s="287"/>
      <c r="WGJ312" s="287"/>
      <c r="WGK312" s="287"/>
      <c r="WGL312" s="287"/>
      <c r="WGM312" s="287"/>
      <c r="WGN312" s="287"/>
      <c r="WGO312" s="287"/>
      <c r="WGP312" s="287"/>
      <c r="WGQ312" s="287"/>
      <c r="WGR312" s="287"/>
      <c r="WGS312" s="287"/>
      <c r="WGT312" s="287"/>
      <c r="WGU312" s="287"/>
      <c r="WGV312" s="287"/>
      <c r="WGW312" s="287"/>
      <c r="WGX312" s="287"/>
      <c r="WGY312" s="287"/>
      <c r="WGZ312" s="287"/>
      <c r="WHA312" s="287"/>
      <c r="WHB312" s="287"/>
      <c r="WHC312" s="287"/>
      <c r="WHD312" s="287"/>
      <c r="WHE312" s="287"/>
      <c r="WHF312" s="287"/>
      <c r="WHG312" s="287"/>
      <c r="WHH312" s="287"/>
      <c r="WHI312" s="287"/>
      <c r="WHJ312" s="287"/>
      <c r="WHK312" s="287"/>
      <c r="WHL312" s="287"/>
      <c r="WHM312" s="287"/>
      <c r="WHN312" s="287"/>
      <c r="WHO312" s="287"/>
      <c r="WHP312" s="287"/>
      <c r="WHQ312" s="287"/>
      <c r="WHR312" s="287"/>
      <c r="WHS312" s="287"/>
      <c r="WHT312" s="287"/>
      <c r="WHU312" s="287"/>
      <c r="WHV312" s="287"/>
      <c r="WHW312" s="287"/>
      <c r="WHX312" s="287"/>
      <c r="WHY312" s="287"/>
      <c r="WHZ312" s="287"/>
      <c r="WIA312" s="287"/>
      <c r="WIB312" s="287"/>
      <c r="WIC312" s="287"/>
      <c r="WID312" s="287"/>
      <c r="WIE312" s="287"/>
      <c r="WIF312" s="287"/>
      <c r="WIG312" s="287"/>
      <c r="WIH312" s="287"/>
      <c r="WII312" s="287"/>
      <c r="WIJ312" s="287"/>
      <c r="WIK312" s="287"/>
      <c r="WIL312" s="287"/>
      <c r="WIM312" s="287"/>
      <c r="WIN312" s="287"/>
      <c r="WIO312" s="287"/>
      <c r="WIP312" s="287"/>
      <c r="WIQ312" s="287"/>
      <c r="WIR312" s="287"/>
      <c r="WIS312" s="287"/>
      <c r="WIT312" s="287"/>
      <c r="WIU312" s="287"/>
      <c r="WIV312" s="287"/>
      <c r="WIW312" s="287"/>
      <c r="WIX312" s="287"/>
      <c r="WIY312" s="287"/>
      <c r="WIZ312" s="287"/>
      <c r="WJA312" s="287"/>
      <c r="WJB312" s="287"/>
      <c r="WJC312" s="287"/>
      <c r="WJD312" s="287"/>
      <c r="WJE312" s="287"/>
      <c r="WJF312" s="287"/>
      <c r="WJG312" s="287"/>
      <c r="WJH312" s="287"/>
      <c r="WJI312" s="287"/>
      <c r="WJJ312" s="287"/>
      <c r="WJK312" s="287"/>
      <c r="WJL312" s="287"/>
      <c r="WJM312" s="287"/>
      <c r="WJN312" s="287"/>
      <c r="WJO312" s="287"/>
      <c r="WJP312" s="287"/>
      <c r="WJQ312" s="287"/>
      <c r="WJR312" s="287"/>
      <c r="WJS312" s="287"/>
      <c r="WJT312" s="287"/>
      <c r="WJU312" s="287"/>
      <c r="WJV312" s="287"/>
      <c r="WJW312" s="287"/>
      <c r="WJX312" s="287"/>
      <c r="WJY312" s="287"/>
      <c r="WJZ312" s="287"/>
      <c r="WKA312" s="287"/>
      <c r="WKB312" s="287"/>
      <c r="WKC312" s="287"/>
      <c r="WKD312" s="287"/>
      <c r="WKE312" s="287"/>
      <c r="WKF312" s="287"/>
      <c r="WKG312" s="287"/>
      <c r="WKH312" s="287"/>
      <c r="WKI312" s="287"/>
      <c r="WKJ312" s="287"/>
      <c r="WKK312" s="287"/>
      <c r="WKL312" s="287"/>
      <c r="WKM312" s="287"/>
      <c r="WKN312" s="287"/>
      <c r="WKO312" s="287"/>
      <c r="WKP312" s="287"/>
      <c r="WKQ312" s="287"/>
      <c r="WKR312" s="287"/>
      <c r="WKS312" s="287"/>
      <c r="WKT312" s="287"/>
      <c r="WKU312" s="287"/>
      <c r="WKV312" s="287"/>
      <c r="WKW312" s="287"/>
      <c r="WKX312" s="287"/>
      <c r="WKY312" s="287"/>
      <c r="WKZ312" s="287"/>
      <c r="WLA312" s="287"/>
      <c r="WLB312" s="287"/>
      <c r="WLC312" s="287"/>
      <c r="WLD312" s="287"/>
      <c r="WLE312" s="287"/>
      <c r="WLF312" s="287"/>
      <c r="WLG312" s="287"/>
      <c r="WLH312" s="287"/>
      <c r="WLI312" s="287"/>
      <c r="WLJ312" s="287"/>
      <c r="WLK312" s="287"/>
      <c r="WLL312" s="287"/>
      <c r="WLM312" s="287"/>
      <c r="WLN312" s="287"/>
      <c r="WLO312" s="287"/>
      <c r="WLP312" s="287"/>
      <c r="WLQ312" s="287"/>
      <c r="WLR312" s="287"/>
      <c r="WLS312" s="287"/>
      <c r="WLT312" s="287"/>
      <c r="WLU312" s="287"/>
      <c r="WLV312" s="287"/>
      <c r="WLW312" s="287"/>
      <c r="WLX312" s="287"/>
      <c r="WLY312" s="287"/>
      <c r="WLZ312" s="287"/>
      <c r="WMA312" s="287"/>
      <c r="WMB312" s="287"/>
      <c r="WMC312" s="287"/>
      <c r="WMD312" s="287"/>
      <c r="WME312" s="287"/>
      <c r="WMF312" s="287"/>
      <c r="WMG312" s="287"/>
      <c r="WMH312" s="287"/>
      <c r="WMI312" s="287"/>
      <c r="WMJ312" s="287"/>
      <c r="WMK312" s="287"/>
      <c r="WML312" s="287"/>
      <c r="WMM312" s="287"/>
      <c r="WMN312" s="287"/>
      <c r="WMO312" s="287"/>
      <c r="WMP312" s="287"/>
      <c r="WMQ312" s="287"/>
      <c r="WMR312" s="287"/>
      <c r="WMS312" s="287"/>
      <c r="WMT312" s="287"/>
      <c r="WMU312" s="287"/>
      <c r="WMV312" s="287"/>
      <c r="WMW312" s="287"/>
      <c r="WMX312" s="287"/>
      <c r="WMY312" s="287"/>
      <c r="WMZ312" s="287"/>
      <c r="WNA312" s="287"/>
      <c r="WNB312" s="287"/>
      <c r="WNC312" s="287"/>
      <c r="WND312" s="287"/>
      <c r="WNE312" s="287"/>
      <c r="WNF312" s="287"/>
      <c r="WNG312" s="287"/>
      <c r="WNH312" s="287"/>
      <c r="WNI312" s="287"/>
      <c r="WNJ312" s="287"/>
      <c r="WNK312" s="287"/>
      <c r="WNL312" s="287"/>
      <c r="WNM312" s="287"/>
      <c r="WNN312" s="287"/>
      <c r="WNO312" s="287"/>
      <c r="WNP312" s="287"/>
      <c r="WNQ312" s="287"/>
      <c r="WNR312" s="287"/>
      <c r="WNS312" s="287"/>
      <c r="WNT312" s="287"/>
      <c r="WNU312" s="287"/>
      <c r="WNV312" s="287"/>
      <c r="WNW312" s="287"/>
      <c r="WNX312" s="287"/>
      <c r="WNY312" s="287"/>
      <c r="WNZ312" s="287"/>
      <c r="WOA312" s="287"/>
      <c r="WOB312" s="287"/>
      <c r="WOC312" s="287"/>
      <c r="WOD312" s="287"/>
      <c r="WOE312" s="287"/>
      <c r="WOF312" s="287"/>
      <c r="WOG312" s="287"/>
      <c r="WOH312" s="287"/>
      <c r="WOI312" s="287"/>
      <c r="WOJ312" s="287"/>
      <c r="WOK312" s="287"/>
      <c r="WOL312" s="287"/>
      <c r="WOM312" s="287"/>
      <c r="WON312" s="287"/>
      <c r="WOO312" s="287"/>
      <c r="WOP312" s="287"/>
      <c r="WOQ312" s="287"/>
      <c r="WOR312" s="287"/>
      <c r="WOS312" s="287"/>
      <c r="WOT312" s="287"/>
      <c r="WOU312" s="287"/>
      <c r="WOV312" s="287"/>
      <c r="WOW312" s="287"/>
      <c r="WOX312" s="287"/>
      <c r="WOY312" s="287"/>
      <c r="WOZ312" s="287"/>
      <c r="WPA312" s="287"/>
      <c r="WPB312" s="287"/>
      <c r="WPC312" s="287"/>
      <c r="WPD312" s="287"/>
      <c r="WPE312" s="287"/>
      <c r="WPF312" s="287"/>
      <c r="WPG312" s="287"/>
      <c r="WPH312" s="287"/>
      <c r="WPI312" s="287"/>
      <c r="WPJ312" s="287"/>
      <c r="WPK312" s="287"/>
      <c r="WPL312" s="287"/>
      <c r="WPM312" s="287"/>
      <c r="WPN312" s="287"/>
      <c r="WPO312" s="287"/>
      <c r="WPP312" s="287"/>
      <c r="WPQ312" s="287"/>
      <c r="WPR312" s="287"/>
      <c r="WPS312" s="287"/>
      <c r="WPT312" s="287"/>
      <c r="WPU312" s="287"/>
      <c r="WPV312" s="287"/>
      <c r="WPW312" s="287"/>
      <c r="WPX312" s="287"/>
      <c r="WPY312" s="287"/>
      <c r="WPZ312" s="287"/>
      <c r="WQA312" s="287"/>
      <c r="WQB312" s="287"/>
      <c r="WQC312" s="287"/>
      <c r="WQD312" s="287"/>
      <c r="WQE312" s="287"/>
      <c r="WQF312" s="287"/>
      <c r="WQG312" s="287"/>
      <c r="WQH312" s="287"/>
      <c r="WQI312" s="287"/>
      <c r="WQJ312" s="287"/>
      <c r="WQK312" s="287"/>
      <c r="WQL312" s="287"/>
      <c r="WQM312" s="287"/>
      <c r="WQN312" s="287"/>
      <c r="WQO312" s="287"/>
      <c r="WQP312" s="287"/>
      <c r="WQQ312" s="287"/>
      <c r="WQR312" s="287"/>
      <c r="WQS312" s="287"/>
      <c r="WQT312" s="287"/>
      <c r="WQU312" s="287"/>
      <c r="WQV312" s="287"/>
      <c r="WQW312" s="287"/>
      <c r="WQX312" s="287"/>
      <c r="WQY312" s="287"/>
      <c r="WQZ312" s="287"/>
      <c r="WRA312" s="287"/>
      <c r="WRB312" s="287"/>
      <c r="WRC312" s="287"/>
      <c r="WRD312" s="287"/>
      <c r="WRE312" s="287"/>
      <c r="WRF312" s="287"/>
      <c r="WRG312" s="287"/>
      <c r="WRH312" s="287"/>
      <c r="WRI312" s="287"/>
      <c r="WRJ312" s="287"/>
      <c r="WRK312" s="287"/>
      <c r="WRL312" s="287"/>
      <c r="WRM312" s="287"/>
      <c r="WRN312" s="287"/>
      <c r="WRO312" s="287"/>
      <c r="WRP312" s="287"/>
      <c r="WRQ312" s="287"/>
      <c r="WRR312" s="287"/>
      <c r="WRS312" s="287"/>
      <c r="WRT312" s="287"/>
      <c r="WRU312" s="287"/>
      <c r="WRV312" s="287"/>
      <c r="WRW312" s="287"/>
      <c r="WRX312" s="287"/>
      <c r="WRY312" s="287"/>
      <c r="WRZ312" s="287"/>
      <c r="WSA312" s="287"/>
      <c r="WSB312" s="287"/>
      <c r="WSC312" s="287"/>
      <c r="WSD312" s="287"/>
      <c r="WSE312" s="287"/>
      <c r="WSF312" s="287"/>
      <c r="WSG312" s="287"/>
      <c r="WSH312" s="287"/>
      <c r="WSI312" s="287"/>
      <c r="WSJ312" s="287"/>
      <c r="WSK312" s="287"/>
      <c r="WSL312" s="287"/>
      <c r="WSM312" s="287"/>
      <c r="WSN312" s="287"/>
      <c r="WSO312" s="287"/>
      <c r="WSP312" s="287"/>
      <c r="WSQ312" s="287"/>
      <c r="WSR312" s="287"/>
      <c r="WSS312" s="287"/>
      <c r="WST312" s="287"/>
      <c r="WSU312" s="287"/>
      <c r="WSV312" s="287"/>
      <c r="WSW312" s="287"/>
      <c r="WSX312" s="287"/>
      <c r="WSY312" s="287"/>
      <c r="WSZ312" s="287"/>
      <c r="WTA312" s="287"/>
      <c r="WTB312" s="287"/>
      <c r="WTC312" s="287"/>
      <c r="WTD312" s="287"/>
      <c r="WTE312" s="287"/>
      <c r="WTF312" s="287"/>
      <c r="WTG312" s="287"/>
      <c r="WTH312" s="287"/>
      <c r="WTI312" s="287"/>
      <c r="WTJ312" s="287"/>
      <c r="WTK312" s="287"/>
      <c r="WTL312" s="287"/>
      <c r="WTM312" s="287"/>
      <c r="WTN312" s="287"/>
      <c r="WTO312" s="287"/>
      <c r="WTP312" s="287"/>
      <c r="WTQ312" s="287"/>
      <c r="WTR312" s="287"/>
      <c r="WTS312" s="287"/>
      <c r="WTT312" s="287"/>
      <c r="WTU312" s="287"/>
      <c r="WTV312" s="287"/>
      <c r="WTW312" s="287"/>
      <c r="WTX312" s="287"/>
      <c r="WTY312" s="287"/>
      <c r="WTZ312" s="287"/>
      <c r="WUA312" s="287"/>
      <c r="WUB312" s="287"/>
      <c r="WUC312" s="287"/>
      <c r="WUD312" s="287"/>
      <c r="WUE312" s="287"/>
      <c r="WUF312" s="287"/>
      <c r="WUG312" s="287"/>
      <c r="WUH312" s="287"/>
      <c r="WUI312" s="287"/>
      <c r="WUJ312" s="287"/>
      <c r="WUK312" s="287"/>
      <c r="WUL312" s="287"/>
      <c r="WUM312" s="287"/>
      <c r="WUN312" s="287"/>
      <c r="WUO312" s="287"/>
      <c r="WUP312" s="287"/>
      <c r="WUQ312" s="287"/>
      <c r="WUR312" s="287"/>
      <c r="WUS312" s="287"/>
      <c r="WUT312" s="287"/>
      <c r="WUU312" s="287"/>
      <c r="WUV312" s="287"/>
      <c r="WUW312" s="287"/>
      <c r="WUX312" s="287"/>
      <c r="WUY312" s="287"/>
      <c r="WUZ312" s="287"/>
      <c r="WVA312" s="287"/>
      <c r="WVB312" s="287"/>
      <c r="WVC312" s="287"/>
      <c r="WVD312" s="287"/>
      <c r="WVE312" s="287"/>
      <c r="WVF312" s="287"/>
      <c r="WVG312" s="287"/>
      <c r="WVH312" s="287"/>
      <c r="WVI312" s="287"/>
      <c r="WVJ312" s="287"/>
      <c r="WVK312" s="287"/>
      <c r="WVL312" s="287"/>
      <c r="WVM312" s="287"/>
      <c r="WVN312" s="287"/>
      <c r="WVO312" s="287"/>
      <c r="WVP312" s="287"/>
      <c r="WVQ312" s="287"/>
      <c r="WVR312" s="287"/>
      <c r="WVS312" s="287"/>
      <c r="WVT312" s="287"/>
      <c r="WVU312" s="287"/>
      <c r="WVV312" s="287"/>
      <c r="WVW312" s="287"/>
      <c r="WVX312" s="287"/>
      <c r="WVY312" s="287"/>
      <c r="WVZ312" s="287"/>
      <c r="WWA312" s="287"/>
      <c r="WWB312" s="287"/>
      <c r="WWC312" s="287"/>
      <c r="WWD312" s="287"/>
      <c r="WWE312" s="287"/>
      <c r="WWF312" s="287"/>
      <c r="WWG312" s="287"/>
      <c r="WWH312" s="287"/>
      <c r="WWI312" s="287"/>
      <c r="WWJ312" s="287"/>
      <c r="WWK312" s="287"/>
      <c r="WWL312" s="287"/>
      <c r="WWM312" s="287"/>
      <c r="WWN312" s="287"/>
      <c r="WWO312" s="287"/>
      <c r="WWP312" s="287"/>
      <c r="WWQ312" s="287"/>
      <c r="WWR312" s="287"/>
      <c r="WWS312" s="287"/>
      <c r="WWT312" s="287"/>
      <c r="WWU312" s="287"/>
      <c r="WWV312" s="287"/>
      <c r="WWW312" s="287"/>
      <c r="WWX312" s="287"/>
      <c r="WWY312" s="287"/>
      <c r="WWZ312" s="287"/>
      <c r="WXA312" s="287"/>
      <c r="WXB312" s="287"/>
      <c r="WXC312" s="287"/>
      <c r="WXD312" s="287"/>
      <c r="WXE312" s="287"/>
      <c r="WXF312" s="287"/>
      <c r="WXG312" s="287"/>
      <c r="WXH312" s="287"/>
      <c r="WXI312" s="287"/>
      <c r="WXJ312" s="287"/>
      <c r="WXK312" s="287"/>
      <c r="WXL312" s="287"/>
      <c r="WXM312" s="287"/>
      <c r="WXN312" s="287"/>
      <c r="WXO312" s="287"/>
      <c r="WXP312" s="287"/>
      <c r="WXQ312" s="287"/>
      <c r="WXR312" s="287"/>
      <c r="WXS312" s="287"/>
      <c r="WXT312" s="287"/>
      <c r="WXU312" s="287"/>
      <c r="WXV312" s="287"/>
      <c r="WXW312" s="287"/>
      <c r="WXX312" s="287"/>
      <c r="WXY312" s="287"/>
      <c r="WXZ312" s="287"/>
      <c r="WYA312" s="287"/>
      <c r="WYB312" s="287"/>
      <c r="WYC312" s="287"/>
      <c r="WYD312" s="287"/>
      <c r="WYE312" s="287"/>
      <c r="WYF312" s="287"/>
      <c r="WYG312" s="287"/>
      <c r="WYH312" s="287"/>
      <c r="WYI312" s="287"/>
      <c r="WYJ312" s="287"/>
      <c r="WYK312" s="287"/>
      <c r="WYL312" s="287"/>
      <c r="WYM312" s="287"/>
      <c r="WYN312" s="287"/>
      <c r="WYO312" s="287"/>
      <c r="WYP312" s="287"/>
      <c r="WYQ312" s="287"/>
      <c r="WYR312" s="287"/>
      <c r="WYS312" s="287"/>
      <c r="WYT312" s="287"/>
      <c r="WYU312" s="287"/>
      <c r="WYV312" s="287"/>
      <c r="WYW312" s="287"/>
      <c r="WYX312" s="287"/>
      <c r="WYY312" s="287"/>
      <c r="WYZ312" s="287"/>
      <c r="WZA312" s="287"/>
      <c r="WZB312" s="287"/>
      <c r="WZC312" s="287"/>
      <c r="WZD312" s="287"/>
      <c r="WZE312" s="287"/>
      <c r="WZF312" s="287"/>
      <c r="WZG312" s="287"/>
      <c r="WZH312" s="287"/>
      <c r="WZI312" s="287"/>
      <c r="WZJ312" s="287"/>
      <c r="WZK312" s="287"/>
      <c r="WZL312" s="287"/>
      <c r="WZM312" s="287"/>
      <c r="WZN312" s="287"/>
      <c r="WZO312" s="287"/>
      <c r="WZP312" s="287"/>
      <c r="WZQ312" s="287"/>
      <c r="WZR312" s="287"/>
      <c r="WZS312" s="287"/>
      <c r="WZT312" s="287"/>
      <c r="WZU312" s="287"/>
      <c r="WZV312" s="287"/>
      <c r="WZW312" s="287"/>
      <c r="WZX312" s="287"/>
      <c r="WZY312" s="287"/>
      <c r="WZZ312" s="287"/>
      <c r="XAA312" s="287"/>
      <c r="XAB312" s="287"/>
      <c r="XAC312" s="287"/>
      <c r="XAD312" s="287"/>
      <c r="XAE312" s="287"/>
      <c r="XAF312" s="287"/>
      <c r="XAG312" s="287"/>
      <c r="XAH312" s="287"/>
      <c r="XAI312" s="287"/>
      <c r="XAJ312" s="287"/>
      <c r="XAK312" s="287"/>
      <c r="XAL312" s="287"/>
      <c r="XAM312" s="287"/>
      <c r="XAN312" s="287"/>
      <c r="XAO312" s="287"/>
      <c r="XAP312" s="287"/>
      <c r="XAQ312" s="287"/>
      <c r="XAR312" s="287"/>
      <c r="XAS312" s="287"/>
      <c r="XAT312" s="287"/>
      <c r="XAU312" s="287"/>
      <c r="XAV312" s="287"/>
      <c r="XAW312" s="287"/>
      <c r="XAX312" s="287"/>
      <c r="XAY312" s="287"/>
      <c r="XAZ312" s="287"/>
      <c r="XBA312" s="287"/>
      <c r="XBB312" s="287"/>
      <c r="XBC312" s="287"/>
      <c r="XBD312" s="287"/>
      <c r="XBE312" s="287"/>
      <c r="XBF312" s="287"/>
      <c r="XBG312" s="287"/>
      <c r="XBH312" s="287"/>
      <c r="XBI312" s="287"/>
      <c r="XBJ312" s="287"/>
      <c r="XBK312" s="287"/>
      <c r="XBL312" s="287"/>
      <c r="XBM312" s="287"/>
      <c r="XBN312" s="287"/>
      <c r="XBO312" s="287"/>
      <c r="XBP312" s="287"/>
      <c r="XBQ312" s="287"/>
      <c r="XBR312" s="287"/>
      <c r="XBS312" s="287"/>
      <c r="XBT312" s="287"/>
      <c r="XBU312" s="287"/>
      <c r="XBV312" s="287"/>
      <c r="XBW312" s="287"/>
      <c r="XBX312" s="287"/>
      <c r="XBY312" s="287"/>
      <c r="XBZ312" s="287"/>
      <c r="XCA312" s="287"/>
      <c r="XCB312" s="287"/>
      <c r="XCC312" s="287"/>
      <c r="XCD312" s="287"/>
      <c r="XCE312" s="287"/>
      <c r="XCF312" s="287"/>
      <c r="XCG312" s="287"/>
      <c r="XCH312" s="287"/>
      <c r="XCI312" s="287"/>
      <c r="XCJ312" s="287"/>
      <c r="XCK312" s="287"/>
      <c r="XCL312" s="287"/>
      <c r="XCM312" s="287"/>
      <c r="XCN312" s="287"/>
      <c r="XCO312" s="287"/>
      <c r="XCP312" s="287"/>
      <c r="XCQ312" s="287"/>
      <c r="XCR312" s="287"/>
      <c r="XCS312" s="287"/>
      <c r="XCT312" s="287"/>
      <c r="XCU312" s="287"/>
      <c r="XCV312" s="287"/>
      <c r="XCW312" s="287"/>
      <c r="XCX312" s="287"/>
      <c r="XCY312" s="287"/>
      <c r="XCZ312" s="287"/>
      <c r="XDA312" s="287"/>
      <c r="XDB312" s="287"/>
      <c r="XDC312" s="287"/>
      <c r="XDD312" s="287"/>
      <c r="XDE312" s="287"/>
      <c r="XDF312" s="287"/>
      <c r="XDG312" s="287"/>
      <c r="XDH312" s="287"/>
      <c r="XDI312" s="287"/>
      <c r="XDJ312" s="287"/>
      <c r="XDK312" s="287"/>
      <c r="XDL312" s="287"/>
      <c r="XDM312" s="287"/>
      <c r="XDN312" s="287"/>
      <c r="XDO312" s="287"/>
      <c r="XDP312" s="287"/>
      <c r="XDQ312" s="287"/>
      <c r="XDR312" s="287"/>
      <c r="XDS312" s="287"/>
      <c r="XDT312" s="287"/>
      <c r="XDU312" s="287"/>
      <c r="XDV312" s="287"/>
      <c r="XDW312" s="287"/>
      <c r="XDX312" s="287"/>
      <c r="XDY312" s="287"/>
      <c r="XDZ312" s="287"/>
      <c r="XEA312" s="287"/>
      <c r="XEB312" s="287"/>
      <c r="XEC312" s="287"/>
      <c r="XED312" s="287"/>
      <c r="XEE312" s="287"/>
      <c r="XEF312" s="287"/>
      <c r="XEG312" s="287"/>
      <c r="XEH312" s="287"/>
      <c r="XEI312" s="287"/>
      <c r="XEJ312" s="287"/>
      <c r="XEK312" s="287"/>
      <c r="XEL312" s="287"/>
      <c r="XEM312" s="287"/>
      <c r="XEN312" s="287"/>
      <c r="XEO312" s="287"/>
      <c r="XEP312" s="287"/>
      <c r="XEQ312" s="287"/>
      <c r="XER312" s="287"/>
      <c r="XES312" s="287"/>
      <c r="XET312" s="287"/>
      <c r="XEU312" s="287"/>
      <c r="XEV312" s="287"/>
      <c r="XEW312" s="287"/>
      <c r="XEX312" s="287"/>
      <c r="XEY312" s="287"/>
      <c r="XEZ312" s="287"/>
      <c r="XFA312" s="287"/>
      <c r="XFB312" s="287"/>
      <c r="XFC312" s="287"/>
      <c r="XFD312" s="287"/>
    </row>
    <row r="313" spans="2:16384" ht="27" thickBot="1">
      <c r="B313" s="211"/>
      <c r="C313" s="333" t="s">
        <v>180</v>
      </c>
      <c r="D313" s="333"/>
      <c r="E313" s="333"/>
      <c r="F313" s="211"/>
      <c r="G313" s="211"/>
      <c r="H313" s="211"/>
      <c r="I313" s="211"/>
      <c r="J313" s="66" t="str">
        <f>"Approved "&amp;'Model update'!$B$8&amp;" rates"</f>
        <v>Approved 2020-21 rates</v>
      </c>
      <c r="K313" s="66" t="str">
        <f>'Model update'!$B$7&amp;" rates"</f>
        <v>2021-22 rates</v>
      </c>
      <c r="L313" s="211"/>
      <c r="M313" s="211"/>
      <c r="AB313" s="287"/>
      <c r="AC313" s="287"/>
      <c r="AD313" s="287"/>
      <c r="AE313" s="287"/>
      <c r="AF313" s="287"/>
      <c r="AG313" s="287"/>
      <c r="AH313" s="287"/>
      <c r="AI313" s="287"/>
      <c r="AJ313" s="287"/>
      <c r="AK313" s="287"/>
      <c r="AL313" s="287"/>
      <c r="AM313" s="287"/>
      <c r="AN313" s="287"/>
      <c r="AO313" s="287"/>
      <c r="AP313" s="287"/>
      <c r="AQ313" s="287"/>
      <c r="AR313" s="287"/>
      <c r="AS313" s="287"/>
      <c r="AT313" s="287"/>
      <c r="AU313" s="287"/>
      <c r="AV313" s="287"/>
      <c r="AW313" s="287"/>
      <c r="AX313" s="287"/>
      <c r="AY313" s="287"/>
      <c r="AZ313" s="287"/>
      <c r="BA313" s="287"/>
      <c r="BB313" s="287"/>
      <c r="BC313" s="287"/>
      <c r="BD313" s="287"/>
      <c r="BE313" s="287"/>
      <c r="BF313" s="287"/>
      <c r="BG313" s="287"/>
      <c r="BH313" s="287"/>
      <c r="BI313" s="287"/>
      <c r="BJ313" s="287"/>
      <c r="BK313" s="287"/>
      <c r="BL313" s="287"/>
      <c r="BM313" s="287"/>
      <c r="BN313" s="287"/>
      <c r="BO313" s="287"/>
      <c r="BP313" s="287"/>
      <c r="BQ313" s="287"/>
      <c r="BR313" s="287"/>
      <c r="BS313" s="287"/>
      <c r="BT313" s="287"/>
      <c r="BU313" s="287"/>
      <c r="BV313" s="287"/>
      <c r="BW313" s="287"/>
      <c r="BX313" s="287"/>
      <c r="BY313" s="287"/>
      <c r="BZ313" s="287"/>
      <c r="CA313" s="287"/>
      <c r="CB313" s="287"/>
      <c r="CC313" s="287"/>
      <c r="CD313" s="287"/>
      <c r="CE313" s="287"/>
      <c r="CF313" s="287"/>
      <c r="CG313" s="287"/>
      <c r="CH313" s="287"/>
      <c r="CI313" s="287"/>
      <c r="CJ313" s="287"/>
      <c r="CK313" s="287"/>
      <c r="CL313" s="287"/>
      <c r="CM313" s="287"/>
      <c r="CN313" s="287"/>
      <c r="CO313" s="287"/>
      <c r="CP313" s="287"/>
      <c r="CQ313" s="287"/>
      <c r="CR313" s="287"/>
      <c r="CS313" s="287"/>
      <c r="CT313" s="287"/>
      <c r="CU313" s="287"/>
      <c r="CV313" s="287"/>
      <c r="CW313" s="287"/>
      <c r="CX313" s="287"/>
      <c r="CY313" s="287"/>
      <c r="CZ313" s="287"/>
      <c r="DA313" s="287"/>
      <c r="DB313" s="287"/>
      <c r="DC313" s="287"/>
      <c r="DD313" s="287"/>
      <c r="DE313" s="287"/>
      <c r="DF313" s="287"/>
      <c r="DG313" s="287"/>
      <c r="DH313" s="287"/>
      <c r="DI313" s="287"/>
      <c r="DJ313" s="287"/>
      <c r="DK313" s="287"/>
      <c r="DL313" s="287"/>
      <c r="DM313" s="287"/>
      <c r="DN313" s="287"/>
      <c r="DO313" s="287"/>
      <c r="DP313" s="287"/>
      <c r="DQ313" s="287"/>
      <c r="DR313" s="287"/>
      <c r="DS313" s="287"/>
      <c r="DT313" s="287"/>
      <c r="DU313" s="287"/>
      <c r="DV313" s="287"/>
      <c r="DW313" s="287"/>
      <c r="DX313" s="287"/>
      <c r="DY313" s="287"/>
      <c r="DZ313" s="287"/>
      <c r="EA313" s="287"/>
      <c r="EB313" s="287"/>
      <c r="EC313" s="287"/>
      <c r="ED313" s="287"/>
      <c r="EE313" s="287"/>
      <c r="EF313" s="287"/>
      <c r="EG313" s="287"/>
      <c r="EH313" s="287"/>
      <c r="EI313" s="287"/>
      <c r="EJ313" s="287"/>
      <c r="EK313" s="287"/>
      <c r="EL313" s="287"/>
      <c r="EM313" s="287"/>
      <c r="EN313" s="287"/>
      <c r="EO313" s="287"/>
      <c r="EP313" s="287"/>
      <c r="EQ313" s="287"/>
      <c r="ER313" s="287"/>
      <c r="ES313" s="287"/>
      <c r="ET313" s="287"/>
      <c r="EU313" s="287"/>
      <c r="EV313" s="287"/>
      <c r="EW313" s="287"/>
      <c r="EX313" s="287"/>
      <c r="EY313" s="287"/>
      <c r="EZ313" s="287"/>
      <c r="FA313" s="287"/>
      <c r="FB313" s="287"/>
      <c r="FC313" s="287"/>
      <c r="FD313" s="287"/>
      <c r="FE313" s="287"/>
      <c r="FF313" s="287"/>
      <c r="FG313" s="287"/>
      <c r="FH313" s="287"/>
      <c r="FI313" s="287"/>
      <c r="FJ313" s="287"/>
      <c r="FK313" s="287"/>
      <c r="FL313" s="287"/>
      <c r="FM313" s="287"/>
      <c r="FN313" s="287"/>
      <c r="FO313" s="287"/>
      <c r="FP313" s="287"/>
      <c r="FQ313" s="287"/>
      <c r="FR313" s="287"/>
      <c r="FS313" s="287"/>
      <c r="FT313" s="287"/>
      <c r="FU313" s="287"/>
      <c r="FV313" s="287"/>
      <c r="FW313" s="287"/>
      <c r="FX313" s="287"/>
      <c r="FY313" s="287"/>
      <c r="FZ313" s="287"/>
      <c r="GA313" s="287"/>
      <c r="GB313" s="287"/>
      <c r="GC313" s="287"/>
      <c r="GD313" s="287"/>
      <c r="GE313" s="287"/>
      <c r="GF313" s="287"/>
      <c r="GG313" s="287"/>
      <c r="GH313" s="287"/>
      <c r="GI313" s="287"/>
      <c r="GJ313" s="287"/>
      <c r="GK313" s="287"/>
      <c r="GL313" s="287"/>
      <c r="GM313" s="287"/>
      <c r="GN313" s="287"/>
      <c r="GO313" s="287"/>
      <c r="GP313" s="287"/>
      <c r="GQ313" s="287"/>
      <c r="GR313" s="287"/>
      <c r="GS313" s="287"/>
      <c r="GT313" s="287"/>
      <c r="GU313" s="287"/>
      <c r="GV313" s="287"/>
      <c r="GW313" s="287"/>
      <c r="GX313" s="287"/>
      <c r="GY313" s="287"/>
      <c r="GZ313" s="287"/>
      <c r="HA313" s="287"/>
      <c r="HB313" s="287"/>
      <c r="HC313" s="287"/>
      <c r="HD313" s="287"/>
      <c r="HE313" s="287"/>
      <c r="HF313" s="287"/>
      <c r="HG313" s="287"/>
      <c r="HH313" s="287"/>
      <c r="HI313" s="287"/>
      <c r="HJ313" s="287"/>
      <c r="HK313" s="287"/>
      <c r="HL313" s="287"/>
      <c r="HM313" s="287"/>
      <c r="HN313" s="287"/>
      <c r="HO313" s="287"/>
      <c r="HP313" s="287"/>
      <c r="HQ313" s="287"/>
      <c r="HR313" s="287"/>
      <c r="HS313" s="287"/>
      <c r="HT313" s="287"/>
      <c r="HU313" s="287"/>
      <c r="HV313" s="287"/>
      <c r="HW313" s="287"/>
      <c r="HX313" s="287"/>
      <c r="HY313" s="287"/>
      <c r="HZ313" s="287"/>
      <c r="IA313" s="287"/>
      <c r="IB313" s="287"/>
      <c r="IC313" s="287"/>
      <c r="ID313" s="287"/>
      <c r="IE313" s="287"/>
      <c r="IF313" s="287"/>
      <c r="IG313" s="287"/>
      <c r="IH313" s="287"/>
      <c r="II313" s="287"/>
      <c r="IJ313" s="287"/>
      <c r="IK313" s="287"/>
      <c r="IL313" s="287"/>
      <c r="IM313" s="287"/>
      <c r="IN313" s="287"/>
      <c r="IO313" s="287"/>
      <c r="IP313" s="287"/>
      <c r="IQ313" s="287"/>
      <c r="IR313" s="287"/>
      <c r="IS313" s="287"/>
      <c r="IT313" s="287"/>
      <c r="IU313" s="287"/>
      <c r="IV313" s="287"/>
      <c r="IW313" s="287"/>
      <c r="IX313" s="287"/>
      <c r="IY313" s="287"/>
      <c r="IZ313" s="287"/>
      <c r="JA313" s="287"/>
      <c r="JB313" s="287"/>
      <c r="JC313" s="287"/>
      <c r="JD313" s="287"/>
      <c r="JE313" s="287"/>
      <c r="JF313" s="287"/>
      <c r="JG313" s="287"/>
      <c r="JH313" s="287"/>
      <c r="JI313" s="287"/>
      <c r="JJ313" s="287"/>
      <c r="JK313" s="287"/>
      <c r="JL313" s="287"/>
      <c r="JM313" s="287"/>
      <c r="JN313" s="287"/>
      <c r="JO313" s="287"/>
      <c r="JP313" s="287"/>
      <c r="JQ313" s="287"/>
      <c r="JR313" s="287"/>
      <c r="JS313" s="287"/>
      <c r="JT313" s="287"/>
      <c r="JU313" s="287"/>
      <c r="JV313" s="287"/>
      <c r="JW313" s="287"/>
      <c r="JX313" s="287"/>
      <c r="JY313" s="287"/>
      <c r="JZ313" s="287"/>
      <c r="KA313" s="287"/>
      <c r="KB313" s="287"/>
      <c r="KC313" s="287"/>
      <c r="KD313" s="287"/>
      <c r="KE313" s="287"/>
      <c r="KF313" s="287"/>
      <c r="KG313" s="287"/>
      <c r="KH313" s="287"/>
      <c r="KI313" s="287"/>
      <c r="KJ313" s="287"/>
      <c r="KK313" s="287"/>
      <c r="KL313" s="287"/>
      <c r="KM313" s="287"/>
      <c r="KN313" s="287"/>
      <c r="KO313" s="287"/>
      <c r="KP313" s="287"/>
      <c r="KQ313" s="287"/>
      <c r="KR313" s="287"/>
      <c r="KS313" s="287"/>
      <c r="KT313" s="287"/>
      <c r="KU313" s="287"/>
      <c r="KV313" s="287"/>
      <c r="KW313" s="287"/>
      <c r="KX313" s="287"/>
      <c r="KY313" s="287"/>
      <c r="KZ313" s="287"/>
      <c r="LA313" s="287"/>
      <c r="LB313" s="287"/>
      <c r="LC313" s="287"/>
      <c r="LD313" s="287"/>
      <c r="LE313" s="287"/>
      <c r="LF313" s="287"/>
      <c r="LG313" s="287"/>
      <c r="LH313" s="287"/>
      <c r="LI313" s="287"/>
      <c r="LJ313" s="287"/>
      <c r="LK313" s="287"/>
      <c r="LL313" s="287"/>
      <c r="LM313" s="287"/>
      <c r="LN313" s="287"/>
      <c r="LO313" s="287"/>
      <c r="LP313" s="287"/>
      <c r="LQ313" s="287"/>
      <c r="LR313" s="287"/>
      <c r="LS313" s="287"/>
      <c r="LT313" s="287"/>
      <c r="LU313" s="287"/>
      <c r="LV313" s="287"/>
      <c r="LW313" s="287"/>
      <c r="LX313" s="287"/>
      <c r="LY313" s="287"/>
      <c r="LZ313" s="287"/>
      <c r="MA313" s="287"/>
      <c r="MB313" s="287"/>
      <c r="MC313" s="287"/>
      <c r="MD313" s="287"/>
      <c r="ME313" s="287"/>
      <c r="MF313" s="287"/>
      <c r="MG313" s="287"/>
      <c r="MH313" s="287"/>
      <c r="MI313" s="287"/>
      <c r="MJ313" s="287"/>
      <c r="MK313" s="287"/>
      <c r="ML313" s="287"/>
      <c r="MM313" s="287"/>
      <c r="MN313" s="287"/>
      <c r="MO313" s="287"/>
      <c r="MP313" s="287"/>
      <c r="MQ313" s="287"/>
      <c r="MR313" s="287"/>
      <c r="MS313" s="287"/>
      <c r="MT313" s="287"/>
      <c r="MU313" s="287"/>
      <c r="MV313" s="287"/>
      <c r="MW313" s="287"/>
      <c r="MX313" s="287"/>
      <c r="MY313" s="287"/>
      <c r="MZ313" s="287"/>
      <c r="NA313" s="287"/>
      <c r="NB313" s="287"/>
      <c r="NC313" s="287"/>
      <c r="ND313" s="287"/>
      <c r="NE313" s="287"/>
      <c r="NF313" s="287"/>
      <c r="NG313" s="287"/>
      <c r="NH313" s="287"/>
      <c r="NI313" s="287"/>
      <c r="NJ313" s="287"/>
      <c r="NK313" s="287"/>
      <c r="NL313" s="287"/>
      <c r="NM313" s="287"/>
      <c r="NN313" s="287"/>
      <c r="NO313" s="287"/>
      <c r="NP313" s="287"/>
      <c r="NQ313" s="287"/>
      <c r="NR313" s="287"/>
      <c r="NS313" s="287"/>
      <c r="NT313" s="287"/>
      <c r="NU313" s="287"/>
      <c r="NV313" s="287"/>
      <c r="NW313" s="287"/>
      <c r="NX313" s="287"/>
      <c r="NY313" s="287"/>
      <c r="NZ313" s="287"/>
      <c r="OA313" s="287"/>
      <c r="OB313" s="287"/>
      <c r="OC313" s="287"/>
      <c r="OD313" s="287"/>
      <c r="OE313" s="287"/>
      <c r="OF313" s="287"/>
      <c r="OG313" s="287"/>
      <c r="OH313" s="287"/>
      <c r="OI313" s="287"/>
      <c r="OJ313" s="287"/>
      <c r="OK313" s="287"/>
      <c r="OL313" s="287"/>
      <c r="OM313" s="287"/>
      <c r="ON313" s="287"/>
      <c r="OO313" s="287"/>
      <c r="OP313" s="287"/>
      <c r="OQ313" s="287"/>
      <c r="OR313" s="287"/>
      <c r="OS313" s="287"/>
      <c r="OT313" s="287"/>
      <c r="OU313" s="287"/>
      <c r="OV313" s="287"/>
      <c r="OW313" s="287"/>
      <c r="OX313" s="287"/>
      <c r="OY313" s="287"/>
      <c r="OZ313" s="287"/>
      <c r="PA313" s="287"/>
      <c r="PB313" s="287"/>
      <c r="PC313" s="287"/>
      <c r="PD313" s="287"/>
      <c r="PE313" s="287"/>
      <c r="PF313" s="287"/>
      <c r="PG313" s="287"/>
      <c r="PH313" s="287"/>
      <c r="PI313" s="287"/>
      <c r="PJ313" s="287"/>
      <c r="PK313" s="287"/>
      <c r="PL313" s="287"/>
      <c r="PM313" s="287"/>
      <c r="PN313" s="287"/>
      <c r="PO313" s="287"/>
      <c r="PP313" s="287"/>
      <c r="PQ313" s="287"/>
      <c r="PR313" s="287"/>
      <c r="PS313" s="287"/>
      <c r="PT313" s="287"/>
      <c r="PU313" s="287"/>
      <c r="PV313" s="287"/>
      <c r="PW313" s="287"/>
      <c r="PX313" s="287"/>
      <c r="PY313" s="287"/>
      <c r="PZ313" s="287"/>
      <c r="QA313" s="287"/>
      <c r="QB313" s="287"/>
      <c r="QC313" s="287"/>
      <c r="QD313" s="287"/>
      <c r="QE313" s="287"/>
      <c r="QF313" s="287"/>
      <c r="QG313" s="287"/>
      <c r="QH313" s="287"/>
      <c r="QI313" s="287"/>
      <c r="QJ313" s="287"/>
      <c r="QK313" s="287"/>
      <c r="QL313" s="287"/>
      <c r="QM313" s="287"/>
      <c r="QN313" s="287"/>
      <c r="QO313" s="287"/>
      <c r="QP313" s="287"/>
      <c r="QQ313" s="287"/>
      <c r="QR313" s="287"/>
      <c r="QS313" s="287"/>
      <c r="QT313" s="287"/>
      <c r="QU313" s="287"/>
      <c r="QV313" s="287"/>
      <c r="QW313" s="287"/>
      <c r="QX313" s="287"/>
      <c r="QY313" s="287"/>
      <c r="QZ313" s="287"/>
      <c r="RA313" s="287"/>
      <c r="RB313" s="287"/>
      <c r="RC313" s="287"/>
      <c r="RD313" s="287"/>
      <c r="RE313" s="287"/>
      <c r="RF313" s="287"/>
      <c r="RG313" s="287"/>
      <c r="RH313" s="287"/>
      <c r="RI313" s="287"/>
      <c r="RJ313" s="287"/>
      <c r="RK313" s="287"/>
      <c r="RL313" s="287"/>
      <c r="RM313" s="287"/>
      <c r="RN313" s="287"/>
      <c r="RO313" s="287"/>
      <c r="RP313" s="287"/>
      <c r="RQ313" s="287"/>
      <c r="RR313" s="287"/>
      <c r="RS313" s="287"/>
      <c r="RT313" s="287"/>
      <c r="RU313" s="287"/>
      <c r="RV313" s="287"/>
      <c r="RW313" s="287"/>
      <c r="RX313" s="287"/>
      <c r="RY313" s="287"/>
      <c r="RZ313" s="287"/>
      <c r="SA313" s="287"/>
      <c r="SB313" s="287"/>
      <c r="SC313" s="287"/>
      <c r="SD313" s="287"/>
      <c r="SE313" s="287"/>
      <c r="SF313" s="287"/>
      <c r="SG313" s="287"/>
      <c r="SH313" s="287"/>
      <c r="SI313" s="287"/>
      <c r="SJ313" s="287"/>
      <c r="SK313" s="287"/>
      <c r="SL313" s="287"/>
      <c r="SM313" s="287"/>
      <c r="SN313" s="287"/>
      <c r="SO313" s="287"/>
      <c r="SP313" s="287"/>
      <c r="SQ313" s="287"/>
      <c r="SR313" s="287"/>
      <c r="SS313" s="287"/>
      <c r="ST313" s="287"/>
      <c r="SU313" s="287"/>
      <c r="SV313" s="287"/>
      <c r="SW313" s="287"/>
      <c r="SX313" s="287"/>
      <c r="SY313" s="287"/>
      <c r="SZ313" s="287"/>
      <c r="TA313" s="287"/>
      <c r="TB313" s="287"/>
      <c r="TC313" s="287"/>
      <c r="TD313" s="287"/>
      <c r="TE313" s="287"/>
      <c r="TF313" s="287"/>
      <c r="TG313" s="287"/>
      <c r="TH313" s="287"/>
      <c r="TI313" s="287"/>
      <c r="TJ313" s="287"/>
      <c r="TK313" s="287"/>
      <c r="TL313" s="287"/>
      <c r="TM313" s="287"/>
      <c r="TN313" s="287"/>
      <c r="TO313" s="287"/>
      <c r="TP313" s="287"/>
      <c r="TQ313" s="287"/>
      <c r="TR313" s="287"/>
      <c r="TS313" s="287"/>
      <c r="TT313" s="287"/>
      <c r="TU313" s="287"/>
      <c r="TV313" s="287"/>
      <c r="TW313" s="287"/>
      <c r="TX313" s="287"/>
      <c r="TY313" s="287"/>
      <c r="TZ313" s="287"/>
      <c r="UA313" s="287"/>
      <c r="UB313" s="287"/>
      <c r="UC313" s="287"/>
      <c r="UD313" s="287"/>
      <c r="UE313" s="287"/>
      <c r="UF313" s="287"/>
      <c r="UG313" s="287"/>
      <c r="UH313" s="287"/>
      <c r="UI313" s="287"/>
      <c r="UJ313" s="287"/>
      <c r="UK313" s="287"/>
      <c r="UL313" s="287"/>
      <c r="UM313" s="287"/>
      <c r="UN313" s="287"/>
      <c r="UO313" s="287"/>
      <c r="UP313" s="287"/>
      <c r="UQ313" s="287"/>
      <c r="UR313" s="287"/>
      <c r="US313" s="287"/>
      <c r="UT313" s="287"/>
      <c r="UU313" s="287"/>
      <c r="UV313" s="287"/>
      <c r="UW313" s="287"/>
      <c r="UX313" s="287"/>
      <c r="UY313" s="287"/>
      <c r="UZ313" s="287"/>
      <c r="VA313" s="287"/>
      <c r="VB313" s="287"/>
      <c r="VC313" s="287"/>
      <c r="VD313" s="287"/>
      <c r="VE313" s="287"/>
      <c r="VF313" s="287"/>
      <c r="VG313" s="287"/>
      <c r="VH313" s="287"/>
      <c r="VI313" s="287"/>
      <c r="VJ313" s="287"/>
      <c r="VK313" s="287"/>
      <c r="VL313" s="287"/>
      <c r="VM313" s="287"/>
      <c r="VN313" s="287"/>
      <c r="VO313" s="287"/>
      <c r="VP313" s="287"/>
      <c r="VQ313" s="287"/>
      <c r="VR313" s="287"/>
      <c r="VS313" s="287"/>
      <c r="VT313" s="287"/>
      <c r="VU313" s="287"/>
      <c r="VV313" s="287"/>
      <c r="VW313" s="287"/>
      <c r="VX313" s="287"/>
      <c r="VY313" s="287"/>
      <c r="VZ313" s="287"/>
      <c r="WA313" s="287"/>
      <c r="WB313" s="287"/>
      <c r="WC313" s="287"/>
      <c r="WD313" s="287"/>
      <c r="WE313" s="287"/>
      <c r="WF313" s="287"/>
      <c r="WG313" s="287"/>
      <c r="WH313" s="287"/>
      <c r="WI313" s="287"/>
      <c r="WJ313" s="287"/>
      <c r="WK313" s="287"/>
      <c r="WL313" s="287"/>
      <c r="WM313" s="287"/>
      <c r="WN313" s="287"/>
      <c r="WO313" s="287"/>
      <c r="WP313" s="287"/>
      <c r="WQ313" s="287"/>
      <c r="WR313" s="287"/>
      <c r="WS313" s="287"/>
      <c r="WT313" s="287"/>
      <c r="WU313" s="287"/>
      <c r="WV313" s="287"/>
      <c r="WW313" s="287"/>
      <c r="WX313" s="287"/>
      <c r="WY313" s="287"/>
      <c r="WZ313" s="287"/>
      <c r="XA313" s="287"/>
      <c r="XB313" s="287"/>
      <c r="XC313" s="287"/>
      <c r="XD313" s="287"/>
      <c r="XE313" s="287"/>
      <c r="XF313" s="287"/>
      <c r="XG313" s="287"/>
      <c r="XH313" s="287"/>
      <c r="XI313" s="287"/>
      <c r="XJ313" s="287"/>
      <c r="XK313" s="287"/>
      <c r="XL313" s="287"/>
      <c r="XM313" s="287"/>
      <c r="XN313" s="287"/>
      <c r="XO313" s="287"/>
      <c r="XP313" s="287"/>
      <c r="XQ313" s="287"/>
      <c r="XR313" s="287"/>
      <c r="XS313" s="287"/>
      <c r="XT313" s="287"/>
      <c r="XU313" s="287"/>
      <c r="XV313" s="287"/>
      <c r="XW313" s="287"/>
      <c r="XX313" s="287"/>
      <c r="XY313" s="287"/>
      <c r="XZ313" s="287"/>
      <c r="YA313" s="287"/>
      <c r="YB313" s="287"/>
      <c r="YC313" s="287"/>
      <c r="YD313" s="287"/>
      <c r="YE313" s="287"/>
      <c r="YF313" s="287"/>
      <c r="YG313" s="287"/>
      <c r="YH313" s="287"/>
      <c r="YI313" s="287"/>
      <c r="YJ313" s="287"/>
      <c r="YK313" s="287"/>
      <c r="YL313" s="287"/>
      <c r="YM313" s="287"/>
      <c r="YN313" s="287"/>
      <c r="YO313" s="287"/>
      <c r="YP313" s="287"/>
      <c r="YQ313" s="287"/>
      <c r="YR313" s="287"/>
      <c r="YS313" s="287"/>
      <c r="YT313" s="287"/>
      <c r="YU313" s="287"/>
      <c r="YV313" s="287"/>
      <c r="YW313" s="287"/>
      <c r="YX313" s="287"/>
      <c r="YY313" s="287"/>
      <c r="YZ313" s="287"/>
      <c r="ZA313" s="287"/>
      <c r="ZB313" s="287"/>
      <c r="ZC313" s="287"/>
      <c r="ZD313" s="287"/>
      <c r="ZE313" s="287"/>
      <c r="ZF313" s="287"/>
      <c r="ZG313" s="287"/>
      <c r="ZH313" s="287"/>
      <c r="ZI313" s="287"/>
      <c r="ZJ313" s="287"/>
      <c r="ZK313" s="287"/>
      <c r="ZL313" s="287"/>
      <c r="ZM313" s="287"/>
      <c r="ZN313" s="287"/>
      <c r="ZO313" s="287"/>
      <c r="ZP313" s="287"/>
      <c r="ZQ313" s="287"/>
      <c r="ZR313" s="287"/>
      <c r="ZS313" s="287"/>
      <c r="ZT313" s="287"/>
      <c r="ZU313" s="287"/>
      <c r="ZV313" s="287"/>
      <c r="ZW313" s="287"/>
      <c r="ZX313" s="287"/>
      <c r="ZY313" s="287"/>
      <c r="ZZ313" s="287"/>
      <c r="AAA313" s="287"/>
      <c r="AAB313" s="287"/>
      <c r="AAC313" s="287"/>
      <c r="AAD313" s="287"/>
      <c r="AAE313" s="287"/>
      <c r="AAF313" s="287"/>
      <c r="AAG313" s="287"/>
      <c r="AAH313" s="287"/>
      <c r="AAI313" s="287"/>
      <c r="AAJ313" s="287"/>
      <c r="AAK313" s="287"/>
      <c r="AAL313" s="287"/>
      <c r="AAM313" s="287"/>
      <c r="AAN313" s="287"/>
      <c r="AAO313" s="287"/>
      <c r="AAP313" s="287"/>
      <c r="AAQ313" s="287"/>
      <c r="AAR313" s="287"/>
      <c r="AAS313" s="287"/>
      <c r="AAT313" s="287"/>
      <c r="AAU313" s="287"/>
      <c r="AAV313" s="287"/>
      <c r="AAW313" s="287"/>
      <c r="AAX313" s="287"/>
      <c r="AAY313" s="287"/>
      <c r="AAZ313" s="287"/>
      <c r="ABA313" s="287"/>
      <c r="ABB313" s="287"/>
      <c r="ABC313" s="287"/>
      <c r="ABD313" s="287"/>
      <c r="ABE313" s="287"/>
      <c r="ABF313" s="287"/>
      <c r="ABG313" s="287"/>
      <c r="ABH313" s="287"/>
      <c r="ABI313" s="287"/>
      <c r="ABJ313" s="287"/>
      <c r="ABK313" s="287"/>
      <c r="ABL313" s="287"/>
      <c r="ABM313" s="287"/>
      <c r="ABN313" s="287"/>
      <c r="ABO313" s="287"/>
      <c r="ABP313" s="287"/>
      <c r="ABQ313" s="287"/>
      <c r="ABR313" s="287"/>
      <c r="ABS313" s="287"/>
      <c r="ABT313" s="287"/>
      <c r="ABU313" s="287"/>
      <c r="ABV313" s="287"/>
      <c r="ABW313" s="287"/>
      <c r="ABX313" s="287"/>
      <c r="ABY313" s="287"/>
      <c r="ABZ313" s="287"/>
      <c r="ACA313" s="287"/>
      <c r="ACB313" s="287"/>
      <c r="ACC313" s="287"/>
      <c r="ACD313" s="287"/>
      <c r="ACE313" s="287"/>
      <c r="ACF313" s="287"/>
      <c r="ACG313" s="287"/>
      <c r="ACH313" s="287"/>
      <c r="ACI313" s="287"/>
      <c r="ACJ313" s="287"/>
      <c r="ACK313" s="287"/>
      <c r="ACL313" s="287"/>
      <c r="ACM313" s="287"/>
      <c r="ACN313" s="287"/>
      <c r="ACO313" s="287"/>
      <c r="ACP313" s="287"/>
      <c r="ACQ313" s="287"/>
      <c r="ACR313" s="287"/>
      <c r="ACS313" s="287"/>
      <c r="ACT313" s="287"/>
      <c r="ACU313" s="287"/>
      <c r="ACV313" s="287"/>
      <c r="ACW313" s="287"/>
      <c r="ACX313" s="287"/>
      <c r="ACY313" s="287"/>
      <c r="ACZ313" s="287"/>
      <c r="ADA313" s="287"/>
      <c r="ADB313" s="287"/>
      <c r="ADC313" s="287"/>
      <c r="ADD313" s="287"/>
      <c r="ADE313" s="287"/>
      <c r="ADF313" s="287"/>
      <c r="ADG313" s="287"/>
      <c r="ADH313" s="287"/>
      <c r="ADI313" s="287"/>
      <c r="ADJ313" s="287"/>
      <c r="ADK313" s="287"/>
      <c r="ADL313" s="287"/>
      <c r="ADM313" s="287"/>
      <c r="ADN313" s="287"/>
      <c r="ADO313" s="287"/>
      <c r="ADP313" s="287"/>
      <c r="ADQ313" s="287"/>
      <c r="ADR313" s="287"/>
      <c r="ADS313" s="287"/>
      <c r="ADT313" s="287"/>
      <c r="ADU313" s="287"/>
      <c r="ADV313" s="287"/>
      <c r="ADW313" s="287"/>
      <c r="ADX313" s="287"/>
      <c r="ADY313" s="287"/>
      <c r="ADZ313" s="287"/>
      <c r="AEA313" s="287"/>
      <c r="AEB313" s="287"/>
      <c r="AEC313" s="287"/>
      <c r="AED313" s="287"/>
      <c r="AEE313" s="287"/>
      <c r="AEF313" s="287"/>
      <c r="AEG313" s="287"/>
      <c r="AEH313" s="287"/>
      <c r="AEI313" s="287"/>
      <c r="AEJ313" s="287"/>
      <c r="AEK313" s="287"/>
      <c r="AEL313" s="287"/>
      <c r="AEM313" s="287"/>
      <c r="AEN313" s="287"/>
      <c r="AEO313" s="287"/>
      <c r="AEP313" s="287"/>
      <c r="AEQ313" s="287"/>
      <c r="AER313" s="287"/>
      <c r="AES313" s="287"/>
      <c r="AET313" s="287"/>
      <c r="AEU313" s="287"/>
      <c r="AEV313" s="287"/>
      <c r="AEW313" s="287"/>
      <c r="AEX313" s="287"/>
      <c r="AEY313" s="287"/>
      <c r="AEZ313" s="287"/>
      <c r="AFA313" s="287"/>
      <c r="AFB313" s="287"/>
      <c r="AFC313" s="287"/>
      <c r="AFD313" s="287"/>
      <c r="AFE313" s="287"/>
      <c r="AFF313" s="287"/>
      <c r="AFG313" s="287"/>
      <c r="AFH313" s="287"/>
      <c r="AFI313" s="287"/>
      <c r="AFJ313" s="287"/>
      <c r="AFK313" s="287"/>
      <c r="AFL313" s="287"/>
      <c r="AFM313" s="287"/>
      <c r="AFN313" s="287"/>
      <c r="AFO313" s="287"/>
      <c r="AFP313" s="287"/>
      <c r="AFQ313" s="287"/>
      <c r="AFR313" s="287"/>
      <c r="AFS313" s="287"/>
      <c r="AFT313" s="287"/>
      <c r="AFU313" s="287"/>
      <c r="AFV313" s="287"/>
      <c r="AFW313" s="287"/>
      <c r="AFX313" s="287"/>
      <c r="AFY313" s="287"/>
      <c r="AFZ313" s="287"/>
      <c r="AGA313" s="287"/>
      <c r="AGB313" s="287"/>
      <c r="AGC313" s="287"/>
      <c r="AGD313" s="287"/>
      <c r="AGE313" s="287"/>
      <c r="AGF313" s="287"/>
      <c r="AGG313" s="287"/>
      <c r="AGH313" s="287"/>
      <c r="AGI313" s="287"/>
      <c r="AGJ313" s="287"/>
      <c r="AGK313" s="287"/>
      <c r="AGL313" s="287"/>
      <c r="AGM313" s="287"/>
      <c r="AGN313" s="287"/>
      <c r="AGO313" s="287"/>
      <c r="AGP313" s="287"/>
      <c r="AGQ313" s="287"/>
      <c r="AGR313" s="287"/>
      <c r="AGS313" s="287"/>
      <c r="AGT313" s="287"/>
      <c r="AGU313" s="287"/>
      <c r="AGV313" s="287"/>
      <c r="AGW313" s="287"/>
      <c r="AGX313" s="287"/>
      <c r="AGY313" s="287"/>
      <c r="AGZ313" s="287"/>
      <c r="AHA313" s="287"/>
      <c r="AHB313" s="287"/>
      <c r="AHC313" s="287"/>
      <c r="AHD313" s="287"/>
      <c r="AHE313" s="287"/>
      <c r="AHF313" s="287"/>
      <c r="AHG313" s="287"/>
      <c r="AHH313" s="287"/>
      <c r="AHI313" s="287"/>
      <c r="AHJ313" s="287"/>
      <c r="AHK313" s="287"/>
      <c r="AHL313" s="287"/>
      <c r="AHM313" s="287"/>
      <c r="AHN313" s="287"/>
      <c r="AHO313" s="287"/>
      <c r="AHP313" s="287"/>
      <c r="AHQ313" s="287"/>
      <c r="AHR313" s="287"/>
      <c r="AHS313" s="287"/>
      <c r="AHT313" s="287"/>
      <c r="AHU313" s="287"/>
      <c r="AHV313" s="287"/>
      <c r="AHW313" s="287"/>
      <c r="AHX313" s="287"/>
      <c r="AHY313" s="287"/>
      <c r="AHZ313" s="287"/>
      <c r="AIA313" s="287"/>
      <c r="AIB313" s="287"/>
      <c r="AIC313" s="287"/>
      <c r="AID313" s="287"/>
      <c r="AIE313" s="287"/>
      <c r="AIF313" s="287"/>
      <c r="AIG313" s="287"/>
      <c r="AIH313" s="287"/>
      <c r="AII313" s="287"/>
      <c r="AIJ313" s="287"/>
      <c r="AIK313" s="287"/>
      <c r="AIL313" s="287"/>
      <c r="AIM313" s="287"/>
      <c r="AIN313" s="287"/>
      <c r="AIO313" s="287"/>
      <c r="AIP313" s="287"/>
      <c r="AIQ313" s="287"/>
      <c r="AIR313" s="287"/>
      <c r="AIS313" s="287"/>
      <c r="AIT313" s="287"/>
      <c r="AIU313" s="287"/>
      <c r="AIV313" s="287"/>
      <c r="AIW313" s="287"/>
      <c r="AIX313" s="287"/>
      <c r="AIY313" s="287"/>
      <c r="AIZ313" s="287"/>
      <c r="AJA313" s="287"/>
      <c r="AJB313" s="287"/>
      <c r="AJC313" s="287"/>
      <c r="AJD313" s="287"/>
      <c r="AJE313" s="287"/>
      <c r="AJF313" s="287"/>
      <c r="AJG313" s="287"/>
      <c r="AJH313" s="287"/>
      <c r="AJI313" s="287"/>
      <c r="AJJ313" s="287"/>
      <c r="AJK313" s="287"/>
      <c r="AJL313" s="287"/>
      <c r="AJM313" s="287"/>
      <c r="AJN313" s="287"/>
      <c r="AJO313" s="287"/>
      <c r="AJP313" s="287"/>
      <c r="AJQ313" s="287"/>
      <c r="AJR313" s="287"/>
      <c r="AJS313" s="287"/>
      <c r="AJT313" s="287"/>
      <c r="AJU313" s="287"/>
      <c r="AJV313" s="287"/>
      <c r="AJW313" s="287"/>
      <c r="AJX313" s="287"/>
      <c r="AJY313" s="287"/>
      <c r="AJZ313" s="287"/>
      <c r="AKA313" s="287"/>
      <c r="AKB313" s="287"/>
      <c r="AKC313" s="287"/>
      <c r="AKD313" s="287"/>
      <c r="AKE313" s="287"/>
      <c r="AKF313" s="287"/>
      <c r="AKG313" s="287"/>
      <c r="AKH313" s="287"/>
      <c r="AKI313" s="287"/>
      <c r="AKJ313" s="287"/>
      <c r="AKK313" s="287"/>
      <c r="AKL313" s="287"/>
      <c r="AKM313" s="287"/>
      <c r="AKN313" s="287"/>
      <c r="AKO313" s="287"/>
      <c r="AKP313" s="287"/>
      <c r="AKQ313" s="287"/>
      <c r="AKR313" s="287"/>
      <c r="AKS313" s="287"/>
      <c r="AKT313" s="287"/>
      <c r="AKU313" s="287"/>
      <c r="AKV313" s="287"/>
      <c r="AKW313" s="287"/>
      <c r="AKX313" s="287"/>
      <c r="AKY313" s="287"/>
      <c r="AKZ313" s="287"/>
      <c r="ALA313" s="287"/>
      <c r="ALB313" s="287"/>
      <c r="ALC313" s="287"/>
      <c r="ALD313" s="287"/>
      <c r="ALE313" s="287"/>
      <c r="ALF313" s="287"/>
      <c r="ALG313" s="287"/>
      <c r="ALH313" s="287"/>
      <c r="ALI313" s="287"/>
      <c r="ALJ313" s="287"/>
      <c r="ALK313" s="287"/>
      <c r="ALL313" s="287"/>
      <c r="ALM313" s="287"/>
      <c r="ALN313" s="287"/>
      <c r="ALO313" s="287"/>
      <c r="ALP313" s="287"/>
      <c r="ALQ313" s="287"/>
      <c r="ALR313" s="287"/>
      <c r="ALS313" s="287"/>
      <c r="ALT313" s="287"/>
      <c r="ALU313" s="287"/>
      <c r="ALV313" s="287"/>
      <c r="ALW313" s="287"/>
      <c r="ALX313" s="287"/>
      <c r="ALY313" s="287"/>
      <c r="ALZ313" s="287"/>
      <c r="AMA313" s="287"/>
      <c r="AMB313" s="287"/>
      <c r="AMC313" s="287"/>
      <c r="AMD313" s="287"/>
      <c r="AME313" s="287"/>
      <c r="AMF313" s="287"/>
      <c r="AMG313" s="287"/>
      <c r="AMH313" s="287"/>
      <c r="AMI313" s="287"/>
      <c r="AMJ313" s="287"/>
      <c r="AMK313" s="287"/>
      <c r="AML313" s="287"/>
      <c r="AMM313" s="287"/>
      <c r="AMN313" s="287"/>
      <c r="AMO313" s="287"/>
      <c r="AMP313" s="287"/>
      <c r="AMQ313" s="287"/>
      <c r="AMR313" s="287"/>
      <c r="AMS313" s="287"/>
      <c r="AMT313" s="287"/>
      <c r="AMU313" s="287"/>
      <c r="AMV313" s="287"/>
      <c r="AMW313" s="287"/>
      <c r="AMX313" s="287"/>
      <c r="AMY313" s="287"/>
      <c r="AMZ313" s="287"/>
      <c r="ANA313" s="287"/>
      <c r="ANB313" s="287"/>
      <c r="ANC313" s="287"/>
      <c r="AND313" s="287"/>
      <c r="ANE313" s="287"/>
      <c r="ANF313" s="287"/>
      <c r="ANG313" s="287"/>
      <c r="ANH313" s="287"/>
      <c r="ANI313" s="287"/>
      <c r="ANJ313" s="287"/>
      <c r="ANK313" s="287"/>
      <c r="ANL313" s="287"/>
      <c r="ANM313" s="287"/>
      <c r="ANN313" s="287"/>
      <c r="ANO313" s="287"/>
      <c r="ANP313" s="287"/>
      <c r="ANQ313" s="287"/>
      <c r="ANR313" s="287"/>
      <c r="ANS313" s="287"/>
      <c r="ANT313" s="287"/>
      <c r="ANU313" s="287"/>
      <c r="ANV313" s="287"/>
      <c r="ANW313" s="287"/>
      <c r="ANX313" s="287"/>
      <c r="ANY313" s="287"/>
      <c r="ANZ313" s="287"/>
      <c r="AOA313" s="287"/>
      <c r="AOB313" s="287"/>
      <c r="AOC313" s="287"/>
      <c r="AOD313" s="287"/>
      <c r="AOE313" s="287"/>
      <c r="AOF313" s="287"/>
      <c r="AOG313" s="287"/>
      <c r="AOH313" s="287"/>
      <c r="AOI313" s="287"/>
      <c r="AOJ313" s="287"/>
      <c r="AOK313" s="287"/>
      <c r="AOL313" s="287"/>
      <c r="AOM313" s="287"/>
      <c r="AON313" s="287"/>
      <c r="AOO313" s="287"/>
      <c r="AOP313" s="287"/>
      <c r="AOQ313" s="287"/>
      <c r="AOR313" s="287"/>
      <c r="AOS313" s="287"/>
      <c r="AOT313" s="287"/>
      <c r="AOU313" s="287"/>
      <c r="AOV313" s="287"/>
      <c r="AOW313" s="287"/>
      <c r="AOX313" s="287"/>
      <c r="AOY313" s="287"/>
      <c r="AOZ313" s="287"/>
      <c r="APA313" s="287"/>
      <c r="APB313" s="287"/>
      <c r="APC313" s="287"/>
      <c r="APD313" s="287"/>
      <c r="APE313" s="287"/>
      <c r="APF313" s="287"/>
      <c r="APG313" s="287"/>
      <c r="APH313" s="287"/>
      <c r="API313" s="287"/>
      <c r="APJ313" s="287"/>
      <c r="APK313" s="287"/>
      <c r="APL313" s="287"/>
      <c r="APM313" s="287"/>
      <c r="APN313" s="287"/>
      <c r="APO313" s="287"/>
      <c r="APP313" s="287"/>
      <c r="APQ313" s="287"/>
      <c r="APR313" s="287"/>
      <c r="APS313" s="287"/>
      <c r="APT313" s="287"/>
      <c r="APU313" s="287"/>
      <c r="APV313" s="287"/>
      <c r="APW313" s="287"/>
      <c r="APX313" s="287"/>
      <c r="APY313" s="287"/>
      <c r="APZ313" s="287"/>
      <c r="AQA313" s="287"/>
      <c r="AQB313" s="287"/>
      <c r="AQC313" s="287"/>
      <c r="AQD313" s="287"/>
      <c r="AQE313" s="287"/>
      <c r="AQF313" s="287"/>
      <c r="AQG313" s="287"/>
      <c r="AQH313" s="287"/>
      <c r="AQI313" s="287"/>
      <c r="AQJ313" s="287"/>
      <c r="AQK313" s="287"/>
      <c r="AQL313" s="287"/>
      <c r="AQM313" s="287"/>
      <c r="AQN313" s="287"/>
      <c r="AQO313" s="287"/>
      <c r="AQP313" s="287"/>
      <c r="AQQ313" s="287"/>
      <c r="AQR313" s="287"/>
      <c r="AQS313" s="287"/>
      <c r="AQT313" s="287"/>
      <c r="AQU313" s="287"/>
      <c r="AQV313" s="287"/>
      <c r="AQW313" s="287"/>
      <c r="AQX313" s="287"/>
      <c r="AQY313" s="287"/>
      <c r="AQZ313" s="287"/>
      <c r="ARA313" s="287"/>
      <c r="ARB313" s="287"/>
      <c r="ARC313" s="287"/>
      <c r="ARD313" s="287"/>
      <c r="ARE313" s="287"/>
      <c r="ARF313" s="287"/>
      <c r="ARG313" s="287"/>
      <c r="ARH313" s="287"/>
      <c r="ARI313" s="287"/>
      <c r="ARJ313" s="287"/>
      <c r="ARK313" s="287"/>
      <c r="ARL313" s="287"/>
      <c r="ARM313" s="287"/>
      <c r="ARN313" s="287"/>
      <c r="ARO313" s="287"/>
      <c r="ARP313" s="287"/>
      <c r="ARQ313" s="287"/>
      <c r="ARR313" s="287"/>
      <c r="ARS313" s="287"/>
      <c r="ART313" s="287"/>
      <c r="ARU313" s="287"/>
      <c r="ARV313" s="287"/>
      <c r="ARW313" s="287"/>
      <c r="ARX313" s="287"/>
      <c r="ARY313" s="287"/>
      <c r="ARZ313" s="287"/>
      <c r="ASA313" s="287"/>
      <c r="ASB313" s="287"/>
      <c r="ASC313" s="287"/>
      <c r="ASD313" s="287"/>
      <c r="ASE313" s="287"/>
      <c r="ASF313" s="287"/>
      <c r="ASG313" s="287"/>
      <c r="ASH313" s="287"/>
      <c r="ASI313" s="287"/>
      <c r="ASJ313" s="287"/>
      <c r="ASK313" s="287"/>
      <c r="ASL313" s="287"/>
      <c r="ASM313" s="287"/>
      <c r="ASN313" s="287"/>
      <c r="ASO313" s="287"/>
      <c r="ASP313" s="287"/>
      <c r="ASQ313" s="287"/>
      <c r="ASR313" s="287"/>
      <c r="ASS313" s="287"/>
      <c r="AST313" s="287"/>
      <c r="ASU313" s="287"/>
      <c r="ASV313" s="287"/>
      <c r="ASW313" s="287"/>
      <c r="ASX313" s="287"/>
      <c r="ASY313" s="287"/>
      <c r="ASZ313" s="287"/>
      <c r="ATA313" s="287"/>
      <c r="ATB313" s="287"/>
      <c r="ATC313" s="287"/>
      <c r="ATD313" s="287"/>
      <c r="ATE313" s="287"/>
      <c r="ATF313" s="287"/>
      <c r="ATG313" s="287"/>
      <c r="ATH313" s="287"/>
      <c r="ATI313" s="287"/>
      <c r="ATJ313" s="287"/>
      <c r="ATK313" s="287"/>
      <c r="ATL313" s="287"/>
      <c r="ATM313" s="287"/>
      <c r="ATN313" s="287"/>
      <c r="ATO313" s="287"/>
      <c r="ATP313" s="287"/>
      <c r="ATQ313" s="287"/>
      <c r="ATR313" s="287"/>
      <c r="ATS313" s="287"/>
      <c r="ATT313" s="287"/>
      <c r="ATU313" s="287"/>
      <c r="ATV313" s="287"/>
      <c r="ATW313" s="287"/>
      <c r="ATX313" s="287"/>
      <c r="ATY313" s="287"/>
      <c r="ATZ313" s="287"/>
      <c r="AUA313" s="287"/>
      <c r="AUB313" s="287"/>
      <c r="AUC313" s="287"/>
      <c r="AUD313" s="287"/>
      <c r="AUE313" s="287"/>
      <c r="AUF313" s="287"/>
      <c r="AUG313" s="287"/>
      <c r="AUH313" s="287"/>
      <c r="AUI313" s="287"/>
      <c r="AUJ313" s="287"/>
      <c r="AUK313" s="287"/>
      <c r="AUL313" s="287"/>
      <c r="AUM313" s="287"/>
      <c r="AUN313" s="287"/>
      <c r="AUO313" s="287"/>
      <c r="AUP313" s="287"/>
      <c r="AUQ313" s="287"/>
      <c r="AUR313" s="287"/>
      <c r="AUS313" s="287"/>
      <c r="AUT313" s="287"/>
      <c r="AUU313" s="287"/>
      <c r="AUV313" s="287"/>
      <c r="AUW313" s="287"/>
      <c r="AUX313" s="287"/>
      <c r="AUY313" s="287"/>
      <c r="AUZ313" s="287"/>
      <c r="AVA313" s="287"/>
      <c r="AVB313" s="287"/>
      <c r="AVC313" s="287"/>
      <c r="AVD313" s="287"/>
      <c r="AVE313" s="287"/>
      <c r="AVF313" s="287"/>
      <c r="AVG313" s="287"/>
      <c r="AVH313" s="287"/>
      <c r="AVI313" s="287"/>
      <c r="AVJ313" s="287"/>
      <c r="AVK313" s="287"/>
      <c r="AVL313" s="287"/>
      <c r="AVM313" s="287"/>
      <c r="AVN313" s="287"/>
      <c r="AVO313" s="287"/>
      <c r="AVP313" s="287"/>
      <c r="AVQ313" s="287"/>
      <c r="AVR313" s="287"/>
      <c r="AVS313" s="287"/>
      <c r="AVT313" s="287"/>
      <c r="AVU313" s="287"/>
      <c r="AVV313" s="287"/>
      <c r="AVW313" s="287"/>
      <c r="AVX313" s="287"/>
      <c r="AVY313" s="287"/>
      <c r="AVZ313" s="287"/>
      <c r="AWA313" s="287"/>
      <c r="AWB313" s="287"/>
      <c r="AWC313" s="287"/>
      <c r="AWD313" s="287"/>
      <c r="AWE313" s="287"/>
      <c r="AWF313" s="287"/>
      <c r="AWG313" s="287"/>
      <c r="AWH313" s="287"/>
      <c r="AWI313" s="287"/>
      <c r="AWJ313" s="287"/>
      <c r="AWK313" s="287"/>
      <c r="AWL313" s="287"/>
      <c r="AWM313" s="287"/>
      <c r="AWN313" s="287"/>
      <c r="AWO313" s="287"/>
      <c r="AWP313" s="287"/>
      <c r="AWQ313" s="287"/>
      <c r="AWR313" s="287"/>
      <c r="AWS313" s="287"/>
      <c r="AWT313" s="287"/>
      <c r="AWU313" s="287"/>
      <c r="AWV313" s="287"/>
      <c r="AWW313" s="287"/>
      <c r="AWX313" s="287"/>
      <c r="AWY313" s="287"/>
      <c r="AWZ313" s="287"/>
      <c r="AXA313" s="287"/>
      <c r="AXB313" s="287"/>
      <c r="AXC313" s="287"/>
      <c r="AXD313" s="287"/>
      <c r="AXE313" s="287"/>
      <c r="AXF313" s="287"/>
      <c r="AXG313" s="287"/>
      <c r="AXH313" s="287"/>
      <c r="AXI313" s="287"/>
      <c r="AXJ313" s="287"/>
      <c r="AXK313" s="287"/>
      <c r="AXL313" s="287"/>
      <c r="AXM313" s="287"/>
      <c r="AXN313" s="287"/>
      <c r="AXO313" s="287"/>
      <c r="AXP313" s="287"/>
      <c r="AXQ313" s="287"/>
      <c r="AXR313" s="287"/>
      <c r="AXS313" s="287"/>
      <c r="AXT313" s="287"/>
      <c r="AXU313" s="287"/>
      <c r="AXV313" s="287"/>
      <c r="AXW313" s="287"/>
      <c r="AXX313" s="287"/>
      <c r="AXY313" s="287"/>
      <c r="AXZ313" s="287"/>
      <c r="AYA313" s="287"/>
      <c r="AYB313" s="287"/>
      <c r="AYC313" s="287"/>
      <c r="AYD313" s="287"/>
      <c r="AYE313" s="287"/>
      <c r="AYF313" s="287"/>
      <c r="AYG313" s="287"/>
      <c r="AYH313" s="287"/>
      <c r="AYI313" s="287"/>
      <c r="AYJ313" s="287"/>
      <c r="AYK313" s="287"/>
      <c r="AYL313" s="287"/>
      <c r="AYM313" s="287"/>
      <c r="AYN313" s="287"/>
      <c r="AYO313" s="287"/>
      <c r="AYP313" s="287"/>
      <c r="AYQ313" s="287"/>
      <c r="AYR313" s="287"/>
      <c r="AYS313" s="287"/>
      <c r="AYT313" s="287"/>
      <c r="AYU313" s="287"/>
      <c r="AYV313" s="287"/>
      <c r="AYW313" s="287"/>
      <c r="AYX313" s="287"/>
      <c r="AYY313" s="287"/>
      <c r="AYZ313" s="287"/>
      <c r="AZA313" s="287"/>
      <c r="AZB313" s="287"/>
      <c r="AZC313" s="287"/>
      <c r="AZD313" s="287"/>
      <c r="AZE313" s="287"/>
      <c r="AZF313" s="287"/>
      <c r="AZG313" s="287"/>
      <c r="AZH313" s="287"/>
      <c r="AZI313" s="287"/>
      <c r="AZJ313" s="287"/>
      <c r="AZK313" s="287"/>
      <c r="AZL313" s="287"/>
      <c r="AZM313" s="287"/>
      <c r="AZN313" s="287"/>
      <c r="AZO313" s="287"/>
      <c r="AZP313" s="287"/>
      <c r="AZQ313" s="287"/>
      <c r="AZR313" s="287"/>
      <c r="AZS313" s="287"/>
      <c r="AZT313" s="287"/>
      <c r="AZU313" s="287"/>
      <c r="AZV313" s="287"/>
      <c r="AZW313" s="287"/>
      <c r="AZX313" s="287"/>
      <c r="AZY313" s="287"/>
      <c r="AZZ313" s="287"/>
      <c r="BAA313" s="287"/>
      <c r="BAB313" s="287"/>
      <c r="BAC313" s="287"/>
      <c r="BAD313" s="287"/>
      <c r="BAE313" s="287"/>
      <c r="BAF313" s="287"/>
      <c r="BAG313" s="287"/>
      <c r="BAH313" s="287"/>
      <c r="BAI313" s="287"/>
      <c r="BAJ313" s="287"/>
      <c r="BAK313" s="287"/>
      <c r="BAL313" s="287"/>
      <c r="BAM313" s="287"/>
      <c r="BAN313" s="287"/>
      <c r="BAO313" s="287"/>
      <c r="BAP313" s="287"/>
      <c r="BAQ313" s="287"/>
      <c r="BAR313" s="287"/>
      <c r="BAS313" s="287"/>
      <c r="BAT313" s="287"/>
      <c r="BAU313" s="287"/>
      <c r="BAV313" s="287"/>
      <c r="BAW313" s="287"/>
      <c r="BAX313" s="287"/>
      <c r="BAY313" s="287"/>
      <c r="BAZ313" s="287"/>
      <c r="BBA313" s="287"/>
      <c r="BBB313" s="287"/>
      <c r="BBC313" s="287"/>
      <c r="BBD313" s="287"/>
      <c r="BBE313" s="287"/>
      <c r="BBF313" s="287"/>
      <c r="BBG313" s="287"/>
      <c r="BBH313" s="287"/>
      <c r="BBI313" s="287"/>
      <c r="BBJ313" s="287"/>
      <c r="BBK313" s="287"/>
      <c r="BBL313" s="287"/>
      <c r="BBM313" s="287"/>
      <c r="BBN313" s="287"/>
      <c r="BBO313" s="287"/>
      <c r="BBP313" s="287"/>
      <c r="BBQ313" s="287"/>
      <c r="BBR313" s="287"/>
      <c r="BBS313" s="287"/>
      <c r="BBT313" s="287"/>
      <c r="BBU313" s="287"/>
      <c r="BBV313" s="287"/>
      <c r="BBW313" s="287"/>
      <c r="BBX313" s="287"/>
      <c r="BBY313" s="287"/>
      <c r="BBZ313" s="287"/>
      <c r="BCA313" s="287"/>
      <c r="BCB313" s="287"/>
      <c r="BCC313" s="287"/>
      <c r="BCD313" s="287"/>
      <c r="BCE313" s="287"/>
      <c r="BCF313" s="287"/>
      <c r="BCG313" s="287"/>
      <c r="BCH313" s="287"/>
      <c r="BCI313" s="287"/>
      <c r="BCJ313" s="287"/>
      <c r="BCK313" s="287"/>
      <c r="BCL313" s="287"/>
      <c r="BCM313" s="287"/>
      <c r="BCN313" s="287"/>
      <c r="BCO313" s="287"/>
      <c r="BCP313" s="287"/>
      <c r="BCQ313" s="287"/>
      <c r="BCR313" s="287"/>
      <c r="BCS313" s="287"/>
      <c r="BCT313" s="287"/>
      <c r="BCU313" s="287"/>
      <c r="BCV313" s="287"/>
      <c r="BCW313" s="287"/>
      <c r="BCX313" s="287"/>
      <c r="BCY313" s="287"/>
      <c r="BCZ313" s="287"/>
      <c r="BDA313" s="287"/>
      <c r="BDB313" s="287"/>
      <c r="BDC313" s="287"/>
      <c r="BDD313" s="287"/>
      <c r="BDE313" s="287"/>
      <c r="BDF313" s="287"/>
      <c r="BDG313" s="287"/>
      <c r="BDH313" s="287"/>
      <c r="BDI313" s="287"/>
      <c r="BDJ313" s="287"/>
      <c r="BDK313" s="287"/>
      <c r="BDL313" s="287"/>
      <c r="BDM313" s="287"/>
      <c r="BDN313" s="287"/>
      <c r="BDO313" s="287"/>
      <c r="BDP313" s="287"/>
      <c r="BDQ313" s="287"/>
      <c r="BDR313" s="287"/>
      <c r="BDS313" s="287"/>
      <c r="BDT313" s="287"/>
      <c r="BDU313" s="287"/>
      <c r="BDV313" s="287"/>
      <c r="BDW313" s="287"/>
      <c r="BDX313" s="287"/>
      <c r="BDY313" s="287"/>
      <c r="BDZ313" s="287"/>
      <c r="BEA313" s="287"/>
      <c r="BEB313" s="287"/>
      <c r="BEC313" s="287"/>
      <c r="BED313" s="287"/>
      <c r="BEE313" s="287"/>
      <c r="BEF313" s="287"/>
      <c r="BEG313" s="287"/>
      <c r="BEH313" s="287"/>
      <c r="BEI313" s="287"/>
      <c r="BEJ313" s="287"/>
      <c r="BEK313" s="287"/>
      <c r="BEL313" s="287"/>
      <c r="BEM313" s="287"/>
      <c r="BEN313" s="287"/>
      <c r="BEO313" s="287"/>
      <c r="BEP313" s="287"/>
      <c r="BEQ313" s="287"/>
      <c r="BER313" s="287"/>
      <c r="BES313" s="287"/>
      <c r="BET313" s="287"/>
      <c r="BEU313" s="287"/>
      <c r="BEV313" s="287"/>
      <c r="BEW313" s="287"/>
      <c r="BEX313" s="287"/>
      <c r="BEY313" s="287"/>
      <c r="BEZ313" s="287"/>
      <c r="BFA313" s="287"/>
      <c r="BFB313" s="287"/>
      <c r="BFC313" s="287"/>
      <c r="BFD313" s="287"/>
      <c r="BFE313" s="287"/>
      <c r="BFF313" s="287"/>
      <c r="BFG313" s="287"/>
      <c r="BFH313" s="287"/>
      <c r="BFI313" s="287"/>
      <c r="BFJ313" s="287"/>
      <c r="BFK313" s="287"/>
      <c r="BFL313" s="287"/>
      <c r="BFM313" s="287"/>
      <c r="BFN313" s="287"/>
      <c r="BFO313" s="287"/>
      <c r="BFP313" s="287"/>
      <c r="BFQ313" s="287"/>
      <c r="BFR313" s="287"/>
      <c r="BFS313" s="287"/>
      <c r="BFT313" s="287"/>
      <c r="BFU313" s="287"/>
      <c r="BFV313" s="287"/>
      <c r="BFW313" s="287"/>
      <c r="BFX313" s="287"/>
      <c r="BFY313" s="287"/>
      <c r="BFZ313" s="287"/>
      <c r="BGA313" s="287"/>
      <c r="BGB313" s="287"/>
      <c r="BGC313" s="287"/>
      <c r="BGD313" s="287"/>
      <c r="BGE313" s="287"/>
      <c r="BGF313" s="287"/>
      <c r="BGG313" s="287"/>
      <c r="BGH313" s="287"/>
      <c r="BGI313" s="287"/>
      <c r="BGJ313" s="287"/>
      <c r="BGK313" s="287"/>
      <c r="BGL313" s="287"/>
      <c r="BGM313" s="287"/>
      <c r="BGN313" s="287"/>
      <c r="BGO313" s="287"/>
      <c r="BGP313" s="287"/>
      <c r="BGQ313" s="287"/>
      <c r="BGR313" s="287"/>
      <c r="BGS313" s="287"/>
      <c r="BGT313" s="287"/>
      <c r="BGU313" s="287"/>
      <c r="BGV313" s="287"/>
      <c r="BGW313" s="287"/>
      <c r="BGX313" s="287"/>
      <c r="BGY313" s="287"/>
      <c r="BGZ313" s="287"/>
      <c r="BHA313" s="287"/>
      <c r="BHB313" s="287"/>
      <c r="BHC313" s="287"/>
      <c r="BHD313" s="287"/>
      <c r="BHE313" s="287"/>
      <c r="BHF313" s="287"/>
      <c r="BHG313" s="287"/>
      <c r="BHH313" s="287"/>
      <c r="BHI313" s="287"/>
      <c r="BHJ313" s="287"/>
      <c r="BHK313" s="287"/>
      <c r="BHL313" s="287"/>
      <c r="BHM313" s="287"/>
      <c r="BHN313" s="287"/>
      <c r="BHO313" s="287"/>
      <c r="BHP313" s="287"/>
      <c r="BHQ313" s="287"/>
      <c r="BHR313" s="287"/>
      <c r="BHS313" s="287"/>
      <c r="BHT313" s="287"/>
      <c r="BHU313" s="287"/>
      <c r="BHV313" s="287"/>
      <c r="BHW313" s="287"/>
      <c r="BHX313" s="287"/>
      <c r="BHY313" s="287"/>
      <c r="BHZ313" s="287"/>
      <c r="BIA313" s="287"/>
      <c r="BIB313" s="287"/>
      <c r="BIC313" s="287"/>
      <c r="BID313" s="287"/>
      <c r="BIE313" s="287"/>
      <c r="BIF313" s="287"/>
      <c r="BIG313" s="287"/>
      <c r="BIH313" s="287"/>
      <c r="BII313" s="287"/>
      <c r="BIJ313" s="287"/>
      <c r="BIK313" s="287"/>
      <c r="BIL313" s="287"/>
      <c r="BIM313" s="287"/>
      <c r="BIN313" s="287"/>
      <c r="BIO313" s="287"/>
      <c r="BIP313" s="287"/>
      <c r="BIQ313" s="287"/>
      <c r="BIR313" s="287"/>
      <c r="BIS313" s="287"/>
      <c r="BIT313" s="287"/>
      <c r="BIU313" s="287"/>
      <c r="BIV313" s="287"/>
      <c r="BIW313" s="287"/>
      <c r="BIX313" s="287"/>
      <c r="BIY313" s="287"/>
      <c r="BIZ313" s="287"/>
      <c r="BJA313" s="287"/>
      <c r="BJB313" s="287"/>
      <c r="BJC313" s="287"/>
      <c r="BJD313" s="287"/>
      <c r="BJE313" s="287"/>
      <c r="BJF313" s="287"/>
      <c r="BJG313" s="287"/>
      <c r="BJH313" s="287"/>
      <c r="BJI313" s="287"/>
      <c r="BJJ313" s="287"/>
      <c r="BJK313" s="287"/>
      <c r="BJL313" s="287"/>
      <c r="BJM313" s="287"/>
      <c r="BJN313" s="287"/>
      <c r="BJO313" s="287"/>
      <c r="BJP313" s="287"/>
      <c r="BJQ313" s="287"/>
      <c r="BJR313" s="287"/>
      <c r="BJS313" s="287"/>
      <c r="BJT313" s="287"/>
      <c r="BJU313" s="287"/>
      <c r="BJV313" s="287"/>
      <c r="BJW313" s="287"/>
      <c r="BJX313" s="287"/>
      <c r="BJY313" s="287"/>
      <c r="BJZ313" s="287"/>
      <c r="BKA313" s="287"/>
      <c r="BKB313" s="287"/>
      <c r="BKC313" s="287"/>
      <c r="BKD313" s="287"/>
      <c r="BKE313" s="287"/>
      <c r="BKF313" s="287"/>
      <c r="BKG313" s="287"/>
      <c r="BKH313" s="287"/>
      <c r="BKI313" s="287"/>
      <c r="BKJ313" s="287"/>
      <c r="BKK313" s="287"/>
      <c r="BKL313" s="287"/>
      <c r="BKM313" s="287"/>
      <c r="BKN313" s="287"/>
      <c r="BKO313" s="287"/>
      <c r="BKP313" s="287"/>
      <c r="BKQ313" s="287"/>
      <c r="BKR313" s="287"/>
      <c r="BKS313" s="287"/>
      <c r="BKT313" s="287"/>
      <c r="BKU313" s="287"/>
      <c r="BKV313" s="287"/>
      <c r="BKW313" s="287"/>
      <c r="BKX313" s="287"/>
      <c r="BKY313" s="287"/>
      <c r="BKZ313" s="287"/>
      <c r="BLA313" s="287"/>
      <c r="BLB313" s="287"/>
      <c r="BLC313" s="287"/>
      <c r="BLD313" s="287"/>
      <c r="BLE313" s="287"/>
      <c r="BLF313" s="287"/>
      <c r="BLG313" s="287"/>
      <c r="BLH313" s="287"/>
      <c r="BLI313" s="287"/>
      <c r="BLJ313" s="287"/>
      <c r="BLK313" s="287"/>
      <c r="BLL313" s="287"/>
      <c r="BLM313" s="287"/>
      <c r="BLN313" s="287"/>
      <c r="BLO313" s="287"/>
      <c r="BLP313" s="287"/>
      <c r="BLQ313" s="287"/>
      <c r="BLR313" s="287"/>
      <c r="BLS313" s="287"/>
      <c r="BLT313" s="287"/>
      <c r="BLU313" s="287"/>
      <c r="BLV313" s="287"/>
      <c r="BLW313" s="287"/>
      <c r="BLX313" s="287"/>
      <c r="BLY313" s="287"/>
      <c r="BLZ313" s="287"/>
      <c r="BMA313" s="287"/>
      <c r="BMB313" s="287"/>
      <c r="BMC313" s="287"/>
      <c r="BMD313" s="287"/>
      <c r="BME313" s="287"/>
      <c r="BMF313" s="287"/>
      <c r="BMG313" s="287"/>
      <c r="BMH313" s="287"/>
      <c r="BMI313" s="287"/>
      <c r="BMJ313" s="287"/>
      <c r="BMK313" s="287"/>
      <c r="BML313" s="287"/>
      <c r="BMM313" s="287"/>
      <c r="BMN313" s="287"/>
      <c r="BMO313" s="287"/>
      <c r="BMP313" s="287"/>
      <c r="BMQ313" s="287"/>
      <c r="BMR313" s="287"/>
      <c r="BMS313" s="287"/>
      <c r="BMT313" s="287"/>
      <c r="BMU313" s="287"/>
      <c r="BMV313" s="287"/>
      <c r="BMW313" s="287"/>
      <c r="BMX313" s="287"/>
      <c r="BMY313" s="287"/>
      <c r="BMZ313" s="287"/>
      <c r="BNA313" s="287"/>
      <c r="BNB313" s="287"/>
      <c r="BNC313" s="287"/>
      <c r="BND313" s="287"/>
      <c r="BNE313" s="287"/>
      <c r="BNF313" s="287"/>
      <c r="BNG313" s="287"/>
      <c r="BNH313" s="287"/>
      <c r="BNI313" s="287"/>
      <c r="BNJ313" s="287"/>
      <c r="BNK313" s="287"/>
      <c r="BNL313" s="287"/>
      <c r="BNM313" s="287"/>
      <c r="BNN313" s="287"/>
      <c r="BNO313" s="287"/>
      <c r="BNP313" s="287"/>
      <c r="BNQ313" s="287"/>
      <c r="BNR313" s="287"/>
      <c r="BNS313" s="287"/>
      <c r="BNT313" s="287"/>
      <c r="BNU313" s="287"/>
      <c r="BNV313" s="287"/>
      <c r="BNW313" s="287"/>
      <c r="BNX313" s="287"/>
      <c r="BNY313" s="287"/>
      <c r="BNZ313" s="287"/>
      <c r="BOA313" s="287"/>
      <c r="BOB313" s="287"/>
      <c r="BOC313" s="287"/>
      <c r="BOD313" s="287"/>
      <c r="BOE313" s="287"/>
      <c r="BOF313" s="287"/>
      <c r="BOG313" s="287"/>
      <c r="BOH313" s="287"/>
      <c r="BOI313" s="287"/>
      <c r="BOJ313" s="287"/>
      <c r="BOK313" s="287"/>
      <c r="BOL313" s="287"/>
      <c r="BOM313" s="287"/>
      <c r="BON313" s="287"/>
      <c r="BOO313" s="287"/>
      <c r="BOP313" s="287"/>
      <c r="BOQ313" s="287"/>
      <c r="BOR313" s="287"/>
      <c r="BOS313" s="287"/>
      <c r="BOT313" s="287"/>
      <c r="BOU313" s="287"/>
      <c r="BOV313" s="287"/>
      <c r="BOW313" s="287"/>
      <c r="BOX313" s="287"/>
      <c r="BOY313" s="287"/>
      <c r="BOZ313" s="287"/>
      <c r="BPA313" s="287"/>
      <c r="BPB313" s="287"/>
      <c r="BPC313" s="287"/>
      <c r="BPD313" s="287"/>
      <c r="BPE313" s="287"/>
      <c r="BPF313" s="287"/>
      <c r="BPG313" s="287"/>
      <c r="BPH313" s="287"/>
      <c r="BPI313" s="287"/>
      <c r="BPJ313" s="287"/>
      <c r="BPK313" s="287"/>
      <c r="BPL313" s="287"/>
      <c r="BPM313" s="287"/>
      <c r="BPN313" s="287"/>
      <c r="BPO313" s="287"/>
      <c r="BPP313" s="287"/>
      <c r="BPQ313" s="287"/>
      <c r="BPR313" s="287"/>
      <c r="BPS313" s="287"/>
      <c r="BPT313" s="287"/>
      <c r="BPU313" s="287"/>
      <c r="BPV313" s="287"/>
      <c r="BPW313" s="287"/>
      <c r="BPX313" s="287"/>
      <c r="BPY313" s="287"/>
      <c r="BPZ313" s="287"/>
      <c r="BQA313" s="287"/>
      <c r="BQB313" s="287"/>
      <c r="BQC313" s="287"/>
      <c r="BQD313" s="287"/>
      <c r="BQE313" s="287"/>
      <c r="BQF313" s="287"/>
      <c r="BQG313" s="287"/>
      <c r="BQH313" s="287"/>
      <c r="BQI313" s="287"/>
      <c r="BQJ313" s="287"/>
      <c r="BQK313" s="287"/>
      <c r="BQL313" s="287"/>
      <c r="BQM313" s="287"/>
      <c r="BQN313" s="287"/>
      <c r="BQO313" s="287"/>
      <c r="BQP313" s="287"/>
      <c r="BQQ313" s="287"/>
      <c r="BQR313" s="287"/>
      <c r="BQS313" s="287"/>
      <c r="BQT313" s="287"/>
      <c r="BQU313" s="287"/>
      <c r="BQV313" s="287"/>
      <c r="BQW313" s="287"/>
      <c r="BQX313" s="287"/>
      <c r="BQY313" s="287"/>
      <c r="BQZ313" s="287"/>
      <c r="BRA313" s="287"/>
      <c r="BRB313" s="287"/>
      <c r="BRC313" s="287"/>
      <c r="BRD313" s="287"/>
      <c r="BRE313" s="287"/>
      <c r="BRF313" s="287"/>
      <c r="BRG313" s="287"/>
      <c r="BRH313" s="287"/>
      <c r="BRI313" s="287"/>
      <c r="BRJ313" s="287"/>
      <c r="BRK313" s="287"/>
      <c r="BRL313" s="287"/>
      <c r="BRM313" s="287"/>
      <c r="BRN313" s="287"/>
      <c r="BRO313" s="287"/>
      <c r="BRP313" s="287"/>
      <c r="BRQ313" s="287"/>
      <c r="BRR313" s="287"/>
      <c r="BRS313" s="287"/>
      <c r="BRT313" s="287"/>
      <c r="BRU313" s="287"/>
      <c r="BRV313" s="287"/>
      <c r="BRW313" s="287"/>
      <c r="BRX313" s="287"/>
      <c r="BRY313" s="287"/>
      <c r="BRZ313" s="287"/>
      <c r="BSA313" s="287"/>
      <c r="BSB313" s="287"/>
      <c r="BSC313" s="287"/>
      <c r="BSD313" s="287"/>
      <c r="BSE313" s="287"/>
      <c r="BSF313" s="287"/>
      <c r="BSG313" s="287"/>
      <c r="BSH313" s="287"/>
      <c r="BSI313" s="287"/>
      <c r="BSJ313" s="287"/>
      <c r="BSK313" s="287"/>
      <c r="BSL313" s="287"/>
      <c r="BSM313" s="287"/>
      <c r="BSN313" s="287"/>
      <c r="BSO313" s="287"/>
      <c r="BSP313" s="287"/>
      <c r="BSQ313" s="287"/>
      <c r="BSR313" s="287"/>
      <c r="BSS313" s="287"/>
      <c r="BST313" s="287"/>
      <c r="BSU313" s="287"/>
      <c r="BSV313" s="287"/>
      <c r="BSW313" s="287"/>
      <c r="BSX313" s="287"/>
      <c r="BSY313" s="287"/>
      <c r="BSZ313" s="287"/>
      <c r="BTA313" s="287"/>
      <c r="BTB313" s="287"/>
      <c r="BTC313" s="287"/>
      <c r="BTD313" s="287"/>
      <c r="BTE313" s="287"/>
      <c r="BTF313" s="287"/>
      <c r="BTG313" s="287"/>
      <c r="BTH313" s="287"/>
      <c r="BTI313" s="287"/>
      <c r="BTJ313" s="287"/>
      <c r="BTK313" s="287"/>
      <c r="BTL313" s="287"/>
      <c r="BTM313" s="287"/>
      <c r="BTN313" s="287"/>
      <c r="BTO313" s="287"/>
      <c r="BTP313" s="287"/>
      <c r="BTQ313" s="287"/>
      <c r="BTR313" s="287"/>
      <c r="BTS313" s="287"/>
      <c r="BTT313" s="287"/>
      <c r="BTU313" s="287"/>
      <c r="BTV313" s="287"/>
      <c r="BTW313" s="287"/>
      <c r="BTX313" s="287"/>
      <c r="BTY313" s="287"/>
      <c r="BTZ313" s="287"/>
      <c r="BUA313" s="287"/>
      <c r="BUB313" s="287"/>
      <c r="BUC313" s="287"/>
      <c r="BUD313" s="287"/>
      <c r="BUE313" s="287"/>
      <c r="BUF313" s="287"/>
      <c r="BUG313" s="287"/>
      <c r="BUH313" s="287"/>
      <c r="BUI313" s="287"/>
      <c r="BUJ313" s="287"/>
      <c r="BUK313" s="287"/>
      <c r="BUL313" s="287"/>
      <c r="BUM313" s="287"/>
      <c r="BUN313" s="287"/>
      <c r="BUO313" s="287"/>
      <c r="BUP313" s="287"/>
      <c r="BUQ313" s="287"/>
      <c r="BUR313" s="287"/>
      <c r="BUS313" s="287"/>
      <c r="BUT313" s="287"/>
      <c r="BUU313" s="287"/>
      <c r="BUV313" s="287"/>
      <c r="BUW313" s="287"/>
      <c r="BUX313" s="287"/>
      <c r="BUY313" s="287"/>
      <c r="BUZ313" s="287"/>
      <c r="BVA313" s="287"/>
      <c r="BVB313" s="287"/>
      <c r="BVC313" s="287"/>
      <c r="BVD313" s="287"/>
      <c r="BVE313" s="287"/>
      <c r="BVF313" s="287"/>
      <c r="BVG313" s="287"/>
      <c r="BVH313" s="287"/>
      <c r="BVI313" s="287"/>
      <c r="BVJ313" s="287"/>
      <c r="BVK313" s="287"/>
      <c r="BVL313" s="287"/>
      <c r="BVM313" s="287"/>
      <c r="BVN313" s="287"/>
      <c r="BVO313" s="287"/>
      <c r="BVP313" s="287"/>
      <c r="BVQ313" s="287"/>
      <c r="BVR313" s="287"/>
      <c r="BVS313" s="287"/>
      <c r="BVT313" s="287"/>
      <c r="BVU313" s="287"/>
      <c r="BVV313" s="287"/>
      <c r="BVW313" s="287"/>
      <c r="BVX313" s="287"/>
      <c r="BVY313" s="287"/>
      <c r="BVZ313" s="287"/>
      <c r="BWA313" s="287"/>
      <c r="BWB313" s="287"/>
      <c r="BWC313" s="287"/>
      <c r="BWD313" s="287"/>
      <c r="BWE313" s="287"/>
      <c r="BWF313" s="287"/>
      <c r="BWG313" s="287"/>
      <c r="BWH313" s="287"/>
      <c r="BWI313" s="287"/>
      <c r="BWJ313" s="287"/>
      <c r="BWK313" s="287"/>
      <c r="BWL313" s="287"/>
      <c r="BWM313" s="287"/>
      <c r="BWN313" s="287"/>
      <c r="BWO313" s="287"/>
      <c r="BWP313" s="287"/>
      <c r="BWQ313" s="287"/>
      <c r="BWR313" s="287"/>
      <c r="BWS313" s="287"/>
      <c r="BWT313" s="287"/>
      <c r="BWU313" s="287"/>
      <c r="BWV313" s="287"/>
      <c r="BWW313" s="287"/>
      <c r="BWX313" s="287"/>
      <c r="BWY313" s="287"/>
      <c r="BWZ313" s="287"/>
      <c r="BXA313" s="287"/>
      <c r="BXB313" s="287"/>
      <c r="BXC313" s="287"/>
      <c r="BXD313" s="287"/>
      <c r="BXE313" s="287"/>
      <c r="BXF313" s="287"/>
      <c r="BXG313" s="287"/>
      <c r="BXH313" s="287"/>
      <c r="BXI313" s="287"/>
      <c r="BXJ313" s="287"/>
      <c r="BXK313" s="287"/>
      <c r="BXL313" s="287"/>
      <c r="BXM313" s="287"/>
      <c r="BXN313" s="287"/>
      <c r="BXO313" s="287"/>
      <c r="BXP313" s="287"/>
      <c r="BXQ313" s="287"/>
      <c r="BXR313" s="287"/>
      <c r="BXS313" s="287"/>
      <c r="BXT313" s="287"/>
      <c r="BXU313" s="287"/>
      <c r="BXV313" s="287"/>
      <c r="BXW313" s="287"/>
      <c r="BXX313" s="287"/>
      <c r="BXY313" s="287"/>
      <c r="BXZ313" s="287"/>
      <c r="BYA313" s="287"/>
      <c r="BYB313" s="287"/>
      <c r="BYC313" s="287"/>
      <c r="BYD313" s="287"/>
      <c r="BYE313" s="287"/>
      <c r="BYF313" s="287"/>
      <c r="BYG313" s="287"/>
      <c r="BYH313" s="287"/>
      <c r="BYI313" s="287"/>
      <c r="BYJ313" s="287"/>
      <c r="BYK313" s="287"/>
      <c r="BYL313" s="287"/>
      <c r="BYM313" s="287"/>
      <c r="BYN313" s="287"/>
      <c r="BYO313" s="287"/>
      <c r="BYP313" s="287"/>
      <c r="BYQ313" s="287"/>
      <c r="BYR313" s="287"/>
      <c r="BYS313" s="287"/>
      <c r="BYT313" s="287"/>
      <c r="BYU313" s="287"/>
      <c r="BYV313" s="287"/>
      <c r="BYW313" s="287"/>
      <c r="BYX313" s="287"/>
      <c r="BYY313" s="287"/>
      <c r="BYZ313" s="287"/>
      <c r="BZA313" s="287"/>
      <c r="BZB313" s="287"/>
      <c r="BZC313" s="287"/>
      <c r="BZD313" s="287"/>
      <c r="BZE313" s="287"/>
      <c r="BZF313" s="287"/>
      <c r="BZG313" s="287"/>
      <c r="BZH313" s="287"/>
      <c r="BZI313" s="287"/>
      <c r="BZJ313" s="287"/>
      <c r="BZK313" s="287"/>
      <c r="BZL313" s="287"/>
      <c r="BZM313" s="287"/>
      <c r="BZN313" s="287"/>
      <c r="BZO313" s="287"/>
      <c r="BZP313" s="287"/>
      <c r="BZQ313" s="287"/>
      <c r="BZR313" s="287"/>
      <c r="BZS313" s="287"/>
      <c r="BZT313" s="287"/>
      <c r="BZU313" s="287"/>
      <c r="BZV313" s="287"/>
      <c r="BZW313" s="287"/>
      <c r="BZX313" s="287"/>
      <c r="BZY313" s="287"/>
      <c r="BZZ313" s="287"/>
      <c r="CAA313" s="287"/>
      <c r="CAB313" s="287"/>
      <c r="CAC313" s="287"/>
      <c r="CAD313" s="287"/>
      <c r="CAE313" s="287"/>
      <c r="CAF313" s="287"/>
      <c r="CAG313" s="287"/>
      <c r="CAH313" s="287"/>
      <c r="CAI313" s="287"/>
      <c r="CAJ313" s="287"/>
      <c r="CAK313" s="287"/>
      <c r="CAL313" s="287"/>
      <c r="CAM313" s="287"/>
      <c r="CAN313" s="287"/>
      <c r="CAO313" s="287"/>
      <c r="CAP313" s="287"/>
      <c r="CAQ313" s="287"/>
      <c r="CAR313" s="287"/>
      <c r="CAS313" s="287"/>
      <c r="CAT313" s="287"/>
      <c r="CAU313" s="287"/>
      <c r="CAV313" s="287"/>
      <c r="CAW313" s="287"/>
      <c r="CAX313" s="287"/>
      <c r="CAY313" s="287"/>
      <c r="CAZ313" s="287"/>
      <c r="CBA313" s="287"/>
      <c r="CBB313" s="287"/>
      <c r="CBC313" s="287"/>
      <c r="CBD313" s="287"/>
      <c r="CBE313" s="287"/>
      <c r="CBF313" s="287"/>
      <c r="CBG313" s="287"/>
      <c r="CBH313" s="287"/>
      <c r="CBI313" s="287"/>
      <c r="CBJ313" s="287"/>
      <c r="CBK313" s="287"/>
      <c r="CBL313" s="287"/>
      <c r="CBM313" s="287"/>
      <c r="CBN313" s="287"/>
      <c r="CBO313" s="287"/>
      <c r="CBP313" s="287"/>
      <c r="CBQ313" s="287"/>
      <c r="CBR313" s="287"/>
      <c r="CBS313" s="287"/>
      <c r="CBT313" s="287"/>
      <c r="CBU313" s="287"/>
      <c r="CBV313" s="287"/>
      <c r="CBW313" s="287"/>
      <c r="CBX313" s="287"/>
      <c r="CBY313" s="287"/>
      <c r="CBZ313" s="287"/>
      <c r="CCA313" s="287"/>
      <c r="CCB313" s="287"/>
      <c r="CCC313" s="287"/>
      <c r="CCD313" s="287"/>
      <c r="CCE313" s="287"/>
      <c r="CCF313" s="287"/>
      <c r="CCG313" s="287"/>
      <c r="CCH313" s="287"/>
      <c r="CCI313" s="287"/>
      <c r="CCJ313" s="287"/>
      <c r="CCK313" s="287"/>
      <c r="CCL313" s="287"/>
      <c r="CCM313" s="287"/>
      <c r="CCN313" s="287"/>
      <c r="CCO313" s="287"/>
      <c r="CCP313" s="287"/>
      <c r="CCQ313" s="287"/>
      <c r="CCR313" s="287"/>
      <c r="CCS313" s="287"/>
      <c r="CCT313" s="287"/>
      <c r="CCU313" s="287"/>
      <c r="CCV313" s="287"/>
      <c r="CCW313" s="287"/>
      <c r="CCX313" s="287"/>
      <c r="CCY313" s="287"/>
      <c r="CCZ313" s="287"/>
      <c r="CDA313" s="287"/>
      <c r="CDB313" s="287"/>
      <c r="CDC313" s="287"/>
      <c r="CDD313" s="287"/>
      <c r="CDE313" s="287"/>
      <c r="CDF313" s="287"/>
      <c r="CDG313" s="287"/>
      <c r="CDH313" s="287"/>
      <c r="CDI313" s="287"/>
      <c r="CDJ313" s="287"/>
      <c r="CDK313" s="287"/>
      <c r="CDL313" s="287"/>
      <c r="CDM313" s="287"/>
      <c r="CDN313" s="287"/>
      <c r="CDO313" s="287"/>
      <c r="CDP313" s="287"/>
      <c r="CDQ313" s="287"/>
      <c r="CDR313" s="287"/>
      <c r="CDS313" s="287"/>
      <c r="CDT313" s="287"/>
      <c r="CDU313" s="287"/>
      <c r="CDV313" s="287"/>
      <c r="CDW313" s="287"/>
      <c r="CDX313" s="287"/>
      <c r="CDY313" s="287"/>
      <c r="CDZ313" s="287"/>
      <c r="CEA313" s="287"/>
      <c r="CEB313" s="287"/>
      <c r="CEC313" s="287"/>
      <c r="CED313" s="287"/>
      <c r="CEE313" s="287"/>
      <c r="CEF313" s="287"/>
      <c r="CEG313" s="287"/>
      <c r="CEH313" s="287"/>
      <c r="CEI313" s="287"/>
      <c r="CEJ313" s="287"/>
      <c r="CEK313" s="287"/>
      <c r="CEL313" s="287"/>
      <c r="CEM313" s="287"/>
      <c r="CEN313" s="287"/>
      <c r="CEO313" s="287"/>
      <c r="CEP313" s="287"/>
      <c r="CEQ313" s="287"/>
      <c r="CER313" s="287"/>
      <c r="CES313" s="287"/>
      <c r="CET313" s="287"/>
      <c r="CEU313" s="287"/>
      <c r="CEV313" s="287"/>
      <c r="CEW313" s="287"/>
      <c r="CEX313" s="287"/>
      <c r="CEY313" s="287"/>
      <c r="CEZ313" s="287"/>
      <c r="CFA313" s="287"/>
      <c r="CFB313" s="287"/>
      <c r="CFC313" s="287"/>
      <c r="CFD313" s="287"/>
      <c r="CFE313" s="287"/>
      <c r="CFF313" s="287"/>
      <c r="CFG313" s="287"/>
      <c r="CFH313" s="287"/>
      <c r="CFI313" s="287"/>
      <c r="CFJ313" s="287"/>
      <c r="CFK313" s="287"/>
      <c r="CFL313" s="287"/>
      <c r="CFM313" s="287"/>
      <c r="CFN313" s="287"/>
      <c r="CFO313" s="287"/>
      <c r="CFP313" s="287"/>
      <c r="CFQ313" s="287"/>
      <c r="CFR313" s="287"/>
      <c r="CFS313" s="287"/>
      <c r="CFT313" s="287"/>
      <c r="CFU313" s="287"/>
      <c r="CFV313" s="287"/>
      <c r="CFW313" s="287"/>
      <c r="CFX313" s="287"/>
      <c r="CFY313" s="287"/>
      <c r="CFZ313" s="287"/>
      <c r="CGA313" s="287"/>
      <c r="CGB313" s="287"/>
      <c r="CGC313" s="287"/>
      <c r="CGD313" s="287"/>
      <c r="CGE313" s="287"/>
      <c r="CGF313" s="287"/>
      <c r="CGG313" s="287"/>
      <c r="CGH313" s="287"/>
      <c r="CGI313" s="287"/>
      <c r="CGJ313" s="287"/>
      <c r="CGK313" s="287"/>
      <c r="CGL313" s="287"/>
      <c r="CGM313" s="287"/>
      <c r="CGN313" s="287"/>
      <c r="CGO313" s="287"/>
      <c r="CGP313" s="287"/>
      <c r="CGQ313" s="287"/>
      <c r="CGR313" s="287"/>
      <c r="CGS313" s="287"/>
      <c r="CGT313" s="287"/>
      <c r="CGU313" s="287"/>
      <c r="CGV313" s="287"/>
      <c r="CGW313" s="287"/>
      <c r="CGX313" s="287"/>
      <c r="CGY313" s="287"/>
      <c r="CGZ313" s="287"/>
      <c r="CHA313" s="287"/>
      <c r="CHB313" s="287"/>
      <c r="CHC313" s="287"/>
      <c r="CHD313" s="287"/>
      <c r="CHE313" s="287"/>
      <c r="CHF313" s="287"/>
      <c r="CHG313" s="287"/>
      <c r="CHH313" s="287"/>
      <c r="CHI313" s="287"/>
      <c r="CHJ313" s="287"/>
      <c r="CHK313" s="287"/>
      <c r="CHL313" s="287"/>
      <c r="CHM313" s="287"/>
      <c r="CHN313" s="287"/>
      <c r="CHO313" s="287"/>
      <c r="CHP313" s="287"/>
      <c r="CHQ313" s="287"/>
      <c r="CHR313" s="287"/>
      <c r="CHS313" s="287"/>
      <c r="CHT313" s="287"/>
      <c r="CHU313" s="287"/>
      <c r="CHV313" s="287"/>
      <c r="CHW313" s="287"/>
      <c r="CHX313" s="287"/>
      <c r="CHY313" s="287"/>
      <c r="CHZ313" s="287"/>
      <c r="CIA313" s="287"/>
      <c r="CIB313" s="287"/>
      <c r="CIC313" s="287"/>
      <c r="CID313" s="287"/>
      <c r="CIE313" s="287"/>
      <c r="CIF313" s="287"/>
      <c r="CIG313" s="287"/>
      <c r="CIH313" s="287"/>
      <c r="CII313" s="287"/>
      <c r="CIJ313" s="287"/>
      <c r="CIK313" s="287"/>
      <c r="CIL313" s="287"/>
      <c r="CIM313" s="287"/>
      <c r="CIN313" s="287"/>
      <c r="CIO313" s="287"/>
      <c r="CIP313" s="287"/>
      <c r="CIQ313" s="287"/>
      <c r="CIR313" s="287"/>
      <c r="CIS313" s="287"/>
      <c r="CIT313" s="287"/>
      <c r="CIU313" s="287"/>
      <c r="CIV313" s="287"/>
      <c r="CIW313" s="287"/>
      <c r="CIX313" s="287"/>
      <c r="CIY313" s="287"/>
      <c r="CIZ313" s="287"/>
      <c r="CJA313" s="287"/>
      <c r="CJB313" s="287"/>
      <c r="CJC313" s="287"/>
      <c r="CJD313" s="287"/>
      <c r="CJE313" s="287"/>
      <c r="CJF313" s="287"/>
      <c r="CJG313" s="287"/>
      <c r="CJH313" s="287"/>
      <c r="CJI313" s="287"/>
      <c r="CJJ313" s="287"/>
      <c r="CJK313" s="287"/>
      <c r="CJL313" s="287"/>
      <c r="CJM313" s="287"/>
      <c r="CJN313" s="287"/>
      <c r="CJO313" s="287"/>
      <c r="CJP313" s="287"/>
      <c r="CJQ313" s="287"/>
      <c r="CJR313" s="287"/>
      <c r="CJS313" s="287"/>
      <c r="CJT313" s="287"/>
      <c r="CJU313" s="287"/>
      <c r="CJV313" s="287"/>
      <c r="CJW313" s="287"/>
      <c r="CJX313" s="287"/>
      <c r="CJY313" s="287"/>
      <c r="CJZ313" s="287"/>
      <c r="CKA313" s="287"/>
      <c r="CKB313" s="287"/>
      <c r="CKC313" s="287"/>
      <c r="CKD313" s="287"/>
      <c r="CKE313" s="287"/>
      <c r="CKF313" s="287"/>
      <c r="CKG313" s="287"/>
      <c r="CKH313" s="287"/>
      <c r="CKI313" s="287"/>
      <c r="CKJ313" s="287"/>
      <c r="CKK313" s="287"/>
      <c r="CKL313" s="287"/>
      <c r="CKM313" s="287"/>
      <c r="CKN313" s="287"/>
      <c r="CKO313" s="287"/>
      <c r="CKP313" s="287"/>
      <c r="CKQ313" s="287"/>
      <c r="CKR313" s="287"/>
      <c r="CKS313" s="287"/>
      <c r="CKT313" s="287"/>
      <c r="CKU313" s="287"/>
      <c r="CKV313" s="287"/>
      <c r="CKW313" s="287"/>
      <c r="CKX313" s="287"/>
      <c r="CKY313" s="287"/>
      <c r="CKZ313" s="287"/>
      <c r="CLA313" s="287"/>
      <c r="CLB313" s="287"/>
      <c r="CLC313" s="287"/>
      <c r="CLD313" s="287"/>
      <c r="CLE313" s="287"/>
      <c r="CLF313" s="287"/>
      <c r="CLG313" s="287"/>
      <c r="CLH313" s="287"/>
      <c r="CLI313" s="287"/>
      <c r="CLJ313" s="287"/>
      <c r="CLK313" s="287"/>
      <c r="CLL313" s="287"/>
      <c r="CLM313" s="287"/>
      <c r="CLN313" s="287"/>
      <c r="CLO313" s="287"/>
      <c r="CLP313" s="287"/>
      <c r="CLQ313" s="287"/>
      <c r="CLR313" s="287"/>
      <c r="CLS313" s="287"/>
      <c r="CLT313" s="287"/>
      <c r="CLU313" s="287"/>
      <c r="CLV313" s="287"/>
      <c r="CLW313" s="287"/>
      <c r="CLX313" s="287"/>
      <c r="CLY313" s="287"/>
      <c r="CLZ313" s="287"/>
      <c r="CMA313" s="287"/>
      <c r="CMB313" s="287"/>
      <c r="CMC313" s="287"/>
      <c r="CMD313" s="287"/>
      <c r="CME313" s="287"/>
      <c r="CMF313" s="287"/>
      <c r="CMG313" s="287"/>
      <c r="CMH313" s="287"/>
      <c r="CMI313" s="287"/>
      <c r="CMJ313" s="287"/>
      <c r="CMK313" s="287"/>
      <c r="CML313" s="287"/>
      <c r="CMM313" s="287"/>
      <c r="CMN313" s="287"/>
      <c r="CMO313" s="287"/>
      <c r="CMP313" s="287"/>
      <c r="CMQ313" s="287"/>
      <c r="CMR313" s="287"/>
      <c r="CMS313" s="287"/>
      <c r="CMT313" s="287"/>
      <c r="CMU313" s="287"/>
      <c r="CMV313" s="287"/>
      <c r="CMW313" s="287"/>
      <c r="CMX313" s="287"/>
      <c r="CMY313" s="287"/>
      <c r="CMZ313" s="287"/>
      <c r="CNA313" s="287"/>
      <c r="CNB313" s="287"/>
      <c r="CNC313" s="287"/>
      <c r="CND313" s="287"/>
      <c r="CNE313" s="287"/>
      <c r="CNF313" s="287"/>
      <c r="CNG313" s="287"/>
      <c r="CNH313" s="287"/>
      <c r="CNI313" s="287"/>
      <c r="CNJ313" s="287"/>
      <c r="CNK313" s="287"/>
      <c r="CNL313" s="287"/>
      <c r="CNM313" s="287"/>
      <c r="CNN313" s="287"/>
      <c r="CNO313" s="287"/>
      <c r="CNP313" s="287"/>
      <c r="CNQ313" s="287"/>
      <c r="CNR313" s="287"/>
      <c r="CNS313" s="287"/>
      <c r="CNT313" s="287"/>
      <c r="CNU313" s="287"/>
      <c r="CNV313" s="287"/>
      <c r="CNW313" s="287"/>
      <c r="CNX313" s="287"/>
      <c r="CNY313" s="287"/>
      <c r="CNZ313" s="287"/>
      <c r="COA313" s="287"/>
      <c r="COB313" s="287"/>
      <c r="COC313" s="287"/>
      <c r="COD313" s="287"/>
      <c r="COE313" s="287"/>
      <c r="COF313" s="287"/>
      <c r="COG313" s="287"/>
      <c r="COH313" s="287"/>
      <c r="COI313" s="287"/>
      <c r="COJ313" s="287"/>
      <c r="COK313" s="287"/>
      <c r="COL313" s="287"/>
      <c r="COM313" s="287"/>
      <c r="CON313" s="287"/>
      <c r="COO313" s="287"/>
      <c r="COP313" s="287"/>
      <c r="COQ313" s="287"/>
      <c r="COR313" s="287"/>
      <c r="COS313" s="287"/>
      <c r="COT313" s="287"/>
      <c r="COU313" s="287"/>
      <c r="COV313" s="287"/>
      <c r="COW313" s="287"/>
      <c r="COX313" s="287"/>
      <c r="COY313" s="287"/>
      <c r="COZ313" s="287"/>
      <c r="CPA313" s="287"/>
      <c r="CPB313" s="287"/>
      <c r="CPC313" s="287"/>
      <c r="CPD313" s="287"/>
      <c r="CPE313" s="287"/>
      <c r="CPF313" s="287"/>
      <c r="CPG313" s="287"/>
      <c r="CPH313" s="287"/>
      <c r="CPI313" s="287"/>
      <c r="CPJ313" s="287"/>
      <c r="CPK313" s="287"/>
      <c r="CPL313" s="287"/>
      <c r="CPM313" s="287"/>
      <c r="CPN313" s="287"/>
      <c r="CPO313" s="287"/>
      <c r="CPP313" s="287"/>
      <c r="CPQ313" s="287"/>
      <c r="CPR313" s="287"/>
      <c r="CPS313" s="287"/>
      <c r="CPT313" s="287"/>
      <c r="CPU313" s="287"/>
      <c r="CPV313" s="287"/>
      <c r="CPW313" s="287"/>
      <c r="CPX313" s="287"/>
      <c r="CPY313" s="287"/>
      <c r="CPZ313" s="287"/>
      <c r="CQA313" s="287"/>
      <c r="CQB313" s="287"/>
      <c r="CQC313" s="287"/>
      <c r="CQD313" s="287"/>
      <c r="CQE313" s="287"/>
      <c r="CQF313" s="287"/>
      <c r="CQG313" s="287"/>
      <c r="CQH313" s="287"/>
      <c r="CQI313" s="287"/>
      <c r="CQJ313" s="287"/>
      <c r="CQK313" s="287"/>
      <c r="CQL313" s="287"/>
      <c r="CQM313" s="287"/>
      <c r="CQN313" s="287"/>
      <c r="CQO313" s="287"/>
      <c r="CQP313" s="287"/>
      <c r="CQQ313" s="287"/>
      <c r="CQR313" s="287"/>
      <c r="CQS313" s="287"/>
      <c r="CQT313" s="287"/>
      <c r="CQU313" s="287"/>
      <c r="CQV313" s="287"/>
      <c r="CQW313" s="287"/>
      <c r="CQX313" s="287"/>
      <c r="CQY313" s="287"/>
      <c r="CQZ313" s="287"/>
      <c r="CRA313" s="287"/>
      <c r="CRB313" s="287"/>
      <c r="CRC313" s="287"/>
      <c r="CRD313" s="287"/>
      <c r="CRE313" s="287"/>
      <c r="CRF313" s="287"/>
      <c r="CRG313" s="287"/>
      <c r="CRH313" s="287"/>
      <c r="CRI313" s="287"/>
      <c r="CRJ313" s="287"/>
      <c r="CRK313" s="287"/>
      <c r="CRL313" s="287"/>
      <c r="CRM313" s="287"/>
      <c r="CRN313" s="287"/>
      <c r="CRO313" s="287"/>
      <c r="CRP313" s="287"/>
      <c r="CRQ313" s="287"/>
      <c r="CRR313" s="287"/>
      <c r="CRS313" s="287"/>
      <c r="CRT313" s="287"/>
      <c r="CRU313" s="287"/>
      <c r="CRV313" s="287"/>
      <c r="CRW313" s="287"/>
      <c r="CRX313" s="287"/>
      <c r="CRY313" s="287"/>
      <c r="CRZ313" s="287"/>
      <c r="CSA313" s="287"/>
      <c r="CSB313" s="287"/>
      <c r="CSC313" s="287"/>
      <c r="CSD313" s="287"/>
      <c r="CSE313" s="287"/>
      <c r="CSF313" s="287"/>
      <c r="CSG313" s="287"/>
      <c r="CSH313" s="287"/>
      <c r="CSI313" s="287"/>
      <c r="CSJ313" s="287"/>
      <c r="CSK313" s="287"/>
      <c r="CSL313" s="287"/>
      <c r="CSM313" s="287"/>
      <c r="CSN313" s="287"/>
      <c r="CSO313" s="287"/>
      <c r="CSP313" s="287"/>
      <c r="CSQ313" s="287"/>
      <c r="CSR313" s="287"/>
      <c r="CSS313" s="287"/>
      <c r="CST313" s="287"/>
      <c r="CSU313" s="287"/>
      <c r="CSV313" s="287"/>
      <c r="CSW313" s="287"/>
      <c r="CSX313" s="287"/>
      <c r="CSY313" s="287"/>
      <c r="CSZ313" s="287"/>
      <c r="CTA313" s="287"/>
      <c r="CTB313" s="287"/>
      <c r="CTC313" s="287"/>
      <c r="CTD313" s="287"/>
      <c r="CTE313" s="287"/>
      <c r="CTF313" s="287"/>
      <c r="CTG313" s="287"/>
      <c r="CTH313" s="287"/>
      <c r="CTI313" s="287"/>
      <c r="CTJ313" s="287"/>
      <c r="CTK313" s="287"/>
      <c r="CTL313" s="287"/>
      <c r="CTM313" s="287"/>
      <c r="CTN313" s="287"/>
      <c r="CTO313" s="287"/>
      <c r="CTP313" s="287"/>
      <c r="CTQ313" s="287"/>
      <c r="CTR313" s="287"/>
      <c r="CTS313" s="287"/>
      <c r="CTT313" s="287"/>
      <c r="CTU313" s="287"/>
      <c r="CTV313" s="287"/>
      <c r="CTW313" s="287"/>
      <c r="CTX313" s="287"/>
      <c r="CTY313" s="287"/>
      <c r="CTZ313" s="287"/>
      <c r="CUA313" s="287"/>
      <c r="CUB313" s="287"/>
      <c r="CUC313" s="287"/>
      <c r="CUD313" s="287"/>
      <c r="CUE313" s="287"/>
      <c r="CUF313" s="287"/>
      <c r="CUG313" s="287"/>
      <c r="CUH313" s="287"/>
      <c r="CUI313" s="287"/>
      <c r="CUJ313" s="287"/>
      <c r="CUK313" s="287"/>
      <c r="CUL313" s="287"/>
      <c r="CUM313" s="287"/>
      <c r="CUN313" s="287"/>
      <c r="CUO313" s="287"/>
      <c r="CUP313" s="287"/>
      <c r="CUQ313" s="287"/>
      <c r="CUR313" s="287"/>
      <c r="CUS313" s="287"/>
      <c r="CUT313" s="287"/>
      <c r="CUU313" s="287"/>
      <c r="CUV313" s="287"/>
      <c r="CUW313" s="287"/>
      <c r="CUX313" s="287"/>
      <c r="CUY313" s="287"/>
      <c r="CUZ313" s="287"/>
      <c r="CVA313" s="287"/>
      <c r="CVB313" s="287"/>
      <c r="CVC313" s="287"/>
      <c r="CVD313" s="287"/>
      <c r="CVE313" s="287"/>
      <c r="CVF313" s="287"/>
      <c r="CVG313" s="287"/>
      <c r="CVH313" s="287"/>
      <c r="CVI313" s="287"/>
      <c r="CVJ313" s="287"/>
      <c r="CVK313" s="287"/>
      <c r="CVL313" s="287"/>
      <c r="CVM313" s="287"/>
      <c r="CVN313" s="287"/>
      <c r="CVO313" s="287"/>
      <c r="CVP313" s="287"/>
      <c r="CVQ313" s="287"/>
      <c r="CVR313" s="287"/>
      <c r="CVS313" s="287"/>
      <c r="CVT313" s="287"/>
      <c r="CVU313" s="287"/>
      <c r="CVV313" s="287"/>
      <c r="CVW313" s="287"/>
      <c r="CVX313" s="287"/>
      <c r="CVY313" s="287"/>
      <c r="CVZ313" s="287"/>
      <c r="CWA313" s="287"/>
      <c r="CWB313" s="287"/>
      <c r="CWC313" s="287"/>
      <c r="CWD313" s="287"/>
      <c r="CWE313" s="287"/>
      <c r="CWF313" s="287"/>
      <c r="CWG313" s="287"/>
      <c r="CWH313" s="287"/>
      <c r="CWI313" s="287"/>
      <c r="CWJ313" s="287"/>
      <c r="CWK313" s="287"/>
      <c r="CWL313" s="287"/>
      <c r="CWM313" s="287"/>
      <c r="CWN313" s="287"/>
      <c r="CWO313" s="287"/>
      <c r="CWP313" s="287"/>
      <c r="CWQ313" s="287"/>
      <c r="CWR313" s="287"/>
      <c r="CWS313" s="287"/>
      <c r="CWT313" s="287"/>
      <c r="CWU313" s="287"/>
      <c r="CWV313" s="287"/>
      <c r="CWW313" s="287"/>
      <c r="CWX313" s="287"/>
      <c r="CWY313" s="287"/>
      <c r="CWZ313" s="287"/>
      <c r="CXA313" s="287"/>
      <c r="CXB313" s="287"/>
      <c r="CXC313" s="287"/>
      <c r="CXD313" s="287"/>
      <c r="CXE313" s="287"/>
      <c r="CXF313" s="287"/>
      <c r="CXG313" s="287"/>
      <c r="CXH313" s="287"/>
      <c r="CXI313" s="287"/>
      <c r="CXJ313" s="287"/>
      <c r="CXK313" s="287"/>
      <c r="CXL313" s="287"/>
      <c r="CXM313" s="287"/>
      <c r="CXN313" s="287"/>
      <c r="CXO313" s="287"/>
      <c r="CXP313" s="287"/>
      <c r="CXQ313" s="287"/>
      <c r="CXR313" s="287"/>
      <c r="CXS313" s="287"/>
      <c r="CXT313" s="287"/>
      <c r="CXU313" s="287"/>
      <c r="CXV313" s="287"/>
      <c r="CXW313" s="287"/>
      <c r="CXX313" s="287"/>
      <c r="CXY313" s="287"/>
      <c r="CXZ313" s="287"/>
      <c r="CYA313" s="287"/>
      <c r="CYB313" s="287"/>
      <c r="CYC313" s="287"/>
      <c r="CYD313" s="287"/>
      <c r="CYE313" s="287"/>
      <c r="CYF313" s="287"/>
      <c r="CYG313" s="287"/>
      <c r="CYH313" s="287"/>
      <c r="CYI313" s="287"/>
      <c r="CYJ313" s="287"/>
      <c r="CYK313" s="287"/>
      <c r="CYL313" s="287"/>
      <c r="CYM313" s="287"/>
      <c r="CYN313" s="287"/>
      <c r="CYO313" s="287"/>
      <c r="CYP313" s="287"/>
      <c r="CYQ313" s="287"/>
      <c r="CYR313" s="287"/>
      <c r="CYS313" s="287"/>
      <c r="CYT313" s="287"/>
      <c r="CYU313" s="287"/>
      <c r="CYV313" s="287"/>
      <c r="CYW313" s="287"/>
      <c r="CYX313" s="287"/>
      <c r="CYY313" s="287"/>
      <c r="CYZ313" s="287"/>
      <c r="CZA313" s="287"/>
      <c r="CZB313" s="287"/>
      <c r="CZC313" s="287"/>
      <c r="CZD313" s="287"/>
      <c r="CZE313" s="287"/>
      <c r="CZF313" s="287"/>
      <c r="CZG313" s="287"/>
      <c r="CZH313" s="287"/>
      <c r="CZI313" s="287"/>
      <c r="CZJ313" s="287"/>
      <c r="CZK313" s="287"/>
      <c r="CZL313" s="287"/>
      <c r="CZM313" s="287"/>
      <c r="CZN313" s="287"/>
      <c r="CZO313" s="287"/>
      <c r="CZP313" s="287"/>
      <c r="CZQ313" s="287"/>
      <c r="CZR313" s="287"/>
      <c r="CZS313" s="287"/>
      <c r="CZT313" s="287"/>
      <c r="CZU313" s="287"/>
      <c r="CZV313" s="287"/>
      <c r="CZW313" s="287"/>
      <c r="CZX313" s="287"/>
      <c r="CZY313" s="287"/>
      <c r="CZZ313" s="287"/>
      <c r="DAA313" s="287"/>
      <c r="DAB313" s="287"/>
      <c r="DAC313" s="287"/>
      <c r="DAD313" s="287"/>
      <c r="DAE313" s="287"/>
      <c r="DAF313" s="287"/>
      <c r="DAG313" s="287"/>
      <c r="DAH313" s="287"/>
      <c r="DAI313" s="287"/>
      <c r="DAJ313" s="287"/>
      <c r="DAK313" s="287"/>
      <c r="DAL313" s="287"/>
      <c r="DAM313" s="287"/>
      <c r="DAN313" s="287"/>
      <c r="DAO313" s="287"/>
      <c r="DAP313" s="287"/>
      <c r="DAQ313" s="287"/>
      <c r="DAR313" s="287"/>
      <c r="DAS313" s="287"/>
      <c r="DAT313" s="287"/>
      <c r="DAU313" s="287"/>
      <c r="DAV313" s="287"/>
      <c r="DAW313" s="287"/>
      <c r="DAX313" s="287"/>
      <c r="DAY313" s="287"/>
      <c r="DAZ313" s="287"/>
      <c r="DBA313" s="287"/>
      <c r="DBB313" s="287"/>
      <c r="DBC313" s="287"/>
      <c r="DBD313" s="287"/>
      <c r="DBE313" s="287"/>
      <c r="DBF313" s="287"/>
      <c r="DBG313" s="287"/>
      <c r="DBH313" s="287"/>
      <c r="DBI313" s="287"/>
      <c r="DBJ313" s="287"/>
      <c r="DBK313" s="287"/>
      <c r="DBL313" s="287"/>
      <c r="DBM313" s="287"/>
      <c r="DBN313" s="287"/>
      <c r="DBO313" s="287"/>
      <c r="DBP313" s="287"/>
      <c r="DBQ313" s="287"/>
      <c r="DBR313" s="287"/>
      <c r="DBS313" s="287"/>
      <c r="DBT313" s="287"/>
      <c r="DBU313" s="287"/>
      <c r="DBV313" s="287"/>
      <c r="DBW313" s="287"/>
      <c r="DBX313" s="287"/>
      <c r="DBY313" s="287"/>
      <c r="DBZ313" s="287"/>
      <c r="DCA313" s="287"/>
      <c r="DCB313" s="287"/>
      <c r="DCC313" s="287"/>
      <c r="DCD313" s="287"/>
      <c r="DCE313" s="287"/>
      <c r="DCF313" s="287"/>
      <c r="DCG313" s="287"/>
      <c r="DCH313" s="287"/>
      <c r="DCI313" s="287"/>
      <c r="DCJ313" s="287"/>
      <c r="DCK313" s="287"/>
      <c r="DCL313" s="287"/>
      <c r="DCM313" s="287"/>
      <c r="DCN313" s="287"/>
      <c r="DCO313" s="287"/>
      <c r="DCP313" s="287"/>
      <c r="DCQ313" s="287"/>
      <c r="DCR313" s="287"/>
      <c r="DCS313" s="287"/>
      <c r="DCT313" s="287"/>
      <c r="DCU313" s="287"/>
      <c r="DCV313" s="287"/>
      <c r="DCW313" s="287"/>
      <c r="DCX313" s="287"/>
      <c r="DCY313" s="287"/>
      <c r="DCZ313" s="287"/>
      <c r="DDA313" s="287"/>
      <c r="DDB313" s="287"/>
      <c r="DDC313" s="287"/>
      <c r="DDD313" s="287"/>
      <c r="DDE313" s="287"/>
      <c r="DDF313" s="287"/>
      <c r="DDG313" s="287"/>
      <c r="DDH313" s="287"/>
      <c r="DDI313" s="287"/>
      <c r="DDJ313" s="287"/>
      <c r="DDK313" s="287"/>
      <c r="DDL313" s="287"/>
      <c r="DDM313" s="287"/>
      <c r="DDN313" s="287"/>
      <c r="DDO313" s="287"/>
      <c r="DDP313" s="287"/>
      <c r="DDQ313" s="287"/>
      <c r="DDR313" s="287"/>
      <c r="DDS313" s="287"/>
      <c r="DDT313" s="287"/>
      <c r="DDU313" s="287"/>
      <c r="DDV313" s="287"/>
      <c r="DDW313" s="287"/>
      <c r="DDX313" s="287"/>
      <c r="DDY313" s="287"/>
      <c r="DDZ313" s="287"/>
      <c r="DEA313" s="287"/>
      <c r="DEB313" s="287"/>
      <c r="DEC313" s="287"/>
      <c r="DED313" s="287"/>
      <c r="DEE313" s="287"/>
      <c r="DEF313" s="287"/>
      <c r="DEG313" s="287"/>
      <c r="DEH313" s="287"/>
      <c r="DEI313" s="287"/>
      <c r="DEJ313" s="287"/>
      <c r="DEK313" s="287"/>
      <c r="DEL313" s="287"/>
      <c r="DEM313" s="287"/>
      <c r="DEN313" s="287"/>
      <c r="DEO313" s="287"/>
      <c r="DEP313" s="287"/>
      <c r="DEQ313" s="287"/>
      <c r="DER313" s="287"/>
      <c r="DES313" s="287"/>
      <c r="DET313" s="287"/>
      <c r="DEU313" s="287"/>
      <c r="DEV313" s="287"/>
      <c r="DEW313" s="287"/>
      <c r="DEX313" s="287"/>
      <c r="DEY313" s="287"/>
      <c r="DEZ313" s="287"/>
      <c r="DFA313" s="287"/>
      <c r="DFB313" s="287"/>
      <c r="DFC313" s="287"/>
      <c r="DFD313" s="287"/>
      <c r="DFE313" s="287"/>
      <c r="DFF313" s="287"/>
      <c r="DFG313" s="287"/>
      <c r="DFH313" s="287"/>
      <c r="DFI313" s="287"/>
      <c r="DFJ313" s="287"/>
      <c r="DFK313" s="287"/>
      <c r="DFL313" s="287"/>
      <c r="DFM313" s="287"/>
      <c r="DFN313" s="287"/>
      <c r="DFO313" s="287"/>
      <c r="DFP313" s="287"/>
      <c r="DFQ313" s="287"/>
      <c r="DFR313" s="287"/>
      <c r="DFS313" s="287"/>
      <c r="DFT313" s="287"/>
      <c r="DFU313" s="287"/>
      <c r="DFV313" s="287"/>
      <c r="DFW313" s="287"/>
      <c r="DFX313" s="287"/>
      <c r="DFY313" s="287"/>
      <c r="DFZ313" s="287"/>
      <c r="DGA313" s="287"/>
      <c r="DGB313" s="287"/>
      <c r="DGC313" s="287"/>
      <c r="DGD313" s="287"/>
      <c r="DGE313" s="287"/>
      <c r="DGF313" s="287"/>
      <c r="DGG313" s="287"/>
      <c r="DGH313" s="287"/>
      <c r="DGI313" s="287"/>
      <c r="DGJ313" s="287"/>
      <c r="DGK313" s="287"/>
      <c r="DGL313" s="287"/>
      <c r="DGM313" s="287"/>
      <c r="DGN313" s="287"/>
      <c r="DGO313" s="287"/>
      <c r="DGP313" s="287"/>
      <c r="DGQ313" s="287"/>
      <c r="DGR313" s="287"/>
      <c r="DGS313" s="287"/>
      <c r="DGT313" s="287"/>
      <c r="DGU313" s="287"/>
      <c r="DGV313" s="287"/>
      <c r="DGW313" s="287"/>
      <c r="DGX313" s="287"/>
      <c r="DGY313" s="287"/>
      <c r="DGZ313" s="287"/>
      <c r="DHA313" s="287"/>
      <c r="DHB313" s="287"/>
      <c r="DHC313" s="287"/>
      <c r="DHD313" s="287"/>
      <c r="DHE313" s="287"/>
      <c r="DHF313" s="287"/>
      <c r="DHG313" s="287"/>
      <c r="DHH313" s="287"/>
      <c r="DHI313" s="287"/>
      <c r="DHJ313" s="287"/>
      <c r="DHK313" s="287"/>
      <c r="DHL313" s="287"/>
      <c r="DHM313" s="287"/>
      <c r="DHN313" s="287"/>
      <c r="DHO313" s="287"/>
      <c r="DHP313" s="287"/>
      <c r="DHQ313" s="287"/>
      <c r="DHR313" s="287"/>
      <c r="DHS313" s="287"/>
      <c r="DHT313" s="287"/>
      <c r="DHU313" s="287"/>
      <c r="DHV313" s="287"/>
      <c r="DHW313" s="287"/>
      <c r="DHX313" s="287"/>
      <c r="DHY313" s="287"/>
      <c r="DHZ313" s="287"/>
      <c r="DIA313" s="287"/>
      <c r="DIB313" s="287"/>
      <c r="DIC313" s="287"/>
      <c r="DID313" s="287"/>
      <c r="DIE313" s="287"/>
      <c r="DIF313" s="287"/>
      <c r="DIG313" s="287"/>
      <c r="DIH313" s="287"/>
      <c r="DII313" s="287"/>
      <c r="DIJ313" s="287"/>
      <c r="DIK313" s="287"/>
      <c r="DIL313" s="287"/>
      <c r="DIM313" s="287"/>
      <c r="DIN313" s="287"/>
      <c r="DIO313" s="287"/>
      <c r="DIP313" s="287"/>
      <c r="DIQ313" s="287"/>
      <c r="DIR313" s="287"/>
      <c r="DIS313" s="287"/>
      <c r="DIT313" s="287"/>
      <c r="DIU313" s="287"/>
      <c r="DIV313" s="287"/>
      <c r="DIW313" s="287"/>
      <c r="DIX313" s="287"/>
      <c r="DIY313" s="287"/>
      <c r="DIZ313" s="287"/>
      <c r="DJA313" s="287"/>
      <c r="DJB313" s="287"/>
      <c r="DJC313" s="287"/>
      <c r="DJD313" s="287"/>
      <c r="DJE313" s="287"/>
      <c r="DJF313" s="287"/>
      <c r="DJG313" s="287"/>
      <c r="DJH313" s="287"/>
      <c r="DJI313" s="287"/>
      <c r="DJJ313" s="287"/>
      <c r="DJK313" s="287"/>
      <c r="DJL313" s="287"/>
      <c r="DJM313" s="287"/>
      <c r="DJN313" s="287"/>
      <c r="DJO313" s="287"/>
      <c r="DJP313" s="287"/>
      <c r="DJQ313" s="287"/>
      <c r="DJR313" s="287"/>
      <c r="DJS313" s="287"/>
      <c r="DJT313" s="287"/>
      <c r="DJU313" s="287"/>
      <c r="DJV313" s="287"/>
      <c r="DJW313" s="287"/>
      <c r="DJX313" s="287"/>
      <c r="DJY313" s="287"/>
      <c r="DJZ313" s="287"/>
      <c r="DKA313" s="287"/>
      <c r="DKB313" s="287"/>
      <c r="DKC313" s="287"/>
      <c r="DKD313" s="287"/>
      <c r="DKE313" s="287"/>
      <c r="DKF313" s="287"/>
      <c r="DKG313" s="287"/>
      <c r="DKH313" s="287"/>
      <c r="DKI313" s="287"/>
      <c r="DKJ313" s="287"/>
      <c r="DKK313" s="287"/>
      <c r="DKL313" s="287"/>
      <c r="DKM313" s="287"/>
      <c r="DKN313" s="287"/>
      <c r="DKO313" s="287"/>
      <c r="DKP313" s="287"/>
      <c r="DKQ313" s="287"/>
      <c r="DKR313" s="287"/>
      <c r="DKS313" s="287"/>
      <c r="DKT313" s="287"/>
      <c r="DKU313" s="287"/>
      <c r="DKV313" s="287"/>
      <c r="DKW313" s="287"/>
      <c r="DKX313" s="287"/>
      <c r="DKY313" s="287"/>
      <c r="DKZ313" s="287"/>
      <c r="DLA313" s="287"/>
      <c r="DLB313" s="287"/>
      <c r="DLC313" s="287"/>
      <c r="DLD313" s="287"/>
      <c r="DLE313" s="287"/>
      <c r="DLF313" s="287"/>
      <c r="DLG313" s="287"/>
      <c r="DLH313" s="287"/>
      <c r="DLI313" s="287"/>
      <c r="DLJ313" s="287"/>
      <c r="DLK313" s="287"/>
      <c r="DLL313" s="287"/>
      <c r="DLM313" s="287"/>
      <c r="DLN313" s="287"/>
      <c r="DLO313" s="287"/>
      <c r="DLP313" s="287"/>
      <c r="DLQ313" s="287"/>
      <c r="DLR313" s="287"/>
      <c r="DLS313" s="287"/>
      <c r="DLT313" s="287"/>
      <c r="DLU313" s="287"/>
      <c r="DLV313" s="287"/>
      <c r="DLW313" s="287"/>
      <c r="DLX313" s="287"/>
      <c r="DLY313" s="287"/>
      <c r="DLZ313" s="287"/>
      <c r="DMA313" s="287"/>
      <c r="DMB313" s="287"/>
      <c r="DMC313" s="287"/>
      <c r="DMD313" s="287"/>
      <c r="DME313" s="287"/>
      <c r="DMF313" s="287"/>
      <c r="DMG313" s="287"/>
      <c r="DMH313" s="287"/>
      <c r="DMI313" s="287"/>
      <c r="DMJ313" s="287"/>
      <c r="DMK313" s="287"/>
      <c r="DML313" s="287"/>
      <c r="DMM313" s="287"/>
      <c r="DMN313" s="287"/>
      <c r="DMO313" s="287"/>
      <c r="DMP313" s="287"/>
      <c r="DMQ313" s="287"/>
      <c r="DMR313" s="287"/>
      <c r="DMS313" s="287"/>
      <c r="DMT313" s="287"/>
      <c r="DMU313" s="287"/>
      <c r="DMV313" s="287"/>
      <c r="DMW313" s="287"/>
      <c r="DMX313" s="287"/>
      <c r="DMY313" s="287"/>
      <c r="DMZ313" s="287"/>
      <c r="DNA313" s="287"/>
      <c r="DNB313" s="287"/>
      <c r="DNC313" s="287"/>
      <c r="DND313" s="287"/>
      <c r="DNE313" s="287"/>
      <c r="DNF313" s="287"/>
      <c r="DNG313" s="287"/>
      <c r="DNH313" s="287"/>
      <c r="DNI313" s="287"/>
      <c r="DNJ313" s="287"/>
      <c r="DNK313" s="287"/>
      <c r="DNL313" s="287"/>
      <c r="DNM313" s="287"/>
      <c r="DNN313" s="287"/>
      <c r="DNO313" s="287"/>
      <c r="DNP313" s="287"/>
      <c r="DNQ313" s="287"/>
      <c r="DNR313" s="287"/>
      <c r="DNS313" s="287"/>
      <c r="DNT313" s="287"/>
      <c r="DNU313" s="287"/>
      <c r="DNV313" s="287"/>
      <c r="DNW313" s="287"/>
      <c r="DNX313" s="287"/>
      <c r="DNY313" s="287"/>
      <c r="DNZ313" s="287"/>
      <c r="DOA313" s="287"/>
      <c r="DOB313" s="287"/>
      <c r="DOC313" s="287"/>
      <c r="DOD313" s="287"/>
      <c r="DOE313" s="287"/>
      <c r="DOF313" s="287"/>
      <c r="DOG313" s="287"/>
      <c r="DOH313" s="287"/>
      <c r="DOI313" s="287"/>
      <c r="DOJ313" s="287"/>
      <c r="DOK313" s="287"/>
      <c r="DOL313" s="287"/>
      <c r="DOM313" s="287"/>
      <c r="DON313" s="287"/>
      <c r="DOO313" s="287"/>
      <c r="DOP313" s="287"/>
      <c r="DOQ313" s="287"/>
      <c r="DOR313" s="287"/>
      <c r="DOS313" s="287"/>
      <c r="DOT313" s="287"/>
      <c r="DOU313" s="287"/>
      <c r="DOV313" s="287"/>
      <c r="DOW313" s="287"/>
      <c r="DOX313" s="287"/>
      <c r="DOY313" s="287"/>
      <c r="DOZ313" s="287"/>
      <c r="DPA313" s="287"/>
      <c r="DPB313" s="287"/>
      <c r="DPC313" s="287"/>
      <c r="DPD313" s="287"/>
      <c r="DPE313" s="287"/>
      <c r="DPF313" s="287"/>
      <c r="DPG313" s="287"/>
      <c r="DPH313" s="287"/>
      <c r="DPI313" s="287"/>
      <c r="DPJ313" s="287"/>
      <c r="DPK313" s="287"/>
      <c r="DPL313" s="287"/>
      <c r="DPM313" s="287"/>
      <c r="DPN313" s="287"/>
      <c r="DPO313" s="287"/>
      <c r="DPP313" s="287"/>
      <c r="DPQ313" s="287"/>
      <c r="DPR313" s="287"/>
      <c r="DPS313" s="287"/>
      <c r="DPT313" s="287"/>
      <c r="DPU313" s="287"/>
      <c r="DPV313" s="287"/>
      <c r="DPW313" s="287"/>
      <c r="DPX313" s="287"/>
      <c r="DPY313" s="287"/>
      <c r="DPZ313" s="287"/>
      <c r="DQA313" s="287"/>
      <c r="DQB313" s="287"/>
      <c r="DQC313" s="287"/>
      <c r="DQD313" s="287"/>
      <c r="DQE313" s="287"/>
      <c r="DQF313" s="287"/>
      <c r="DQG313" s="287"/>
      <c r="DQH313" s="287"/>
      <c r="DQI313" s="287"/>
      <c r="DQJ313" s="287"/>
      <c r="DQK313" s="287"/>
      <c r="DQL313" s="287"/>
      <c r="DQM313" s="287"/>
      <c r="DQN313" s="287"/>
      <c r="DQO313" s="287"/>
      <c r="DQP313" s="287"/>
      <c r="DQQ313" s="287"/>
      <c r="DQR313" s="287"/>
      <c r="DQS313" s="287"/>
      <c r="DQT313" s="287"/>
      <c r="DQU313" s="287"/>
      <c r="DQV313" s="287"/>
      <c r="DQW313" s="287"/>
      <c r="DQX313" s="287"/>
      <c r="DQY313" s="287"/>
      <c r="DQZ313" s="287"/>
      <c r="DRA313" s="287"/>
      <c r="DRB313" s="287"/>
      <c r="DRC313" s="287"/>
      <c r="DRD313" s="287"/>
      <c r="DRE313" s="287"/>
      <c r="DRF313" s="287"/>
      <c r="DRG313" s="287"/>
      <c r="DRH313" s="287"/>
      <c r="DRI313" s="287"/>
      <c r="DRJ313" s="287"/>
      <c r="DRK313" s="287"/>
      <c r="DRL313" s="287"/>
      <c r="DRM313" s="287"/>
      <c r="DRN313" s="287"/>
      <c r="DRO313" s="287"/>
      <c r="DRP313" s="287"/>
      <c r="DRQ313" s="287"/>
      <c r="DRR313" s="287"/>
      <c r="DRS313" s="287"/>
      <c r="DRT313" s="287"/>
      <c r="DRU313" s="287"/>
      <c r="DRV313" s="287"/>
      <c r="DRW313" s="287"/>
      <c r="DRX313" s="287"/>
      <c r="DRY313" s="287"/>
      <c r="DRZ313" s="287"/>
      <c r="DSA313" s="287"/>
      <c r="DSB313" s="287"/>
      <c r="DSC313" s="287"/>
      <c r="DSD313" s="287"/>
      <c r="DSE313" s="287"/>
      <c r="DSF313" s="287"/>
      <c r="DSG313" s="287"/>
      <c r="DSH313" s="287"/>
      <c r="DSI313" s="287"/>
      <c r="DSJ313" s="287"/>
      <c r="DSK313" s="287"/>
      <c r="DSL313" s="287"/>
      <c r="DSM313" s="287"/>
      <c r="DSN313" s="287"/>
      <c r="DSO313" s="287"/>
      <c r="DSP313" s="287"/>
      <c r="DSQ313" s="287"/>
      <c r="DSR313" s="287"/>
      <c r="DSS313" s="287"/>
      <c r="DST313" s="287"/>
      <c r="DSU313" s="287"/>
      <c r="DSV313" s="287"/>
      <c r="DSW313" s="287"/>
      <c r="DSX313" s="287"/>
      <c r="DSY313" s="287"/>
      <c r="DSZ313" s="287"/>
      <c r="DTA313" s="287"/>
      <c r="DTB313" s="287"/>
      <c r="DTC313" s="287"/>
      <c r="DTD313" s="287"/>
      <c r="DTE313" s="287"/>
      <c r="DTF313" s="287"/>
      <c r="DTG313" s="287"/>
      <c r="DTH313" s="287"/>
      <c r="DTI313" s="287"/>
      <c r="DTJ313" s="287"/>
      <c r="DTK313" s="287"/>
      <c r="DTL313" s="287"/>
      <c r="DTM313" s="287"/>
      <c r="DTN313" s="287"/>
      <c r="DTO313" s="287"/>
      <c r="DTP313" s="287"/>
      <c r="DTQ313" s="287"/>
      <c r="DTR313" s="287"/>
      <c r="DTS313" s="287"/>
      <c r="DTT313" s="287"/>
      <c r="DTU313" s="287"/>
      <c r="DTV313" s="287"/>
      <c r="DTW313" s="287"/>
      <c r="DTX313" s="287"/>
      <c r="DTY313" s="287"/>
      <c r="DTZ313" s="287"/>
      <c r="DUA313" s="287"/>
      <c r="DUB313" s="287"/>
      <c r="DUC313" s="287"/>
      <c r="DUD313" s="287"/>
      <c r="DUE313" s="287"/>
      <c r="DUF313" s="287"/>
      <c r="DUG313" s="287"/>
      <c r="DUH313" s="287"/>
      <c r="DUI313" s="287"/>
      <c r="DUJ313" s="287"/>
      <c r="DUK313" s="287"/>
      <c r="DUL313" s="287"/>
      <c r="DUM313" s="287"/>
      <c r="DUN313" s="287"/>
      <c r="DUO313" s="287"/>
      <c r="DUP313" s="287"/>
      <c r="DUQ313" s="287"/>
      <c r="DUR313" s="287"/>
      <c r="DUS313" s="287"/>
      <c r="DUT313" s="287"/>
      <c r="DUU313" s="287"/>
      <c r="DUV313" s="287"/>
      <c r="DUW313" s="287"/>
      <c r="DUX313" s="287"/>
      <c r="DUY313" s="287"/>
      <c r="DUZ313" s="287"/>
      <c r="DVA313" s="287"/>
      <c r="DVB313" s="287"/>
      <c r="DVC313" s="287"/>
      <c r="DVD313" s="287"/>
      <c r="DVE313" s="287"/>
      <c r="DVF313" s="287"/>
      <c r="DVG313" s="287"/>
      <c r="DVH313" s="287"/>
      <c r="DVI313" s="287"/>
      <c r="DVJ313" s="287"/>
      <c r="DVK313" s="287"/>
      <c r="DVL313" s="287"/>
      <c r="DVM313" s="287"/>
      <c r="DVN313" s="287"/>
      <c r="DVO313" s="287"/>
      <c r="DVP313" s="287"/>
      <c r="DVQ313" s="287"/>
      <c r="DVR313" s="287"/>
      <c r="DVS313" s="287"/>
      <c r="DVT313" s="287"/>
      <c r="DVU313" s="287"/>
      <c r="DVV313" s="287"/>
      <c r="DVW313" s="287"/>
      <c r="DVX313" s="287"/>
      <c r="DVY313" s="287"/>
      <c r="DVZ313" s="287"/>
      <c r="DWA313" s="287"/>
      <c r="DWB313" s="287"/>
      <c r="DWC313" s="287"/>
      <c r="DWD313" s="287"/>
      <c r="DWE313" s="287"/>
      <c r="DWF313" s="287"/>
      <c r="DWG313" s="287"/>
      <c r="DWH313" s="287"/>
      <c r="DWI313" s="287"/>
      <c r="DWJ313" s="287"/>
      <c r="DWK313" s="287"/>
      <c r="DWL313" s="287"/>
      <c r="DWM313" s="287"/>
      <c r="DWN313" s="287"/>
      <c r="DWO313" s="287"/>
      <c r="DWP313" s="287"/>
      <c r="DWQ313" s="287"/>
      <c r="DWR313" s="287"/>
      <c r="DWS313" s="287"/>
      <c r="DWT313" s="287"/>
      <c r="DWU313" s="287"/>
      <c r="DWV313" s="287"/>
      <c r="DWW313" s="287"/>
      <c r="DWX313" s="287"/>
      <c r="DWY313" s="287"/>
      <c r="DWZ313" s="287"/>
      <c r="DXA313" s="287"/>
      <c r="DXB313" s="287"/>
      <c r="DXC313" s="287"/>
      <c r="DXD313" s="287"/>
      <c r="DXE313" s="287"/>
      <c r="DXF313" s="287"/>
      <c r="DXG313" s="287"/>
      <c r="DXH313" s="287"/>
      <c r="DXI313" s="287"/>
      <c r="DXJ313" s="287"/>
      <c r="DXK313" s="287"/>
      <c r="DXL313" s="287"/>
      <c r="DXM313" s="287"/>
      <c r="DXN313" s="287"/>
      <c r="DXO313" s="287"/>
      <c r="DXP313" s="287"/>
      <c r="DXQ313" s="287"/>
      <c r="DXR313" s="287"/>
      <c r="DXS313" s="287"/>
      <c r="DXT313" s="287"/>
      <c r="DXU313" s="287"/>
      <c r="DXV313" s="287"/>
      <c r="DXW313" s="287"/>
      <c r="DXX313" s="287"/>
      <c r="DXY313" s="287"/>
      <c r="DXZ313" s="287"/>
      <c r="DYA313" s="287"/>
      <c r="DYB313" s="287"/>
      <c r="DYC313" s="287"/>
      <c r="DYD313" s="287"/>
      <c r="DYE313" s="287"/>
      <c r="DYF313" s="287"/>
      <c r="DYG313" s="287"/>
      <c r="DYH313" s="287"/>
      <c r="DYI313" s="287"/>
      <c r="DYJ313" s="287"/>
      <c r="DYK313" s="287"/>
      <c r="DYL313" s="287"/>
      <c r="DYM313" s="287"/>
      <c r="DYN313" s="287"/>
      <c r="DYO313" s="287"/>
      <c r="DYP313" s="287"/>
      <c r="DYQ313" s="287"/>
      <c r="DYR313" s="287"/>
      <c r="DYS313" s="287"/>
      <c r="DYT313" s="287"/>
      <c r="DYU313" s="287"/>
      <c r="DYV313" s="287"/>
      <c r="DYW313" s="287"/>
      <c r="DYX313" s="287"/>
      <c r="DYY313" s="287"/>
      <c r="DYZ313" s="287"/>
      <c r="DZA313" s="287"/>
      <c r="DZB313" s="287"/>
      <c r="DZC313" s="287"/>
      <c r="DZD313" s="287"/>
      <c r="DZE313" s="287"/>
      <c r="DZF313" s="287"/>
      <c r="DZG313" s="287"/>
      <c r="DZH313" s="287"/>
      <c r="DZI313" s="287"/>
      <c r="DZJ313" s="287"/>
      <c r="DZK313" s="287"/>
      <c r="DZL313" s="287"/>
      <c r="DZM313" s="287"/>
      <c r="DZN313" s="287"/>
      <c r="DZO313" s="287"/>
      <c r="DZP313" s="287"/>
      <c r="DZQ313" s="287"/>
      <c r="DZR313" s="287"/>
      <c r="DZS313" s="287"/>
      <c r="DZT313" s="287"/>
      <c r="DZU313" s="287"/>
      <c r="DZV313" s="287"/>
      <c r="DZW313" s="287"/>
      <c r="DZX313" s="287"/>
      <c r="DZY313" s="287"/>
      <c r="DZZ313" s="287"/>
      <c r="EAA313" s="287"/>
      <c r="EAB313" s="287"/>
      <c r="EAC313" s="287"/>
      <c r="EAD313" s="287"/>
      <c r="EAE313" s="287"/>
      <c r="EAF313" s="287"/>
      <c r="EAG313" s="287"/>
      <c r="EAH313" s="287"/>
      <c r="EAI313" s="287"/>
      <c r="EAJ313" s="287"/>
      <c r="EAK313" s="287"/>
      <c r="EAL313" s="287"/>
      <c r="EAM313" s="287"/>
      <c r="EAN313" s="287"/>
      <c r="EAO313" s="287"/>
      <c r="EAP313" s="287"/>
      <c r="EAQ313" s="287"/>
      <c r="EAR313" s="287"/>
      <c r="EAS313" s="287"/>
      <c r="EAT313" s="287"/>
      <c r="EAU313" s="287"/>
      <c r="EAV313" s="287"/>
      <c r="EAW313" s="287"/>
      <c r="EAX313" s="287"/>
      <c r="EAY313" s="287"/>
      <c r="EAZ313" s="287"/>
      <c r="EBA313" s="287"/>
      <c r="EBB313" s="287"/>
      <c r="EBC313" s="287"/>
      <c r="EBD313" s="287"/>
      <c r="EBE313" s="287"/>
      <c r="EBF313" s="287"/>
      <c r="EBG313" s="287"/>
      <c r="EBH313" s="287"/>
      <c r="EBI313" s="287"/>
      <c r="EBJ313" s="287"/>
      <c r="EBK313" s="287"/>
      <c r="EBL313" s="287"/>
      <c r="EBM313" s="287"/>
      <c r="EBN313" s="287"/>
      <c r="EBO313" s="287"/>
      <c r="EBP313" s="287"/>
      <c r="EBQ313" s="287"/>
      <c r="EBR313" s="287"/>
      <c r="EBS313" s="287"/>
      <c r="EBT313" s="287"/>
      <c r="EBU313" s="287"/>
      <c r="EBV313" s="287"/>
      <c r="EBW313" s="287"/>
      <c r="EBX313" s="287"/>
      <c r="EBY313" s="287"/>
      <c r="EBZ313" s="287"/>
      <c r="ECA313" s="287"/>
      <c r="ECB313" s="287"/>
      <c r="ECC313" s="287"/>
      <c r="ECD313" s="287"/>
      <c r="ECE313" s="287"/>
      <c r="ECF313" s="287"/>
      <c r="ECG313" s="287"/>
      <c r="ECH313" s="287"/>
      <c r="ECI313" s="287"/>
      <c r="ECJ313" s="287"/>
      <c r="ECK313" s="287"/>
      <c r="ECL313" s="287"/>
      <c r="ECM313" s="287"/>
      <c r="ECN313" s="287"/>
      <c r="ECO313" s="287"/>
      <c r="ECP313" s="287"/>
      <c r="ECQ313" s="287"/>
      <c r="ECR313" s="287"/>
      <c r="ECS313" s="287"/>
      <c r="ECT313" s="287"/>
      <c r="ECU313" s="287"/>
      <c r="ECV313" s="287"/>
      <c r="ECW313" s="287"/>
      <c r="ECX313" s="287"/>
      <c r="ECY313" s="287"/>
      <c r="ECZ313" s="287"/>
      <c r="EDA313" s="287"/>
      <c r="EDB313" s="287"/>
      <c r="EDC313" s="287"/>
      <c r="EDD313" s="287"/>
      <c r="EDE313" s="287"/>
      <c r="EDF313" s="287"/>
      <c r="EDG313" s="287"/>
      <c r="EDH313" s="287"/>
      <c r="EDI313" s="287"/>
      <c r="EDJ313" s="287"/>
      <c r="EDK313" s="287"/>
      <c r="EDL313" s="287"/>
      <c r="EDM313" s="287"/>
      <c r="EDN313" s="287"/>
      <c r="EDO313" s="287"/>
      <c r="EDP313" s="287"/>
      <c r="EDQ313" s="287"/>
      <c r="EDR313" s="287"/>
      <c r="EDS313" s="287"/>
      <c r="EDT313" s="287"/>
      <c r="EDU313" s="287"/>
      <c r="EDV313" s="287"/>
      <c r="EDW313" s="287"/>
      <c r="EDX313" s="287"/>
      <c r="EDY313" s="287"/>
      <c r="EDZ313" s="287"/>
      <c r="EEA313" s="287"/>
      <c r="EEB313" s="287"/>
      <c r="EEC313" s="287"/>
      <c r="EED313" s="287"/>
      <c r="EEE313" s="287"/>
      <c r="EEF313" s="287"/>
      <c r="EEG313" s="287"/>
      <c r="EEH313" s="287"/>
      <c r="EEI313" s="287"/>
      <c r="EEJ313" s="287"/>
      <c r="EEK313" s="287"/>
      <c r="EEL313" s="287"/>
      <c r="EEM313" s="287"/>
      <c r="EEN313" s="287"/>
      <c r="EEO313" s="287"/>
      <c r="EEP313" s="287"/>
      <c r="EEQ313" s="287"/>
      <c r="EER313" s="287"/>
      <c r="EES313" s="287"/>
      <c r="EET313" s="287"/>
      <c r="EEU313" s="287"/>
      <c r="EEV313" s="287"/>
      <c r="EEW313" s="287"/>
      <c r="EEX313" s="287"/>
      <c r="EEY313" s="287"/>
      <c r="EEZ313" s="287"/>
      <c r="EFA313" s="287"/>
      <c r="EFB313" s="287"/>
      <c r="EFC313" s="287"/>
      <c r="EFD313" s="287"/>
      <c r="EFE313" s="287"/>
      <c r="EFF313" s="287"/>
      <c r="EFG313" s="287"/>
      <c r="EFH313" s="287"/>
      <c r="EFI313" s="287"/>
      <c r="EFJ313" s="287"/>
      <c r="EFK313" s="287"/>
      <c r="EFL313" s="287"/>
      <c r="EFM313" s="287"/>
      <c r="EFN313" s="287"/>
      <c r="EFO313" s="287"/>
      <c r="EFP313" s="287"/>
      <c r="EFQ313" s="287"/>
      <c r="EFR313" s="287"/>
      <c r="EFS313" s="287"/>
      <c r="EFT313" s="287"/>
      <c r="EFU313" s="287"/>
      <c r="EFV313" s="287"/>
      <c r="EFW313" s="287"/>
      <c r="EFX313" s="287"/>
      <c r="EFY313" s="287"/>
      <c r="EFZ313" s="287"/>
      <c r="EGA313" s="287"/>
      <c r="EGB313" s="287"/>
      <c r="EGC313" s="287"/>
      <c r="EGD313" s="287"/>
      <c r="EGE313" s="287"/>
      <c r="EGF313" s="287"/>
      <c r="EGG313" s="287"/>
      <c r="EGH313" s="287"/>
      <c r="EGI313" s="287"/>
      <c r="EGJ313" s="287"/>
      <c r="EGK313" s="287"/>
      <c r="EGL313" s="287"/>
      <c r="EGM313" s="287"/>
      <c r="EGN313" s="287"/>
      <c r="EGO313" s="287"/>
      <c r="EGP313" s="287"/>
      <c r="EGQ313" s="287"/>
      <c r="EGR313" s="287"/>
      <c r="EGS313" s="287"/>
      <c r="EGT313" s="287"/>
      <c r="EGU313" s="287"/>
      <c r="EGV313" s="287"/>
      <c r="EGW313" s="287"/>
      <c r="EGX313" s="287"/>
      <c r="EGY313" s="287"/>
      <c r="EGZ313" s="287"/>
      <c r="EHA313" s="287"/>
      <c r="EHB313" s="287"/>
      <c r="EHC313" s="287"/>
      <c r="EHD313" s="287"/>
      <c r="EHE313" s="287"/>
      <c r="EHF313" s="287"/>
      <c r="EHG313" s="287"/>
      <c r="EHH313" s="287"/>
      <c r="EHI313" s="287"/>
      <c r="EHJ313" s="287"/>
      <c r="EHK313" s="287"/>
      <c r="EHL313" s="287"/>
      <c r="EHM313" s="287"/>
      <c r="EHN313" s="287"/>
      <c r="EHO313" s="287"/>
      <c r="EHP313" s="287"/>
      <c r="EHQ313" s="287"/>
      <c r="EHR313" s="287"/>
      <c r="EHS313" s="287"/>
      <c r="EHT313" s="287"/>
      <c r="EHU313" s="287"/>
      <c r="EHV313" s="287"/>
      <c r="EHW313" s="287"/>
      <c r="EHX313" s="287"/>
      <c r="EHY313" s="287"/>
      <c r="EHZ313" s="287"/>
      <c r="EIA313" s="287"/>
      <c r="EIB313" s="287"/>
      <c r="EIC313" s="287"/>
      <c r="EID313" s="287"/>
      <c r="EIE313" s="287"/>
      <c r="EIF313" s="287"/>
      <c r="EIG313" s="287"/>
      <c r="EIH313" s="287"/>
      <c r="EII313" s="287"/>
      <c r="EIJ313" s="287"/>
      <c r="EIK313" s="287"/>
      <c r="EIL313" s="287"/>
      <c r="EIM313" s="287"/>
      <c r="EIN313" s="287"/>
      <c r="EIO313" s="287"/>
      <c r="EIP313" s="287"/>
      <c r="EIQ313" s="287"/>
      <c r="EIR313" s="287"/>
      <c r="EIS313" s="287"/>
      <c r="EIT313" s="287"/>
      <c r="EIU313" s="287"/>
      <c r="EIV313" s="287"/>
      <c r="EIW313" s="287"/>
      <c r="EIX313" s="287"/>
      <c r="EIY313" s="287"/>
      <c r="EIZ313" s="287"/>
      <c r="EJA313" s="287"/>
      <c r="EJB313" s="287"/>
      <c r="EJC313" s="287"/>
      <c r="EJD313" s="287"/>
      <c r="EJE313" s="287"/>
      <c r="EJF313" s="287"/>
      <c r="EJG313" s="287"/>
      <c r="EJH313" s="287"/>
      <c r="EJI313" s="287"/>
      <c r="EJJ313" s="287"/>
      <c r="EJK313" s="287"/>
      <c r="EJL313" s="287"/>
      <c r="EJM313" s="287"/>
      <c r="EJN313" s="287"/>
      <c r="EJO313" s="287"/>
      <c r="EJP313" s="287"/>
      <c r="EJQ313" s="287"/>
      <c r="EJR313" s="287"/>
      <c r="EJS313" s="287"/>
      <c r="EJT313" s="287"/>
      <c r="EJU313" s="287"/>
      <c r="EJV313" s="287"/>
      <c r="EJW313" s="287"/>
      <c r="EJX313" s="287"/>
      <c r="EJY313" s="287"/>
      <c r="EJZ313" s="287"/>
      <c r="EKA313" s="287"/>
      <c r="EKB313" s="287"/>
      <c r="EKC313" s="287"/>
      <c r="EKD313" s="287"/>
      <c r="EKE313" s="287"/>
      <c r="EKF313" s="287"/>
      <c r="EKG313" s="287"/>
      <c r="EKH313" s="287"/>
      <c r="EKI313" s="287"/>
      <c r="EKJ313" s="287"/>
      <c r="EKK313" s="287"/>
      <c r="EKL313" s="287"/>
      <c r="EKM313" s="287"/>
      <c r="EKN313" s="287"/>
      <c r="EKO313" s="287"/>
      <c r="EKP313" s="287"/>
      <c r="EKQ313" s="287"/>
      <c r="EKR313" s="287"/>
      <c r="EKS313" s="287"/>
      <c r="EKT313" s="287"/>
      <c r="EKU313" s="287"/>
      <c r="EKV313" s="287"/>
      <c r="EKW313" s="287"/>
      <c r="EKX313" s="287"/>
      <c r="EKY313" s="287"/>
      <c r="EKZ313" s="287"/>
      <c r="ELA313" s="287"/>
      <c r="ELB313" s="287"/>
      <c r="ELC313" s="287"/>
      <c r="ELD313" s="287"/>
      <c r="ELE313" s="287"/>
      <c r="ELF313" s="287"/>
      <c r="ELG313" s="287"/>
      <c r="ELH313" s="287"/>
      <c r="ELI313" s="287"/>
      <c r="ELJ313" s="287"/>
      <c r="ELK313" s="287"/>
      <c r="ELL313" s="287"/>
      <c r="ELM313" s="287"/>
      <c r="ELN313" s="287"/>
      <c r="ELO313" s="287"/>
      <c r="ELP313" s="287"/>
      <c r="ELQ313" s="287"/>
      <c r="ELR313" s="287"/>
      <c r="ELS313" s="287"/>
      <c r="ELT313" s="287"/>
      <c r="ELU313" s="287"/>
      <c r="ELV313" s="287"/>
      <c r="ELW313" s="287"/>
      <c r="ELX313" s="287"/>
      <c r="ELY313" s="287"/>
      <c r="ELZ313" s="287"/>
      <c r="EMA313" s="287"/>
      <c r="EMB313" s="287"/>
      <c r="EMC313" s="287"/>
      <c r="EMD313" s="287"/>
      <c r="EME313" s="287"/>
      <c r="EMF313" s="287"/>
      <c r="EMG313" s="287"/>
      <c r="EMH313" s="287"/>
      <c r="EMI313" s="287"/>
      <c r="EMJ313" s="287"/>
      <c r="EMK313" s="287"/>
      <c r="EML313" s="287"/>
      <c r="EMM313" s="287"/>
      <c r="EMN313" s="287"/>
      <c r="EMO313" s="287"/>
      <c r="EMP313" s="287"/>
      <c r="EMQ313" s="287"/>
      <c r="EMR313" s="287"/>
      <c r="EMS313" s="287"/>
      <c r="EMT313" s="287"/>
      <c r="EMU313" s="287"/>
      <c r="EMV313" s="287"/>
      <c r="EMW313" s="287"/>
      <c r="EMX313" s="287"/>
      <c r="EMY313" s="287"/>
      <c r="EMZ313" s="287"/>
      <c r="ENA313" s="287"/>
      <c r="ENB313" s="287"/>
      <c r="ENC313" s="287"/>
      <c r="END313" s="287"/>
      <c r="ENE313" s="287"/>
      <c r="ENF313" s="287"/>
      <c r="ENG313" s="287"/>
      <c r="ENH313" s="287"/>
      <c r="ENI313" s="287"/>
      <c r="ENJ313" s="287"/>
      <c r="ENK313" s="287"/>
      <c r="ENL313" s="287"/>
      <c r="ENM313" s="287"/>
      <c r="ENN313" s="287"/>
      <c r="ENO313" s="287"/>
      <c r="ENP313" s="287"/>
      <c r="ENQ313" s="287"/>
      <c r="ENR313" s="287"/>
      <c r="ENS313" s="287"/>
      <c r="ENT313" s="287"/>
      <c r="ENU313" s="287"/>
      <c r="ENV313" s="287"/>
      <c r="ENW313" s="287"/>
      <c r="ENX313" s="287"/>
      <c r="ENY313" s="287"/>
      <c r="ENZ313" s="287"/>
      <c r="EOA313" s="287"/>
      <c r="EOB313" s="287"/>
      <c r="EOC313" s="287"/>
      <c r="EOD313" s="287"/>
      <c r="EOE313" s="287"/>
      <c r="EOF313" s="287"/>
      <c r="EOG313" s="287"/>
      <c r="EOH313" s="287"/>
      <c r="EOI313" s="287"/>
      <c r="EOJ313" s="287"/>
      <c r="EOK313" s="287"/>
      <c r="EOL313" s="287"/>
      <c r="EOM313" s="287"/>
      <c r="EON313" s="287"/>
      <c r="EOO313" s="287"/>
      <c r="EOP313" s="287"/>
      <c r="EOQ313" s="287"/>
      <c r="EOR313" s="287"/>
      <c r="EOS313" s="287"/>
      <c r="EOT313" s="287"/>
      <c r="EOU313" s="287"/>
      <c r="EOV313" s="287"/>
      <c r="EOW313" s="287"/>
      <c r="EOX313" s="287"/>
      <c r="EOY313" s="287"/>
      <c r="EOZ313" s="287"/>
      <c r="EPA313" s="287"/>
      <c r="EPB313" s="287"/>
      <c r="EPC313" s="287"/>
      <c r="EPD313" s="287"/>
      <c r="EPE313" s="287"/>
      <c r="EPF313" s="287"/>
      <c r="EPG313" s="287"/>
      <c r="EPH313" s="287"/>
      <c r="EPI313" s="287"/>
      <c r="EPJ313" s="287"/>
      <c r="EPK313" s="287"/>
      <c r="EPL313" s="287"/>
      <c r="EPM313" s="287"/>
      <c r="EPN313" s="287"/>
      <c r="EPO313" s="287"/>
      <c r="EPP313" s="287"/>
      <c r="EPQ313" s="287"/>
      <c r="EPR313" s="287"/>
      <c r="EPS313" s="287"/>
      <c r="EPT313" s="287"/>
      <c r="EPU313" s="287"/>
      <c r="EPV313" s="287"/>
      <c r="EPW313" s="287"/>
      <c r="EPX313" s="287"/>
      <c r="EPY313" s="287"/>
      <c r="EPZ313" s="287"/>
      <c r="EQA313" s="287"/>
      <c r="EQB313" s="287"/>
      <c r="EQC313" s="287"/>
      <c r="EQD313" s="287"/>
      <c r="EQE313" s="287"/>
      <c r="EQF313" s="287"/>
      <c r="EQG313" s="287"/>
      <c r="EQH313" s="287"/>
      <c r="EQI313" s="287"/>
      <c r="EQJ313" s="287"/>
      <c r="EQK313" s="287"/>
      <c r="EQL313" s="287"/>
      <c r="EQM313" s="287"/>
      <c r="EQN313" s="287"/>
      <c r="EQO313" s="287"/>
      <c r="EQP313" s="287"/>
      <c r="EQQ313" s="287"/>
      <c r="EQR313" s="287"/>
      <c r="EQS313" s="287"/>
      <c r="EQT313" s="287"/>
      <c r="EQU313" s="287"/>
      <c r="EQV313" s="287"/>
      <c r="EQW313" s="287"/>
      <c r="EQX313" s="287"/>
      <c r="EQY313" s="287"/>
      <c r="EQZ313" s="287"/>
      <c r="ERA313" s="287"/>
      <c r="ERB313" s="287"/>
      <c r="ERC313" s="287"/>
      <c r="ERD313" s="287"/>
      <c r="ERE313" s="287"/>
      <c r="ERF313" s="287"/>
      <c r="ERG313" s="287"/>
      <c r="ERH313" s="287"/>
      <c r="ERI313" s="287"/>
      <c r="ERJ313" s="287"/>
      <c r="ERK313" s="287"/>
      <c r="ERL313" s="287"/>
      <c r="ERM313" s="287"/>
      <c r="ERN313" s="287"/>
      <c r="ERO313" s="287"/>
      <c r="ERP313" s="287"/>
      <c r="ERQ313" s="287"/>
      <c r="ERR313" s="287"/>
      <c r="ERS313" s="287"/>
      <c r="ERT313" s="287"/>
      <c r="ERU313" s="287"/>
      <c r="ERV313" s="287"/>
      <c r="ERW313" s="287"/>
      <c r="ERX313" s="287"/>
      <c r="ERY313" s="287"/>
      <c r="ERZ313" s="287"/>
      <c r="ESA313" s="287"/>
      <c r="ESB313" s="287"/>
      <c r="ESC313" s="287"/>
      <c r="ESD313" s="287"/>
      <c r="ESE313" s="287"/>
      <c r="ESF313" s="287"/>
      <c r="ESG313" s="287"/>
      <c r="ESH313" s="287"/>
      <c r="ESI313" s="287"/>
      <c r="ESJ313" s="287"/>
      <c r="ESK313" s="287"/>
      <c r="ESL313" s="287"/>
      <c r="ESM313" s="287"/>
      <c r="ESN313" s="287"/>
      <c r="ESO313" s="287"/>
      <c r="ESP313" s="287"/>
      <c r="ESQ313" s="287"/>
      <c r="ESR313" s="287"/>
      <c r="ESS313" s="287"/>
      <c r="EST313" s="287"/>
      <c r="ESU313" s="287"/>
      <c r="ESV313" s="287"/>
      <c r="ESW313" s="287"/>
      <c r="ESX313" s="287"/>
      <c r="ESY313" s="287"/>
      <c r="ESZ313" s="287"/>
      <c r="ETA313" s="287"/>
      <c r="ETB313" s="287"/>
      <c r="ETC313" s="287"/>
      <c r="ETD313" s="287"/>
      <c r="ETE313" s="287"/>
      <c r="ETF313" s="287"/>
      <c r="ETG313" s="287"/>
      <c r="ETH313" s="287"/>
      <c r="ETI313" s="287"/>
      <c r="ETJ313" s="287"/>
      <c r="ETK313" s="287"/>
      <c r="ETL313" s="287"/>
      <c r="ETM313" s="287"/>
      <c r="ETN313" s="287"/>
      <c r="ETO313" s="287"/>
      <c r="ETP313" s="287"/>
      <c r="ETQ313" s="287"/>
      <c r="ETR313" s="287"/>
      <c r="ETS313" s="287"/>
      <c r="ETT313" s="287"/>
      <c r="ETU313" s="287"/>
      <c r="ETV313" s="287"/>
      <c r="ETW313" s="287"/>
      <c r="ETX313" s="287"/>
      <c r="ETY313" s="287"/>
      <c r="ETZ313" s="287"/>
      <c r="EUA313" s="287"/>
      <c r="EUB313" s="287"/>
      <c r="EUC313" s="287"/>
      <c r="EUD313" s="287"/>
      <c r="EUE313" s="287"/>
      <c r="EUF313" s="287"/>
      <c r="EUG313" s="287"/>
      <c r="EUH313" s="287"/>
      <c r="EUI313" s="287"/>
      <c r="EUJ313" s="287"/>
      <c r="EUK313" s="287"/>
      <c r="EUL313" s="287"/>
      <c r="EUM313" s="287"/>
      <c r="EUN313" s="287"/>
      <c r="EUO313" s="287"/>
      <c r="EUP313" s="287"/>
      <c r="EUQ313" s="287"/>
      <c r="EUR313" s="287"/>
      <c r="EUS313" s="287"/>
      <c r="EUT313" s="287"/>
      <c r="EUU313" s="287"/>
      <c r="EUV313" s="287"/>
      <c r="EUW313" s="287"/>
      <c r="EUX313" s="287"/>
      <c r="EUY313" s="287"/>
      <c r="EUZ313" s="287"/>
      <c r="EVA313" s="287"/>
      <c r="EVB313" s="287"/>
      <c r="EVC313" s="287"/>
      <c r="EVD313" s="287"/>
      <c r="EVE313" s="287"/>
      <c r="EVF313" s="287"/>
      <c r="EVG313" s="287"/>
      <c r="EVH313" s="287"/>
      <c r="EVI313" s="287"/>
      <c r="EVJ313" s="287"/>
      <c r="EVK313" s="287"/>
      <c r="EVL313" s="287"/>
      <c r="EVM313" s="287"/>
      <c r="EVN313" s="287"/>
      <c r="EVO313" s="287"/>
      <c r="EVP313" s="287"/>
      <c r="EVQ313" s="287"/>
      <c r="EVR313" s="287"/>
      <c r="EVS313" s="287"/>
      <c r="EVT313" s="287"/>
      <c r="EVU313" s="287"/>
      <c r="EVV313" s="287"/>
      <c r="EVW313" s="287"/>
      <c r="EVX313" s="287"/>
      <c r="EVY313" s="287"/>
      <c r="EVZ313" s="287"/>
      <c r="EWA313" s="287"/>
      <c r="EWB313" s="287"/>
      <c r="EWC313" s="287"/>
      <c r="EWD313" s="287"/>
      <c r="EWE313" s="287"/>
      <c r="EWF313" s="287"/>
      <c r="EWG313" s="287"/>
      <c r="EWH313" s="287"/>
      <c r="EWI313" s="287"/>
      <c r="EWJ313" s="287"/>
      <c r="EWK313" s="287"/>
      <c r="EWL313" s="287"/>
      <c r="EWM313" s="287"/>
      <c r="EWN313" s="287"/>
      <c r="EWO313" s="287"/>
      <c r="EWP313" s="287"/>
      <c r="EWQ313" s="287"/>
      <c r="EWR313" s="287"/>
      <c r="EWS313" s="287"/>
      <c r="EWT313" s="287"/>
      <c r="EWU313" s="287"/>
      <c r="EWV313" s="287"/>
      <c r="EWW313" s="287"/>
      <c r="EWX313" s="287"/>
      <c r="EWY313" s="287"/>
      <c r="EWZ313" s="287"/>
      <c r="EXA313" s="287"/>
      <c r="EXB313" s="287"/>
      <c r="EXC313" s="287"/>
      <c r="EXD313" s="287"/>
      <c r="EXE313" s="287"/>
      <c r="EXF313" s="287"/>
      <c r="EXG313" s="287"/>
      <c r="EXH313" s="287"/>
      <c r="EXI313" s="287"/>
      <c r="EXJ313" s="287"/>
      <c r="EXK313" s="287"/>
      <c r="EXL313" s="287"/>
      <c r="EXM313" s="287"/>
      <c r="EXN313" s="287"/>
      <c r="EXO313" s="287"/>
      <c r="EXP313" s="287"/>
      <c r="EXQ313" s="287"/>
      <c r="EXR313" s="287"/>
      <c r="EXS313" s="287"/>
      <c r="EXT313" s="287"/>
      <c r="EXU313" s="287"/>
      <c r="EXV313" s="287"/>
      <c r="EXW313" s="287"/>
      <c r="EXX313" s="287"/>
      <c r="EXY313" s="287"/>
      <c r="EXZ313" s="287"/>
      <c r="EYA313" s="287"/>
      <c r="EYB313" s="287"/>
      <c r="EYC313" s="287"/>
      <c r="EYD313" s="287"/>
      <c r="EYE313" s="287"/>
      <c r="EYF313" s="287"/>
      <c r="EYG313" s="287"/>
      <c r="EYH313" s="287"/>
      <c r="EYI313" s="287"/>
      <c r="EYJ313" s="287"/>
      <c r="EYK313" s="287"/>
      <c r="EYL313" s="287"/>
      <c r="EYM313" s="287"/>
      <c r="EYN313" s="287"/>
      <c r="EYO313" s="287"/>
      <c r="EYP313" s="287"/>
      <c r="EYQ313" s="287"/>
      <c r="EYR313" s="287"/>
      <c r="EYS313" s="287"/>
      <c r="EYT313" s="287"/>
      <c r="EYU313" s="287"/>
      <c r="EYV313" s="287"/>
      <c r="EYW313" s="287"/>
      <c r="EYX313" s="287"/>
      <c r="EYY313" s="287"/>
      <c r="EYZ313" s="287"/>
      <c r="EZA313" s="287"/>
      <c r="EZB313" s="287"/>
      <c r="EZC313" s="287"/>
      <c r="EZD313" s="287"/>
      <c r="EZE313" s="287"/>
      <c r="EZF313" s="287"/>
      <c r="EZG313" s="287"/>
      <c r="EZH313" s="287"/>
      <c r="EZI313" s="287"/>
      <c r="EZJ313" s="287"/>
      <c r="EZK313" s="287"/>
      <c r="EZL313" s="287"/>
      <c r="EZM313" s="287"/>
      <c r="EZN313" s="287"/>
      <c r="EZO313" s="287"/>
      <c r="EZP313" s="287"/>
      <c r="EZQ313" s="287"/>
      <c r="EZR313" s="287"/>
      <c r="EZS313" s="287"/>
      <c r="EZT313" s="287"/>
      <c r="EZU313" s="287"/>
      <c r="EZV313" s="287"/>
      <c r="EZW313" s="287"/>
      <c r="EZX313" s="287"/>
      <c r="EZY313" s="287"/>
      <c r="EZZ313" s="287"/>
      <c r="FAA313" s="287"/>
      <c r="FAB313" s="287"/>
      <c r="FAC313" s="287"/>
      <c r="FAD313" s="287"/>
      <c r="FAE313" s="287"/>
      <c r="FAF313" s="287"/>
      <c r="FAG313" s="287"/>
      <c r="FAH313" s="287"/>
      <c r="FAI313" s="287"/>
      <c r="FAJ313" s="287"/>
      <c r="FAK313" s="287"/>
      <c r="FAL313" s="287"/>
      <c r="FAM313" s="287"/>
      <c r="FAN313" s="287"/>
      <c r="FAO313" s="287"/>
      <c r="FAP313" s="287"/>
      <c r="FAQ313" s="287"/>
      <c r="FAR313" s="287"/>
      <c r="FAS313" s="287"/>
      <c r="FAT313" s="287"/>
      <c r="FAU313" s="287"/>
      <c r="FAV313" s="287"/>
      <c r="FAW313" s="287"/>
      <c r="FAX313" s="287"/>
      <c r="FAY313" s="287"/>
      <c r="FAZ313" s="287"/>
      <c r="FBA313" s="287"/>
      <c r="FBB313" s="287"/>
      <c r="FBC313" s="287"/>
      <c r="FBD313" s="287"/>
      <c r="FBE313" s="287"/>
      <c r="FBF313" s="287"/>
      <c r="FBG313" s="287"/>
      <c r="FBH313" s="287"/>
      <c r="FBI313" s="287"/>
      <c r="FBJ313" s="287"/>
      <c r="FBK313" s="287"/>
      <c r="FBL313" s="287"/>
      <c r="FBM313" s="287"/>
      <c r="FBN313" s="287"/>
      <c r="FBO313" s="287"/>
      <c r="FBP313" s="287"/>
      <c r="FBQ313" s="287"/>
      <c r="FBR313" s="287"/>
      <c r="FBS313" s="287"/>
      <c r="FBT313" s="287"/>
      <c r="FBU313" s="287"/>
      <c r="FBV313" s="287"/>
      <c r="FBW313" s="287"/>
      <c r="FBX313" s="287"/>
      <c r="FBY313" s="287"/>
      <c r="FBZ313" s="287"/>
      <c r="FCA313" s="287"/>
      <c r="FCB313" s="287"/>
      <c r="FCC313" s="287"/>
      <c r="FCD313" s="287"/>
      <c r="FCE313" s="287"/>
      <c r="FCF313" s="287"/>
      <c r="FCG313" s="287"/>
      <c r="FCH313" s="287"/>
      <c r="FCI313" s="287"/>
      <c r="FCJ313" s="287"/>
      <c r="FCK313" s="287"/>
      <c r="FCL313" s="287"/>
      <c r="FCM313" s="287"/>
      <c r="FCN313" s="287"/>
      <c r="FCO313" s="287"/>
      <c r="FCP313" s="287"/>
      <c r="FCQ313" s="287"/>
      <c r="FCR313" s="287"/>
      <c r="FCS313" s="287"/>
      <c r="FCT313" s="287"/>
      <c r="FCU313" s="287"/>
      <c r="FCV313" s="287"/>
      <c r="FCW313" s="287"/>
      <c r="FCX313" s="287"/>
      <c r="FCY313" s="287"/>
      <c r="FCZ313" s="287"/>
      <c r="FDA313" s="287"/>
      <c r="FDB313" s="287"/>
      <c r="FDC313" s="287"/>
      <c r="FDD313" s="287"/>
      <c r="FDE313" s="287"/>
      <c r="FDF313" s="287"/>
      <c r="FDG313" s="287"/>
      <c r="FDH313" s="287"/>
      <c r="FDI313" s="287"/>
      <c r="FDJ313" s="287"/>
      <c r="FDK313" s="287"/>
      <c r="FDL313" s="287"/>
      <c r="FDM313" s="287"/>
      <c r="FDN313" s="287"/>
      <c r="FDO313" s="287"/>
      <c r="FDP313" s="287"/>
      <c r="FDQ313" s="287"/>
      <c r="FDR313" s="287"/>
      <c r="FDS313" s="287"/>
      <c r="FDT313" s="287"/>
      <c r="FDU313" s="287"/>
      <c r="FDV313" s="287"/>
      <c r="FDW313" s="287"/>
      <c r="FDX313" s="287"/>
      <c r="FDY313" s="287"/>
      <c r="FDZ313" s="287"/>
      <c r="FEA313" s="287"/>
      <c r="FEB313" s="287"/>
      <c r="FEC313" s="287"/>
      <c r="FED313" s="287"/>
      <c r="FEE313" s="287"/>
      <c r="FEF313" s="287"/>
      <c r="FEG313" s="287"/>
      <c r="FEH313" s="287"/>
      <c r="FEI313" s="287"/>
      <c r="FEJ313" s="287"/>
      <c r="FEK313" s="287"/>
      <c r="FEL313" s="287"/>
      <c r="FEM313" s="287"/>
      <c r="FEN313" s="287"/>
      <c r="FEO313" s="287"/>
      <c r="FEP313" s="287"/>
      <c r="FEQ313" s="287"/>
      <c r="FER313" s="287"/>
      <c r="FES313" s="287"/>
      <c r="FET313" s="287"/>
      <c r="FEU313" s="287"/>
      <c r="FEV313" s="287"/>
      <c r="FEW313" s="287"/>
      <c r="FEX313" s="287"/>
      <c r="FEY313" s="287"/>
      <c r="FEZ313" s="287"/>
      <c r="FFA313" s="287"/>
      <c r="FFB313" s="287"/>
      <c r="FFC313" s="287"/>
      <c r="FFD313" s="287"/>
      <c r="FFE313" s="287"/>
      <c r="FFF313" s="287"/>
      <c r="FFG313" s="287"/>
      <c r="FFH313" s="287"/>
      <c r="FFI313" s="287"/>
      <c r="FFJ313" s="287"/>
      <c r="FFK313" s="287"/>
      <c r="FFL313" s="287"/>
      <c r="FFM313" s="287"/>
      <c r="FFN313" s="287"/>
      <c r="FFO313" s="287"/>
      <c r="FFP313" s="287"/>
      <c r="FFQ313" s="287"/>
      <c r="FFR313" s="287"/>
      <c r="FFS313" s="287"/>
      <c r="FFT313" s="287"/>
      <c r="FFU313" s="287"/>
      <c r="FFV313" s="287"/>
      <c r="FFW313" s="287"/>
      <c r="FFX313" s="287"/>
      <c r="FFY313" s="287"/>
      <c r="FFZ313" s="287"/>
      <c r="FGA313" s="287"/>
      <c r="FGB313" s="287"/>
      <c r="FGC313" s="287"/>
      <c r="FGD313" s="287"/>
      <c r="FGE313" s="287"/>
      <c r="FGF313" s="287"/>
      <c r="FGG313" s="287"/>
      <c r="FGH313" s="287"/>
      <c r="FGI313" s="287"/>
      <c r="FGJ313" s="287"/>
      <c r="FGK313" s="287"/>
      <c r="FGL313" s="287"/>
      <c r="FGM313" s="287"/>
      <c r="FGN313" s="287"/>
      <c r="FGO313" s="287"/>
      <c r="FGP313" s="287"/>
      <c r="FGQ313" s="287"/>
      <c r="FGR313" s="287"/>
      <c r="FGS313" s="287"/>
      <c r="FGT313" s="287"/>
      <c r="FGU313" s="287"/>
      <c r="FGV313" s="287"/>
      <c r="FGW313" s="287"/>
      <c r="FGX313" s="287"/>
      <c r="FGY313" s="287"/>
      <c r="FGZ313" s="287"/>
      <c r="FHA313" s="287"/>
      <c r="FHB313" s="287"/>
      <c r="FHC313" s="287"/>
      <c r="FHD313" s="287"/>
      <c r="FHE313" s="287"/>
      <c r="FHF313" s="287"/>
      <c r="FHG313" s="287"/>
      <c r="FHH313" s="287"/>
      <c r="FHI313" s="287"/>
      <c r="FHJ313" s="287"/>
      <c r="FHK313" s="287"/>
      <c r="FHL313" s="287"/>
      <c r="FHM313" s="287"/>
      <c r="FHN313" s="287"/>
      <c r="FHO313" s="287"/>
      <c r="FHP313" s="287"/>
      <c r="FHQ313" s="287"/>
      <c r="FHR313" s="287"/>
      <c r="FHS313" s="287"/>
      <c r="FHT313" s="287"/>
      <c r="FHU313" s="287"/>
      <c r="FHV313" s="287"/>
      <c r="FHW313" s="287"/>
      <c r="FHX313" s="287"/>
      <c r="FHY313" s="287"/>
      <c r="FHZ313" s="287"/>
      <c r="FIA313" s="287"/>
      <c r="FIB313" s="287"/>
      <c r="FIC313" s="287"/>
      <c r="FID313" s="287"/>
      <c r="FIE313" s="287"/>
      <c r="FIF313" s="287"/>
      <c r="FIG313" s="287"/>
      <c r="FIH313" s="287"/>
      <c r="FII313" s="287"/>
      <c r="FIJ313" s="287"/>
      <c r="FIK313" s="287"/>
      <c r="FIL313" s="287"/>
      <c r="FIM313" s="287"/>
      <c r="FIN313" s="287"/>
      <c r="FIO313" s="287"/>
      <c r="FIP313" s="287"/>
      <c r="FIQ313" s="287"/>
      <c r="FIR313" s="287"/>
      <c r="FIS313" s="287"/>
      <c r="FIT313" s="287"/>
      <c r="FIU313" s="287"/>
      <c r="FIV313" s="287"/>
      <c r="FIW313" s="287"/>
      <c r="FIX313" s="287"/>
      <c r="FIY313" s="287"/>
      <c r="FIZ313" s="287"/>
      <c r="FJA313" s="287"/>
      <c r="FJB313" s="287"/>
      <c r="FJC313" s="287"/>
      <c r="FJD313" s="287"/>
      <c r="FJE313" s="287"/>
      <c r="FJF313" s="287"/>
      <c r="FJG313" s="287"/>
      <c r="FJH313" s="287"/>
      <c r="FJI313" s="287"/>
      <c r="FJJ313" s="287"/>
      <c r="FJK313" s="287"/>
      <c r="FJL313" s="287"/>
      <c r="FJM313" s="287"/>
      <c r="FJN313" s="287"/>
      <c r="FJO313" s="287"/>
      <c r="FJP313" s="287"/>
      <c r="FJQ313" s="287"/>
      <c r="FJR313" s="287"/>
      <c r="FJS313" s="287"/>
      <c r="FJT313" s="287"/>
      <c r="FJU313" s="287"/>
      <c r="FJV313" s="287"/>
      <c r="FJW313" s="287"/>
      <c r="FJX313" s="287"/>
      <c r="FJY313" s="287"/>
      <c r="FJZ313" s="287"/>
      <c r="FKA313" s="287"/>
      <c r="FKB313" s="287"/>
      <c r="FKC313" s="287"/>
      <c r="FKD313" s="287"/>
      <c r="FKE313" s="287"/>
      <c r="FKF313" s="287"/>
      <c r="FKG313" s="287"/>
      <c r="FKH313" s="287"/>
      <c r="FKI313" s="287"/>
      <c r="FKJ313" s="287"/>
      <c r="FKK313" s="287"/>
      <c r="FKL313" s="287"/>
      <c r="FKM313" s="287"/>
      <c r="FKN313" s="287"/>
      <c r="FKO313" s="287"/>
      <c r="FKP313" s="287"/>
      <c r="FKQ313" s="287"/>
      <c r="FKR313" s="287"/>
      <c r="FKS313" s="287"/>
      <c r="FKT313" s="287"/>
      <c r="FKU313" s="287"/>
      <c r="FKV313" s="287"/>
      <c r="FKW313" s="287"/>
      <c r="FKX313" s="287"/>
      <c r="FKY313" s="287"/>
      <c r="FKZ313" s="287"/>
      <c r="FLA313" s="287"/>
      <c r="FLB313" s="287"/>
      <c r="FLC313" s="287"/>
      <c r="FLD313" s="287"/>
      <c r="FLE313" s="287"/>
      <c r="FLF313" s="287"/>
      <c r="FLG313" s="287"/>
      <c r="FLH313" s="287"/>
      <c r="FLI313" s="287"/>
      <c r="FLJ313" s="287"/>
      <c r="FLK313" s="287"/>
      <c r="FLL313" s="287"/>
      <c r="FLM313" s="287"/>
      <c r="FLN313" s="287"/>
      <c r="FLO313" s="287"/>
      <c r="FLP313" s="287"/>
      <c r="FLQ313" s="287"/>
      <c r="FLR313" s="287"/>
      <c r="FLS313" s="287"/>
      <c r="FLT313" s="287"/>
      <c r="FLU313" s="287"/>
      <c r="FLV313" s="287"/>
      <c r="FLW313" s="287"/>
      <c r="FLX313" s="287"/>
      <c r="FLY313" s="287"/>
      <c r="FLZ313" s="287"/>
      <c r="FMA313" s="287"/>
      <c r="FMB313" s="287"/>
      <c r="FMC313" s="287"/>
      <c r="FMD313" s="287"/>
      <c r="FME313" s="287"/>
      <c r="FMF313" s="287"/>
      <c r="FMG313" s="287"/>
      <c r="FMH313" s="287"/>
      <c r="FMI313" s="287"/>
      <c r="FMJ313" s="287"/>
      <c r="FMK313" s="287"/>
      <c r="FML313" s="287"/>
      <c r="FMM313" s="287"/>
      <c r="FMN313" s="287"/>
      <c r="FMO313" s="287"/>
      <c r="FMP313" s="287"/>
      <c r="FMQ313" s="287"/>
      <c r="FMR313" s="287"/>
      <c r="FMS313" s="287"/>
      <c r="FMT313" s="287"/>
      <c r="FMU313" s="287"/>
      <c r="FMV313" s="287"/>
      <c r="FMW313" s="287"/>
      <c r="FMX313" s="287"/>
      <c r="FMY313" s="287"/>
      <c r="FMZ313" s="287"/>
      <c r="FNA313" s="287"/>
      <c r="FNB313" s="287"/>
      <c r="FNC313" s="287"/>
      <c r="FND313" s="287"/>
      <c r="FNE313" s="287"/>
      <c r="FNF313" s="287"/>
      <c r="FNG313" s="287"/>
      <c r="FNH313" s="287"/>
      <c r="FNI313" s="287"/>
      <c r="FNJ313" s="287"/>
      <c r="FNK313" s="287"/>
      <c r="FNL313" s="287"/>
      <c r="FNM313" s="287"/>
      <c r="FNN313" s="287"/>
      <c r="FNO313" s="287"/>
      <c r="FNP313" s="287"/>
      <c r="FNQ313" s="287"/>
      <c r="FNR313" s="287"/>
      <c r="FNS313" s="287"/>
      <c r="FNT313" s="287"/>
      <c r="FNU313" s="287"/>
      <c r="FNV313" s="287"/>
      <c r="FNW313" s="287"/>
      <c r="FNX313" s="287"/>
      <c r="FNY313" s="287"/>
      <c r="FNZ313" s="287"/>
      <c r="FOA313" s="287"/>
      <c r="FOB313" s="287"/>
      <c r="FOC313" s="287"/>
      <c r="FOD313" s="287"/>
      <c r="FOE313" s="287"/>
      <c r="FOF313" s="287"/>
      <c r="FOG313" s="287"/>
      <c r="FOH313" s="287"/>
      <c r="FOI313" s="287"/>
      <c r="FOJ313" s="287"/>
      <c r="FOK313" s="287"/>
      <c r="FOL313" s="287"/>
      <c r="FOM313" s="287"/>
      <c r="FON313" s="287"/>
      <c r="FOO313" s="287"/>
      <c r="FOP313" s="287"/>
      <c r="FOQ313" s="287"/>
      <c r="FOR313" s="287"/>
      <c r="FOS313" s="287"/>
      <c r="FOT313" s="287"/>
      <c r="FOU313" s="287"/>
      <c r="FOV313" s="287"/>
      <c r="FOW313" s="287"/>
      <c r="FOX313" s="287"/>
      <c r="FOY313" s="287"/>
      <c r="FOZ313" s="287"/>
      <c r="FPA313" s="287"/>
      <c r="FPB313" s="287"/>
      <c r="FPC313" s="287"/>
      <c r="FPD313" s="287"/>
      <c r="FPE313" s="287"/>
      <c r="FPF313" s="287"/>
      <c r="FPG313" s="287"/>
      <c r="FPH313" s="287"/>
      <c r="FPI313" s="287"/>
      <c r="FPJ313" s="287"/>
      <c r="FPK313" s="287"/>
      <c r="FPL313" s="287"/>
      <c r="FPM313" s="287"/>
      <c r="FPN313" s="287"/>
      <c r="FPO313" s="287"/>
      <c r="FPP313" s="287"/>
      <c r="FPQ313" s="287"/>
      <c r="FPR313" s="287"/>
      <c r="FPS313" s="287"/>
      <c r="FPT313" s="287"/>
      <c r="FPU313" s="287"/>
      <c r="FPV313" s="287"/>
      <c r="FPW313" s="287"/>
      <c r="FPX313" s="287"/>
      <c r="FPY313" s="287"/>
      <c r="FPZ313" s="287"/>
      <c r="FQA313" s="287"/>
      <c r="FQB313" s="287"/>
      <c r="FQC313" s="287"/>
      <c r="FQD313" s="287"/>
      <c r="FQE313" s="287"/>
      <c r="FQF313" s="287"/>
      <c r="FQG313" s="287"/>
      <c r="FQH313" s="287"/>
      <c r="FQI313" s="287"/>
      <c r="FQJ313" s="287"/>
      <c r="FQK313" s="287"/>
      <c r="FQL313" s="287"/>
      <c r="FQM313" s="287"/>
      <c r="FQN313" s="287"/>
      <c r="FQO313" s="287"/>
      <c r="FQP313" s="287"/>
      <c r="FQQ313" s="287"/>
      <c r="FQR313" s="287"/>
      <c r="FQS313" s="287"/>
      <c r="FQT313" s="287"/>
      <c r="FQU313" s="287"/>
      <c r="FQV313" s="287"/>
      <c r="FQW313" s="287"/>
      <c r="FQX313" s="287"/>
      <c r="FQY313" s="287"/>
      <c r="FQZ313" s="287"/>
      <c r="FRA313" s="287"/>
      <c r="FRB313" s="287"/>
      <c r="FRC313" s="287"/>
      <c r="FRD313" s="287"/>
      <c r="FRE313" s="287"/>
      <c r="FRF313" s="287"/>
      <c r="FRG313" s="287"/>
      <c r="FRH313" s="287"/>
      <c r="FRI313" s="287"/>
      <c r="FRJ313" s="287"/>
      <c r="FRK313" s="287"/>
      <c r="FRL313" s="287"/>
      <c r="FRM313" s="287"/>
      <c r="FRN313" s="287"/>
      <c r="FRO313" s="287"/>
      <c r="FRP313" s="287"/>
      <c r="FRQ313" s="287"/>
      <c r="FRR313" s="287"/>
      <c r="FRS313" s="287"/>
      <c r="FRT313" s="287"/>
      <c r="FRU313" s="287"/>
      <c r="FRV313" s="287"/>
      <c r="FRW313" s="287"/>
      <c r="FRX313" s="287"/>
      <c r="FRY313" s="287"/>
      <c r="FRZ313" s="287"/>
      <c r="FSA313" s="287"/>
      <c r="FSB313" s="287"/>
      <c r="FSC313" s="287"/>
      <c r="FSD313" s="287"/>
      <c r="FSE313" s="287"/>
      <c r="FSF313" s="287"/>
      <c r="FSG313" s="287"/>
      <c r="FSH313" s="287"/>
      <c r="FSI313" s="287"/>
      <c r="FSJ313" s="287"/>
      <c r="FSK313" s="287"/>
      <c r="FSL313" s="287"/>
      <c r="FSM313" s="287"/>
      <c r="FSN313" s="287"/>
      <c r="FSO313" s="287"/>
      <c r="FSP313" s="287"/>
      <c r="FSQ313" s="287"/>
      <c r="FSR313" s="287"/>
      <c r="FSS313" s="287"/>
      <c r="FST313" s="287"/>
      <c r="FSU313" s="287"/>
      <c r="FSV313" s="287"/>
      <c r="FSW313" s="287"/>
      <c r="FSX313" s="287"/>
      <c r="FSY313" s="287"/>
      <c r="FSZ313" s="287"/>
      <c r="FTA313" s="287"/>
      <c r="FTB313" s="287"/>
      <c r="FTC313" s="287"/>
      <c r="FTD313" s="287"/>
      <c r="FTE313" s="287"/>
      <c r="FTF313" s="287"/>
      <c r="FTG313" s="287"/>
      <c r="FTH313" s="287"/>
      <c r="FTI313" s="287"/>
      <c r="FTJ313" s="287"/>
      <c r="FTK313" s="287"/>
      <c r="FTL313" s="287"/>
      <c r="FTM313" s="287"/>
      <c r="FTN313" s="287"/>
      <c r="FTO313" s="287"/>
      <c r="FTP313" s="287"/>
      <c r="FTQ313" s="287"/>
      <c r="FTR313" s="287"/>
      <c r="FTS313" s="287"/>
      <c r="FTT313" s="287"/>
      <c r="FTU313" s="287"/>
      <c r="FTV313" s="287"/>
      <c r="FTW313" s="287"/>
      <c r="FTX313" s="287"/>
      <c r="FTY313" s="287"/>
      <c r="FTZ313" s="287"/>
      <c r="FUA313" s="287"/>
      <c r="FUB313" s="287"/>
      <c r="FUC313" s="287"/>
      <c r="FUD313" s="287"/>
      <c r="FUE313" s="287"/>
      <c r="FUF313" s="287"/>
      <c r="FUG313" s="287"/>
      <c r="FUH313" s="287"/>
      <c r="FUI313" s="287"/>
      <c r="FUJ313" s="287"/>
      <c r="FUK313" s="287"/>
      <c r="FUL313" s="287"/>
      <c r="FUM313" s="287"/>
      <c r="FUN313" s="287"/>
      <c r="FUO313" s="287"/>
      <c r="FUP313" s="287"/>
      <c r="FUQ313" s="287"/>
      <c r="FUR313" s="287"/>
      <c r="FUS313" s="287"/>
      <c r="FUT313" s="287"/>
      <c r="FUU313" s="287"/>
      <c r="FUV313" s="287"/>
      <c r="FUW313" s="287"/>
      <c r="FUX313" s="287"/>
      <c r="FUY313" s="287"/>
      <c r="FUZ313" s="287"/>
      <c r="FVA313" s="287"/>
      <c r="FVB313" s="287"/>
      <c r="FVC313" s="287"/>
      <c r="FVD313" s="287"/>
      <c r="FVE313" s="287"/>
      <c r="FVF313" s="287"/>
      <c r="FVG313" s="287"/>
      <c r="FVH313" s="287"/>
      <c r="FVI313" s="287"/>
      <c r="FVJ313" s="287"/>
      <c r="FVK313" s="287"/>
      <c r="FVL313" s="287"/>
      <c r="FVM313" s="287"/>
      <c r="FVN313" s="287"/>
      <c r="FVO313" s="287"/>
      <c r="FVP313" s="287"/>
      <c r="FVQ313" s="287"/>
      <c r="FVR313" s="287"/>
      <c r="FVS313" s="287"/>
      <c r="FVT313" s="287"/>
      <c r="FVU313" s="287"/>
      <c r="FVV313" s="287"/>
      <c r="FVW313" s="287"/>
      <c r="FVX313" s="287"/>
      <c r="FVY313" s="287"/>
      <c r="FVZ313" s="287"/>
      <c r="FWA313" s="287"/>
      <c r="FWB313" s="287"/>
      <c r="FWC313" s="287"/>
      <c r="FWD313" s="287"/>
      <c r="FWE313" s="287"/>
      <c r="FWF313" s="287"/>
      <c r="FWG313" s="287"/>
      <c r="FWH313" s="287"/>
      <c r="FWI313" s="287"/>
      <c r="FWJ313" s="287"/>
      <c r="FWK313" s="287"/>
      <c r="FWL313" s="287"/>
      <c r="FWM313" s="287"/>
      <c r="FWN313" s="287"/>
      <c r="FWO313" s="287"/>
      <c r="FWP313" s="287"/>
      <c r="FWQ313" s="287"/>
      <c r="FWR313" s="287"/>
      <c r="FWS313" s="287"/>
      <c r="FWT313" s="287"/>
      <c r="FWU313" s="287"/>
      <c r="FWV313" s="287"/>
      <c r="FWW313" s="287"/>
      <c r="FWX313" s="287"/>
      <c r="FWY313" s="287"/>
      <c r="FWZ313" s="287"/>
      <c r="FXA313" s="287"/>
      <c r="FXB313" s="287"/>
      <c r="FXC313" s="287"/>
      <c r="FXD313" s="287"/>
      <c r="FXE313" s="287"/>
      <c r="FXF313" s="287"/>
      <c r="FXG313" s="287"/>
      <c r="FXH313" s="287"/>
      <c r="FXI313" s="287"/>
      <c r="FXJ313" s="287"/>
      <c r="FXK313" s="287"/>
      <c r="FXL313" s="287"/>
      <c r="FXM313" s="287"/>
      <c r="FXN313" s="287"/>
      <c r="FXO313" s="287"/>
      <c r="FXP313" s="287"/>
      <c r="FXQ313" s="287"/>
      <c r="FXR313" s="287"/>
      <c r="FXS313" s="287"/>
      <c r="FXT313" s="287"/>
      <c r="FXU313" s="287"/>
      <c r="FXV313" s="287"/>
      <c r="FXW313" s="287"/>
      <c r="FXX313" s="287"/>
      <c r="FXY313" s="287"/>
      <c r="FXZ313" s="287"/>
      <c r="FYA313" s="287"/>
      <c r="FYB313" s="287"/>
      <c r="FYC313" s="287"/>
      <c r="FYD313" s="287"/>
      <c r="FYE313" s="287"/>
      <c r="FYF313" s="287"/>
      <c r="FYG313" s="287"/>
      <c r="FYH313" s="287"/>
      <c r="FYI313" s="287"/>
      <c r="FYJ313" s="287"/>
      <c r="FYK313" s="287"/>
      <c r="FYL313" s="287"/>
      <c r="FYM313" s="287"/>
      <c r="FYN313" s="287"/>
      <c r="FYO313" s="287"/>
      <c r="FYP313" s="287"/>
      <c r="FYQ313" s="287"/>
      <c r="FYR313" s="287"/>
      <c r="FYS313" s="287"/>
      <c r="FYT313" s="287"/>
      <c r="FYU313" s="287"/>
      <c r="FYV313" s="287"/>
      <c r="FYW313" s="287"/>
      <c r="FYX313" s="287"/>
      <c r="FYY313" s="287"/>
      <c r="FYZ313" s="287"/>
      <c r="FZA313" s="287"/>
      <c r="FZB313" s="287"/>
      <c r="FZC313" s="287"/>
      <c r="FZD313" s="287"/>
      <c r="FZE313" s="287"/>
      <c r="FZF313" s="287"/>
      <c r="FZG313" s="287"/>
      <c r="FZH313" s="287"/>
      <c r="FZI313" s="287"/>
      <c r="FZJ313" s="287"/>
      <c r="FZK313" s="287"/>
      <c r="FZL313" s="287"/>
      <c r="FZM313" s="287"/>
      <c r="FZN313" s="287"/>
      <c r="FZO313" s="287"/>
      <c r="FZP313" s="287"/>
      <c r="FZQ313" s="287"/>
      <c r="FZR313" s="287"/>
      <c r="FZS313" s="287"/>
      <c r="FZT313" s="287"/>
      <c r="FZU313" s="287"/>
      <c r="FZV313" s="287"/>
      <c r="FZW313" s="287"/>
      <c r="FZX313" s="287"/>
      <c r="FZY313" s="287"/>
      <c r="FZZ313" s="287"/>
      <c r="GAA313" s="287"/>
      <c r="GAB313" s="287"/>
      <c r="GAC313" s="287"/>
      <c r="GAD313" s="287"/>
      <c r="GAE313" s="287"/>
      <c r="GAF313" s="287"/>
      <c r="GAG313" s="287"/>
      <c r="GAH313" s="287"/>
      <c r="GAI313" s="287"/>
      <c r="GAJ313" s="287"/>
      <c r="GAK313" s="287"/>
      <c r="GAL313" s="287"/>
      <c r="GAM313" s="287"/>
      <c r="GAN313" s="287"/>
      <c r="GAO313" s="287"/>
      <c r="GAP313" s="287"/>
      <c r="GAQ313" s="287"/>
      <c r="GAR313" s="287"/>
      <c r="GAS313" s="287"/>
      <c r="GAT313" s="287"/>
      <c r="GAU313" s="287"/>
      <c r="GAV313" s="287"/>
      <c r="GAW313" s="287"/>
      <c r="GAX313" s="287"/>
      <c r="GAY313" s="287"/>
      <c r="GAZ313" s="287"/>
      <c r="GBA313" s="287"/>
      <c r="GBB313" s="287"/>
      <c r="GBC313" s="287"/>
      <c r="GBD313" s="287"/>
      <c r="GBE313" s="287"/>
      <c r="GBF313" s="287"/>
      <c r="GBG313" s="287"/>
      <c r="GBH313" s="287"/>
      <c r="GBI313" s="287"/>
      <c r="GBJ313" s="287"/>
      <c r="GBK313" s="287"/>
      <c r="GBL313" s="287"/>
      <c r="GBM313" s="287"/>
      <c r="GBN313" s="287"/>
      <c r="GBO313" s="287"/>
      <c r="GBP313" s="287"/>
      <c r="GBQ313" s="287"/>
      <c r="GBR313" s="287"/>
      <c r="GBS313" s="287"/>
      <c r="GBT313" s="287"/>
      <c r="GBU313" s="287"/>
      <c r="GBV313" s="287"/>
      <c r="GBW313" s="287"/>
      <c r="GBX313" s="287"/>
      <c r="GBY313" s="287"/>
      <c r="GBZ313" s="287"/>
      <c r="GCA313" s="287"/>
      <c r="GCB313" s="287"/>
      <c r="GCC313" s="287"/>
      <c r="GCD313" s="287"/>
      <c r="GCE313" s="287"/>
      <c r="GCF313" s="287"/>
      <c r="GCG313" s="287"/>
      <c r="GCH313" s="287"/>
      <c r="GCI313" s="287"/>
      <c r="GCJ313" s="287"/>
      <c r="GCK313" s="287"/>
      <c r="GCL313" s="287"/>
      <c r="GCM313" s="287"/>
      <c r="GCN313" s="287"/>
      <c r="GCO313" s="287"/>
      <c r="GCP313" s="287"/>
      <c r="GCQ313" s="287"/>
      <c r="GCR313" s="287"/>
      <c r="GCS313" s="287"/>
      <c r="GCT313" s="287"/>
      <c r="GCU313" s="287"/>
      <c r="GCV313" s="287"/>
      <c r="GCW313" s="287"/>
      <c r="GCX313" s="287"/>
      <c r="GCY313" s="287"/>
      <c r="GCZ313" s="287"/>
      <c r="GDA313" s="287"/>
      <c r="GDB313" s="287"/>
      <c r="GDC313" s="287"/>
      <c r="GDD313" s="287"/>
      <c r="GDE313" s="287"/>
      <c r="GDF313" s="287"/>
      <c r="GDG313" s="287"/>
      <c r="GDH313" s="287"/>
      <c r="GDI313" s="287"/>
      <c r="GDJ313" s="287"/>
      <c r="GDK313" s="287"/>
      <c r="GDL313" s="287"/>
      <c r="GDM313" s="287"/>
      <c r="GDN313" s="287"/>
      <c r="GDO313" s="287"/>
      <c r="GDP313" s="287"/>
      <c r="GDQ313" s="287"/>
      <c r="GDR313" s="287"/>
      <c r="GDS313" s="287"/>
      <c r="GDT313" s="287"/>
      <c r="GDU313" s="287"/>
      <c r="GDV313" s="287"/>
      <c r="GDW313" s="287"/>
      <c r="GDX313" s="287"/>
      <c r="GDY313" s="287"/>
      <c r="GDZ313" s="287"/>
      <c r="GEA313" s="287"/>
      <c r="GEB313" s="287"/>
      <c r="GEC313" s="287"/>
      <c r="GED313" s="287"/>
      <c r="GEE313" s="287"/>
      <c r="GEF313" s="287"/>
      <c r="GEG313" s="287"/>
      <c r="GEH313" s="287"/>
      <c r="GEI313" s="287"/>
      <c r="GEJ313" s="287"/>
      <c r="GEK313" s="287"/>
      <c r="GEL313" s="287"/>
      <c r="GEM313" s="287"/>
      <c r="GEN313" s="287"/>
      <c r="GEO313" s="287"/>
      <c r="GEP313" s="287"/>
      <c r="GEQ313" s="287"/>
      <c r="GER313" s="287"/>
      <c r="GES313" s="287"/>
      <c r="GET313" s="287"/>
      <c r="GEU313" s="287"/>
      <c r="GEV313" s="287"/>
      <c r="GEW313" s="287"/>
      <c r="GEX313" s="287"/>
      <c r="GEY313" s="287"/>
      <c r="GEZ313" s="287"/>
      <c r="GFA313" s="287"/>
      <c r="GFB313" s="287"/>
      <c r="GFC313" s="287"/>
      <c r="GFD313" s="287"/>
      <c r="GFE313" s="287"/>
      <c r="GFF313" s="287"/>
      <c r="GFG313" s="287"/>
      <c r="GFH313" s="287"/>
      <c r="GFI313" s="287"/>
      <c r="GFJ313" s="287"/>
      <c r="GFK313" s="287"/>
      <c r="GFL313" s="287"/>
      <c r="GFM313" s="287"/>
      <c r="GFN313" s="287"/>
      <c r="GFO313" s="287"/>
      <c r="GFP313" s="287"/>
      <c r="GFQ313" s="287"/>
      <c r="GFR313" s="287"/>
      <c r="GFS313" s="287"/>
      <c r="GFT313" s="287"/>
      <c r="GFU313" s="287"/>
      <c r="GFV313" s="287"/>
      <c r="GFW313" s="287"/>
      <c r="GFX313" s="287"/>
      <c r="GFY313" s="287"/>
      <c r="GFZ313" s="287"/>
      <c r="GGA313" s="287"/>
      <c r="GGB313" s="287"/>
      <c r="GGC313" s="287"/>
      <c r="GGD313" s="287"/>
      <c r="GGE313" s="287"/>
      <c r="GGF313" s="287"/>
      <c r="GGG313" s="287"/>
      <c r="GGH313" s="287"/>
      <c r="GGI313" s="287"/>
      <c r="GGJ313" s="287"/>
      <c r="GGK313" s="287"/>
      <c r="GGL313" s="287"/>
      <c r="GGM313" s="287"/>
      <c r="GGN313" s="287"/>
      <c r="GGO313" s="287"/>
      <c r="GGP313" s="287"/>
      <c r="GGQ313" s="287"/>
      <c r="GGR313" s="287"/>
      <c r="GGS313" s="287"/>
      <c r="GGT313" s="287"/>
      <c r="GGU313" s="287"/>
      <c r="GGV313" s="287"/>
      <c r="GGW313" s="287"/>
      <c r="GGX313" s="287"/>
      <c r="GGY313" s="287"/>
      <c r="GGZ313" s="287"/>
      <c r="GHA313" s="287"/>
      <c r="GHB313" s="287"/>
      <c r="GHC313" s="287"/>
      <c r="GHD313" s="287"/>
      <c r="GHE313" s="287"/>
      <c r="GHF313" s="287"/>
      <c r="GHG313" s="287"/>
      <c r="GHH313" s="287"/>
      <c r="GHI313" s="287"/>
      <c r="GHJ313" s="287"/>
      <c r="GHK313" s="287"/>
      <c r="GHL313" s="287"/>
      <c r="GHM313" s="287"/>
      <c r="GHN313" s="287"/>
      <c r="GHO313" s="287"/>
      <c r="GHP313" s="287"/>
      <c r="GHQ313" s="287"/>
      <c r="GHR313" s="287"/>
      <c r="GHS313" s="287"/>
      <c r="GHT313" s="287"/>
      <c r="GHU313" s="287"/>
      <c r="GHV313" s="287"/>
      <c r="GHW313" s="287"/>
      <c r="GHX313" s="287"/>
      <c r="GHY313" s="287"/>
      <c r="GHZ313" s="287"/>
      <c r="GIA313" s="287"/>
      <c r="GIB313" s="287"/>
      <c r="GIC313" s="287"/>
      <c r="GID313" s="287"/>
      <c r="GIE313" s="287"/>
      <c r="GIF313" s="287"/>
      <c r="GIG313" s="287"/>
      <c r="GIH313" s="287"/>
      <c r="GII313" s="287"/>
      <c r="GIJ313" s="287"/>
      <c r="GIK313" s="287"/>
      <c r="GIL313" s="287"/>
      <c r="GIM313" s="287"/>
      <c r="GIN313" s="287"/>
      <c r="GIO313" s="287"/>
      <c r="GIP313" s="287"/>
      <c r="GIQ313" s="287"/>
      <c r="GIR313" s="287"/>
      <c r="GIS313" s="287"/>
      <c r="GIT313" s="287"/>
      <c r="GIU313" s="287"/>
      <c r="GIV313" s="287"/>
      <c r="GIW313" s="287"/>
      <c r="GIX313" s="287"/>
      <c r="GIY313" s="287"/>
      <c r="GIZ313" s="287"/>
      <c r="GJA313" s="287"/>
      <c r="GJB313" s="287"/>
      <c r="GJC313" s="287"/>
      <c r="GJD313" s="287"/>
      <c r="GJE313" s="287"/>
      <c r="GJF313" s="287"/>
      <c r="GJG313" s="287"/>
      <c r="GJH313" s="287"/>
      <c r="GJI313" s="287"/>
      <c r="GJJ313" s="287"/>
      <c r="GJK313" s="287"/>
      <c r="GJL313" s="287"/>
      <c r="GJM313" s="287"/>
      <c r="GJN313" s="287"/>
      <c r="GJO313" s="287"/>
      <c r="GJP313" s="287"/>
      <c r="GJQ313" s="287"/>
      <c r="GJR313" s="287"/>
      <c r="GJS313" s="287"/>
      <c r="GJT313" s="287"/>
      <c r="GJU313" s="287"/>
      <c r="GJV313" s="287"/>
      <c r="GJW313" s="287"/>
      <c r="GJX313" s="287"/>
      <c r="GJY313" s="287"/>
      <c r="GJZ313" s="287"/>
      <c r="GKA313" s="287"/>
      <c r="GKB313" s="287"/>
      <c r="GKC313" s="287"/>
      <c r="GKD313" s="287"/>
      <c r="GKE313" s="287"/>
      <c r="GKF313" s="287"/>
      <c r="GKG313" s="287"/>
      <c r="GKH313" s="287"/>
      <c r="GKI313" s="287"/>
      <c r="GKJ313" s="287"/>
      <c r="GKK313" s="287"/>
      <c r="GKL313" s="287"/>
      <c r="GKM313" s="287"/>
      <c r="GKN313" s="287"/>
      <c r="GKO313" s="287"/>
      <c r="GKP313" s="287"/>
      <c r="GKQ313" s="287"/>
      <c r="GKR313" s="287"/>
      <c r="GKS313" s="287"/>
      <c r="GKT313" s="287"/>
      <c r="GKU313" s="287"/>
      <c r="GKV313" s="287"/>
      <c r="GKW313" s="287"/>
      <c r="GKX313" s="287"/>
      <c r="GKY313" s="287"/>
      <c r="GKZ313" s="287"/>
      <c r="GLA313" s="287"/>
      <c r="GLB313" s="287"/>
      <c r="GLC313" s="287"/>
      <c r="GLD313" s="287"/>
      <c r="GLE313" s="287"/>
      <c r="GLF313" s="287"/>
      <c r="GLG313" s="287"/>
      <c r="GLH313" s="287"/>
      <c r="GLI313" s="287"/>
      <c r="GLJ313" s="287"/>
      <c r="GLK313" s="287"/>
      <c r="GLL313" s="287"/>
      <c r="GLM313" s="287"/>
      <c r="GLN313" s="287"/>
      <c r="GLO313" s="287"/>
      <c r="GLP313" s="287"/>
      <c r="GLQ313" s="287"/>
      <c r="GLR313" s="287"/>
      <c r="GLS313" s="287"/>
      <c r="GLT313" s="287"/>
      <c r="GLU313" s="287"/>
      <c r="GLV313" s="287"/>
      <c r="GLW313" s="287"/>
      <c r="GLX313" s="287"/>
      <c r="GLY313" s="287"/>
      <c r="GLZ313" s="287"/>
      <c r="GMA313" s="287"/>
      <c r="GMB313" s="287"/>
      <c r="GMC313" s="287"/>
      <c r="GMD313" s="287"/>
      <c r="GME313" s="287"/>
      <c r="GMF313" s="287"/>
      <c r="GMG313" s="287"/>
      <c r="GMH313" s="287"/>
      <c r="GMI313" s="287"/>
      <c r="GMJ313" s="287"/>
      <c r="GMK313" s="287"/>
      <c r="GML313" s="287"/>
      <c r="GMM313" s="287"/>
      <c r="GMN313" s="287"/>
      <c r="GMO313" s="287"/>
      <c r="GMP313" s="287"/>
      <c r="GMQ313" s="287"/>
      <c r="GMR313" s="287"/>
      <c r="GMS313" s="287"/>
      <c r="GMT313" s="287"/>
      <c r="GMU313" s="287"/>
      <c r="GMV313" s="287"/>
      <c r="GMW313" s="287"/>
      <c r="GMX313" s="287"/>
      <c r="GMY313" s="287"/>
      <c r="GMZ313" s="287"/>
      <c r="GNA313" s="287"/>
      <c r="GNB313" s="287"/>
      <c r="GNC313" s="287"/>
      <c r="GND313" s="287"/>
      <c r="GNE313" s="287"/>
      <c r="GNF313" s="287"/>
      <c r="GNG313" s="287"/>
      <c r="GNH313" s="287"/>
      <c r="GNI313" s="287"/>
      <c r="GNJ313" s="287"/>
      <c r="GNK313" s="287"/>
      <c r="GNL313" s="287"/>
      <c r="GNM313" s="287"/>
      <c r="GNN313" s="287"/>
      <c r="GNO313" s="287"/>
      <c r="GNP313" s="287"/>
      <c r="GNQ313" s="287"/>
      <c r="GNR313" s="287"/>
      <c r="GNS313" s="287"/>
      <c r="GNT313" s="287"/>
      <c r="GNU313" s="287"/>
      <c r="GNV313" s="287"/>
      <c r="GNW313" s="287"/>
      <c r="GNX313" s="287"/>
      <c r="GNY313" s="287"/>
      <c r="GNZ313" s="287"/>
      <c r="GOA313" s="287"/>
      <c r="GOB313" s="287"/>
      <c r="GOC313" s="287"/>
      <c r="GOD313" s="287"/>
      <c r="GOE313" s="287"/>
      <c r="GOF313" s="287"/>
      <c r="GOG313" s="287"/>
      <c r="GOH313" s="287"/>
      <c r="GOI313" s="287"/>
      <c r="GOJ313" s="287"/>
      <c r="GOK313" s="287"/>
      <c r="GOL313" s="287"/>
      <c r="GOM313" s="287"/>
      <c r="GON313" s="287"/>
      <c r="GOO313" s="287"/>
      <c r="GOP313" s="287"/>
      <c r="GOQ313" s="287"/>
      <c r="GOR313" s="287"/>
      <c r="GOS313" s="287"/>
      <c r="GOT313" s="287"/>
      <c r="GOU313" s="287"/>
      <c r="GOV313" s="287"/>
      <c r="GOW313" s="287"/>
      <c r="GOX313" s="287"/>
      <c r="GOY313" s="287"/>
      <c r="GOZ313" s="287"/>
      <c r="GPA313" s="287"/>
      <c r="GPB313" s="287"/>
      <c r="GPC313" s="287"/>
      <c r="GPD313" s="287"/>
      <c r="GPE313" s="287"/>
      <c r="GPF313" s="287"/>
      <c r="GPG313" s="287"/>
      <c r="GPH313" s="287"/>
      <c r="GPI313" s="287"/>
      <c r="GPJ313" s="287"/>
      <c r="GPK313" s="287"/>
      <c r="GPL313" s="287"/>
      <c r="GPM313" s="287"/>
      <c r="GPN313" s="287"/>
      <c r="GPO313" s="287"/>
      <c r="GPP313" s="287"/>
      <c r="GPQ313" s="287"/>
      <c r="GPR313" s="287"/>
      <c r="GPS313" s="287"/>
      <c r="GPT313" s="287"/>
      <c r="GPU313" s="287"/>
      <c r="GPV313" s="287"/>
      <c r="GPW313" s="287"/>
      <c r="GPX313" s="287"/>
      <c r="GPY313" s="287"/>
      <c r="GPZ313" s="287"/>
      <c r="GQA313" s="287"/>
      <c r="GQB313" s="287"/>
      <c r="GQC313" s="287"/>
      <c r="GQD313" s="287"/>
      <c r="GQE313" s="287"/>
      <c r="GQF313" s="287"/>
      <c r="GQG313" s="287"/>
      <c r="GQH313" s="287"/>
      <c r="GQI313" s="287"/>
      <c r="GQJ313" s="287"/>
      <c r="GQK313" s="287"/>
      <c r="GQL313" s="287"/>
      <c r="GQM313" s="287"/>
      <c r="GQN313" s="287"/>
      <c r="GQO313" s="287"/>
      <c r="GQP313" s="287"/>
      <c r="GQQ313" s="287"/>
      <c r="GQR313" s="287"/>
      <c r="GQS313" s="287"/>
      <c r="GQT313" s="287"/>
      <c r="GQU313" s="287"/>
      <c r="GQV313" s="287"/>
      <c r="GQW313" s="287"/>
      <c r="GQX313" s="287"/>
      <c r="GQY313" s="287"/>
      <c r="GQZ313" s="287"/>
      <c r="GRA313" s="287"/>
      <c r="GRB313" s="287"/>
      <c r="GRC313" s="287"/>
      <c r="GRD313" s="287"/>
      <c r="GRE313" s="287"/>
      <c r="GRF313" s="287"/>
      <c r="GRG313" s="287"/>
      <c r="GRH313" s="287"/>
      <c r="GRI313" s="287"/>
      <c r="GRJ313" s="287"/>
      <c r="GRK313" s="287"/>
      <c r="GRL313" s="287"/>
      <c r="GRM313" s="287"/>
      <c r="GRN313" s="287"/>
      <c r="GRO313" s="287"/>
      <c r="GRP313" s="287"/>
      <c r="GRQ313" s="287"/>
      <c r="GRR313" s="287"/>
      <c r="GRS313" s="287"/>
      <c r="GRT313" s="287"/>
      <c r="GRU313" s="287"/>
      <c r="GRV313" s="287"/>
      <c r="GRW313" s="287"/>
      <c r="GRX313" s="287"/>
      <c r="GRY313" s="287"/>
      <c r="GRZ313" s="287"/>
      <c r="GSA313" s="287"/>
      <c r="GSB313" s="287"/>
      <c r="GSC313" s="287"/>
      <c r="GSD313" s="287"/>
      <c r="GSE313" s="287"/>
      <c r="GSF313" s="287"/>
      <c r="GSG313" s="287"/>
      <c r="GSH313" s="287"/>
      <c r="GSI313" s="287"/>
      <c r="GSJ313" s="287"/>
      <c r="GSK313" s="287"/>
      <c r="GSL313" s="287"/>
      <c r="GSM313" s="287"/>
      <c r="GSN313" s="287"/>
      <c r="GSO313" s="287"/>
      <c r="GSP313" s="287"/>
      <c r="GSQ313" s="287"/>
      <c r="GSR313" s="287"/>
      <c r="GSS313" s="287"/>
      <c r="GST313" s="287"/>
      <c r="GSU313" s="287"/>
      <c r="GSV313" s="287"/>
      <c r="GSW313" s="287"/>
      <c r="GSX313" s="287"/>
      <c r="GSY313" s="287"/>
      <c r="GSZ313" s="287"/>
      <c r="GTA313" s="287"/>
      <c r="GTB313" s="287"/>
      <c r="GTC313" s="287"/>
      <c r="GTD313" s="287"/>
      <c r="GTE313" s="287"/>
      <c r="GTF313" s="287"/>
      <c r="GTG313" s="287"/>
      <c r="GTH313" s="287"/>
      <c r="GTI313" s="287"/>
      <c r="GTJ313" s="287"/>
      <c r="GTK313" s="287"/>
      <c r="GTL313" s="287"/>
      <c r="GTM313" s="287"/>
      <c r="GTN313" s="287"/>
      <c r="GTO313" s="287"/>
      <c r="GTP313" s="287"/>
      <c r="GTQ313" s="287"/>
      <c r="GTR313" s="287"/>
      <c r="GTS313" s="287"/>
      <c r="GTT313" s="287"/>
      <c r="GTU313" s="287"/>
      <c r="GTV313" s="287"/>
      <c r="GTW313" s="287"/>
      <c r="GTX313" s="287"/>
      <c r="GTY313" s="287"/>
      <c r="GTZ313" s="287"/>
      <c r="GUA313" s="287"/>
      <c r="GUB313" s="287"/>
      <c r="GUC313" s="287"/>
      <c r="GUD313" s="287"/>
      <c r="GUE313" s="287"/>
      <c r="GUF313" s="287"/>
      <c r="GUG313" s="287"/>
      <c r="GUH313" s="287"/>
      <c r="GUI313" s="287"/>
      <c r="GUJ313" s="287"/>
      <c r="GUK313" s="287"/>
      <c r="GUL313" s="287"/>
      <c r="GUM313" s="287"/>
      <c r="GUN313" s="287"/>
      <c r="GUO313" s="287"/>
      <c r="GUP313" s="287"/>
      <c r="GUQ313" s="287"/>
      <c r="GUR313" s="287"/>
      <c r="GUS313" s="287"/>
      <c r="GUT313" s="287"/>
      <c r="GUU313" s="287"/>
      <c r="GUV313" s="287"/>
      <c r="GUW313" s="287"/>
      <c r="GUX313" s="287"/>
      <c r="GUY313" s="287"/>
      <c r="GUZ313" s="287"/>
      <c r="GVA313" s="287"/>
      <c r="GVB313" s="287"/>
      <c r="GVC313" s="287"/>
      <c r="GVD313" s="287"/>
      <c r="GVE313" s="287"/>
      <c r="GVF313" s="287"/>
      <c r="GVG313" s="287"/>
      <c r="GVH313" s="287"/>
      <c r="GVI313" s="287"/>
      <c r="GVJ313" s="287"/>
      <c r="GVK313" s="287"/>
      <c r="GVL313" s="287"/>
      <c r="GVM313" s="287"/>
      <c r="GVN313" s="287"/>
      <c r="GVO313" s="287"/>
      <c r="GVP313" s="287"/>
      <c r="GVQ313" s="287"/>
      <c r="GVR313" s="287"/>
      <c r="GVS313" s="287"/>
      <c r="GVT313" s="287"/>
      <c r="GVU313" s="287"/>
      <c r="GVV313" s="287"/>
      <c r="GVW313" s="287"/>
      <c r="GVX313" s="287"/>
      <c r="GVY313" s="287"/>
      <c r="GVZ313" s="287"/>
      <c r="GWA313" s="287"/>
      <c r="GWB313" s="287"/>
      <c r="GWC313" s="287"/>
      <c r="GWD313" s="287"/>
      <c r="GWE313" s="287"/>
      <c r="GWF313" s="287"/>
      <c r="GWG313" s="287"/>
      <c r="GWH313" s="287"/>
      <c r="GWI313" s="287"/>
      <c r="GWJ313" s="287"/>
      <c r="GWK313" s="287"/>
      <c r="GWL313" s="287"/>
      <c r="GWM313" s="287"/>
      <c r="GWN313" s="287"/>
      <c r="GWO313" s="287"/>
      <c r="GWP313" s="287"/>
      <c r="GWQ313" s="287"/>
      <c r="GWR313" s="287"/>
      <c r="GWS313" s="287"/>
      <c r="GWT313" s="287"/>
      <c r="GWU313" s="287"/>
      <c r="GWV313" s="287"/>
      <c r="GWW313" s="287"/>
      <c r="GWX313" s="287"/>
      <c r="GWY313" s="287"/>
      <c r="GWZ313" s="287"/>
      <c r="GXA313" s="287"/>
      <c r="GXB313" s="287"/>
      <c r="GXC313" s="287"/>
      <c r="GXD313" s="287"/>
      <c r="GXE313" s="287"/>
      <c r="GXF313" s="287"/>
      <c r="GXG313" s="287"/>
      <c r="GXH313" s="287"/>
      <c r="GXI313" s="287"/>
      <c r="GXJ313" s="287"/>
      <c r="GXK313" s="287"/>
      <c r="GXL313" s="287"/>
      <c r="GXM313" s="287"/>
      <c r="GXN313" s="287"/>
      <c r="GXO313" s="287"/>
      <c r="GXP313" s="287"/>
      <c r="GXQ313" s="287"/>
      <c r="GXR313" s="287"/>
      <c r="GXS313" s="287"/>
      <c r="GXT313" s="287"/>
      <c r="GXU313" s="287"/>
      <c r="GXV313" s="287"/>
      <c r="GXW313" s="287"/>
      <c r="GXX313" s="287"/>
      <c r="GXY313" s="287"/>
      <c r="GXZ313" s="287"/>
      <c r="GYA313" s="287"/>
      <c r="GYB313" s="287"/>
      <c r="GYC313" s="287"/>
      <c r="GYD313" s="287"/>
      <c r="GYE313" s="287"/>
      <c r="GYF313" s="287"/>
      <c r="GYG313" s="287"/>
      <c r="GYH313" s="287"/>
      <c r="GYI313" s="287"/>
      <c r="GYJ313" s="287"/>
      <c r="GYK313" s="287"/>
      <c r="GYL313" s="287"/>
      <c r="GYM313" s="287"/>
      <c r="GYN313" s="287"/>
      <c r="GYO313" s="287"/>
      <c r="GYP313" s="287"/>
      <c r="GYQ313" s="287"/>
      <c r="GYR313" s="287"/>
      <c r="GYS313" s="287"/>
      <c r="GYT313" s="287"/>
      <c r="GYU313" s="287"/>
      <c r="GYV313" s="287"/>
      <c r="GYW313" s="287"/>
      <c r="GYX313" s="287"/>
      <c r="GYY313" s="287"/>
      <c r="GYZ313" s="287"/>
      <c r="GZA313" s="287"/>
      <c r="GZB313" s="287"/>
      <c r="GZC313" s="287"/>
      <c r="GZD313" s="287"/>
      <c r="GZE313" s="287"/>
      <c r="GZF313" s="287"/>
      <c r="GZG313" s="287"/>
      <c r="GZH313" s="287"/>
      <c r="GZI313" s="287"/>
      <c r="GZJ313" s="287"/>
      <c r="GZK313" s="287"/>
      <c r="GZL313" s="287"/>
      <c r="GZM313" s="287"/>
      <c r="GZN313" s="287"/>
      <c r="GZO313" s="287"/>
      <c r="GZP313" s="287"/>
      <c r="GZQ313" s="287"/>
      <c r="GZR313" s="287"/>
      <c r="GZS313" s="287"/>
      <c r="GZT313" s="287"/>
      <c r="GZU313" s="287"/>
      <c r="GZV313" s="287"/>
      <c r="GZW313" s="287"/>
      <c r="GZX313" s="287"/>
      <c r="GZY313" s="287"/>
      <c r="GZZ313" s="287"/>
      <c r="HAA313" s="287"/>
      <c r="HAB313" s="287"/>
      <c r="HAC313" s="287"/>
      <c r="HAD313" s="287"/>
      <c r="HAE313" s="287"/>
      <c r="HAF313" s="287"/>
      <c r="HAG313" s="287"/>
      <c r="HAH313" s="287"/>
      <c r="HAI313" s="287"/>
      <c r="HAJ313" s="287"/>
      <c r="HAK313" s="287"/>
      <c r="HAL313" s="287"/>
      <c r="HAM313" s="287"/>
      <c r="HAN313" s="287"/>
      <c r="HAO313" s="287"/>
      <c r="HAP313" s="287"/>
      <c r="HAQ313" s="287"/>
      <c r="HAR313" s="287"/>
      <c r="HAS313" s="287"/>
      <c r="HAT313" s="287"/>
      <c r="HAU313" s="287"/>
      <c r="HAV313" s="287"/>
      <c r="HAW313" s="287"/>
      <c r="HAX313" s="287"/>
      <c r="HAY313" s="287"/>
      <c r="HAZ313" s="287"/>
      <c r="HBA313" s="287"/>
      <c r="HBB313" s="287"/>
      <c r="HBC313" s="287"/>
      <c r="HBD313" s="287"/>
      <c r="HBE313" s="287"/>
      <c r="HBF313" s="287"/>
      <c r="HBG313" s="287"/>
      <c r="HBH313" s="287"/>
      <c r="HBI313" s="287"/>
      <c r="HBJ313" s="287"/>
      <c r="HBK313" s="287"/>
      <c r="HBL313" s="287"/>
      <c r="HBM313" s="287"/>
      <c r="HBN313" s="287"/>
      <c r="HBO313" s="287"/>
      <c r="HBP313" s="287"/>
      <c r="HBQ313" s="287"/>
      <c r="HBR313" s="287"/>
      <c r="HBS313" s="287"/>
      <c r="HBT313" s="287"/>
      <c r="HBU313" s="287"/>
      <c r="HBV313" s="287"/>
      <c r="HBW313" s="287"/>
      <c r="HBX313" s="287"/>
      <c r="HBY313" s="287"/>
      <c r="HBZ313" s="287"/>
      <c r="HCA313" s="287"/>
      <c r="HCB313" s="287"/>
      <c r="HCC313" s="287"/>
      <c r="HCD313" s="287"/>
      <c r="HCE313" s="287"/>
      <c r="HCF313" s="287"/>
      <c r="HCG313" s="287"/>
      <c r="HCH313" s="287"/>
      <c r="HCI313" s="287"/>
      <c r="HCJ313" s="287"/>
      <c r="HCK313" s="287"/>
      <c r="HCL313" s="287"/>
      <c r="HCM313" s="287"/>
      <c r="HCN313" s="287"/>
      <c r="HCO313" s="287"/>
      <c r="HCP313" s="287"/>
      <c r="HCQ313" s="287"/>
      <c r="HCR313" s="287"/>
      <c r="HCS313" s="287"/>
      <c r="HCT313" s="287"/>
      <c r="HCU313" s="287"/>
      <c r="HCV313" s="287"/>
      <c r="HCW313" s="287"/>
      <c r="HCX313" s="287"/>
      <c r="HCY313" s="287"/>
      <c r="HCZ313" s="287"/>
      <c r="HDA313" s="287"/>
      <c r="HDB313" s="287"/>
      <c r="HDC313" s="287"/>
      <c r="HDD313" s="287"/>
      <c r="HDE313" s="287"/>
      <c r="HDF313" s="287"/>
      <c r="HDG313" s="287"/>
      <c r="HDH313" s="287"/>
      <c r="HDI313" s="287"/>
      <c r="HDJ313" s="287"/>
      <c r="HDK313" s="287"/>
      <c r="HDL313" s="287"/>
      <c r="HDM313" s="287"/>
      <c r="HDN313" s="287"/>
      <c r="HDO313" s="287"/>
      <c r="HDP313" s="287"/>
      <c r="HDQ313" s="287"/>
      <c r="HDR313" s="287"/>
      <c r="HDS313" s="287"/>
      <c r="HDT313" s="287"/>
      <c r="HDU313" s="287"/>
      <c r="HDV313" s="287"/>
      <c r="HDW313" s="287"/>
      <c r="HDX313" s="287"/>
      <c r="HDY313" s="287"/>
      <c r="HDZ313" s="287"/>
      <c r="HEA313" s="287"/>
      <c r="HEB313" s="287"/>
      <c r="HEC313" s="287"/>
      <c r="HED313" s="287"/>
      <c r="HEE313" s="287"/>
      <c r="HEF313" s="287"/>
      <c r="HEG313" s="287"/>
      <c r="HEH313" s="287"/>
      <c r="HEI313" s="287"/>
      <c r="HEJ313" s="287"/>
      <c r="HEK313" s="287"/>
      <c r="HEL313" s="287"/>
      <c r="HEM313" s="287"/>
      <c r="HEN313" s="287"/>
      <c r="HEO313" s="287"/>
      <c r="HEP313" s="287"/>
      <c r="HEQ313" s="287"/>
      <c r="HER313" s="287"/>
      <c r="HES313" s="287"/>
      <c r="HET313" s="287"/>
      <c r="HEU313" s="287"/>
      <c r="HEV313" s="287"/>
      <c r="HEW313" s="287"/>
      <c r="HEX313" s="287"/>
      <c r="HEY313" s="287"/>
      <c r="HEZ313" s="287"/>
      <c r="HFA313" s="287"/>
      <c r="HFB313" s="287"/>
      <c r="HFC313" s="287"/>
      <c r="HFD313" s="287"/>
      <c r="HFE313" s="287"/>
      <c r="HFF313" s="287"/>
      <c r="HFG313" s="287"/>
      <c r="HFH313" s="287"/>
      <c r="HFI313" s="287"/>
      <c r="HFJ313" s="287"/>
      <c r="HFK313" s="287"/>
      <c r="HFL313" s="287"/>
      <c r="HFM313" s="287"/>
      <c r="HFN313" s="287"/>
      <c r="HFO313" s="287"/>
      <c r="HFP313" s="287"/>
      <c r="HFQ313" s="287"/>
      <c r="HFR313" s="287"/>
      <c r="HFS313" s="287"/>
      <c r="HFT313" s="287"/>
      <c r="HFU313" s="287"/>
      <c r="HFV313" s="287"/>
      <c r="HFW313" s="287"/>
      <c r="HFX313" s="287"/>
      <c r="HFY313" s="287"/>
      <c r="HFZ313" s="287"/>
      <c r="HGA313" s="287"/>
      <c r="HGB313" s="287"/>
      <c r="HGC313" s="287"/>
      <c r="HGD313" s="287"/>
      <c r="HGE313" s="287"/>
      <c r="HGF313" s="287"/>
      <c r="HGG313" s="287"/>
      <c r="HGH313" s="287"/>
      <c r="HGI313" s="287"/>
      <c r="HGJ313" s="287"/>
      <c r="HGK313" s="287"/>
      <c r="HGL313" s="287"/>
      <c r="HGM313" s="287"/>
      <c r="HGN313" s="287"/>
      <c r="HGO313" s="287"/>
      <c r="HGP313" s="287"/>
      <c r="HGQ313" s="287"/>
      <c r="HGR313" s="287"/>
      <c r="HGS313" s="287"/>
      <c r="HGT313" s="287"/>
      <c r="HGU313" s="287"/>
      <c r="HGV313" s="287"/>
      <c r="HGW313" s="287"/>
      <c r="HGX313" s="287"/>
      <c r="HGY313" s="287"/>
      <c r="HGZ313" s="287"/>
      <c r="HHA313" s="287"/>
      <c r="HHB313" s="287"/>
      <c r="HHC313" s="287"/>
      <c r="HHD313" s="287"/>
      <c r="HHE313" s="287"/>
      <c r="HHF313" s="287"/>
      <c r="HHG313" s="287"/>
      <c r="HHH313" s="287"/>
      <c r="HHI313" s="287"/>
      <c r="HHJ313" s="287"/>
      <c r="HHK313" s="287"/>
      <c r="HHL313" s="287"/>
      <c r="HHM313" s="287"/>
      <c r="HHN313" s="287"/>
      <c r="HHO313" s="287"/>
      <c r="HHP313" s="287"/>
      <c r="HHQ313" s="287"/>
      <c r="HHR313" s="287"/>
      <c r="HHS313" s="287"/>
      <c r="HHT313" s="287"/>
      <c r="HHU313" s="287"/>
      <c r="HHV313" s="287"/>
      <c r="HHW313" s="287"/>
      <c r="HHX313" s="287"/>
      <c r="HHY313" s="287"/>
      <c r="HHZ313" s="287"/>
      <c r="HIA313" s="287"/>
      <c r="HIB313" s="287"/>
      <c r="HIC313" s="287"/>
      <c r="HID313" s="287"/>
      <c r="HIE313" s="287"/>
      <c r="HIF313" s="287"/>
      <c r="HIG313" s="287"/>
      <c r="HIH313" s="287"/>
      <c r="HII313" s="287"/>
      <c r="HIJ313" s="287"/>
      <c r="HIK313" s="287"/>
      <c r="HIL313" s="287"/>
      <c r="HIM313" s="287"/>
      <c r="HIN313" s="287"/>
      <c r="HIO313" s="287"/>
      <c r="HIP313" s="287"/>
      <c r="HIQ313" s="287"/>
      <c r="HIR313" s="287"/>
      <c r="HIS313" s="287"/>
      <c r="HIT313" s="287"/>
      <c r="HIU313" s="287"/>
      <c r="HIV313" s="287"/>
      <c r="HIW313" s="287"/>
      <c r="HIX313" s="287"/>
      <c r="HIY313" s="287"/>
      <c r="HIZ313" s="287"/>
      <c r="HJA313" s="287"/>
      <c r="HJB313" s="287"/>
      <c r="HJC313" s="287"/>
      <c r="HJD313" s="287"/>
      <c r="HJE313" s="287"/>
      <c r="HJF313" s="287"/>
      <c r="HJG313" s="287"/>
      <c r="HJH313" s="287"/>
      <c r="HJI313" s="287"/>
      <c r="HJJ313" s="287"/>
      <c r="HJK313" s="287"/>
      <c r="HJL313" s="287"/>
      <c r="HJM313" s="287"/>
      <c r="HJN313" s="287"/>
      <c r="HJO313" s="287"/>
      <c r="HJP313" s="287"/>
      <c r="HJQ313" s="287"/>
      <c r="HJR313" s="287"/>
      <c r="HJS313" s="287"/>
      <c r="HJT313" s="287"/>
      <c r="HJU313" s="287"/>
      <c r="HJV313" s="287"/>
      <c r="HJW313" s="287"/>
      <c r="HJX313" s="287"/>
      <c r="HJY313" s="287"/>
      <c r="HJZ313" s="287"/>
      <c r="HKA313" s="287"/>
      <c r="HKB313" s="287"/>
      <c r="HKC313" s="287"/>
      <c r="HKD313" s="287"/>
      <c r="HKE313" s="287"/>
      <c r="HKF313" s="287"/>
      <c r="HKG313" s="287"/>
      <c r="HKH313" s="287"/>
      <c r="HKI313" s="287"/>
      <c r="HKJ313" s="287"/>
      <c r="HKK313" s="287"/>
      <c r="HKL313" s="287"/>
      <c r="HKM313" s="287"/>
      <c r="HKN313" s="287"/>
      <c r="HKO313" s="287"/>
      <c r="HKP313" s="287"/>
      <c r="HKQ313" s="287"/>
      <c r="HKR313" s="287"/>
      <c r="HKS313" s="287"/>
      <c r="HKT313" s="287"/>
      <c r="HKU313" s="287"/>
      <c r="HKV313" s="287"/>
      <c r="HKW313" s="287"/>
      <c r="HKX313" s="287"/>
      <c r="HKY313" s="287"/>
      <c r="HKZ313" s="287"/>
      <c r="HLA313" s="287"/>
      <c r="HLB313" s="287"/>
      <c r="HLC313" s="287"/>
      <c r="HLD313" s="287"/>
      <c r="HLE313" s="287"/>
      <c r="HLF313" s="287"/>
      <c r="HLG313" s="287"/>
      <c r="HLH313" s="287"/>
      <c r="HLI313" s="287"/>
      <c r="HLJ313" s="287"/>
      <c r="HLK313" s="287"/>
      <c r="HLL313" s="287"/>
      <c r="HLM313" s="287"/>
      <c r="HLN313" s="287"/>
      <c r="HLO313" s="287"/>
      <c r="HLP313" s="287"/>
      <c r="HLQ313" s="287"/>
      <c r="HLR313" s="287"/>
      <c r="HLS313" s="287"/>
      <c r="HLT313" s="287"/>
      <c r="HLU313" s="287"/>
      <c r="HLV313" s="287"/>
      <c r="HLW313" s="287"/>
      <c r="HLX313" s="287"/>
      <c r="HLY313" s="287"/>
      <c r="HLZ313" s="287"/>
      <c r="HMA313" s="287"/>
      <c r="HMB313" s="287"/>
      <c r="HMC313" s="287"/>
      <c r="HMD313" s="287"/>
      <c r="HME313" s="287"/>
      <c r="HMF313" s="287"/>
      <c r="HMG313" s="287"/>
      <c r="HMH313" s="287"/>
      <c r="HMI313" s="287"/>
      <c r="HMJ313" s="287"/>
      <c r="HMK313" s="287"/>
      <c r="HML313" s="287"/>
      <c r="HMM313" s="287"/>
      <c r="HMN313" s="287"/>
      <c r="HMO313" s="287"/>
      <c r="HMP313" s="287"/>
      <c r="HMQ313" s="287"/>
      <c r="HMR313" s="287"/>
      <c r="HMS313" s="287"/>
      <c r="HMT313" s="287"/>
      <c r="HMU313" s="287"/>
      <c r="HMV313" s="287"/>
      <c r="HMW313" s="287"/>
      <c r="HMX313" s="287"/>
      <c r="HMY313" s="287"/>
      <c r="HMZ313" s="287"/>
      <c r="HNA313" s="287"/>
      <c r="HNB313" s="287"/>
      <c r="HNC313" s="287"/>
      <c r="HND313" s="287"/>
      <c r="HNE313" s="287"/>
      <c r="HNF313" s="287"/>
      <c r="HNG313" s="287"/>
      <c r="HNH313" s="287"/>
      <c r="HNI313" s="287"/>
      <c r="HNJ313" s="287"/>
      <c r="HNK313" s="287"/>
      <c r="HNL313" s="287"/>
      <c r="HNM313" s="287"/>
      <c r="HNN313" s="287"/>
      <c r="HNO313" s="287"/>
      <c r="HNP313" s="287"/>
      <c r="HNQ313" s="287"/>
      <c r="HNR313" s="287"/>
      <c r="HNS313" s="287"/>
      <c r="HNT313" s="287"/>
      <c r="HNU313" s="287"/>
      <c r="HNV313" s="287"/>
      <c r="HNW313" s="287"/>
      <c r="HNX313" s="287"/>
      <c r="HNY313" s="287"/>
      <c r="HNZ313" s="287"/>
      <c r="HOA313" s="287"/>
      <c r="HOB313" s="287"/>
      <c r="HOC313" s="287"/>
      <c r="HOD313" s="287"/>
      <c r="HOE313" s="287"/>
      <c r="HOF313" s="287"/>
      <c r="HOG313" s="287"/>
      <c r="HOH313" s="287"/>
      <c r="HOI313" s="287"/>
      <c r="HOJ313" s="287"/>
      <c r="HOK313" s="287"/>
      <c r="HOL313" s="287"/>
      <c r="HOM313" s="287"/>
      <c r="HON313" s="287"/>
      <c r="HOO313" s="287"/>
      <c r="HOP313" s="287"/>
      <c r="HOQ313" s="287"/>
      <c r="HOR313" s="287"/>
      <c r="HOS313" s="287"/>
      <c r="HOT313" s="287"/>
      <c r="HOU313" s="287"/>
      <c r="HOV313" s="287"/>
      <c r="HOW313" s="287"/>
      <c r="HOX313" s="287"/>
      <c r="HOY313" s="287"/>
      <c r="HOZ313" s="287"/>
      <c r="HPA313" s="287"/>
      <c r="HPB313" s="287"/>
      <c r="HPC313" s="287"/>
      <c r="HPD313" s="287"/>
      <c r="HPE313" s="287"/>
      <c r="HPF313" s="287"/>
      <c r="HPG313" s="287"/>
      <c r="HPH313" s="287"/>
      <c r="HPI313" s="287"/>
      <c r="HPJ313" s="287"/>
      <c r="HPK313" s="287"/>
      <c r="HPL313" s="287"/>
      <c r="HPM313" s="287"/>
      <c r="HPN313" s="287"/>
      <c r="HPO313" s="287"/>
      <c r="HPP313" s="287"/>
      <c r="HPQ313" s="287"/>
      <c r="HPR313" s="287"/>
      <c r="HPS313" s="287"/>
      <c r="HPT313" s="287"/>
      <c r="HPU313" s="287"/>
      <c r="HPV313" s="287"/>
      <c r="HPW313" s="287"/>
      <c r="HPX313" s="287"/>
      <c r="HPY313" s="287"/>
      <c r="HPZ313" s="287"/>
      <c r="HQA313" s="287"/>
      <c r="HQB313" s="287"/>
      <c r="HQC313" s="287"/>
      <c r="HQD313" s="287"/>
      <c r="HQE313" s="287"/>
      <c r="HQF313" s="287"/>
      <c r="HQG313" s="287"/>
      <c r="HQH313" s="287"/>
      <c r="HQI313" s="287"/>
      <c r="HQJ313" s="287"/>
      <c r="HQK313" s="287"/>
      <c r="HQL313" s="287"/>
      <c r="HQM313" s="287"/>
      <c r="HQN313" s="287"/>
      <c r="HQO313" s="287"/>
      <c r="HQP313" s="287"/>
      <c r="HQQ313" s="287"/>
      <c r="HQR313" s="287"/>
      <c r="HQS313" s="287"/>
      <c r="HQT313" s="287"/>
      <c r="HQU313" s="287"/>
      <c r="HQV313" s="287"/>
      <c r="HQW313" s="287"/>
      <c r="HQX313" s="287"/>
      <c r="HQY313" s="287"/>
      <c r="HQZ313" s="287"/>
      <c r="HRA313" s="287"/>
      <c r="HRB313" s="287"/>
      <c r="HRC313" s="287"/>
      <c r="HRD313" s="287"/>
      <c r="HRE313" s="287"/>
      <c r="HRF313" s="287"/>
      <c r="HRG313" s="287"/>
      <c r="HRH313" s="287"/>
      <c r="HRI313" s="287"/>
      <c r="HRJ313" s="287"/>
      <c r="HRK313" s="287"/>
      <c r="HRL313" s="287"/>
      <c r="HRM313" s="287"/>
      <c r="HRN313" s="287"/>
      <c r="HRO313" s="287"/>
      <c r="HRP313" s="287"/>
      <c r="HRQ313" s="287"/>
      <c r="HRR313" s="287"/>
      <c r="HRS313" s="287"/>
      <c r="HRT313" s="287"/>
      <c r="HRU313" s="287"/>
      <c r="HRV313" s="287"/>
      <c r="HRW313" s="287"/>
      <c r="HRX313" s="287"/>
      <c r="HRY313" s="287"/>
      <c r="HRZ313" s="287"/>
      <c r="HSA313" s="287"/>
      <c r="HSB313" s="287"/>
      <c r="HSC313" s="287"/>
      <c r="HSD313" s="287"/>
      <c r="HSE313" s="287"/>
      <c r="HSF313" s="287"/>
      <c r="HSG313" s="287"/>
      <c r="HSH313" s="287"/>
      <c r="HSI313" s="287"/>
      <c r="HSJ313" s="287"/>
      <c r="HSK313" s="287"/>
      <c r="HSL313" s="287"/>
      <c r="HSM313" s="287"/>
      <c r="HSN313" s="287"/>
      <c r="HSO313" s="287"/>
      <c r="HSP313" s="287"/>
      <c r="HSQ313" s="287"/>
      <c r="HSR313" s="287"/>
      <c r="HSS313" s="287"/>
      <c r="HST313" s="287"/>
      <c r="HSU313" s="287"/>
      <c r="HSV313" s="287"/>
      <c r="HSW313" s="287"/>
      <c r="HSX313" s="287"/>
      <c r="HSY313" s="287"/>
      <c r="HSZ313" s="287"/>
      <c r="HTA313" s="287"/>
      <c r="HTB313" s="287"/>
      <c r="HTC313" s="287"/>
      <c r="HTD313" s="287"/>
      <c r="HTE313" s="287"/>
      <c r="HTF313" s="287"/>
      <c r="HTG313" s="287"/>
      <c r="HTH313" s="287"/>
      <c r="HTI313" s="287"/>
      <c r="HTJ313" s="287"/>
      <c r="HTK313" s="287"/>
      <c r="HTL313" s="287"/>
      <c r="HTM313" s="287"/>
      <c r="HTN313" s="287"/>
      <c r="HTO313" s="287"/>
      <c r="HTP313" s="287"/>
      <c r="HTQ313" s="287"/>
      <c r="HTR313" s="287"/>
      <c r="HTS313" s="287"/>
      <c r="HTT313" s="287"/>
      <c r="HTU313" s="287"/>
      <c r="HTV313" s="287"/>
      <c r="HTW313" s="287"/>
      <c r="HTX313" s="287"/>
      <c r="HTY313" s="287"/>
      <c r="HTZ313" s="287"/>
      <c r="HUA313" s="287"/>
      <c r="HUB313" s="287"/>
      <c r="HUC313" s="287"/>
      <c r="HUD313" s="287"/>
      <c r="HUE313" s="287"/>
      <c r="HUF313" s="287"/>
      <c r="HUG313" s="287"/>
      <c r="HUH313" s="287"/>
      <c r="HUI313" s="287"/>
      <c r="HUJ313" s="287"/>
      <c r="HUK313" s="287"/>
      <c r="HUL313" s="287"/>
      <c r="HUM313" s="287"/>
      <c r="HUN313" s="287"/>
      <c r="HUO313" s="287"/>
      <c r="HUP313" s="287"/>
      <c r="HUQ313" s="287"/>
      <c r="HUR313" s="287"/>
      <c r="HUS313" s="287"/>
      <c r="HUT313" s="287"/>
      <c r="HUU313" s="287"/>
      <c r="HUV313" s="287"/>
      <c r="HUW313" s="287"/>
      <c r="HUX313" s="287"/>
      <c r="HUY313" s="287"/>
      <c r="HUZ313" s="287"/>
      <c r="HVA313" s="287"/>
      <c r="HVB313" s="287"/>
      <c r="HVC313" s="287"/>
      <c r="HVD313" s="287"/>
      <c r="HVE313" s="287"/>
      <c r="HVF313" s="287"/>
      <c r="HVG313" s="287"/>
      <c r="HVH313" s="287"/>
      <c r="HVI313" s="287"/>
      <c r="HVJ313" s="287"/>
      <c r="HVK313" s="287"/>
      <c r="HVL313" s="287"/>
      <c r="HVM313" s="287"/>
      <c r="HVN313" s="287"/>
      <c r="HVO313" s="287"/>
      <c r="HVP313" s="287"/>
      <c r="HVQ313" s="287"/>
      <c r="HVR313" s="287"/>
      <c r="HVS313" s="287"/>
      <c r="HVT313" s="287"/>
      <c r="HVU313" s="287"/>
      <c r="HVV313" s="287"/>
      <c r="HVW313" s="287"/>
      <c r="HVX313" s="287"/>
      <c r="HVY313" s="287"/>
      <c r="HVZ313" s="287"/>
      <c r="HWA313" s="287"/>
      <c r="HWB313" s="287"/>
      <c r="HWC313" s="287"/>
      <c r="HWD313" s="287"/>
      <c r="HWE313" s="287"/>
      <c r="HWF313" s="287"/>
      <c r="HWG313" s="287"/>
      <c r="HWH313" s="287"/>
      <c r="HWI313" s="287"/>
      <c r="HWJ313" s="287"/>
      <c r="HWK313" s="287"/>
      <c r="HWL313" s="287"/>
      <c r="HWM313" s="287"/>
      <c r="HWN313" s="287"/>
      <c r="HWO313" s="287"/>
      <c r="HWP313" s="287"/>
      <c r="HWQ313" s="287"/>
      <c r="HWR313" s="287"/>
      <c r="HWS313" s="287"/>
      <c r="HWT313" s="287"/>
      <c r="HWU313" s="287"/>
      <c r="HWV313" s="287"/>
      <c r="HWW313" s="287"/>
      <c r="HWX313" s="287"/>
      <c r="HWY313" s="287"/>
      <c r="HWZ313" s="287"/>
      <c r="HXA313" s="287"/>
      <c r="HXB313" s="287"/>
      <c r="HXC313" s="287"/>
      <c r="HXD313" s="287"/>
      <c r="HXE313" s="287"/>
      <c r="HXF313" s="287"/>
      <c r="HXG313" s="287"/>
      <c r="HXH313" s="287"/>
      <c r="HXI313" s="287"/>
      <c r="HXJ313" s="287"/>
      <c r="HXK313" s="287"/>
      <c r="HXL313" s="287"/>
      <c r="HXM313" s="287"/>
      <c r="HXN313" s="287"/>
      <c r="HXO313" s="287"/>
      <c r="HXP313" s="287"/>
      <c r="HXQ313" s="287"/>
      <c r="HXR313" s="287"/>
      <c r="HXS313" s="287"/>
      <c r="HXT313" s="287"/>
      <c r="HXU313" s="287"/>
      <c r="HXV313" s="287"/>
      <c r="HXW313" s="287"/>
      <c r="HXX313" s="287"/>
      <c r="HXY313" s="287"/>
      <c r="HXZ313" s="287"/>
      <c r="HYA313" s="287"/>
      <c r="HYB313" s="287"/>
      <c r="HYC313" s="287"/>
      <c r="HYD313" s="287"/>
      <c r="HYE313" s="287"/>
      <c r="HYF313" s="287"/>
      <c r="HYG313" s="287"/>
      <c r="HYH313" s="287"/>
      <c r="HYI313" s="287"/>
      <c r="HYJ313" s="287"/>
      <c r="HYK313" s="287"/>
      <c r="HYL313" s="287"/>
      <c r="HYM313" s="287"/>
      <c r="HYN313" s="287"/>
      <c r="HYO313" s="287"/>
      <c r="HYP313" s="287"/>
      <c r="HYQ313" s="287"/>
      <c r="HYR313" s="287"/>
      <c r="HYS313" s="287"/>
      <c r="HYT313" s="287"/>
      <c r="HYU313" s="287"/>
      <c r="HYV313" s="287"/>
      <c r="HYW313" s="287"/>
      <c r="HYX313" s="287"/>
      <c r="HYY313" s="287"/>
      <c r="HYZ313" s="287"/>
      <c r="HZA313" s="287"/>
      <c r="HZB313" s="287"/>
      <c r="HZC313" s="287"/>
      <c r="HZD313" s="287"/>
      <c r="HZE313" s="287"/>
      <c r="HZF313" s="287"/>
      <c r="HZG313" s="287"/>
      <c r="HZH313" s="287"/>
      <c r="HZI313" s="287"/>
      <c r="HZJ313" s="287"/>
      <c r="HZK313" s="287"/>
      <c r="HZL313" s="287"/>
      <c r="HZM313" s="287"/>
      <c r="HZN313" s="287"/>
      <c r="HZO313" s="287"/>
      <c r="HZP313" s="287"/>
      <c r="HZQ313" s="287"/>
      <c r="HZR313" s="287"/>
      <c r="HZS313" s="287"/>
      <c r="HZT313" s="287"/>
      <c r="HZU313" s="287"/>
      <c r="HZV313" s="287"/>
      <c r="HZW313" s="287"/>
      <c r="HZX313" s="287"/>
      <c r="HZY313" s="287"/>
      <c r="HZZ313" s="287"/>
      <c r="IAA313" s="287"/>
      <c r="IAB313" s="287"/>
      <c r="IAC313" s="287"/>
      <c r="IAD313" s="287"/>
      <c r="IAE313" s="287"/>
      <c r="IAF313" s="287"/>
      <c r="IAG313" s="287"/>
      <c r="IAH313" s="287"/>
      <c r="IAI313" s="287"/>
      <c r="IAJ313" s="287"/>
      <c r="IAK313" s="287"/>
      <c r="IAL313" s="287"/>
      <c r="IAM313" s="287"/>
      <c r="IAN313" s="287"/>
      <c r="IAO313" s="287"/>
      <c r="IAP313" s="287"/>
      <c r="IAQ313" s="287"/>
      <c r="IAR313" s="287"/>
      <c r="IAS313" s="287"/>
      <c r="IAT313" s="287"/>
      <c r="IAU313" s="287"/>
      <c r="IAV313" s="287"/>
      <c r="IAW313" s="287"/>
      <c r="IAX313" s="287"/>
      <c r="IAY313" s="287"/>
      <c r="IAZ313" s="287"/>
      <c r="IBA313" s="287"/>
      <c r="IBB313" s="287"/>
      <c r="IBC313" s="287"/>
      <c r="IBD313" s="287"/>
      <c r="IBE313" s="287"/>
      <c r="IBF313" s="287"/>
      <c r="IBG313" s="287"/>
      <c r="IBH313" s="287"/>
      <c r="IBI313" s="287"/>
      <c r="IBJ313" s="287"/>
      <c r="IBK313" s="287"/>
      <c r="IBL313" s="287"/>
      <c r="IBM313" s="287"/>
      <c r="IBN313" s="287"/>
      <c r="IBO313" s="287"/>
      <c r="IBP313" s="287"/>
      <c r="IBQ313" s="287"/>
      <c r="IBR313" s="287"/>
      <c r="IBS313" s="287"/>
      <c r="IBT313" s="287"/>
      <c r="IBU313" s="287"/>
      <c r="IBV313" s="287"/>
      <c r="IBW313" s="287"/>
      <c r="IBX313" s="287"/>
      <c r="IBY313" s="287"/>
      <c r="IBZ313" s="287"/>
      <c r="ICA313" s="287"/>
      <c r="ICB313" s="287"/>
      <c r="ICC313" s="287"/>
      <c r="ICD313" s="287"/>
      <c r="ICE313" s="287"/>
      <c r="ICF313" s="287"/>
      <c r="ICG313" s="287"/>
      <c r="ICH313" s="287"/>
      <c r="ICI313" s="287"/>
      <c r="ICJ313" s="287"/>
      <c r="ICK313" s="287"/>
      <c r="ICL313" s="287"/>
      <c r="ICM313" s="287"/>
      <c r="ICN313" s="287"/>
      <c r="ICO313" s="287"/>
      <c r="ICP313" s="287"/>
      <c r="ICQ313" s="287"/>
      <c r="ICR313" s="287"/>
      <c r="ICS313" s="287"/>
      <c r="ICT313" s="287"/>
      <c r="ICU313" s="287"/>
      <c r="ICV313" s="287"/>
      <c r="ICW313" s="287"/>
      <c r="ICX313" s="287"/>
      <c r="ICY313" s="287"/>
      <c r="ICZ313" s="287"/>
      <c r="IDA313" s="287"/>
      <c r="IDB313" s="287"/>
      <c r="IDC313" s="287"/>
      <c r="IDD313" s="287"/>
      <c r="IDE313" s="287"/>
      <c r="IDF313" s="287"/>
      <c r="IDG313" s="287"/>
      <c r="IDH313" s="287"/>
      <c r="IDI313" s="287"/>
      <c r="IDJ313" s="287"/>
      <c r="IDK313" s="287"/>
      <c r="IDL313" s="287"/>
      <c r="IDM313" s="287"/>
      <c r="IDN313" s="287"/>
      <c r="IDO313" s="287"/>
      <c r="IDP313" s="287"/>
      <c r="IDQ313" s="287"/>
      <c r="IDR313" s="287"/>
      <c r="IDS313" s="287"/>
      <c r="IDT313" s="287"/>
      <c r="IDU313" s="287"/>
      <c r="IDV313" s="287"/>
      <c r="IDW313" s="287"/>
      <c r="IDX313" s="287"/>
      <c r="IDY313" s="287"/>
      <c r="IDZ313" s="287"/>
      <c r="IEA313" s="287"/>
      <c r="IEB313" s="287"/>
      <c r="IEC313" s="287"/>
      <c r="IED313" s="287"/>
      <c r="IEE313" s="287"/>
      <c r="IEF313" s="287"/>
      <c r="IEG313" s="287"/>
      <c r="IEH313" s="287"/>
      <c r="IEI313" s="287"/>
      <c r="IEJ313" s="287"/>
      <c r="IEK313" s="287"/>
      <c r="IEL313" s="287"/>
      <c r="IEM313" s="287"/>
      <c r="IEN313" s="287"/>
      <c r="IEO313" s="287"/>
      <c r="IEP313" s="287"/>
      <c r="IEQ313" s="287"/>
      <c r="IER313" s="287"/>
      <c r="IES313" s="287"/>
      <c r="IET313" s="287"/>
      <c r="IEU313" s="287"/>
      <c r="IEV313" s="287"/>
      <c r="IEW313" s="287"/>
      <c r="IEX313" s="287"/>
      <c r="IEY313" s="287"/>
      <c r="IEZ313" s="287"/>
      <c r="IFA313" s="287"/>
      <c r="IFB313" s="287"/>
      <c r="IFC313" s="287"/>
      <c r="IFD313" s="287"/>
      <c r="IFE313" s="287"/>
      <c r="IFF313" s="287"/>
      <c r="IFG313" s="287"/>
      <c r="IFH313" s="287"/>
      <c r="IFI313" s="287"/>
      <c r="IFJ313" s="287"/>
      <c r="IFK313" s="287"/>
      <c r="IFL313" s="287"/>
      <c r="IFM313" s="287"/>
      <c r="IFN313" s="287"/>
      <c r="IFO313" s="287"/>
      <c r="IFP313" s="287"/>
      <c r="IFQ313" s="287"/>
      <c r="IFR313" s="287"/>
      <c r="IFS313" s="287"/>
      <c r="IFT313" s="287"/>
      <c r="IFU313" s="287"/>
      <c r="IFV313" s="287"/>
      <c r="IFW313" s="287"/>
      <c r="IFX313" s="287"/>
      <c r="IFY313" s="287"/>
      <c r="IFZ313" s="287"/>
      <c r="IGA313" s="287"/>
      <c r="IGB313" s="287"/>
      <c r="IGC313" s="287"/>
      <c r="IGD313" s="287"/>
      <c r="IGE313" s="287"/>
      <c r="IGF313" s="287"/>
      <c r="IGG313" s="287"/>
      <c r="IGH313" s="287"/>
      <c r="IGI313" s="287"/>
      <c r="IGJ313" s="287"/>
      <c r="IGK313" s="287"/>
      <c r="IGL313" s="287"/>
      <c r="IGM313" s="287"/>
      <c r="IGN313" s="287"/>
      <c r="IGO313" s="287"/>
      <c r="IGP313" s="287"/>
      <c r="IGQ313" s="287"/>
      <c r="IGR313" s="287"/>
      <c r="IGS313" s="287"/>
      <c r="IGT313" s="287"/>
      <c r="IGU313" s="287"/>
      <c r="IGV313" s="287"/>
      <c r="IGW313" s="287"/>
      <c r="IGX313" s="287"/>
      <c r="IGY313" s="287"/>
      <c r="IGZ313" s="287"/>
      <c r="IHA313" s="287"/>
      <c r="IHB313" s="287"/>
      <c r="IHC313" s="287"/>
      <c r="IHD313" s="287"/>
      <c r="IHE313" s="287"/>
      <c r="IHF313" s="287"/>
      <c r="IHG313" s="287"/>
      <c r="IHH313" s="287"/>
      <c r="IHI313" s="287"/>
      <c r="IHJ313" s="287"/>
      <c r="IHK313" s="287"/>
      <c r="IHL313" s="287"/>
      <c r="IHM313" s="287"/>
      <c r="IHN313" s="287"/>
      <c r="IHO313" s="287"/>
      <c r="IHP313" s="287"/>
      <c r="IHQ313" s="287"/>
      <c r="IHR313" s="287"/>
      <c r="IHS313" s="287"/>
      <c r="IHT313" s="287"/>
      <c r="IHU313" s="287"/>
      <c r="IHV313" s="287"/>
      <c r="IHW313" s="287"/>
      <c r="IHX313" s="287"/>
      <c r="IHY313" s="287"/>
      <c r="IHZ313" s="287"/>
      <c r="IIA313" s="287"/>
      <c r="IIB313" s="287"/>
      <c r="IIC313" s="287"/>
      <c r="IID313" s="287"/>
      <c r="IIE313" s="287"/>
      <c r="IIF313" s="287"/>
      <c r="IIG313" s="287"/>
      <c r="IIH313" s="287"/>
      <c r="III313" s="287"/>
      <c r="IIJ313" s="287"/>
      <c r="IIK313" s="287"/>
      <c r="IIL313" s="287"/>
      <c r="IIM313" s="287"/>
      <c r="IIN313" s="287"/>
      <c r="IIO313" s="287"/>
      <c r="IIP313" s="287"/>
      <c r="IIQ313" s="287"/>
      <c r="IIR313" s="287"/>
      <c r="IIS313" s="287"/>
      <c r="IIT313" s="287"/>
      <c r="IIU313" s="287"/>
      <c r="IIV313" s="287"/>
      <c r="IIW313" s="287"/>
      <c r="IIX313" s="287"/>
      <c r="IIY313" s="287"/>
      <c r="IIZ313" s="287"/>
      <c r="IJA313" s="287"/>
      <c r="IJB313" s="287"/>
      <c r="IJC313" s="287"/>
      <c r="IJD313" s="287"/>
      <c r="IJE313" s="287"/>
      <c r="IJF313" s="287"/>
      <c r="IJG313" s="287"/>
      <c r="IJH313" s="287"/>
      <c r="IJI313" s="287"/>
      <c r="IJJ313" s="287"/>
      <c r="IJK313" s="287"/>
      <c r="IJL313" s="287"/>
      <c r="IJM313" s="287"/>
      <c r="IJN313" s="287"/>
      <c r="IJO313" s="287"/>
      <c r="IJP313" s="287"/>
      <c r="IJQ313" s="287"/>
      <c r="IJR313" s="287"/>
      <c r="IJS313" s="287"/>
      <c r="IJT313" s="287"/>
      <c r="IJU313" s="287"/>
      <c r="IJV313" s="287"/>
      <c r="IJW313" s="287"/>
      <c r="IJX313" s="287"/>
      <c r="IJY313" s="287"/>
      <c r="IJZ313" s="287"/>
      <c r="IKA313" s="287"/>
      <c r="IKB313" s="287"/>
      <c r="IKC313" s="287"/>
      <c r="IKD313" s="287"/>
      <c r="IKE313" s="287"/>
      <c r="IKF313" s="287"/>
      <c r="IKG313" s="287"/>
      <c r="IKH313" s="287"/>
      <c r="IKI313" s="287"/>
      <c r="IKJ313" s="287"/>
      <c r="IKK313" s="287"/>
      <c r="IKL313" s="287"/>
      <c r="IKM313" s="287"/>
      <c r="IKN313" s="287"/>
      <c r="IKO313" s="287"/>
      <c r="IKP313" s="287"/>
      <c r="IKQ313" s="287"/>
      <c r="IKR313" s="287"/>
      <c r="IKS313" s="287"/>
      <c r="IKT313" s="287"/>
      <c r="IKU313" s="287"/>
      <c r="IKV313" s="287"/>
      <c r="IKW313" s="287"/>
      <c r="IKX313" s="287"/>
      <c r="IKY313" s="287"/>
      <c r="IKZ313" s="287"/>
      <c r="ILA313" s="287"/>
      <c r="ILB313" s="287"/>
      <c r="ILC313" s="287"/>
      <c r="ILD313" s="287"/>
      <c r="ILE313" s="287"/>
      <c r="ILF313" s="287"/>
      <c r="ILG313" s="287"/>
      <c r="ILH313" s="287"/>
      <c r="ILI313" s="287"/>
      <c r="ILJ313" s="287"/>
      <c r="ILK313" s="287"/>
      <c r="ILL313" s="287"/>
      <c r="ILM313" s="287"/>
      <c r="ILN313" s="287"/>
      <c r="ILO313" s="287"/>
      <c r="ILP313" s="287"/>
      <c r="ILQ313" s="287"/>
      <c r="ILR313" s="287"/>
      <c r="ILS313" s="287"/>
      <c r="ILT313" s="287"/>
      <c r="ILU313" s="287"/>
      <c r="ILV313" s="287"/>
      <c r="ILW313" s="287"/>
      <c r="ILX313" s="287"/>
      <c r="ILY313" s="287"/>
      <c r="ILZ313" s="287"/>
      <c r="IMA313" s="287"/>
      <c r="IMB313" s="287"/>
      <c r="IMC313" s="287"/>
      <c r="IMD313" s="287"/>
      <c r="IME313" s="287"/>
      <c r="IMF313" s="287"/>
      <c r="IMG313" s="287"/>
      <c r="IMH313" s="287"/>
      <c r="IMI313" s="287"/>
      <c r="IMJ313" s="287"/>
      <c r="IMK313" s="287"/>
      <c r="IML313" s="287"/>
      <c r="IMM313" s="287"/>
      <c r="IMN313" s="287"/>
      <c r="IMO313" s="287"/>
      <c r="IMP313" s="287"/>
      <c r="IMQ313" s="287"/>
      <c r="IMR313" s="287"/>
      <c r="IMS313" s="287"/>
      <c r="IMT313" s="287"/>
      <c r="IMU313" s="287"/>
      <c r="IMV313" s="287"/>
      <c r="IMW313" s="287"/>
      <c r="IMX313" s="287"/>
      <c r="IMY313" s="287"/>
      <c r="IMZ313" s="287"/>
      <c r="INA313" s="287"/>
      <c r="INB313" s="287"/>
      <c r="INC313" s="287"/>
      <c r="IND313" s="287"/>
      <c r="INE313" s="287"/>
      <c r="INF313" s="287"/>
      <c r="ING313" s="287"/>
      <c r="INH313" s="287"/>
      <c r="INI313" s="287"/>
      <c r="INJ313" s="287"/>
      <c r="INK313" s="287"/>
      <c r="INL313" s="287"/>
      <c r="INM313" s="287"/>
      <c r="INN313" s="287"/>
      <c r="INO313" s="287"/>
      <c r="INP313" s="287"/>
      <c r="INQ313" s="287"/>
      <c r="INR313" s="287"/>
      <c r="INS313" s="287"/>
      <c r="INT313" s="287"/>
      <c r="INU313" s="287"/>
      <c r="INV313" s="287"/>
      <c r="INW313" s="287"/>
      <c r="INX313" s="287"/>
      <c r="INY313" s="287"/>
      <c r="INZ313" s="287"/>
      <c r="IOA313" s="287"/>
      <c r="IOB313" s="287"/>
      <c r="IOC313" s="287"/>
      <c r="IOD313" s="287"/>
      <c r="IOE313" s="287"/>
      <c r="IOF313" s="287"/>
      <c r="IOG313" s="287"/>
      <c r="IOH313" s="287"/>
      <c r="IOI313" s="287"/>
      <c r="IOJ313" s="287"/>
      <c r="IOK313" s="287"/>
      <c r="IOL313" s="287"/>
      <c r="IOM313" s="287"/>
      <c r="ION313" s="287"/>
      <c r="IOO313" s="287"/>
      <c r="IOP313" s="287"/>
      <c r="IOQ313" s="287"/>
      <c r="IOR313" s="287"/>
      <c r="IOS313" s="287"/>
      <c r="IOT313" s="287"/>
      <c r="IOU313" s="287"/>
      <c r="IOV313" s="287"/>
      <c r="IOW313" s="287"/>
      <c r="IOX313" s="287"/>
      <c r="IOY313" s="287"/>
      <c r="IOZ313" s="287"/>
      <c r="IPA313" s="287"/>
      <c r="IPB313" s="287"/>
      <c r="IPC313" s="287"/>
      <c r="IPD313" s="287"/>
      <c r="IPE313" s="287"/>
      <c r="IPF313" s="287"/>
      <c r="IPG313" s="287"/>
      <c r="IPH313" s="287"/>
      <c r="IPI313" s="287"/>
      <c r="IPJ313" s="287"/>
      <c r="IPK313" s="287"/>
      <c r="IPL313" s="287"/>
      <c r="IPM313" s="287"/>
      <c r="IPN313" s="287"/>
      <c r="IPO313" s="287"/>
      <c r="IPP313" s="287"/>
      <c r="IPQ313" s="287"/>
      <c r="IPR313" s="287"/>
      <c r="IPS313" s="287"/>
      <c r="IPT313" s="287"/>
      <c r="IPU313" s="287"/>
      <c r="IPV313" s="287"/>
      <c r="IPW313" s="287"/>
      <c r="IPX313" s="287"/>
      <c r="IPY313" s="287"/>
      <c r="IPZ313" s="287"/>
      <c r="IQA313" s="287"/>
      <c r="IQB313" s="287"/>
      <c r="IQC313" s="287"/>
      <c r="IQD313" s="287"/>
      <c r="IQE313" s="287"/>
      <c r="IQF313" s="287"/>
      <c r="IQG313" s="287"/>
      <c r="IQH313" s="287"/>
      <c r="IQI313" s="287"/>
      <c r="IQJ313" s="287"/>
      <c r="IQK313" s="287"/>
      <c r="IQL313" s="287"/>
      <c r="IQM313" s="287"/>
      <c r="IQN313" s="287"/>
      <c r="IQO313" s="287"/>
      <c r="IQP313" s="287"/>
      <c r="IQQ313" s="287"/>
      <c r="IQR313" s="287"/>
      <c r="IQS313" s="287"/>
      <c r="IQT313" s="287"/>
      <c r="IQU313" s="287"/>
      <c r="IQV313" s="287"/>
      <c r="IQW313" s="287"/>
      <c r="IQX313" s="287"/>
      <c r="IQY313" s="287"/>
      <c r="IQZ313" s="287"/>
      <c r="IRA313" s="287"/>
      <c r="IRB313" s="287"/>
      <c r="IRC313" s="287"/>
      <c r="IRD313" s="287"/>
      <c r="IRE313" s="287"/>
      <c r="IRF313" s="287"/>
      <c r="IRG313" s="287"/>
      <c r="IRH313" s="287"/>
      <c r="IRI313" s="287"/>
      <c r="IRJ313" s="287"/>
      <c r="IRK313" s="287"/>
      <c r="IRL313" s="287"/>
      <c r="IRM313" s="287"/>
      <c r="IRN313" s="287"/>
      <c r="IRO313" s="287"/>
      <c r="IRP313" s="287"/>
      <c r="IRQ313" s="287"/>
      <c r="IRR313" s="287"/>
      <c r="IRS313" s="287"/>
      <c r="IRT313" s="287"/>
      <c r="IRU313" s="287"/>
      <c r="IRV313" s="287"/>
      <c r="IRW313" s="287"/>
      <c r="IRX313" s="287"/>
      <c r="IRY313" s="287"/>
      <c r="IRZ313" s="287"/>
      <c r="ISA313" s="287"/>
      <c r="ISB313" s="287"/>
      <c r="ISC313" s="287"/>
      <c r="ISD313" s="287"/>
      <c r="ISE313" s="287"/>
      <c r="ISF313" s="287"/>
      <c r="ISG313" s="287"/>
      <c r="ISH313" s="287"/>
      <c r="ISI313" s="287"/>
      <c r="ISJ313" s="287"/>
      <c r="ISK313" s="287"/>
      <c r="ISL313" s="287"/>
      <c r="ISM313" s="287"/>
      <c r="ISN313" s="287"/>
      <c r="ISO313" s="287"/>
      <c r="ISP313" s="287"/>
      <c r="ISQ313" s="287"/>
      <c r="ISR313" s="287"/>
      <c r="ISS313" s="287"/>
      <c r="IST313" s="287"/>
      <c r="ISU313" s="287"/>
      <c r="ISV313" s="287"/>
      <c r="ISW313" s="287"/>
      <c r="ISX313" s="287"/>
      <c r="ISY313" s="287"/>
      <c r="ISZ313" s="287"/>
      <c r="ITA313" s="287"/>
      <c r="ITB313" s="287"/>
      <c r="ITC313" s="287"/>
      <c r="ITD313" s="287"/>
      <c r="ITE313" s="287"/>
      <c r="ITF313" s="287"/>
      <c r="ITG313" s="287"/>
      <c r="ITH313" s="287"/>
      <c r="ITI313" s="287"/>
      <c r="ITJ313" s="287"/>
      <c r="ITK313" s="287"/>
      <c r="ITL313" s="287"/>
      <c r="ITM313" s="287"/>
      <c r="ITN313" s="287"/>
      <c r="ITO313" s="287"/>
      <c r="ITP313" s="287"/>
      <c r="ITQ313" s="287"/>
      <c r="ITR313" s="287"/>
      <c r="ITS313" s="287"/>
      <c r="ITT313" s="287"/>
      <c r="ITU313" s="287"/>
      <c r="ITV313" s="287"/>
      <c r="ITW313" s="287"/>
      <c r="ITX313" s="287"/>
      <c r="ITY313" s="287"/>
      <c r="ITZ313" s="287"/>
      <c r="IUA313" s="287"/>
      <c r="IUB313" s="287"/>
      <c r="IUC313" s="287"/>
      <c r="IUD313" s="287"/>
      <c r="IUE313" s="287"/>
      <c r="IUF313" s="287"/>
      <c r="IUG313" s="287"/>
      <c r="IUH313" s="287"/>
      <c r="IUI313" s="287"/>
      <c r="IUJ313" s="287"/>
      <c r="IUK313" s="287"/>
      <c r="IUL313" s="287"/>
      <c r="IUM313" s="287"/>
      <c r="IUN313" s="287"/>
      <c r="IUO313" s="287"/>
      <c r="IUP313" s="287"/>
      <c r="IUQ313" s="287"/>
      <c r="IUR313" s="287"/>
      <c r="IUS313" s="287"/>
      <c r="IUT313" s="287"/>
      <c r="IUU313" s="287"/>
      <c r="IUV313" s="287"/>
      <c r="IUW313" s="287"/>
      <c r="IUX313" s="287"/>
      <c r="IUY313" s="287"/>
      <c r="IUZ313" s="287"/>
      <c r="IVA313" s="287"/>
      <c r="IVB313" s="287"/>
      <c r="IVC313" s="287"/>
      <c r="IVD313" s="287"/>
      <c r="IVE313" s="287"/>
      <c r="IVF313" s="287"/>
      <c r="IVG313" s="287"/>
      <c r="IVH313" s="287"/>
      <c r="IVI313" s="287"/>
      <c r="IVJ313" s="287"/>
      <c r="IVK313" s="287"/>
      <c r="IVL313" s="287"/>
      <c r="IVM313" s="287"/>
      <c r="IVN313" s="287"/>
      <c r="IVO313" s="287"/>
      <c r="IVP313" s="287"/>
      <c r="IVQ313" s="287"/>
      <c r="IVR313" s="287"/>
      <c r="IVS313" s="287"/>
      <c r="IVT313" s="287"/>
      <c r="IVU313" s="287"/>
      <c r="IVV313" s="287"/>
      <c r="IVW313" s="287"/>
      <c r="IVX313" s="287"/>
      <c r="IVY313" s="287"/>
      <c r="IVZ313" s="287"/>
      <c r="IWA313" s="287"/>
      <c r="IWB313" s="287"/>
      <c r="IWC313" s="287"/>
      <c r="IWD313" s="287"/>
      <c r="IWE313" s="287"/>
      <c r="IWF313" s="287"/>
      <c r="IWG313" s="287"/>
      <c r="IWH313" s="287"/>
      <c r="IWI313" s="287"/>
      <c r="IWJ313" s="287"/>
      <c r="IWK313" s="287"/>
      <c r="IWL313" s="287"/>
      <c r="IWM313" s="287"/>
      <c r="IWN313" s="287"/>
      <c r="IWO313" s="287"/>
      <c r="IWP313" s="287"/>
      <c r="IWQ313" s="287"/>
      <c r="IWR313" s="287"/>
      <c r="IWS313" s="287"/>
      <c r="IWT313" s="287"/>
      <c r="IWU313" s="287"/>
      <c r="IWV313" s="287"/>
      <c r="IWW313" s="287"/>
      <c r="IWX313" s="287"/>
      <c r="IWY313" s="287"/>
      <c r="IWZ313" s="287"/>
      <c r="IXA313" s="287"/>
      <c r="IXB313" s="287"/>
      <c r="IXC313" s="287"/>
      <c r="IXD313" s="287"/>
      <c r="IXE313" s="287"/>
      <c r="IXF313" s="287"/>
      <c r="IXG313" s="287"/>
      <c r="IXH313" s="287"/>
      <c r="IXI313" s="287"/>
      <c r="IXJ313" s="287"/>
      <c r="IXK313" s="287"/>
      <c r="IXL313" s="287"/>
      <c r="IXM313" s="287"/>
      <c r="IXN313" s="287"/>
      <c r="IXO313" s="287"/>
      <c r="IXP313" s="287"/>
      <c r="IXQ313" s="287"/>
      <c r="IXR313" s="287"/>
      <c r="IXS313" s="287"/>
      <c r="IXT313" s="287"/>
      <c r="IXU313" s="287"/>
      <c r="IXV313" s="287"/>
      <c r="IXW313" s="287"/>
      <c r="IXX313" s="287"/>
      <c r="IXY313" s="287"/>
      <c r="IXZ313" s="287"/>
      <c r="IYA313" s="287"/>
      <c r="IYB313" s="287"/>
      <c r="IYC313" s="287"/>
      <c r="IYD313" s="287"/>
      <c r="IYE313" s="287"/>
      <c r="IYF313" s="287"/>
      <c r="IYG313" s="287"/>
      <c r="IYH313" s="287"/>
      <c r="IYI313" s="287"/>
      <c r="IYJ313" s="287"/>
      <c r="IYK313" s="287"/>
      <c r="IYL313" s="287"/>
      <c r="IYM313" s="287"/>
      <c r="IYN313" s="287"/>
      <c r="IYO313" s="287"/>
      <c r="IYP313" s="287"/>
      <c r="IYQ313" s="287"/>
      <c r="IYR313" s="287"/>
      <c r="IYS313" s="287"/>
      <c r="IYT313" s="287"/>
      <c r="IYU313" s="287"/>
      <c r="IYV313" s="287"/>
      <c r="IYW313" s="287"/>
      <c r="IYX313" s="287"/>
      <c r="IYY313" s="287"/>
      <c r="IYZ313" s="287"/>
      <c r="IZA313" s="287"/>
      <c r="IZB313" s="287"/>
      <c r="IZC313" s="287"/>
      <c r="IZD313" s="287"/>
      <c r="IZE313" s="287"/>
      <c r="IZF313" s="287"/>
      <c r="IZG313" s="287"/>
      <c r="IZH313" s="287"/>
      <c r="IZI313" s="287"/>
      <c r="IZJ313" s="287"/>
      <c r="IZK313" s="287"/>
      <c r="IZL313" s="287"/>
      <c r="IZM313" s="287"/>
      <c r="IZN313" s="287"/>
      <c r="IZO313" s="287"/>
      <c r="IZP313" s="287"/>
      <c r="IZQ313" s="287"/>
      <c r="IZR313" s="287"/>
      <c r="IZS313" s="287"/>
      <c r="IZT313" s="287"/>
      <c r="IZU313" s="287"/>
      <c r="IZV313" s="287"/>
      <c r="IZW313" s="287"/>
      <c r="IZX313" s="287"/>
      <c r="IZY313" s="287"/>
      <c r="IZZ313" s="287"/>
      <c r="JAA313" s="287"/>
      <c r="JAB313" s="287"/>
      <c r="JAC313" s="287"/>
      <c r="JAD313" s="287"/>
      <c r="JAE313" s="287"/>
      <c r="JAF313" s="287"/>
      <c r="JAG313" s="287"/>
      <c r="JAH313" s="287"/>
      <c r="JAI313" s="287"/>
      <c r="JAJ313" s="287"/>
      <c r="JAK313" s="287"/>
      <c r="JAL313" s="287"/>
      <c r="JAM313" s="287"/>
      <c r="JAN313" s="287"/>
      <c r="JAO313" s="287"/>
      <c r="JAP313" s="287"/>
      <c r="JAQ313" s="287"/>
      <c r="JAR313" s="287"/>
      <c r="JAS313" s="287"/>
      <c r="JAT313" s="287"/>
      <c r="JAU313" s="287"/>
      <c r="JAV313" s="287"/>
      <c r="JAW313" s="287"/>
      <c r="JAX313" s="287"/>
      <c r="JAY313" s="287"/>
      <c r="JAZ313" s="287"/>
      <c r="JBA313" s="287"/>
      <c r="JBB313" s="287"/>
      <c r="JBC313" s="287"/>
      <c r="JBD313" s="287"/>
      <c r="JBE313" s="287"/>
      <c r="JBF313" s="287"/>
      <c r="JBG313" s="287"/>
      <c r="JBH313" s="287"/>
      <c r="JBI313" s="287"/>
      <c r="JBJ313" s="287"/>
      <c r="JBK313" s="287"/>
      <c r="JBL313" s="287"/>
      <c r="JBM313" s="287"/>
      <c r="JBN313" s="287"/>
      <c r="JBO313" s="287"/>
      <c r="JBP313" s="287"/>
      <c r="JBQ313" s="287"/>
      <c r="JBR313" s="287"/>
      <c r="JBS313" s="287"/>
      <c r="JBT313" s="287"/>
      <c r="JBU313" s="287"/>
      <c r="JBV313" s="287"/>
      <c r="JBW313" s="287"/>
      <c r="JBX313" s="287"/>
      <c r="JBY313" s="287"/>
      <c r="JBZ313" s="287"/>
      <c r="JCA313" s="287"/>
      <c r="JCB313" s="287"/>
      <c r="JCC313" s="287"/>
      <c r="JCD313" s="287"/>
      <c r="JCE313" s="287"/>
      <c r="JCF313" s="287"/>
      <c r="JCG313" s="287"/>
      <c r="JCH313" s="287"/>
      <c r="JCI313" s="287"/>
      <c r="JCJ313" s="287"/>
      <c r="JCK313" s="287"/>
      <c r="JCL313" s="287"/>
      <c r="JCM313" s="287"/>
      <c r="JCN313" s="287"/>
      <c r="JCO313" s="287"/>
      <c r="JCP313" s="287"/>
      <c r="JCQ313" s="287"/>
      <c r="JCR313" s="287"/>
      <c r="JCS313" s="287"/>
      <c r="JCT313" s="287"/>
      <c r="JCU313" s="287"/>
      <c r="JCV313" s="287"/>
      <c r="JCW313" s="287"/>
      <c r="JCX313" s="287"/>
      <c r="JCY313" s="287"/>
      <c r="JCZ313" s="287"/>
      <c r="JDA313" s="287"/>
      <c r="JDB313" s="287"/>
      <c r="JDC313" s="287"/>
      <c r="JDD313" s="287"/>
      <c r="JDE313" s="287"/>
      <c r="JDF313" s="287"/>
      <c r="JDG313" s="287"/>
      <c r="JDH313" s="287"/>
      <c r="JDI313" s="287"/>
      <c r="JDJ313" s="287"/>
      <c r="JDK313" s="287"/>
      <c r="JDL313" s="287"/>
      <c r="JDM313" s="287"/>
      <c r="JDN313" s="287"/>
      <c r="JDO313" s="287"/>
      <c r="JDP313" s="287"/>
      <c r="JDQ313" s="287"/>
      <c r="JDR313" s="287"/>
      <c r="JDS313" s="287"/>
      <c r="JDT313" s="287"/>
      <c r="JDU313" s="287"/>
      <c r="JDV313" s="287"/>
      <c r="JDW313" s="287"/>
      <c r="JDX313" s="287"/>
      <c r="JDY313" s="287"/>
      <c r="JDZ313" s="287"/>
      <c r="JEA313" s="287"/>
      <c r="JEB313" s="287"/>
      <c r="JEC313" s="287"/>
      <c r="JED313" s="287"/>
      <c r="JEE313" s="287"/>
      <c r="JEF313" s="287"/>
      <c r="JEG313" s="287"/>
      <c r="JEH313" s="287"/>
      <c r="JEI313" s="287"/>
      <c r="JEJ313" s="287"/>
      <c r="JEK313" s="287"/>
      <c r="JEL313" s="287"/>
      <c r="JEM313" s="287"/>
      <c r="JEN313" s="287"/>
      <c r="JEO313" s="287"/>
      <c r="JEP313" s="287"/>
      <c r="JEQ313" s="287"/>
      <c r="JER313" s="287"/>
      <c r="JES313" s="287"/>
      <c r="JET313" s="287"/>
      <c r="JEU313" s="287"/>
      <c r="JEV313" s="287"/>
      <c r="JEW313" s="287"/>
      <c r="JEX313" s="287"/>
      <c r="JEY313" s="287"/>
      <c r="JEZ313" s="287"/>
      <c r="JFA313" s="287"/>
      <c r="JFB313" s="287"/>
      <c r="JFC313" s="287"/>
      <c r="JFD313" s="287"/>
      <c r="JFE313" s="287"/>
      <c r="JFF313" s="287"/>
      <c r="JFG313" s="287"/>
      <c r="JFH313" s="287"/>
      <c r="JFI313" s="287"/>
      <c r="JFJ313" s="287"/>
      <c r="JFK313" s="287"/>
      <c r="JFL313" s="287"/>
      <c r="JFM313" s="287"/>
      <c r="JFN313" s="287"/>
      <c r="JFO313" s="287"/>
      <c r="JFP313" s="287"/>
      <c r="JFQ313" s="287"/>
      <c r="JFR313" s="287"/>
      <c r="JFS313" s="287"/>
      <c r="JFT313" s="287"/>
      <c r="JFU313" s="287"/>
      <c r="JFV313" s="287"/>
      <c r="JFW313" s="287"/>
      <c r="JFX313" s="287"/>
      <c r="JFY313" s="287"/>
      <c r="JFZ313" s="287"/>
      <c r="JGA313" s="287"/>
      <c r="JGB313" s="287"/>
      <c r="JGC313" s="287"/>
      <c r="JGD313" s="287"/>
      <c r="JGE313" s="287"/>
      <c r="JGF313" s="287"/>
      <c r="JGG313" s="287"/>
      <c r="JGH313" s="287"/>
      <c r="JGI313" s="287"/>
      <c r="JGJ313" s="287"/>
      <c r="JGK313" s="287"/>
      <c r="JGL313" s="287"/>
      <c r="JGM313" s="287"/>
      <c r="JGN313" s="287"/>
      <c r="JGO313" s="287"/>
      <c r="JGP313" s="287"/>
      <c r="JGQ313" s="287"/>
      <c r="JGR313" s="287"/>
      <c r="JGS313" s="287"/>
      <c r="JGT313" s="287"/>
      <c r="JGU313" s="287"/>
      <c r="JGV313" s="287"/>
      <c r="JGW313" s="287"/>
      <c r="JGX313" s="287"/>
      <c r="JGY313" s="287"/>
      <c r="JGZ313" s="287"/>
      <c r="JHA313" s="287"/>
      <c r="JHB313" s="287"/>
      <c r="JHC313" s="287"/>
      <c r="JHD313" s="287"/>
      <c r="JHE313" s="287"/>
      <c r="JHF313" s="287"/>
      <c r="JHG313" s="287"/>
      <c r="JHH313" s="287"/>
      <c r="JHI313" s="287"/>
      <c r="JHJ313" s="287"/>
      <c r="JHK313" s="287"/>
      <c r="JHL313" s="287"/>
      <c r="JHM313" s="287"/>
      <c r="JHN313" s="287"/>
      <c r="JHO313" s="287"/>
      <c r="JHP313" s="287"/>
      <c r="JHQ313" s="287"/>
      <c r="JHR313" s="287"/>
      <c r="JHS313" s="287"/>
      <c r="JHT313" s="287"/>
      <c r="JHU313" s="287"/>
      <c r="JHV313" s="287"/>
      <c r="JHW313" s="287"/>
      <c r="JHX313" s="287"/>
      <c r="JHY313" s="287"/>
      <c r="JHZ313" s="287"/>
      <c r="JIA313" s="287"/>
      <c r="JIB313" s="287"/>
      <c r="JIC313" s="287"/>
      <c r="JID313" s="287"/>
      <c r="JIE313" s="287"/>
      <c r="JIF313" s="287"/>
      <c r="JIG313" s="287"/>
      <c r="JIH313" s="287"/>
      <c r="JII313" s="287"/>
      <c r="JIJ313" s="287"/>
      <c r="JIK313" s="287"/>
      <c r="JIL313" s="287"/>
      <c r="JIM313" s="287"/>
      <c r="JIN313" s="287"/>
      <c r="JIO313" s="287"/>
      <c r="JIP313" s="287"/>
      <c r="JIQ313" s="287"/>
      <c r="JIR313" s="287"/>
      <c r="JIS313" s="287"/>
      <c r="JIT313" s="287"/>
      <c r="JIU313" s="287"/>
      <c r="JIV313" s="287"/>
      <c r="JIW313" s="287"/>
      <c r="JIX313" s="287"/>
      <c r="JIY313" s="287"/>
      <c r="JIZ313" s="287"/>
      <c r="JJA313" s="287"/>
      <c r="JJB313" s="287"/>
      <c r="JJC313" s="287"/>
      <c r="JJD313" s="287"/>
      <c r="JJE313" s="287"/>
      <c r="JJF313" s="287"/>
      <c r="JJG313" s="287"/>
      <c r="JJH313" s="287"/>
      <c r="JJI313" s="287"/>
      <c r="JJJ313" s="287"/>
      <c r="JJK313" s="287"/>
      <c r="JJL313" s="287"/>
      <c r="JJM313" s="287"/>
      <c r="JJN313" s="287"/>
      <c r="JJO313" s="287"/>
      <c r="JJP313" s="287"/>
      <c r="JJQ313" s="287"/>
      <c r="JJR313" s="287"/>
      <c r="JJS313" s="287"/>
      <c r="JJT313" s="287"/>
      <c r="JJU313" s="287"/>
      <c r="JJV313" s="287"/>
      <c r="JJW313" s="287"/>
      <c r="JJX313" s="287"/>
      <c r="JJY313" s="287"/>
      <c r="JJZ313" s="287"/>
      <c r="JKA313" s="287"/>
      <c r="JKB313" s="287"/>
      <c r="JKC313" s="287"/>
      <c r="JKD313" s="287"/>
      <c r="JKE313" s="287"/>
      <c r="JKF313" s="287"/>
      <c r="JKG313" s="287"/>
      <c r="JKH313" s="287"/>
      <c r="JKI313" s="287"/>
      <c r="JKJ313" s="287"/>
      <c r="JKK313" s="287"/>
      <c r="JKL313" s="287"/>
      <c r="JKM313" s="287"/>
      <c r="JKN313" s="287"/>
      <c r="JKO313" s="287"/>
      <c r="JKP313" s="287"/>
      <c r="JKQ313" s="287"/>
      <c r="JKR313" s="287"/>
      <c r="JKS313" s="287"/>
      <c r="JKT313" s="287"/>
      <c r="JKU313" s="287"/>
      <c r="JKV313" s="287"/>
      <c r="JKW313" s="287"/>
      <c r="JKX313" s="287"/>
      <c r="JKY313" s="287"/>
      <c r="JKZ313" s="287"/>
      <c r="JLA313" s="287"/>
      <c r="JLB313" s="287"/>
      <c r="JLC313" s="287"/>
      <c r="JLD313" s="287"/>
      <c r="JLE313" s="287"/>
      <c r="JLF313" s="287"/>
      <c r="JLG313" s="287"/>
      <c r="JLH313" s="287"/>
      <c r="JLI313" s="287"/>
      <c r="JLJ313" s="287"/>
      <c r="JLK313" s="287"/>
      <c r="JLL313" s="287"/>
      <c r="JLM313" s="287"/>
      <c r="JLN313" s="287"/>
      <c r="JLO313" s="287"/>
      <c r="JLP313" s="287"/>
      <c r="JLQ313" s="287"/>
      <c r="JLR313" s="287"/>
      <c r="JLS313" s="287"/>
      <c r="JLT313" s="287"/>
      <c r="JLU313" s="287"/>
      <c r="JLV313" s="287"/>
      <c r="JLW313" s="287"/>
      <c r="JLX313" s="287"/>
      <c r="JLY313" s="287"/>
      <c r="JLZ313" s="287"/>
      <c r="JMA313" s="287"/>
      <c r="JMB313" s="287"/>
      <c r="JMC313" s="287"/>
      <c r="JMD313" s="287"/>
      <c r="JME313" s="287"/>
      <c r="JMF313" s="287"/>
      <c r="JMG313" s="287"/>
      <c r="JMH313" s="287"/>
      <c r="JMI313" s="287"/>
      <c r="JMJ313" s="287"/>
      <c r="JMK313" s="287"/>
      <c r="JML313" s="287"/>
      <c r="JMM313" s="287"/>
      <c r="JMN313" s="287"/>
      <c r="JMO313" s="287"/>
      <c r="JMP313" s="287"/>
      <c r="JMQ313" s="287"/>
      <c r="JMR313" s="287"/>
      <c r="JMS313" s="287"/>
      <c r="JMT313" s="287"/>
      <c r="JMU313" s="287"/>
      <c r="JMV313" s="287"/>
      <c r="JMW313" s="287"/>
      <c r="JMX313" s="287"/>
      <c r="JMY313" s="287"/>
      <c r="JMZ313" s="287"/>
      <c r="JNA313" s="287"/>
      <c r="JNB313" s="287"/>
      <c r="JNC313" s="287"/>
      <c r="JND313" s="287"/>
      <c r="JNE313" s="287"/>
      <c r="JNF313" s="287"/>
      <c r="JNG313" s="287"/>
      <c r="JNH313" s="287"/>
      <c r="JNI313" s="287"/>
      <c r="JNJ313" s="287"/>
      <c r="JNK313" s="287"/>
      <c r="JNL313" s="287"/>
      <c r="JNM313" s="287"/>
      <c r="JNN313" s="287"/>
      <c r="JNO313" s="287"/>
      <c r="JNP313" s="287"/>
      <c r="JNQ313" s="287"/>
      <c r="JNR313" s="287"/>
      <c r="JNS313" s="287"/>
      <c r="JNT313" s="287"/>
      <c r="JNU313" s="287"/>
      <c r="JNV313" s="287"/>
      <c r="JNW313" s="287"/>
      <c r="JNX313" s="287"/>
      <c r="JNY313" s="287"/>
      <c r="JNZ313" s="287"/>
      <c r="JOA313" s="287"/>
      <c r="JOB313" s="287"/>
      <c r="JOC313" s="287"/>
      <c r="JOD313" s="287"/>
      <c r="JOE313" s="287"/>
      <c r="JOF313" s="287"/>
      <c r="JOG313" s="287"/>
      <c r="JOH313" s="287"/>
      <c r="JOI313" s="287"/>
      <c r="JOJ313" s="287"/>
      <c r="JOK313" s="287"/>
      <c r="JOL313" s="287"/>
      <c r="JOM313" s="287"/>
      <c r="JON313" s="287"/>
      <c r="JOO313" s="287"/>
      <c r="JOP313" s="287"/>
      <c r="JOQ313" s="287"/>
      <c r="JOR313" s="287"/>
      <c r="JOS313" s="287"/>
      <c r="JOT313" s="287"/>
      <c r="JOU313" s="287"/>
      <c r="JOV313" s="287"/>
      <c r="JOW313" s="287"/>
      <c r="JOX313" s="287"/>
      <c r="JOY313" s="287"/>
      <c r="JOZ313" s="287"/>
      <c r="JPA313" s="287"/>
      <c r="JPB313" s="287"/>
      <c r="JPC313" s="287"/>
      <c r="JPD313" s="287"/>
      <c r="JPE313" s="287"/>
      <c r="JPF313" s="287"/>
      <c r="JPG313" s="287"/>
      <c r="JPH313" s="287"/>
      <c r="JPI313" s="287"/>
      <c r="JPJ313" s="287"/>
      <c r="JPK313" s="287"/>
      <c r="JPL313" s="287"/>
      <c r="JPM313" s="287"/>
      <c r="JPN313" s="287"/>
      <c r="JPO313" s="287"/>
      <c r="JPP313" s="287"/>
      <c r="JPQ313" s="287"/>
      <c r="JPR313" s="287"/>
      <c r="JPS313" s="287"/>
      <c r="JPT313" s="287"/>
      <c r="JPU313" s="287"/>
      <c r="JPV313" s="287"/>
      <c r="JPW313" s="287"/>
      <c r="JPX313" s="287"/>
      <c r="JPY313" s="287"/>
      <c r="JPZ313" s="287"/>
      <c r="JQA313" s="287"/>
      <c r="JQB313" s="287"/>
      <c r="JQC313" s="287"/>
      <c r="JQD313" s="287"/>
      <c r="JQE313" s="287"/>
      <c r="JQF313" s="287"/>
      <c r="JQG313" s="287"/>
      <c r="JQH313" s="287"/>
      <c r="JQI313" s="287"/>
      <c r="JQJ313" s="287"/>
      <c r="JQK313" s="287"/>
      <c r="JQL313" s="287"/>
      <c r="JQM313" s="287"/>
      <c r="JQN313" s="287"/>
      <c r="JQO313" s="287"/>
      <c r="JQP313" s="287"/>
      <c r="JQQ313" s="287"/>
      <c r="JQR313" s="287"/>
      <c r="JQS313" s="287"/>
      <c r="JQT313" s="287"/>
      <c r="JQU313" s="287"/>
      <c r="JQV313" s="287"/>
      <c r="JQW313" s="287"/>
      <c r="JQX313" s="287"/>
      <c r="JQY313" s="287"/>
      <c r="JQZ313" s="287"/>
      <c r="JRA313" s="287"/>
      <c r="JRB313" s="287"/>
      <c r="JRC313" s="287"/>
      <c r="JRD313" s="287"/>
      <c r="JRE313" s="287"/>
      <c r="JRF313" s="287"/>
      <c r="JRG313" s="287"/>
      <c r="JRH313" s="287"/>
      <c r="JRI313" s="287"/>
      <c r="JRJ313" s="287"/>
      <c r="JRK313" s="287"/>
      <c r="JRL313" s="287"/>
      <c r="JRM313" s="287"/>
      <c r="JRN313" s="287"/>
      <c r="JRO313" s="287"/>
      <c r="JRP313" s="287"/>
      <c r="JRQ313" s="287"/>
      <c r="JRR313" s="287"/>
      <c r="JRS313" s="287"/>
      <c r="JRT313" s="287"/>
      <c r="JRU313" s="287"/>
      <c r="JRV313" s="287"/>
      <c r="JRW313" s="287"/>
      <c r="JRX313" s="287"/>
      <c r="JRY313" s="287"/>
      <c r="JRZ313" s="287"/>
      <c r="JSA313" s="287"/>
      <c r="JSB313" s="287"/>
      <c r="JSC313" s="287"/>
      <c r="JSD313" s="287"/>
      <c r="JSE313" s="287"/>
      <c r="JSF313" s="287"/>
      <c r="JSG313" s="287"/>
      <c r="JSH313" s="287"/>
      <c r="JSI313" s="287"/>
      <c r="JSJ313" s="287"/>
      <c r="JSK313" s="287"/>
      <c r="JSL313" s="287"/>
      <c r="JSM313" s="287"/>
      <c r="JSN313" s="287"/>
      <c r="JSO313" s="287"/>
      <c r="JSP313" s="287"/>
      <c r="JSQ313" s="287"/>
      <c r="JSR313" s="287"/>
      <c r="JSS313" s="287"/>
      <c r="JST313" s="287"/>
      <c r="JSU313" s="287"/>
      <c r="JSV313" s="287"/>
      <c r="JSW313" s="287"/>
      <c r="JSX313" s="287"/>
      <c r="JSY313" s="287"/>
      <c r="JSZ313" s="287"/>
      <c r="JTA313" s="287"/>
      <c r="JTB313" s="287"/>
      <c r="JTC313" s="287"/>
      <c r="JTD313" s="287"/>
      <c r="JTE313" s="287"/>
      <c r="JTF313" s="287"/>
      <c r="JTG313" s="287"/>
      <c r="JTH313" s="287"/>
      <c r="JTI313" s="287"/>
      <c r="JTJ313" s="287"/>
      <c r="JTK313" s="287"/>
      <c r="JTL313" s="287"/>
      <c r="JTM313" s="287"/>
      <c r="JTN313" s="287"/>
      <c r="JTO313" s="287"/>
      <c r="JTP313" s="287"/>
      <c r="JTQ313" s="287"/>
      <c r="JTR313" s="287"/>
      <c r="JTS313" s="287"/>
      <c r="JTT313" s="287"/>
      <c r="JTU313" s="287"/>
      <c r="JTV313" s="287"/>
      <c r="JTW313" s="287"/>
      <c r="JTX313" s="287"/>
      <c r="JTY313" s="287"/>
      <c r="JTZ313" s="287"/>
      <c r="JUA313" s="287"/>
      <c r="JUB313" s="287"/>
      <c r="JUC313" s="287"/>
      <c r="JUD313" s="287"/>
      <c r="JUE313" s="287"/>
      <c r="JUF313" s="287"/>
      <c r="JUG313" s="287"/>
      <c r="JUH313" s="287"/>
      <c r="JUI313" s="287"/>
      <c r="JUJ313" s="287"/>
      <c r="JUK313" s="287"/>
      <c r="JUL313" s="287"/>
      <c r="JUM313" s="287"/>
      <c r="JUN313" s="287"/>
      <c r="JUO313" s="287"/>
      <c r="JUP313" s="287"/>
      <c r="JUQ313" s="287"/>
      <c r="JUR313" s="287"/>
      <c r="JUS313" s="287"/>
      <c r="JUT313" s="287"/>
      <c r="JUU313" s="287"/>
      <c r="JUV313" s="287"/>
      <c r="JUW313" s="287"/>
      <c r="JUX313" s="287"/>
      <c r="JUY313" s="287"/>
      <c r="JUZ313" s="287"/>
      <c r="JVA313" s="287"/>
      <c r="JVB313" s="287"/>
      <c r="JVC313" s="287"/>
      <c r="JVD313" s="287"/>
      <c r="JVE313" s="287"/>
      <c r="JVF313" s="287"/>
      <c r="JVG313" s="287"/>
      <c r="JVH313" s="287"/>
      <c r="JVI313" s="287"/>
      <c r="JVJ313" s="287"/>
      <c r="JVK313" s="287"/>
      <c r="JVL313" s="287"/>
      <c r="JVM313" s="287"/>
      <c r="JVN313" s="287"/>
      <c r="JVO313" s="287"/>
      <c r="JVP313" s="287"/>
      <c r="JVQ313" s="287"/>
      <c r="JVR313" s="287"/>
      <c r="JVS313" s="287"/>
      <c r="JVT313" s="287"/>
      <c r="JVU313" s="287"/>
      <c r="JVV313" s="287"/>
      <c r="JVW313" s="287"/>
      <c r="JVX313" s="287"/>
      <c r="JVY313" s="287"/>
      <c r="JVZ313" s="287"/>
      <c r="JWA313" s="287"/>
      <c r="JWB313" s="287"/>
      <c r="JWC313" s="287"/>
      <c r="JWD313" s="287"/>
      <c r="JWE313" s="287"/>
      <c r="JWF313" s="287"/>
      <c r="JWG313" s="287"/>
      <c r="JWH313" s="287"/>
      <c r="JWI313" s="287"/>
      <c r="JWJ313" s="287"/>
      <c r="JWK313" s="287"/>
      <c r="JWL313" s="287"/>
      <c r="JWM313" s="287"/>
      <c r="JWN313" s="287"/>
      <c r="JWO313" s="287"/>
      <c r="JWP313" s="287"/>
      <c r="JWQ313" s="287"/>
      <c r="JWR313" s="287"/>
      <c r="JWS313" s="287"/>
      <c r="JWT313" s="287"/>
      <c r="JWU313" s="287"/>
      <c r="JWV313" s="287"/>
      <c r="JWW313" s="287"/>
      <c r="JWX313" s="287"/>
      <c r="JWY313" s="287"/>
      <c r="JWZ313" s="287"/>
      <c r="JXA313" s="287"/>
      <c r="JXB313" s="287"/>
      <c r="JXC313" s="287"/>
      <c r="JXD313" s="287"/>
      <c r="JXE313" s="287"/>
      <c r="JXF313" s="287"/>
      <c r="JXG313" s="287"/>
      <c r="JXH313" s="287"/>
      <c r="JXI313" s="287"/>
      <c r="JXJ313" s="287"/>
      <c r="JXK313" s="287"/>
      <c r="JXL313" s="287"/>
      <c r="JXM313" s="287"/>
      <c r="JXN313" s="287"/>
      <c r="JXO313" s="287"/>
      <c r="JXP313" s="287"/>
      <c r="JXQ313" s="287"/>
      <c r="JXR313" s="287"/>
      <c r="JXS313" s="287"/>
      <c r="JXT313" s="287"/>
      <c r="JXU313" s="287"/>
      <c r="JXV313" s="287"/>
      <c r="JXW313" s="287"/>
      <c r="JXX313" s="287"/>
      <c r="JXY313" s="287"/>
      <c r="JXZ313" s="287"/>
      <c r="JYA313" s="287"/>
      <c r="JYB313" s="287"/>
      <c r="JYC313" s="287"/>
      <c r="JYD313" s="287"/>
      <c r="JYE313" s="287"/>
      <c r="JYF313" s="287"/>
      <c r="JYG313" s="287"/>
      <c r="JYH313" s="287"/>
      <c r="JYI313" s="287"/>
      <c r="JYJ313" s="287"/>
      <c r="JYK313" s="287"/>
      <c r="JYL313" s="287"/>
      <c r="JYM313" s="287"/>
      <c r="JYN313" s="287"/>
      <c r="JYO313" s="287"/>
      <c r="JYP313" s="287"/>
      <c r="JYQ313" s="287"/>
      <c r="JYR313" s="287"/>
      <c r="JYS313" s="287"/>
      <c r="JYT313" s="287"/>
      <c r="JYU313" s="287"/>
      <c r="JYV313" s="287"/>
      <c r="JYW313" s="287"/>
      <c r="JYX313" s="287"/>
      <c r="JYY313" s="287"/>
      <c r="JYZ313" s="287"/>
      <c r="JZA313" s="287"/>
      <c r="JZB313" s="287"/>
      <c r="JZC313" s="287"/>
      <c r="JZD313" s="287"/>
      <c r="JZE313" s="287"/>
      <c r="JZF313" s="287"/>
      <c r="JZG313" s="287"/>
      <c r="JZH313" s="287"/>
      <c r="JZI313" s="287"/>
      <c r="JZJ313" s="287"/>
      <c r="JZK313" s="287"/>
      <c r="JZL313" s="287"/>
      <c r="JZM313" s="287"/>
      <c r="JZN313" s="287"/>
      <c r="JZO313" s="287"/>
      <c r="JZP313" s="287"/>
      <c r="JZQ313" s="287"/>
      <c r="JZR313" s="287"/>
      <c r="JZS313" s="287"/>
      <c r="JZT313" s="287"/>
      <c r="JZU313" s="287"/>
      <c r="JZV313" s="287"/>
      <c r="JZW313" s="287"/>
      <c r="JZX313" s="287"/>
      <c r="JZY313" s="287"/>
      <c r="JZZ313" s="287"/>
      <c r="KAA313" s="287"/>
      <c r="KAB313" s="287"/>
      <c r="KAC313" s="287"/>
      <c r="KAD313" s="287"/>
      <c r="KAE313" s="287"/>
      <c r="KAF313" s="287"/>
      <c r="KAG313" s="287"/>
      <c r="KAH313" s="287"/>
      <c r="KAI313" s="287"/>
      <c r="KAJ313" s="287"/>
      <c r="KAK313" s="287"/>
      <c r="KAL313" s="287"/>
      <c r="KAM313" s="287"/>
      <c r="KAN313" s="287"/>
      <c r="KAO313" s="287"/>
      <c r="KAP313" s="287"/>
      <c r="KAQ313" s="287"/>
      <c r="KAR313" s="287"/>
      <c r="KAS313" s="287"/>
      <c r="KAT313" s="287"/>
      <c r="KAU313" s="287"/>
      <c r="KAV313" s="287"/>
      <c r="KAW313" s="287"/>
      <c r="KAX313" s="287"/>
      <c r="KAY313" s="287"/>
      <c r="KAZ313" s="287"/>
      <c r="KBA313" s="287"/>
      <c r="KBB313" s="287"/>
      <c r="KBC313" s="287"/>
      <c r="KBD313" s="287"/>
      <c r="KBE313" s="287"/>
      <c r="KBF313" s="287"/>
      <c r="KBG313" s="287"/>
      <c r="KBH313" s="287"/>
      <c r="KBI313" s="287"/>
      <c r="KBJ313" s="287"/>
      <c r="KBK313" s="287"/>
      <c r="KBL313" s="287"/>
      <c r="KBM313" s="287"/>
      <c r="KBN313" s="287"/>
      <c r="KBO313" s="287"/>
      <c r="KBP313" s="287"/>
      <c r="KBQ313" s="287"/>
      <c r="KBR313" s="287"/>
      <c r="KBS313" s="287"/>
      <c r="KBT313" s="287"/>
      <c r="KBU313" s="287"/>
      <c r="KBV313" s="287"/>
      <c r="KBW313" s="287"/>
      <c r="KBX313" s="287"/>
      <c r="KBY313" s="287"/>
      <c r="KBZ313" s="287"/>
      <c r="KCA313" s="287"/>
      <c r="KCB313" s="287"/>
      <c r="KCC313" s="287"/>
      <c r="KCD313" s="287"/>
      <c r="KCE313" s="287"/>
      <c r="KCF313" s="287"/>
      <c r="KCG313" s="287"/>
      <c r="KCH313" s="287"/>
      <c r="KCI313" s="287"/>
      <c r="KCJ313" s="287"/>
      <c r="KCK313" s="287"/>
      <c r="KCL313" s="287"/>
      <c r="KCM313" s="287"/>
      <c r="KCN313" s="287"/>
      <c r="KCO313" s="287"/>
      <c r="KCP313" s="287"/>
      <c r="KCQ313" s="287"/>
      <c r="KCR313" s="287"/>
      <c r="KCS313" s="287"/>
      <c r="KCT313" s="287"/>
      <c r="KCU313" s="287"/>
      <c r="KCV313" s="287"/>
      <c r="KCW313" s="287"/>
      <c r="KCX313" s="287"/>
      <c r="KCY313" s="287"/>
      <c r="KCZ313" s="287"/>
      <c r="KDA313" s="287"/>
      <c r="KDB313" s="287"/>
      <c r="KDC313" s="287"/>
      <c r="KDD313" s="287"/>
      <c r="KDE313" s="287"/>
      <c r="KDF313" s="287"/>
      <c r="KDG313" s="287"/>
      <c r="KDH313" s="287"/>
      <c r="KDI313" s="287"/>
      <c r="KDJ313" s="287"/>
      <c r="KDK313" s="287"/>
      <c r="KDL313" s="287"/>
      <c r="KDM313" s="287"/>
      <c r="KDN313" s="287"/>
      <c r="KDO313" s="287"/>
      <c r="KDP313" s="287"/>
      <c r="KDQ313" s="287"/>
      <c r="KDR313" s="287"/>
      <c r="KDS313" s="287"/>
      <c r="KDT313" s="287"/>
      <c r="KDU313" s="287"/>
      <c r="KDV313" s="287"/>
      <c r="KDW313" s="287"/>
      <c r="KDX313" s="287"/>
      <c r="KDY313" s="287"/>
      <c r="KDZ313" s="287"/>
      <c r="KEA313" s="287"/>
      <c r="KEB313" s="287"/>
      <c r="KEC313" s="287"/>
      <c r="KED313" s="287"/>
      <c r="KEE313" s="287"/>
      <c r="KEF313" s="287"/>
      <c r="KEG313" s="287"/>
      <c r="KEH313" s="287"/>
      <c r="KEI313" s="287"/>
      <c r="KEJ313" s="287"/>
      <c r="KEK313" s="287"/>
      <c r="KEL313" s="287"/>
      <c r="KEM313" s="287"/>
      <c r="KEN313" s="287"/>
      <c r="KEO313" s="287"/>
      <c r="KEP313" s="287"/>
      <c r="KEQ313" s="287"/>
      <c r="KER313" s="287"/>
      <c r="KES313" s="287"/>
      <c r="KET313" s="287"/>
      <c r="KEU313" s="287"/>
      <c r="KEV313" s="287"/>
      <c r="KEW313" s="287"/>
      <c r="KEX313" s="287"/>
      <c r="KEY313" s="287"/>
      <c r="KEZ313" s="287"/>
      <c r="KFA313" s="287"/>
      <c r="KFB313" s="287"/>
      <c r="KFC313" s="287"/>
      <c r="KFD313" s="287"/>
      <c r="KFE313" s="287"/>
      <c r="KFF313" s="287"/>
      <c r="KFG313" s="287"/>
      <c r="KFH313" s="287"/>
      <c r="KFI313" s="287"/>
      <c r="KFJ313" s="287"/>
      <c r="KFK313" s="287"/>
      <c r="KFL313" s="287"/>
      <c r="KFM313" s="287"/>
      <c r="KFN313" s="287"/>
      <c r="KFO313" s="287"/>
      <c r="KFP313" s="287"/>
      <c r="KFQ313" s="287"/>
      <c r="KFR313" s="287"/>
      <c r="KFS313" s="287"/>
      <c r="KFT313" s="287"/>
      <c r="KFU313" s="287"/>
      <c r="KFV313" s="287"/>
      <c r="KFW313" s="287"/>
      <c r="KFX313" s="287"/>
      <c r="KFY313" s="287"/>
      <c r="KFZ313" s="287"/>
      <c r="KGA313" s="287"/>
      <c r="KGB313" s="287"/>
      <c r="KGC313" s="287"/>
      <c r="KGD313" s="287"/>
      <c r="KGE313" s="287"/>
      <c r="KGF313" s="287"/>
      <c r="KGG313" s="287"/>
      <c r="KGH313" s="287"/>
      <c r="KGI313" s="287"/>
      <c r="KGJ313" s="287"/>
      <c r="KGK313" s="287"/>
      <c r="KGL313" s="287"/>
      <c r="KGM313" s="287"/>
      <c r="KGN313" s="287"/>
      <c r="KGO313" s="287"/>
      <c r="KGP313" s="287"/>
      <c r="KGQ313" s="287"/>
      <c r="KGR313" s="287"/>
      <c r="KGS313" s="287"/>
      <c r="KGT313" s="287"/>
      <c r="KGU313" s="287"/>
      <c r="KGV313" s="287"/>
      <c r="KGW313" s="287"/>
      <c r="KGX313" s="287"/>
      <c r="KGY313" s="287"/>
      <c r="KGZ313" s="287"/>
      <c r="KHA313" s="287"/>
      <c r="KHB313" s="287"/>
      <c r="KHC313" s="287"/>
      <c r="KHD313" s="287"/>
      <c r="KHE313" s="287"/>
      <c r="KHF313" s="287"/>
      <c r="KHG313" s="287"/>
      <c r="KHH313" s="287"/>
      <c r="KHI313" s="287"/>
      <c r="KHJ313" s="287"/>
      <c r="KHK313" s="287"/>
      <c r="KHL313" s="287"/>
      <c r="KHM313" s="287"/>
      <c r="KHN313" s="287"/>
      <c r="KHO313" s="287"/>
      <c r="KHP313" s="287"/>
      <c r="KHQ313" s="287"/>
      <c r="KHR313" s="287"/>
      <c r="KHS313" s="287"/>
      <c r="KHT313" s="287"/>
      <c r="KHU313" s="287"/>
      <c r="KHV313" s="287"/>
      <c r="KHW313" s="287"/>
      <c r="KHX313" s="287"/>
      <c r="KHY313" s="287"/>
      <c r="KHZ313" s="287"/>
      <c r="KIA313" s="287"/>
      <c r="KIB313" s="287"/>
      <c r="KIC313" s="287"/>
      <c r="KID313" s="287"/>
      <c r="KIE313" s="287"/>
      <c r="KIF313" s="287"/>
      <c r="KIG313" s="287"/>
      <c r="KIH313" s="287"/>
      <c r="KII313" s="287"/>
      <c r="KIJ313" s="287"/>
      <c r="KIK313" s="287"/>
      <c r="KIL313" s="287"/>
      <c r="KIM313" s="287"/>
      <c r="KIN313" s="287"/>
      <c r="KIO313" s="287"/>
      <c r="KIP313" s="287"/>
      <c r="KIQ313" s="287"/>
      <c r="KIR313" s="287"/>
      <c r="KIS313" s="287"/>
      <c r="KIT313" s="287"/>
      <c r="KIU313" s="287"/>
      <c r="KIV313" s="287"/>
      <c r="KIW313" s="287"/>
      <c r="KIX313" s="287"/>
      <c r="KIY313" s="287"/>
      <c r="KIZ313" s="287"/>
      <c r="KJA313" s="287"/>
      <c r="KJB313" s="287"/>
      <c r="KJC313" s="287"/>
      <c r="KJD313" s="287"/>
      <c r="KJE313" s="287"/>
      <c r="KJF313" s="287"/>
      <c r="KJG313" s="287"/>
      <c r="KJH313" s="287"/>
      <c r="KJI313" s="287"/>
      <c r="KJJ313" s="287"/>
      <c r="KJK313" s="287"/>
      <c r="KJL313" s="287"/>
      <c r="KJM313" s="287"/>
      <c r="KJN313" s="287"/>
      <c r="KJO313" s="287"/>
      <c r="KJP313" s="287"/>
      <c r="KJQ313" s="287"/>
      <c r="KJR313" s="287"/>
      <c r="KJS313" s="287"/>
      <c r="KJT313" s="287"/>
      <c r="KJU313" s="287"/>
      <c r="KJV313" s="287"/>
      <c r="KJW313" s="287"/>
      <c r="KJX313" s="287"/>
      <c r="KJY313" s="287"/>
      <c r="KJZ313" s="287"/>
      <c r="KKA313" s="287"/>
      <c r="KKB313" s="287"/>
      <c r="KKC313" s="287"/>
      <c r="KKD313" s="287"/>
      <c r="KKE313" s="287"/>
      <c r="KKF313" s="287"/>
      <c r="KKG313" s="287"/>
      <c r="KKH313" s="287"/>
      <c r="KKI313" s="287"/>
      <c r="KKJ313" s="287"/>
      <c r="KKK313" s="287"/>
      <c r="KKL313" s="287"/>
      <c r="KKM313" s="287"/>
      <c r="KKN313" s="287"/>
      <c r="KKO313" s="287"/>
      <c r="KKP313" s="287"/>
      <c r="KKQ313" s="287"/>
      <c r="KKR313" s="287"/>
      <c r="KKS313" s="287"/>
      <c r="KKT313" s="287"/>
      <c r="KKU313" s="287"/>
      <c r="KKV313" s="287"/>
      <c r="KKW313" s="287"/>
      <c r="KKX313" s="287"/>
      <c r="KKY313" s="287"/>
      <c r="KKZ313" s="287"/>
      <c r="KLA313" s="287"/>
      <c r="KLB313" s="287"/>
      <c r="KLC313" s="287"/>
      <c r="KLD313" s="287"/>
      <c r="KLE313" s="287"/>
      <c r="KLF313" s="287"/>
      <c r="KLG313" s="287"/>
      <c r="KLH313" s="287"/>
      <c r="KLI313" s="287"/>
      <c r="KLJ313" s="287"/>
      <c r="KLK313" s="287"/>
      <c r="KLL313" s="287"/>
      <c r="KLM313" s="287"/>
      <c r="KLN313" s="287"/>
      <c r="KLO313" s="287"/>
      <c r="KLP313" s="287"/>
      <c r="KLQ313" s="287"/>
      <c r="KLR313" s="287"/>
      <c r="KLS313" s="287"/>
      <c r="KLT313" s="287"/>
      <c r="KLU313" s="287"/>
      <c r="KLV313" s="287"/>
      <c r="KLW313" s="287"/>
      <c r="KLX313" s="287"/>
      <c r="KLY313" s="287"/>
      <c r="KLZ313" s="287"/>
      <c r="KMA313" s="287"/>
      <c r="KMB313" s="287"/>
      <c r="KMC313" s="287"/>
      <c r="KMD313" s="287"/>
      <c r="KME313" s="287"/>
      <c r="KMF313" s="287"/>
      <c r="KMG313" s="287"/>
      <c r="KMH313" s="287"/>
      <c r="KMI313" s="287"/>
      <c r="KMJ313" s="287"/>
      <c r="KMK313" s="287"/>
      <c r="KML313" s="287"/>
      <c r="KMM313" s="287"/>
      <c r="KMN313" s="287"/>
      <c r="KMO313" s="287"/>
      <c r="KMP313" s="287"/>
      <c r="KMQ313" s="287"/>
      <c r="KMR313" s="287"/>
      <c r="KMS313" s="287"/>
      <c r="KMT313" s="287"/>
      <c r="KMU313" s="287"/>
      <c r="KMV313" s="287"/>
      <c r="KMW313" s="287"/>
      <c r="KMX313" s="287"/>
      <c r="KMY313" s="287"/>
      <c r="KMZ313" s="287"/>
      <c r="KNA313" s="287"/>
      <c r="KNB313" s="287"/>
      <c r="KNC313" s="287"/>
      <c r="KND313" s="287"/>
      <c r="KNE313" s="287"/>
      <c r="KNF313" s="287"/>
      <c r="KNG313" s="287"/>
      <c r="KNH313" s="287"/>
      <c r="KNI313" s="287"/>
      <c r="KNJ313" s="287"/>
      <c r="KNK313" s="287"/>
      <c r="KNL313" s="287"/>
      <c r="KNM313" s="287"/>
      <c r="KNN313" s="287"/>
      <c r="KNO313" s="287"/>
      <c r="KNP313" s="287"/>
      <c r="KNQ313" s="287"/>
      <c r="KNR313" s="287"/>
      <c r="KNS313" s="287"/>
      <c r="KNT313" s="287"/>
      <c r="KNU313" s="287"/>
      <c r="KNV313" s="287"/>
      <c r="KNW313" s="287"/>
      <c r="KNX313" s="287"/>
      <c r="KNY313" s="287"/>
      <c r="KNZ313" s="287"/>
      <c r="KOA313" s="287"/>
      <c r="KOB313" s="287"/>
      <c r="KOC313" s="287"/>
      <c r="KOD313" s="287"/>
      <c r="KOE313" s="287"/>
      <c r="KOF313" s="287"/>
      <c r="KOG313" s="287"/>
      <c r="KOH313" s="287"/>
      <c r="KOI313" s="287"/>
      <c r="KOJ313" s="287"/>
      <c r="KOK313" s="287"/>
      <c r="KOL313" s="287"/>
      <c r="KOM313" s="287"/>
      <c r="KON313" s="287"/>
      <c r="KOO313" s="287"/>
      <c r="KOP313" s="287"/>
      <c r="KOQ313" s="287"/>
      <c r="KOR313" s="287"/>
      <c r="KOS313" s="287"/>
      <c r="KOT313" s="287"/>
      <c r="KOU313" s="287"/>
      <c r="KOV313" s="287"/>
      <c r="KOW313" s="287"/>
      <c r="KOX313" s="287"/>
      <c r="KOY313" s="287"/>
      <c r="KOZ313" s="287"/>
      <c r="KPA313" s="287"/>
      <c r="KPB313" s="287"/>
      <c r="KPC313" s="287"/>
      <c r="KPD313" s="287"/>
      <c r="KPE313" s="287"/>
      <c r="KPF313" s="287"/>
      <c r="KPG313" s="287"/>
      <c r="KPH313" s="287"/>
      <c r="KPI313" s="287"/>
      <c r="KPJ313" s="287"/>
      <c r="KPK313" s="287"/>
      <c r="KPL313" s="287"/>
      <c r="KPM313" s="287"/>
      <c r="KPN313" s="287"/>
      <c r="KPO313" s="287"/>
      <c r="KPP313" s="287"/>
      <c r="KPQ313" s="287"/>
      <c r="KPR313" s="287"/>
      <c r="KPS313" s="287"/>
      <c r="KPT313" s="287"/>
      <c r="KPU313" s="287"/>
      <c r="KPV313" s="287"/>
      <c r="KPW313" s="287"/>
      <c r="KPX313" s="287"/>
      <c r="KPY313" s="287"/>
      <c r="KPZ313" s="287"/>
      <c r="KQA313" s="287"/>
      <c r="KQB313" s="287"/>
      <c r="KQC313" s="287"/>
      <c r="KQD313" s="287"/>
      <c r="KQE313" s="287"/>
      <c r="KQF313" s="287"/>
      <c r="KQG313" s="287"/>
      <c r="KQH313" s="287"/>
      <c r="KQI313" s="287"/>
      <c r="KQJ313" s="287"/>
      <c r="KQK313" s="287"/>
      <c r="KQL313" s="287"/>
      <c r="KQM313" s="287"/>
      <c r="KQN313" s="287"/>
      <c r="KQO313" s="287"/>
      <c r="KQP313" s="287"/>
      <c r="KQQ313" s="287"/>
      <c r="KQR313" s="287"/>
      <c r="KQS313" s="287"/>
      <c r="KQT313" s="287"/>
      <c r="KQU313" s="287"/>
      <c r="KQV313" s="287"/>
      <c r="KQW313" s="287"/>
      <c r="KQX313" s="287"/>
      <c r="KQY313" s="287"/>
      <c r="KQZ313" s="287"/>
      <c r="KRA313" s="287"/>
      <c r="KRB313" s="287"/>
      <c r="KRC313" s="287"/>
      <c r="KRD313" s="287"/>
      <c r="KRE313" s="287"/>
      <c r="KRF313" s="287"/>
      <c r="KRG313" s="287"/>
      <c r="KRH313" s="287"/>
      <c r="KRI313" s="287"/>
      <c r="KRJ313" s="287"/>
      <c r="KRK313" s="287"/>
      <c r="KRL313" s="287"/>
      <c r="KRM313" s="287"/>
      <c r="KRN313" s="287"/>
      <c r="KRO313" s="287"/>
      <c r="KRP313" s="287"/>
      <c r="KRQ313" s="287"/>
      <c r="KRR313" s="287"/>
      <c r="KRS313" s="287"/>
      <c r="KRT313" s="287"/>
      <c r="KRU313" s="287"/>
      <c r="KRV313" s="287"/>
      <c r="KRW313" s="287"/>
      <c r="KRX313" s="287"/>
      <c r="KRY313" s="287"/>
      <c r="KRZ313" s="287"/>
      <c r="KSA313" s="287"/>
      <c r="KSB313" s="287"/>
      <c r="KSC313" s="287"/>
      <c r="KSD313" s="287"/>
      <c r="KSE313" s="287"/>
      <c r="KSF313" s="287"/>
      <c r="KSG313" s="287"/>
      <c r="KSH313" s="287"/>
      <c r="KSI313" s="287"/>
      <c r="KSJ313" s="287"/>
      <c r="KSK313" s="287"/>
      <c r="KSL313" s="287"/>
      <c r="KSM313" s="287"/>
      <c r="KSN313" s="287"/>
      <c r="KSO313" s="287"/>
      <c r="KSP313" s="287"/>
      <c r="KSQ313" s="287"/>
      <c r="KSR313" s="287"/>
      <c r="KSS313" s="287"/>
      <c r="KST313" s="287"/>
      <c r="KSU313" s="287"/>
      <c r="KSV313" s="287"/>
      <c r="KSW313" s="287"/>
      <c r="KSX313" s="287"/>
      <c r="KSY313" s="287"/>
      <c r="KSZ313" s="287"/>
      <c r="KTA313" s="287"/>
      <c r="KTB313" s="287"/>
      <c r="KTC313" s="287"/>
      <c r="KTD313" s="287"/>
      <c r="KTE313" s="287"/>
      <c r="KTF313" s="287"/>
      <c r="KTG313" s="287"/>
      <c r="KTH313" s="287"/>
      <c r="KTI313" s="287"/>
      <c r="KTJ313" s="287"/>
      <c r="KTK313" s="287"/>
      <c r="KTL313" s="287"/>
      <c r="KTM313" s="287"/>
      <c r="KTN313" s="287"/>
      <c r="KTO313" s="287"/>
      <c r="KTP313" s="287"/>
      <c r="KTQ313" s="287"/>
      <c r="KTR313" s="287"/>
      <c r="KTS313" s="287"/>
      <c r="KTT313" s="287"/>
      <c r="KTU313" s="287"/>
      <c r="KTV313" s="287"/>
      <c r="KTW313" s="287"/>
      <c r="KTX313" s="287"/>
      <c r="KTY313" s="287"/>
      <c r="KTZ313" s="287"/>
      <c r="KUA313" s="287"/>
      <c r="KUB313" s="287"/>
      <c r="KUC313" s="287"/>
      <c r="KUD313" s="287"/>
      <c r="KUE313" s="287"/>
      <c r="KUF313" s="287"/>
      <c r="KUG313" s="287"/>
      <c r="KUH313" s="287"/>
      <c r="KUI313" s="287"/>
      <c r="KUJ313" s="287"/>
      <c r="KUK313" s="287"/>
      <c r="KUL313" s="287"/>
      <c r="KUM313" s="287"/>
      <c r="KUN313" s="287"/>
      <c r="KUO313" s="287"/>
      <c r="KUP313" s="287"/>
      <c r="KUQ313" s="287"/>
      <c r="KUR313" s="287"/>
      <c r="KUS313" s="287"/>
      <c r="KUT313" s="287"/>
      <c r="KUU313" s="287"/>
      <c r="KUV313" s="287"/>
      <c r="KUW313" s="287"/>
      <c r="KUX313" s="287"/>
      <c r="KUY313" s="287"/>
      <c r="KUZ313" s="287"/>
      <c r="KVA313" s="287"/>
      <c r="KVB313" s="287"/>
      <c r="KVC313" s="287"/>
      <c r="KVD313" s="287"/>
      <c r="KVE313" s="287"/>
      <c r="KVF313" s="287"/>
      <c r="KVG313" s="287"/>
      <c r="KVH313" s="287"/>
      <c r="KVI313" s="287"/>
      <c r="KVJ313" s="287"/>
      <c r="KVK313" s="287"/>
      <c r="KVL313" s="287"/>
      <c r="KVM313" s="287"/>
      <c r="KVN313" s="287"/>
      <c r="KVO313" s="287"/>
      <c r="KVP313" s="287"/>
      <c r="KVQ313" s="287"/>
      <c r="KVR313" s="287"/>
      <c r="KVS313" s="287"/>
      <c r="KVT313" s="287"/>
      <c r="KVU313" s="287"/>
      <c r="KVV313" s="287"/>
      <c r="KVW313" s="287"/>
      <c r="KVX313" s="287"/>
      <c r="KVY313" s="287"/>
      <c r="KVZ313" s="287"/>
      <c r="KWA313" s="287"/>
      <c r="KWB313" s="287"/>
      <c r="KWC313" s="287"/>
      <c r="KWD313" s="287"/>
      <c r="KWE313" s="287"/>
      <c r="KWF313" s="287"/>
      <c r="KWG313" s="287"/>
      <c r="KWH313" s="287"/>
      <c r="KWI313" s="287"/>
      <c r="KWJ313" s="287"/>
      <c r="KWK313" s="287"/>
      <c r="KWL313" s="287"/>
      <c r="KWM313" s="287"/>
      <c r="KWN313" s="287"/>
      <c r="KWO313" s="287"/>
      <c r="KWP313" s="287"/>
      <c r="KWQ313" s="287"/>
      <c r="KWR313" s="287"/>
      <c r="KWS313" s="287"/>
      <c r="KWT313" s="287"/>
      <c r="KWU313" s="287"/>
      <c r="KWV313" s="287"/>
      <c r="KWW313" s="287"/>
      <c r="KWX313" s="287"/>
      <c r="KWY313" s="287"/>
      <c r="KWZ313" s="287"/>
      <c r="KXA313" s="287"/>
      <c r="KXB313" s="287"/>
      <c r="KXC313" s="287"/>
      <c r="KXD313" s="287"/>
      <c r="KXE313" s="287"/>
      <c r="KXF313" s="287"/>
      <c r="KXG313" s="287"/>
      <c r="KXH313" s="287"/>
      <c r="KXI313" s="287"/>
      <c r="KXJ313" s="287"/>
      <c r="KXK313" s="287"/>
      <c r="KXL313" s="287"/>
      <c r="KXM313" s="287"/>
      <c r="KXN313" s="287"/>
      <c r="KXO313" s="287"/>
      <c r="KXP313" s="287"/>
      <c r="KXQ313" s="287"/>
      <c r="KXR313" s="287"/>
      <c r="KXS313" s="287"/>
      <c r="KXT313" s="287"/>
      <c r="KXU313" s="287"/>
      <c r="KXV313" s="287"/>
      <c r="KXW313" s="287"/>
      <c r="KXX313" s="287"/>
      <c r="KXY313" s="287"/>
      <c r="KXZ313" s="287"/>
      <c r="KYA313" s="287"/>
      <c r="KYB313" s="287"/>
      <c r="KYC313" s="287"/>
      <c r="KYD313" s="287"/>
      <c r="KYE313" s="287"/>
      <c r="KYF313" s="287"/>
      <c r="KYG313" s="287"/>
      <c r="KYH313" s="287"/>
      <c r="KYI313" s="287"/>
      <c r="KYJ313" s="287"/>
      <c r="KYK313" s="287"/>
      <c r="KYL313" s="287"/>
      <c r="KYM313" s="287"/>
      <c r="KYN313" s="287"/>
      <c r="KYO313" s="287"/>
      <c r="KYP313" s="287"/>
      <c r="KYQ313" s="287"/>
      <c r="KYR313" s="287"/>
      <c r="KYS313" s="287"/>
      <c r="KYT313" s="287"/>
      <c r="KYU313" s="287"/>
      <c r="KYV313" s="287"/>
      <c r="KYW313" s="287"/>
      <c r="KYX313" s="287"/>
      <c r="KYY313" s="287"/>
      <c r="KYZ313" s="287"/>
      <c r="KZA313" s="287"/>
      <c r="KZB313" s="287"/>
      <c r="KZC313" s="287"/>
      <c r="KZD313" s="287"/>
      <c r="KZE313" s="287"/>
      <c r="KZF313" s="287"/>
      <c r="KZG313" s="287"/>
      <c r="KZH313" s="287"/>
      <c r="KZI313" s="287"/>
      <c r="KZJ313" s="287"/>
      <c r="KZK313" s="287"/>
      <c r="KZL313" s="287"/>
      <c r="KZM313" s="287"/>
      <c r="KZN313" s="287"/>
      <c r="KZO313" s="287"/>
      <c r="KZP313" s="287"/>
      <c r="KZQ313" s="287"/>
      <c r="KZR313" s="287"/>
      <c r="KZS313" s="287"/>
      <c r="KZT313" s="287"/>
      <c r="KZU313" s="287"/>
      <c r="KZV313" s="287"/>
      <c r="KZW313" s="287"/>
      <c r="KZX313" s="287"/>
      <c r="KZY313" s="287"/>
      <c r="KZZ313" s="287"/>
      <c r="LAA313" s="287"/>
      <c r="LAB313" s="287"/>
      <c r="LAC313" s="287"/>
      <c r="LAD313" s="287"/>
      <c r="LAE313" s="287"/>
      <c r="LAF313" s="287"/>
      <c r="LAG313" s="287"/>
      <c r="LAH313" s="287"/>
      <c r="LAI313" s="287"/>
      <c r="LAJ313" s="287"/>
      <c r="LAK313" s="287"/>
      <c r="LAL313" s="287"/>
      <c r="LAM313" s="287"/>
      <c r="LAN313" s="287"/>
      <c r="LAO313" s="287"/>
      <c r="LAP313" s="287"/>
      <c r="LAQ313" s="287"/>
      <c r="LAR313" s="287"/>
      <c r="LAS313" s="287"/>
      <c r="LAT313" s="287"/>
      <c r="LAU313" s="287"/>
      <c r="LAV313" s="287"/>
      <c r="LAW313" s="287"/>
      <c r="LAX313" s="287"/>
      <c r="LAY313" s="287"/>
      <c r="LAZ313" s="287"/>
      <c r="LBA313" s="287"/>
      <c r="LBB313" s="287"/>
      <c r="LBC313" s="287"/>
      <c r="LBD313" s="287"/>
      <c r="LBE313" s="287"/>
      <c r="LBF313" s="287"/>
      <c r="LBG313" s="287"/>
      <c r="LBH313" s="287"/>
      <c r="LBI313" s="287"/>
      <c r="LBJ313" s="287"/>
      <c r="LBK313" s="287"/>
      <c r="LBL313" s="287"/>
      <c r="LBM313" s="287"/>
      <c r="LBN313" s="287"/>
      <c r="LBO313" s="287"/>
      <c r="LBP313" s="287"/>
      <c r="LBQ313" s="287"/>
      <c r="LBR313" s="287"/>
      <c r="LBS313" s="287"/>
      <c r="LBT313" s="287"/>
      <c r="LBU313" s="287"/>
      <c r="LBV313" s="287"/>
      <c r="LBW313" s="287"/>
      <c r="LBX313" s="287"/>
      <c r="LBY313" s="287"/>
      <c r="LBZ313" s="287"/>
      <c r="LCA313" s="287"/>
      <c r="LCB313" s="287"/>
      <c r="LCC313" s="287"/>
      <c r="LCD313" s="287"/>
      <c r="LCE313" s="287"/>
      <c r="LCF313" s="287"/>
      <c r="LCG313" s="287"/>
      <c r="LCH313" s="287"/>
      <c r="LCI313" s="287"/>
      <c r="LCJ313" s="287"/>
      <c r="LCK313" s="287"/>
      <c r="LCL313" s="287"/>
      <c r="LCM313" s="287"/>
      <c r="LCN313" s="287"/>
      <c r="LCO313" s="287"/>
      <c r="LCP313" s="287"/>
      <c r="LCQ313" s="287"/>
      <c r="LCR313" s="287"/>
      <c r="LCS313" s="287"/>
      <c r="LCT313" s="287"/>
      <c r="LCU313" s="287"/>
      <c r="LCV313" s="287"/>
      <c r="LCW313" s="287"/>
      <c r="LCX313" s="287"/>
      <c r="LCY313" s="287"/>
      <c r="LCZ313" s="287"/>
      <c r="LDA313" s="287"/>
      <c r="LDB313" s="287"/>
      <c r="LDC313" s="287"/>
      <c r="LDD313" s="287"/>
      <c r="LDE313" s="287"/>
      <c r="LDF313" s="287"/>
      <c r="LDG313" s="287"/>
      <c r="LDH313" s="287"/>
      <c r="LDI313" s="287"/>
      <c r="LDJ313" s="287"/>
      <c r="LDK313" s="287"/>
      <c r="LDL313" s="287"/>
      <c r="LDM313" s="287"/>
      <c r="LDN313" s="287"/>
      <c r="LDO313" s="287"/>
      <c r="LDP313" s="287"/>
      <c r="LDQ313" s="287"/>
      <c r="LDR313" s="287"/>
      <c r="LDS313" s="287"/>
      <c r="LDT313" s="287"/>
      <c r="LDU313" s="287"/>
      <c r="LDV313" s="287"/>
      <c r="LDW313" s="287"/>
      <c r="LDX313" s="287"/>
      <c r="LDY313" s="287"/>
      <c r="LDZ313" s="287"/>
      <c r="LEA313" s="287"/>
      <c r="LEB313" s="287"/>
      <c r="LEC313" s="287"/>
      <c r="LED313" s="287"/>
      <c r="LEE313" s="287"/>
      <c r="LEF313" s="287"/>
      <c r="LEG313" s="287"/>
      <c r="LEH313" s="287"/>
      <c r="LEI313" s="287"/>
      <c r="LEJ313" s="287"/>
      <c r="LEK313" s="287"/>
      <c r="LEL313" s="287"/>
      <c r="LEM313" s="287"/>
      <c r="LEN313" s="287"/>
      <c r="LEO313" s="287"/>
      <c r="LEP313" s="287"/>
      <c r="LEQ313" s="287"/>
      <c r="LER313" s="287"/>
      <c r="LES313" s="287"/>
      <c r="LET313" s="287"/>
      <c r="LEU313" s="287"/>
      <c r="LEV313" s="287"/>
      <c r="LEW313" s="287"/>
      <c r="LEX313" s="287"/>
      <c r="LEY313" s="287"/>
      <c r="LEZ313" s="287"/>
      <c r="LFA313" s="287"/>
      <c r="LFB313" s="287"/>
      <c r="LFC313" s="287"/>
      <c r="LFD313" s="287"/>
      <c r="LFE313" s="287"/>
      <c r="LFF313" s="287"/>
      <c r="LFG313" s="287"/>
      <c r="LFH313" s="287"/>
      <c r="LFI313" s="287"/>
      <c r="LFJ313" s="287"/>
      <c r="LFK313" s="287"/>
      <c r="LFL313" s="287"/>
      <c r="LFM313" s="287"/>
      <c r="LFN313" s="287"/>
      <c r="LFO313" s="287"/>
      <c r="LFP313" s="287"/>
      <c r="LFQ313" s="287"/>
      <c r="LFR313" s="287"/>
      <c r="LFS313" s="287"/>
      <c r="LFT313" s="287"/>
      <c r="LFU313" s="287"/>
      <c r="LFV313" s="287"/>
      <c r="LFW313" s="287"/>
      <c r="LFX313" s="287"/>
      <c r="LFY313" s="287"/>
      <c r="LFZ313" s="287"/>
      <c r="LGA313" s="287"/>
      <c r="LGB313" s="287"/>
      <c r="LGC313" s="287"/>
      <c r="LGD313" s="287"/>
      <c r="LGE313" s="287"/>
      <c r="LGF313" s="287"/>
      <c r="LGG313" s="287"/>
      <c r="LGH313" s="287"/>
      <c r="LGI313" s="287"/>
      <c r="LGJ313" s="287"/>
      <c r="LGK313" s="287"/>
      <c r="LGL313" s="287"/>
      <c r="LGM313" s="287"/>
      <c r="LGN313" s="287"/>
      <c r="LGO313" s="287"/>
      <c r="LGP313" s="287"/>
      <c r="LGQ313" s="287"/>
      <c r="LGR313" s="287"/>
      <c r="LGS313" s="287"/>
      <c r="LGT313" s="287"/>
      <c r="LGU313" s="287"/>
      <c r="LGV313" s="287"/>
      <c r="LGW313" s="287"/>
      <c r="LGX313" s="287"/>
      <c r="LGY313" s="287"/>
      <c r="LGZ313" s="287"/>
      <c r="LHA313" s="287"/>
      <c r="LHB313" s="287"/>
      <c r="LHC313" s="287"/>
      <c r="LHD313" s="287"/>
      <c r="LHE313" s="287"/>
      <c r="LHF313" s="287"/>
      <c r="LHG313" s="287"/>
      <c r="LHH313" s="287"/>
      <c r="LHI313" s="287"/>
      <c r="LHJ313" s="287"/>
      <c r="LHK313" s="287"/>
      <c r="LHL313" s="287"/>
      <c r="LHM313" s="287"/>
      <c r="LHN313" s="287"/>
      <c r="LHO313" s="287"/>
      <c r="LHP313" s="287"/>
      <c r="LHQ313" s="287"/>
      <c r="LHR313" s="287"/>
      <c r="LHS313" s="287"/>
      <c r="LHT313" s="287"/>
      <c r="LHU313" s="287"/>
      <c r="LHV313" s="287"/>
      <c r="LHW313" s="287"/>
      <c r="LHX313" s="287"/>
      <c r="LHY313" s="287"/>
      <c r="LHZ313" s="287"/>
      <c r="LIA313" s="287"/>
      <c r="LIB313" s="287"/>
      <c r="LIC313" s="287"/>
      <c r="LID313" s="287"/>
      <c r="LIE313" s="287"/>
      <c r="LIF313" s="287"/>
      <c r="LIG313" s="287"/>
      <c r="LIH313" s="287"/>
      <c r="LII313" s="287"/>
      <c r="LIJ313" s="287"/>
      <c r="LIK313" s="287"/>
      <c r="LIL313" s="287"/>
      <c r="LIM313" s="287"/>
      <c r="LIN313" s="287"/>
      <c r="LIO313" s="287"/>
      <c r="LIP313" s="287"/>
      <c r="LIQ313" s="287"/>
      <c r="LIR313" s="287"/>
      <c r="LIS313" s="287"/>
      <c r="LIT313" s="287"/>
      <c r="LIU313" s="287"/>
      <c r="LIV313" s="287"/>
      <c r="LIW313" s="287"/>
      <c r="LIX313" s="287"/>
      <c r="LIY313" s="287"/>
      <c r="LIZ313" s="287"/>
      <c r="LJA313" s="287"/>
      <c r="LJB313" s="287"/>
      <c r="LJC313" s="287"/>
      <c r="LJD313" s="287"/>
      <c r="LJE313" s="287"/>
      <c r="LJF313" s="287"/>
      <c r="LJG313" s="287"/>
      <c r="LJH313" s="287"/>
      <c r="LJI313" s="287"/>
      <c r="LJJ313" s="287"/>
      <c r="LJK313" s="287"/>
      <c r="LJL313" s="287"/>
      <c r="LJM313" s="287"/>
      <c r="LJN313" s="287"/>
      <c r="LJO313" s="287"/>
      <c r="LJP313" s="287"/>
      <c r="LJQ313" s="287"/>
      <c r="LJR313" s="287"/>
      <c r="LJS313" s="287"/>
      <c r="LJT313" s="287"/>
      <c r="LJU313" s="287"/>
      <c r="LJV313" s="287"/>
      <c r="LJW313" s="287"/>
      <c r="LJX313" s="287"/>
      <c r="LJY313" s="287"/>
      <c r="LJZ313" s="287"/>
      <c r="LKA313" s="287"/>
      <c r="LKB313" s="287"/>
      <c r="LKC313" s="287"/>
      <c r="LKD313" s="287"/>
      <c r="LKE313" s="287"/>
      <c r="LKF313" s="287"/>
      <c r="LKG313" s="287"/>
      <c r="LKH313" s="287"/>
      <c r="LKI313" s="287"/>
      <c r="LKJ313" s="287"/>
      <c r="LKK313" s="287"/>
      <c r="LKL313" s="287"/>
      <c r="LKM313" s="287"/>
      <c r="LKN313" s="287"/>
      <c r="LKO313" s="287"/>
      <c r="LKP313" s="287"/>
      <c r="LKQ313" s="287"/>
      <c r="LKR313" s="287"/>
      <c r="LKS313" s="287"/>
      <c r="LKT313" s="287"/>
      <c r="LKU313" s="287"/>
      <c r="LKV313" s="287"/>
      <c r="LKW313" s="287"/>
      <c r="LKX313" s="287"/>
      <c r="LKY313" s="287"/>
      <c r="LKZ313" s="287"/>
      <c r="LLA313" s="287"/>
      <c r="LLB313" s="287"/>
      <c r="LLC313" s="287"/>
      <c r="LLD313" s="287"/>
      <c r="LLE313" s="287"/>
      <c r="LLF313" s="287"/>
      <c r="LLG313" s="287"/>
      <c r="LLH313" s="287"/>
      <c r="LLI313" s="287"/>
      <c r="LLJ313" s="287"/>
      <c r="LLK313" s="287"/>
      <c r="LLL313" s="287"/>
      <c r="LLM313" s="287"/>
      <c r="LLN313" s="287"/>
      <c r="LLO313" s="287"/>
      <c r="LLP313" s="287"/>
      <c r="LLQ313" s="287"/>
      <c r="LLR313" s="287"/>
      <c r="LLS313" s="287"/>
      <c r="LLT313" s="287"/>
      <c r="LLU313" s="287"/>
      <c r="LLV313" s="287"/>
      <c r="LLW313" s="287"/>
      <c r="LLX313" s="287"/>
      <c r="LLY313" s="287"/>
      <c r="LLZ313" s="287"/>
      <c r="LMA313" s="287"/>
      <c r="LMB313" s="287"/>
      <c r="LMC313" s="287"/>
      <c r="LMD313" s="287"/>
      <c r="LME313" s="287"/>
      <c r="LMF313" s="287"/>
      <c r="LMG313" s="287"/>
      <c r="LMH313" s="287"/>
      <c r="LMI313" s="287"/>
      <c r="LMJ313" s="287"/>
      <c r="LMK313" s="287"/>
      <c r="LML313" s="287"/>
      <c r="LMM313" s="287"/>
      <c r="LMN313" s="287"/>
      <c r="LMO313" s="287"/>
      <c r="LMP313" s="287"/>
      <c r="LMQ313" s="287"/>
      <c r="LMR313" s="287"/>
      <c r="LMS313" s="287"/>
      <c r="LMT313" s="287"/>
      <c r="LMU313" s="287"/>
      <c r="LMV313" s="287"/>
      <c r="LMW313" s="287"/>
      <c r="LMX313" s="287"/>
      <c r="LMY313" s="287"/>
      <c r="LMZ313" s="287"/>
      <c r="LNA313" s="287"/>
      <c r="LNB313" s="287"/>
      <c r="LNC313" s="287"/>
      <c r="LND313" s="287"/>
      <c r="LNE313" s="287"/>
      <c r="LNF313" s="287"/>
      <c r="LNG313" s="287"/>
      <c r="LNH313" s="287"/>
      <c r="LNI313" s="287"/>
      <c r="LNJ313" s="287"/>
      <c r="LNK313" s="287"/>
      <c r="LNL313" s="287"/>
      <c r="LNM313" s="287"/>
      <c r="LNN313" s="287"/>
      <c r="LNO313" s="287"/>
      <c r="LNP313" s="287"/>
      <c r="LNQ313" s="287"/>
      <c r="LNR313" s="287"/>
      <c r="LNS313" s="287"/>
      <c r="LNT313" s="287"/>
      <c r="LNU313" s="287"/>
      <c r="LNV313" s="287"/>
      <c r="LNW313" s="287"/>
      <c r="LNX313" s="287"/>
      <c r="LNY313" s="287"/>
      <c r="LNZ313" s="287"/>
      <c r="LOA313" s="287"/>
      <c r="LOB313" s="287"/>
      <c r="LOC313" s="287"/>
      <c r="LOD313" s="287"/>
      <c r="LOE313" s="287"/>
      <c r="LOF313" s="287"/>
      <c r="LOG313" s="287"/>
      <c r="LOH313" s="287"/>
      <c r="LOI313" s="287"/>
      <c r="LOJ313" s="287"/>
      <c r="LOK313" s="287"/>
      <c r="LOL313" s="287"/>
      <c r="LOM313" s="287"/>
      <c r="LON313" s="287"/>
      <c r="LOO313" s="287"/>
      <c r="LOP313" s="287"/>
      <c r="LOQ313" s="287"/>
      <c r="LOR313" s="287"/>
      <c r="LOS313" s="287"/>
      <c r="LOT313" s="287"/>
      <c r="LOU313" s="287"/>
      <c r="LOV313" s="287"/>
      <c r="LOW313" s="287"/>
      <c r="LOX313" s="287"/>
      <c r="LOY313" s="287"/>
      <c r="LOZ313" s="287"/>
      <c r="LPA313" s="287"/>
      <c r="LPB313" s="287"/>
      <c r="LPC313" s="287"/>
      <c r="LPD313" s="287"/>
      <c r="LPE313" s="287"/>
      <c r="LPF313" s="287"/>
      <c r="LPG313" s="287"/>
      <c r="LPH313" s="287"/>
      <c r="LPI313" s="287"/>
      <c r="LPJ313" s="287"/>
      <c r="LPK313" s="287"/>
      <c r="LPL313" s="287"/>
      <c r="LPM313" s="287"/>
      <c r="LPN313" s="287"/>
      <c r="LPO313" s="287"/>
      <c r="LPP313" s="287"/>
      <c r="LPQ313" s="287"/>
      <c r="LPR313" s="287"/>
      <c r="LPS313" s="287"/>
      <c r="LPT313" s="287"/>
      <c r="LPU313" s="287"/>
      <c r="LPV313" s="287"/>
      <c r="LPW313" s="287"/>
      <c r="LPX313" s="287"/>
      <c r="LPY313" s="287"/>
      <c r="LPZ313" s="287"/>
      <c r="LQA313" s="287"/>
      <c r="LQB313" s="287"/>
      <c r="LQC313" s="287"/>
      <c r="LQD313" s="287"/>
      <c r="LQE313" s="287"/>
      <c r="LQF313" s="287"/>
      <c r="LQG313" s="287"/>
      <c r="LQH313" s="287"/>
      <c r="LQI313" s="287"/>
      <c r="LQJ313" s="287"/>
      <c r="LQK313" s="287"/>
      <c r="LQL313" s="287"/>
      <c r="LQM313" s="287"/>
      <c r="LQN313" s="287"/>
      <c r="LQO313" s="287"/>
      <c r="LQP313" s="287"/>
      <c r="LQQ313" s="287"/>
      <c r="LQR313" s="287"/>
      <c r="LQS313" s="287"/>
      <c r="LQT313" s="287"/>
      <c r="LQU313" s="287"/>
      <c r="LQV313" s="287"/>
      <c r="LQW313" s="287"/>
      <c r="LQX313" s="287"/>
      <c r="LQY313" s="287"/>
      <c r="LQZ313" s="287"/>
      <c r="LRA313" s="287"/>
      <c r="LRB313" s="287"/>
      <c r="LRC313" s="287"/>
      <c r="LRD313" s="287"/>
      <c r="LRE313" s="287"/>
      <c r="LRF313" s="287"/>
      <c r="LRG313" s="287"/>
      <c r="LRH313" s="287"/>
      <c r="LRI313" s="287"/>
      <c r="LRJ313" s="287"/>
      <c r="LRK313" s="287"/>
      <c r="LRL313" s="287"/>
      <c r="LRM313" s="287"/>
      <c r="LRN313" s="287"/>
      <c r="LRO313" s="287"/>
      <c r="LRP313" s="287"/>
      <c r="LRQ313" s="287"/>
      <c r="LRR313" s="287"/>
      <c r="LRS313" s="287"/>
      <c r="LRT313" s="287"/>
      <c r="LRU313" s="287"/>
      <c r="LRV313" s="287"/>
      <c r="LRW313" s="287"/>
      <c r="LRX313" s="287"/>
      <c r="LRY313" s="287"/>
      <c r="LRZ313" s="287"/>
      <c r="LSA313" s="287"/>
      <c r="LSB313" s="287"/>
      <c r="LSC313" s="287"/>
      <c r="LSD313" s="287"/>
      <c r="LSE313" s="287"/>
      <c r="LSF313" s="287"/>
      <c r="LSG313" s="287"/>
      <c r="LSH313" s="287"/>
      <c r="LSI313" s="287"/>
      <c r="LSJ313" s="287"/>
      <c r="LSK313" s="287"/>
      <c r="LSL313" s="287"/>
      <c r="LSM313" s="287"/>
      <c r="LSN313" s="287"/>
      <c r="LSO313" s="287"/>
      <c r="LSP313" s="287"/>
      <c r="LSQ313" s="287"/>
      <c r="LSR313" s="287"/>
      <c r="LSS313" s="287"/>
      <c r="LST313" s="287"/>
      <c r="LSU313" s="287"/>
      <c r="LSV313" s="287"/>
      <c r="LSW313" s="287"/>
      <c r="LSX313" s="287"/>
      <c r="LSY313" s="287"/>
      <c r="LSZ313" s="287"/>
      <c r="LTA313" s="287"/>
      <c r="LTB313" s="287"/>
      <c r="LTC313" s="287"/>
      <c r="LTD313" s="287"/>
      <c r="LTE313" s="287"/>
      <c r="LTF313" s="287"/>
      <c r="LTG313" s="287"/>
      <c r="LTH313" s="287"/>
      <c r="LTI313" s="287"/>
      <c r="LTJ313" s="287"/>
      <c r="LTK313" s="287"/>
      <c r="LTL313" s="287"/>
      <c r="LTM313" s="287"/>
      <c r="LTN313" s="287"/>
      <c r="LTO313" s="287"/>
      <c r="LTP313" s="287"/>
      <c r="LTQ313" s="287"/>
      <c r="LTR313" s="287"/>
      <c r="LTS313" s="287"/>
      <c r="LTT313" s="287"/>
      <c r="LTU313" s="287"/>
      <c r="LTV313" s="287"/>
      <c r="LTW313" s="287"/>
      <c r="LTX313" s="287"/>
      <c r="LTY313" s="287"/>
      <c r="LTZ313" s="287"/>
      <c r="LUA313" s="287"/>
      <c r="LUB313" s="287"/>
      <c r="LUC313" s="287"/>
      <c r="LUD313" s="287"/>
      <c r="LUE313" s="287"/>
      <c r="LUF313" s="287"/>
      <c r="LUG313" s="287"/>
      <c r="LUH313" s="287"/>
      <c r="LUI313" s="287"/>
      <c r="LUJ313" s="287"/>
      <c r="LUK313" s="287"/>
      <c r="LUL313" s="287"/>
      <c r="LUM313" s="287"/>
      <c r="LUN313" s="287"/>
      <c r="LUO313" s="287"/>
      <c r="LUP313" s="287"/>
      <c r="LUQ313" s="287"/>
      <c r="LUR313" s="287"/>
      <c r="LUS313" s="287"/>
      <c r="LUT313" s="287"/>
      <c r="LUU313" s="287"/>
      <c r="LUV313" s="287"/>
      <c r="LUW313" s="287"/>
      <c r="LUX313" s="287"/>
      <c r="LUY313" s="287"/>
      <c r="LUZ313" s="287"/>
      <c r="LVA313" s="287"/>
      <c r="LVB313" s="287"/>
      <c r="LVC313" s="287"/>
      <c r="LVD313" s="287"/>
      <c r="LVE313" s="287"/>
      <c r="LVF313" s="287"/>
      <c r="LVG313" s="287"/>
      <c r="LVH313" s="287"/>
      <c r="LVI313" s="287"/>
      <c r="LVJ313" s="287"/>
      <c r="LVK313" s="287"/>
      <c r="LVL313" s="287"/>
      <c r="LVM313" s="287"/>
      <c r="LVN313" s="287"/>
      <c r="LVO313" s="287"/>
      <c r="LVP313" s="287"/>
      <c r="LVQ313" s="287"/>
      <c r="LVR313" s="287"/>
      <c r="LVS313" s="287"/>
      <c r="LVT313" s="287"/>
      <c r="LVU313" s="287"/>
      <c r="LVV313" s="287"/>
      <c r="LVW313" s="287"/>
      <c r="LVX313" s="287"/>
      <c r="LVY313" s="287"/>
      <c r="LVZ313" s="287"/>
      <c r="LWA313" s="287"/>
      <c r="LWB313" s="287"/>
      <c r="LWC313" s="287"/>
      <c r="LWD313" s="287"/>
      <c r="LWE313" s="287"/>
      <c r="LWF313" s="287"/>
      <c r="LWG313" s="287"/>
      <c r="LWH313" s="287"/>
      <c r="LWI313" s="287"/>
      <c r="LWJ313" s="287"/>
      <c r="LWK313" s="287"/>
      <c r="LWL313" s="287"/>
      <c r="LWM313" s="287"/>
      <c r="LWN313" s="287"/>
      <c r="LWO313" s="287"/>
      <c r="LWP313" s="287"/>
      <c r="LWQ313" s="287"/>
      <c r="LWR313" s="287"/>
      <c r="LWS313" s="287"/>
      <c r="LWT313" s="287"/>
      <c r="LWU313" s="287"/>
      <c r="LWV313" s="287"/>
      <c r="LWW313" s="287"/>
      <c r="LWX313" s="287"/>
      <c r="LWY313" s="287"/>
      <c r="LWZ313" s="287"/>
      <c r="LXA313" s="287"/>
      <c r="LXB313" s="287"/>
      <c r="LXC313" s="287"/>
      <c r="LXD313" s="287"/>
      <c r="LXE313" s="287"/>
      <c r="LXF313" s="287"/>
      <c r="LXG313" s="287"/>
      <c r="LXH313" s="287"/>
      <c r="LXI313" s="287"/>
      <c r="LXJ313" s="287"/>
      <c r="LXK313" s="287"/>
      <c r="LXL313" s="287"/>
      <c r="LXM313" s="287"/>
      <c r="LXN313" s="287"/>
      <c r="LXO313" s="287"/>
      <c r="LXP313" s="287"/>
      <c r="LXQ313" s="287"/>
      <c r="LXR313" s="287"/>
      <c r="LXS313" s="287"/>
      <c r="LXT313" s="287"/>
      <c r="LXU313" s="287"/>
      <c r="LXV313" s="287"/>
      <c r="LXW313" s="287"/>
      <c r="LXX313" s="287"/>
      <c r="LXY313" s="287"/>
      <c r="LXZ313" s="287"/>
      <c r="LYA313" s="287"/>
      <c r="LYB313" s="287"/>
      <c r="LYC313" s="287"/>
      <c r="LYD313" s="287"/>
      <c r="LYE313" s="287"/>
      <c r="LYF313" s="287"/>
      <c r="LYG313" s="287"/>
      <c r="LYH313" s="287"/>
      <c r="LYI313" s="287"/>
      <c r="LYJ313" s="287"/>
      <c r="LYK313" s="287"/>
      <c r="LYL313" s="287"/>
      <c r="LYM313" s="287"/>
      <c r="LYN313" s="287"/>
      <c r="LYO313" s="287"/>
      <c r="LYP313" s="287"/>
      <c r="LYQ313" s="287"/>
      <c r="LYR313" s="287"/>
      <c r="LYS313" s="287"/>
      <c r="LYT313" s="287"/>
      <c r="LYU313" s="287"/>
      <c r="LYV313" s="287"/>
      <c r="LYW313" s="287"/>
      <c r="LYX313" s="287"/>
      <c r="LYY313" s="287"/>
      <c r="LYZ313" s="287"/>
      <c r="LZA313" s="287"/>
      <c r="LZB313" s="287"/>
      <c r="LZC313" s="287"/>
      <c r="LZD313" s="287"/>
      <c r="LZE313" s="287"/>
      <c r="LZF313" s="287"/>
      <c r="LZG313" s="287"/>
      <c r="LZH313" s="287"/>
      <c r="LZI313" s="287"/>
      <c r="LZJ313" s="287"/>
      <c r="LZK313" s="287"/>
      <c r="LZL313" s="287"/>
      <c r="LZM313" s="287"/>
      <c r="LZN313" s="287"/>
      <c r="LZO313" s="287"/>
      <c r="LZP313" s="287"/>
      <c r="LZQ313" s="287"/>
      <c r="LZR313" s="287"/>
      <c r="LZS313" s="287"/>
      <c r="LZT313" s="287"/>
      <c r="LZU313" s="287"/>
      <c r="LZV313" s="287"/>
      <c r="LZW313" s="287"/>
      <c r="LZX313" s="287"/>
      <c r="LZY313" s="287"/>
      <c r="LZZ313" s="287"/>
      <c r="MAA313" s="287"/>
      <c r="MAB313" s="287"/>
      <c r="MAC313" s="287"/>
      <c r="MAD313" s="287"/>
      <c r="MAE313" s="287"/>
      <c r="MAF313" s="287"/>
      <c r="MAG313" s="287"/>
      <c r="MAH313" s="287"/>
      <c r="MAI313" s="287"/>
      <c r="MAJ313" s="287"/>
      <c r="MAK313" s="287"/>
      <c r="MAL313" s="287"/>
      <c r="MAM313" s="287"/>
      <c r="MAN313" s="287"/>
      <c r="MAO313" s="287"/>
      <c r="MAP313" s="287"/>
      <c r="MAQ313" s="287"/>
      <c r="MAR313" s="287"/>
      <c r="MAS313" s="287"/>
      <c r="MAT313" s="287"/>
      <c r="MAU313" s="287"/>
      <c r="MAV313" s="287"/>
      <c r="MAW313" s="287"/>
      <c r="MAX313" s="287"/>
      <c r="MAY313" s="287"/>
      <c r="MAZ313" s="287"/>
      <c r="MBA313" s="287"/>
      <c r="MBB313" s="287"/>
      <c r="MBC313" s="287"/>
      <c r="MBD313" s="287"/>
      <c r="MBE313" s="287"/>
      <c r="MBF313" s="287"/>
      <c r="MBG313" s="287"/>
      <c r="MBH313" s="287"/>
      <c r="MBI313" s="287"/>
      <c r="MBJ313" s="287"/>
      <c r="MBK313" s="287"/>
      <c r="MBL313" s="287"/>
      <c r="MBM313" s="287"/>
      <c r="MBN313" s="287"/>
      <c r="MBO313" s="287"/>
      <c r="MBP313" s="287"/>
      <c r="MBQ313" s="287"/>
      <c r="MBR313" s="287"/>
      <c r="MBS313" s="287"/>
      <c r="MBT313" s="287"/>
      <c r="MBU313" s="287"/>
      <c r="MBV313" s="287"/>
      <c r="MBW313" s="287"/>
      <c r="MBX313" s="287"/>
      <c r="MBY313" s="287"/>
      <c r="MBZ313" s="287"/>
      <c r="MCA313" s="287"/>
      <c r="MCB313" s="287"/>
      <c r="MCC313" s="287"/>
      <c r="MCD313" s="287"/>
      <c r="MCE313" s="287"/>
      <c r="MCF313" s="287"/>
      <c r="MCG313" s="287"/>
      <c r="MCH313" s="287"/>
      <c r="MCI313" s="287"/>
      <c r="MCJ313" s="287"/>
      <c r="MCK313" s="287"/>
      <c r="MCL313" s="287"/>
      <c r="MCM313" s="287"/>
      <c r="MCN313" s="287"/>
      <c r="MCO313" s="287"/>
      <c r="MCP313" s="287"/>
      <c r="MCQ313" s="287"/>
      <c r="MCR313" s="287"/>
      <c r="MCS313" s="287"/>
      <c r="MCT313" s="287"/>
      <c r="MCU313" s="287"/>
      <c r="MCV313" s="287"/>
      <c r="MCW313" s="287"/>
      <c r="MCX313" s="287"/>
      <c r="MCY313" s="287"/>
      <c r="MCZ313" s="287"/>
      <c r="MDA313" s="287"/>
      <c r="MDB313" s="287"/>
      <c r="MDC313" s="287"/>
      <c r="MDD313" s="287"/>
      <c r="MDE313" s="287"/>
      <c r="MDF313" s="287"/>
      <c r="MDG313" s="287"/>
      <c r="MDH313" s="287"/>
      <c r="MDI313" s="287"/>
      <c r="MDJ313" s="287"/>
      <c r="MDK313" s="287"/>
      <c r="MDL313" s="287"/>
      <c r="MDM313" s="287"/>
      <c r="MDN313" s="287"/>
      <c r="MDO313" s="287"/>
      <c r="MDP313" s="287"/>
      <c r="MDQ313" s="287"/>
      <c r="MDR313" s="287"/>
      <c r="MDS313" s="287"/>
      <c r="MDT313" s="287"/>
      <c r="MDU313" s="287"/>
      <c r="MDV313" s="287"/>
      <c r="MDW313" s="287"/>
      <c r="MDX313" s="287"/>
      <c r="MDY313" s="287"/>
      <c r="MDZ313" s="287"/>
      <c r="MEA313" s="287"/>
      <c r="MEB313" s="287"/>
      <c r="MEC313" s="287"/>
      <c r="MED313" s="287"/>
      <c r="MEE313" s="287"/>
      <c r="MEF313" s="287"/>
      <c r="MEG313" s="287"/>
      <c r="MEH313" s="287"/>
      <c r="MEI313" s="287"/>
      <c r="MEJ313" s="287"/>
      <c r="MEK313" s="287"/>
      <c r="MEL313" s="287"/>
      <c r="MEM313" s="287"/>
      <c r="MEN313" s="287"/>
      <c r="MEO313" s="287"/>
      <c r="MEP313" s="287"/>
      <c r="MEQ313" s="287"/>
      <c r="MER313" s="287"/>
      <c r="MES313" s="287"/>
      <c r="MET313" s="287"/>
      <c r="MEU313" s="287"/>
      <c r="MEV313" s="287"/>
      <c r="MEW313" s="287"/>
      <c r="MEX313" s="287"/>
      <c r="MEY313" s="287"/>
      <c r="MEZ313" s="287"/>
      <c r="MFA313" s="287"/>
      <c r="MFB313" s="287"/>
      <c r="MFC313" s="287"/>
      <c r="MFD313" s="287"/>
      <c r="MFE313" s="287"/>
      <c r="MFF313" s="287"/>
      <c r="MFG313" s="287"/>
      <c r="MFH313" s="287"/>
      <c r="MFI313" s="287"/>
      <c r="MFJ313" s="287"/>
      <c r="MFK313" s="287"/>
      <c r="MFL313" s="287"/>
      <c r="MFM313" s="287"/>
      <c r="MFN313" s="287"/>
      <c r="MFO313" s="287"/>
      <c r="MFP313" s="287"/>
      <c r="MFQ313" s="287"/>
      <c r="MFR313" s="287"/>
      <c r="MFS313" s="287"/>
      <c r="MFT313" s="287"/>
      <c r="MFU313" s="287"/>
      <c r="MFV313" s="287"/>
      <c r="MFW313" s="287"/>
      <c r="MFX313" s="287"/>
      <c r="MFY313" s="287"/>
      <c r="MFZ313" s="287"/>
      <c r="MGA313" s="287"/>
      <c r="MGB313" s="287"/>
      <c r="MGC313" s="287"/>
      <c r="MGD313" s="287"/>
      <c r="MGE313" s="287"/>
      <c r="MGF313" s="287"/>
      <c r="MGG313" s="287"/>
      <c r="MGH313" s="287"/>
      <c r="MGI313" s="287"/>
      <c r="MGJ313" s="287"/>
      <c r="MGK313" s="287"/>
      <c r="MGL313" s="287"/>
      <c r="MGM313" s="287"/>
      <c r="MGN313" s="287"/>
      <c r="MGO313" s="287"/>
      <c r="MGP313" s="287"/>
      <c r="MGQ313" s="287"/>
      <c r="MGR313" s="287"/>
      <c r="MGS313" s="287"/>
      <c r="MGT313" s="287"/>
      <c r="MGU313" s="287"/>
      <c r="MGV313" s="287"/>
      <c r="MGW313" s="287"/>
      <c r="MGX313" s="287"/>
      <c r="MGY313" s="287"/>
      <c r="MGZ313" s="287"/>
      <c r="MHA313" s="287"/>
      <c r="MHB313" s="287"/>
      <c r="MHC313" s="287"/>
      <c r="MHD313" s="287"/>
      <c r="MHE313" s="287"/>
      <c r="MHF313" s="287"/>
      <c r="MHG313" s="287"/>
      <c r="MHH313" s="287"/>
      <c r="MHI313" s="287"/>
      <c r="MHJ313" s="287"/>
      <c r="MHK313" s="287"/>
      <c r="MHL313" s="287"/>
      <c r="MHM313" s="287"/>
      <c r="MHN313" s="287"/>
      <c r="MHO313" s="287"/>
      <c r="MHP313" s="287"/>
      <c r="MHQ313" s="287"/>
      <c r="MHR313" s="287"/>
      <c r="MHS313" s="287"/>
      <c r="MHT313" s="287"/>
      <c r="MHU313" s="287"/>
      <c r="MHV313" s="287"/>
      <c r="MHW313" s="287"/>
      <c r="MHX313" s="287"/>
      <c r="MHY313" s="287"/>
      <c r="MHZ313" s="287"/>
      <c r="MIA313" s="287"/>
      <c r="MIB313" s="287"/>
      <c r="MIC313" s="287"/>
      <c r="MID313" s="287"/>
      <c r="MIE313" s="287"/>
      <c r="MIF313" s="287"/>
      <c r="MIG313" s="287"/>
      <c r="MIH313" s="287"/>
      <c r="MII313" s="287"/>
      <c r="MIJ313" s="287"/>
      <c r="MIK313" s="287"/>
      <c r="MIL313" s="287"/>
      <c r="MIM313" s="287"/>
      <c r="MIN313" s="287"/>
      <c r="MIO313" s="287"/>
      <c r="MIP313" s="287"/>
      <c r="MIQ313" s="287"/>
      <c r="MIR313" s="287"/>
      <c r="MIS313" s="287"/>
      <c r="MIT313" s="287"/>
      <c r="MIU313" s="287"/>
      <c r="MIV313" s="287"/>
      <c r="MIW313" s="287"/>
      <c r="MIX313" s="287"/>
      <c r="MIY313" s="287"/>
      <c r="MIZ313" s="287"/>
      <c r="MJA313" s="287"/>
      <c r="MJB313" s="287"/>
      <c r="MJC313" s="287"/>
      <c r="MJD313" s="287"/>
      <c r="MJE313" s="287"/>
      <c r="MJF313" s="287"/>
      <c r="MJG313" s="287"/>
      <c r="MJH313" s="287"/>
      <c r="MJI313" s="287"/>
      <c r="MJJ313" s="287"/>
      <c r="MJK313" s="287"/>
      <c r="MJL313" s="287"/>
      <c r="MJM313" s="287"/>
      <c r="MJN313" s="287"/>
      <c r="MJO313" s="287"/>
      <c r="MJP313" s="287"/>
      <c r="MJQ313" s="287"/>
      <c r="MJR313" s="287"/>
      <c r="MJS313" s="287"/>
      <c r="MJT313" s="287"/>
      <c r="MJU313" s="287"/>
      <c r="MJV313" s="287"/>
      <c r="MJW313" s="287"/>
      <c r="MJX313" s="287"/>
      <c r="MJY313" s="287"/>
      <c r="MJZ313" s="287"/>
      <c r="MKA313" s="287"/>
      <c r="MKB313" s="287"/>
      <c r="MKC313" s="287"/>
      <c r="MKD313" s="287"/>
      <c r="MKE313" s="287"/>
      <c r="MKF313" s="287"/>
      <c r="MKG313" s="287"/>
      <c r="MKH313" s="287"/>
      <c r="MKI313" s="287"/>
      <c r="MKJ313" s="287"/>
      <c r="MKK313" s="287"/>
      <c r="MKL313" s="287"/>
      <c r="MKM313" s="287"/>
      <c r="MKN313" s="287"/>
      <c r="MKO313" s="287"/>
      <c r="MKP313" s="287"/>
      <c r="MKQ313" s="287"/>
      <c r="MKR313" s="287"/>
      <c r="MKS313" s="287"/>
      <c r="MKT313" s="287"/>
      <c r="MKU313" s="287"/>
      <c r="MKV313" s="287"/>
      <c r="MKW313" s="287"/>
      <c r="MKX313" s="287"/>
      <c r="MKY313" s="287"/>
      <c r="MKZ313" s="287"/>
      <c r="MLA313" s="287"/>
      <c r="MLB313" s="287"/>
      <c r="MLC313" s="287"/>
      <c r="MLD313" s="287"/>
      <c r="MLE313" s="287"/>
      <c r="MLF313" s="287"/>
      <c r="MLG313" s="287"/>
      <c r="MLH313" s="287"/>
      <c r="MLI313" s="287"/>
      <c r="MLJ313" s="287"/>
      <c r="MLK313" s="287"/>
      <c r="MLL313" s="287"/>
      <c r="MLM313" s="287"/>
      <c r="MLN313" s="287"/>
      <c r="MLO313" s="287"/>
      <c r="MLP313" s="287"/>
      <c r="MLQ313" s="287"/>
      <c r="MLR313" s="287"/>
      <c r="MLS313" s="287"/>
      <c r="MLT313" s="287"/>
      <c r="MLU313" s="287"/>
      <c r="MLV313" s="287"/>
      <c r="MLW313" s="287"/>
      <c r="MLX313" s="287"/>
      <c r="MLY313" s="287"/>
      <c r="MLZ313" s="287"/>
      <c r="MMA313" s="287"/>
      <c r="MMB313" s="287"/>
      <c r="MMC313" s="287"/>
      <c r="MMD313" s="287"/>
      <c r="MME313" s="287"/>
      <c r="MMF313" s="287"/>
      <c r="MMG313" s="287"/>
      <c r="MMH313" s="287"/>
      <c r="MMI313" s="287"/>
      <c r="MMJ313" s="287"/>
      <c r="MMK313" s="287"/>
      <c r="MML313" s="287"/>
      <c r="MMM313" s="287"/>
      <c r="MMN313" s="287"/>
      <c r="MMO313" s="287"/>
      <c r="MMP313" s="287"/>
      <c r="MMQ313" s="287"/>
      <c r="MMR313" s="287"/>
      <c r="MMS313" s="287"/>
      <c r="MMT313" s="287"/>
      <c r="MMU313" s="287"/>
      <c r="MMV313" s="287"/>
      <c r="MMW313" s="287"/>
      <c r="MMX313" s="287"/>
      <c r="MMY313" s="287"/>
      <c r="MMZ313" s="287"/>
      <c r="MNA313" s="287"/>
      <c r="MNB313" s="287"/>
      <c r="MNC313" s="287"/>
      <c r="MND313" s="287"/>
      <c r="MNE313" s="287"/>
      <c r="MNF313" s="287"/>
      <c r="MNG313" s="287"/>
      <c r="MNH313" s="287"/>
      <c r="MNI313" s="287"/>
      <c r="MNJ313" s="287"/>
      <c r="MNK313" s="287"/>
      <c r="MNL313" s="287"/>
      <c r="MNM313" s="287"/>
      <c r="MNN313" s="287"/>
      <c r="MNO313" s="287"/>
      <c r="MNP313" s="287"/>
      <c r="MNQ313" s="287"/>
      <c r="MNR313" s="287"/>
      <c r="MNS313" s="287"/>
      <c r="MNT313" s="287"/>
      <c r="MNU313" s="287"/>
      <c r="MNV313" s="287"/>
      <c r="MNW313" s="287"/>
      <c r="MNX313" s="287"/>
      <c r="MNY313" s="287"/>
      <c r="MNZ313" s="287"/>
      <c r="MOA313" s="287"/>
      <c r="MOB313" s="287"/>
      <c r="MOC313" s="287"/>
      <c r="MOD313" s="287"/>
      <c r="MOE313" s="287"/>
      <c r="MOF313" s="287"/>
      <c r="MOG313" s="287"/>
      <c r="MOH313" s="287"/>
      <c r="MOI313" s="287"/>
      <c r="MOJ313" s="287"/>
      <c r="MOK313" s="287"/>
      <c r="MOL313" s="287"/>
      <c r="MOM313" s="287"/>
      <c r="MON313" s="287"/>
      <c r="MOO313" s="287"/>
      <c r="MOP313" s="287"/>
      <c r="MOQ313" s="287"/>
      <c r="MOR313" s="287"/>
      <c r="MOS313" s="287"/>
      <c r="MOT313" s="287"/>
      <c r="MOU313" s="287"/>
      <c r="MOV313" s="287"/>
      <c r="MOW313" s="287"/>
      <c r="MOX313" s="287"/>
      <c r="MOY313" s="287"/>
      <c r="MOZ313" s="287"/>
      <c r="MPA313" s="287"/>
      <c r="MPB313" s="287"/>
      <c r="MPC313" s="287"/>
      <c r="MPD313" s="287"/>
      <c r="MPE313" s="287"/>
      <c r="MPF313" s="287"/>
      <c r="MPG313" s="287"/>
      <c r="MPH313" s="287"/>
      <c r="MPI313" s="287"/>
      <c r="MPJ313" s="287"/>
      <c r="MPK313" s="287"/>
      <c r="MPL313" s="287"/>
      <c r="MPM313" s="287"/>
      <c r="MPN313" s="287"/>
      <c r="MPO313" s="287"/>
      <c r="MPP313" s="287"/>
      <c r="MPQ313" s="287"/>
      <c r="MPR313" s="287"/>
      <c r="MPS313" s="287"/>
      <c r="MPT313" s="287"/>
      <c r="MPU313" s="287"/>
      <c r="MPV313" s="287"/>
      <c r="MPW313" s="287"/>
      <c r="MPX313" s="287"/>
      <c r="MPY313" s="287"/>
      <c r="MPZ313" s="287"/>
      <c r="MQA313" s="287"/>
      <c r="MQB313" s="287"/>
      <c r="MQC313" s="287"/>
      <c r="MQD313" s="287"/>
      <c r="MQE313" s="287"/>
      <c r="MQF313" s="287"/>
      <c r="MQG313" s="287"/>
      <c r="MQH313" s="287"/>
      <c r="MQI313" s="287"/>
      <c r="MQJ313" s="287"/>
      <c r="MQK313" s="287"/>
      <c r="MQL313" s="287"/>
      <c r="MQM313" s="287"/>
      <c r="MQN313" s="287"/>
      <c r="MQO313" s="287"/>
      <c r="MQP313" s="287"/>
      <c r="MQQ313" s="287"/>
      <c r="MQR313" s="287"/>
      <c r="MQS313" s="287"/>
      <c r="MQT313" s="287"/>
      <c r="MQU313" s="287"/>
      <c r="MQV313" s="287"/>
      <c r="MQW313" s="287"/>
      <c r="MQX313" s="287"/>
      <c r="MQY313" s="287"/>
      <c r="MQZ313" s="287"/>
      <c r="MRA313" s="287"/>
      <c r="MRB313" s="287"/>
      <c r="MRC313" s="287"/>
      <c r="MRD313" s="287"/>
      <c r="MRE313" s="287"/>
      <c r="MRF313" s="287"/>
      <c r="MRG313" s="287"/>
      <c r="MRH313" s="287"/>
      <c r="MRI313" s="287"/>
      <c r="MRJ313" s="287"/>
      <c r="MRK313" s="287"/>
      <c r="MRL313" s="287"/>
      <c r="MRM313" s="287"/>
      <c r="MRN313" s="287"/>
      <c r="MRO313" s="287"/>
      <c r="MRP313" s="287"/>
      <c r="MRQ313" s="287"/>
      <c r="MRR313" s="287"/>
      <c r="MRS313" s="287"/>
      <c r="MRT313" s="287"/>
      <c r="MRU313" s="287"/>
      <c r="MRV313" s="287"/>
      <c r="MRW313" s="287"/>
      <c r="MRX313" s="287"/>
      <c r="MRY313" s="287"/>
      <c r="MRZ313" s="287"/>
      <c r="MSA313" s="287"/>
      <c r="MSB313" s="287"/>
      <c r="MSC313" s="287"/>
      <c r="MSD313" s="287"/>
      <c r="MSE313" s="287"/>
      <c r="MSF313" s="287"/>
      <c r="MSG313" s="287"/>
      <c r="MSH313" s="287"/>
      <c r="MSI313" s="287"/>
      <c r="MSJ313" s="287"/>
      <c r="MSK313" s="287"/>
      <c r="MSL313" s="287"/>
      <c r="MSM313" s="287"/>
      <c r="MSN313" s="287"/>
      <c r="MSO313" s="287"/>
      <c r="MSP313" s="287"/>
      <c r="MSQ313" s="287"/>
      <c r="MSR313" s="287"/>
      <c r="MSS313" s="287"/>
      <c r="MST313" s="287"/>
      <c r="MSU313" s="287"/>
      <c r="MSV313" s="287"/>
      <c r="MSW313" s="287"/>
      <c r="MSX313" s="287"/>
      <c r="MSY313" s="287"/>
      <c r="MSZ313" s="287"/>
      <c r="MTA313" s="287"/>
      <c r="MTB313" s="287"/>
      <c r="MTC313" s="287"/>
      <c r="MTD313" s="287"/>
      <c r="MTE313" s="287"/>
      <c r="MTF313" s="287"/>
      <c r="MTG313" s="287"/>
      <c r="MTH313" s="287"/>
      <c r="MTI313" s="287"/>
      <c r="MTJ313" s="287"/>
      <c r="MTK313" s="287"/>
      <c r="MTL313" s="287"/>
      <c r="MTM313" s="287"/>
      <c r="MTN313" s="287"/>
      <c r="MTO313" s="287"/>
      <c r="MTP313" s="287"/>
      <c r="MTQ313" s="287"/>
      <c r="MTR313" s="287"/>
      <c r="MTS313" s="287"/>
      <c r="MTT313" s="287"/>
      <c r="MTU313" s="287"/>
      <c r="MTV313" s="287"/>
      <c r="MTW313" s="287"/>
      <c r="MTX313" s="287"/>
      <c r="MTY313" s="287"/>
      <c r="MTZ313" s="287"/>
      <c r="MUA313" s="287"/>
      <c r="MUB313" s="287"/>
      <c r="MUC313" s="287"/>
      <c r="MUD313" s="287"/>
      <c r="MUE313" s="287"/>
      <c r="MUF313" s="287"/>
      <c r="MUG313" s="287"/>
      <c r="MUH313" s="287"/>
      <c r="MUI313" s="287"/>
      <c r="MUJ313" s="287"/>
      <c r="MUK313" s="287"/>
      <c r="MUL313" s="287"/>
      <c r="MUM313" s="287"/>
      <c r="MUN313" s="287"/>
      <c r="MUO313" s="287"/>
      <c r="MUP313" s="287"/>
      <c r="MUQ313" s="287"/>
      <c r="MUR313" s="287"/>
      <c r="MUS313" s="287"/>
      <c r="MUT313" s="287"/>
      <c r="MUU313" s="287"/>
      <c r="MUV313" s="287"/>
      <c r="MUW313" s="287"/>
      <c r="MUX313" s="287"/>
      <c r="MUY313" s="287"/>
      <c r="MUZ313" s="287"/>
      <c r="MVA313" s="287"/>
      <c r="MVB313" s="287"/>
      <c r="MVC313" s="287"/>
      <c r="MVD313" s="287"/>
      <c r="MVE313" s="287"/>
      <c r="MVF313" s="287"/>
      <c r="MVG313" s="287"/>
      <c r="MVH313" s="287"/>
      <c r="MVI313" s="287"/>
      <c r="MVJ313" s="287"/>
      <c r="MVK313" s="287"/>
      <c r="MVL313" s="287"/>
      <c r="MVM313" s="287"/>
      <c r="MVN313" s="287"/>
      <c r="MVO313" s="287"/>
      <c r="MVP313" s="287"/>
      <c r="MVQ313" s="287"/>
      <c r="MVR313" s="287"/>
      <c r="MVS313" s="287"/>
      <c r="MVT313" s="287"/>
      <c r="MVU313" s="287"/>
      <c r="MVV313" s="287"/>
      <c r="MVW313" s="287"/>
      <c r="MVX313" s="287"/>
      <c r="MVY313" s="287"/>
      <c r="MVZ313" s="287"/>
      <c r="MWA313" s="287"/>
      <c r="MWB313" s="287"/>
      <c r="MWC313" s="287"/>
      <c r="MWD313" s="287"/>
      <c r="MWE313" s="287"/>
      <c r="MWF313" s="287"/>
      <c r="MWG313" s="287"/>
      <c r="MWH313" s="287"/>
      <c r="MWI313" s="287"/>
      <c r="MWJ313" s="287"/>
      <c r="MWK313" s="287"/>
      <c r="MWL313" s="287"/>
      <c r="MWM313" s="287"/>
      <c r="MWN313" s="287"/>
      <c r="MWO313" s="287"/>
      <c r="MWP313" s="287"/>
      <c r="MWQ313" s="287"/>
      <c r="MWR313" s="287"/>
      <c r="MWS313" s="287"/>
      <c r="MWT313" s="287"/>
      <c r="MWU313" s="287"/>
      <c r="MWV313" s="287"/>
      <c r="MWW313" s="287"/>
      <c r="MWX313" s="287"/>
      <c r="MWY313" s="287"/>
      <c r="MWZ313" s="287"/>
      <c r="MXA313" s="287"/>
      <c r="MXB313" s="287"/>
      <c r="MXC313" s="287"/>
      <c r="MXD313" s="287"/>
      <c r="MXE313" s="287"/>
      <c r="MXF313" s="287"/>
      <c r="MXG313" s="287"/>
      <c r="MXH313" s="287"/>
      <c r="MXI313" s="287"/>
      <c r="MXJ313" s="287"/>
      <c r="MXK313" s="287"/>
      <c r="MXL313" s="287"/>
      <c r="MXM313" s="287"/>
      <c r="MXN313" s="287"/>
      <c r="MXO313" s="287"/>
      <c r="MXP313" s="287"/>
      <c r="MXQ313" s="287"/>
      <c r="MXR313" s="287"/>
      <c r="MXS313" s="287"/>
      <c r="MXT313" s="287"/>
      <c r="MXU313" s="287"/>
      <c r="MXV313" s="287"/>
      <c r="MXW313" s="287"/>
      <c r="MXX313" s="287"/>
      <c r="MXY313" s="287"/>
      <c r="MXZ313" s="287"/>
      <c r="MYA313" s="287"/>
      <c r="MYB313" s="287"/>
      <c r="MYC313" s="287"/>
      <c r="MYD313" s="287"/>
      <c r="MYE313" s="287"/>
      <c r="MYF313" s="287"/>
      <c r="MYG313" s="287"/>
      <c r="MYH313" s="287"/>
      <c r="MYI313" s="287"/>
      <c r="MYJ313" s="287"/>
      <c r="MYK313" s="287"/>
      <c r="MYL313" s="287"/>
      <c r="MYM313" s="287"/>
      <c r="MYN313" s="287"/>
      <c r="MYO313" s="287"/>
      <c r="MYP313" s="287"/>
      <c r="MYQ313" s="287"/>
      <c r="MYR313" s="287"/>
      <c r="MYS313" s="287"/>
      <c r="MYT313" s="287"/>
      <c r="MYU313" s="287"/>
      <c r="MYV313" s="287"/>
      <c r="MYW313" s="287"/>
      <c r="MYX313" s="287"/>
      <c r="MYY313" s="287"/>
      <c r="MYZ313" s="287"/>
      <c r="MZA313" s="287"/>
      <c r="MZB313" s="287"/>
      <c r="MZC313" s="287"/>
      <c r="MZD313" s="287"/>
      <c r="MZE313" s="287"/>
      <c r="MZF313" s="287"/>
      <c r="MZG313" s="287"/>
      <c r="MZH313" s="287"/>
      <c r="MZI313" s="287"/>
      <c r="MZJ313" s="287"/>
      <c r="MZK313" s="287"/>
      <c r="MZL313" s="287"/>
      <c r="MZM313" s="287"/>
      <c r="MZN313" s="287"/>
      <c r="MZO313" s="287"/>
      <c r="MZP313" s="287"/>
      <c r="MZQ313" s="287"/>
      <c r="MZR313" s="287"/>
      <c r="MZS313" s="287"/>
      <c r="MZT313" s="287"/>
      <c r="MZU313" s="287"/>
      <c r="MZV313" s="287"/>
      <c r="MZW313" s="287"/>
      <c r="MZX313" s="287"/>
      <c r="MZY313" s="287"/>
      <c r="MZZ313" s="287"/>
      <c r="NAA313" s="287"/>
      <c r="NAB313" s="287"/>
      <c r="NAC313" s="287"/>
      <c r="NAD313" s="287"/>
      <c r="NAE313" s="287"/>
      <c r="NAF313" s="287"/>
      <c r="NAG313" s="287"/>
      <c r="NAH313" s="287"/>
      <c r="NAI313" s="287"/>
      <c r="NAJ313" s="287"/>
      <c r="NAK313" s="287"/>
      <c r="NAL313" s="287"/>
      <c r="NAM313" s="287"/>
      <c r="NAN313" s="287"/>
      <c r="NAO313" s="287"/>
      <c r="NAP313" s="287"/>
      <c r="NAQ313" s="287"/>
      <c r="NAR313" s="287"/>
      <c r="NAS313" s="287"/>
      <c r="NAT313" s="287"/>
      <c r="NAU313" s="287"/>
      <c r="NAV313" s="287"/>
      <c r="NAW313" s="287"/>
      <c r="NAX313" s="287"/>
      <c r="NAY313" s="287"/>
      <c r="NAZ313" s="287"/>
      <c r="NBA313" s="287"/>
      <c r="NBB313" s="287"/>
      <c r="NBC313" s="287"/>
      <c r="NBD313" s="287"/>
      <c r="NBE313" s="287"/>
      <c r="NBF313" s="287"/>
      <c r="NBG313" s="287"/>
      <c r="NBH313" s="287"/>
      <c r="NBI313" s="287"/>
      <c r="NBJ313" s="287"/>
      <c r="NBK313" s="287"/>
      <c r="NBL313" s="287"/>
      <c r="NBM313" s="287"/>
      <c r="NBN313" s="287"/>
      <c r="NBO313" s="287"/>
      <c r="NBP313" s="287"/>
      <c r="NBQ313" s="287"/>
      <c r="NBR313" s="287"/>
      <c r="NBS313" s="287"/>
      <c r="NBT313" s="287"/>
      <c r="NBU313" s="287"/>
      <c r="NBV313" s="287"/>
      <c r="NBW313" s="287"/>
      <c r="NBX313" s="287"/>
      <c r="NBY313" s="287"/>
      <c r="NBZ313" s="287"/>
      <c r="NCA313" s="287"/>
      <c r="NCB313" s="287"/>
      <c r="NCC313" s="287"/>
      <c r="NCD313" s="287"/>
      <c r="NCE313" s="287"/>
      <c r="NCF313" s="287"/>
      <c r="NCG313" s="287"/>
      <c r="NCH313" s="287"/>
      <c r="NCI313" s="287"/>
      <c r="NCJ313" s="287"/>
      <c r="NCK313" s="287"/>
      <c r="NCL313" s="287"/>
      <c r="NCM313" s="287"/>
      <c r="NCN313" s="287"/>
      <c r="NCO313" s="287"/>
      <c r="NCP313" s="287"/>
      <c r="NCQ313" s="287"/>
      <c r="NCR313" s="287"/>
      <c r="NCS313" s="287"/>
      <c r="NCT313" s="287"/>
      <c r="NCU313" s="287"/>
      <c r="NCV313" s="287"/>
      <c r="NCW313" s="287"/>
      <c r="NCX313" s="287"/>
      <c r="NCY313" s="287"/>
      <c r="NCZ313" s="287"/>
      <c r="NDA313" s="287"/>
      <c r="NDB313" s="287"/>
      <c r="NDC313" s="287"/>
      <c r="NDD313" s="287"/>
      <c r="NDE313" s="287"/>
      <c r="NDF313" s="287"/>
      <c r="NDG313" s="287"/>
      <c r="NDH313" s="287"/>
      <c r="NDI313" s="287"/>
      <c r="NDJ313" s="287"/>
      <c r="NDK313" s="287"/>
      <c r="NDL313" s="287"/>
      <c r="NDM313" s="287"/>
      <c r="NDN313" s="287"/>
      <c r="NDO313" s="287"/>
      <c r="NDP313" s="287"/>
      <c r="NDQ313" s="287"/>
      <c r="NDR313" s="287"/>
      <c r="NDS313" s="287"/>
      <c r="NDT313" s="287"/>
      <c r="NDU313" s="287"/>
      <c r="NDV313" s="287"/>
      <c r="NDW313" s="287"/>
      <c r="NDX313" s="287"/>
      <c r="NDY313" s="287"/>
      <c r="NDZ313" s="287"/>
      <c r="NEA313" s="287"/>
      <c r="NEB313" s="287"/>
      <c r="NEC313" s="287"/>
      <c r="NED313" s="287"/>
      <c r="NEE313" s="287"/>
      <c r="NEF313" s="287"/>
      <c r="NEG313" s="287"/>
      <c r="NEH313" s="287"/>
      <c r="NEI313" s="287"/>
      <c r="NEJ313" s="287"/>
      <c r="NEK313" s="287"/>
      <c r="NEL313" s="287"/>
      <c r="NEM313" s="287"/>
      <c r="NEN313" s="287"/>
      <c r="NEO313" s="287"/>
      <c r="NEP313" s="287"/>
      <c r="NEQ313" s="287"/>
      <c r="NER313" s="287"/>
      <c r="NES313" s="287"/>
      <c r="NET313" s="287"/>
      <c r="NEU313" s="287"/>
      <c r="NEV313" s="287"/>
      <c r="NEW313" s="287"/>
      <c r="NEX313" s="287"/>
      <c r="NEY313" s="287"/>
      <c r="NEZ313" s="287"/>
      <c r="NFA313" s="287"/>
      <c r="NFB313" s="287"/>
      <c r="NFC313" s="287"/>
      <c r="NFD313" s="287"/>
      <c r="NFE313" s="287"/>
      <c r="NFF313" s="287"/>
      <c r="NFG313" s="287"/>
      <c r="NFH313" s="287"/>
      <c r="NFI313" s="287"/>
      <c r="NFJ313" s="287"/>
      <c r="NFK313" s="287"/>
      <c r="NFL313" s="287"/>
      <c r="NFM313" s="287"/>
      <c r="NFN313" s="287"/>
      <c r="NFO313" s="287"/>
      <c r="NFP313" s="287"/>
      <c r="NFQ313" s="287"/>
      <c r="NFR313" s="287"/>
      <c r="NFS313" s="287"/>
      <c r="NFT313" s="287"/>
      <c r="NFU313" s="287"/>
      <c r="NFV313" s="287"/>
      <c r="NFW313" s="287"/>
      <c r="NFX313" s="287"/>
      <c r="NFY313" s="287"/>
      <c r="NFZ313" s="287"/>
      <c r="NGA313" s="287"/>
      <c r="NGB313" s="287"/>
      <c r="NGC313" s="287"/>
      <c r="NGD313" s="287"/>
      <c r="NGE313" s="287"/>
      <c r="NGF313" s="287"/>
      <c r="NGG313" s="287"/>
      <c r="NGH313" s="287"/>
      <c r="NGI313" s="287"/>
      <c r="NGJ313" s="287"/>
      <c r="NGK313" s="287"/>
      <c r="NGL313" s="287"/>
      <c r="NGM313" s="287"/>
      <c r="NGN313" s="287"/>
      <c r="NGO313" s="287"/>
      <c r="NGP313" s="287"/>
      <c r="NGQ313" s="287"/>
      <c r="NGR313" s="287"/>
      <c r="NGS313" s="287"/>
      <c r="NGT313" s="287"/>
      <c r="NGU313" s="287"/>
      <c r="NGV313" s="287"/>
      <c r="NGW313" s="287"/>
      <c r="NGX313" s="287"/>
      <c r="NGY313" s="287"/>
      <c r="NGZ313" s="287"/>
      <c r="NHA313" s="287"/>
      <c r="NHB313" s="287"/>
      <c r="NHC313" s="287"/>
      <c r="NHD313" s="287"/>
      <c r="NHE313" s="287"/>
      <c r="NHF313" s="287"/>
      <c r="NHG313" s="287"/>
      <c r="NHH313" s="287"/>
      <c r="NHI313" s="287"/>
      <c r="NHJ313" s="287"/>
      <c r="NHK313" s="287"/>
      <c r="NHL313" s="287"/>
      <c r="NHM313" s="287"/>
      <c r="NHN313" s="287"/>
      <c r="NHO313" s="287"/>
      <c r="NHP313" s="287"/>
      <c r="NHQ313" s="287"/>
      <c r="NHR313" s="287"/>
      <c r="NHS313" s="287"/>
      <c r="NHT313" s="287"/>
      <c r="NHU313" s="287"/>
      <c r="NHV313" s="287"/>
      <c r="NHW313" s="287"/>
      <c r="NHX313" s="287"/>
      <c r="NHY313" s="287"/>
      <c r="NHZ313" s="287"/>
      <c r="NIA313" s="287"/>
      <c r="NIB313" s="287"/>
      <c r="NIC313" s="287"/>
      <c r="NID313" s="287"/>
      <c r="NIE313" s="287"/>
      <c r="NIF313" s="287"/>
      <c r="NIG313" s="287"/>
      <c r="NIH313" s="287"/>
      <c r="NII313" s="287"/>
      <c r="NIJ313" s="287"/>
      <c r="NIK313" s="287"/>
      <c r="NIL313" s="287"/>
      <c r="NIM313" s="287"/>
      <c r="NIN313" s="287"/>
      <c r="NIO313" s="287"/>
      <c r="NIP313" s="287"/>
      <c r="NIQ313" s="287"/>
      <c r="NIR313" s="287"/>
      <c r="NIS313" s="287"/>
      <c r="NIT313" s="287"/>
      <c r="NIU313" s="287"/>
      <c r="NIV313" s="287"/>
      <c r="NIW313" s="287"/>
      <c r="NIX313" s="287"/>
      <c r="NIY313" s="287"/>
      <c r="NIZ313" s="287"/>
      <c r="NJA313" s="287"/>
      <c r="NJB313" s="287"/>
      <c r="NJC313" s="287"/>
      <c r="NJD313" s="287"/>
      <c r="NJE313" s="287"/>
      <c r="NJF313" s="287"/>
      <c r="NJG313" s="287"/>
      <c r="NJH313" s="287"/>
      <c r="NJI313" s="287"/>
      <c r="NJJ313" s="287"/>
      <c r="NJK313" s="287"/>
      <c r="NJL313" s="287"/>
      <c r="NJM313" s="287"/>
      <c r="NJN313" s="287"/>
      <c r="NJO313" s="287"/>
      <c r="NJP313" s="287"/>
      <c r="NJQ313" s="287"/>
      <c r="NJR313" s="287"/>
      <c r="NJS313" s="287"/>
      <c r="NJT313" s="287"/>
      <c r="NJU313" s="287"/>
      <c r="NJV313" s="287"/>
      <c r="NJW313" s="287"/>
      <c r="NJX313" s="287"/>
      <c r="NJY313" s="287"/>
      <c r="NJZ313" s="287"/>
      <c r="NKA313" s="287"/>
      <c r="NKB313" s="287"/>
      <c r="NKC313" s="287"/>
      <c r="NKD313" s="287"/>
      <c r="NKE313" s="287"/>
      <c r="NKF313" s="287"/>
      <c r="NKG313" s="287"/>
      <c r="NKH313" s="287"/>
      <c r="NKI313" s="287"/>
      <c r="NKJ313" s="287"/>
      <c r="NKK313" s="287"/>
      <c r="NKL313" s="287"/>
      <c r="NKM313" s="287"/>
      <c r="NKN313" s="287"/>
      <c r="NKO313" s="287"/>
      <c r="NKP313" s="287"/>
      <c r="NKQ313" s="287"/>
      <c r="NKR313" s="287"/>
      <c r="NKS313" s="287"/>
      <c r="NKT313" s="287"/>
      <c r="NKU313" s="287"/>
      <c r="NKV313" s="287"/>
      <c r="NKW313" s="287"/>
      <c r="NKX313" s="287"/>
      <c r="NKY313" s="287"/>
      <c r="NKZ313" s="287"/>
      <c r="NLA313" s="287"/>
      <c r="NLB313" s="287"/>
      <c r="NLC313" s="287"/>
      <c r="NLD313" s="287"/>
      <c r="NLE313" s="287"/>
      <c r="NLF313" s="287"/>
      <c r="NLG313" s="287"/>
      <c r="NLH313" s="287"/>
      <c r="NLI313" s="287"/>
      <c r="NLJ313" s="287"/>
      <c r="NLK313" s="287"/>
      <c r="NLL313" s="287"/>
      <c r="NLM313" s="287"/>
      <c r="NLN313" s="287"/>
      <c r="NLO313" s="287"/>
      <c r="NLP313" s="287"/>
      <c r="NLQ313" s="287"/>
      <c r="NLR313" s="287"/>
      <c r="NLS313" s="287"/>
      <c r="NLT313" s="287"/>
      <c r="NLU313" s="287"/>
      <c r="NLV313" s="287"/>
      <c r="NLW313" s="287"/>
      <c r="NLX313" s="287"/>
      <c r="NLY313" s="287"/>
      <c r="NLZ313" s="287"/>
      <c r="NMA313" s="287"/>
      <c r="NMB313" s="287"/>
      <c r="NMC313" s="287"/>
      <c r="NMD313" s="287"/>
      <c r="NME313" s="287"/>
      <c r="NMF313" s="287"/>
      <c r="NMG313" s="287"/>
      <c r="NMH313" s="287"/>
      <c r="NMI313" s="287"/>
      <c r="NMJ313" s="287"/>
      <c r="NMK313" s="287"/>
      <c r="NML313" s="287"/>
      <c r="NMM313" s="287"/>
      <c r="NMN313" s="287"/>
      <c r="NMO313" s="287"/>
      <c r="NMP313" s="287"/>
      <c r="NMQ313" s="287"/>
      <c r="NMR313" s="287"/>
      <c r="NMS313" s="287"/>
      <c r="NMT313" s="287"/>
      <c r="NMU313" s="287"/>
      <c r="NMV313" s="287"/>
      <c r="NMW313" s="287"/>
      <c r="NMX313" s="287"/>
      <c r="NMY313" s="287"/>
      <c r="NMZ313" s="287"/>
      <c r="NNA313" s="287"/>
      <c r="NNB313" s="287"/>
      <c r="NNC313" s="287"/>
      <c r="NND313" s="287"/>
      <c r="NNE313" s="287"/>
      <c r="NNF313" s="287"/>
      <c r="NNG313" s="287"/>
      <c r="NNH313" s="287"/>
      <c r="NNI313" s="287"/>
      <c r="NNJ313" s="287"/>
      <c r="NNK313" s="287"/>
      <c r="NNL313" s="287"/>
      <c r="NNM313" s="287"/>
      <c r="NNN313" s="287"/>
      <c r="NNO313" s="287"/>
      <c r="NNP313" s="287"/>
      <c r="NNQ313" s="287"/>
      <c r="NNR313" s="287"/>
      <c r="NNS313" s="287"/>
      <c r="NNT313" s="287"/>
      <c r="NNU313" s="287"/>
      <c r="NNV313" s="287"/>
      <c r="NNW313" s="287"/>
      <c r="NNX313" s="287"/>
      <c r="NNY313" s="287"/>
      <c r="NNZ313" s="287"/>
      <c r="NOA313" s="287"/>
      <c r="NOB313" s="287"/>
      <c r="NOC313" s="287"/>
      <c r="NOD313" s="287"/>
      <c r="NOE313" s="287"/>
      <c r="NOF313" s="287"/>
      <c r="NOG313" s="287"/>
      <c r="NOH313" s="287"/>
      <c r="NOI313" s="287"/>
      <c r="NOJ313" s="287"/>
      <c r="NOK313" s="287"/>
      <c r="NOL313" s="287"/>
      <c r="NOM313" s="287"/>
      <c r="NON313" s="287"/>
      <c r="NOO313" s="287"/>
      <c r="NOP313" s="287"/>
      <c r="NOQ313" s="287"/>
      <c r="NOR313" s="287"/>
      <c r="NOS313" s="287"/>
      <c r="NOT313" s="287"/>
      <c r="NOU313" s="287"/>
      <c r="NOV313" s="287"/>
      <c r="NOW313" s="287"/>
      <c r="NOX313" s="287"/>
      <c r="NOY313" s="287"/>
      <c r="NOZ313" s="287"/>
      <c r="NPA313" s="287"/>
      <c r="NPB313" s="287"/>
      <c r="NPC313" s="287"/>
      <c r="NPD313" s="287"/>
      <c r="NPE313" s="287"/>
      <c r="NPF313" s="287"/>
      <c r="NPG313" s="287"/>
      <c r="NPH313" s="287"/>
      <c r="NPI313" s="287"/>
      <c r="NPJ313" s="287"/>
      <c r="NPK313" s="287"/>
      <c r="NPL313" s="287"/>
      <c r="NPM313" s="287"/>
      <c r="NPN313" s="287"/>
      <c r="NPO313" s="287"/>
      <c r="NPP313" s="287"/>
      <c r="NPQ313" s="287"/>
      <c r="NPR313" s="287"/>
      <c r="NPS313" s="287"/>
      <c r="NPT313" s="287"/>
      <c r="NPU313" s="287"/>
      <c r="NPV313" s="287"/>
      <c r="NPW313" s="287"/>
      <c r="NPX313" s="287"/>
      <c r="NPY313" s="287"/>
      <c r="NPZ313" s="287"/>
      <c r="NQA313" s="287"/>
      <c r="NQB313" s="287"/>
      <c r="NQC313" s="287"/>
      <c r="NQD313" s="287"/>
      <c r="NQE313" s="287"/>
      <c r="NQF313" s="287"/>
      <c r="NQG313" s="287"/>
      <c r="NQH313" s="287"/>
      <c r="NQI313" s="287"/>
      <c r="NQJ313" s="287"/>
      <c r="NQK313" s="287"/>
      <c r="NQL313" s="287"/>
      <c r="NQM313" s="287"/>
      <c r="NQN313" s="287"/>
      <c r="NQO313" s="287"/>
      <c r="NQP313" s="287"/>
      <c r="NQQ313" s="287"/>
      <c r="NQR313" s="287"/>
      <c r="NQS313" s="287"/>
      <c r="NQT313" s="287"/>
      <c r="NQU313" s="287"/>
      <c r="NQV313" s="287"/>
      <c r="NQW313" s="287"/>
      <c r="NQX313" s="287"/>
      <c r="NQY313" s="287"/>
      <c r="NQZ313" s="287"/>
      <c r="NRA313" s="287"/>
      <c r="NRB313" s="287"/>
      <c r="NRC313" s="287"/>
      <c r="NRD313" s="287"/>
      <c r="NRE313" s="287"/>
      <c r="NRF313" s="287"/>
      <c r="NRG313" s="287"/>
      <c r="NRH313" s="287"/>
      <c r="NRI313" s="287"/>
      <c r="NRJ313" s="287"/>
      <c r="NRK313" s="287"/>
      <c r="NRL313" s="287"/>
      <c r="NRM313" s="287"/>
      <c r="NRN313" s="287"/>
      <c r="NRO313" s="287"/>
      <c r="NRP313" s="287"/>
      <c r="NRQ313" s="287"/>
      <c r="NRR313" s="287"/>
      <c r="NRS313" s="287"/>
      <c r="NRT313" s="287"/>
      <c r="NRU313" s="287"/>
      <c r="NRV313" s="287"/>
      <c r="NRW313" s="287"/>
      <c r="NRX313" s="287"/>
      <c r="NRY313" s="287"/>
      <c r="NRZ313" s="287"/>
      <c r="NSA313" s="287"/>
      <c r="NSB313" s="287"/>
      <c r="NSC313" s="287"/>
      <c r="NSD313" s="287"/>
      <c r="NSE313" s="287"/>
      <c r="NSF313" s="287"/>
      <c r="NSG313" s="287"/>
      <c r="NSH313" s="287"/>
      <c r="NSI313" s="287"/>
      <c r="NSJ313" s="287"/>
      <c r="NSK313" s="287"/>
      <c r="NSL313" s="287"/>
      <c r="NSM313" s="287"/>
      <c r="NSN313" s="287"/>
      <c r="NSO313" s="287"/>
      <c r="NSP313" s="287"/>
      <c r="NSQ313" s="287"/>
      <c r="NSR313" s="287"/>
      <c r="NSS313" s="287"/>
      <c r="NST313" s="287"/>
      <c r="NSU313" s="287"/>
      <c r="NSV313" s="287"/>
      <c r="NSW313" s="287"/>
      <c r="NSX313" s="287"/>
      <c r="NSY313" s="287"/>
      <c r="NSZ313" s="287"/>
      <c r="NTA313" s="287"/>
      <c r="NTB313" s="287"/>
      <c r="NTC313" s="287"/>
      <c r="NTD313" s="287"/>
      <c r="NTE313" s="287"/>
      <c r="NTF313" s="287"/>
      <c r="NTG313" s="287"/>
      <c r="NTH313" s="287"/>
      <c r="NTI313" s="287"/>
      <c r="NTJ313" s="287"/>
      <c r="NTK313" s="287"/>
      <c r="NTL313" s="287"/>
      <c r="NTM313" s="287"/>
      <c r="NTN313" s="287"/>
      <c r="NTO313" s="287"/>
      <c r="NTP313" s="287"/>
      <c r="NTQ313" s="287"/>
      <c r="NTR313" s="287"/>
      <c r="NTS313" s="287"/>
      <c r="NTT313" s="287"/>
      <c r="NTU313" s="287"/>
      <c r="NTV313" s="287"/>
      <c r="NTW313" s="287"/>
      <c r="NTX313" s="287"/>
      <c r="NTY313" s="287"/>
      <c r="NTZ313" s="287"/>
      <c r="NUA313" s="287"/>
      <c r="NUB313" s="287"/>
      <c r="NUC313" s="287"/>
      <c r="NUD313" s="287"/>
      <c r="NUE313" s="287"/>
      <c r="NUF313" s="287"/>
      <c r="NUG313" s="287"/>
      <c r="NUH313" s="287"/>
      <c r="NUI313" s="287"/>
      <c r="NUJ313" s="287"/>
      <c r="NUK313" s="287"/>
      <c r="NUL313" s="287"/>
      <c r="NUM313" s="287"/>
      <c r="NUN313" s="287"/>
      <c r="NUO313" s="287"/>
      <c r="NUP313" s="287"/>
      <c r="NUQ313" s="287"/>
      <c r="NUR313" s="287"/>
      <c r="NUS313" s="287"/>
      <c r="NUT313" s="287"/>
      <c r="NUU313" s="287"/>
      <c r="NUV313" s="287"/>
      <c r="NUW313" s="287"/>
      <c r="NUX313" s="287"/>
      <c r="NUY313" s="287"/>
      <c r="NUZ313" s="287"/>
      <c r="NVA313" s="287"/>
      <c r="NVB313" s="287"/>
      <c r="NVC313" s="287"/>
      <c r="NVD313" s="287"/>
      <c r="NVE313" s="287"/>
      <c r="NVF313" s="287"/>
      <c r="NVG313" s="287"/>
      <c r="NVH313" s="287"/>
      <c r="NVI313" s="287"/>
      <c r="NVJ313" s="287"/>
      <c r="NVK313" s="287"/>
      <c r="NVL313" s="287"/>
      <c r="NVM313" s="287"/>
      <c r="NVN313" s="287"/>
      <c r="NVO313" s="287"/>
      <c r="NVP313" s="287"/>
      <c r="NVQ313" s="287"/>
      <c r="NVR313" s="287"/>
      <c r="NVS313" s="287"/>
      <c r="NVT313" s="287"/>
      <c r="NVU313" s="287"/>
      <c r="NVV313" s="287"/>
      <c r="NVW313" s="287"/>
      <c r="NVX313" s="287"/>
      <c r="NVY313" s="287"/>
      <c r="NVZ313" s="287"/>
      <c r="NWA313" s="287"/>
      <c r="NWB313" s="287"/>
      <c r="NWC313" s="287"/>
      <c r="NWD313" s="287"/>
      <c r="NWE313" s="287"/>
      <c r="NWF313" s="287"/>
      <c r="NWG313" s="287"/>
      <c r="NWH313" s="287"/>
      <c r="NWI313" s="287"/>
      <c r="NWJ313" s="287"/>
      <c r="NWK313" s="287"/>
      <c r="NWL313" s="287"/>
      <c r="NWM313" s="287"/>
      <c r="NWN313" s="287"/>
      <c r="NWO313" s="287"/>
      <c r="NWP313" s="287"/>
      <c r="NWQ313" s="287"/>
      <c r="NWR313" s="287"/>
      <c r="NWS313" s="287"/>
      <c r="NWT313" s="287"/>
      <c r="NWU313" s="287"/>
      <c r="NWV313" s="287"/>
      <c r="NWW313" s="287"/>
      <c r="NWX313" s="287"/>
      <c r="NWY313" s="287"/>
      <c r="NWZ313" s="287"/>
      <c r="NXA313" s="287"/>
      <c r="NXB313" s="287"/>
      <c r="NXC313" s="287"/>
      <c r="NXD313" s="287"/>
      <c r="NXE313" s="287"/>
      <c r="NXF313" s="287"/>
      <c r="NXG313" s="287"/>
      <c r="NXH313" s="287"/>
      <c r="NXI313" s="287"/>
      <c r="NXJ313" s="287"/>
      <c r="NXK313" s="287"/>
      <c r="NXL313" s="287"/>
      <c r="NXM313" s="287"/>
      <c r="NXN313" s="287"/>
      <c r="NXO313" s="287"/>
      <c r="NXP313" s="287"/>
      <c r="NXQ313" s="287"/>
      <c r="NXR313" s="287"/>
      <c r="NXS313" s="287"/>
      <c r="NXT313" s="287"/>
      <c r="NXU313" s="287"/>
      <c r="NXV313" s="287"/>
      <c r="NXW313" s="287"/>
      <c r="NXX313" s="287"/>
      <c r="NXY313" s="287"/>
      <c r="NXZ313" s="287"/>
      <c r="NYA313" s="287"/>
      <c r="NYB313" s="287"/>
      <c r="NYC313" s="287"/>
      <c r="NYD313" s="287"/>
      <c r="NYE313" s="287"/>
      <c r="NYF313" s="287"/>
      <c r="NYG313" s="287"/>
      <c r="NYH313" s="287"/>
      <c r="NYI313" s="287"/>
      <c r="NYJ313" s="287"/>
      <c r="NYK313" s="287"/>
      <c r="NYL313" s="287"/>
      <c r="NYM313" s="287"/>
      <c r="NYN313" s="287"/>
      <c r="NYO313" s="287"/>
      <c r="NYP313" s="287"/>
      <c r="NYQ313" s="287"/>
      <c r="NYR313" s="287"/>
      <c r="NYS313" s="287"/>
      <c r="NYT313" s="287"/>
      <c r="NYU313" s="287"/>
      <c r="NYV313" s="287"/>
      <c r="NYW313" s="287"/>
      <c r="NYX313" s="287"/>
      <c r="NYY313" s="287"/>
      <c r="NYZ313" s="287"/>
      <c r="NZA313" s="287"/>
      <c r="NZB313" s="287"/>
      <c r="NZC313" s="287"/>
      <c r="NZD313" s="287"/>
      <c r="NZE313" s="287"/>
      <c r="NZF313" s="287"/>
      <c r="NZG313" s="287"/>
      <c r="NZH313" s="287"/>
      <c r="NZI313" s="287"/>
      <c r="NZJ313" s="287"/>
      <c r="NZK313" s="287"/>
      <c r="NZL313" s="287"/>
      <c r="NZM313" s="287"/>
      <c r="NZN313" s="287"/>
      <c r="NZO313" s="287"/>
      <c r="NZP313" s="287"/>
      <c r="NZQ313" s="287"/>
      <c r="NZR313" s="287"/>
      <c r="NZS313" s="287"/>
      <c r="NZT313" s="287"/>
      <c r="NZU313" s="287"/>
      <c r="NZV313" s="287"/>
      <c r="NZW313" s="287"/>
      <c r="NZX313" s="287"/>
      <c r="NZY313" s="287"/>
      <c r="NZZ313" s="287"/>
      <c r="OAA313" s="287"/>
      <c r="OAB313" s="287"/>
      <c r="OAC313" s="287"/>
      <c r="OAD313" s="287"/>
      <c r="OAE313" s="287"/>
      <c r="OAF313" s="287"/>
      <c r="OAG313" s="287"/>
      <c r="OAH313" s="287"/>
      <c r="OAI313" s="287"/>
      <c r="OAJ313" s="287"/>
      <c r="OAK313" s="287"/>
      <c r="OAL313" s="287"/>
      <c r="OAM313" s="287"/>
      <c r="OAN313" s="287"/>
      <c r="OAO313" s="287"/>
      <c r="OAP313" s="287"/>
      <c r="OAQ313" s="287"/>
      <c r="OAR313" s="287"/>
      <c r="OAS313" s="287"/>
      <c r="OAT313" s="287"/>
      <c r="OAU313" s="287"/>
      <c r="OAV313" s="287"/>
      <c r="OAW313" s="287"/>
      <c r="OAX313" s="287"/>
      <c r="OAY313" s="287"/>
      <c r="OAZ313" s="287"/>
      <c r="OBA313" s="287"/>
      <c r="OBB313" s="287"/>
      <c r="OBC313" s="287"/>
      <c r="OBD313" s="287"/>
      <c r="OBE313" s="287"/>
      <c r="OBF313" s="287"/>
      <c r="OBG313" s="287"/>
      <c r="OBH313" s="287"/>
      <c r="OBI313" s="287"/>
      <c r="OBJ313" s="287"/>
      <c r="OBK313" s="287"/>
      <c r="OBL313" s="287"/>
      <c r="OBM313" s="287"/>
      <c r="OBN313" s="287"/>
      <c r="OBO313" s="287"/>
      <c r="OBP313" s="287"/>
      <c r="OBQ313" s="287"/>
      <c r="OBR313" s="287"/>
      <c r="OBS313" s="287"/>
      <c r="OBT313" s="287"/>
      <c r="OBU313" s="287"/>
      <c r="OBV313" s="287"/>
      <c r="OBW313" s="287"/>
      <c r="OBX313" s="287"/>
      <c r="OBY313" s="287"/>
      <c r="OBZ313" s="287"/>
      <c r="OCA313" s="287"/>
      <c r="OCB313" s="287"/>
      <c r="OCC313" s="287"/>
      <c r="OCD313" s="287"/>
      <c r="OCE313" s="287"/>
      <c r="OCF313" s="287"/>
      <c r="OCG313" s="287"/>
      <c r="OCH313" s="287"/>
      <c r="OCI313" s="287"/>
      <c r="OCJ313" s="287"/>
      <c r="OCK313" s="287"/>
      <c r="OCL313" s="287"/>
      <c r="OCM313" s="287"/>
      <c r="OCN313" s="287"/>
      <c r="OCO313" s="287"/>
      <c r="OCP313" s="287"/>
      <c r="OCQ313" s="287"/>
      <c r="OCR313" s="287"/>
      <c r="OCS313" s="287"/>
      <c r="OCT313" s="287"/>
      <c r="OCU313" s="287"/>
      <c r="OCV313" s="287"/>
      <c r="OCW313" s="287"/>
      <c r="OCX313" s="287"/>
      <c r="OCY313" s="287"/>
      <c r="OCZ313" s="287"/>
      <c r="ODA313" s="287"/>
      <c r="ODB313" s="287"/>
      <c r="ODC313" s="287"/>
      <c r="ODD313" s="287"/>
      <c r="ODE313" s="287"/>
      <c r="ODF313" s="287"/>
      <c r="ODG313" s="287"/>
      <c r="ODH313" s="287"/>
      <c r="ODI313" s="287"/>
      <c r="ODJ313" s="287"/>
      <c r="ODK313" s="287"/>
      <c r="ODL313" s="287"/>
      <c r="ODM313" s="287"/>
      <c r="ODN313" s="287"/>
      <c r="ODO313" s="287"/>
      <c r="ODP313" s="287"/>
      <c r="ODQ313" s="287"/>
      <c r="ODR313" s="287"/>
      <c r="ODS313" s="287"/>
      <c r="ODT313" s="287"/>
      <c r="ODU313" s="287"/>
      <c r="ODV313" s="287"/>
      <c r="ODW313" s="287"/>
      <c r="ODX313" s="287"/>
      <c r="ODY313" s="287"/>
      <c r="ODZ313" s="287"/>
      <c r="OEA313" s="287"/>
      <c r="OEB313" s="287"/>
      <c r="OEC313" s="287"/>
      <c r="OED313" s="287"/>
      <c r="OEE313" s="287"/>
      <c r="OEF313" s="287"/>
      <c r="OEG313" s="287"/>
      <c r="OEH313" s="287"/>
      <c r="OEI313" s="287"/>
      <c r="OEJ313" s="287"/>
      <c r="OEK313" s="287"/>
      <c r="OEL313" s="287"/>
      <c r="OEM313" s="287"/>
      <c r="OEN313" s="287"/>
      <c r="OEO313" s="287"/>
      <c r="OEP313" s="287"/>
      <c r="OEQ313" s="287"/>
      <c r="OER313" s="287"/>
      <c r="OES313" s="287"/>
      <c r="OET313" s="287"/>
      <c r="OEU313" s="287"/>
      <c r="OEV313" s="287"/>
      <c r="OEW313" s="287"/>
      <c r="OEX313" s="287"/>
      <c r="OEY313" s="287"/>
      <c r="OEZ313" s="287"/>
      <c r="OFA313" s="287"/>
      <c r="OFB313" s="287"/>
      <c r="OFC313" s="287"/>
      <c r="OFD313" s="287"/>
      <c r="OFE313" s="287"/>
      <c r="OFF313" s="287"/>
      <c r="OFG313" s="287"/>
      <c r="OFH313" s="287"/>
      <c r="OFI313" s="287"/>
      <c r="OFJ313" s="287"/>
      <c r="OFK313" s="287"/>
      <c r="OFL313" s="287"/>
      <c r="OFM313" s="287"/>
      <c r="OFN313" s="287"/>
      <c r="OFO313" s="287"/>
      <c r="OFP313" s="287"/>
      <c r="OFQ313" s="287"/>
      <c r="OFR313" s="287"/>
      <c r="OFS313" s="287"/>
      <c r="OFT313" s="287"/>
      <c r="OFU313" s="287"/>
      <c r="OFV313" s="287"/>
      <c r="OFW313" s="287"/>
      <c r="OFX313" s="287"/>
      <c r="OFY313" s="287"/>
      <c r="OFZ313" s="287"/>
      <c r="OGA313" s="287"/>
      <c r="OGB313" s="287"/>
      <c r="OGC313" s="287"/>
      <c r="OGD313" s="287"/>
      <c r="OGE313" s="287"/>
      <c r="OGF313" s="287"/>
      <c r="OGG313" s="287"/>
      <c r="OGH313" s="287"/>
      <c r="OGI313" s="287"/>
      <c r="OGJ313" s="287"/>
      <c r="OGK313" s="287"/>
      <c r="OGL313" s="287"/>
      <c r="OGM313" s="287"/>
      <c r="OGN313" s="287"/>
      <c r="OGO313" s="287"/>
      <c r="OGP313" s="287"/>
      <c r="OGQ313" s="287"/>
      <c r="OGR313" s="287"/>
      <c r="OGS313" s="287"/>
      <c r="OGT313" s="287"/>
      <c r="OGU313" s="287"/>
      <c r="OGV313" s="287"/>
      <c r="OGW313" s="287"/>
      <c r="OGX313" s="287"/>
      <c r="OGY313" s="287"/>
      <c r="OGZ313" s="287"/>
      <c r="OHA313" s="287"/>
      <c r="OHB313" s="287"/>
      <c r="OHC313" s="287"/>
      <c r="OHD313" s="287"/>
      <c r="OHE313" s="287"/>
      <c r="OHF313" s="287"/>
      <c r="OHG313" s="287"/>
      <c r="OHH313" s="287"/>
      <c r="OHI313" s="287"/>
      <c r="OHJ313" s="287"/>
      <c r="OHK313" s="287"/>
      <c r="OHL313" s="287"/>
      <c r="OHM313" s="287"/>
      <c r="OHN313" s="287"/>
      <c r="OHO313" s="287"/>
      <c r="OHP313" s="287"/>
      <c r="OHQ313" s="287"/>
      <c r="OHR313" s="287"/>
      <c r="OHS313" s="287"/>
      <c r="OHT313" s="287"/>
      <c r="OHU313" s="287"/>
      <c r="OHV313" s="287"/>
      <c r="OHW313" s="287"/>
      <c r="OHX313" s="287"/>
      <c r="OHY313" s="287"/>
      <c r="OHZ313" s="287"/>
      <c r="OIA313" s="287"/>
      <c r="OIB313" s="287"/>
      <c r="OIC313" s="287"/>
      <c r="OID313" s="287"/>
      <c r="OIE313" s="287"/>
      <c r="OIF313" s="287"/>
      <c r="OIG313" s="287"/>
      <c r="OIH313" s="287"/>
      <c r="OII313" s="287"/>
      <c r="OIJ313" s="287"/>
      <c r="OIK313" s="287"/>
      <c r="OIL313" s="287"/>
      <c r="OIM313" s="287"/>
      <c r="OIN313" s="287"/>
      <c r="OIO313" s="287"/>
      <c r="OIP313" s="287"/>
      <c r="OIQ313" s="287"/>
      <c r="OIR313" s="287"/>
      <c r="OIS313" s="287"/>
      <c r="OIT313" s="287"/>
      <c r="OIU313" s="287"/>
      <c r="OIV313" s="287"/>
      <c r="OIW313" s="287"/>
      <c r="OIX313" s="287"/>
      <c r="OIY313" s="287"/>
      <c r="OIZ313" s="287"/>
      <c r="OJA313" s="287"/>
      <c r="OJB313" s="287"/>
      <c r="OJC313" s="287"/>
      <c r="OJD313" s="287"/>
      <c r="OJE313" s="287"/>
      <c r="OJF313" s="287"/>
      <c r="OJG313" s="287"/>
      <c r="OJH313" s="287"/>
      <c r="OJI313" s="287"/>
      <c r="OJJ313" s="287"/>
      <c r="OJK313" s="287"/>
      <c r="OJL313" s="287"/>
      <c r="OJM313" s="287"/>
      <c r="OJN313" s="287"/>
      <c r="OJO313" s="287"/>
      <c r="OJP313" s="287"/>
      <c r="OJQ313" s="287"/>
      <c r="OJR313" s="287"/>
      <c r="OJS313" s="287"/>
      <c r="OJT313" s="287"/>
      <c r="OJU313" s="287"/>
      <c r="OJV313" s="287"/>
      <c r="OJW313" s="287"/>
      <c r="OJX313" s="287"/>
      <c r="OJY313" s="287"/>
      <c r="OJZ313" s="287"/>
      <c r="OKA313" s="287"/>
      <c r="OKB313" s="287"/>
      <c r="OKC313" s="287"/>
      <c r="OKD313" s="287"/>
      <c r="OKE313" s="287"/>
      <c r="OKF313" s="287"/>
      <c r="OKG313" s="287"/>
      <c r="OKH313" s="287"/>
      <c r="OKI313" s="287"/>
      <c r="OKJ313" s="287"/>
      <c r="OKK313" s="287"/>
      <c r="OKL313" s="287"/>
      <c r="OKM313" s="287"/>
      <c r="OKN313" s="287"/>
      <c r="OKO313" s="287"/>
      <c r="OKP313" s="287"/>
      <c r="OKQ313" s="287"/>
      <c r="OKR313" s="287"/>
      <c r="OKS313" s="287"/>
      <c r="OKT313" s="287"/>
      <c r="OKU313" s="287"/>
      <c r="OKV313" s="287"/>
      <c r="OKW313" s="287"/>
      <c r="OKX313" s="287"/>
      <c r="OKY313" s="287"/>
      <c r="OKZ313" s="287"/>
      <c r="OLA313" s="287"/>
      <c r="OLB313" s="287"/>
      <c r="OLC313" s="287"/>
      <c r="OLD313" s="287"/>
      <c r="OLE313" s="287"/>
      <c r="OLF313" s="287"/>
      <c r="OLG313" s="287"/>
      <c r="OLH313" s="287"/>
      <c r="OLI313" s="287"/>
      <c r="OLJ313" s="287"/>
      <c r="OLK313" s="287"/>
      <c r="OLL313" s="287"/>
      <c r="OLM313" s="287"/>
      <c r="OLN313" s="287"/>
      <c r="OLO313" s="287"/>
      <c r="OLP313" s="287"/>
      <c r="OLQ313" s="287"/>
      <c r="OLR313" s="287"/>
      <c r="OLS313" s="287"/>
      <c r="OLT313" s="287"/>
      <c r="OLU313" s="287"/>
      <c r="OLV313" s="287"/>
      <c r="OLW313" s="287"/>
      <c r="OLX313" s="287"/>
      <c r="OLY313" s="287"/>
      <c r="OLZ313" s="287"/>
      <c r="OMA313" s="287"/>
      <c r="OMB313" s="287"/>
      <c r="OMC313" s="287"/>
      <c r="OMD313" s="287"/>
      <c r="OME313" s="287"/>
      <c r="OMF313" s="287"/>
      <c r="OMG313" s="287"/>
      <c r="OMH313" s="287"/>
      <c r="OMI313" s="287"/>
      <c r="OMJ313" s="287"/>
      <c r="OMK313" s="287"/>
      <c r="OML313" s="287"/>
      <c r="OMM313" s="287"/>
      <c r="OMN313" s="287"/>
      <c r="OMO313" s="287"/>
      <c r="OMP313" s="287"/>
      <c r="OMQ313" s="287"/>
      <c r="OMR313" s="287"/>
      <c r="OMS313" s="287"/>
      <c r="OMT313" s="287"/>
      <c r="OMU313" s="287"/>
      <c r="OMV313" s="287"/>
      <c r="OMW313" s="287"/>
      <c r="OMX313" s="287"/>
      <c r="OMY313" s="287"/>
      <c r="OMZ313" s="287"/>
      <c r="ONA313" s="287"/>
      <c r="ONB313" s="287"/>
      <c r="ONC313" s="287"/>
      <c r="OND313" s="287"/>
      <c r="ONE313" s="287"/>
      <c r="ONF313" s="287"/>
      <c r="ONG313" s="287"/>
      <c r="ONH313" s="287"/>
      <c r="ONI313" s="287"/>
      <c r="ONJ313" s="287"/>
      <c r="ONK313" s="287"/>
      <c r="ONL313" s="287"/>
      <c r="ONM313" s="287"/>
      <c r="ONN313" s="287"/>
      <c r="ONO313" s="287"/>
      <c r="ONP313" s="287"/>
      <c r="ONQ313" s="287"/>
      <c r="ONR313" s="287"/>
      <c r="ONS313" s="287"/>
      <c r="ONT313" s="287"/>
      <c r="ONU313" s="287"/>
      <c r="ONV313" s="287"/>
      <c r="ONW313" s="287"/>
      <c r="ONX313" s="287"/>
      <c r="ONY313" s="287"/>
      <c r="ONZ313" s="287"/>
      <c r="OOA313" s="287"/>
      <c r="OOB313" s="287"/>
      <c r="OOC313" s="287"/>
      <c r="OOD313" s="287"/>
      <c r="OOE313" s="287"/>
      <c r="OOF313" s="287"/>
      <c r="OOG313" s="287"/>
      <c r="OOH313" s="287"/>
      <c r="OOI313" s="287"/>
      <c r="OOJ313" s="287"/>
      <c r="OOK313" s="287"/>
      <c r="OOL313" s="287"/>
      <c r="OOM313" s="287"/>
      <c r="OON313" s="287"/>
      <c r="OOO313" s="287"/>
      <c r="OOP313" s="287"/>
      <c r="OOQ313" s="287"/>
      <c r="OOR313" s="287"/>
      <c r="OOS313" s="287"/>
      <c r="OOT313" s="287"/>
      <c r="OOU313" s="287"/>
      <c r="OOV313" s="287"/>
      <c r="OOW313" s="287"/>
      <c r="OOX313" s="287"/>
      <c r="OOY313" s="287"/>
      <c r="OOZ313" s="287"/>
      <c r="OPA313" s="287"/>
      <c r="OPB313" s="287"/>
      <c r="OPC313" s="287"/>
      <c r="OPD313" s="287"/>
      <c r="OPE313" s="287"/>
      <c r="OPF313" s="287"/>
      <c r="OPG313" s="287"/>
      <c r="OPH313" s="287"/>
      <c r="OPI313" s="287"/>
      <c r="OPJ313" s="287"/>
      <c r="OPK313" s="287"/>
      <c r="OPL313" s="287"/>
      <c r="OPM313" s="287"/>
      <c r="OPN313" s="287"/>
      <c r="OPO313" s="287"/>
      <c r="OPP313" s="287"/>
      <c r="OPQ313" s="287"/>
      <c r="OPR313" s="287"/>
      <c r="OPS313" s="287"/>
      <c r="OPT313" s="287"/>
      <c r="OPU313" s="287"/>
      <c r="OPV313" s="287"/>
      <c r="OPW313" s="287"/>
      <c r="OPX313" s="287"/>
      <c r="OPY313" s="287"/>
      <c r="OPZ313" s="287"/>
      <c r="OQA313" s="287"/>
      <c r="OQB313" s="287"/>
      <c r="OQC313" s="287"/>
      <c r="OQD313" s="287"/>
      <c r="OQE313" s="287"/>
      <c r="OQF313" s="287"/>
      <c r="OQG313" s="287"/>
      <c r="OQH313" s="287"/>
      <c r="OQI313" s="287"/>
      <c r="OQJ313" s="287"/>
      <c r="OQK313" s="287"/>
      <c r="OQL313" s="287"/>
      <c r="OQM313" s="287"/>
      <c r="OQN313" s="287"/>
      <c r="OQO313" s="287"/>
      <c r="OQP313" s="287"/>
      <c r="OQQ313" s="287"/>
      <c r="OQR313" s="287"/>
      <c r="OQS313" s="287"/>
      <c r="OQT313" s="287"/>
      <c r="OQU313" s="287"/>
      <c r="OQV313" s="287"/>
      <c r="OQW313" s="287"/>
      <c r="OQX313" s="287"/>
      <c r="OQY313" s="287"/>
      <c r="OQZ313" s="287"/>
      <c r="ORA313" s="287"/>
      <c r="ORB313" s="287"/>
      <c r="ORC313" s="287"/>
      <c r="ORD313" s="287"/>
      <c r="ORE313" s="287"/>
      <c r="ORF313" s="287"/>
      <c r="ORG313" s="287"/>
      <c r="ORH313" s="287"/>
      <c r="ORI313" s="287"/>
      <c r="ORJ313" s="287"/>
      <c r="ORK313" s="287"/>
      <c r="ORL313" s="287"/>
      <c r="ORM313" s="287"/>
      <c r="ORN313" s="287"/>
      <c r="ORO313" s="287"/>
      <c r="ORP313" s="287"/>
      <c r="ORQ313" s="287"/>
      <c r="ORR313" s="287"/>
      <c r="ORS313" s="287"/>
      <c r="ORT313" s="287"/>
      <c r="ORU313" s="287"/>
      <c r="ORV313" s="287"/>
      <c r="ORW313" s="287"/>
      <c r="ORX313" s="287"/>
      <c r="ORY313" s="287"/>
      <c r="ORZ313" s="287"/>
      <c r="OSA313" s="287"/>
      <c r="OSB313" s="287"/>
      <c r="OSC313" s="287"/>
      <c r="OSD313" s="287"/>
      <c r="OSE313" s="287"/>
      <c r="OSF313" s="287"/>
      <c r="OSG313" s="287"/>
      <c r="OSH313" s="287"/>
      <c r="OSI313" s="287"/>
      <c r="OSJ313" s="287"/>
      <c r="OSK313" s="287"/>
      <c r="OSL313" s="287"/>
      <c r="OSM313" s="287"/>
      <c r="OSN313" s="287"/>
      <c r="OSO313" s="287"/>
      <c r="OSP313" s="287"/>
      <c r="OSQ313" s="287"/>
      <c r="OSR313" s="287"/>
      <c r="OSS313" s="287"/>
      <c r="OST313" s="287"/>
      <c r="OSU313" s="287"/>
      <c r="OSV313" s="287"/>
      <c r="OSW313" s="287"/>
      <c r="OSX313" s="287"/>
      <c r="OSY313" s="287"/>
      <c r="OSZ313" s="287"/>
      <c r="OTA313" s="287"/>
      <c r="OTB313" s="287"/>
      <c r="OTC313" s="287"/>
      <c r="OTD313" s="287"/>
      <c r="OTE313" s="287"/>
      <c r="OTF313" s="287"/>
      <c r="OTG313" s="287"/>
      <c r="OTH313" s="287"/>
      <c r="OTI313" s="287"/>
      <c r="OTJ313" s="287"/>
      <c r="OTK313" s="287"/>
      <c r="OTL313" s="287"/>
      <c r="OTM313" s="287"/>
      <c r="OTN313" s="287"/>
      <c r="OTO313" s="287"/>
      <c r="OTP313" s="287"/>
      <c r="OTQ313" s="287"/>
      <c r="OTR313" s="287"/>
      <c r="OTS313" s="287"/>
      <c r="OTT313" s="287"/>
      <c r="OTU313" s="287"/>
      <c r="OTV313" s="287"/>
      <c r="OTW313" s="287"/>
      <c r="OTX313" s="287"/>
      <c r="OTY313" s="287"/>
      <c r="OTZ313" s="287"/>
      <c r="OUA313" s="287"/>
      <c r="OUB313" s="287"/>
      <c r="OUC313" s="287"/>
      <c r="OUD313" s="287"/>
      <c r="OUE313" s="287"/>
      <c r="OUF313" s="287"/>
      <c r="OUG313" s="287"/>
      <c r="OUH313" s="287"/>
      <c r="OUI313" s="287"/>
      <c r="OUJ313" s="287"/>
      <c r="OUK313" s="287"/>
      <c r="OUL313" s="287"/>
      <c r="OUM313" s="287"/>
      <c r="OUN313" s="287"/>
      <c r="OUO313" s="287"/>
      <c r="OUP313" s="287"/>
      <c r="OUQ313" s="287"/>
      <c r="OUR313" s="287"/>
      <c r="OUS313" s="287"/>
      <c r="OUT313" s="287"/>
      <c r="OUU313" s="287"/>
      <c r="OUV313" s="287"/>
      <c r="OUW313" s="287"/>
      <c r="OUX313" s="287"/>
      <c r="OUY313" s="287"/>
      <c r="OUZ313" s="287"/>
      <c r="OVA313" s="287"/>
      <c r="OVB313" s="287"/>
      <c r="OVC313" s="287"/>
      <c r="OVD313" s="287"/>
      <c r="OVE313" s="287"/>
      <c r="OVF313" s="287"/>
      <c r="OVG313" s="287"/>
      <c r="OVH313" s="287"/>
      <c r="OVI313" s="287"/>
      <c r="OVJ313" s="287"/>
      <c r="OVK313" s="287"/>
      <c r="OVL313" s="287"/>
      <c r="OVM313" s="287"/>
      <c r="OVN313" s="287"/>
      <c r="OVO313" s="287"/>
      <c r="OVP313" s="287"/>
      <c r="OVQ313" s="287"/>
      <c r="OVR313" s="287"/>
      <c r="OVS313" s="287"/>
      <c r="OVT313" s="287"/>
      <c r="OVU313" s="287"/>
      <c r="OVV313" s="287"/>
      <c r="OVW313" s="287"/>
      <c r="OVX313" s="287"/>
      <c r="OVY313" s="287"/>
      <c r="OVZ313" s="287"/>
      <c r="OWA313" s="287"/>
      <c r="OWB313" s="287"/>
      <c r="OWC313" s="287"/>
      <c r="OWD313" s="287"/>
      <c r="OWE313" s="287"/>
      <c r="OWF313" s="287"/>
      <c r="OWG313" s="287"/>
      <c r="OWH313" s="287"/>
      <c r="OWI313" s="287"/>
      <c r="OWJ313" s="287"/>
      <c r="OWK313" s="287"/>
      <c r="OWL313" s="287"/>
      <c r="OWM313" s="287"/>
      <c r="OWN313" s="287"/>
      <c r="OWO313" s="287"/>
      <c r="OWP313" s="287"/>
      <c r="OWQ313" s="287"/>
      <c r="OWR313" s="287"/>
      <c r="OWS313" s="287"/>
      <c r="OWT313" s="287"/>
      <c r="OWU313" s="287"/>
      <c r="OWV313" s="287"/>
      <c r="OWW313" s="287"/>
      <c r="OWX313" s="287"/>
      <c r="OWY313" s="287"/>
      <c r="OWZ313" s="287"/>
      <c r="OXA313" s="287"/>
      <c r="OXB313" s="287"/>
      <c r="OXC313" s="287"/>
      <c r="OXD313" s="287"/>
      <c r="OXE313" s="287"/>
      <c r="OXF313" s="287"/>
      <c r="OXG313" s="287"/>
      <c r="OXH313" s="287"/>
      <c r="OXI313" s="287"/>
      <c r="OXJ313" s="287"/>
      <c r="OXK313" s="287"/>
      <c r="OXL313" s="287"/>
      <c r="OXM313" s="287"/>
      <c r="OXN313" s="287"/>
      <c r="OXO313" s="287"/>
      <c r="OXP313" s="287"/>
      <c r="OXQ313" s="287"/>
      <c r="OXR313" s="287"/>
      <c r="OXS313" s="287"/>
      <c r="OXT313" s="287"/>
      <c r="OXU313" s="287"/>
      <c r="OXV313" s="287"/>
      <c r="OXW313" s="287"/>
      <c r="OXX313" s="287"/>
      <c r="OXY313" s="287"/>
      <c r="OXZ313" s="287"/>
      <c r="OYA313" s="287"/>
      <c r="OYB313" s="287"/>
      <c r="OYC313" s="287"/>
      <c r="OYD313" s="287"/>
      <c r="OYE313" s="287"/>
      <c r="OYF313" s="287"/>
      <c r="OYG313" s="287"/>
      <c r="OYH313" s="287"/>
      <c r="OYI313" s="287"/>
      <c r="OYJ313" s="287"/>
      <c r="OYK313" s="287"/>
      <c r="OYL313" s="287"/>
      <c r="OYM313" s="287"/>
      <c r="OYN313" s="287"/>
      <c r="OYO313" s="287"/>
      <c r="OYP313" s="287"/>
      <c r="OYQ313" s="287"/>
      <c r="OYR313" s="287"/>
      <c r="OYS313" s="287"/>
      <c r="OYT313" s="287"/>
      <c r="OYU313" s="287"/>
      <c r="OYV313" s="287"/>
      <c r="OYW313" s="287"/>
      <c r="OYX313" s="287"/>
      <c r="OYY313" s="287"/>
      <c r="OYZ313" s="287"/>
      <c r="OZA313" s="287"/>
      <c r="OZB313" s="287"/>
      <c r="OZC313" s="287"/>
      <c r="OZD313" s="287"/>
      <c r="OZE313" s="287"/>
      <c r="OZF313" s="287"/>
      <c r="OZG313" s="287"/>
      <c r="OZH313" s="287"/>
      <c r="OZI313" s="287"/>
      <c r="OZJ313" s="287"/>
      <c r="OZK313" s="287"/>
      <c r="OZL313" s="287"/>
      <c r="OZM313" s="287"/>
      <c r="OZN313" s="287"/>
      <c r="OZO313" s="287"/>
      <c r="OZP313" s="287"/>
      <c r="OZQ313" s="287"/>
      <c r="OZR313" s="287"/>
      <c r="OZS313" s="287"/>
      <c r="OZT313" s="287"/>
      <c r="OZU313" s="287"/>
      <c r="OZV313" s="287"/>
      <c r="OZW313" s="287"/>
      <c r="OZX313" s="287"/>
      <c r="OZY313" s="287"/>
      <c r="OZZ313" s="287"/>
      <c r="PAA313" s="287"/>
      <c r="PAB313" s="287"/>
      <c r="PAC313" s="287"/>
      <c r="PAD313" s="287"/>
      <c r="PAE313" s="287"/>
      <c r="PAF313" s="287"/>
      <c r="PAG313" s="287"/>
      <c r="PAH313" s="287"/>
      <c r="PAI313" s="287"/>
      <c r="PAJ313" s="287"/>
      <c r="PAK313" s="287"/>
      <c r="PAL313" s="287"/>
      <c r="PAM313" s="287"/>
      <c r="PAN313" s="287"/>
      <c r="PAO313" s="287"/>
      <c r="PAP313" s="287"/>
      <c r="PAQ313" s="287"/>
      <c r="PAR313" s="287"/>
      <c r="PAS313" s="287"/>
      <c r="PAT313" s="287"/>
      <c r="PAU313" s="287"/>
      <c r="PAV313" s="287"/>
      <c r="PAW313" s="287"/>
      <c r="PAX313" s="287"/>
      <c r="PAY313" s="287"/>
      <c r="PAZ313" s="287"/>
      <c r="PBA313" s="287"/>
      <c r="PBB313" s="287"/>
      <c r="PBC313" s="287"/>
      <c r="PBD313" s="287"/>
      <c r="PBE313" s="287"/>
      <c r="PBF313" s="287"/>
      <c r="PBG313" s="287"/>
      <c r="PBH313" s="287"/>
      <c r="PBI313" s="287"/>
      <c r="PBJ313" s="287"/>
      <c r="PBK313" s="287"/>
      <c r="PBL313" s="287"/>
      <c r="PBM313" s="287"/>
      <c r="PBN313" s="287"/>
      <c r="PBO313" s="287"/>
      <c r="PBP313" s="287"/>
      <c r="PBQ313" s="287"/>
      <c r="PBR313" s="287"/>
      <c r="PBS313" s="287"/>
      <c r="PBT313" s="287"/>
      <c r="PBU313" s="287"/>
      <c r="PBV313" s="287"/>
      <c r="PBW313" s="287"/>
      <c r="PBX313" s="287"/>
      <c r="PBY313" s="287"/>
      <c r="PBZ313" s="287"/>
      <c r="PCA313" s="287"/>
      <c r="PCB313" s="287"/>
      <c r="PCC313" s="287"/>
      <c r="PCD313" s="287"/>
      <c r="PCE313" s="287"/>
      <c r="PCF313" s="287"/>
      <c r="PCG313" s="287"/>
      <c r="PCH313" s="287"/>
      <c r="PCI313" s="287"/>
      <c r="PCJ313" s="287"/>
      <c r="PCK313" s="287"/>
      <c r="PCL313" s="287"/>
      <c r="PCM313" s="287"/>
      <c r="PCN313" s="287"/>
      <c r="PCO313" s="287"/>
      <c r="PCP313" s="287"/>
      <c r="PCQ313" s="287"/>
      <c r="PCR313" s="287"/>
      <c r="PCS313" s="287"/>
      <c r="PCT313" s="287"/>
      <c r="PCU313" s="287"/>
      <c r="PCV313" s="287"/>
      <c r="PCW313" s="287"/>
      <c r="PCX313" s="287"/>
      <c r="PCY313" s="287"/>
      <c r="PCZ313" s="287"/>
      <c r="PDA313" s="287"/>
      <c r="PDB313" s="287"/>
      <c r="PDC313" s="287"/>
      <c r="PDD313" s="287"/>
      <c r="PDE313" s="287"/>
      <c r="PDF313" s="287"/>
      <c r="PDG313" s="287"/>
      <c r="PDH313" s="287"/>
      <c r="PDI313" s="287"/>
      <c r="PDJ313" s="287"/>
      <c r="PDK313" s="287"/>
      <c r="PDL313" s="287"/>
      <c r="PDM313" s="287"/>
      <c r="PDN313" s="287"/>
      <c r="PDO313" s="287"/>
      <c r="PDP313" s="287"/>
      <c r="PDQ313" s="287"/>
      <c r="PDR313" s="287"/>
      <c r="PDS313" s="287"/>
      <c r="PDT313" s="287"/>
      <c r="PDU313" s="287"/>
      <c r="PDV313" s="287"/>
      <c r="PDW313" s="287"/>
      <c r="PDX313" s="287"/>
      <c r="PDY313" s="287"/>
      <c r="PDZ313" s="287"/>
      <c r="PEA313" s="287"/>
      <c r="PEB313" s="287"/>
      <c r="PEC313" s="287"/>
      <c r="PED313" s="287"/>
      <c r="PEE313" s="287"/>
      <c r="PEF313" s="287"/>
      <c r="PEG313" s="287"/>
      <c r="PEH313" s="287"/>
      <c r="PEI313" s="287"/>
      <c r="PEJ313" s="287"/>
      <c r="PEK313" s="287"/>
      <c r="PEL313" s="287"/>
      <c r="PEM313" s="287"/>
      <c r="PEN313" s="287"/>
      <c r="PEO313" s="287"/>
      <c r="PEP313" s="287"/>
      <c r="PEQ313" s="287"/>
      <c r="PER313" s="287"/>
      <c r="PES313" s="287"/>
      <c r="PET313" s="287"/>
      <c r="PEU313" s="287"/>
      <c r="PEV313" s="287"/>
      <c r="PEW313" s="287"/>
      <c r="PEX313" s="287"/>
      <c r="PEY313" s="287"/>
      <c r="PEZ313" s="287"/>
      <c r="PFA313" s="287"/>
      <c r="PFB313" s="287"/>
      <c r="PFC313" s="287"/>
      <c r="PFD313" s="287"/>
      <c r="PFE313" s="287"/>
      <c r="PFF313" s="287"/>
      <c r="PFG313" s="287"/>
      <c r="PFH313" s="287"/>
      <c r="PFI313" s="287"/>
      <c r="PFJ313" s="287"/>
      <c r="PFK313" s="287"/>
      <c r="PFL313" s="287"/>
      <c r="PFM313" s="287"/>
      <c r="PFN313" s="287"/>
      <c r="PFO313" s="287"/>
      <c r="PFP313" s="287"/>
      <c r="PFQ313" s="287"/>
      <c r="PFR313" s="287"/>
      <c r="PFS313" s="287"/>
      <c r="PFT313" s="287"/>
      <c r="PFU313" s="287"/>
      <c r="PFV313" s="287"/>
      <c r="PFW313" s="287"/>
      <c r="PFX313" s="287"/>
      <c r="PFY313" s="287"/>
      <c r="PFZ313" s="287"/>
      <c r="PGA313" s="287"/>
      <c r="PGB313" s="287"/>
      <c r="PGC313" s="287"/>
      <c r="PGD313" s="287"/>
      <c r="PGE313" s="287"/>
      <c r="PGF313" s="287"/>
      <c r="PGG313" s="287"/>
      <c r="PGH313" s="287"/>
      <c r="PGI313" s="287"/>
      <c r="PGJ313" s="287"/>
      <c r="PGK313" s="287"/>
      <c r="PGL313" s="287"/>
      <c r="PGM313" s="287"/>
      <c r="PGN313" s="287"/>
      <c r="PGO313" s="287"/>
      <c r="PGP313" s="287"/>
      <c r="PGQ313" s="287"/>
      <c r="PGR313" s="287"/>
      <c r="PGS313" s="287"/>
      <c r="PGT313" s="287"/>
      <c r="PGU313" s="287"/>
      <c r="PGV313" s="287"/>
      <c r="PGW313" s="287"/>
      <c r="PGX313" s="287"/>
      <c r="PGY313" s="287"/>
      <c r="PGZ313" s="287"/>
      <c r="PHA313" s="287"/>
      <c r="PHB313" s="287"/>
      <c r="PHC313" s="287"/>
      <c r="PHD313" s="287"/>
      <c r="PHE313" s="287"/>
      <c r="PHF313" s="287"/>
      <c r="PHG313" s="287"/>
      <c r="PHH313" s="287"/>
      <c r="PHI313" s="287"/>
      <c r="PHJ313" s="287"/>
      <c r="PHK313" s="287"/>
      <c r="PHL313" s="287"/>
      <c r="PHM313" s="287"/>
      <c r="PHN313" s="287"/>
      <c r="PHO313" s="287"/>
      <c r="PHP313" s="287"/>
      <c r="PHQ313" s="287"/>
      <c r="PHR313" s="287"/>
      <c r="PHS313" s="287"/>
      <c r="PHT313" s="287"/>
      <c r="PHU313" s="287"/>
      <c r="PHV313" s="287"/>
      <c r="PHW313" s="287"/>
      <c r="PHX313" s="287"/>
      <c r="PHY313" s="287"/>
      <c r="PHZ313" s="287"/>
      <c r="PIA313" s="287"/>
      <c r="PIB313" s="287"/>
      <c r="PIC313" s="287"/>
      <c r="PID313" s="287"/>
      <c r="PIE313" s="287"/>
      <c r="PIF313" s="287"/>
      <c r="PIG313" s="287"/>
      <c r="PIH313" s="287"/>
      <c r="PII313" s="287"/>
      <c r="PIJ313" s="287"/>
      <c r="PIK313" s="287"/>
      <c r="PIL313" s="287"/>
      <c r="PIM313" s="287"/>
      <c r="PIN313" s="287"/>
      <c r="PIO313" s="287"/>
      <c r="PIP313" s="287"/>
      <c r="PIQ313" s="287"/>
      <c r="PIR313" s="287"/>
      <c r="PIS313" s="287"/>
      <c r="PIT313" s="287"/>
      <c r="PIU313" s="287"/>
      <c r="PIV313" s="287"/>
      <c r="PIW313" s="287"/>
      <c r="PIX313" s="287"/>
      <c r="PIY313" s="287"/>
      <c r="PIZ313" s="287"/>
      <c r="PJA313" s="287"/>
      <c r="PJB313" s="287"/>
      <c r="PJC313" s="287"/>
      <c r="PJD313" s="287"/>
      <c r="PJE313" s="287"/>
      <c r="PJF313" s="287"/>
      <c r="PJG313" s="287"/>
      <c r="PJH313" s="287"/>
      <c r="PJI313" s="287"/>
      <c r="PJJ313" s="287"/>
      <c r="PJK313" s="287"/>
      <c r="PJL313" s="287"/>
      <c r="PJM313" s="287"/>
      <c r="PJN313" s="287"/>
      <c r="PJO313" s="287"/>
      <c r="PJP313" s="287"/>
      <c r="PJQ313" s="287"/>
      <c r="PJR313" s="287"/>
      <c r="PJS313" s="287"/>
      <c r="PJT313" s="287"/>
      <c r="PJU313" s="287"/>
      <c r="PJV313" s="287"/>
      <c r="PJW313" s="287"/>
      <c r="PJX313" s="287"/>
      <c r="PJY313" s="287"/>
      <c r="PJZ313" s="287"/>
      <c r="PKA313" s="287"/>
      <c r="PKB313" s="287"/>
      <c r="PKC313" s="287"/>
      <c r="PKD313" s="287"/>
      <c r="PKE313" s="287"/>
      <c r="PKF313" s="287"/>
      <c r="PKG313" s="287"/>
      <c r="PKH313" s="287"/>
      <c r="PKI313" s="287"/>
      <c r="PKJ313" s="287"/>
      <c r="PKK313" s="287"/>
      <c r="PKL313" s="287"/>
      <c r="PKM313" s="287"/>
      <c r="PKN313" s="287"/>
      <c r="PKO313" s="287"/>
      <c r="PKP313" s="287"/>
      <c r="PKQ313" s="287"/>
      <c r="PKR313" s="287"/>
      <c r="PKS313" s="287"/>
      <c r="PKT313" s="287"/>
      <c r="PKU313" s="287"/>
      <c r="PKV313" s="287"/>
      <c r="PKW313" s="287"/>
      <c r="PKX313" s="287"/>
      <c r="PKY313" s="287"/>
      <c r="PKZ313" s="287"/>
      <c r="PLA313" s="287"/>
      <c r="PLB313" s="287"/>
      <c r="PLC313" s="287"/>
      <c r="PLD313" s="287"/>
      <c r="PLE313" s="287"/>
      <c r="PLF313" s="287"/>
      <c r="PLG313" s="287"/>
      <c r="PLH313" s="287"/>
      <c r="PLI313" s="287"/>
      <c r="PLJ313" s="287"/>
      <c r="PLK313" s="287"/>
      <c r="PLL313" s="287"/>
      <c r="PLM313" s="287"/>
      <c r="PLN313" s="287"/>
      <c r="PLO313" s="287"/>
      <c r="PLP313" s="287"/>
      <c r="PLQ313" s="287"/>
      <c r="PLR313" s="287"/>
      <c r="PLS313" s="287"/>
      <c r="PLT313" s="287"/>
      <c r="PLU313" s="287"/>
      <c r="PLV313" s="287"/>
      <c r="PLW313" s="287"/>
      <c r="PLX313" s="287"/>
      <c r="PLY313" s="287"/>
      <c r="PLZ313" s="287"/>
      <c r="PMA313" s="287"/>
      <c r="PMB313" s="287"/>
      <c r="PMC313" s="287"/>
      <c r="PMD313" s="287"/>
      <c r="PME313" s="287"/>
      <c r="PMF313" s="287"/>
      <c r="PMG313" s="287"/>
      <c r="PMH313" s="287"/>
      <c r="PMI313" s="287"/>
      <c r="PMJ313" s="287"/>
      <c r="PMK313" s="287"/>
      <c r="PML313" s="287"/>
      <c r="PMM313" s="287"/>
      <c r="PMN313" s="287"/>
      <c r="PMO313" s="287"/>
      <c r="PMP313" s="287"/>
      <c r="PMQ313" s="287"/>
      <c r="PMR313" s="287"/>
      <c r="PMS313" s="287"/>
      <c r="PMT313" s="287"/>
      <c r="PMU313" s="287"/>
      <c r="PMV313" s="287"/>
      <c r="PMW313" s="287"/>
      <c r="PMX313" s="287"/>
      <c r="PMY313" s="287"/>
      <c r="PMZ313" s="287"/>
      <c r="PNA313" s="287"/>
      <c r="PNB313" s="287"/>
      <c r="PNC313" s="287"/>
      <c r="PND313" s="287"/>
      <c r="PNE313" s="287"/>
      <c r="PNF313" s="287"/>
      <c r="PNG313" s="287"/>
      <c r="PNH313" s="287"/>
      <c r="PNI313" s="287"/>
      <c r="PNJ313" s="287"/>
      <c r="PNK313" s="287"/>
      <c r="PNL313" s="287"/>
      <c r="PNM313" s="287"/>
      <c r="PNN313" s="287"/>
      <c r="PNO313" s="287"/>
      <c r="PNP313" s="287"/>
      <c r="PNQ313" s="287"/>
      <c r="PNR313" s="287"/>
      <c r="PNS313" s="287"/>
      <c r="PNT313" s="287"/>
      <c r="PNU313" s="287"/>
      <c r="PNV313" s="287"/>
      <c r="PNW313" s="287"/>
      <c r="PNX313" s="287"/>
      <c r="PNY313" s="287"/>
      <c r="PNZ313" s="287"/>
      <c r="POA313" s="287"/>
      <c r="POB313" s="287"/>
      <c r="POC313" s="287"/>
      <c r="POD313" s="287"/>
      <c r="POE313" s="287"/>
      <c r="POF313" s="287"/>
      <c r="POG313" s="287"/>
      <c r="POH313" s="287"/>
      <c r="POI313" s="287"/>
      <c r="POJ313" s="287"/>
      <c r="POK313" s="287"/>
      <c r="POL313" s="287"/>
      <c r="POM313" s="287"/>
      <c r="PON313" s="287"/>
      <c r="POO313" s="287"/>
      <c r="POP313" s="287"/>
      <c r="POQ313" s="287"/>
      <c r="POR313" s="287"/>
      <c r="POS313" s="287"/>
      <c r="POT313" s="287"/>
      <c r="POU313" s="287"/>
      <c r="POV313" s="287"/>
      <c r="POW313" s="287"/>
      <c r="POX313" s="287"/>
      <c r="POY313" s="287"/>
      <c r="POZ313" s="287"/>
      <c r="PPA313" s="287"/>
      <c r="PPB313" s="287"/>
      <c r="PPC313" s="287"/>
      <c r="PPD313" s="287"/>
      <c r="PPE313" s="287"/>
      <c r="PPF313" s="287"/>
      <c r="PPG313" s="287"/>
      <c r="PPH313" s="287"/>
      <c r="PPI313" s="287"/>
      <c r="PPJ313" s="287"/>
      <c r="PPK313" s="287"/>
      <c r="PPL313" s="287"/>
      <c r="PPM313" s="287"/>
      <c r="PPN313" s="287"/>
      <c r="PPO313" s="287"/>
      <c r="PPP313" s="287"/>
      <c r="PPQ313" s="287"/>
      <c r="PPR313" s="287"/>
      <c r="PPS313" s="287"/>
      <c r="PPT313" s="287"/>
      <c r="PPU313" s="287"/>
      <c r="PPV313" s="287"/>
      <c r="PPW313" s="287"/>
      <c r="PPX313" s="287"/>
      <c r="PPY313" s="287"/>
      <c r="PPZ313" s="287"/>
      <c r="PQA313" s="287"/>
      <c r="PQB313" s="287"/>
      <c r="PQC313" s="287"/>
      <c r="PQD313" s="287"/>
      <c r="PQE313" s="287"/>
      <c r="PQF313" s="287"/>
      <c r="PQG313" s="287"/>
      <c r="PQH313" s="287"/>
      <c r="PQI313" s="287"/>
      <c r="PQJ313" s="287"/>
      <c r="PQK313" s="287"/>
      <c r="PQL313" s="287"/>
      <c r="PQM313" s="287"/>
      <c r="PQN313" s="287"/>
      <c r="PQO313" s="287"/>
      <c r="PQP313" s="287"/>
      <c r="PQQ313" s="287"/>
      <c r="PQR313" s="287"/>
      <c r="PQS313" s="287"/>
      <c r="PQT313" s="287"/>
      <c r="PQU313" s="287"/>
      <c r="PQV313" s="287"/>
      <c r="PQW313" s="287"/>
      <c r="PQX313" s="287"/>
      <c r="PQY313" s="287"/>
      <c r="PQZ313" s="287"/>
      <c r="PRA313" s="287"/>
      <c r="PRB313" s="287"/>
      <c r="PRC313" s="287"/>
      <c r="PRD313" s="287"/>
      <c r="PRE313" s="287"/>
      <c r="PRF313" s="287"/>
      <c r="PRG313" s="287"/>
      <c r="PRH313" s="287"/>
      <c r="PRI313" s="287"/>
      <c r="PRJ313" s="287"/>
      <c r="PRK313" s="287"/>
      <c r="PRL313" s="287"/>
      <c r="PRM313" s="287"/>
      <c r="PRN313" s="287"/>
      <c r="PRO313" s="287"/>
      <c r="PRP313" s="287"/>
      <c r="PRQ313" s="287"/>
      <c r="PRR313" s="287"/>
      <c r="PRS313" s="287"/>
      <c r="PRT313" s="287"/>
      <c r="PRU313" s="287"/>
      <c r="PRV313" s="287"/>
      <c r="PRW313" s="287"/>
      <c r="PRX313" s="287"/>
      <c r="PRY313" s="287"/>
      <c r="PRZ313" s="287"/>
      <c r="PSA313" s="287"/>
      <c r="PSB313" s="287"/>
      <c r="PSC313" s="287"/>
      <c r="PSD313" s="287"/>
      <c r="PSE313" s="287"/>
      <c r="PSF313" s="287"/>
      <c r="PSG313" s="287"/>
      <c r="PSH313" s="287"/>
      <c r="PSI313" s="287"/>
      <c r="PSJ313" s="287"/>
      <c r="PSK313" s="287"/>
      <c r="PSL313" s="287"/>
      <c r="PSM313" s="287"/>
      <c r="PSN313" s="287"/>
      <c r="PSO313" s="287"/>
      <c r="PSP313" s="287"/>
      <c r="PSQ313" s="287"/>
      <c r="PSR313" s="287"/>
      <c r="PSS313" s="287"/>
      <c r="PST313" s="287"/>
      <c r="PSU313" s="287"/>
      <c r="PSV313" s="287"/>
      <c r="PSW313" s="287"/>
      <c r="PSX313" s="287"/>
      <c r="PSY313" s="287"/>
      <c r="PSZ313" s="287"/>
      <c r="PTA313" s="287"/>
      <c r="PTB313" s="287"/>
      <c r="PTC313" s="287"/>
      <c r="PTD313" s="287"/>
      <c r="PTE313" s="287"/>
      <c r="PTF313" s="287"/>
      <c r="PTG313" s="287"/>
      <c r="PTH313" s="287"/>
      <c r="PTI313" s="287"/>
      <c r="PTJ313" s="287"/>
      <c r="PTK313" s="287"/>
      <c r="PTL313" s="287"/>
      <c r="PTM313" s="287"/>
      <c r="PTN313" s="287"/>
      <c r="PTO313" s="287"/>
      <c r="PTP313" s="287"/>
      <c r="PTQ313" s="287"/>
      <c r="PTR313" s="287"/>
      <c r="PTS313" s="287"/>
      <c r="PTT313" s="287"/>
      <c r="PTU313" s="287"/>
      <c r="PTV313" s="287"/>
      <c r="PTW313" s="287"/>
      <c r="PTX313" s="287"/>
      <c r="PTY313" s="287"/>
      <c r="PTZ313" s="287"/>
      <c r="PUA313" s="287"/>
      <c r="PUB313" s="287"/>
      <c r="PUC313" s="287"/>
      <c r="PUD313" s="287"/>
      <c r="PUE313" s="287"/>
      <c r="PUF313" s="287"/>
      <c r="PUG313" s="287"/>
      <c r="PUH313" s="287"/>
      <c r="PUI313" s="287"/>
      <c r="PUJ313" s="287"/>
      <c r="PUK313" s="287"/>
      <c r="PUL313" s="287"/>
      <c r="PUM313" s="287"/>
      <c r="PUN313" s="287"/>
      <c r="PUO313" s="287"/>
      <c r="PUP313" s="287"/>
      <c r="PUQ313" s="287"/>
      <c r="PUR313" s="287"/>
      <c r="PUS313" s="287"/>
      <c r="PUT313" s="287"/>
      <c r="PUU313" s="287"/>
      <c r="PUV313" s="287"/>
      <c r="PUW313" s="287"/>
      <c r="PUX313" s="287"/>
      <c r="PUY313" s="287"/>
      <c r="PUZ313" s="287"/>
      <c r="PVA313" s="287"/>
      <c r="PVB313" s="287"/>
      <c r="PVC313" s="287"/>
      <c r="PVD313" s="287"/>
      <c r="PVE313" s="287"/>
      <c r="PVF313" s="287"/>
      <c r="PVG313" s="287"/>
      <c r="PVH313" s="287"/>
      <c r="PVI313" s="287"/>
      <c r="PVJ313" s="287"/>
      <c r="PVK313" s="287"/>
      <c r="PVL313" s="287"/>
      <c r="PVM313" s="287"/>
      <c r="PVN313" s="287"/>
      <c r="PVO313" s="287"/>
      <c r="PVP313" s="287"/>
      <c r="PVQ313" s="287"/>
      <c r="PVR313" s="287"/>
      <c r="PVS313" s="287"/>
      <c r="PVT313" s="287"/>
      <c r="PVU313" s="287"/>
      <c r="PVV313" s="287"/>
      <c r="PVW313" s="287"/>
      <c r="PVX313" s="287"/>
      <c r="PVY313" s="287"/>
      <c r="PVZ313" s="287"/>
      <c r="PWA313" s="287"/>
      <c r="PWB313" s="287"/>
      <c r="PWC313" s="287"/>
      <c r="PWD313" s="287"/>
      <c r="PWE313" s="287"/>
      <c r="PWF313" s="287"/>
      <c r="PWG313" s="287"/>
      <c r="PWH313" s="287"/>
      <c r="PWI313" s="287"/>
      <c r="PWJ313" s="287"/>
      <c r="PWK313" s="287"/>
      <c r="PWL313" s="287"/>
      <c r="PWM313" s="287"/>
      <c r="PWN313" s="287"/>
      <c r="PWO313" s="287"/>
      <c r="PWP313" s="287"/>
      <c r="PWQ313" s="287"/>
      <c r="PWR313" s="287"/>
      <c r="PWS313" s="287"/>
      <c r="PWT313" s="287"/>
      <c r="PWU313" s="287"/>
      <c r="PWV313" s="287"/>
      <c r="PWW313" s="287"/>
      <c r="PWX313" s="287"/>
      <c r="PWY313" s="287"/>
      <c r="PWZ313" s="287"/>
      <c r="PXA313" s="287"/>
      <c r="PXB313" s="287"/>
      <c r="PXC313" s="287"/>
      <c r="PXD313" s="287"/>
      <c r="PXE313" s="287"/>
      <c r="PXF313" s="287"/>
      <c r="PXG313" s="287"/>
      <c r="PXH313" s="287"/>
      <c r="PXI313" s="287"/>
      <c r="PXJ313" s="287"/>
      <c r="PXK313" s="287"/>
      <c r="PXL313" s="287"/>
      <c r="PXM313" s="287"/>
      <c r="PXN313" s="287"/>
      <c r="PXO313" s="287"/>
      <c r="PXP313" s="287"/>
      <c r="PXQ313" s="287"/>
      <c r="PXR313" s="287"/>
      <c r="PXS313" s="287"/>
      <c r="PXT313" s="287"/>
      <c r="PXU313" s="287"/>
      <c r="PXV313" s="287"/>
      <c r="PXW313" s="287"/>
      <c r="PXX313" s="287"/>
      <c r="PXY313" s="287"/>
      <c r="PXZ313" s="287"/>
      <c r="PYA313" s="287"/>
      <c r="PYB313" s="287"/>
      <c r="PYC313" s="287"/>
      <c r="PYD313" s="287"/>
      <c r="PYE313" s="287"/>
      <c r="PYF313" s="287"/>
      <c r="PYG313" s="287"/>
      <c r="PYH313" s="287"/>
      <c r="PYI313" s="287"/>
      <c r="PYJ313" s="287"/>
      <c r="PYK313" s="287"/>
      <c r="PYL313" s="287"/>
      <c r="PYM313" s="287"/>
      <c r="PYN313" s="287"/>
      <c r="PYO313" s="287"/>
      <c r="PYP313" s="287"/>
      <c r="PYQ313" s="287"/>
      <c r="PYR313" s="287"/>
      <c r="PYS313" s="287"/>
      <c r="PYT313" s="287"/>
      <c r="PYU313" s="287"/>
      <c r="PYV313" s="287"/>
      <c r="PYW313" s="287"/>
      <c r="PYX313" s="287"/>
      <c r="PYY313" s="287"/>
      <c r="PYZ313" s="287"/>
      <c r="PZA313" s="287"/>
      <c r="PZB313" s="287"/>
      <c r="PZC313" s="287"/>
      <c r="PZD313" s="287"/>
      <c r="PZE313" s="287"/>
      <c r="PZF313" s="287"/>
      <c r="PZG313" s="287"/>
      <c r="PZH313" s="287"/>
      <c r="PZI313" s="287"/>
      <c r="PZJ313" s="287"/>
      <c r="PZK313" s="287"/>
      <c r="PZL313" s="287"/>
      <c r="PZM313" s="287"/>
      <c r="PZN313" s="287"/>
      <c r="PZO313" s="287"/>
      <c r="PZP313" s="287"/>
      <c r="PZQ313" s="287"/>
      <c r="PZR313" s="287"/>
      <c r="PZS313" s="287"/>
      <c r="PZT313" s="287"/>
      <c r="PZU313" s="287"/>
      <c r="PZV313" s="287"/>
      <c r="PZW313" s="287"/>
      <c r="PZX313" s="287"/>
      <c r="PZY313" s="287"/>
      <c r="PZZ313" s="287"/>
      <c r="QAA313" s="287"/>
      <c r="QAB313" s="287"/>
      <c r="QAC313" s="287"/>
      <c r="QAD313" s="287"/>
      <c r="QAE313" s="287"/>
      <c r="QAF313" s="287"/>
      <c r="QAG313" s="287"/>
      <c r="QAH313" s="287"/>
      <c r="QAI313" s="287"/>
      <c r="QAJ313" s="287"/>
      <c r="QAK313" s="287"/>
      <c r="QAL313" s="287"/>
      <c r="QAM313" s="287"/>
      <c r="QAN313" s="287"/>
      <c r="QAO313" s="287"/>
      <c r="QAP313" s="287"/>
      <c r="QAQ313" s="287"/>
      <c r="QAR313" s="287"/>
      <c r="QAS313" s="287"/>
      <c r="QAT313" s="287"/>
      <c r="QAU313" s="287"/>
      <c r="QAV313" s="287"/>
      <c r="QAW313" s="287"/>
      <c r="QAX313" s="287"/>
      <c r="QAY313" s="287"/>
      <c r="QAZ313" s="287"/>
      <c r="QBA313" s="287"/>
      <c r="QBB313" s="287"/>
      <c r="QBC313" s="287"/>
      <c r="QBD313" s="287"/>
      <c r="QBE313" s="287"/>
      <c r="QBF313" s="287"/>
      <c r="QBG313" s="287"/>
      <c r="QBH313" s="287"/>
      <c r="QBI313" s="287"/>
      <c r="QBJ313" s="287"/>
      <c r="QBK313" s="287"/>
      <c r="QBL313" s="287"/>
      <c r="QBM313" s="287"/>
      <c r="QBN313" s="287"/>
      <c r="QBO313" s="287"/>
      <c r="QBP313" s="287"/>
      <c r="QBQ313" s="287"/>
      <c r="QBR313" s="287"/>
      <c r="QBS313" s="287"/>
      <c r="QBT313" s="287"/>
      <c r="QBU313" s="287"/>
      <c r="QBV313" s="287"/>
      <c r="QBW313" s="287"/>
      <c r="QBX313" s="287"/>
      <c r="QBY313" s="287"/>
      <c r="QBZ313" s="287"/>
      <c r="QCA313" s="287"/>
      <c r="QCB313" s="287"/>
      <c r="QCC313" s="287"/>
      <c r="QCD313" s="287"/>
      <c r="QCE313" s="287"/>
      <c r="QCF313" s="287"/>
      <c r="QCG313" s="287"/>
      <c r="QCH313" s="287"/>
      <c r="QCI313" s="287"/>
      <c r="QCJ313" s="287"/>
      <c r="QCK313" s="287"/>
      <c r="QCL313" s="287"/>
      <c r="QCM313" s="287"/>
      <c r="QCN313" s="287"/>
      <c r="QCO313" s="287"/>
      <c r="QCP313" s="287"/>
      <c r="QCQ313" s="287"/>
      <c r="QCR313" s="287"/>
      <c r="QCS313" s="287"/>
      <c r="QCT313" s="287"/>
      <c r="QCU313" s="287"/>
      <c r="QCV313" s="287"/>
      <c r="QCW313" s="287"/>
      <c r="QCX313" s="287"/>
      <c r="QCY313" s="287"/>
      <c r="QCZ313" s="287"/>
      <c r="QDA313" s="287"/>
      <c r="QDB313" s="287"/>
      <c r="QDC313" s="287"/>
      <c r="QDD313" s="287"/>
      <c r="QDE313" s="287"/>
      <c r="QDF313" s="287"/>
      <c r="QDG313" s="287"/>
      <c r="QDH313" s="287"/>
      <c r="QDI313" s="287"/>
      <c r="QDJ313" s="287"/>
      <c r="QDK313" s="287"/>
      <c r="QDL313" s="287"/>
      <c r="QDM313" s="287"/>
      <c r="QDN313" s="287"/>
      <c r="QDO313" s="287"/>
      <c r="QDP313" s="287"/>
      <c r="QDQ313" s="287"/>
      <c r="QDR313" s="287"/>
      <c r="QDS313" s="287"/>
      <c r="QDT313" s="287"/>
      <c r="QDU313" s="287"/>
      <c r="QDV313" s="287"/>
      <c r="QDW313" s="287"/>
      <c r="QDX313" s="287"/>
      <c r="QDY313" s="287"/>
      <c r="QDZ313" s="287"/>
      <c r="QEA313" s="287"/>
      <c r="QEB313" s="287"/>
      <c r="QEC313" s="287"/>
      <c r="QED313" s="287"/>
      <c r="QEE313" s="287"/>
      <c r="QEF313" s="287"/>
      <c r="QEG313" s="287"/>
      <c r="QEH313" s="287"/>
      <c r="QEI313" s="287"/>
      <c r="QEJ313" s="287"/>
      <c r="QEK313" s="287"/>
      <c r="QEL313" s="287"/>
      <c r="QEM313" s="287"/>
      <c r="QEN313" s="287"/>
      <c r="QEO313" s="287"/>
      <c r="QEP313" s="287"/>
      <c r="QEQ313" s="287"/>
      <c r="QER313" s="287"/>
      <c r="QES313" s="287"/>
      <c r="QET313" s="287"/>
      <c r="QEU313" s="287"/>
      <c r="QEV313" s="287"/>
      <c r="QEW313" s="287"/>
      <c r="QEX313" s="287"/>
      <c r="QEY313" s="287"/>
      <c r="QEZ313" s="287"/>
      <c r="QFA313" s="287"/>
      <c r="QFB313" s="287"/>
      <c r="QFC313" s="287"/>
      <c r="QFD313" s="287"/>
      <c r="QFE313" s="287"/>
      <c r="QFF313" s="287"/>
      <c r="QFG313" s="287"/>
      <c r="QFH313" s="287"/>
      <c r="QFI313" s="287"/>
      <c r="QFJ313" s="287"/>
      <c r="QFK313" s="287"/>
      <c r="QFL313" s="287"/>
      <c r="QFM313" s="287"/>
      <c r="QFN313" s="287"/>
      <c r="QFO313" s="287"/>
      <c r="QFP313" s="287"/>
      <c r="QFQ313" s="287"/>
      <c r="QFR313" s="287"/>
      <c r="QFS313" s="287"/>
      <c r="QFT313" s="287"/>
      <c r="QFU313" s="287"/>
      <c r="QFV313" s="287"/>
      <c r="QFW313" s="287"/>
      <c r="QFX313" s="287"/>
      <c r="QFY313" s="287"/>
      <c r="QFZ313" s="287"/>
      <c r="QGA313" s="287"/>
      <c r="QGB313" s="287"/>
      <c r="QGC313" s="287"/>
      <c r="QGD313" s="287"/>
      <c r="QGE313" s="287"/>
      <c r="QGF313" s="287"/>
      <c r="QGG313" s="287"/>
      <c r="QGH313" s="287"/>
      <c r="QGI313" s="287"/>
      <c r="QGJ313" s="287"/>
      <c r="QGK313" s="287"/>
      <c r="QGL313" s="287"/>
      <c r="QGM313" s="287"/>
      <c r="QGN313" s="287"/>
      <c r="QGO313" s="287"/>
      <c r="QGP313" s="287"/>
      <c r="QGQ313" s="287"/>
      <c r="QGR313" s="287"/>
      <c r="QGS313" s="287"/>
      <c r="QGT313" s="287"/>
      <c r="QGU313" s="287"/>
      <c r="QGV313" s="287"/>
      <c r="QGW313" s="287"/>
      <c r="QGX313" s="287"/>
      <c r="QGY313" s="287"/>
      <c r="QGZ313" s="287"/>
      <c r="QHA313" s="287"/>
      <c r="QHB313" s="287"/>
      <c r="QHC313" s="287"/>
      <c r="QHD313" s="287"/>
      <c r="QHE313" s="287"/>
      <c r="QHF313" s="287"/>
      <c r="QHG313" s="287"/>
      <c r="QHH313" s="287"/>
      <c r="QHI313" s="287"/>
      <c r="QHJ313" s="287"/>
      <c r="QHK313" s="287"/>
      <c r="QHL313" s="287"/>
      <c r="QHM313" s="287"/>
      <c r="QHN313" s="287"/>
      <c r="QHO313" s="287"/>
      <c r="QHP313" s="287"/>
      <c r="QHQ313" s="287"/>
      <c r="QHR313" s="287"/>
      <c r="QHS313" s="287"/>
      <c r="QHT313" s="287"/>
      <c r="QHU313" s="287"/>
      <c r="QHV313" s="287"/>
      <c r="QHW313" s="287"/>
      <c r="QHX313" s="287"/>
      <c r="QHY313" s="287"/>
      <c r="QHZ313" s="287"/>
      <c r="QIA313" s="287"/>
      <c r="QIB313" s="287"/>
      <c r="QIC313" s="287"/>
      <c r="QID313" s="287"/>
      <c r="QIE313" s="287"/>
      <c r="QIF313" s="287"/>
      <c r="QIG313" s="287"/>
      <c r="QIH313" s="287"/>
      <c r="QII313" s="287"/>
      <c r="QIJ313" s="287"/>
      <c r="QIK313" s="287"/>
      <c r="QIL313" s="287"/>
      <c r="QIM313" s="287"/>
      <c r="QIN313" s="287"/>
      <c r="QIO313" s="287"/>
      <c r="QIP313" s="287"/>
      <c r="QIQ313" s="287"/>
      <c r="QIR313" s="287"/>
      <c r="QIS313" s="287"/>
      <c r="QIT313" s="287"/>
      <c r="QIU313" s="287"/>
      <c r="QIV313" s="287"/>
      <c r="QIW313" s="287"/>
      <c r="QIX313" s="287"/>
      <c r="QIY313" s="287"/>
      <c r="QIZ313" s="287"/>
      <c r="QJA313" s="287"/>
      <c r="QJB313" s="287"/>
      <c r="QJC313" s="287"/>
      <c r="QJD313" s="287"/>
      <c r="QJE313" s="287"/>
      <c r="QJF313" s="287"/>
      <c r="QJG313" s="287"/>
      <c r="QJH313" s="287"/>
      <c r="QJI313" s="287"/>
      <c r="QJJ313" s="287"/>
      <c r="QJK313" s="287"/>
      <c r="QJL313" s="287"/>
      <c r="QJM313" s="287"/>
      <c r="QJN313" s="287"/>
      <c r="QJO313" s="287"/>
      <c r="QJP313" s="287"/>
      <c r="QJQ313" s="287"/>
      <c r="QJR313" s="287"/>
      <c r="QJS313" s="287"/>
      <c r="QJT313" s="287"/>
      <c r="QJU313" s="287"/>
      <c r="QJV313" s="287"/>
      <c r="QJW313" s="287"/>
      <c r="QJX313" s="287"/>
      <c r="QJY313" s="287"/>
      <c r="QJZ313" s="287"/>
      <c r="QKA313" s="287"/>
      <c r="QKB313" s="287"/>
      <c r="QKC313" s="287"/>
      <c r="QKD313" s="287"/>
      <c r="QKE313" s="287"/>
      <c r="QKF313" s="287"/>
      <c r="QKG313" s="287"/>
      <c r="QKH313" s="287"/>
      <c r="QKI313" s="287"/>
      <c r="QKJ313" s="287"/>
      <c r="QKK313" s="287"/>
      <c r="QKL313" s="287"/>
      <c r="QKM313" s="287"/>
      <c r="QKN313" s="287"/>
      <c r="QKO313" s="287"/>
      <c r="QKP313" s="287"/>
      <c r="QKQ313" s="287"/>
      <c r="QKR313" s="287"/>
      <c r="QKS313" s="287"/>
      <c r="QKT313" s="287"/>
      <c r="QKU313" s="287"/>
      <c r="QKV313" s="287"/>
      <c r="QKW313" s="287"/>
      <c r="QKX313" s="287"/>
      <c r="QKY313" s="287"/>
      <c r="QKZ313" s="287"/>
      <c r="QLA313" s="287"/>
      <c r="QLB313" s="287"/>
      <c r="QLC313" s="287"/>
      <c r="QLD313" s="287"/>
      <c r="QLE313" s="287"/>
      <c r="QLF313" s="287"/>
      <c r="QLG313" s="287"/>
      <c r="QLH313" s="287"/>
      <c r="QLI313" s="287"/>
      <c r="QLJ313" s="287"/>
      <c r="QLK313" s="287"/>
      <c r="QLL313" s="287"/>
      <c r="QLM313" s="287"/>
      <c r="QLN313" s="287"/>
      <c r="QLO313" s="287"/>
      <c r="QLP313" s="287"/>
      <c r="QLQ313" s="287"/>
      <c r="QLR313" s="287"/>
      <c r="QLS313" s="287"/>
      <c r="QLT313" s="287"/>
      <c r="QLU313" s="287"/>
      <c r="QLV313" s="287"/>
      <c r="QLW313" s="287"/>
      <c r="QLX313" s="287"/>
      <c r="QLY313" s="287"/>
      <c r="QLZ313" s="287"/>
      <c r="QMA313" s="287"/>
      <c r="QMB313" s="287"/>
      <c r="QMC313" s="287"/>
      <c r="QMD313" s="287"/>
      <c r="QME313" s="287"/>
      <c r="QMF313" s="287"/>
      <c r="QMG313" s="287"/>
      <c r="QMH313" s="287"/>
      <c r="QMI313" s="287"/>
      <c r="QMJ313" s="287"/>
      <c r="QMK313" s="287"/>
      <c r="QML313" s="287"/>
      <c r="QMM313" s="287"/>
      <c r="QMN313" s="287"/>
      <c r="QMO313" s="287"/>
      <c r="QMP313" s="287"/>
      <c r="QMQ313" s="287"/>
      <c r="QMR313" s="287"/>
      <c r="QMS313" s="287"/>
      <c r="QMT313" s="287"/>
      <c r="QMU313" s="287"/>
      <c r="QMV313" s="287"/>
      <c r="QMW313" s="287"/>
      <c r="QMX313" s="287"/>
      <c r="QMY313" s="287"/>
      <c r="QMZ313" s="287"/>
      <c r="QNA313" s="287"/>
      <c r="QNB313" s="287"/>
      <c r="QNC313" s="287"/>
      <c r="QND313" s="287"/>
      <c r="QNE313" s="287"/>
      <c r="QNF313" s="287"/>
      <c r="QNG313" s="287"/>
      <c r="QNH313" s="287"/>
      <c r="QNI313" s="287"/>
      <c r="QNJ313" s="287"/>
      <c r="QNK313" s="287"/>
      <c r="QNL313" s="287"/>
      <c r="QNM313" s="287"/>
      <c r="QNN313" s="287"/>
      <c r="QNO313" s="287"/>
      <c r="QNP313" s="287"/>
      <c r="QNQ313" s="287"/>
      <c r="QNR313" s="287"/>
      <c r="QNS313" s="287"/>
      <c r="QNT313" s="287"/>
      <c r="QNU313" s="287"/>
      <c r="QNV313" s="287"/>
      <c r="QNW313" s="287"/>
      <c r="QNX313" s="287"/>
      <c r="QNY313" s="287"/>
      <c r="QNZ313" s="287"/>
      <c r="QOA313" s="287"/>
      <c r="QOB313" s="287"/>
      <c r="QOC313" s="287"/>
      <c r="QOD313" s="287"/>
      <c r="QOE313" s="287"/>
      <c r="QOF313" s="287"/>
      <c r="QOG313" s="287"/>
      <c r="QOH313" s="287"/>
      <c r="QOI313" s="287"/>
      <c r="QOJ313" s="287"/>
      <c r="QOK313" s="287"/>
      <c r="QOL313" s="287"/>
      <c r="QOM313" s="287"/>
      <c r="QON313" s="287"/>
      <c r="QOO313" s="287"/>
      <c r="QOP313" s="287"/>
      <c r="QOQ313" s="287"/>
      <c r="QOR313" s="287"/>
      <c r="QOS313" s="287"/>
      <c r="QOT313" s="287"/>
      <c r="QOU313" s="287"/>
      <c r="QOV313" s="287"/>
      <c r="QOW313" s="287"/>
      <c r="QOX313" s="287"/>
      <c r="QOY313" s="287"/>
      <c r="QOZ313" s="287"/>
      <c r="QPA313" s="287"/>
      <c r="QPB313" s="287"/>
      <c r="QPC313" s="287"/>
      <c r="QPD313" s="287"/>
      <c r="QPE313" s="287"/>
      <c r="QPF313" s="287"/>
      <c r="QPG313" s="287"/>
      <c r="QPH313" s="287"/>
      <c r="QPI313" s="287"/>
      <c r="QPJ313" s="287"/>
      <c r="QPK313" s="287"/>
      <c r="QPL313" s="287"/>
      <c r="QPM313" s="287"/>
      <c r="QPN313" s="287"/>
      <c r="QPO313" s="287"/>
      <c r="QPP313" s="287"/>
      <c r="QPQ313" s="287"/>
      <c r="QPR313" s="287"/>
      <c r="QPS313" s="287"/>
      <c r="QPT313" s="287"/>
      <c r="QPU313" s="287"/>
      <c r="QPV313" s="287"/>
      <c r="QPW313" s="287"/>
      <c r="QPX313" s="287"/>
      <c r="QPY313" s="287"/>
      <c r="QPZ313" s="287"/>
      <c r="QQA313" s="287"/>
      <c r="QQB313" s="287"/>
      <c r="QQC313" s="287"/>
      <c r="QQD313" s="287"/>
      <c r="QQE313" s="287"/>
      <c r="QQF313" s="287"/>
      <c r="QQG313" s="287"/>
      <c r="QQH313" s="287"/>
      <c r="QQI313" s="287"/>
      <c r="QQJ313" s="287"/>
      <c r="QQK313" s="287"/>
      <c r="QQL313" s="287"/>
      <c r="QQM313" s="287"/>
      <c r="QQN313" s="287"/>
      <c r="QQO313" s="287"/>
      <c r="QQP313" s="287"/>
      <c r="QQQ313" s="287"/>
      <c r="QQR313" s="287"/>
      <c r="QQS313" s="287"/>
      <c r="QQT313" s="287"/>
      <c r="QQU313" s="287"/>
      <c r="QQV313" s="287"/>
      <c r="QQW313" s="287"/>
      <c r="QQX313" s="287"/>
      <c r="QQY313" s="287"/>
      <c r="QQZ313" s="287"/>
      <c r="QRA313" s="287"/>
      <c r="QRB313" s="287"/>
      <c r="QRC313" s="287"/>
      <c r="QRD313" s="287"/>
      <c r="QRE313" s="287"/>
      <c r="QRF313" s="287"/>
      <c r="QRG313" s="287"/>
      <c r="QRH313" s="287"/>
      <c r="QRI313" s="287"/>
      <c r="QRJ313" s="287"/>
      <c r="QRK313" s="287"/>
      <c r="QRL313" s="287"/>
      <c r="QRM313" s="287"/>
      <c r="QRN313" s="287"/>
      <c r="QRO313" s="287"/>
      <c r="QRP313" s="287"/>
      <c r="QRQ313" s="287"/>
      <c r="QRR313" s="287"/>
      <c r="QRS313" s="287"/>
      <c r="QRT313" s="287"/>
      <c r="QRU313" s="287"/>
      <c r="QRV313" s="287"/>
      <c r="QRW313" s="287"/>
      <c r="QRX313" s="287"/>
      <c r="QRY313" s="287"/>
      <c r="QRZ313" s="287"/>
      <c r="QSA313" s="287"/>
      <c r="QSB313" s="287"/>
      <c r="QSC313" s="287"/>
      <c r="QSD313" s="287"/>
      <c r="QSE313" s="287"/>
      <c r="QSF313" s="287"/>
      <c r="QSG313" s="287"/>
      <c r="QSH313" s="287"/>
      <c r="QSI313" s="287"/>
      <c r="QSJ313" s="287"/>
      <c r="QSK313" s="287"/>
      <c r="QSL313" s="287"/>
      <c r="QSM313" s="287"/>
      <c r="QSN313" s="287"/>
      <c r="QSO313" s="287"/>
      <c r="QSP313" s="287"/>
      <c r="QSQ313" s="287"/>
      <c r="QSR313" s="287"/>
      <c r="QSS313" s="287"/>
      <c r="QST313" s="287"/>
      <c r="QSU313" s="287"/>
      <c r="QSV313" s="287"/>
      <c r="QSW313" s="287"/>
      <c r="QSX313" s="287"/>
      <c r="QSY313" s="287"/>
      <c r="QSZ313" s="287"/>
      <c r="QTA313" s="287"/>
      <c r="QTB313" s="287"/>
      <c r="QTC313" s="287"/>
      <c r="QTD313" s="287"/>
      <c r="QTE313" s="287"/>
      <c r="QTF313" s="287"/>
      <c r="QTG313" s="287"/>
      <c r="QTH313" s="287"/>
      <c r="QTI313" s="287"/>
      <c r="QTJ313" s="287"/>
      <c r="QTK313" s="287"/>
      <c r="QTL313" s="287"/>
      <c r="QTM313" s="287"/>
      <c r="QTN313" s="287"/>
      <c r="QTO313" s="287"/>
      <c r="QTP313" s="287"/>
      <c r="QTQ313" s="287"/>
      <c r="QTR313" s="287"/>
      <c r="QTS313" s="287"/>
      <c r="QTT313" s="287"/>
      <c r="QTU313" s="287"/>
      <c r="QTV313" s="287"/>
      <c r="QTW313" s="287"/>
      <c r="QTX313" s="287"/>
      <c r="QTY313" s="287"/>
      <c r="QTZ313" s="287"/>
      <c r="QUA313" s="287"/>
      <c r="QUB313" s="287"/>
      <c r="QUC313" s="287"/>
      <c r="QUD313" s="287"/>
      <c r="QUE313" s="287"/>
      <c r="QUF313" s="287"/>
      <c r="QUG313" s="287"/>
      <c r="QUH313" s="287"/>
      <c r="QUI313" s="287"/>
      <c r="QUJ313" s="287"/>
      <c r="QUK313" s="287"/>
      <c r="QUL313" s="287"/>
      <c r="QUM313" s="287"/>
      <c r="QUN313" s="287"/>
      <c r="QUO313" s="287"/>
      <c r="QUP313" s="287"/>
      <c r="QUQ313" s="287"/>
      <c r="QUR313" s="287"/>
      <c r="QUS313" s="287"/>
      <c r="QUT313" s="287"/>
      <c r="QUU313" s="287"/>
      <c r="QUV313" s="287"/>
      <c r="QUW313" s="287"/>
      <c r="QUX313" s="287"/>
      <c r="QUY313" s="287"/>
      <c r="QUZ313" s="287"/>
      <c r="QVA313" s="287"/>
      <c r="QVB313" s="287"/>
      <c r="QVC313" s="287"/>
      <c r="QVD313" s="287"/>
      <c r="QVE313" s="287"/>
      <c r="QVF313" s="287"/>
      <c r="QVG313" s="287"/>
      <c r="QVH313" s="287"/>
      <c r="QVI313" s="287"/>
      <c r="QVJ313" s="287"/>
      <c r="QVK313" s="287"/>
      <c r="QVL313" s="287"/>
      <c r="QVM313" s="287"/>
      <c r="QVN313" s="287"/>
      <c r="QVO313" s="287"/>
      <c r="QVP313" s="287"/>
      <c r="QVQ313" s="287"/>
      <c r="QVR313" s="287"/>
      <c r="QVS313" s="287"/>
      <c r="QVT313" s="287"/>
      <c r="QVU313" s="287"/>
      <c r="QVV313" s="287"/>
      <c r="QVW313" s="287"/>
      <c r="QVX313" s="287"/>
      <c r="QVY313" s="287"/>
      <c r="QVZ313" s="287"/>
      <c r="QWA313" s="287"/>
      <c r="QWB313" s="287"/>
      <c r="QWC313" s="287"/>
      <c r="QWD313" s="287"/>
      <c r="QWE313" s="287"/>
      <c r="QWF313" s="287"/>
      <c r="QWG313" s="287"/>
      <c r="QWH313" s="287"/>
      <c r="QWI313" s="287"/>
      <c r="QWJ313" s="287"/>
      <c r="QWK313" s="287"/>
      <c r="QWL313" s="287"/>
      <c r="QWM313" s="287"/>
      <c r="QWN313" s="287"/>
      <c r="QWO313" s="287"/>
      <c r="QWP313" s="287"/>
      <c r="QWQ313" s="287"/>
      <c r="QWR313" s="287"/>
      <c r="QWS313" s="287"/>
      <c r="QWT313" s="287"/>
      <c r="QWU313" s="287"/>
      <c r="QWV313" s="287"/>
      <c r="QWW313" s="287"/>
      <c r="QWX313" s="287"/>
      <c r="QWY313" s="287"/>
      <c r="QWZ313" s="287"/>
      <c r="QXA313" s="287"/>
      <c r="QXB313" s="287"/>
      <c r="QXC313" s="287"/>
      <c r="QXD313" s="287"/>
      <c r="QXE313" s="287"/>
      <c r="QXF313" s="287"/>
      <c r="QXG313" s="287"/>
      <c r="QXH313" s="287"/>
      <c r="QXI313" s="287"/>
      <c r="QXJ313" s="287"/>
      <c r="QXK313" s="287"/>
      <c r="QXL313" s="287"/>
      <c r="QXM313" s="287"/>
      <c r="QXN313" s="287"/>
      <c r="QXO313" s="287"/>
      <c r="QXP313" s="287"/>
      <c r="QXQ313" s="287"/>
      <c r="QXR313" s="287"/>
      <c r="QXS313" s="287"/>
      <c r="QXT313" s="287"/>
      <c r="QXU313" s="287"/>
      <c r="QXV313" s="287"/>
      <c r="QXW313" s="287"/>
      <c r="QXX313" s="287"/>
      <c r="QXY313" s="287"/>
      <c r="QXZ313" s="287"/>
      <c r="QYA313" s="287"/>
      <c r="QYB313" s="287"/>
      <c r="QYC313" s="287"/>
      <c r="QYD313" s="287"/>
      <c r="QYE313" s="287"/>
      <c r="QYF313" s="287"/>
      <c r="QYG313" s="287"/>
      <c r="QYH313" s="287"/>
      <c r="QYI313" s="287"/>
      <c r="QYJ313" s="287"/>
      <c r="QYK313" s="287"/>
      <c r="QYL313" s="287"/>
      <c r="QYM313" s="287"/>
      <c r="QYN313" s="287"/>
      <c r="QYO313" s="287"/>
      <c r="QYP313" s="287"/>
      <c r="QYQ313" s="287"/>
      <c r="QYR313" s="287"/>
      <c r="QYS313" s="287"/>
      <c r="QYT313" s="287"/>
      <c r="QYU313" s="287"/>
      <c r="QYV313" s="287"/>
      <c r="QYW313" s="287"/>
      <c r="QYX313" s="287"/>
      <c r="QYY313" s="287"/>
      <c r="QYZ313" s="287"/>
      <c r="QZA313" s="287"/>
      <c r="QZB313" s="287"/>
      <c r="QZC313" s="287"/>
      <c r="QZD313" s="287"/>
      <c r="QZE313" s="287"/>
      <c r="QZF313" s="287"/>
      <c r="QZG313" s="287"/>
      <c r="QZH313" s="287"/>
      <c r="QZI313" s="287"/>
      <c r="QZJ313" s="287"/>
      <c r="QZK313" s="287"/>
      <c r="QZL313" s="287"/>
      <c r="QZM313" s="287"/>
      <c r="QZN313" s="287"/>
      <c r="QZO313" s="287"/>
      <c r="QZP313" s="287"/>
      <c r="QZQ313" s="287"/>
      <c r="QZR313" s="287"/>
      <c r="QZS313" s="287"/>
      <c r="QZT313" s="287"/>
      <c r="QZU313" s="287"/>
      <c r="QZV313" s="287"/>
      <c r="QZW313" s="287"/>
      <c r="QZX313" s="287"/>
      <c r="QZY313" s="287"/>
      <c r="QZZ313" s="287"/>
      <c r="RAA313" s="287"/>
      <c r="RAB313" s="287"/>
      <c r="RAC313" s="287"/>
      <c r="RAD313" s="287"/>
      <c r="RAE313" s="287"/>
      <c r="RAF313" s="287"/>
      <c r="RAG313" s="287"/>
      <c r="RAH313" s="287"/>
      <c r="RAI313" s="287"/>
      <c r="RAJ313" s="287"/>
      <c r="RAK313" s="287"/>
      <c r="RAL313" s="287"/>
      <c r="RAM313" s="287"/>
      <c r="RAN313" s="287"/>
      <c r="RAO313" s="287"/>
      <c r="RAP313" s="287"/>
      <c r="RAQ313" s="287"/>
      <c r="RAR313" s="287"/>
      <c r="RAS313" s="287"/>
      <c r="RAT313" s="287"/>
      <c r="RAU313" s="287"/>
      <c r="RAV313" s="287"/>
      <c r="RAW313" s="287"/>
      <c r="RAX313" s="287"/>
      <c r="RAY313" s="287"/>
      <c r="RAZ313" s="287"/>
      <c r="RBA313" s="287"/>
      <c r="RBB313" s="287"/>
      <c r="RBC313" s="287"/>
      <c r="RBD313" s="287"/>
      <c r="RBE313" s="287"/>
      <c r="RBF313" s="287"/>
      <c r="RBG313" s="287"/>
      <c r="RBH313" s="287"/>
      <c r="RBI313" s="287"/>
      <c r="RBJ313" s="287"/>
      <c r="RBK313" s="287"/>
      <c r="RBL313" s="287"/>
      <c r="RBM313" s="287"/>
      <c r="RBN313" s="287"/>
      <c r="RBO313" s="287"/>
      <c r="RBP313" s="287"/>
      <c r="RBQ313" s="287"/>
      <c r="RBR313" s="287"/>
      <c r="RBS313" s="287"/>
      <c r="RBT313" s="287"/>
      <c r="RBU313" s="287"/>
      <c r="RBV313" s="287"/>
      <c r="RBW313" s="287"/>
      <c r="RBX313" s="287"/>
      <c r="RBY313" s="287"/>
      <c r="RBZ313" s="287"/>
      <c r="RCA313" s="287"/>
      <c r="RCB313" s="287"/>
      <c r="RCC313" s="287"/>
      <c r="RCD313" s="287"/>
      <c r="RCE313" s="287"/>
      <c r="RCF313" s="287"/>
      <c r="RCG313" s="287"/>
      <c r="RCH313" s="287"/>
      <c r="RCI313" s="287"/>
      <c r="RCJ313" s="287"/>
      <c r="RCK313" s="287"/>
      <c r="RCL313" s="287"/>
      <c r="RCM313" s="287"/>
      <c r="RCN313" s="287"/>
      <c r="RCO313" s="287"/>
      <c r="RCP313" s="287"/>
      <c r="RCQ313" s="287"/>
      <c r="RCR313" s="287"/>
      <c r="RCS313" s="287"/>
      <c r="RCT313" s="287"/>
      <c r="RCU313" s="287"/>
      <c r="RCV313" s="287"/>
      <c r="RCW313" s="287"/>
      <c r="RCX313" s="287"/>
      <c r="RCY313" s="287"/>
      <c r="RCZ313" s="287"/>
      <c r="RDA313" s="287"/>
      <c r="RDB313" s="287"/>
      <c r="RDC313" s="287"/>
      <c r="RDD313" s="287"/>
      <c r="RDE313" s="287"/>
      <c r="RDF313" s="287"/>
      <c r="RDG313" s="287"/>
      <c r="RDH313" s="287"/>
      <c r="RDI313" s="287"/>
      <c r="RDJ313" s="287"/>
      <c r="RDK313" s="287"/>
      <c r="RDL313" s="287"/>
      <c r="RDM313" s="287"/>
      <c r="RDN313" s="287"/>
      <c r="RDO313" s="287"/>
      <c r="RDP313" s="287"/>
      <c r="RDQ313" s="287"/>
      <c r="RDR313" s="287"/>
      <c r="RDS313" s="287"/>
      <c r="RDT313" s="287"/>
      <c r="RDU313" s="287"/>
      <c r="RDV313" s="287"/>
      <c r="RDW313" s="287"/>
      <c r="RDX313" s="287"/>
      <c r="RDY313" s="287"/>
      <c r="RDZ313" s="287"/>
      <c r="REA313" s="287"/>
      <c r="REB313" s="287"/>
      <c r="REC313" s="287"/>
      <c r="RED313" s="287"/>
      <c r="REE313" s="287"/>
      <c r="REF313" s="287"/>
      <c r="REG313" s="287"/>
      <c r="REH313" s="287"/>
      <c r="REI313" s="287"/>
      <c r="REJ313" s="287"/>
      <c r="REK313" s="287"/>
      <c r="REL313" s="287"/>
      <c r="REM313" s="287"/>
      <c r="REN313" s="287"/>
      <c r="REO313" s="287"/>
      <c r="REP313" s="287"/>
      <c r="REQ313" s="287"/>
      <c r="RER313" s="287"/>
      <c r="RES313" s="287"/>
      <c r="RET313" s="287"/>
      <c r="REU313" s="287"/>
      <c r="REV313" s="287"/>
      <c r="REW313" s="287"/>
      <c r="REX313" s="287"/>
      <c r="REY313" s="287"/>
      <c r="REZ313" s="287"/>
      <c r="RFA313" s="287"/>
      <c r="RFB313" s="287"/>
      <c r="RFC313" s="287"/>
      <c r="RFD313" s="287"/>
      <c r="RFE313" s="287"/>
      <c r="RFF313" s="287"/>
      <c r="RFG313" s="287"/>
      <c r="RFH313" s="287"/>
      <c r="RFI313" s="287"/>
      <c r="RFJ313" s="287"/>
      <c r="RFK313" s="287"/>
      <c r="RFL313" s="287"/>
      <c r="RFM313" s="287"/>
      <c r="RFN313" s="287"/>
      <c r="RFO313" s="287"/>
      <c r="RFP313" s="287"/>
      <c r="RFQ313" s="287"/>
      <c r="RFR313" s="287"/>
      <c r="RFS313" s="287"/>
      <c r="RFT313" s="287"/>
      <c r="RFU313" s="287"/>
      <c r="RFV313" s="287"/>
      <c r="RFW313" s="287"/>
      <c r="RFX313" s="287"/>
      <c r="RFY313" s="287"/>
      <c r="RFZ313" s="287"/>
      <c r="RGA313" s="287"/>
      <c r="RGB313" s="287"/>
      <c r="RGC313" s="287"/>
      <c r="RGD313" s="287"/>
      <c r="RGE313" s="287"/>
      <c r="RGF313" s="287"/>
      <c r="RGG313" s="287"/>
      <c r="RGH313" s="287"/>
      <c r="RGI313" s="287"/>
      <c r="RGJ313" s="287"/>
      <c r="RGK313" s="287"/>
      <c r="RGL313" s="287"/>
      <c r="RGM313" s="287"/>
      <c r="RGN313" s="287"/>
      <c r="RGO313" s="287"/>
      <c r="RGP313" s="287"/>
      <c r="RGQ313" s="287"/>
      <c r="RGR313" s="287"/>
      <c r="RGS313" s="287"/>
      <c r="RGT313" s="287"/>
      <c r="RGU313" s="287"/>
      <c r="RGV313" s="287"/>
      <c r="RGW313" s="287"/>
      <c r="RGX313" s="287"/>
      <c r="RGY313" s="287"/>
      <c r="RGZ313" s="287"/>
      <c r="RHA313" s="287"/>
      <c r="RHB313" s="287"/>
      <c r="RHC313" s="287"/>
      <c r="RHD313" s="287"/>
      <c r="RHE313" s="287"/>
      <c r="RHF313" s="287"/>
      <c r="RHG313" s="287"/>
      <c r="RHH313" s="287"/>
      <c r="RHI313" s="287"/>
      <c r="RHJ313" s="287"/>
      <c r="RHK313" s="287"/>
      <c r="RHL313" s="287"/>
      <c r="RHM313" s="287"/>
      <c r="RHN313" s="287"/>
      <c r="RHO313" s="287"/>
      <c r="RHP313" s="287"/>
      <c r="RHQ313" s="287"/>
      <c r="RHR313" s="287"/>
      <c r="RHS313" s="287"/>
      <c r="RHT313" s="287"/>
      <c r="RHU313" s="287"/>
      <c r="RHV313" s="287"/>
      <c r="RHW313" s="287"/>
      <c r="RHX313" s="287"/>
      <c r="RHY313" s="287"/>
      <c r="RHZ313" s="287"/>
      <c r="RIA313" s="287"/>
      <c r="RIB313" s="287"/>
      <c r="RIC313" s="287"/>
      <c r="RID313" s="287"/>
      <c r="RIE313" s="287"/>
      <c r="RIF313" s="287"/>
      <c r="RIG313" s="287"/>
      <c r="RIH313" s="287"/>
      <c r="RII313" s="287"/>
      <c r="RIJ313" s="287"/>
      <c r="RIK313" s="287"/>
      <c r="RIL313" s="287"/>
      <c r="RIM313" s="287"/>
      <c r="RIN313" s="287"/>
      <c r="RIO313" s="287"/>
      <c r="RIP313" s="287"/>
      <c r="RIQ313" s="287"/>
      <c r="RIR313" s="287"/>
      <c r="RIS313" s="287"/>
      <c r="RIT313" s="287"/>
      <c r="RIU313" s="287"/>
      <c r="RIV313" s="287"/>
      <c r="RIW313" s="287"/>
      <c r="RIX313" s="287"/>
      <c r="RIY313" s="287"/>
      <c r="RIZ313" s="287"/>
      <c r="RJA313" s="287"/>
      <c r="RJB313" s="287"/>
      <c r="RJC313" s="287"/>
      <c r="RJD313" s="287"/>
      <c r="RJE313" s="287"/>
      <c r="RJF313" s="287"/>
      <c r="RJG313" s="287"/>
      <c r="RJH313" s="287"/>
      <c r="RJI313" s="287"/>
      <c r="RJJ313" s="287"/>
      <c r="RJK313" s="287"/>
      <c r="RJL313" s="287"/>
      <c r="RJM313" s="287"/>
      <c r="RJN313" s="287"/>
      <c r="RJO313" s="287"/>
      <c r="RJP313" s="287"/>
      <c r="RJQ313" s="287"/>
      <c r="RJR313" s="287"/>
      <c r="RJS313" s="287"/>
      <c r="RJT313" s="287"/>
      <c r="RJU313" s="287"/>
      <c r="RJV313" s="287"/>
      <c r="RJW313" s="287"/>
      <c r="RJX313" s="287"/>
      <c r="RJY313" s="287"/>
      <c r="RJZ313" s="287"/>
      <c r="RKA313" s="287"/>
      <c r="RKB313" s="287"/>
      <c r="RKC313" s="287"/>
      <c r="RKD313" s="287"/>
      <c r="RKE313" s="287"/>
      <c r="RKF313" s="287"/>
      <c r="RKG313" s="287"/>
      <c r="RKH313" s="287"/>
      <c r="RKI313" s="287"/>
      <c r="RKJ313" s="287"/>
      <c r="RKK313" s="287"/>
      <c r="RKL313" s="287"/>
      <c r="RKM313" s="287"/>
      <c r="RKN313" s="287"/>
      <c r="RKO313" s="287"/>
      <c r="RKP313" s="287"/>
      <c r="RKQ313" s="287"/>
      <c r="RKR313" s="287"/>
      <c r="RKS313" s="287"/>
      <c r="RKT313" s="287"/>
      <c r="RKU313" s="287"/>
      <c r="RKV313" s="287"/>
      <c r="RKW313" s="287"/>
      <c r="RKX313" s="287"/>
      <c r="RKY313" s="287"/>
      <c r="RKZ313" s="287"/>
      <c r="RLA313" s="287"/>
      <c r="RLB313" s="287"/>
      <c r="RLC313" s="287"/>
      <c r="RLD313" s="287"/>
      <c r="RLE313" s="287"/>
      <c r="RLF313" s="287"/>
      <c r="RLG313" s="287"/>
      <c r="RLH313" s="287"/>
      <c r="RLI313" s="287"/>
      <c r="RLJ313" s="287"/>
      <c r="RLK313" s="287"/>
      <c r="RLL313" s="287"/>
      <c r="RLM313" s="287"/>
      <c r="RLN313" s="287"/>
      <c r="RLO313" s="287"/>
      <c r="RLP313" s="287"/>
      <c r="RLQ313" s="287"/>
      <c r="RLR313" s="287"/>
      <c r="RLS313" s="287"/>
      <c r="RLT313" s="287"/>
      <c r="RLU313" s="287"/>
      <c r="RLV313" s="287"/>
      <c r="RLW313" s="287"/>
      <c r="RLX313" s="287"/>
      <c r="RLY313" s="287"/>
      <c r="RLZ313" s="287"/>
      <c r="RMA313" s="287"/>
      <c r="RMB313" s="287"/>
      <c r="RMC313" s="287"/>
      <c r="RMD313" s="287"/>
      <c r="RME313" s="287"/>
      <c r="RMF313" s="287"/>
      <c r="RMG313" s="287"/>
      <c r="RMH313" s="287"/>
      <c r="RMI313" s="287"/>
      <c r="RMJ313" s="287"/>
      <c r="RMK313" s="287"/>
      <c r="RML313" s="287"/>
      <c r="RMM313" s="287"/>
      <c r="RMN313" s="287"/>
      <c r="RMO313" s="287"/>
      <c r="RMP313" s="287"/>
      <c r="RMQ313" s="287"/>
      <c r="RMR313" s="287"/>
      <c r="RMS313" s="287"/>
      <c r="RMT313" s="287"/>
      <c r="RMU313" s="287"/>
      <c r="RMV313" s="287"/>
      <c r="RMW313" s="287"/>
      <c r="RMX313" s="287"/>
      <c r="RMY313" s="287"/>
      <c r="RMZ313" s="287"/>
      <c r="RNA313" s="287"/>
      <c r="RNB313" s="287"/>
      <c r="RNC313" s="287"/>
      <c r="RND313" s="287"/>
      <c r="RNE313" s="287"/>
      <c r="RNF313" s="287"/>
      <c r="RNG313" s="287"/>
      <c r="RNH313" s="287"/>
      <c r="RNI313" s="287"/>
      <c r="RNJ313" s="287"/>
      <c r="RNK313" s="287"/>
      <c r="RNL313" s="287"/>
      <c r="RNM313" s="287"/>
      <c r="RNN313" s="287"/>
      <c r="RNO313" s="287"/>
      <c r="RNP313" s="287"/>
      <c r="RNQ313" s="287"/>
      <c r="RNR313" s="287"/>
      <c r="RNS313" s="287"/>
      <c r="RNT313" s="287"/>
      <c r="RNU313" s="287"/>
      <c r="RNV313" s="287"/>
      <c r="RNW313" s="287"/>
      <c r="RNX313" s="287"/>
      <c r="RNY313" s="287"/>
      <c r="RNZ313" s="287"/>
      <c r="ROA313" s="287"/>
      <c r="ROB313" s="287"/>
      <c r="ROC313" s="287"/>
      <c r="ROD313" s="287"/>
      <c r="ROE313" s="287"/>
      <c r="ROF313" s="287"/>
      <c r="ROG313" s="287"/>
      <c r="ROH313" s="287"/>
      <c r="ROI313" s="287"/>
      <c r="ROJ313" s="287"/>
      <c r="ROK313" s="287"/>
      <c r="ROL313" s="287"/>
      <c r="ROM313" s="287"/>
      <c r="RON313" s="287"/>
      <c r="ROO313" s="287"/>
      <c r="ROP313" s="287"/>
      <c r="ROQ313" s="287"/>
      <c r="ROR313" s="287"/>
      <c r="ROS313" s="287"/>
      <c r="ROT313" s="287"/>
      <c r="ROU313" s="287"/>
      <c r="ROV313" s="287"/>
      <c r="ROW313" s="287"/>
      <c r="ROX313" s="287"/>
      <c r="ROY313" s="287"/>
      <c r="ROZ313" s="287"/>
      <c r="RPA313" s="287"/>
      <c r="RPB313" s="287"/>
      <c r="RPC313" s="287"/>
      <c r="RPD313" s="287"/>
      <c r="RPE313" s="287"/>
      <c r="RPF313" s="287"/>
      <c r="RPG313" s="287"/>
      <c r="RPH313" s="287"/>
      <c r="RPI313" s="287"/>
      <c r="RPJ313" s="287"/>
      <c r="RPK313" s="287"/>
      <c r="RPL313" s="287"/>
      <c r="RPM313" s="287"/>
      <c r="RPN313" s="287"/>
      <c r="RPO313" s="287"/>
      <c r="RPP313" s="287"/>
      <c r="RPQ313" s="287"/>
      <c r="RPR313" s="287"/>
      <c r="RPS313" s="287"/>
      <c r="RPT313" s="287"/>
      <c r="RPU313" s="287"/>
      <c r="RPV313" s="287"/>
      <c r="RPW313" s="287"/>
      <c r="RPX313" s="287"/>
      <c r="RPY313" s="287"/>
      <c r="RPZ313" s="287"/>
      <c r="RQA313" s="287"/>
      <c r="RQB313" s="287"/>
      <c r="RQC313" s="287"/>
      <c r="RQD313" s="287"/>
      <c r="RQE313" s="287"/>
      <c r="RQF313" s="287"/>
      <c r="RQG313" s="287"/>
      <c r="RQH313" s="287"/>
      <c r="RQI313" s="287"/>
      <c r="RQJ313" s="287"/>
      <c r="RQK313" s="287"/>
      <c r="RQL313" s="287"/>
      <c r="RQM313" s="287"/>
      <c r="RQN313" s="287"/>
      <c r="RQO313" s="287"/>
      <c r="RQP313" s="287"/>
      <c r="RQQ313" s="287"/>
      <c r="RQR313" s="287"/>
      <c r="RQS313" s="287"/>
      <c r="RQT313" s="287"/>
      <c r="RQU313" s="287"/>
      <c r="RQV313" s="287"/>
      <c r="RQW313" s="287"/>
      <c r="RQX313" s="287"/>
      <c r="RQY313" s="287"/>
      <c r="RQZ313" s="287"/>
      <c r="RRA313" s="287"/>
      <c r="RRB313" s="287"/>
      <c r="RRC313" s="287"/>
      <c r="RRD313" s="287"/>
      <c r="RRE313" s="287"/>
      <c r="RRF313" s="287"/>
      <c r="RRG313" s="287"/>
      <c r="RRH313" s="287"/>
      <c r="RRI313" s="287"/>
      <c r="RRJ313" s="287"/>
      <c r="RRK313" s="287"/>
      <c r="RRL313" s="287"/>
      <c r="RRM313" s="287"/>
      <c r="RRN313" s="287"/>
      <c r="RRO313" s="287"/>
      <c r="RRP313" s="287"/>
      <c r="RRQ313" s="287"/>
      <c r="RRR313" s="287"/>
      <c r="RRS313" s="287"/>
      <c r="RRT313" s="287"/>
      <c r="RRU313" s="287"/>
      <c r="RRV313" s="287"/>
      <c r="RRW313" s="287"/>
      <c r="RRX313" s="287"/>
      <c r="RRY313" s="287"/>
      <c r="RRZ313" s="287"/>
      <c r="RSA313" s="287"/>
      <c r="RSB313" s="287"/>
      <c r="RSC313" s="287"/>
      <c r="RSD313" s="287"/>
      <c r="RSE313" s="287"/>
      <c r="RSF313" s="287"/>
      <c r="RSG313" s="287"/>
      <c r="RSH313" s="287"/>
      <c r="RSI313" s="287"/>
      <c r="RSJ313" s="287"/>
      <c r="RSK313" s="287"/>
      <c r="RSL313" s="287"/>
      <c r="RSM313" s="287"/>
      <c r="RSN313" s="287"/>
      <c r="RSO313" s="287"/>
      <c r="RSP313" s="287"/>
      <c r="RSQ313" s="287"/>
      <c r="RSR313" s="287"/>
      <c r="RSS313" s="287"/>
      <c r="RST313" s="287"/>
      <c r="RSU313" s="287"/>
      <c r="RSV313" s="287"/>
      <c r="RSW313" s="287"/>
      <c r="RSX313" s="287"/>
      <c r="RSY313" s="287"/>
      <c r="RSZ313" s="287"/>
      <c r="RTA313" s="287"/>
      <c r="RTB313" s="287"/>
      <c r="RTC313" s="287"/>
      <c r="RTD313" s="287"/>
      <c r="RTE313" s="287"/>
      <c r="RTF313" s="287"/>
      <c r="RTG313" s="287"/>
      <c r="RTH313" s="287"/>
      <c r="RTI313" s="287"/>
      <c r="RTJ313" s="287"/>
      <c r="RTK313" s="287"/>
      <c r="RTL313" s="287"/>
      <c r="RTM313" s="287"/>
      <c r="RTN313" s="287"/>
      <c r="RTO313" s="287"/>
      <c r="RTP313" s="287"/>
      <c r="RTQ313" s="287"/>
      <c r="RTR313" s="287"/>
      <c r="RTS313" s="287"/>
      <c r="RTT313" s="287"/>
      <c r="RTU313" s="287"/>
      <c r="RTV313" s="287"/>
      <c r="RTW313" s="287"/>
      <c r="RTX313" s="287"/>
      <c r="RTY313" s="287"/>
      <c r="RTZ313" s="287"/>
      <c r="RUA313" s="287"/>
      <c r="RUB313" s="287"/>
      <c r="RUC313" s="287"/>
      <c r="RUD313" s="287"/>
      <c r="RUE313" s="287"/>
      <c r="RUF313" s="287"/>
      <c r="RUG313" s="287"/>
      <c r="RUH313" s="287"/>
      <c r="RUI313" s="287"/>
      <c r="RUJ313" s="287"/>
      <c r="RUK313" s="287"/>
      <c r="RUL313" s="287"/>
      <c r="RUM313" s="287"/>
      <c r="RUN313" s="287"/>
      <c r="RUO313" s="287"/>
      <c r="RUP313" s="287"/>
      <c r="RUQ313" s="287"/>
      <c r="RUR313" s="287"/>
      <c r="RUS313" s="287"/>
      <c r="RUT313" s="287"/>
      <c r="RUU313" s="287"/>
      <c r="RUV313" s="287"/>
      <c r="RUW313" s="287"/>
      <c r="RUX313" s="287"/>
      <c r="RUY313" s="287"/>
      <c r="RUZ313" s="287"/>
      <c r="RVA313" s="287"/>
      <c r="RVB313" s="287"/>
      <c r="RVC313" s="287"/>
      <c r="RVD313" s="287"/>
      <c r="RVE313" s="287"/>
      <c r="RVF313" s="287"/>
      <c r="RVG313" s="287"/>
      <c r="RVH313" s="287"/>
      <c r="RVI313" s="287"/>
      <c r="RVJ313" s="287"/>
      <c r="RVK313" s="287"/>
      <c r="RVL313" s="287"/>
      <c r="RVM313" s="287"/>
      <c r="RVN313" s="287"/>
      <c r="RVO313" s="287"/>
      <c r="RVP313" s="287"/>
      <c r="RVQ313" s="287"/>
      <c r="RVR313" s="287"/>
      <c r="RVS313" s="287"/>
      <c r="RVT313" s="287"/>
      <c r="RVU313" s="287"/>
      <c r="RVV313" s="287"/>
      <c r="RVW313" s="287"/>
      <c r="RVX313" s="287"/>
      <c r="RVY313" s="287"/>
      <c r="RVZ313" s="287"/>
      <c r="RWA313" s="287"/>
      <c r="RWB313" s="287"/>
      <c r="RWC313" s="287"/>
      <c r="RWD313" s="287"/>
      <c r="RWE313" s="287"/>
      <c r="RWF313" s="287"/>
      <c r="RWG313" s="287"/>
      <c r="RWH313" s="287"/>
      <c r="RWI313" s="287"/>
      <c r="RWJ313" s="287"/>
      <c r="RWK313" s="287"/>
      <c r="RWL313" s="287"/>
      <c r="RWM313" s="287"/>
      <c r="RWN313" s="287"/>
      <c r="RWO313" s="287"/>
      <c r="RWP313" s="287"/>
      <c r="RWQ313" s="287"/>
      <c r="RWR313" s="287"/>
      <c r="RWS313" s="287"/>
      <c r="RWT313" s="287"/>
      <c r="RWU313" s="287"/>
      <c r="RWV313" s="287"/>
      <c r="RWW313" s="287"/>
      <c r="RWX313" s="287"/>
      <c r="RWY313" s="287"/>
      <c r="RWZ313" s="287"/>
      <c r="RXA313" s="287"/>
      <c r="RXB313" s="287"/>
      <c r="RXC313" s="287"/>
      <c r="RXD313" s="287"/>
      <c r="RXE313" s="287"/>
      <c r="RXF313" s="287"/>
      <c r="RXG313" s="287"/>
      <c r="RXH313" s="287"/>
      <c r="RXI313" s="287"/>
      <c r="RXJ313" s="287"/>
      <c r="RXK313" s="287"/>
      <c r="RXL313" s="287"/>
      <c r="RXM313" s="287"/>
      <c r="RXN313" s="287"/>
      <c r="RXO313" s="287"/>
      <c r="RXP313" s="287"/>
      <c r="RXQ313" s="287"/>
      <c r="RXR313" s="287"/>
      <c r="RXS313" s="287"/>
      <c r="RXT313" s="287"/>
      <c r="RXU313" s="287"/>
      <c r="RXV313" s="287"/>
      <c r="RXW313" s="287"/>
      <c r="RXX313" s="287"/>
      <c r="RXY313" s="287"/>
      <c r="RXZ313" s="287"/>
      <c r="RYA313" s="287"/>
      <c r="RYB313" s="287"/>
      <c r="RYC313" s="287"/>
      <c r="RYD313" s="287"/>
      <c r="RYE313" s="287"/>
      <c r="RYF313" s="287"/>
      <c r="RYG313" s="287"/>
      <c r="RYH313" s="287"/>
      <c r="RYI313" s="287"/>
      <c r="RYJ313" s="287"/>
      <c r="RYK313" s="287"/>
      <c r="RYL313" s="287"/>
      <c r="RYM313" s="287"/>
      <c r="RYN313" s="287"/>
      <c r="RYO313" s="287"/>
      <c r="RYP313" s="287"/>
      <c r="RYQ313" s="287"/>
      <c r="RYR313" s="287"/>
      <c r="RYS313" s="287"/>
      <c r="RYT313" s="287"/>
      <c r="RYU313" s="287"/>
      <c r="RYV313" s="287"/>
      <c r="RYW313" s="287"/>
      <c r="RYX313" s="287"/>
      <c r="RYY313" s="287"/>
      <c r="RYZ313" s="287"/>
      <c r="RZA313" s="287"/>
      <c r="RZB313" s="287"/>
      <c r="RZC313" s="287"/>
      <c r="RZD313" s="287"/>
      <c r="RZE313" s="287"/>
      <c r="RZF313" s="287"/>
      <c r="RZG313" s="287"/>
      <c r="RZH313" s="287"/>
      <c r="RZI313" s="287"/>
      <c r="RZJ313" s="287"/>
      <c r="RZK313" s="287"/>
      <c r="RZL313" s="287"/>
      <c r="RZM313" s="287"/>
      <c r="RZN313" s="287"/>
      <c r="RZO313" s="287"/>
      <c r="RZP313" s="287"/>
      <c r="RZQ313" s="287"/>
      <c r="RZR313" s="287"/>
      <c r="RZS313" s="287"/>
      <c r="RZT313" s="287"/>
      <c r="RZU313" s="287"/>
      <c r="RZV313" s="287"/>
      <c r="RZW313" s="287"/>
      <c r="RZX313" s="287"/>
      <c r="RZY313" s="287"/>
      <c r="RZZ313" s="287"/>
      <c r="SAA313" s="287"/>
      <c r="SAB313" s="287"/>
      <c r="SAC313" s="287"/>
      <c r="SAD313" s="287"/>
      <c r="SAE313" s="287"/>
      <c r="SAF313" s="287"/>
      <c r="SAG313" s="287"/>
      <c r="SAH313" s="287"/>
      <c r="SAI313" s="287"/>
      <c r="SAJ313" s="287"/>
      <c r="SAK313" s="287"/>
      <c r="SAL313" s="287"/>
      <c r="SAM313" s="287"/>
      <c r="SAN313" s="287"/>
      <c r="SAO313" s="287"/>
      <c r="SAP313" s="287"/>
      <c r="SAQ313" s="287"/>
      <c r="SAR313" s="287"/>
      <c r="SAS313" s="287"/>
      <c r="SAT313" s="287"/>
      <c r="SAU313" s="287"/>
      <c r="SAV313" s="287"/>
      <c r="SAW313" s="287"/>
      <c r="SAX313" s="287"/>
      <c r="SAY313" s="287"/>
      <c r="SAZ313" s="287"/>
      <c r="SBA313" s="287"/>
      <c r="SBB313" s="287"/>
      <c r="SBC313" s="287"/>
      <c r="SBD313" s="287"/>
      <c r="SBE313" s="287"/>
      <c r="SBF313" s="287"/>
      <c r="SBG313" s="287"/>
      <c r="SBH313" s="287"/>
      <c r="SBI313" s="287"/>
      <c r="SBJ313" s="287"/>
      <c r="SBK313" s="287"/>
      <c r="SBL313" s="287"/>
      <c r="SBM313" s="287"/>
      <c r="SBN313" s="287"/>
      <c r="SBO313" s="287"/>
      <c r="SBP313" s="287"/>
      <c r="SBQ313" s="287"/>
      <c r="SBR313" s="287"/>
      <c r="SBS313" s="287"/>
      <c r="SBT313" s="287"/>
      <c r="SBU313" s="287"/>
      <c r="SBV313" s="287"/>
      <c r="SBW313" s="287"/>
      <c r="SBX313" s="287"/>
      <c r="SBY313" s="287"/>
      <c r="SBZ313" s="287"/>
      <c r="SCA313" s="287"/>
      <c r="SCB313" s="287"/>
      <c r="SCC313" s="287"/>
      <c r="SCD313" s="287"/>
      <c r="SCE313" s="287"/>
      <c r="SCF313" s="287"/>
      <c r="SCG313" s="287"/>
      <c r="SCH313" s="287"/>
      <c r="SCI313" s="287"/>
      <c r="SCJ313" s="287"/>
      <c r="SCK313" s="287"/>
      <c r="SCL313" s="287"/>
      <c r="SCM313" s="287"/>
      <c r="SCN313" s="287"/>
      <c r="SCO313" s="287"/>
      <c r="SCP313" s="287"/>
      <c r="SCQ313" s="287"/>
      <c r="SCR313" s="287"/>
      <c r="SCS313" s="287"/>
      <c r="SCT313" s="287"/>
      <c r="SCU313" s="287"/>
      <c r="SCV313" s="287"/>
      <c r="SCW313" s="287"/>
      <c r="SCX313" s="287"/>
      <c r="SCY313" s="287"/>
      <c r="SCZ313" s="287"/>
      <c r="SDA313" s="287"/>
      <c r="SDB313" s="287"/>
      <c r="SDC313" s="287"/>
      <c r="SDD313" s="287"/>
      <c r="SDE313" s="287"/>
      <c r="SDF313" s="287"/>
      <c r="SDG313" s="287"/>
      <c r="SDH313" s="287"/>
      <c r="SDI313" s="287"/>
      <c r="SDJ313" s="287"/>
      <c r="SDK313" s="287"/>
      <c r="SDL313" s="287"/>
      <c r="SDM313" s="287"/>
      <c r="SDN313" s="287"/>
      <c r="SDO313" s="287"/>
      <c r="SDP313" s="287"/>
      <c r="SDQ313" s="287"/>
      <c r="SDR313" s="287"/>
      <c r="SDS313" s="287"/>
      <c r="SDT313" s="287"/>
      <c r="SDU313" s="287"/>
      <c r="SDV313" s="287"/>
      <c r="SDW313" s="287"/>
      <c r="SDX313" s="287"/>
      <c r="SDY313" s="287"/>
      <c r="SDZ313" s="287"/>
      <c r="SEA313" s="287"/>
      <c r="SEB313" s="287"/>
      <c r="SEC313" s="287"/>
      <c r="SED313" s="287"/>
      <c r="SEE313" s="287"/>
      <c r="SEF313" s="287"/>
      <c r="SEG313" s="287"/>
      <c r="SEH313" s="287"/>
      <c r="SEI313" s="287"/>
      <c r="SEJ313" s="287"/>
      <c r="SEK313" s="287"/>
      <c r="SEL313" s="287"/>
      <c r="SEM313" s="287"/>
      <c r="SEN313" s="287"/>
      <c r="SEO313" s="287"/>
      <c r="SEP313" s="287"/>
      <c r="SEQ313" s="287"/>
      <c r="SER313" s="287"/>
      <c r="SES313" s="287"/>
      <c r="SET313" s="287"/>
      <c r="SEU313" s="287"/>
      <c r="SEV313" s="287"/>
      <c r="SEW313" s="287"/>
      <c r="SEX313" s="287"/>
      <c r="SEY313" s="287"/>
      <c r="SEZ313" s="287"/>
      <c r="SFA313" s="287"/>
      <c r="SFB313" s="287"/>
      <c r="SFC313" s="287"/>
      <c r="SFD313" s="287"/>
      <c r="SFE313" s="287"/>
      <c r="SFF313" s="287"/>
      <c r="SFG313" s="287"/>
      <c r="SFH313" s="287"/>
      <c r="SFI313" s="287"/>
      <c r="SFJ313" s="287"/>
      <c r="SFK313" s="287"/>
      <c r="SFL313" s="287"/>
      <c r="SFM313" s="287"/>
      <c r="SFN313" s="287"/>
      <c r="SFO313" s="287"/>
      <c r="SFP313" s="287"/>
      <c r="SFQ313" s="287"/>
      <c r="SFR313" s="287"/>
      <c r="SFS313" s="287"/>
      <c r="SFT313" s="287"/>
      <c r="SFU313" s="287"/>
      <c r="SFV313" s="287"/>
      <c r="SFW313" s="287"/>
      <c r="SFX313" s="287"/>
      <c r="SFY313" s="287"/>
      <c r="SFZ313" s="287"/>
      <c r="SGA313" s="287"/>
      <c r="SGB313" s="287"/>
      <c r="SGC313" s="287"/>
      <c r="SGD313" s="287"/>
      <c r="SGE313" s="287"/>
      <c r="SGF313" s="287"/>
      <c r="SGG313" s="287"/>
      <c r="SGH313" s="287"/>
      <c r="SGI313" s="287"/>
      <c r="SGJ313" s="287"/>
      <c r="SGK313" s="287"/>
      <c r="SGL313" s="287"/>
      <c r="SGM313" s="287"/>
      <c r="SGN313" s="287"/>
      <c r="SGO313" s="287"/>
      <c r="SGP313" s="287"/>
      <c r="SGQ313" s="287"/>
      <c r="SGR313" s="287"/>
      <c r="SGS313" s="287"/>
      <c r="SGT313" s="287"/>
      <c r="SGU313" s="287"/>
      <c r="SGV313" s="287"/>
      <c r="SGW313" s="287"/>
      <c r="SGX313" s="287"/>
      <c r="SGY313" s="287"/>
      <c r="SGZ313" s="287"/>
      <c r="SHA313" s="287"/>
      <c r="SHB313" s="287"/>
      <c r="SHC313" s="287"/>
      <c r="SHD313" s="287"/>
      <c r="SHE313" s="287"/>
      <c r="SHF313" s="287"/>
      <c r="SHG313" s="287"/>
      <c r="SHH313" s="287"/>
      <c r="SHI313" s="287"/>
      <c r="SHJ313" s="287"/>
      <c r="SHK313" s="287"/>
      <c r="SHL313" s="287"/>
      <c r="SHM313" s="287"/>
      <c r="SHN313" s="287"/>
      <c r="SHO313" s="287"/>
      <c r="SHP313" s="287"/>
      <c r="SHQ313" s="287"/>
      <c r="SHR313" s="287"/>
      <c r="SHS313" s="287"/>
      <c r="SHT313" s="287"/>
      <c r="SHU313" s="287"/>
      <c r="SHV313" s="287"/>
      <c r="SHW313" s="287"/>
      <c r="SHX313" s="287"/>
      <c r="SHY313" s="287"/>
      <c r="SHZ313" s="287"/>
      <c r="SIA313" s="287"/>
      <c r="SIB313" s="287"/>
      <c r="SIC313" s="287"/>
      <c r="SID313" s="287"/>
      <c r="SIE313" s="287"/>
      <c r="SIF313" s="287"/>
      <c r="SIG313" s="287"/>
      <c r="SIH313" s="287"/>
      <c r="SII313" s="287"/>
      <c r="SIJ313" s="287"/>
      <c r="SIK313" s="287"/>
      <c r="SIL313" s="287"/>
      <c r="SIM313" s="287"/>
      <c r="SIN313" s="287"/>
      <c r="SIO313" s="287"/>
      <c r="SIP313" s="287"/>
      <c r="SIQ313" s="287"/>
      <c r="SIR313" s="287"/>
      <c r="SIS313" s="287"/>
      <c r="SIT313" s="287"/>
      <c r="SIU313" s="287"/>
      <c r="SIV313" s="287"/>
      <c r="SIW313" s="287"/>
      <c r="SIX313" s="287"/>
      <c r="SIY313" s="287"/>
      <c r="SIZ313" s="287"/>
      <c r="SJA313" s="287"/>
      <c r="SJB313" s="287"/>
      <c r="SJC313" s="287"/>
      <c r="SJD313" s="287"/>
      <c r="SJE313" s="287"/>
      <c r="SJF313" s="287"/>
      <c r="SJG313" s="287"/>
      <c r="SJH313" s="287"/>
      <c r="SJI313" s="287"/>
      <c r="SJJ313" s="287"/>
      <c r="SJK313" s="287"/>
      <c r="SJL313" s="287"/>
      <c r="SJM313" s="287"/>
      <c r="SJN313" s="287"/>
      <c r="SJO313" s="287"/>
      <c r="SJP313" s="287"/>
      <c r="SJQ313" s="287"/>
      <c r="SJR313" s="287"/>
      <c r="SJS313" s="287"/>
      <c r="SJT313" s="287"/>
      <c r="SJU313" s="287"/>
      <c r="SJV313" s="287"/>
      <c r="SJW313" s="287"/>
      <c r="SJX313" s="287"/>
      <c r="SJY313" s="287"/>
      <c r="SJZ313" s="287"/>
      <c r="SKA313" s="287"/>
      <c r="SKB313" s="287"/>
      <c r="SKC313" s="287"/>
      <c r="SKD313" s="287"/>
      <c r="SKE313" s="287"/>
      <c r="SKF313" s="287"/>
      <c r="SKG313" s="287"/>
      <c r="SKH313" s="287"/>
      <c r="SKI313" s="287"/>
      <c r="SKJ313" s="287"/>
      <c r="SKK313" s="287"/>
      <c r="SKL313" s="287"/>
      <c r="SKM313" s="287"/>
      <c r="SKN313" s="287"/>
      <c r="SKO313" s="287"/>
      <c r="SKP313" s="287"/>
      <c r="SKQ313" s="287"/>
      <c r="SKR313" s="287"/>
      <c r="SKS313" s="287"/>
      <c r="SKT313" s="287"/>
      <c r="SKU313" s="287"/>
      <c r="SKV313" s="287"/>
      <c r="SKW313" s="287"/>
      <c r="SKX313" s="287"/>
      <c r="SKY313" s="287"/>
      <c r="SKZ313" s="287"/>
      <c r="SLA313" s="287"/>
      <c r="SLB313" s="287"/>
      <c r="SLC313" s="287"/>
      <c r="SLD313" s="287"/>
      <c r="SLE313" s="287"/>
      <c r="SLF313" s="287"/>
      <c r="SLG313" s="287"/>
      <c r="SLH313" s="287"/>
      <c r="SLI313" s="287"/>
      <c r="SLJ313" s="287"/>
      <c r="SLK313" s="287"/>
      <c r="SLL313" s="287"/>
      <c r="SLM313" s="287"/>
      <c r="SLN313" s="287"/>
      <c r="SLO313" s="287"/>
      <c r="SLP313" s="287"/>
      <c r="SLQ313" s="287"/>
      <c r="SLR313" s="287"/>
      <c r="SLS313" s="287"/>
      <c r="SLT313" s="287"/>
      <c r="SLU313" s="287"/>
      <c r="SLV313" s="287"/>
      <c r="SLW313" s="287"/>
      <c r="SLX313" s="287"/>
      <c r="SLY313" s="287"/>
      <c r="SLZ313" s="287"/>
      <c r="SMA313" s="287"/>
      <c r="SMB313" s="287"/>
      <c r="SMC313" s="287"/>
      <c r="SMD313" s="287"/>
      <c r="SME313" s="287"/>
      <c r="SMF313" s="287"/>
      <c r="SMG313" s="287"/>
      <c r="SMH313" s="287"/>
      <c r="SMI313" s="287"/>
      <c r="SMJ313" s="287"/>
      <c r="SMK313" s="287"/>
      <c r="SML313" s="287"/>
      <c r="SMM313" s="287"/>
      <c r="SMN313" s="287"/>
      <c r="SMO313" s="287"/>
      <c r="SMP313" s="287"/>
      <c r="SMQ313" s="287"/>
      <c r="SMR313" s="287"/>
      <c r="SMS313" s="287"/>
      <c r="SMT313" s="287"/>
      <c r="SMU313" s="287"/>
      <c r="SMV313" s="287"/>
      <c r="SMW313" s="287"/>
      <c r="SMX313" s="287"/>
      <c r="SMY313" s="287"/>
      <c r="SMZ313" s="287"/>
      <c r="SNA313" s="287"/>
      <c r="SNB313" s="287"/>
      <c r="SNC313" s="287"/>
      <c r="SND313" s="287"/>
      <c r="SNE313" s="287"/>
      <c r="SNF313" s="287"/>
      <c r="SNG313" s="287"/>
      <c r="SNH313" s="287"/>
      <c r="SNI313" s="287"/>
      <c r="SNJ313" s="287"/>
      <c r="SNK313" s="287"/>
      <c r="SNL313" s="287"/>
      <c r="SNM313" s="287"/>
      <c r="SNN313" s="287"/>
      <c r="SNO313" s="287"/>
      <c r="SNP313" s="287"/>
      <c r="SNQ313" s="287"/>
      <c r="SNR313" s="287"/>
      <c r="SNS313" s="287"/>
      <c r="SNT313" s="287"/>
      <c r="SNU313" s="287"/>
      <c r="SNV313" s="287"/>
      <c r="SNW313" s="287"/>
      <c r="SNX313" s="287"/>
      <c r="SNY313" s="287"/>
      <c r="SNZ313" s="287"/>
      <c r="SOA313" s="287"/>
      <c r="SOB313" s="287"/>
      <c r="SOC313" s="287"/>
      <c r="SOD313" s="287"/>
      <c r="SOE313" s="287"/>
      <c r="SOF313" s="287"/>
      <c r="SOG313" s="287"/>
      <c r="SOH313" s="287"/>
      <c r="SOI313" s="287"/>
      <c r="SOJ313" s="287"/>
      <c r="SOK313" s="287"/>
      <c r="SOL313" s="287"/>
      <c r="SOM313" s="287"/>
      <c r="SON313" s="287"/>
      <c r="SOO313" s="287"/>
      <c r="SOP313" s="287"/>
      <c r="SOQ313" s="287"/>
      <c r="SOR313" s="287"/>
      <c r="SOS313" s="287"/>
      <c r="SOT313" s="287"/>
      <c r="SOU313" s="287"/>
      <c r="SOV313" s="287"/>
      <c r="SOW313" s="287"/>
      <c r="SOX313" s="287"/>
      <c r="SOY313" s="287"/>
      <c r="SOZ313" s="287"/>
      <c r="SPA313" s="287"/>
      <c r="SPB313" s="287"/>
      <c r="SPC313" s="287"/>
      <c r="SPD313" s="287"/>
      <c r="SPE313" s="287"/>
      <c r="SPF313" s="287"/>
      <c r="SPG313" s="287"/>
      <c r="SPH313" s="287"/>
      <c r="SPI313" s="287"/>
      <c r="SPJ313" s="287"/>
      <c r="SPK313" s="287"/>
      <c r="SPL313" s="287"/>
      <c r="SPM313" s="287"/>
      <c r="SPN313" s="287"/>
      <c r="SPO313" s="287"/>
      <c r="SPP313" s="287"/>
      <c r="SPQ313" s="287"/>
      <c r="SPR313" s="287"/>
      <c r="SPS313" s="287"/>
      <c r="SPT313" s="287"/>
      <c r="SPU313" s="287"/>
      <c r="SPV313" s="287"/>
      <c r="SPW313" s="287"/>
      <c r="SPX313" s="287"/>
      <c r="SPY313" s="287"/>
      <c r="SPZ313" s="287"/>
      <c r="SQA313" s="287"/>
      <c r="SQB313" s="287"/>
      <c r="SQC313" s="287"/>
      <c r="SQD313" s="287"/>
      <c r="SQE313" s="287"/>
      <c r="SQF313" s="287"/>
      <c r="SQG313" s="287"/>
      <c r="SQH313" s="287"/>
      <c r="SQI313" s="287"/>
      <c r="SQJ313" s="287"/>
      <c r="SQK313" s="287"/>
      <c r="SQL313" s="287"/>
      <c r="SQM313" s="287"/>
      <c r="SQN313" s="287"/>
      <c r="SQO313" s="287"/>
      <c r="SQP313" s="287"/>
      <c r="SQQ313" s="287"/>
      <c r="SQR313" s="287"/>
      <c r="SQS313" s="287"/>
      <c r="SQT313" s="287"/>
      <c r="SQU313" s="287"/>
      <c r="SQV313" s="287"/>
      <c r="SQW313" s="287"/>
      <c r="SQX313" s="287"/>
      <c r="SQY313" s="287"/>
      <c r="SQZ313" s="287"/>
      <c r="SRA313" s="287"/>
      <c r="SRB313" s="287"/>
      <c r="SRC313" s="287"/>
      <c r="SRD313" s="287"/>
      <c r="SRE313" s="287"/>
      <c r="SRF313" s="287"/>
      <c r="SRG313" s="287"/>
      <c r="SRH313" s="287"/>
      <c r="SRI313" s="287"/>
      <c r="SRJ313" s="287"/>
      <c r="SRK313" s="287"/>
      <c r="SRL313" s="287"/>
      <c r="SRM313" s="287"/>
      <c r="SRN313" s="287"/>
      <c r="SRO313" s="287"/>
      <c r="SRP313" s="287"/>
      <c r="SRQ313" s="287"/>
      <c r="SRR313" s="287"/>
      <c r="SRS313" s="287"/>
      <c r="SRT313" s="287"/>
      <c r="SRU313" s="287"/>
      <c r="SRV313" s="287"/>
      <c r="SRW313" s="287"/>
      <c r="SRX313" s="287"/>
      <c r="SRY313" s="287"/>
      <c r="SRZ313" s="287"/>
      <c r="SSA313" s="287"/>
      <c r="SSB313" s="287"/>
      <c r="SSC313" s="287"/>
      <c r="SSD313" s="287"/>
      <c r="SSE313" s="287"/>
      <c r="SSF313" s="287"/>
      <c r="SSG313" s="287"/>
      <c r="SSH313" s="287"/>
      <c r="SSI313" s="287"/>
      <c r="SSJ313" s="287"/>
      <c r="SSK313" s="287"/>
      <c r="SSL313" s="287"/>
      <c r="SSM313" s="287"/>
      <c r="SSN313" s="287"/>
      <c r="SSO313" s="287"/>
      <c r="SSP313" s="287"/>
      <c r="SSQ313" s="287"/>
      <c r="SSR313" s="287"/>
      <c r="SSS313" s="287"/>
      <c r="SST313" s="287"/>
      <c r="SSU313" s="287"/>
      <c r="SSV313" s="287"/>
      <c r="SSW313" s="287"/>
      <c r="SSX313" s="287"/>
      <c r="SSY313" s="287"/>
      <c r="SSZ313" s="287"/>
      <c r="STA313" s="287"/>
      <c r="STB313" s="287"/>
      <c r="STC313" s="287"/>
      <c r="STD313" s="287"/>
      <c r="STE313" s="287"/>
      <c r="STF313" s="287"/>
      <c r="STG313" s="287"/>
      <c r="STH313" s="287"/>
      <c r="STI313" s="287"/>
      <c r="STJ313" s="287"/>
      <c r="STK313" s="287"/>
      <c r="STL313" s="287"/>
      <c r="STM313" s="287"/>
      <c r="STN313" s="287"/>
      <c r="STO313" s="287"/>
      <c r="STP313" s="287"/>
      <c r="STQ313" s="287"/>
      <c r="STR313" s="287"/>
      <c r="STS313" s="287"/>
      <c r="STT313" s="287"/>
      <c r="STU313" s="287"/>
      <c r="STV313" s="287"/>
      <c r="STW313" s="287"/>
      <c r="STX313" s="287"/>
      <c r="STY313" s="287"/>
      <c r="STZ313" s="287"/>
      <c r="SUA313" s="287"/>
      <c r="SUB313" s="287"/>
      <c r="SUC313" s="287"/>
      <c r="SUD313" s="287"/>
      <c r="SUE313" s="287"/>
      <c r="SUF313" s="287"/>
      <c r="SUG313" s="287"/>
      <c r="SUH313" s="287"/>
      <c r="SUI313" s="287"/>
      <c r="SUJ313" s="287"/>
      <c r="SUK313" s="287"/>
      <c r="SUL313" s="287"/>
      <c r="SUM313" s="287"/>
      <c r="SUN313" s="287"/>
      <c r="SUO313" s="287"/>
      <c r="SUP313" s="287"/>
      <c r="SUQ313" s="287"/>
      <c r="SUR313" s="287"/>
      <c r="SUS313" s="287"/>
      <c r="SUT313" s="287"/>
      <c r="SUU313" s="287"/>
      <c r="SUV313" s="287"/>
      <c r="SUW313" s="287"/>
      <c r="SUX313" s="287"/>
      <c r="SUY313" s="287"/>
      <c r="SUZ313" s="287"/>
      <c r="SVA313" s="287"/>
      <c r="SVB313" s="287"/>
      <c r="SVC313" s="287"/>
      <c r="SVD313" s="287"/>
      <c r="SVE313" s="287"/>
      <c r="SVF313" s="287"/>
      <c r="SVG313" s="287"/>
      <c r="SVH313" s="287"/>
      <c r="SVI313" s="287"/>
      <c r="SVJ313" s="287"/>
      <c r="SVK313" s="287"/>
      <c r="SVL313" s="287"/>
      <c r="SVM313" s="287"/>
      <c r="SVN313" s="287"/>
      <c r="SVO313" s="287"/>
      <c r="SVP313" s="287"/>
      <c r="SVQ313" s="287"/>
      <c r="SVR313" s="287"/>
      <c r="SVS313" s="287"/>
      <c r="SVT313" s="287"/>
      <c r="SVU313" s="287"/>
      <c r="SVV313" s="287"/>
      <c r="SVW313" s="287"/>
      <c r="SVX313" s="287"/>
      <c r="SVY313" s="287"/>
      <c r="SVZ313" s="287"/>
      <c r="SWA313" s="287"/>
      <c r="SWB313" s="287"/>
      <c r="SWC313" s="287"/>
      <c r="SWD313" s="287"/>
      <c r="SWE313" s="287"/>
      <c r="SWF313" s="287"/>
      <c r="SWG313" s="287"/>
      <c r="SWH313" s="287"/>
      <c r="SWI313" s="287"/>
      <c r="SWJ313" s="287"/>
      <c r="SWK313" s="287"/>
      <c r="SWL313" s="287"/>
      <c r="SWM313" s="287"/>
      <c r="SWN313" s="287"/>
      <c r="SWO313" s="287"/>
      <c r="SWP313" s="287"/>
      <c r="SWQ313" s="287"/>
      <c r="SWR313" s="287"/>
      <c r="SWS313" s="287"/>
      <c r="SWT313" s="287"/>
      <c r="SWU313" s="287"/>
      <c r="SWV313" s="287"/>
      <c r="SWW313" s="287"/>
      <c r="SWX313" s="287"/>
      <c r="SWY313" s="287"/>
      <c r="SWZ313" s="287"/>
      <c r="SXA313" s="287"/>
      <c r="SXB313" s="287"/>
      <c r="SXC313" s="287"/>
      <c r="SXD313" s="287"/>
      <c r="SXE313" s="287"/>
      <c r="SXF313" s="287"/>
      <c r="SXG313" s="287"/>
      <c r="SXH313" s="287"/>
      <c r="SXI313" s="287"/>
      <c r="SXJ313" s="287"/>
      <c r="SXK313" s="287"/>
      <c r="SXL313" s="287"/>
      <c r="SXM313" s="287"/>
      <c r="SXN313" s="287"/>
      <c r="SXO313" s="287"/>
      <c r="SXP313" s="287"/>
      <c r="SXQ313" s="287"/>
      <c r="SXR313" s="287"/>
      <c r="SXS313" s="287"/>
      <c r="SXT313" s="287"/>
      <c r="SXU313" s="287"/>
      <c r="SXV313" s="287"/>
      <c r="SXW313" s="287"/>
      <c r="SXX313" s="287"/>
      <c r="SXY313" s="287"/>
      <c r="SXZ313" s="287"/>
      <c r="SYA313" s="287"/>
      <c r="SYB313" s="287"/>
      <c r="SYC313" s="287"/>
      <c r="SYD313" s="287"/>
      <c r="SYE313" s="287"/>
      <c r="SYF313" s="287"/>
      <c r="SYG313" s="287"/>
      <c r="SYH313" s="287"/>
      <c r="SYI313" s="287"/>
      <c r="SYJ313" s="287"/>
      <c r="SYK313" s="287"/>
      <c r="SYL313" s="287"/>
      <c r="SYM313" s="287"/>
      <c r="SYN313" s="287"/>
      <c r="SYO313" s="287"/>
      <c r="SYP313" s="287"/>
      <c r="SYQ313" s="287"/>
      <c r="SYR313" s="287"/>
      <c r="SYS313" s="287"/>
      <c r="SYT313" s="287"/>
      <c r="SYU313" s="287"/>
      <c r="SYV313" s="287"/>
      <c r="SYW313" s="287"/>
      <c r="SYX313" s="287"/>
      <c r="SYY313" s="287"/>
      <c r="SYZ313" s="287"/>
      <c r="SZA313" s="287"/>
      <c r="SZB313" s="287"/>
      <c r="SZC313" s="287"/>
      <c r="SZD313" s="287"/>
      <c r="SZE313" s="287"/>
      <c r="SZF313" s="287"/>
      <c r="SZG313" s="287"/>
      <c r="SZH313" s="287"/>
      <c r="SZI313" s="287"/>
      <c r="SZJ313" s="287"/>
      <c r="SZK313" s="287"/>
      <c r="SZL313" s="287"/>
      <c r="SZM313" s="287"/>
      <c r="SZN313" s="287"/>
      <c r="SZO313" s="287"/>
      <c r="SZP313" s="287"/>
      <c r="SZQ313" s="287"/>
      <c r="SZR313" s="287"/>
      <c r="SZS313" s="287"/>
      <c r="SZT313" s="287"/>
      <c r="SZU313" s="287"/>
      <c r="SZV313" s="287"/>
      <c r="SZW313" s="287"/>
      <c r="SZX313" s="287"/>
      <c r="SZY313" s="287"/>
      <c r="SZZ313" s="287"/>
      <c r="TAA313" s="287"/>
      <c r="TAB313" s="287"/>
      <c r="TAC313" s="287"/>
      <c r="TAD313" s="287"/>
      <c r="TAE313" s="287"/>
      <c r="TAF313" s="287"/>
      <c r="TAG313" s="287"/>
      <c r="TAH313" s="287"/>
      <c r="TAI313" s="287"/>
      <c r="TAJ313" s="287"/>
      <c r="TAK313" s="287"/>
      <c r="TAL313" s="287"/>
      <c r="TAM313" s="287"/>
      <c r="TAN313" s="287"/>
      <c r="TAO313" s="287"/>
      <c r="TAP313" s="287"/>
      <c r="TAQ313" s="287"/>
      <c r="TAR313" s="287"/>
      <c r="TAS313" s="287"/>
      <c r="TAT313" s="287"/>
      <c r="TAU313" s="287"/>
      <c r="TAV313" s="287"/>
      <c r="TAW313" s="287"/>
      <c r="TAX313" s="287"/>
      <c r="TAY313" s="287"/>
      <c r="TAZ313" s="287"/>
      <c r="TBA313" s="287"/>
      <c r="TBB313" s="287"/>
      <c r="TBC313" s="287"/>
      <c r="TBD313" s="287"/>
      <c r="TBE313" s="287"/>
      <c r="TBF313" s="287"/>
      <c r="TBG313" s="287"/>
      <c r="TBH313" s="287"/>
      <c r="TBI313" s="287"/>
      <c r="TBJ313" s="287"/>
      <c r="TBK313" s="287"/>
      <c r="TBL313" s="287"/>
      <c r="TBM313" s="287"/>
      <c r="TBN313" s="287"/>
      <c r="TBO313" s="287"/>
      <c r="TBP313" s="287"/>
      <c r="TBQ313" s="287"/>
      <c r="TBR313" s="287"/>
      <c r="TBS313" s="287"/>
      <c r="TBT313" s="287"/>
      <c r="TBU313" s="287"/>
      <c r="TBV313" s="287"/>
      <c r="TBW313" s="287"/>
      <c r="TBX313" s="287"/>
      <c r="TBY313" s="287"/>
      <c r="TBZ313" s="287"/>
      <c r="TCA313" s="287"/>
      <c r="TCB313" s="287"/>
      <c r="TCC313" s="287"/>
      <c r="TCD313" s="287"/>
      <c r="TCE313" s="287"/>
      <c r="TCF313" s="287"/>
      <c r="TCG313" s="287"/>
      <c r="TCH313" s="287"/>
      <c r="TCI313" s="287"/>
      <c r="TCJ313" s="287"/>
      <c r="TCK313" s="287"/>
      <c r="TCL313" s="287"/>
      <c r="TCM313" s="287"/>
      <c r="TCN313" s="287"/>
      <c r="TCO313" s="287"/>
      <c r="TCP313" s="287"/>
      <c r="TCQ313" s="287"/>
      <c r="TCR313" s="287"/>
      <c r="TCS313" s="287"/>
      <c r="TCT313" s="287"/>
      <c r="TCU313" s="287"/>
      <c r="TCV313" s="287"/>
      <c r="TCW313" s="287"/>
      <c r="TCX313" s="287"/>
      <c r="TCY313" s="287"/>
      <c r="TCZ313" s="287"/>
      <c r="TDA313" s="287"/>
      <c r="TDB313" s="287"/>
      <c r="TDC313" s="287"/>
      <c r="TDD313" s="287"/>
      <c r="TDE313" s="287"/>
      <c r="TDF313" s="287"/>
      <c r="TDG313" s="287"/>
      <c r="TDH313" s="287"/>
      <c r="TDI313" s="287"/>
      <c r="TDJ313" s="287"/>
      <c r="TDK313" s="287"/>
      <c r="TDL313" s="287"/>
      <c r="TDM313" s="287"/>
      <c r="TDN313" s="287"/>
      <c r="TDO313" s="287"/>
      <c r="TDP313" s="287"/>
      <c r="TDQ313" s="287"/>
      <c r="TDR313" s="287"/>
      <c r="TDS313" s="287"/>
      <c r="TDT313" s="287"/>
      <c r="TDU313" s="287"/>
      <c r="TDV313" s="287"/>
      <c r="TDW313" s="287"/>
      <c r="TDX313" s="287"/>
      <c r="TDY313" s="287"/>
      <c r="TDZ313" s="287"/>
      <c r="TEA313" s="287"/>
      <c r="TEB313" s="287"/>
      <c r="TEC313" s="287"/>
      <c r="TED313" s="287"/>
      <c r="TEE313" s="287"/>
      <c r="TEF313" s="287"/>
      <c r="TEG313" s="287"/>
      <c r="TEH313" s="287"/>
      <c r="TEI313" s="287"/>
      <c r="TEJ313" s="287"/>
      <c r="TEK313" s="287"/>
      <c r="TEL313" s="287"/>
      <c r="TEM313" s="287"/>
      <c r="TEN313" s="287"/>
      <c r="TEO313" s="287"/>
      <c r="TEP313" s="287"/>
      <c r="TEQ313" s="287"/>
      <c r="TER313" s="287"/>
      <c r="TES313" s="287"/>
      <c r="TET313" s="287"/>
      <c r="TEU313" s="287"/>
      <c r="TEV313" s="287"/>
      <c r="TEW313" s="287"/>
      <c r="TEX313" s="287"/>
      <c r="TEY313" s="287"/>
      <c r="TEZ313" s="287"/>
      <c r="TFA313" s="287"/>
      <c r="TFB313" s="287"/>
      <c r="TFC313" s="287"/>
      <c r="TFD313" s="287"/>
      <c r="TFE313" s="287"/>
      <c r="TFF313" s="287"/>
      <c r="TFG313" s="287"/>
      <c r="TFH313" s="287"/>
      <c r="TFI313" s="287"/>
      <c r="TFJ313" s="287"/>
      <c r="TFK313" s="287"/>
      <c r="TFL313" s="287"/>
      <c r="TFM313" s="287"/>
      <c r="TFN313" s="287"/>
      <c r="TFO313" s="287"/>
      <c r="TFP313" s="287"/>
      <c r="TFQ313" s="287"/>
      <c r="TFR313" s="287"/>
      <c r="TFS313" s="287"/>
      <c r="TFT313" s="287"/>
      <c r="TFU313" s="287"/>
      <c r="TFV313" s="287"/>
      <c r="TFW313" s="287"/>
      <c r="TFX313" s="287"/>
      <c r="TFY313" s="287"/>
      <c r="TFZ313" s="287"/>
      <c r="TGA313" s="287"/>
      <c r="TGB313" s="287"/>
      <c r="TGC313" s="287"/>
      <c r="TGD313" s="287"/>
      <c r="TGE313" s="287"/>
      <c r="TGF313" s="287"/>
      <c r="TGG313" s="287"/>
      <c r="TGH313" s="287"/>
      <c r="TGI313" s="287"/>
      <c r="TGJ313" s="287"/>
      <c r="TGK313" s="287"/>
      <c r="TGL313" s="287"/>
      <c r="TGM313" s="287"/>
      <c r="TGN313" s="287"/>
      <c r="TGO313" s="287"/>
      <c r="TGP313" s="287"/>
      <c r="TGQ313" s="287"/>
      <c r="TGR313" s="287"/>
      <c r="TGS313" s="287"/>
      <c r="TGT313" s="287"/>
      <c r="TGU313" s="287"/>
      <c r="TGV313" s="287"/>
      <c r="TGW313" s="287"/>
      <c r="TGX313" s="287"/>
      <c r="TGY313" s="287"/>
      <c r="TGZ313" s="287"/>
      <c r="THA313" s="287"/>
      <c r="THB313" s="287"/>
      <c r="THC313" s="287"/>
      <c r="THD313" s="287"/>
      <c r="THE313" s="287"/>
      <c r="THF313" s="287"/>
      <c r="THG313" s="287"/>
      <c r="THH313" s="287"/>
      <c r="THI313" s="287"/>
      <c r="THJ313" s="287"/>
      <c r="THK313" s="287"/>
      <c r="THL313" s="287"/>
      <c r="THM313" s="287"/>
      <c r="THN313" s="287"/>
      <c r="THO313" s="287"/>
      <c r="THP313" s="287"/>
      <c r="THQ313" s="287"/>
      <c r="THR313" s="287"/>
      <c r="THS313" s="287"/>
      <c r="THT313" s="287"/>
      <c r="THU313" s="287"/>
      <c r="THV313" s="287"/>
      <c r="THW313" s="287"/>
      <c r="THX313" s="287"/>
      <c r="THY313" s="287"/>
      <c r="THZ313" s="287"/>
      <c r="TIA313" s="287"/>
      <c r="TIB313" s="287"/>
      <c r="TIC313" s="287"/>
      <c r="TID313" s="287"/>
      <c r="TIE313" s="287"/>
      <c r="TIF313" s="287"/>
      <c r="TIG313" s="287"/>
      <c r="TIH313" s="287"/>
      <c r="TII313" s="287"/>
      <c r="TIJ313" s="287"/>
      <c r="TIK313" s="287"/>
      <c r="TIL313" s="287"/>
      <c r="TIM313" s="287"/>
      <c r="TIN313" s="287"/>
      <c r="TIO313" s="287"/>
      <c r="TIP313" s="287"/>
      <c r="TIQ313" s="287"/>
      <c r="TIR313" s="287"/>
      <c r="TIS313" s="287"/>
      <c r="TIT313" s="287"/>
      <c r="TIU313" s="287"/>
      <c r="TIV313" s="287"/>
      <c r="TIW313" s="287"/>
      <c r="TIX313" s="287"/>
      <c r="TIY313" s="287"/>
      <c r="TIZ313" s="287"/>
      <c r="TJA313" s="287"/>
      <c r="TJB313" s="287"/>
      <c r="TJC313" s="287"/>
      <c r="TJD313" s="287"/>
      <c r="TJE313" s="287"/>
      <c r="TJF313" s="287"/>
      <c r="TJG313" s="287"/>
      <c r="TJH313" s="287"/>
      <c r="TJI313" s="287"/>
      <c r="TJJ313" s="287"/>
      <c r="TJK313" s="287"/>
      <c r="TJL313" s="287"/>
      <c r="TJM313" s="287"/>
      <c r="TJN313" s="287"/>
      <c r="TJO313" s="287"/>
      <c r="TJP313" s="287"/>
      <c r="TJQ313" s="287"/>
      <c r="TJR313" s="287"/>
      <c r="TJS313" s="287"/>
      <c r="TJT313" s="287"/>
      <c r="TJU313" s="287"/>
      <c r="TJV313" s="287"/>
      <c r="TJW313" s="287"/>
      <c r="TJX313" s="287"/>
      <c r="TJY313" s="287"/>
      <c r="TJZ313" s="287"/>
      <c r="TKA313" s="287"/>
      <c r="TKB313" s="287"/>
      <c r="TKC313" s="287"/>
      <c r="TKD313" s="287"/>
      <c r="TKE313" s="287"/>
      <c r="TKF313" s="287"/>
      <c r="TKG313" s="287"/>
      <c r="TKH313" s="287"/>
      <c r="TKI313" s="287"/>
      <c r="TKJ313" s="287"/>
      <c r="TKK313" s="287"/>
      <c r="TKL313" s="287"/>
      <c r="TKM313" s="287"/>
      <c r="TKN313" s="287"/>
      <c r="TKO313" s="287"/>
      <c r="TKP313" s="287"/>
      <c r="TKQ313" s="287"/>
      <c r="TKR313" s="287"/>
      <c r="TKS313" s="287"/>
      <c r="TKT313" s="287"/>
      <c r="TKU313" s="287"/>
      <c r="TKV313" s="287"/>
      <c r="TKW313" s="287"/>
      <c r="TKX313" s="287"/>
      <c r="TKY313" s="287"/>
      <c r="TKZ313" s="287"/>
      <c r="TLA313" s="287"/>
      <c r="TLB313" s="287"/>
      <c r="TLC313" s="287"/>
      <c r="TLD313" s="287"/>
      <c r="TLE313" s="287"/>
      <c r="TLF313" s="287"/>
      <c r="TLG313" s="287"/>
      <c r="TLH313" s="287"/>
      <c r="TLI313" s="287"/>
      <c r="TLJ313" s="287"/>
      <c r="TLK313" s="287"/>
      <c r="TLL313" s="287"/>
      <c r="TLM313" s="287"/>
      <c r="TLN313" s="287"/>
      <c r="TLO313" s="287"/>
      <c r="TLP313" s="287"/>
      <c r="TLQ313" s="287"/>
      <c r="TLR313" s="287"/>
      <c r="TLS313" s="287"/>
      <c r="TLT313" s="287"/>
      <c r="TLU313" s="287"/>
      <c r="TLV313" s="287"/>
      <c r="TLW313" s="287"/>
      <c r="TLX313" s="287"/>
      <c r="TLY313" s="287"/>
      <c r="TLZ313" s="287"/>
      <c r="TMA313" s="287"/>
      <c r="TMB313" s="287"/>
      <c r="TMC313" s="287"/>
      <c r="TMD313" s="287"/>
      <c r="TME313" s="287"/>
      <c r="TMF313" s="287"/>
      <c r="TMG313" s="287"/>
      <c r="TMH313" s="287"/>
      <c r="TMI313" s="287"/>
      <c r="TMJ313" s="287"/>
      <c r="TMK313" s="287"/>
      <c r="TML313" s="287"/>
      <c r="TMM313" s="287"/>
      <c r="TMN313" s="287"/>
      <c r="TMO313" s="287"/>
      <c r="TMP313" s="287"/>
      <c r="TMQ313" s="287"/>
      <c r="TMR313" s="287"/>
      <c r="TMS313" s="287"/>
      <c r="TMT313" s="287"/>
      <c r="TMU313" s="287"/>
      <c r="TMV313" s="287"/>
      <c r="TMW313" s="287"/>
      <c r="TMX313" s="287"/>
      <c r="TMY313" s="287"/>
      <c r="TMZ313" s="287"/>
      <c r="TNA313" s="287"/>
      <c r="TNB313" s="287"/>
      <c r="TNC313" s="287"/>
      <c r="TND313" s="287"/>
      <c r="TNE313" s="287"/>
      <c r="TNF313" s="287"/>
      <c r="TNG313" s="287"/>
      <c r="TNH313" s="287"/>
      <c r="TNI313" s="287"/>
      <c r="TNJ313" s="287"/>
      <c r="TNK313" s="287"/>
      <c r="TNL313" s="287"/>
      <c r="TNM313" s="287"/>
      <c r="TNN313" s="287"/>
      <c r="TNO313" s="287"/>
      <c r="TNP313" s="287"/>
      <c r="TNQ313" s="287"/>
      <c r="TNR313" s="287"/>
      <c r="TNS313" s="287"/>
      <c r="TNT313" s="287"/>
      <c r="TNU313" s="287"/>
      <c r="TNV313" s="287"/>
      <c r="TNW313" s="287"/>
      <c r="TNX313" s="287"/>
      <c r="TNY313" s="287"/>
      <c r="TNZ313" s="287"/>
      <c r="TOA313" s="287"/>
      <c r="TOB313" s="287"/>
      <c r="TOC313" s="287"/>
      <c r="TOD313" s="287"/>
      <c r="TOE313" s="287"/>
      <c r="TOF313" s="287"/>
      <c r="TOG313" s="287"/>
      <c r="TOH313" s="287"/>
      <c r="TOI313" s="287"/>
      <c r="TOJ313" s="287"/>
      <c r="TOK313" s="287"/>
      <c r="TOL313" s="287"/>
      <c r="TOM313" s="287"/>
      <c r="TON313" s="287"/>
      <c r="TOO313" s="287"/>
      <c r="TOP313" s="287"/>
      <c r="TOQ313" s="287"/>
      <c r="TOR313" s="287"/>
      <c r="TOS313" s="287"/>
      <c r="TOT313" s="287"/>
      <c r="TOU313" s="287"/>
      <c r="TOV313" s="287"/>
      <c r="TOW313" s="287"/>
      <c r="TOX313" s="287"/>
      <c r="TOY313" s="287"/>
      <c r="TOZ313" s="287"/>
      <c r="TPA313" s="287"/>
      <c r="TPB313" s="287"/>
      <c r="TPC313" s="287"/>
      <c r="TPD313" s="287"/>
      <c r="TPE313" s="287"/>
      <c r="TPF313" s="287"/>
      <c r="TPG313" s="287"/>
      <c r="TPH313" s="287"/>
      <c r="TPI313" s="287"/>
      <c r="TPJ313" s="287"/>
      <c r="TPK313" s="287"/>
      <c r="TPL313" s="287"/>
      <c r="TPM313" s="287"/>
      <c r="TPN313" s="287"/>
      <c r="TPO313" s="287"/>
      <c r="TPP313" s="287"/>
      <c r="TPQ313" s="287"/>
      <c r="TPR313" s="287"/>
      <c r="TPS313" s="287"/>
      <c r="TPT313" s="287"/>
      <c r="TPU313" s="287"/>
      <c r="TPV313" s="287"/>
      <c r="TPW313" s="287"/>
      <c r="TPX313" s="287"/>
      <c r="TPY313" s="287"/>
      <c r="TPZ313" s="287"/>
      <c r="TQA313" s="287"/>
      <c r="TQB313" s="287"/>
      <c r="TQC313" s="287"/>
      <c r="TQD313" s="287"/>
      <c r="TQE313" s="287"/>
      <c r="TQF313" s="287"/>
      <c r="TQG313" s="287"/>
      <c r="TQH313" s="287"/>
      <c r="TQI313" s="287"/>
      <c r="TQJ313" s="287"/>
      <c r="TQK313" s="287"/>
      <c r="TQL313" s="287"/>
      <c r="TQM313" s="287"/>
      <c r="TQN313" s="287"/>
      <c r="TQO313" s="287"/>
      <c r="TQP313" s="287"/>
      <c r="TQQ313" s="287"/>
      <c r="TQR313" s="287"/>
      <c r="TQS313" s="287"/>
      <c r="TQT313" s="287"/>
      <c r="TQU313" s="287"/>
      <c r="TQV313" s="287"/>
      <c r="TQW313" s="287"/>
      <c r="TQX313" s="287"/>
      <c r="TQY313" s="287"/>
      <c r="TQZ313" s="287"/>
      <c r="TRA313" s="287"/>
      <c r="TRB313" s="287"/>
      <c r="TRC313" s="287"/>
      <c r="TRD313" s="287"/>
      <c r="TRE313" s="287"/>
      <c r="TRF313" s="287"/>
      <c r="TRG313" s="287"/>
      <c r="TRH313" s="287"/>
      <c r="TRI313" s="287"/>
      <c r="TRJ313" s="287"/>
      <c r="TRK313" s="287"/>
      <c r="TRL313" s="287"/>
      <c r="TRM313" s="287"/>
      <c r="TRN313" s="287"/>
      <c r="TRO313" s="287"/>
      <c r="TRP313" s="287"/>
      <c r="TRQ313" s="287"/>
      <c r="TRR313" s="287"/>
      <c r="TRS313" s="287"/>
      <c r="TRT313" s="287"/>
      <c r="TRU313" s="287"/>
      <c r="TRV313" s="287"/>
      <c r="TRW313" s="287"/>
      <c r="TRX313" s="287"/>
      <c r="TRY313" s="287"/>
      <c r="TRZ313" s="287"/>
      <c r="TSA313" s="287"/>
      <c r="TSB313" s="287"/>
      <c r="TSC313" s="287"/>
      <c r="TSD313" s="287"/>
      <c r="TSE313" s="287"/>
      <c r="TSF313" s="287"/>
      <c r="TSG313" s="287"/>
      <c r="TSH313" s="287"/>
      <c r="TSI313" s="287"/>
      <c r="TSJ313" s="287"/>
      <c r="TSK313" s="287"/>
      <c r="TSL313" s="287"/>
      <c r="TSM313" s="287"/>
      <c r="TSN313" s="287"/>
      <c r="TSO313" s="287"/>
      <c r="TSP313" s="287"/>
      <c r="TSQ313" s="287"/>
      <c r="TSR313" s="287"/>
      <c r="TSS313" s="287"/>
      <c r="TST313" s="287"/>
      <c r="TSU313" s="287"/>
      <c r="TSV313" s="287"/>
      <c r="TSW313" s="287"/>
      <c r="TSX313" s="287"/>
      <c r="TSY313" s="287"/>
      <c r="TSZ313" s="287"/>
      <c r="TTA313" s="287"/>
      <c r="TTB313" s="287"/>
      <c r="TTC313" s="287"/>
      <c r="TTD313" s="287"/>
      <c r="TTE313" s="287"/>
      <c r="TTF313" s="287"/>
      <c r="TTG313" s="287"/>
      <c r="TTH313" s="287"/>
      <c r="TTI313" s="287"/>
      <c r="TTJ313" s="287"/>
      <c r="TTK313" s="287"/>
      <c r="TTL313" s="287"/>
      <c r="TTM313" s="287"/>
      <c r="TTN313" s="287"/>
      <c r="TTO313" s="287"/>
      <c r="TTP313" s="287"/>
      <c r="TTQ313" s="287"/>
      <c r="TTR313" s="287"/>
      <c r="TTS313" s="287"/>
      <c r="TTT313" s="287"/>
      <c r="TTU313" s="287"/>
      <c r="TTV313" s="287"/>
      <c r="TTW313" s="287"/>
      <c r="TTX313" s="287"/>
      <c r="TTY313" s="287"/>
      <c r="TTZ313" s="287"/>
      <c r="TUA313" s="287"/>
      <c r="TUB313" s="287"/>
      <c r="TUC313" s="287"/>
      <c r="TUD313" s="287"/>
      <c r="TUE313" s="287"/>
      <c r="TUF313" s="287"/>
      <c r="TUG313" s="287"/>
      <c r="TUH313" s="287"/>
      <c r="TUI313" s="287"/>
      <c r="TUJ313" s="287"/>
      <c r="TUK313" s="287"/>
      <c r="TUL313" s="287"/>
      <c r="TUM313" s="287"/>
      <c r="TUN313" s="287"/>
      <c r="TUO313" s="287"/>
      <c r="TUP313" s="287"/>
      <c r="TUQ313" s="287"/>
      <c r="TUR313" s="287"/>
      <c r="TUS313" s="287"/>
      <c r="TUT313" s="287"/>
      <c r="TUU313" s="287"/>
      <c r="TUV313" s="287"/>
      <c r="TUW313" s="287"/>
      <c r="TUX313" s="287"/>
      <c r="TUY313" s="287"/>
      <c r="TUZ313" s="287"/>
      <c r="TVA313" s="287"/>
      <c r="TVB313" s="287"/>
      <c r="TVC313" s="287"/>
      <c r="TVD313" s="287"/>
      <c r="TVE313" s="287"/>
      <c r="TVF313" s="287"/>
      <c r="TVG313" s="287"/>
      <c r="TVH313" s="287"/>
      <c r="TVI313" s="287"/>
      <c r="TVJ313" s="287"/>
      <c r="TVK313" s="287"/>
      <c r="TVL313" s="287"/>
      <c r="TVM313" s="287"/>
      <c r="TVN313" s="287"/>
      <c r="TVO313" s="287"/>
      <c r="TVP313" s="287"/>
      <c r="TVQ313" s="287"/>
      <c r="TVR313" s="287"/>
      <c r="TVS313" s="287"/>
      <c r="TVT313" s="287"/>
      <c r="TVU313" s="287"/>
      <c r="TVV313" s="287"/>
      <c r="TVW313" s="287"/>
      <c r="TVX313" s="287"/>
      <c r="TVY313" s="287"/>
      <c r="TVZ313" s="287"/>
      <c r="TWA313" s="287"/>
      <c r="TWB313" s="287"/>
      <c r="TWC313" s="287"/>
      <c r="TWD313" s="287"/>
      <c r="TWE313" s="287"/>
      <c r="TWF313" s="287"/>
      <c r="TWG313" s="287"/>
      <c r="TWH313" s="287"/>
      <c r="TWI313" s="287"/>
      <c r="TWJ313" s="287"/>
      <c r="TWK313" s="287"/>
      <c r="TWL313" s="287"/>
      <c r="TWM313" s="287"/>
      <c r="TWN313" s="287"/>
      <c r="TWO313" s="287"/>
      <c r="TWP313" s="287"/>
      <c r="TWQ313" s="287"/>
      <c r="TWR313" s="287"/>
      <c r="TWS313" s="287"/>
      <c r="TWT313" s="287"/>
      <c r="TWU313" s="287"/>
      <c r="TWV313" s="287"/>
      <c r="TWW313" s="287"/>
      <c r="TWX313" s="287"/>
      <c r="TWY313" s="287"/>
      <c r="TWZ313" s="287"/>
      <c r="TXA313" s="287"/>
      <c r="TXB313" s="287"/>
      <c r="TXC313" s="287"/>
      <c r="TXD313" s="287"/>
      <c r="TXE313" s="287"/>
      <c r="TXF313" s="287"/>
      <c r="TXG313" s="287"/>
      <c r="TXH313" s="287"/>
      <c r="TXI313" s="287"/>
      <c r="TXJ313" s="287"/>
      <c r="TXK313" s="287"/>
      <c r="TXL313" s="287"/>
      <c r="TXM313" s="287"/>
      <c r="TXN313" s="287"/>
      <c r="TXO313" s="287"/>
      <c r="TXP313" s="287"/>
      <c r="TXQ313" s="287"/>
      <c r="TXR313" s="287"/>
      <c r="TXS313" s="287"/>
      <c r="TXT313" s="287"/>
      <c r="TXU313" s="287"/>
      <c r="TXV313" s="287"/>
      <c r="TXW313" s="287"/>
      <c r="TXX313" s="287"/>
      <c r="TXY313" s="287"/>
      <c r="TXZ313" s="287"/>
      <c r="TYA313" s="287"/>
      <c r="TYB313" s="287"/>
      <c r="TYC313" s="287"/>
      <c r="TYD313" s="287"/>
      <c r="TYE313" s="287"/>
      <c r="TYF313" s="287"/>
      <c r="TYG313" s="287"/>
      <c r="TYH313" s="287"/>
      <c r="TYI313" s="287"/>
      <c r="TYJ313" s="287"/>
      <c r="TYK313" s="287"/>
      <c r="TYL313" s="287"/>
      <c r="TYM313" s="287"/>
      <c r="TYN313" s="287"/>
      <c r="TYO313" s="287"/>
      <c r="TYP313" s="287"/>
      <c r="TYQ313" s="287"/>
      <c r="TYR313" s="287"/>
      <c r="TYS313" s="287"/>
      <c r="TYT313" s="287"/>
      <c r="TYU313" s="287"/>
      <c r="TYV313" s="287"/>
      <c r="TYW313" s="287"/>
      <c r="TYX313" s="287"/>
      <c r="TYY313" s="287"/>
      <c r="TYZ313" s="287"/>
      <c r="TZA313" s="287"/>
      <c r="TZB313" s="287"/>
      <c r="TZC313" s="287"/>
      <c r="TZD313" s="287"/>
      <c r="TZE313" s="287"/>
      <c r="TZF313" s="287"/>
      <c r="TZG313" s="287"/>
      <c r="TZH313" s="287"/>
      <c r="TZI313" s="287"/>
      <c r="TZJ313" s="287"/>
      <c r="TZK313" s="287"/>
      <c r="TZL313" s="287"/>
      <c r="TZM313" s="287"/>
      <c r="TZN313" s="287"/>
      <c r="TZO313" s="287"/>
      <c r="TZP313" s="287"/>
      <c r="TZQ313" s="287"/>
      <c r="TZR313" s="287"/>
      <c r="TZS313" s="287"/>
      <c r="TZT313" s="287"/>
      <c r="TZU313" s="287"/>
      <c r="TZV313" s="287"/>
      <c r="TZW313" s="287"/>
      <c r="TZX313" s="287"/>
      <c r="TZY313" s="287"/>
      <c r="TZZ313" s="287"/>
      <c r="UAA313" s="287"/>
      <c r="UAB313" s="287"/>
      <c r="UAC313" s="287"/>
      <c r="UAD313" s="287"/>
      <c r="UAE313" s="287"/>
      <c r="UAF313" s="287"/>
      <c r="UAG313" s="287"/>
      <c r="UAH313" s="287"/>
      <c r="UAI313" s="287"/>
      <c r="UAJ313" s="287"/>
      <c r="UAK313" s="287"/>
      <c r="UAL313" s="287"/>
      <c r="UAM313" s="287"/>
      <c r="UAN313" s="287"/>
      <c r="UAO313" s="287"/>
      <c r="UAP313" s="287"/>
      <c r="UAQ313" s="287"/>
      <c r="UAR313" s="287"/>
      <c r="UAS313" s="287"/>
      <c r="UAT313" s="287"/>
      <c r="UAU313" s="287"/>
      <c r="UAV313" s="287"/>
      <c r="UAW313" s="287"/>
      <c r="UAX313" s="287"/>
      <c r="UAY313" s="287"/>
      <c r="UAZ313" s="287"/>
      <c r="UBA313" s="287"/>
      <c r="UBB313" s="287"/>
      <c r="UBC313" s="287"/>
      <c r="UBD313" s="287"/>
      <c r="UBE313" s="287"/>
      <c r="UBF313" s="287"/>
      <c r="UBG313" s="287"/>
      <c r="UBH313" s="287"/>
      <c r="UBI313" s="287"/>
      <c r="UBJ313" s="287"/>
      <c r="UBK313" s="287"/>
      <c r="UBL313" s="287"/>
      <c r="UBM313" s="287"/>
      <c r="UBN313" s="287"/>
      <c r="UBO313" s="287"/>
      <c r="UBP313" s="287"/>
      <c r="UBQ313" s="287"/>
      <c r="UBR313" s="287"/>
      <c r="UBS313" s="287"/>
      <c r="UBT313" s="287"/>
      <c r="UBU313" s="287"/>
      <c r="UBV313" s="287"/>
      <c r="UBW313" s="287"/>
      <c r="UBX313" s="287"/>
      <c r="UBY313" s="287"/>
      <c r="UBZ313" s="287"/>
      <c r="UCA313" s="287"/>
      <c r="UCB313" s="287"/>
      <c r="UCC313" s="287"/>
      <c r="UCD313" s="287"/>
      <c r="UCE313" s="287"/>
      <c r="UCF313" s="287"/>
      <c r="UCG313" s="287"/>
      <c r="UCH313" s="287"/>
      <c r="UCI313" s="287"/>
      <c r="UCJ313" s="287"/>
      <c r="UCK313" s="287"/>
      <c r="UCL313" s="287"/>
      <c r="UCM313" s="287"/>
      <c r="UCN313" s="287"/>
      <c r="UCO313" s="287"/>
      <c r="UCP313" s="287"/>
      <c r="UCQ313" s="287"/>
      <c r="UCR313" s="287"/>
      <c r="UCS313" s="287"/>
      <c r="UCT313" s="287"/>
      <c r="UCU313" s="287"/>
      <c r="UCV313" s="287"/>
      <c r="UCW313" s="287"/>
      <c r="UCX313" s="287"/>
      <c r="UCY313" s="287"/>
      <c r="UCZ313" s="287"/>
      <c r="UDA313" s="287"/>
      <c r="UDB313" s="287"/>
      <c r="UDC313" s="287"/>
      <c r="UDD313" s="287"/>
      <c r="UDE313" s="287"/>
      <c r="UDF313" s="287"/>
      <c r="UDG313" s="287"/>
      <c r="UDH313" s="287"/>
      <c r="UDI313" s="287"/>
      <c r="UDJ313" s="287"/>
      <c r="UDK313" s="287"/>
      <c r="UDL313" s="287"/>
      <c r="UDM313" s="287"/>
      <c r="UDN313" s="287"/>
      <c r="UDO313" s="287"/>
      <c r="UDP313" s="287"/>
      <c r="UDQ313" s="287"/>
      <c r="UDR313" s="287"/>
      <c r="UDS313" s="287"/>
      <c r="UDT313" s="287"/>
      <c r="UDU313" s="287"/>
      <c r="UDV313" s="287"/>
      <c r="UDW313" s="287"/>
      <c r="UDX313" s="287"/>
      <c r="UDY313" s="287"/>
      <c r="UDZ313" s="287"/>
      <c r="UEA313" s="287"/>
      <c r="UEB313" s="287"/>
      <c r="UEC313" s="287"/>
      <c r="UED313" s="287"/>
      <c r="UEE313" s="287"/>
      <c r="UEF313" s="287"/>
      <c r="UEG313" s="287"/>
      <c r="UEH313" s="287"/>
      <c r="UEI313" s="287"/>
      <c r="UEJ313" s="287"/>
      <c r="UEK313" s="287"/>
      <c r="UEL313" s="287"/>
      <c r="UEM313" s="287"/>
      <c r="UEN313" s="287"/>
      <c r="UEO313" s="287"/>
      <c r="UEP313" s="287"/>
      <c r="UEQ313" s="287"/>
      <c r="UER313" s="287"/>
      <c r="UES313" s="287"/>
      <c r="UET313" s="287"/>
      <c r="UEU313" s="287"/>
      <c r="UEV313" s="287"/>
      <c r="UEW313" s="287"/>
      <c r="UEX313" s="287"/>
      <c r="UEY313" s="287"/>
      <c r="UEZ313" s="287"/>
      <c r="UFA313" s="287"/>
      <c r="UFB313" s="287"/>
      <c r="UFC313" s="287"/>
      <c r="UFD313" s="287"/>
      <c r="UFE313" s="287"/>
      <c r="UFF313" s="287"/>
      <c r="UFG313" s="287"/>
      <c r="UFH313" s="287"/>
      <c r="UFI313" s="287"/>
      <c r="UFJ313" s="287"/>
      <c r="UFK313" s="287"/>
      <c r="UFL313" s="287"/>
      <c r="UFM313" s="287"/>
      <c r="UFN313" s="287"/>
      <c r="UFO313" s="287"/>
      <c r="UFP313" s="287"/>
      <c r="UFQ313" s="287"/>
      <c r="UFR313" s="287"/>
      <c r="UFS313" s="287"/>
      <c r="UFT313" s="287"/>
      <c r="UFU313" s="287"/>
      <c r="UFV313" s="287"/>
      <c r="UFW313" s="287"/>
      <c r="UFX313" s="287"/>
      <c r="UFY313" s="287"/>
      <c r="UFZ313" s="287"/>
      <c r="UGA313" s="287"/>
      <c r="UGB313" s="287"/>
      <c r="UGC313" s="287"/>
      <c r="UGD313" s="287"/>
      <c r="UGE313" s="287"/>
      <c r="UGF313" s="287"/>
      <c r="UGG313" s="287"/>
      <c r="UGH313" s="287"/>
      <c r="UGI313" s="287"/>
      <c r="UGJ313" s="287"/>
      <c r="UGK313" s="287"/>
      <c r="UGL313" s="287"/>
      <c r="UGM313" s="287"/>
      <c r="UGN313" s="287"/>
      <c r="UGO313" s="287"/>
      <c r="UGP313" s="287"/>
      <c r="UGQ313" s="287"/>
      <c r="UGR313" s="287"/>
      <c r="UGS313" s="287"/>
      <c r="UGT313" s="287"/>
      <c r="UGU313" s="287"/>
      <c r="UGV313" s="287"/>
      <c r="UGW313" s="287"/>
      <c r="UGX313" s="287"/>
      <c r="UGY313" s="287"/>
      <c r="UGZ313" s="287"/>
      <c r="UHA313" s="287"/>
      <c r="UHB313" s="287"/>
      <c r="UHC313" s="287"/>
      <c r="UHD313" s="287"/>
      <c r="UHE313" s="287"/>
      <c r="UHF313" s="287"/>
      <c r="UHG313" s="287"/>
      <c r="UHH313" s="287"/>
      <c r="UHI313" s="287"/>
      <c r="UHJ313" s="287"/>
      <c r="UHK313" s="287"/>
      <c r="UHL313" s="287"/>
      <c r="UHM313" s="287"/>
      <c r="UHN313" s="287"/>
      <c r="UHO313" s="287"/>
      <c r="UHP313" s="287"/>
      <c r="UHQ313" s="287"/>
      <c r="UHR313" s="287"/>
      <c r="UHS313" s="287"/>
      <c r="UHT313" s="287"/>
      <c r="UHU313" s="287"/>
      <c r="UHV313" s="287"/>
      <c r="UHW313" s="287"/>
      <c r="UHX313" s="287"/>
      <c r="UHY313" s="287"/>
      <c r="UHZ313" s="287"/>
      <c r="UIA313" s="287"/>
      <c r="UIB313" s="287"/>
      <c r="UIC313" s="287"/>
      <c r="UID313" s="287"/>
      <c r="UIE313" s="287"/>
      <c r="UIF313" s="287"/>
      <c r="UIG313" s="287"/>
      <c r="UIH313" s="287"/>
      <c r="UII313" s="287"/>
      <c r="UIJ313" s="287"/>
      <c r="UIK313" s="287"/>
      <c r="UIL313" s="287"/>
      <c r="UIM313" s="287"/>
      <c r="UIN313" s="287"/>
      <c r="UIO313" s="287"/>
      <c r="UIP313" s="287"/>
      <c r="UIQ313" s="287"/>
      <c r="UIR313" s="287"/>
      <c r="UIS313" s="287"/>
      <c r="UIT313" s="287"/>
      <c r="UIU313" s="287"/>
      <c r="UIV313" s="287"/>
      <c r="UIW313" s="287"/>
      <c r="UIX313" s="287"/>
      <c r="UIY313" s="287"/>
      <c r="UIZ313" s="287"/>
      <c r="UJA313" s="287"/>
      <c r="UJB313" s="287"/>
      <c r="UJC313" s="287"/>
      <c r="UJD313" s="287"/>
      <c r="UJE313" s="287"/>
      <c r="UJF313" s="287"/>
      <c r="UJG313" s="287"/>
      <c r="UJH313" s="287"/>
      <c r="UJI313" s="287"/>
      <c r="UJJ313" s="287"/>
      <c r="UJK313" s="287"/>
      <c r="UJL313" s="287"/>
      <c r="UJM313" s="287"/>
      <c r="UJN313" s="287"/>
      <c r="UJO313" s="287"/>
      <c r="UJP313" s="287"/>
      <c r="UJQ313" s="287"/>
      <c r="UJR313" s="287"/>
      <c r="UJS313" s="287"/>
      <c r="UJT313" s="287"/>
      <c r="UJU313" s="287"/>
      <c r="UJV313" s="287"/>
      <c r="UJW313" s="287"/>
      <c r="UJX313" s="287"/>
      <c r="UJY313" s="287"/>
      <c r="UJZ313" s="287"/>
      <c r="UKA313" s="287"/>
      <c r="UKB313" s="287"/>
      <c r="UKC313" s="287"/>
      <c r="UKD313" s="287"/>
      <c r="UKE313" s="287"/>
      <c r="UKF313" s="287"/>
      <c r="UKG313" s="287"/>
      <c r="UKH313" s="287"/>
      <c r="UKI313" s="287"/>
      <c r="UKJ313" s="287"/>
      <c r="UKK313" s="287"/>
      <c r="UKL313" s="287"/>
      <c r="UKM313" s="287"/>
      <c r="UKN313" s="287"/>
      <c r="UKO313" s="287"/>
      <c r="UKP313" s="287"/>
      <c r="UKQ313" s="287"/>
      <c r="UKR313" s="287"/>
      <c r="UKS313" s="287"/>
      <c r="UKT313" s="287"/>
      <c r="UKU313" s="287"/>
      <c r="UKV313" s="287"/>
      <c r="UKW313" s="287"/>
      <c r="UKX313" s="287"/>
      <c r="UKY313" s="287"/>
      <c r="UKZ313" s="287"/>
      <c r="ULA313" s="287"/>
      <c r="ULB313" s="287"/>
      <c r="ULC313" s="287"/>
      <c r="ULD313" s="287"/>
      <c r="ULE313" s="287"/>
      <c r="ULF313" s="287"/>
      <c r="ULG313" s="287"/>
      <c r="ULH313" s="287"/>
      <c r="ULI313" s="287"/>
      <c r="ULJ313" s="287"/>
      <c r="ULK313" s="287"/>
      <c r="ULL313" s="287"/>
      <c r="ULM313" s="287"/>
      <c r="ULN313" s="287"/>
      <c r="ULO313" s="287"/>
      <c r="ULP313" s="287"/>
      <c r="ULQ313" s="287"/>
      <c r="ULR313" s="287"/>
      <c r="ULS313" s="287"/>
      <c r="ULT313" s="287"/>
      <c r="ULU313" s="287"/>
      <c r="ULV313" s="287"/>
      <c r="ULW313" s="287"/>
      <c r="ULX313" s="287"/>
      <c r="ULY313" s="287"/>
      <c r="ULZ313" s="287"/>
      <c r="UMA313" s="287"/>
      <c r="UMB313" s="287"/>
      <c r="UMC313" s="287"/>
      <c r="UMD313" s="287"/>
      <c r="UME313" s="287"/>
      <c r="UMF313" s="287"/>
      <c r="UMG313" s="287"/>
      <c r="UMH313" s="287"/>
      <c r="UMI313" s="287"/>
      <c r="UMJ313" s="287"/>
      <c r="UMK313" s="287"/>
      <c r="UML313" s="287"/>
      <c r="UMM313" s="287"/>
      <c r="UMN313" s="287"/>
      <c r="UMO313" s="287"/>
      <c r="UMP313" s="287"/>
      <c r="UMQ313" s="287"/>
      <c r="UMR313" s="287"/>
      <c r="UMS313" s="287"/>
      <c r="UMT313" s="287"/>
      <c r="UMU313" s="287"/>
      <c r="UMV313" s="287"/>
      <c r="UMW313" s="287"/>
      <c r="UMX313" s="287"/>
      <c r="UMY313" s="287"/>
      <c r="UMZ313" s="287"/>
      <c r="UNA313" s="287"/>
      <c r="UNB313" s="287"/>
      <c r="UNC313" s="287"/>
      <c r="UND313" s="287"/>
      <c r="UNE313" s="287"/>
      <c r="UNF313" s="287"/>
      <c r="UNG313" s="287"/>
      <c r="UNH313" s="287"/>
      <c r="UNI313" s="287"/>
      <c r="UNJ313" s="287"/>
      <c r="UNK313" s="287"/>
      <c r="UNL313" s="287"/>
      <c r="UNM313" s="287"/>
      <c r="UNN313" s="287"/>
      <c r="UNO313" s="287"/>
      <c r="UNP313" s="287"/>
      <c r="UNQ313" s="287"/>
      <c r="UNR313" s="287"/>
      <c r="UNS313" s="287"/>
      <c r="UNT313" s="287"/>
      <c r="UNU313" s="287"/>
      <c r="UNV313" s="287"/>
      <c r="UNW313" s="287"/>
      <c r="UNX313" s="287"/>
      <c r="UNY313" s="287"/>
      <c r="UNZ313" s="287"/>
      <c r="UOA313" s="287"/>
      <c r="UOB313" s="287"/>
      <c r="UOC313" s="287"/>
      <c r="UOD313" s="287"/>
      <c r="UOE313" s="287"/>
      <c r="UOF313" s="287"/>
      <c r="UOG313" s="287"/>
      <c r="UOH313" s="287"/>
      <c r="UOI313" s="287"/>
      <c r="UOJ313" s="287"/>
      <c r="UOK313" s="287"/>
      <c r="UOL313" s="287"/>
      <c r="UOM313" s="287"/>
      <c r="UON313" s="287"/>
      <c r="UOO313" s="287"/>
      <c r="UOP313" s="287"/>
      <c r="UOQ313" s="287"/>
      <c r="UOR313" s="287"/>
      <c r="UOS313" s="287"/>
      <c r="UOT313" s="287"/>
      <c r="UOU313" s="287"/>
      <c r="UOV313" s="287"/>
      <c r="UOW313" s="287"/>
      <c r="UOX313" s="287"/>
      <c r="UOY313" s="287"/>
      <c r="UOZ313" s="287"/>
      <c r="UPA313" s="287"/>
      <c r="UPB313" s="287"/>
      <c r="UPC313" s="287"/>
      <c r="UPD313" s="287"/>
      <c r="UPE313" s="287"/>
      <c r="UPF313" s="287"/>
      <c r="UPG313" s="287"/>
      <c r="UPH313" s="287"/>
      <c r="UPI313" s="287"/>
      <c r="UPJ313" s="287"/>
      <c r="UPK313" s="287"/>
      <c r="UPL313" s="287"/>
      <c r="UPM313" s="287"/>
      <c r="UPN313" s="287"/>
      <c r="UPO313" s="287"/>
      <c r="UPP313" s="287"/>
      <c r="UPQ313" s="287"/>
      <c r="UPR313" s="287"/>
      <c r="UPS313" s="287"/>
      <c r="UPT313" s="287"/>
      <c r="UPU313" s="287"/>
      <c r="UPV313" s="287"/>
      <c r="UPW313" s="287"/>
      <c r="UPX313" s="287"/>
      <c r="UPY313" s="287"/>
      <c r="UPZ313" s="287"/>
      <c r="UQA313" s="287"/>
      <c r="UQB313" s="287"/>
      <c r="UQC313" s="287"/>
      <c r="UQD313" s="287"/>
      <c r="UQE313" s="287"/>
      <c r="UQF313" s="287"/>
      <c r="UQG313" s="287"/>
      <c r="UQH313" s="287"/>
      <c r="UQI313" s="287"/>
      <c r="UQJ313" s="287"/>
      <c r="UQK313" s="287"/>
      <c r="UQL313" s="287"/>
      <c r="UQM313" s="287"/>
      <c r="UQN313" s="287"/>
      <c r="UQO313" s="287"/>
      <c r="UQP313" s="287"/>
      <c r="UQQ313" s="287"/>
      <c r="UQR313" s="287"/>
      <c r="UQS313" s="287"/>
      <c r="UQT313" s="287"/>
      <c r="UQU313" s="287"/>
      <c r="UQV313" s="287"/>
      <c r="UQW313" s="287"/>
      <c r="UQX313" s="287"/>
      <c r="UQY313" s="287"/>
      <c r="UQZ313" s="287"/>
      <c r="URA313" s="287"/>
      <c r="URB313" s="287"/>
      <c r="URC313" s="287"/>
      <c r="URD313" s="287"/>
      <c r="URE313" s="287"/>
      <c r="URF313" s="287"/>
      <c r="URG313" s="287"/>
      <c r="URH313" s="287"/>
      <c r="URI313" s="287"/>
      <c r="URJ313" s="287"/>
      <c r="URK313" s="287"/>
      <c r="URL313" s="287"/>
      <c r="URM313" s="287"/>
      <c r="URN313" s="287"/>
      <c r="URO313" s="287"/>
      <c r="URP313" s="287"/>
      <c r="URQ313" s="287"/>
      <c r="URR313" s="287"/>
      <c r="URS313" s="287"/>
      <c r="URT313" s="287"/>
      <c r="URU313" s="287"/>
      <c r="URV313" s="287"/>
      <c r="URW313" s="287"/>
      <c r="URX313" s="287"/>
      <c r="URY313" s="287"/>
      <c r="URZ313" s="287"/>
      <c r="USA313" s="287"/>
      <c r="USB313" s="287"/>
      <c r="USC313" s="287"/>
      <c r="USD313" s="287"/>
      <c r="USE313" s="287"/>
      <c r="USF313" s="287"/>
      <c r="USG313" s="287"/>
      <c r="USH313" s="287"/>
      <c r="USI313" s="287"/>
      <c r="USJ313" s="287"/>
      <c r="USK313" s="287"/>
      <c r="USL313" s="287"/>
      <c r="USM313" s="287"/>
      <c r="USN313" s="287"/>
      <c r="USO313" s="287"/>
      <c r="USP313" s="287"/>
      <c r="USQ313" s="287"/>
      <c r="USR313" s="287"/>
      <c r="USS313" s="287"/>
      <c r="UST313" s="287"/>
      <c r="USU313" s="287"/>
      <c r="USV313" s="287"/>
      <c r="USW313" s="287"/>
      <c r="USX313" s="287"/>
      <c r="USY313" s="287"/>
      <c r="USZ313" s="287"/>
      <c r="UTA313" s="287"/>
      <c r="UTB313" s="287"/>
      <c r="UTC313" s="287"/>
      <c r="UTD313" s="287"/>
      <c r="UTE313" s="287"/>
      <c r="UTF313" s="287"/>
      <c r="UTG313" s="287"/>
      <c r="UTH313" s="287"/>
      <c r="UTI313" s="287"/>
      <c r="UTJ313" s="287"/>
      <c r="UTK313" s="287"/>
      <c r="UTL313" s="287"/>
      <c r="UTM313" s="287"/>
      <c r="UTN313" s="287"/>
      <c r="UTO313" s="287"/>
      <c r="UTP313" s="287"/>
      <c r="UTQ313" s="287"/>
      <c r="UTR313" s="287"/>
      <c r="UTS313" s="287"/>
      <c r="UTT313" s="287"/>
      <c r="UTU313" s="287"/>
      <c r="UTV313" s="287"/>
      <c r="UTW313" s="287"/>
      <c r="UTX313" s="287"/>
      <c r="UTY313" s="287"/>
      <c r="UTZ313" s="287"/>
      <c r="UUA313" s="287"/>
      <c r="UUB313" s="287"/>
      <c r="UUC313" s="287"/>
      <c r="UUD313" s="287"/>
      <c r="UUE313" s="287"/>
      <c r="UUF313" s="287"/>
      <c r="UUG313" s="287"/>
      <c r="UUH313" s="287"/>
      <c r="UUI313" s="287"/>
      <c r="UUJ313" s="287"/>
      <c r="UUK313" s="287"/>
      <c r="UUL313" s="287"/>
      <c r="UUM313" s="287"/>
      <c r="UUN313" s="287"/>
      <c r="UUO313" s="287"/>
      <c r="UUP313" s="287"/>
      <c r="UUQ313" s="287"/>
      <c r="UUR313" s="287"/>
      <c r="UUS313" s="287"/>
      <c r="UUT313" s="287"/>
      <c r="UUU313" s="287"/>
      <c r="UUV313" s="287"/>
      <c r="UUW313" s="287"/>
      <c r="UUX313" s="287"/>
      <c r="UUY313" s="287"/>
      <c r="UUZ313" s="287"/>
      <c r="UVA313" s="287"/>
      <c r="UVB313" s="287"/>
      <c r="UVC313" s="287"/>
      <c r="UVD313" s="287"/>
      <c r="UVE313" s="287"/>
      <c r="UVF313" s="287"/>
      <c r="UVG313" s="287"/>
      <c r="UVH313" s="287"/>
      <c r="UVI313" s="287"/>
      <c r="UVJ313" s="287"/>
      <c r="UVK313" s="287"/>
      <c r="UVL313" s="287"/>
      <c r="UVM313" s="287"/>
      <c r="UVN313" s="287"/>
      <c r="UVO313" s="287"/>
      <c r="UVP313" s="287"/>
      <c r="UVQ313" s="287"/>
      <c r="UVR313" s="287"/>
      <c r="UVS313" s="287"/>
      <c r="UVT313" s="287"/>
      <c r="UVU313" s="287"/>
      <c r="UVV313" s="287"/>
      <c r="UVW313" s="287"/>
      <c r="UVX313" s="287"/>
      <c r="UVY313" s="287"/>
      <c r="UVZ313" s="287"/>
      <c r="UWA313" s="287"/>
      <c r="UWB313" s="287"/>
      <c r="UWC313" s="287"/>
      <c r="UWD313" s="287"/>
      <c r="UWE313" s="287"/>
      <c r="UWF313" s="287"/>
      <c r="UWG313" s="287"/>
      <c r="UWH313" s="287"/>
      <c r="UWI313" s="287"/>
      <c r="UWJ313" s="287"/>
      <c r="UWK313" s="287"/>
      <c r="UWL313" s="287"/>
      <c r="UWM313" s="287"/>
      <c r="UWN313" s="287"/>
      <c r="UWO313" s="287"/>
      <c r="UWP313" s="287"/>
      <c r="UWQ313" s="287"/>
      <c r="UWR313" s="287"/>
      <c r="UWS313" s="287"/>
      <c r="UWT313" s="287"/>
      <c r="UWU313" s="287"/>
      <c r="UWV313" s="287"/>
      <c r="UWW313" s="287"/>
      <c r="UWX313" s="287"/>
      <c r="UWY313" s="287"/>
      <c r="UWZ313" s="287"/>
      <c r="UXA313" s="287"/>
      <c r="UXB313" s="287"/>
      <c r="UXC313" s="287"/>
      <c r="UXD313" s="287"/>
      <c r="UXE313" s="287"/>
      <c r="UXF313" s="287"/>
      <c r="UXG313" s="287"/>
      <c r="UXH313" s="287"/>
      <c r="UXI313" s="287"/>
      <c r="UXJ313" s="287"/>
      <c r="UXK313" s="287"/>
      <c r="UXL313" s="287"/>
      <c r="UXM313" s="287"/>
      <c r="UXN313" s="287"/>
      <c r="UXO313" s="287"/>
      <c r="UXP313" s="287"/>
      <c r="UXQ313" s="287"/>
      <c r="UXR313" s="287"/>
      <c r="UXS313" s="287"/>
      <c r="UXT313" s="287"/>
      <c r="UXU313" s="287"/>
      <c r="UXV313" s="287"/>
      <c r="UXW313" s="287"/>
      <c r="UXX313" s="287"/>
      <c r="UXY313" s="287"/>
      <c r="UXZ313" s="287"/>
      <c r="UYA313" s="287"/>
      <c r="UYB313" s="287"/>
      <c r="UYC313" s="287"/>
      <c r="UYD313" s="287"/>
      <c r="UYE313" s="287"/>
      <c r="UYF313" s="287"/>
      <c r="UYG313" s="287"/>
      <c r="UYH313" s="287"/>
      <c r="UYI313" s="287"/>
      <c r="UYJ313" s="287"/>
      <c r="UYK313" s="287"/>
      <c r="UYL313" s="287"/>
      <c r="UYM313" s="287"/>
      <c r="UYN313" s="287"/>
      <c r="UYO313" s="287"/>
      <c r="UYP313" s="287"/>
      <c r="UYQ313" s="287"/>
      <c r="UYR313" s="287"/>
      <c r="UYS313" s="287"/>
      <c r="UYT313" s="287"/>
      <c r="UYU313" s="287"/>
      <c r="UYV313" s="287"/>
      <c r="UYW313" s="287"/>
      <c r="UYX313" s="287"/>
      <c r="UYY313" s="287"/>
      <c r="UYZ313" s="287"/>
      <c r="UZA313" s="287"/>
      <c r="UZB313" s="287"/>
      <c r="UZC313" s="287"/>
      <c r="UZD313" s="287"/>
      <c r="UZE313" s="287"/>
      <c r="UZF313" s="287"/>
      <c r="UZG313" s="287"/>
      <c r="UZH313" s="287"/>
      <c r="UZI313" s="287"/>
      <c r="UZJ313" s="287"/>
      <c r="UZK313" s="287"/>
      <c r="UZL313" s="287"/>
      <c r="UZM313" s="287"/>
      <c r="UZN313" s="287"/>
      <c r="UZO313" s="287"/>
      <c r="UZP313" s="287"/>
      <c r="UZQ313" s="287"/>
      <c r="UZR313" s="287"/>
      <c r="UZS313" s="287"/>
      <c r="UZT313" s="287"/>
      <c r="UZU313" s="287"/>
      <c r="UZV313" s="287"/>
      <c r="UZW313" s="287"/>
      <c r="UZX313" s="287"/>
      <c r="UZY313" s="287"/>
      <c r="UZZ313" s="287"/>
      <c r="VAA313" s="287"/>
      <c r="VAB313" s="287"/>
      <c r="VAC313" s="287"/>
      <c r="VAD313" s="287"/>
      <c r="VAE313" s="287"/>
      <c r="VAF313" s="287"/>
      <c r="VAG313" s="287"/>
      <c r="VAH313" s="287"/>
      <c r="VAI313" s="287"/>
      <c r="VAJ313" s="287"/>
      <c r="VAK313" s="287"/>
      <c r="VAL313" s="287"/>
      <c r="VAM313" s="287"/>
      <c r="VAN313" s="287"/>
      <c r="VAO313" s="287"/>
      <c r="VAP313" s="287"/>
      <c r="VAQ313" s="287"/>
      <c r="VAR313" s="287"/>
      <c r="VAS313" s="287"/>
      <c r="VAT313" s="287"/>
      <c r="VAU313" s="287"/>
      <c r="VAV313" s="287"/>
      <c r="VAW313" s="287"/>
      <c r="VAX313" s="287"/>
      <c r="VAY313" s="287"/>
      <c r="VAZ313" s="287"/>
      <c r="VBA313" s="287"/>
      <c r="VBB313" s="287"/>
      <c r="VBC313" s="287"/>
      <c r="VBD313" s="287"/>
      <c r="VBE313" s="287"/>
      <c r="VBF313" s="287"/>
      <c r="VBG313" s="287"/>
      <c r="VBH313" s="287"/>
      <c r="VBI313" s="287"/>
      <c r="VBJ313" s="287"/>
      <c r="VBK313" s="287"/>
      <c r="VBL313" s="287"/>
      <c r="VBM313" s="287"/>
      <c r="VBN313" s="287"/>
      <c r="VBO313" s="287"/>
      <c r="VBP313" s="287"/>
      <c r="VBQ313" s="287"/>
      <c r="VBR313" s="287"/>
      <c r="VBS313" s="287"/>
      <c r="VBT313" s="287"/>
      <c r="VBU313" s="287"/>
      <c r="VBV313" s="287"/>
      <c r="VBW313" s="287"/>
      <c r="VBX313" s="287"/>
      <c r="VBY313" s="287"/>
      <c r="VBZ313" s="287"/>
      <c r="VCA313" s="287"/>
      <c r="VCB313" s="287"/>
      <c r="VCC313" s="287"/>
      <c r="VCD313" s="287"/>
      <c r="VCE313" s="287"/>
      <c r="VCF313" s="287"/>
      <c r="VCG313" s="287"/>
      <c r="VCH313" s="287"/>
      <c r="VCI313" s="287"/>
      <c r="VCJ313" s="287"/>
      <c r="VCK313" s="287"/>
      <c r="VCL313" s="287"/>
      <c r="VCM313" s="287"/>
      <c r="VCN313" s="287"/>
      <c r="VCO313" s="287"/>
      <c r="VCP313" s="287"/>
      <c r="VCQ313" s="287"/>
      <c r="VCR313" s="287"/>
      <c r="VCS313" s="287"/>
      <c r="VCT313" s="287"/>
      <c r="VCU313" s="287"/>
      <c r="VCV313" s="287"/>
      <c r="VCW313" s="287"/>
      <c r="VCX313" s="287"/>
      <c r="VCY313" s="287"/>
      <c r="VCZ313" s="287"/>
      <c r="VDA313" s="287"/>
      <c r="VDB313" s="287"/>
      <c r="VDC313" s="287"/>
      <c r="VDD313" s="287"/>
      <c r="VDE313" s="287"/>
      <c r="VDF313" s="287"/>
      <c r="VDG313" s="287"/>
      <c r="VDH313" s="287"/>
      <c r="VDI313" s="287"/>
      <c r="VDJ313" s="287"/>
      <c r="VDK313" s="287"/>
      <c r="VDL313" s="287"/>
      <c r="VDM313" s="287"/>
      <c r="VDN313" s="287"/>
      <c r="VDO313" s="287"/>
      <c r="VDP313" s="287"/>
      <c r="VDQ313" s="287"/>
      <c r="VDR313" s="287"/>
      <c r="VDS313" s="287"/>
      <c r="VDT313" s="287"/>
      <c r="VDU313" s="287"/>
      <c r="VDV313" s="287"/>
      <c r="VDW313" s="287"/>
      <c r="VDX313" s="287"/>
      <c r="VDY313" s="287"/>
      <c r="VDZ313" s="287"/>
      <c r="VEA313" s="287"/>
      <c r="VEB313" s="287"/>
      <c r="VEC313" s="287"/>
      <c r="VED313" s="287"/>
      <c r="VEE313" s="287"/>
      <c r="VEF313" s="287"/>
      <c r="VEG313" s="287"/>
      <c r="VEH313" s="287"/>
      <c r="VEI313" s="287"/>
      <c r="VEJ313" s="287"/>
      <c r="VEK313" s="287"/>
      <c r="VEL313" s="287"/>
      <c r="VEM313" s="287"/>
      <c r="VEN313" s="287"/>
      <c r="VEO313" s="287"/>
      <c r="VEP313" s="287"/>
      <c r="VEQ313" s="287"/>
      <c r="VER313" s="287"/>
      <c r="VES313" s="287"/>
      <c r="VET313" s="287"/>
      <c r="VEU313" s="287"/>
      <c r="VEV313" s="287"/>
      <c r="VEW313" s="287"/>
      <c r="VEX313" s="287"/>
      <c r="VEY313" s="287"/>
      <c r="VEZ313" s="287"/>
      <c r="VFA313" s="287"/>
      <c r="VFB313" s="287"/>
      <c r="VFC313" s="287"/>
      <c r="VFD313" s="287"/>
      <c r="VFE313" s="287"/>
      <c r="VFF313" s="287"/>
      <c r="VFG313" s="287"/>
      <c r="VFH313" s="287"/>
      <c r="VFI313" s="287"/>
      <c r="VFJ313" s="287"/>
      <c r="VFK313" s="287"/>
      <c r="VFL313" s="287"/>
      <c r="VFM313" s="287"/>
      <c r="VFN313" s="287"/>
      <c r="VFO313" s="287"/>
      <c r="VFP313" s="287"/>
      <c r="VFQ313" s="287"/>
      <c r="VFR313" s="287"/>
      <c r="VFS313" s="287"/>
      <c r="VFT313" s="287"/>
      <c r="VFU313" s="287"/>
      <c r="VFV313" s="287"/>
      <c r="VFW313" s="287"/>
      <c r="VFX313" s="287"/>
      <c r="VFY313" s="287"/>
      <c r="VFZ313" s="287"/>
      <c r="VGA313" s="287"/>
      <c r="VGB313" s="287"/>
      <c r="VGC313" s="287"/>
      <c r="VGD313" s="287"/>
      <c r="VGE313" s="287"/>
      <c r="VGF313" s="287"/>
      <c r="VGG313" s="287"/>
      <c r="VGH313" s="287"/>
      <c r="VGI313" s="287"/>
      <c r="VGJ313" s="287"/>
      <c r="VGK313" s="287"/>
      <c r="VGL313" s="287"/>
      <c r="VGM313" s="287"/>
      <c r="VGN313" s="287"/>
      <c r="VGO313" s="287"/>
      <c r="VGP313" s="287"/>
      <c r="VGQ313" s="287"/>
      <c r="VGR313" s="287"/>
      <c r="VGS313" s="287"/>
      <c r="VGT313" s="287"/>
      <c r="VGU313" s="287"/>
      <c r="VGV313" s="287"/>
      <c r="VGW313" s="287"/>
      <c r="VGX313" s="287"/>
      <c r="VGY313" s="287"/>
      <c r="VGZ313" s="287"/>
      <c r="VHA313" s="287"/>
      <c r="VHB313" s="287"/>
      <c r="VHC313" s="287"/>
      <c r="VHD313" s="287"/>
      <c r="VHE313" s="287"/>
      <c r="VHF313" s="287"/>
      <c r="VHG313" s="287"/>
      <c r="VHH313" s="287"/>
      <c r="VHI313" s="287"/>
      <c r="VHJ313" s="287"/>
      <c r="VHK313" s="287"/>
      <c r="VHL313" s="287"/>
      <c r="VHM313" s="287"/>
      <c r="VHN313" s="287"/>
      <c r="VHO313" s="287"/>
      <c r="VHP313" s="287"/>
      <c r="VHQ313" s="287"/>
      <c r="VHR313" s="287"/>
      <c r="VHS313" s="287"/>
      <c r="VHT313" s="287"/>
      <c r="VHU313" s="287"/>
      <c r="VHV313" s="287"/>
      <c r="VHW313" s="287"/>
      <c r="VHX313" s="287"/>
      <c r="VHY313" s="287"/>
      <c r="VHZ313" s="287"/>
      <c r="VIA313" s="287"/>
      <c r="VIB313" s="287"/>
      <c r="VIC313" s="287"/>
      <c r="VID313" s="287"/>
      <c r="VIE313" s="287"/>
      <c r="VIF313" s="287"/>
      <c r="VIG313" s="287"/>
      <c r="VIH313" s="287"/>
      <c r="VII313" s="287"/>
      <c r="VIJ313" s="287"/>
      <c r="VIK313" s="287"/>
      <c r="VIL313" s="287"/>
      <c r="VIM313" s="287"/>
      <c r="VIN313" s="287"/>
      <c r="VIO313" s="287"/>
      <c r="VIP313" s="287"/>
      <c r="VIQ313" s="287"/>
      <c r="VIR313" s="287"/>
      <c r="VIS313" s="287"/>
      <c r="VIT313" s="287"/>
      <c r="VIU313" s="287"/>
      <c r="VIV313" s="287"/>
      <c r="VIW313" s="287"/>
      <c r="VIX313" s="287"/>
      <c r="VIY313" s="287"/>
      <c r="VIZ313" s="287"/>
      <c r="VJA313" s="287"/>
      <c r="VJB313" s="287"/>
      <c r="VJC313" s="287"/>
      <c r="VJD313" s="287"/>
      <c r="VJE313" s="287"/>
      <c r="VJF313" s="287"/>
      <c r="VJG313" s="287"/>
      <c r="VJH313" s="287"/>
      <c r="VJI313" s="287"/>
      <c r="VJJ313" s="287"/>
      <c r="VJK313" s="287"/>
      <c r="VJL313" s="287"/>
      <c r="VJM313" s="287"/>
      <c r="VJN313" s="287"/>
      <c r="VJO313" s="287"/>
      <c r="VJP313" s="287"/>
      <c r="VJQ313" s="287"/>
      <c r="VJR313" s="287"/>
      <c r="VJS313" s="287"/>
      <c r="VJT313" s="287"/>
      <c r="VJU313" s="287"/>
      <c r="VJV313" s="287"/>
      <c r="VJW313" s="287"/>
      <c r="VJX313" s="287"/>
      <c r="VJY313" s="287"/>
      <c r="VJZ313" s="287"/>
      <c r="VKA313" s="287"/>
      <c r="VKB313" s="287"/>
      <c r="VKC313" s="287"/>
      <c r="VKD313" s="287"/>
      <c r="VKE313" s="287"/>
      <c r="VKF313" s="287"/>
      <c r="VKG313" s="287"/>
      <c r="VKH313" s="287"/>
      <c r="VKI313" s="287"/>
      <c r="VKJ313" s="287"/>
      <c r="VKK313" s="287"/>
      <c r="VKL313" s="287"/>
      <c r="VKM313" s="287"/>
      <c r="VKN313" s="287"/>
      <c r="VKO313" s="287"/>
      <c r="VKP313" s="287"/>
      <c r="VKQ313" s="287"/>
      <c r="VKR313" s="287"/>
      <c r="VKS313" s="287"/>
      <c r="VKT313" s="287"/>
      <c r="VKU313" s="287"/>
      <c r="VKV313" s="287"/>
      <c r="VKW313" s="287"/>
      <c r="VKX313" s="287"/>
      <c r="VKY313" s="287"/>
      <c r="VKZ313" s="287"/>
      <c r="VLA313" s="287"/>
      <c r="VLB313" s="287"/>
      <c r="VLC313" s="287"/>
      <c r="VLD313" s="287"/>
      <c r="VLE313" s="287"/>
      <c r="VLF313" s="287"/>
      <c r="VLG313" s="287"/>
      <c r="VLH313" s="287"/>
      <c r="VLI313" s="287"/>
      <c r="VLJ313" s="287"/>
      <c r="VLK313" s="287"/>
      <c r="VLL313" s="287"/>
      <c r="VLM313" s="287"/>
      <c r="VLN313" s="287"/>
      <c r="VLO313" s="287"/>
      <c r="VLP313" s="287"/>
      <c r="VLQ313" s="287"/>
      <c r="VLR313" s="287"/>
      <c r="VLS313" s="287"/>
      <c r="VLT313" s="287"/>
      <c r="VLU313" s="287"/>
      <c r="VLV313" s="287"/>
      <c r="VLW313" s="287"/>
      <c r="VLX313" s="287"/>
      <c r="VLY313" s="287"/>
      <c r="VLZ313" s="287"/>
      <c r="VMA313" s="287"/>
      <c r="VMB313" s="287"/>
      <c r="VMC313" s="287"/>
      <c r="VMD313" s="287"/>
      <c r="VME313" s="287"/>
      <c r="VMF313" s="287"/>
      <c r="VMG313" s="287"/>
      <c r="VMH313" s="287"/>
      <c r="VMI313" s="287"/>
      <c r="VMJ313" s="287"/>
      <c r="VMK313" s="287"/>
      <c r="VML313" s="287"/>
      <c r="VMM313" s="287"/>
      <c r="VMN313" s="287"/>
      <c r="VMO313" s="287"/>
      <c r="VMP313" s="287"/>
      <c r="VMQ313" s="287"/>
      <c r="VMR313" s="287"/>
      <c r="VMS313" s="287"/>
      <c r="VMT313" s="287"/>
      <c r="VMU313" s="287"/>
      <c r="VMV313" s="287"/>
      <c r="VMW313" s="287"/>
      <c r="VMX313" s="287"/>
      <c r="VMY313" s="287"/>
      <c r="VMZ313" s="287"/>
      <c r="VNA313" s="287"/>
      <c r="VNB313" s="287"/>
      <c r="VNC313" s="287"/>
      <c r="VND313" s="287"/>
      <c r="VNE313" s="287"/>
      <c r="VNF313" s="287"/>
      <c r="VNG313" s="287"/>
      <c r="VNH313" s="287"/>
      <c r="VNI313" s="287"/>
      <c r="VNJ313" s="287"/>
      <c r="VNK313" s="287"/>
      <c r="VNL313" s="287"/>
      <c r="VNM313" s="287"/>
      <c r="VNN313" s="287"/>
      <c r="VNO313" s="287"/>
      <c r="VNP313" s="287"/>
      <c r="VNQ313" s="287"/>
      <c r="VNR313" s="287"/>
      <c r="VNS313" s="287"/>
      <c r="VNT313" s="287"/>
      <c r="VNU313" s="287"/>
      <c r="VNV313" s="287"/>
      <c r="VNW313" s="287"/>
      <c r="VNX313" s="287"/>
      <c r="VNY313" s="287"/>
      <c r="VNZ313" s="287"/>
      <c r="VOA313" s="287"/>
      <c r="VOB313" s="287"/>
      <c r="VOC313" s="287"/>
      <c r="VOD313" s="287"/>
      <c r="VOE313" s="287"/>
      <c r="VOF313" s="287"/>
      <c r="VOG313" s="287"/>
      <c r="VOH313" s="287"/>
      <c r="VOI313" s="287"/>
      <c r="VOJ313" s="287"/>
      <c r="VOK313" s="287"/>
      <c r="VOL313" s="287"/>
      <c r="VOM313" s="287"/>
      <c r="VON313" s="287"/>
      <c r="VOO313" s="287"/>
      <c r="VOP313" s="287"/>
      <c r="VOQ313" s="287"/>
      <c r="VOR313" s="287"/>
      <c r="VOS313" s="287"/>
      <c r="VOT313" s="287"/>
      <c r="VOU313" s="287"/>
      <c r="VOV313" s="287"/>
      <c r="VOW313" s="287"/>
      <c r="VOX313" s="287"/>
      <c r="VOY313" s="287"/>
      <c r="VOZ313" s="287"/>
      <c r="VPA313" s="287"/>
      <c r="VPB313" s="287"/>
      <c r="VPC313" s="287"/>
      <c r="VPD313" s="287"/>
      <c r="VPE313" s="287"/>
      <c r="VPF313" s="287"/>
      <c r="VPG313" s="287"/>
      <c r="VPH313" s="287"/>
      <c r="VPI313" s="287"/>
      <c r="VPJ313" s="287"/>
      <c r="VPK313" s="287"/>
      <c r="VPL313" s="287"/>
      <c r="VPM313" s="287"/>
      <c r="VPN313" s="287"/>
      <c r="VPO313" s="287"/>
      <c r="VPP313" s="287"/>
      <c r="VPQ313" s="287"/>
      <c r="VPR313" s="287"/>
      <c r="VPS313" s="287"/>
      <c r="VPT313" s="287"/>
      <c r="VPU313" s="287"/>
      <c r="VPV313" s="287"/>
      <c r="VPW313" s="287"/>
      <c r="VPX313" s="287"/>
      <c r="VPY313" s="287"/>
      <c r="VPZ313" s="287"/>
      <c r="VQA313" s="287"/>
      <c r="VQB313" s="287"/>
      <c r="VQC313" s="287"/>
      <c r="VQD313" s="287"/>
      <c r="VQE313" s="287"/>
      <c r="VQF313" s="287"/>
      <c r="VQG313" s="287"/>
      <c r="VQH313" s="287"/>
      <c r="VQI313" s="287"/>
      <c r="VQJ313" s="287"/>
      <c r="VQK313" s="287"/>
      <c r="VQL313" s="287"/>
      <c r="VQM313" s="287"/>
      <c r="VQN313" s="287"/>
      <c r="VQO313" s="287"/>
      <c r="VQP313" s="287"/>
      <c r="VQQ313" s="287"/>
      <c r="VQR313" s="287"/>
      <c r="VQS313" s="287"/>
      <c r="VQT313" s="287"/>
      <c r="VQU313" s="287"/>
      <c r="VQV313" s="287"/>
      <c r="VQW313" s="287"/>
      <c r="VQX313" s="287"/>
      <c r="VQY313" s="287"/>
      <c r="VQZ313" s="287"/>
      <c r="VRA313" s="287"/>
      <c r="VRB313" s="287"/>
      <c r="VRC313" s="287"/>
      <c r="VRD313" s="287"/>
      <c r="VRE313" s="287"/>
      <c r="VRF313" s="287"/>
      <c r="VRG313" s="287"/>
      <c r="VRH313" s="287"/>
      <c r="VRI313" s="287"/>
      <c r="VRJ313" s="287"/>
      <c r="VRK313" s="287"/>
      <c r="VRL313" s="287"/>
      <c r="VRM313" s="287"/>
      <c r="VRN313" s="287"/>
      <c r="VRO313" s="287"/>
      <c r="VRP313" s="287"/>
      <c r="VRQ313" s="287"/>
      <c r="VRR313" s="287"/>
      <c r="VRS313" s="287"/>
      <c r="VRT313" s="287"/>
      <c r="VRU313" s="287"/>
      <c r="VRV313" s="287"/>
      <c r="VRW313" s="287"/>
      <c r="VRX313" s="287"/>
      <c r="VRY313" s="287"/>
      <c r="VRZ313" s="287"/>
      <c r="VSA313" s="287"/>
      <c r="VSB313" s="287"/>
      <c r="VSC313" s="287"/>
      <c r="VSD313" s="287"/>
      <c r="VSE313" s="287"/>
      <c r="VSF313" s="287"/>
      <c r="VSG313" s="287"/>
      <c r="VSH313" s="287"/>
      <c r="VSI313" s="287"/>
      <c r="VSJ313" s="287"/>
      <c r="VSK313" s="287"/>
      <c r="VSL313" s="287"/>
      <c r="VSM313" s="287"/>
      <c r="VSN313" s="287"/>
      <c r="VSO313" s="287"/>
      <c r="VSP313" s="287"/>
      <c r="VSQ313" s="287"/>
      <c r="VSR313" s="287"/>
      <c r="VSS313" s="287"/>
      <c r="VST313" s="287"/>
      <c r="VSU313" s="287"/>
      <c r="VSV313" s="287"/>
      <c r="VSW313" s="287"/>
      <c r="VSX313" s="287"/>
      <c r="VSY313" s="287"/>
      <c r="VSZ313" s="287"/>
      <c r="VTA313" s="287"/>
      <c r="VTB313" s="287"/>
      <c r="VTC313" s="287"/>
      <c r="VTD313" s="287"/>
      <c r="VTE313" s="287"/>
      <c r="VTF313" s="287"/>
      <c r="VTG313" s="287"/>
      <c r="VTH313" s="287"/>
      <c r="VTI313" s="287"/>
      <c r="VTJ313" s="287"/>
      <c r="VTK313" s="287"/>
      <c r="VTL313" s="287"/>
      <c r="VTM313" s="287"/>
      <c r="VTN313" s="287"/>
      <c r="VTO313" s="287"/>
      <c r="VTP313" s="287"/>
      <c r="VTQ313" s="287"/>
      <c r="VTR313" s="287"/>
      <c r="VTS313" s="287"/>
      <c r="VTT313" s="287"/>
      <c r="VTU313" s="287"/>
      <c r="VTV313" s="287"/>
      <c r="VTW313" s="287"/>
      <c r="VTX313" s="287"/>
      <c r="VTY313" s="287"/>
      <c r="VTZ313" s="287"/>
      <c r="VUA313" s="287"/>
      <c r="VUB313" s="287"/>
      <c r="VUC313" s="287"/>
      <c r="VUD313" s="287"/>
      <c r="VUE313" s="287"/>
      <c r="VUF313" s="287"/>
      <c r="VUG313" s="287"/>
      <c r="VUH313" s="287"/>
      <c r="VUI313" s="287"/>
      <c r="VUJ313" s="287"/>
      <c r="VUK313" s="287"/>
      <c r="VUL313" s="287"/>
      <c r="VUM313" s="287"/>
      <c r="VUN313" s="287"/>
      <c r="VUO313" s="287"/>
      <c r="VUP313" s="287"/>
      <c r="VUQ313" s="287"/>
      <c r="VUR313" s="287"/>
      <c r="VUS313" s="287"/>
      <c r="VUT313" s="287"/>
      <c r="VUU313" s="287"/>
      <c r="VUV313" s="287"/>
      <c r="VUW313" s="287"/>
      <c r="VUX313" s="287"/>
      <c r="VUY313" s="287"/>
      <c r="VUZ313" s="287"/>
      <c r="VVA313" s="287"/>
      <c r="VVB313" s="287"/>
      <c r="VVC313" s="287"/>
      <c r="VVD313" s="287"/>
      <c r="VVE313" s="287"/>
      <c r="VVF313" s="287"/>
      <c r="VVG313" s="287"/>
      <c r="VVH313" s="287"/>
      <c r="VVI313" s="287"/>
      <c r="VVJ313" s="287"/>
      <c r="VVK313" s="287"/>
      <c r="VVL313" s="287"/>
      <c r="VVM313" s="287"/>
      <c r="VVN313" s="287"/>
      <c r="VVO313" s="287"/>
      <c r="VVP313" s="287"/>
      <c r="VVQ313" s="287"/>
      <c r="VVR313" s="287"/>
      <c r="VVS313" s="287"/>
      <c r="VVT313" s="287"/>
      <c r="VVU313" s="287"/>
      <c r="VVV313" s="287"/>
      <c r="VVW313" s="287"/>
      <c r="VVX313" s="287"/>
      <c r="VVY313" s="287"/>
      <c r="VVZ313" s="287"/>
      <c r="VWA313" s="287"/>
      <c r="VWB313" s="287"/>
      <c r="VWC313" s="287"/>
      <c r="VWD313" s="287"/>
      <c r="VWE313" s="287"/>
      <c r="VWF313" s="287"/>
      <c r="VWG313" s="287"/>
      <c r="VWH313" s="287"/>
      <c r="VWI313" s="287"/>
      <c r="VWJ313" s="287"/>
      <c r="VWK313" s="287"/>
      <c r="VWL313" s="287"/>
      <c r="VWM313" s="287"/>
      <c r="VWN313" s="287"/>
      <c r="VWO313" s="287"/>
      <c r="VWP313" s="287"/>
      <c r="VWQ313" s="287"/>
      <c r="VWR313" s="287"/>
      <c r="VWS313" s="287"/>
      <c r="VWT313" s="287"/>
      <c r="VWU313" s="287"/>
      <c r="VWV313" s="287"/>
      <c r="VWW313" s="287"/>
      <c r="VWX313" s="287"/>
      <c r="VWY313" s="287"/>
      <c r="VWZ313" s="287"/>
      <c r="VXA313" s="287"/>
      <c r="VXB313" s="287"/>
      <c r="VXC313" s="287"/>
      <c r="VXD313" s="287"/>
      <c r="VXE313" s="287"/>
      <c r="VXF313" s="287"/>
      <c r="VXG313" s="287"/>
      <c r="VXH313" s="287"/>
      <c r="VXI313" s="287"/>
      <c r="VXJ313" s="287"/>
      <c r="VXK313" s="287"/>
      <c r="VXL313" s="287"/>
      <c r="VXM313" s="287"/>
      <c r="VXN313" s="287"/>
      <c r="VXO313" s="287"/>
      <c r="VXP313" s="287"/>
      <c r="VXQ313" s="287"/>
      <c r="VXR313" s="287"/>
      <c r="VXS313" s="287"/>
      <c r="VXT313" s="287"/>
      <c r="VXU313" s="287"/>
      <c r="VXV313" s="287"/>
      <c r="VXW313" s="287"/>
      <c r="VXX313" s="287"/>
      <c r="VXY313" s="287"/>
      <c r="VXZ313" s="287"/>
      <c r="VYA313" s="287"/>
      <c r="VYB313" s="287"/>
      <c r="VYC313" s="287"/>
      <c r="VYD313" s="287"/>
      <c r="VYE313" s="287"/>
      <c r="VYF313" s="287"/>
      <c r="VYG313" s="287"/>
      <c r="VYH313" s="287"/>
      <c r="VYI313" s="287"/>
      <c r="VYJ313" s="287"/>
      <c r="VYK313" s="287"/>
      <c r="VYL313" s="287"/>
      <c r="VYM313" s="287"/>
      <c r="VYN313" s="287"/>
      <c r="VYO313" s="287"/>
      <c r="VYP313" s="287"/>
      <c r="VYQ313" s="287"/>
      <c r="VYR313" s="287"/>
      <c r="VYS313" s="287"/>
      <c r="VYT313" s="287"/>
      <c r="VYU313" s="287"/>
      <c r="VYV313" s="287"/>
      <c r="VYW313" s="287"/>
      <c r="VYX313" s="287"/>
      <c r="VYY313" s="287"/>
      <c r="VYZ313" s="287"/>
      <c r="VZA313" s="287"/>
      <c r="VZB313" s="287"/>
      <c r="VZC313" s="287"/>
      <c r="VZD313" s="287"/>
      <c r="VZE313" s="287"/>
      <c r="VZF313" s="287"/>
      <c r="VZG313" s="287"/>
      <c r="VZH313" s="287"/>
      <c r="VZI313" s="287"/>
      <c r="VZJ313" s="287"/>
      <c r="VZK313" s="287"/>
      <c r="VZL313" s="287"/>
      <c r="VZM313" s="287"/>
      <c r="VZN313" s="287"/>
      <c r="VZO313" s="287"/>
      <c r="VZP313" s="287"/>
      <c r="VZQ313" s="287"/>
      <c r="VZR313" s="287"/>
      <c r="VZS313" s="287"/>
      <c r="VZT313" s="287"/>
      <c r="VZU313" s="287"/>
      <c r="VZV313" s="287"/>
      <c r="VZW313" s="287"/>
      <c r="VZX313" s="287"/>
      <c r="VZY313" s="287"/>
      <c r="VZZ313" s="287"/>
      <c r="WAA313" s="287"/>
      <c r="WAB313" s="287"/>
      <c r="WAC313" s="287"/>
      <c r="WAD313" s="287"/>
      <c r="WAE313" s="287"/>
      <c r="WAF313" s="287"/>
      <c r="WAG313" s="287"/>
      <c r="WAH313" s="287"/>
      <c r="WAI313" s="287"/>
      <c r="WAJ313" s="287"/>
      <c r="WAK313" s="287"/>
      <c r="WAL313" s="287"/>
      <c r="WAM313" s="287"/>
      <c r="WAN313" s="287"/>
      <c r="WAO313" s="287"/>
      <c r="WAP313" s="287"/>
      <c r="WAQ313" s="287"/>
      <c r="WAR313" s="287"/>
      <c r="WAS313" s="287"/>
      <c r="WAT313" s="287"/>
      <c r="WAU313" s="287"/>
      <c r="WAV313" s="287"/>
      <c r="WAW313" s="287"/>
      <c r="WAX313" s="287"/>
      <c r="WAY313" s="287"/>
      <c r="WAZ313" s="287"/>
      <c r="WBA313" s="287"/>
      <c r="WBB313" s="287"/>
      <c r="WBC313" s="287"/>
      <c r="WBD313" s="287"/>
      <c r="WBE313" s="287"/>
      <c r="WBF313" s="287"/>
      <c r="WBG313" s="287"/>
      <c r="WBH313" s="287"/>
      <c r="WBI313" s="287"/>
      <c r="WBJ313" s="287"/>
      <c r="WBK313" s="287"/>
      <c r="WBL313" s="287"/>
      <c r="WBM313" s="287"/>
      <c r="WBN313" s="287"/>
      <c r="WBO313" s="287"/>
      <c r="WBP313" s="287"/>
      <c r="WBQ313" s="287"/>
      <c r="WBR313" s="287"/>
      <c r="WBS313" s="287"/>
      <c r="WBT313" s="287"/>
      <c r="WBU313" s="287"/>
      <c r="WBV313" s="287"/>
      <c r="WBW313" s="287"/>
      <c r="WBX313" s="287"/>
      <c r="WBY313" s="287"/>
      <c r="WBZ313" s="287"/>
      <c r="WCA313" s="287"/>
      <c r="WCB313" s="287"/>
      <c r="WCC313" s="287"/>
      <c r="WCD313" s="287"/>
      <c r="WCE313" s="287"/>
      <c r="WCF313" s="287"/>
      <c r="WCG313" s="287"/>
      <c r="WCH313" s="287"/>
      <c r="WCI313" s="287"/>
      <c r="WCJ313" s="287"/>
      <c r="WCK313" s="287"/>
      <c r="WCL313" s="287"/>
      <c r="WCM313" s="287"/>
      <c r="WCN313" s="287"/>
      <c r="WCO313" s="287"/>
      <c r="WCP313" s="287"/>
      <c r="WCQ313" s="287"/>
      <c r="WCR313" s="287"/>
      <c r="WCS313" s="287"/>
      <c r="WCT313" s="287"/>
      <c r="WCU313" s="287"/>
      <c r="WCV313" s="287"/>
      <c r="WCW313" s="287"/>
      <c r="WCX313" s="287"/>
      <c r="WCY313" s="287"/>
      <c r="WCZ313" s="287"/>
      <c r="WDA313" s="287"/>
      <c r="WDB313" s="287"/>
      <c r="WDC313" s="287"/>
      <c r="WDD313" s="287"/>
      <c r="WDE313" s="287"/>
      <c r="WDF313" s="287"/>
      <c r="WDG313" s="287"/>
      <c r="WDH313" s="287"/>
      <c r="WDI313" s="287"/>
      <c r="WDJ313" s="287"/>
      <c r="WDK313" s="287"/>
      <c r="WDL313" s="287"/>
      <c r="WDM313" s="287"/>
      <c r="WDN313" s="287"/>
      <c r="WDO313" s="287"/>
      <c r="WDP313" s="287"/>
      <c r="WDQ313" s="287"/>
      <c r="WDR313" s="287"/>
      <c r="WDS313" s="287"/>
      <c r="WDT313" s="287"/>
      <c r="WDU313" s="287"/>
      <c r="WDV313" s="287"/>
      <c r="WDW313" s="287"/>
      <c r="WDX313" s="287"/>
      <c r="WDY313" s="287"/>
      <c r="WDZ313" s="287"/>
      <c r="WEA313" s="287"/>
      <c r="WEB313" s="287"/>
      <c r="WEC313" s="287"/>
      <c r="WED313" s="287"/>
      <c r="WEE313" s="287"/>
      <c r="WEF313" s="287"/>
      <c r="WEG313" s="287"/>
      <c r="WEH313" s="287"/>
      <c r="WEI313" s="287"/>
      <c r="WEJ313" s="287"/>
      <c r="WEK313" s="287"/>
      <c r="WEL313" s="287"/>
      <c r="WEM313" s="287"/>
      <c r="WEN313" s="287"/>
      <c r="WEO313" s="287"/>
      <c r="WEP313" s="287"/>
      <c r="WEQ313" s="287"/>
      <c r="WER313" s="287"/>
      <c r="WES313" s="287"/>
      <c r="WET313" s="287"/>
      <c r="WEU313" s="287"/>
      <c r="WEV313" s="287"/>
      <c r="WEW313" s="287"/>
      <c r="WEX313" s="287"/>
      <c r="WEY313" s="287"/>
      <c r="WEZ313" s="287"/>
      <c r="WFA313" s="287"/>
      <c r="WFB313" s="287"/>
      <c r="WFC313" s="287"/>
      <c r="WFD313" s="287"/>
      <c r="WFE313" s="287"/>
      <c r="WFF313" s="287"/>
      <c r="WFG313" s="287"/>
      <c r="WFH313" s="287"/>
      <c r="WFI313" s="287"/>
      <c r="WFJ313" s="287"/>
      <c r="WFK313" s="287"/>
      <c r="WFL313" s="287"/>
      <c r="WFM313" s="287"/>
      <c r="WFN313" s="287"/>
      <c r="WFO313" s="287"/>
      <c r="WFP313" s="287"/>
      <c r="WFQ313" s="287"/>
      <c r="WFR313" s="287"/>
      <c r="WFS313" s="287"/>
      <c r="WFT313" s="287"/>
      <c r="WFU313" s="287"/>
      <c r="WFV313" s="287"/>
      <c r="WFW313" s="287"/>
      <c r="WFX313" s="287"/>
      <c r="WFY313" s="287"/>
      <c r="WFZ313" s="287"/>
      <c r="WGA313" s="287"/>
      <c r="WGB313" s="287"/>
      <c r="WGC313" s="287"/>
      <c r="WGD313" s="287"/>
      <c r="WGE313" s="287"/>
      <c r="WGF313" s="287"/>
      <c r="WGG313" s="287"/>
      <c r="WGH313" s="287"/>
      <c r="WGI313" s="287"/>
      <c r="WGJ313" s="287"/>
      <c r="WGK313" s="287"/>
      <c r="WGL313" s="287"/>
      <c r="WGM313" s="287"/>
      <c r="WGN313" s="287"/>
      <c r="WGO313" s="287"/>
      <c r="WGP313" s="287"/>
      <c r="WGQ313" s="287"/>
      <c r="WGR313" s="287"/>
      <c r="WGS313" s="287"/>
      <c r="WGT313" s="287"/>
      <c r="WGU313" s="287"/>
      <c r="WGV313" s="287"/>
      <c r="WGW313" s="287"/>
      <c r="WGX313" s="287"/>
      <c r="WGY313" s="287"/>
      <c r="WGZ313" s="287"/>
      <c r="WHA313" s="287"/>
      <c r="WHB313" s="287"/>
      <c r="WHC313" s="287"/>
      <c r="WHD313" s="287"/>
      <c r="WHE313" s="287"/>
      <c r="WHF313" s="287"/>
      <c r="WHG313" s="287"/>
      <c r="WHH313" s="287"/>
      <c r="WHI313" s="287"/>
      <c r="WHJ313" s="287"/>
      <c r="WHK313" s="287"/>
      <c r="WHL313" s="287"/>
      <c r="WHM313" s="287"/>
      <c r="WHN313" s="287"/>
      <c r="WHO313" s="287"/>
      <c r="WHP313" s="287"/>
      <c r="WHQ313" s="287"/>
      <c r="WHR313" s="287"/>
      <c r="WHS313" s="287"/>
      <c r="WHT313" s="287"/>
      <c r="WHU313" s="287"/>
      <c r="WHV313" s="287"/>
      <c r="WHW313" s="287"/>
      <c r="WHX313" s="287"/>
      <c r="WHY313" s="287"/>
      <c r="WHZ313" s="287"/>
      <c r="WIA313" s="287"/>
      <c r="WIB313" s="287"/>
      <c r="WIC313" s="287"/>
      <c r="WID313" s="287"/>
      <c r="WIE313" s="287"/>
      <c r="WIF313" s="287"/>
      <c r="WIG313" s="287"/>
      <c r="WIH313" s="287"/>
      <c r="WII313" s="287"/>
      <c r="WIJ313" s="287"/>
      <c r="WIK313" s="287"/>
      <c r="WIL313" s="287"/>
      <c r="WIM313" s="287"/>
      <c r="WIN313" s="287"/>
      <c r="WIO313" s="287"/>
      <c r="WIP313" s="287"/>
      <c r="WIQ313" s="287"/>
      <c r="WIR313" s="287"/>
      <c r="WIS313" s="287"/>
      <c r="WIT313" s="287"/>
      <c r="WIU313" s="287"/>
      <c r="WIV313" s="287"/>
      <c r="WIW313" s="287"/>
      <c r="WIX313" s="287"/>
      <c r="WIY313" s="287"/>
      <c r="WIZ313" s="287"/>
      <c r="WJA313" s="287"/>
      <c r="WJB313" s="287"/>
      <c r="WJC313" s="287"/>
      <c r="WJD313" s="287"/>
      <c r="WJE313" s="287"/>
      <c r="WJF313" s="287"/>
      <c r="WJG313" s="287"/>
      <c r="WJH313" s="287"/>
      <c r="WJI313" s="287"/>
      <c r="WJJ313" s="287"/>
      <c r="WJK313" s="287"/>
      <c r="WJL313" s="287"/>
      <c r="WJM313" s="287"/>
      <c r="WJN313" s="287"/>
      <c r="WJO313" s="287"/>
      <c r="WJP313" s="287"/>
      <c r="WJQ313" s="287"/>
      <c r="WJR313" s="287"/>
      <c r="WJS313" s="287"/>
      <c r="WJT313" s="287"/>
      <c r="WJU313" s="287"/>
      <c r="WJV313" s="287"/>
      <c r="WJW313" s="287"/>
      <c r="WJX313" s="287"/>
      <c r="WJY313" s="287"/>
      <c r="WJZ313" s="287"/>
      <c r="WKA313" s="287"/>
      <c r="WKB313" s="287"/>
      <c r="WKC313" s="287"/>
      <c r="WKD313" s="287"/>
      <c r="WKE313" s="287"/>
      <c r="WKF313" s="287"/>
      <c r="WKG313" s="287"/>
      <c r="WKH313" s="287"/>
      <c r="WKI313" s="287"/>
      <c r="WKJ313" s="287"/>
      <c r="WKK313" s="287"/>
      <c r="WKL313" s="287"/>
      <c r="WKM313" s="287"/>
      <c r="WKN313" s="287"/>
      <c r="WKO313" s="287"/>
      <c r="WKP313" s="287"/>
      <c r="WKQ313" s="287"/>
      <c r="WKR313" s="287"/>
      <c r="WKS313" s="287"/>
      <c r="WKT313" s="287"/>
      <c r="WKU313" s="287"/>
      <c r="WKV313" s="287"/>
      <c r="WKW313" s="287"/>
      <c r="WKX313" s="287"/>
      <c r="WKY313" s="287"/>
      <c r="WKZ313" s="287"/>
      <c r="WLA313" s="287"/>
      <c r="WLB313" s="287"/>
      <c r="WLC313" s="287"/>
      <c r="WLD313" s="287"/>
      <c r="WLE313" s="287"/>
      <c r="WLF313" s="287"/>
      <c r="WLG313" s="287"/>
      <c r="WLH313" s="287"/>
      <c r="WLI313" s="287"/>
      <c r="WLJ313" s="287"/>
      <c r="WLK313" s="287"/>
      <c r="WLL313" s="287"/>
      <c r="WLM313" s="287"/>
      <c r="WLN313" s="287"/>
      <c r="WLO313" s="287"/>
      <c r="WLP313" s="287"/>
      <c r="WLQ313" s="287"/>
      <c r="WLR313" s="287"/>
      <c r="WLS313" s="287"/>
      <c r="WLT313" s="287"/>
      <c r="WLU313" s="287"/>
      <c r="WLV313" s="287"/>
      <c r="WLW313" s="287"/>
      <c r="WLX313" s="287"/>
      <c r="WLY313" s="287"/>
      <c r="WLZ313" s="287"/>
      <c r="WMA313" s="287"/>
      <c r="WMB313" s="287"/>
      <c r="WMC313" s="287"/>
      <c r="WMD313" s="287"/>
      <c r="WME313" s="287"/>
      <c r="WMF313" s="287"/>
      <c r="WMG313" s="287"/>
      <c r="WMH313" s="287"/>
      <c r="WMI313" s="287"/>
      <c r="WMJ313" s="287"/>
      <c r="WMK313" s="287"/>
      <c r="WML313" s="287"/>
      <c r="WMM313" s="287"/>
      <c r="WMN313" s="287"/>
      <c r="WMO313" s="287"/>
      <c r="WMP313" s="287"/>
      <c r="WMQ313" s="287"/>
      <c r="WMR313" s="287"/>
      <c r="WMS313" s="287"/>
      <c r="WMT313" s="287"/>
      <c r="WMU313" s="287"/>
      <c r="WMV313" s="287"/>
      <c r="WMW313" s="287"/>
      <c r="WMX313" s="287"/>
      <c r="WMY313" s="287"/>
      <c r="WMZ313" s="287"/>
      <c r="WNA313" s="287"/>
      <c r="WNB313" s="287"/>
      <c r="WNC313" s="287"/>
      <c r="WND313" s="287"/>
      <c r="WNE313" s="287"/>
      <c r="WNF313" s="287"/>
      <c r="WNG313" s="287"/>
      <c r="WNH313" s="287"/>
      <c r="WNI313" s="287"/>
      <c r="WNJ313" s="287"/>
      <c r="WNK313" s="287"/>
      <c r="WNL313" s="287"/>
      <c r="WNM313" s="287"/>
      <c r="WNN313" s="287"/>
      <c r="WNO313" s="287"/>
      <c r="WNP313" s="287"/>
      <c r="WNQ313" s="287"/>
      <c r="WNR313" s="287"/>
      <c r="WNS313" s="287"/>
      <c r="WNT313" s="287"/>
      <c r="WNU313" s="287"/>
      <c r="WNV313" s="287"/>
      <c r="WNW313" s="287"/>
      <c r="WNX313" s="287"/>
      <c r="WNY313" s="287"/>
      <c r="WNZ313" s="287"/>
      <c r="WOA313" s="287"/>
      <c r="WOB313" s="287"/>
      <c r="WOC313" s="287"/>
      <c r="WOD313" s="287"/>
      <c r="WOE313" s="287"/>
      <c r="WOF313" s="287"/>
      <c r="WOG313" s="287"/>
      <c r="WOH313" s="287"/>
      <c r="WOI313" s="287"/>
      <c r="WOJ313" s="287"/>
      <c r="WOK313" s="287"/>
      <c r="WOL313" s="287"/>
      <c r="WOM313" s="287"/>
      <c r="WON313" s="287"/>
      <c r="WOO313" s="287"/>
      <c r="WOP313" s="287"/>
      <c r="WOQ313" s="287"/>
      <c r="WOR313" s="287"/>
      <c r="WOS313" s="287"/>
      <c r="WOT313" s="287"/>
      <c r="WOU313" s="287"/>
      <c r="WOV313" s="287"/>
      <c r="WOW313" s="287"/>
      <c r="WOX313" s="287"/>
      <c r="WOY313" s="287"/>
      <c r="WOZ313" s="287"/>
      <c r="WPA313" s="287"/>
      <c r="WPB313" s="287"/>
      <c r="WPC313" s="287"/>
      <c r="WPD313" s="287"/>
      <c r="WPE313" s="287"/>
      <c r="WPF313" s="287"/>
      <c r="WPG313" s="287"/>
      <c r="WPH313" s="287"/>
      <c r="WPI313" s="287"/>
      <c r="WPJ313" s="287"/>
      <c r="WPK313" s="287"/>
      <c r="WPL313" s="287"/>
      <c r="WPM313" s="287"/>
      <c r="WPN313" s="287"/>
      <c r="WPO313" s="287"/>
      <c r="WPP313" s="287"/>
      <c r="WPQ313" s="287"/>
      <c r="WPR313" s="287"/>
      <c r="WPS313" s="287"/>
      <c r="WPT313" s="287"/>
      <c r="WPU313" s="287"/>
      <c r="WPV313" s="287"/>
      <c r="WPW313" s="287"/>
      <c r="WPX313" s="287"/>
      <c r="WPY313" s="287"/>
      <c r="WPZ313" s="287"/>
      <c r="WQA313" s="287"/>
      <c r="WQB313" s="287"/>
      <c r="WQC313" s="287"/>
      <c r="WQD313" s="287"/>
      <c r="WQE313" s="287"/>
      <c r="WQF313" s="287"/>
      <c r="WQG313" s="287"/>
      <c r="WQH313" s="287"/>
      <c r="WQI313" s="287"/>
      <c r="WQJ313" s="287"/>
      <c r="WQK313" s="287"/>
      <c r="WQL313" s="287"/>
      <c r="WQM313" s="287"/>
      <c r="WQN313" s="287"/>
      <c r="WQO313" s="287"/>
      <c r="WQP313" s="287"/>
      <c r="WQQ313" s="287"/>
      <c r="WQR313" s="287"/>
      <c r="WQS313" s="287"/>
      <c r="WQT313" s="287"/>
      <c r="WQU313" s="287"/>
      <c r="WQV313" s="287"/>
      <c r="WQW313" s="287"/>
      <c r="WQX313" s="287"/>
      <c r="WQY313" s="287"/>
      <c r="WQZ313" s="287"/>
      <c r="WRA313" s="287"/>
      <c r="WRB313" s="287"/>
      <c r="WRC313" s="287"/>
      <c r="WRD313" s="287"/>
      <c r="WRE313" s="287"/>
      <c r="WRF313" s="287"/>
      <c r="WRG313" s="287"/>
      <c r="WRH313" s="287"/>
      <c r="WRI313" s="287"/>
      <c r="WRJ313" s="287"/>
      <c r="WRK313" s="287"/>
      <c r="WRL313" s="287"/>
      <c r="WRM313" s="287"/>
      <c r="WRN313" s="287"/>
      <c r="WRO313" s="287"/>
      <c r="WRP313" s="287"/>
      <c r="WRQ313" s="287"/>
      <c r="WRR313" s="287"/>
      <c r="WRS313" s="287"/>
      <c r="WRT313" s="287"/>
      <c r="WRU313" s="287"/>
      <c r="WRV313" s="287"/>
      <c r="WRW313" s="287"/>
      <c r="WRX313" s="287"/>
      <c r="WRY313" s="287"/>
      <c r="WRZ313" s="287"/>
      <c r="WSA313" s="287"/>
      <c r="WSB313" s="287"/>
      <c r="WSC313" s="287"/>
      <c r="WSD313" s="287"/>
      <c r="WSE313" s="287"/>
      <c r="WSF313" s="287"/>
      <c r="WSG313" s="287"/>
      <c r="WSH313" s="287"/>
      <c r="WSI313" s="287"/>
      <c r="WSJ313" s="287"/>
      <c r="WSK313" s="287"/>
      <c r="WSL313" s="287"/>
      <c r="WSM313" s="287"/>
      <c r="WSN313" s="287"/>
      <c r="WSO313" s="287"/>
      <c r="WSP313" s="287"/>
      <c r="WSQ313" s="287"/>
      <c r="WSR313" s="287"/>
      <c r="WSS313" s="287"/>
      <c r="WST313" s="287"/>
      <c r="WSU313" s="287"/>
      <c r="WSV313" s="287"/>
      <c r="WSW313" s="287"/>
      <c r="WSX313" s="287"/>
      <c r="WSY313" s="287"/>
      <c r="WSZ313" s="287"/>
      <c r="WTA313" s="287"/>
      <c r="WTB313" s="287"/>
      <c r="WTC313" s="287"/>
      <c r="WTD313" s="287"/>
      <c r="WTE313" s="287"/>
      <c r="WTF313" s="287"/>
      <c r="WTG313" s="287"/>
      <c r="WTH313" s="287"/>
      <c r="WTI313" s="287"/>
      <c r="WTJ313" s="287"/>
      <c r="WTK313" s="287"/>
      <c r="WTL313" s="287"/>
      <c r="WTM313" s="287"/>
      <c r="WTN313" s="287"/>
      <c r="WTO313" s="287"/>
      <c r="WTP313" s="287"/>
      <c r="WTQ313" s="287"/>
      <c r="WTR313" s="287"/>
      <c r="WTS313" s="287"/>
      <c r="WTT313" s="287"/>
      <c r="WTU313" s="287"/>
      <c r="WTV313" s="287"/>
      <c r="WTW313" s="287"/>
      <c r="WTX313" s="287"/>
      <c r="WTY313" s="287"/>
      <c r="WTZ313" s="287"/>
      <c r="WUA313" s="287"/>
      <c r="WUB313" s="287"/>
      <c r="WUC313" s="287"/>
      <c r="WUD313" s="287"/>
      <c r="WUE313" s="287"/>
      <c r="WUF313" s="287"/>
      <c r="WUG313" s="287"/>
      <c r="WUH313" s="287"/>
      <c r="WUI313" s="287"/>
      <c r="WUJ313" s="287"/>
      <c r="WUK313" s="287"/>
      <c r="WUL313" s="287"/>
      <c r="WUM313" s="287"/>
      <c r="WUN313" s="287"/>
      <c r="WUO313" s="287"/>
      <c r="WUP313" s="287"/>
      <c r="WUQ313" s="287"/>
      <c r="WUR313" s="287"/>
      <c r="WUS313" s="287"/>
      <c r="WUT313" s="287"/>
      <c r="WUU313" s="287"/>
      <c r="WUV313" s="287"/>
      <c r="WUW313" s="287"/>
      <c r="WUX313" s="287"/>
      <c r="WUY313" s="287"/>
      <c r="WUZ313" s="287"/>
      <c r="WVA313" s="287"/>
      <c r="WVB313" s="287"/>
      <c r="WVC313" s="287"/>
      <c r="WVD313" s="287"/>
      <c r="WVE313" s="287"/>
      <c r="WVF313" s="287"/>
      <c r="WVG313" s="287"/>
      <c r="WVH313" s="287"/>
      <c r="WVI313" s="287"/>
      <c r="WVJ313" s="287"/>
      <c r="WVK313" s="287"/>
      <c r="WVL313" s="287"/>
      <c r="WVM313" s="287"/>
      <c r="WVN313" s="287"/>
      <c r="WVO313" s="287"/>
      <c r="WVP313" s="287"/>
      <c r="WVQ313" s="287"/>
      <c r="WVR313" s="287"/>
      <c r="WVS313" s="287"/>
      <c r="WVT313" s="287"/>
      <c r="WVU313" s="287"/>
      <c r="WVV313" s="287"/>
      <c r="WVW313" s="287"/>
      <c r="WVX313" s="287"/>
      <c r="WVY313" s="287"/>
      <c r="WVZ313" s="287"/>
      <c r="WWA313" s="287"/>
      <c r="WWB313" s="287"/>
      <c r="WWC313" s="287"/>
      <c r="WWD313" s="287"/>
      <c r="WWE313" s="287"/>
      <c r="WWF313" s="287"/>
      <c r="WWG313" s="287"/>
      <c r="WWH313" s="287"/>
      <c r="WWI313" s="287"/>
      <c r="WWJ313" s="287"/>
      <c r="WWK313" s="287"/>
      <c r="WWL313" s="287"/>
      <c r="WWM313" s="287"/>
      <c r="WWN313" s="287"/>
      <c r="WWO313" s="287"/>
      <c r="WWP313" s="287"/>
      <c r="WWQ313" s="287"/>
      <c r="WWR313" s="287"/>
      <c r="WWS313" s="287"/>
      <c r="WWT313" s="287"/>
      <c r="WWU313" s="287"/>
      <c r="WWV313" s="287"/>
      <c r="WWW313" s="287"/>
      <c r="WWX313" s="287"/>
      <c r="WWY313" s="287"/>
      <c r="WWZ313" s="287"/>
      <c r="WXA313" s="287"/>
      <c r="WXB313" s="287"/>
      <c r="WXC313" s="287"/>
      <c r="WXD313" s="287"/>
      <c r="WXE313" s="287"/>
      <c r="WXF313" s="287"/>
      <c r="WXG313" s="287"/>
      <c r="WXH313" s="287"/>
      <c r="WXI313" s="287"/>
      <c r="WXJ313" s="287"/>
      <c r="WXK313" s="287"/>
      <c r="WXL313" s="287"/>
      <c r="WXM313" s="287"/>
      <c r="WXN313" s="287"/>
      <c r="WXO313" s="287"/>
      <c r="WXP313" s="287"/>
      <c r="WXQ313" s="287"/>
      <c r="WXR313" s="287"/>
      <c r="WXS313" s="287"/>
      <c r="WXT313" s="287"/>
      <c r="WXU313" s="287"/>
      <c r="WXV313" s="287"/>
      <c r="WXW313" s="287"/>
      <c r="WXX313" s="287"/>
      <c r="WXY313" s="287"/>
      <c r="WXZ313" s="287"/>
      <c r="WYA313" s="287"/>
      <c r="WYB313" s="287"/>
      <c r="WYC313" s="287"/>
      <c r="WYD313" s="287"/>
      <c r="WYE313" s="287"/>
      <c r="WYF313" s="287"/>
      <c r="WYG313" s="287"/>
      <c r="WYH313" s="287"/>
      <c r="WYI313" s="287"/>
      <c r="WYJ313" s="287"/>
      <c r="WYK313" s="287"/>
      <c r="WYL313" s="287"/>
      <c r="WYM313" s="287"/>
      <c r="WYN313" s="287"/>
      <c r="WYO313" s="287"/>
      <c r="WYP313" s="287"/>
      <c r="WYQ313" s="287"/>
      <c r="WYR313" s="287"/>
      <c r="WYS313" s="287"/>
      <c r="WYT313" s="287"/>
      <c r="WYU313" s="287"/>
      <c r="WYV313" s="287"/>
      <c r="WYW313" s="287"/>
      <c r="WYX313" s="287"/>
      <c r="WYY313" s="287"/>
      <c r="WYZ313" s="287"/>
      <c r="WZA313" s="287"/>
      <c r="WZB313" s="287"/>
      <c r="WZC313" s="287"/>
      <c r="WZD313" s="287"/>
      <c r="WZE313" s="287"/>
      <c r="WZF313" s="287"/>
      <c r="WZG313" s="287"/>
      <c r="WZH313" s="287"/>
      <c r="WZI313" s="287"/>
      <c r="WZJ313" s="287"/>
      <c r="WZK313" s="287"/>
      <c r="WZL313" s="287"/>
      <c r="WZM313" s="287"/>
      <c r="WZN313" s="287"/>
      <c r="WZO313" s="287"/>
      <c r="WZP313" s="287"/>
      <c r="WZQ313" s="287"/>
      <c r="WZR313" s="287"/>
      <c r="WZS313" s="287"/>
      <c r="WZT313" s="287"/>
      <c r="WZU313" s="287"/>
      <c r="WZV313" s="287"/>
      <c r="WZW313" s="287"/>
      <c r="WZX313" s="287"/>
      <c r="WZY313" s="287"/>
      <c r="WZZ313" s="287"/>
      <c r="XAA313" s="287"/>
      <c r="XAB313" s="287"/>
      <c r="XAC313" s="287"/>
      <c r="XAD313" s="287"/>
      <c r="XAE313" s="287"/>
      <c r="XAF313" s="287"/>
      <c r="XAG313" s="287"/>
      <c r="XAH313" s="287"/>
      <c r="XAI313" s="287"/>
      <c r="XAJ313" s="287"/>
      <c r="XAK313" s="287"/>
      <c r="XAL313" s="287"/>
      <c r="XAM313" s="287"/>
      <c r="XAN313" s="287"/>
      <c r="XAO313" s="287"/>
      <c r="XAP313" s="287"/>
      <c r="XAQ313" s="287"/>
      <c r="XAR313" s="287"/>
      <c r="XAS313" s="287"/>
      <c r="XAT313" s="287"/>
      <c r="XAU313" s="287"/>
      <c r="XAV313" s="287"/>
      <c r="XAW313" s="287"/>
      <c r="XAX313" s="287"/>
      <c r="XAY313" s="287"/>
      <c r="XAZ313" s="287"/>
      <c r="XBA313" s="287"/>
      <c r="XBB313" s="287"/>
      <c r="XBC313" s="287"/>
      <c r="XBD313" s="287"/>
      <c r="XBE313" s="287"/>
      <c r="XBF313" s="287"/>
      <c r="XBG313" s="287"/>
      <c r="XBH313" s="287"/>
      <c r="XBI313" s="287"/>
      <c r="XBJ313" s="287"/>
      <c r="XBK313" s="287"/>
      <c r="XBL313" s="287"/>
      <c r="XBM313" s="287"/>
      <c r="XBN313" s="287"/>
      <c r="XBO313" s="287"/>
      <c r="XBP313" s="287"/>
      <c r="XBQ313" s="287"/>
      <c r="XBR313" s="287"/>
      <c r="XBS313" s="287"/>
      <c r="XBT313" s="287"/>
      <c r="XBU313" s="287"/>
      <c r="XBV313" s="287"/>
      <c r="XBW313" s="287"/>
      <c r="XBX313" s="287"/>
      <c r="XBY313" s="287"/>
      <c r="XBZ313" s="287"/>
      <c r="XCA313" s="287"/>
      <c r="XCB313" s="287"/>
      <c r="XCC313" s="287"/>
      <c r="XCD313" s="287"/>
      <c r="XCE313" s="287"/>
      <c r="XCF313" s="287"/>
      <c r="XCG313" s="287"/>
      <c r="XCH313" s="287"/>
      <c r="XCI313" s="287"/>
      <c r="XCJ313" s="287"/>
      <c r="XCK313" s="287"/>
      <c r="XCL313" s="287"/>
      <c r="XCM313" s="287"/>
      <c r="XCN313" s="287"/>
      <c r="XCO313" s="287"/>
      <c r="XCP313" s="287"/>
      <c r="XCQ313" s="287"/>
      <c r="XCR313" s="287"/>
      <c r="XCS313" s="287"/>
      <c r="XCT313" s="287"/>
      <c r="XCU313" s="287"/>
      <c r="XCV313" s="287"/>
      <c r="XCW313" s="287"/>
      <c r="XCX313" s="287"/>
      <c r="XCY313" s="287"/>
      <c r="XCZ313" s="287"/>
      <c r="XDA313" s="287"/>
      <c r="XDB313" s="287"/>
      <c r="XDC313" s="287"/>
      <c r="XDD313" s="287"/>
      <c r="XDE313" s="287"/>
      <c r="XDF313" s="287"/>
      <c r="XDG313" s="287"/>
      <c r="XDH313" s="287"/>
      <c r="XDI313" s="287"/>
      <c r="XDJ313" s="287"/>
      <c r="XDK313" s="287"/>
      <c r="XDL313" s="287"/>
      <c r="XDM313" s="287"/>
      <c r="XDN313" s="287"/>
      <c r="XDO313" s="287"/>
      <c r="XDP313" s="287"/>
      <c r="XDQ313" s="287"/>
      <c r="XDR313" s="287"/>
      <c r="XDS313" s="287"/>
      <c r="XDT313" s="287"/>
      <c r="XDU313" s="287"/>
      <c r="XDV313" s="287"/>
      <c r="XDW313" s="287"/>
      <c r="XDX313" s="287"/>
      <c r="XDY313" s="287"/>
      <c r="XDZ313" s="287"/>
      <c r="XEA313" s="287"/>
      <c r="XEB313" s="287"/>
      <c r="XEC313" s="287"/>
      <c r="XED313" s="287"/>
      <c r="XEE313" s="287"/>
      <c r="XEF313" s="287"/>
      <c r="XEG313" s="287"/>
      <c r="XEH313" s="287"/>
      <c r="XEI313" s="287"/>
      <c r="XEJ313" s="287"/>
      <c r="XEK313" s="287"/>
      <c r="XEL313" s="287"/>
      <c r="XEM313" s="287"/>
      <c r="XEN313" s="287"/>
      <c r="XEO313" s="287"/>
      <c r="XEP313" s="287"/>
      <c r="XEQ313" s="287"/>
      <c r="XER313" s="287"/>
      <c r="XES313" s="287"/>
      <c r="XET313" s="287"/>
      <c r="XEU313" s="287"/>
      <c r="XEV313" s="287"/>
      <c r="XEW313" s="287"/>
      <c r="XEX313" s="287"/>
      <c r="XEY313" s="287"/>
      <c r="XEZ313" s="287"/>
      <c r="XFA313" s="287"/>
      <c r="XFB313" s="287"/>
      <c r="XFC313" s="287"/>
      <c r="XFD313" s="287"/>
    </row>
    <row r="314" spans="2:16384" ht="26.4">
      <c r="B314" s="211"/>
      <c r="C314" s="230" t="s">
        <v>985</v>
      </c>
      <c r="D314" s="230" t="s">
        <v>740</v>
      </c>
      <c r="E314" s="230" t="s">
        <v>847</v>
      </c>
      <c r="F314" s="230" t="s">
        <v>165</v>
      </c>
      <c r="G314" s="230"/>
      <c r="H314" s="230"/>
      <c r="I314" s="230" t="s">
        <v>167</v>
      </c>
      <c r="J314" s="231" t="s">
        <v>87</v>
      </c>
      <c r="K314" s="231" t="s">
        <v>87</v>
      </c>
      <c r="L314" s="211"/>
      <c r="M314" s="211"/>
    </row>
    <row r="315" spans="2:16384">
      <c r="B315" s="494" t="str">
        <f>E315&amp;C315</f>
        <v>PrimaryACSMNCC</v>
      </c>
      <c r="C315" s="252" t="s">
        <v>1318</v>
      </c>
      <c r="D315" s="252" t="s">
        <v>180</v>
      </c>
      <c r="E315" s="252" t="s">
        <v>172</v>
      </c>
      <c r="F315" s="252" t="s">
        <v>173</v>
      </c>
      <c r="G315" s="252"/>
      <c r="H315" s="252"/>
      <c r="I315" s="252" t="s">
        <v>177</v>
      </c>
      <c r="J315" s="499">
        <f>VLOOKUP(B315,'2020-21 MSC approved'!$A$7:$E$21,5,FALSE)</f>
        <v>0.11993571746557001</v>
      </c>
      <c r="K315" s="501">
        <f>J315*(1+'Model update'!$B$31)*(1-'Model update'!$J$189)+'Model update'!$J$196</f>
        <v>0.12096786649711536</v>
      </c>
      <c r="L315" s="211"/>
      <c r="M315" s="211"/>
    </row>
    <row r="316" spans="2:16384">
      <c r="B316" s="494" t="str">
        <f t="shared" ref="B316:B320" si="0">E316&amp;C316</f>
        <v>PrimaryACSMCC</v>
      </c>
      <c r="C316" s="252" t="s">
        <v>1320</v>
      </c>
      <c r="D316" s="252" t="s">
        <v>180</v>
      </c>
      <c r="E316" s="252" t="s">
        <v>172</v>
      </c>
      <c r="F316" s="252" t="s">
        <v>166</v>
      </c>
      <c r="G316" s="252"/>
      <c r="H316" s="252"/>
      <c r="I316" s="252" t="s">
        <v>178</v>
      </c>
      <c r="J316" s="499">
        <f>VLOOKUP(B316,'2020-21 MSC approved'!$A$7:$E$21,5,FALSE)</f>
        <v>4.3948316788407299E-2</v>
      </c>
      <c r="K316" s="501">
        <f>J316*(1+'Model update'!$B$31)*(1-'Model update'!$J$190)+'Model update'!$J$196</f>
        <v>4.4326529497429733E-2</v>
      </c>
      <c r="L316" s="211"/>
      <c r="M316" s="211"/>
    </row>
    <row r="317" spans="2:16384">
      <c r="B317" s="494" t="str">
        <f t="shared" si="0"/>
        <v>Load ControlACSMNCC</v>
      </c>
      <c r="C317" s="252" t="s">
        <v>1318</v>
      </c>
      <c r="D317" s="252" t="s">
        <v>180</v>
      </c>
      <c r="E317" s="252" t="s">
        <v>174</v>
      </c>
      <c r="F317" s="252" t="s">
        <v>173</v>
      </c>
      <c r="G317" s="252"/>
      <c r="H317" s="252"/>
      <c r="I317" s="252" t="s">
        <v>177</v>
      </c>
      <c r="J317" s="499">
        <f>VLOOKUP(B317,'2020-21 MSC approved'!$A$7:$E$21,5,FALSE)</f>
        <v>4.3960607829307996E-2</v>
      </c>
      <c r="K317" s="501">
        <f>J317*(1+'Model update'!$B$31)*(1-'Model update'!$J$189)+'Model update'!$J$196</f>
        <v>4.4338926313209098E-2</v>
      </c>
      <c r="L317" s="211"/>
      <c r="M317" s="211"/>
    </row>
    <row r="318" spans="2:16384">
      <c r="B318" s="494" t="str">
        <f t="shared" si="0"/>
        <v>Load ControlACSMCC</v>
      </c>
      <c r="C318" s="252" t="s">
        <v>1320</v>
      </c>
      <c r="D318" s="252" t="s">
        <v>180</v>
      </c>
      <c r="E318" s="252" t="s">
        <v>174</v>
      </c>
      <c r="F318" s="252" t="s">
        <v>166</v>
      </c>
      <c r="G318" s="252"/>
      <c r="H318" s="252"/>
      <c r="I318" s="252" t="s">
        <v>178</v>
      </c>
      <c r="J318" s="499">
        <f>VLOOKUP(B318,'2020-21 MSC approved'!$A$7:$E$21,5,FALSE)</f>
        <v>1.59654720034604E-2</v>
      </c>
      <c r="K318" s="501">
        <f>J318*(1+'Model update'!$B$31)*(1-'Model update'!$J$190)+'Model update'!$J$196</f>
        <v>1.6102868492302573E-2</v>
      </c>
      <c r="L318" s="211"/>
      <c r="M318" s="211"/>
    </row>
    <row r="319" spans="2:16384">
      <c r="B319" s="494" t="str">
        <f t="shared" si="0"/>
        <v>Solar PVACSMNCC</v>
      </c>
      <c r="C319" s="252" t="s">
        <v>1318</v>
      </c>
      <c r="D319" s="252" t="s">
        <v>180</v>
      </c>
      <c r="E319" s="252" t="s">
        <v>175</v>
      </c>
      <c r="F319" s="252" t="s">
        <v>173</v>
      </c>
      <c r="G319" s="252"/>
      <c r="H319" s="252"/>
      <c r="I319" s="252" t="s">
        <v>177</v>
      </c>
      <c r="J319" s="499">
        <f>VLOOKUP(B319,'2020-21 MSC approved'!$A$7:$E$21,5,FALSE)</f>
        <v>2.9337830150837001E-2</v>
      </c>
      <c r="K319" s="501">
        <f>J319*(1+'Model update'!$B$31)*(1-'Model update'!$J$189)+'Model update'!$J$196</f>
        <v>2.9590307174510298E-2</v>
      </c>
      <c r="L319" s="211"/>
      <c r="M319" s="211"/>
    </row>
    <row r="320" spans="2:16384" ht="13.8" thickBot="1">
      <c r="B320" s="494" t="str">
        <f t="shared" si="0"/>
        <v>Solar PVACSMCC</v>
      </c>
      <c r="C320" s="254" t="s">
        <v>1320</v>
      </c>
      <c r="D320" s="254" t="s">
        <v>180</v>
      </c>
      <c r="E320" s="254" t="s">
        <v>175</v>
      </c>
      <c r="F320" s="254" t="s">
        <v>166</v>
      </c>
      <c r="G320" s="254"/>
      <c r="H320" s="254"/>
      <c r="I320" s="254" t="s">
        <v>178</v>
      </c>
      <c r="J320" s="500">
        <f>VLOOKUP(B320,'2020-21 MSC approved'!$A$7:$E$21,5,FALSE)</f>
        <v>1.2025025361703901E-2</v>
      </c>
      <c r="K320" s="502">
        <f>J320*(1+'Model update'!$B$31)*(1-'Model update'!$J$190)+'Model update'!$J$196</f>
        <v>1.2128510950014606E-2</v>
      </c>
      <c r="L320" s="211"/>
      <c r="M320" s="211"/>
    </row>
    <row r="321" spans="1:13" ht="13.8" thickBot="1">
      <c r="B321" s="65"/>
      <c r="C321" s="65"/>
      <c r="D321" s="211"/>
      <c r="E321" s="211"/>
      <c r="F321" s="211"/>
      <c r="G321" s="211"/>
      <c r="H321" s="211"/>
      <c r="I321" s="211"/>
      <c r="J321" s="211"/>
      <c r="K321" s="211"/>
      <c r="L321" s="211"/>
      <c r="M321" s="211"/>
    </row>
    <row r="322" spans="1:13" ht="27" thickBot="1">
      <c r="B322" s="65"/>
      <c r="C322" s="333" t="s">
        <v>741</v>
      </c>
      <c r="D322" s="333"/>
      <c r="E322" s="333"/>
      <c r="F322" s="211"/>
      <c r="G322" s="211"/>
      <c r="H322" s="211"/>
      <c r="I322" s="211"/>
      <c r="J322" s="66" t="str">
        <f>"Approved "&amp;'Model update'!$B$8&amp;" rates"</f>
        <v>Approved 2020-21 rates</v>
      </c>
      <c r="K322" s="66" t="str">
        <f>'Model update'!$B$7&amp;" rates"</f>
        <v>2021-22 rates</v>
      </c>
      <c r="L322" s="211"/>
      <c r="M322" s="211"/>
    </row>
    <row r="323" spans="1:13" ht="26.4">
      <c r="B323" s="65"/>
      <c r="C323" s="230" t="s">
        <v>985</v>
      </c>
      <c r="D323" s="230" t="s">
        <v>740</v>
      </c>
      <c r="E323" s="230" t="s">
        <v>845</v>
      </c>
      <c r="F323" s="230" t="s">
        <v>873</v>
      </c>
      <c r="G323" s="230" t="s">
        <v>874</v>
      </c>
      <c r="H323" s="230"/>
      <c r="I323" s="230" t="s">
        <v>167</v>
      </c>
      <c r="J323" s="231" t="s">
        <v>176</v>
      </c>
      <c r="K323" s="231" t="s">
        <v>176</v>
      </c>
      <c r="L323" s="211"/>
      <c r="M323" s="211"/>
    </row>
    <row r="324" spans="1:13">
      <c r="A324" s="63" t="str">
        <f>C324&amp;G324</f>
        <v>ACSEOOMAConventional</v>
      </c>
      <c r="B324" s="494" t="str">
        <f t="shared" ref="B324:B337" si="1">E324&amp;F324&amp;G324</f>
        <v>NPL1MajorConventional</v>
      </c>
      <c r="C324" s="252" t="str">
        <f>VLOOKUP(B324,'2020-21 Public lights approved'!$A$7:$B$19,2,FALSE)</f>
        <v>ACSEOOMA</v>
      </c>
      <c r="D324" s="252" t="s">
        <v>1884</v>
      </c>
      <c r="E324" s="252" t="s">
        <v>869</v>
      </c>
      <c r="F324" s="252" t="s">
        <v>1309</v>
      </c>
      <c r="G324" s="252" t="s">
        <v>875</v>
      </c>
      <c r="H324" s="252"/>
      <c r="I324" s="252" t="s">
        <v>1885</v>
      </c>
      <c r="J324" s="495">
        <f>IF(G324="Conventional",VLOOKUP(B324,'2020-21 Public lights approved'!$A$7:$G$19,6,FALSE),VLOOKUP(B324,'2020-21 Public lights approved'!$A$7:$G$19,7,FALSE))</f>
        <v>0.94528000000000001</v>
      </c>
      <c r="K324" s="496">
        <f>J324*(1+'Model update'!$B$31)*(1-'Model update'!$J$191)+'Model update'!$J$196</f>
        <v>0.95341493975903613</v>
      </c>
      <c r="L324" s="211"/>
      <c r="M324" s="211"/>
    </row>
    <row r="325" spans="1:13">
      <c r="A325" s="63" t="str">
        <f t="shared" ref="A325:A337" si="2">C325&amp;G325</f>
        <v>ACSEOOMALLED</v>
      </c>
      <c r="B325" s="494" t="str">
        <f t="shared" si="1"/>
        <v>NPL1MajorLED</v>
      </c>
      <c r="C325" s="252" t="str">
        <f>VLOOKUP(B325,'2020-21 Public lights approved'!$A$7:$B$19,2,FALSE)</f>
        <v>ACSEOOMAL</v>
      </c>
      <c r="D325" s="252" t="s">
        <v>1884</v>
      </c>
      <c r="E325" s="252" t="s">
        <v>869</v>
      </c>
      <c r="F325" s="252" t="s">
        <v>1309</v>
      </c>
      <c r="G325" s="252" t="s">
        <v>876</v>
      </c>
      <c r="H325" s="252"/>
      <c r="I325" s="252" t="s">
        <v>1885</v>
      </c>
      <c r="J325" s="495">
        <f>IF(G325="Conventional",VLOOKUP(B325,'2020-21 Public lights approved'!$A$7:$G$19,6,FALSE),VLOOKUP(B325,'2020-21 Public lights approved'!$A$7:$G$19,7,FALSE))</f>
        <v>0.31673000000000001</v>
      </c>
      <c r="K325" s="496">
        <f>J325*(1+'Model update'!$B$31)*(1-'Model update'!$J$191)+'Model update'!$J$196</f>
        <v>0.31945573149741824</v>
      </c>
      <c r="L325" s="211"/>
      <c r="M325" s="211"/>
    </row>
    <row r="326" spans="1:13">
      <c r="A326" s="63" t="str">
        <f t="shared" si="2"/>
        <v>ACSEOOMIConventional</v>
      </c>
      <c r="B326" s="494" t="str">
        <f t="shared" si="1"/>
        <v>NPL1MinorConventional</v>
      </c>
      <c r="C326" s="252" t="str">
        <f>VLOOKUP(B326,'2020-21 Public lights approved'!$A$7:$B$19,2,FALSE)</f>
        <v>ACSEOOMI</v>
      </c>
      <c r="D326" s="252" t="s">
        <v>1884</v>
      </c>
      <c r="E326" s="252" t="s">
        <v>869</v>
      </c>
      <c r="F326" s="252" t="s">
        <v>1307</v>
      </c>
      <c r="G326" s="252" t="s">
        <v>875</v>
      </c>
      <c r="H326" s="252"/>
      <c r="I326" s="252" t="s">
        <v>1885</v>
      </c>
      <c r="J326" s="495">
        <f>IF(G326="Conventional",VLOOKUP(B326,'2020-21 Public lights approved'!$A$7:$G$19,6,FALSE),VLOOKUP(B326,'2020-21 Public lights approved'!$A$7:$G$19,7,FALSE))</f>
        <v>0.56318999999999997</v>
      </c>
      <c r="K326" s="496">
        <f>J326*(1+'Model update'!$B$31)*(1-'Model update'!$J$191)+'Model update'!$J$196</f>
        <v>0.56803672977624775</v>
      </c>
      <c r="L326" s="211"/>
      <c r="M326" s="211"/>
    </row>
    <row r="327" spans="1:13">
      <c r="A327" s="63" t="str">
        <f t="shared" si="2"/>
        <v>ACSEOOMILLED</v>
      </c>
      <c r="B327" s="494" t="str">
        <f t="shared" si="1"/>
        <v>NPL1MinorLED</v>
      </c>
      <c r="C327" s="252" t="str">
        <f>VLOOKUP(B327,'2020-21 Public lights approved'!$A$7:$B$19,2,FALSE)</f>
        <v>ACSEOOMIL</v>
      </c>
      <c r="D327" s="252" t="s">
        <v>1884</v>
      </c>
      <c r="E327" s="252" t="s">
        <v>869</v>
      </c>
      <c r="F327" s="252" t="s">
        <v>1307</v>
      </c>
      <c r="G327" s="252" t="s">
        <v>876</v>
      </c>
      <c r="H327" s="252"/>
      <c r="I327" s="252" t="s">
        <v>1885</v>
      </c>
      <c r="J327" s="495">
        <f>IF(G327="Conventional",VLOOKUP(B327,'2020-21 Public lights approved'!$A$7:$G$19,6,FALSE),VLOOKUP(B327,'2020-21 Public lights approved'!$A$7:$G$19,7,FALSE))</f>
        <v>0.20099</v>
      </c>
      <c r="K327" s="496">
        <f>J327*(1+'Model update'!$B$31)*(1-'Model update'!$J$191)+'Model update'!$J$196</f>
        <v>0.20271969018932876</v>
      </c>
      <c r="L327" s="211"/>
      <c r="M327" s="211"/>
    </row>
    <row r="328" spans="1:13">
      <c r="A328" s="63" t="str">
        <f t="shared" si="2"/>
        <v>ACSGEOMAConventional</v>
      </c>
      <c r="B328" s="494" t="str">
        <f t="shared" si="1"/>
        <v>NPL2MajorConventional</v>
      </c>
      <c r="C328" s="252" t="str">
        <f>VLOOKUP(B328,'2020-21 Public lights approved'!$A$7:$B$19,2,FALSE)</f>
        <v>ACSGEOMA</v>
      </c>
      <c r="D328" s="252" t="s">
        <v>1884</v>
      </c>
      <c r="E328" s="252" t="s">
        <v>870</v>
      </c>
      <c r="F328" s="252" t="s">
        <v>1309</v>
      </c>
      <c r="G328" s="252" t="s">
        <v>875</v>
      </c>
      <c r="H328" s="252"/>
      <c r="I328" s="252" t="s">
        <v>1885</v>
      </c>
      <c r="J328" s="495">
        <f>IF(G328="Conventional",VLOOKUP(B328,'2020-21 Public lights approved'!$A$7:$G$19,6,FALSE),VLOOKUP(B328,'2020-21 Public lights approved'!$A$7:$G$19,7,FALSE))</f>
        <v>0.38173000000000001</v>
      </c>
      <c r="K328" s="496">
        <f>J328*(1+'Model update'!$B$31)*(1-'Model update'!$J$191)+'Model update'!$J$196</f>
        <v>0.38501511187607573</v>
      </c>
      <c r="L328" s="211"/>
      <c r="M328" s="211"/>
    </row>
    <row r="329" spans="1:13">
      <c r="A329" s="63" t="str">
        <f t="shared" si="2"/>
        <v>ACSGEOMALLED</v>
      </c>
      <c r="B329" s="494" t="str">
        <f t="shared" si="1"/>
        <v>NPL2MajorLED</v>
      </c>
      <c r="C329" s="252" t="str">
        <f>VLOOKUP(B329,'2020-21 Public lights approved'!$A$7:$B$19,2,FALSE)</f>
        <v>ACSGEOMAL</v>
      </c>
      <c r="D329" s="252" t="s">
        <v>1884</v>
      </c>
      <c r="E329" s="252" t="s">
        <v>870</v>
      </c>
      <c r="F329" s="252" t="s">
        <v>1309</v>
      </c>
      <c r="G329" s="252" t="s">
        <v>876</v>
      </c>
      <c r="H329" s="252"/>
      <c r="I329" s="252" t="s">
        <v>1885</v>
      </c>
      <c r="J329" s="495">
        <f>IF(G329="Conventional",VLOOKUP(B329,'2020-21 Public lights approved'!$A$7:$G$19,6,FALSE),VLOOKUP(B329,'2020-21 Public lights approved'!$A$7:$G$19,7,FALSE))</f>
        <v>0.23130999999999999</v>
      </c>
      <c r="K329" s="496">
        <f>J329*(1+'Model update'!$B$31)*(1-'Model update'!$J$191)+'Model update'!$J$196</f>
        <v>0.23330061962134249</v>
      </c>
      <c r="L329" s="211"/>
      <c r="M329" s="211"/>
    </row>
    <row r="330" spans="1:13">
      <c r="A330" s="63" t="str">
        <f t="shared" si="2"/>
        <v>ACSGEOMIConventional</v>
      </c>
      <c r="B330" s="494" t="str">
        <f t="shared" si="1"/>
        <v>NPL2MinorConventional</v>
      </c>
      <c r="C330" s="252" t="str">
        <f>VLOOKUP(B330,'2020-21 Public lights approved'!$A$7:$B$19,2,FALSE)</f>
        <v>ACSGEOMI</v>
      </c>
      <c r="D330" s="252" t="s">
        <v>1884</v>
      </c>
      <c r="E330" s="252" t="s">
        <v>870</v>
      </c>
      <c r="F330" s="252" t="s">
        <v>1307</v>
      </c>
      <c r="G330" s="252" t="s">
        <v>875</v>
      </c>
      <c r="H330" s="252"/>
      <c r="I330" s="252" t="s">
        <v>1885</v>
      </c>
      <c r="J330" s="495">
        <f>IF(G330="Conventional",VLOOKUP(B330,'2020-21 Public lights approved'!$A$7:$G$19,6,FALSE),VLOOKUP(B330,'2020-21 Public lights approved'!$A$7:$G$19,7,FALSE))</f>
        <v>0.25006</v>
      </c>
      <c r="K330" s="496">
        <f>J330*(1+'Model update'!$B$31)*(1-'Model update'!$J$191)+'Model update'!$J$196</f>
        <v>0.25221197934595524</v>
      </c>
      <c r="L330" s="211"/>
      <c r="M330" s="211"/>
    </row>
    <row r="331" spans="1:13">
      <c r="A331" s="63" t="str">
        <f t="shared" si="2"/>
        <v>ACSGEOMILLED</v>
      </c>
      <c r="B331" s="494" t="str">
        <f t="shared" si="1"/>
        <v>NPL2MinorLED</v>
      </c>
      <c r="C331" s="252" t="str">
        <f>VLOOKUP(B331,'2020-21 Public lights approved'!$A$7:$B$19,2,FALSE)</f>
        <v>ACSGEOMIL</v>
      </c>
      <c r="D331" s="252" t="s">
        <v>1884</v>
      </c>
      <c r="E331" s="252" t="s">
        <v>870</v>
      </c>
      <c r="F331" s="252" t="s">
        <v>1307</v>
      </c>
      <c r="G331" s="252" t="s">
        <v>876</v>
      </c>
      <c r="H331" s="252"/>
      <c r="I331" s="252" t="s">
        <v>1885</v>
      </c>
      <c r="J331" s="495">
        <f>IF(G331="Conventional",VLOOKUP(B331,'2020-21 Public lights approved'!$A$7:$G$19,6,FALSE),VLOOKUP(B331,'2020-21 Public lights approved'!$A$7:$G$19,7,FALSE))</f>
        <v>0.15354000000000001</v>
      </c>
      <c r="K331" s="496">
        <f>J331*(1+'Model update'!$B$31)*(1-'Model update'!$J$191)+'Model update'!$J$196</f>
        <v>0.15486134251290878</v>
      </c>
      <c r="L331" s="211"/>
      <c r="M331" s="211"/>
    </row>
    <row r="332" spans="1:13">
      <c r="A332" s="63" t="str">
        <f t="shared" si="2"/>
        <v>N/AConventional</v>
      </c>
      <c r="B332" s="494" t="str">
        <f t="shared" si="1"/>
        <v>NPL3MajorConventional</v>
      </c>
      <c r="C332" s="252" t="s">
        <v>110</v>
      </c>
      <c r="D332" s="252" t="s">
        <v>1884</v>
      </c>
      <c r="E332" s="252" t="s">
        <v>871</v>
      </c>
      <c r="F332" s="252" t="s">
        <v>1309</v>
      </c>
      <c r="G332" s="252" t="s">
        <v>875</v>
      </c>
      <c r="H332" s="252"/>
      <c r="I332" s="252" t="s">
        <v>1885</v>
      </c>
      <c r="J332" s="495" t="s">
        <v>1333</v>
      </c>
      <c r="K332" s="496" t="s">
        <v>1333</v>
      </c>
      <c r="L332" s="211"/>
      <c r="M332" s="211"/>
    </row>
    <row r="333" spans="1:13">
      <c r="A333" s="63" t="str">
        <f t="shared" si="2"/>
        <v>N/ALED</v>
      </c>
      <c r="B333" s="494" t="str">
        <f t="shared" si="1"/>
        <v>NPL3MajorLED</v>
      </c>
      <c r="C333" s="252" t="s">
        <v>110</v>
      </c>
      <c r="D333" s="252" t="s">
        <v>1884</v>
      </c>
      <c r="E333" s="252" t="s">
        <v>871</v>
      </c>
      <c r="F333" s="252" t="s">
        <v>1309</v>
      </c>
      <c r="G333" s="252" t="s">
        <v>876</v>
      </c>
      <c r="H333" s="252"/>
      <c r="I333" s="252" t="s">
        <v>1885</v>
      </c>
      <c r="J333" s="495" t="s">
        <v>1333</v>
      </c>
      <c r="K333" s="496" t="s">
        <v>1333</v>
      </c>
      <c r="L333" s="211"/>
      <c r="M333" s="211"/>
    </row>
    <row r="334" spans="1:13">
      <c r="A334" s="63" t="str">
        <f t="shared" si="2"/>
        <v>N/AConventional</v>
      </c>
      <c r="B334" s="494" t="str">
        <f t="shared" si="1"/>
        <v>NPL3MinorConventional</v>
      </c>
      <c r="C334" s="252" t="s">
        <v>110</v>
      </c>
      <c r="D334" s="252" t="s">
        <v>1884</v>
      </c>
      <c r="E334" s="252" t="s">
        <v>871</v>
      </c>
      <c r="F334" s="252" t="s">
        <v>1307</v>
      </c>
      <c r="G334" s="252" t="s">
        <v>875</v>
      </c>
      <c r="H334" s="252"/>
      <c r="I334" s="252" t="s">
        <v>1885</v>
      </c>
      <c r="J334" s="495" t="s">
        <v>1333</v>
      </c>
      <c r="K334" s="496" t="s">
        <v>1333</v>
      </c>
      <c r="L334" s="211"/>
      <c r="M334" s="211"/>
    </row>
    <row r="335" spans="1:13">
      <c r="A335" s="63" t="str">
        <f t="shared" si="2"/>
        <v>N/ALED</v>
      </c>
      <c r="B335" s="494" t="str">
        <f t="shared" si="1"/>
        <v>NPL3MinorLED</v>
      </c>
      <c r="C335" s="252" t="s">
        <v>110</v>
      </c>
      <c r="D335" s="252" t="s">
        <v>1884</v>
      </c>
      <c r="E335" s="252" t="s">
        <v>871</v>
      </c>
      <c r="F335" s="252" t="s">
        <v>1307</v>
      </c>
      <c r="G335" s="252" t="s">
        <v>876</v>
      </c>
      <c r="H335" s="252"/>
      <c r="I335" s="252" t="s">
        <v>1885</v>
      </c>
      <c r="J335" s="495" t="s">
        <v>1333</v>
      </c>
      <c r="K335" s="496" t="s">
        <v>1333</v>
      </c>
      <c r="L335" s="211"/>
      <c r="M335" s="211"/>
    </row>
    <row r="336" spans="1:13">
      <c r="A336" s="63" t="str">
        <f t="shared" si="2"/>
        <v>ACSLEDMALED</v>
      </c>
      <c r="B336" s="494" t="str">
        <f t="shared" si="1"/>
        <v>NPL4MajorLED</v>
      </c>
      <c r="C336" s="252" t="str">
        <f>VLOOKUP(B336,'2020-21 Public lights approved'!$A$7:$B$19,2,FALSE)</f>
        <v>ACSLEDMA</v>
      </c>
      <c r="D336" s="252" t="s">
        <v>1884</v>
      </c>
      <c r="E336" s="252" t="s">
        <v>872</v>
      </c>
      <c r="F336" s="252" t="s">
        <v>1309</v>
      </c>
      <c r="G336" s="252" t="s">
        <v>876</v>
      </c>
      <c r="H336" s="252"/>
      <c r="I336" s="252" t="s">
        <v>1885</v>
      </c>
      <c r="J336" s="495">
        <f>IF(G336="Conventional",VLOOKUP(B336,'2020-21 Public lights approved'!$A$7:$G$19,6,FALSE),VLOOKUP(B336,'2020-21 Public lights approved'!$A$7:$G$19,7,FALSE))</f>
        <v>0.26797300000000002</v>
      </c>
      <c r="K336" s="496">
        <f>J336*(1+'Model update'!$B$31)*(1-'Model update'!$J$191)+'Model update'!$J$196</f>
        <v>0.27027913597246128</v>
      </c>
      <c r="L336" s="211"/>
      <c r="M336" s="211"/>
    </row>
    <row r="337" spans="1:13" ht="13.8" thickBot="1">
      <c r="A337" s="63" t="str">
        <f t="shared" si="2"/>
        <v>ACSLEDMILED</v>
      </c>
      <c r="B337" s="494" t="str">
        <f t="shared" si="1"/>
        <v>NPL4MinorLED</v>
      </c>
      <c r="C337" s="254" t="str">
        <f>VLOOKUP(B337,'2020-21 Public lights approved'!$A$7:$B$19,2,FALSE)</f>
        <v>ACSLEDMI</v>
      </c>
      <c r="D337" s="254" t="s">
        <v>1884</v>
      </c>
      <c r="E337" s="254" t="s">
        <v>872</v>
      </c>
      <c r="F337" s="254" t="s">
        <v>1307</v>
      </c>
      <c r="G337" s="254" t="s">
        <v>876</v>
      </c>
      <c r="H337" s="254"/>
      <c r="I337" s="254" t="s">
        <v>1885</v>
      </c>
      <c r="J337" s="503">
        <f>IF(G337="Conventional",VLOOKUP(B337,'2020-21 Public lights approved'!$A$7:$G$19,6,FALSE),VLOOKUP(B337,'2020-21 Public lights approved'!$A$7:$G$19,7,FALSE))</f>
        <v>0.171401</v>
      </c>
      <c r="K337" s="497">
        <f>J337*(1+'Model update'!$B$31)*(1-'Model update'!$J$191)+'Model update'!$J$196</f>
        <v>0.17287605163511188</v>
      </c>
      <c r="L337" s="211"/>
      <c r="M337" s="211"/>
    </row>
    <row r="338" spans="1:13">
      <c r="B338" s="65"/>
      <c r="C338" s="65"/>
      <c r="D338" s="211"/>
      <c r="E338" s="211"/>
      <c r="F338" s="211"/>
      <c r="G338" s="211"/>
      <c r="H338" s="211"/>
      <c r="I338" s="211"/>
      <c r="J338" s="211"/>
      <c r="K338" s="211"/>
      <c r="L338" s="211"/>
      <c r="M338" s="211"/>
    </row>
    <row r="339" spans="1:13">
      <c r="B339" s="65"/>
      <c r="C339" s="65"/>
      <c r="D339" s="211"/>
      <c r="E339" s="211"/>
      <c r="F339" s="211"/>
      <c r="G339" s="211"/>
      <c r="H339" s="211"/>
      <c r="I339" s="211"/>
      <c r="J339" s="211"/>
      <c r="K339" s="211"/>
      <c r="L339" s="211"/>
      <c r="M339" s="211"/>
    </row>
    <row r="340" spans="1:13" ht="13.8" thickBot="1">
      <c r="B340" s="65"/>
      <c r="C340" s="65"/>
      <c r="D340" s="211"/>
      <c r="E340" s="211"/>
      <c r="F340" s="211"/>
      <c r="G340" s="211"/>
      <c r="H340" s="211"/>
      <c r="I340" s="211"/>
      <c r="J340" s="211"/>
      <c r="K340" s="211"/>
      <c r="L340" s="211"/>
      <c r="M340" s="211"/>
    </row>
    <row r="341" spans="1:13" ht="27" thickBot="1">
      <c r="B341" s="65"/>
      <c r="C341" s="505" t="s">
        <v>1336</v>
      </c>
      <c r="D341" s="211"/>
      <c r="E341" s="211"/>
      <c r="F341" s="211"/>
      <c r="G341" s="211"/>
      <c r="H341" s="211"/>
      <c r="I341" s="66" t="str">
        <f>"Approved "&amp;'Model update'!$B$8&amp;" rates"</f>
        <v>Approved 2020-21 rates</v>
      </c>
      <c r="J341" s="66" t="str">
        <f>'Model update'!$B$7&amp;" rates"</f>
        <v>2021-22 rates</v>
      </c>
      <c r="K341" s="211"/>
      <c r="L341" s="211"/>
      <c r="M341" s="211"/>
    </row>
    <row r="342" spans="1:13" ht="26.4">
      <c r="B342" s="65"/>
      <c r="C342" s="506" t="s">
        <v>985</v>
      </c>
      <c r="D342" s="507" t="s">
        <v>740</v>
      </c>
      <c r="E342" s="507"/>
      <c r="F342" s="507" t="s">
        <v>1337</v>
      </c>
      <c r="G342" s="507"/>
      <c r="H342" s="507" t="s">
        <v>167</v>
      </c>
      <c r="I342" s="506" t="s">
        <v>1338</v>
      </c>
      <c r="J342" s="506" t="s">
        <v>1338</v>
      </c>
      <c r="K342" s="211"/>
      <c r="L342" s="211"/>
      <c r="M342" s="211"/>
    </row>
    <row r="343" spans="1:13">
      <c r="B343" s="1567" t="str">
        <f>C343&amp;F343</f>
        <v xml:space="preserve">UWLSLEDSmall LED </v>
      </c>
      <c r="C343" s="252" t="str">
        <f>'2020-21 Security approved'!A7</f>
        <v>UWLSLED</v>
      </c>
      <c r="D343" s="252" t="s">
        <v>1336</v>
      </c>
      <c r="E343" s="252"/>
      <c r="F343" s="252" t="s">
        <v>1323</v>
      </c>
      <c r="G343" s="252"/>
      <c r="H343" s="252" t="s">
        <v>844</v>
      </c>
      <c r="I343" s="1646">
        <f>VLOOKUP(C343,'2020-21 Security approved'!$A$7:$D$11,4,FALSE)</f>
        <v>0.84323939807628101</v>
      </c>
      <c r="J343" s="508">
        <f>I343*(1+'Model update'!$B$31)*(1-'Model update'!$J$192)+'Model update'!$J$196</f>
        <v>0.85681875459137025</v>
      </c>
      <c r="K343" s="211"/>
      <c r="L343" s="211"/>
      <c r="M343" s="211"/>
    </row>
    <row r="344" spans="1:13">
      <c r="B344" s="1567" t="str">
        <f t="shared" ref="B344:B347" si="3">C344&amp;F344</f>
        <v xml:space="preserve">UWLMLEDMedium LED </v>
      </c>
      <c r="C344" s="252" t="str">
        <f>'2020-21 Security approved'!A8</f>
        <v>UWLMLED</v>
      </c>
      <c r="D344" s="252" t="s">
        <v>1336</v>
      </c>
      <c r="E344" s="252"/>
      <c r="F344" s="252" t="s">
        <v>1325</v>
      </c>
      <c r="G344" s="252"/>
      <c r="H344" s="252" t="s">
        <v>844</v>
      </c>
      <c r="I344" s="1646">
        <f>VLOOKUP(C344,'2020-21 Security approved'!$A$7:$D$11,4,FALSE)</f>
        <v>1.0021308186615678</v>
      </c>
      <c r="J344" s="508">
        <f>I344*(1+'Model update'!$B$31)*(1-'Model update'!$J$192)+'Model update'!$J$196</f>
        <v>1.0182689304390877</v>
      </c>
      <c r="K344" s="211"/>
      <c r="L344" s="211"/>
      <c r="M344" s="211"/>
    </row>
    <row r="345" spans="1:13">
      <c r="B345" s="1567" t="str">
        <f t="shared" si="3"/>
        <v xml:space="preserve">UWLSCONSmall conventional </v>
      </c>
      <c r="C345" s="252" t="str">
        <f>'2020-21 Security approved'!A9</f>
        <v>UWLSCON</v>
      </c>
      <c r="D345" s="252" t="s">
        <v>1336</v>
      </c>
      <c r="E345" s="252"/>
      <c r="F345" s="252" t="s">
        <v>1327</v>
      </c>
      <c r="G345" s="252"/>
      <c r="H345" s="252" t="s">
        <v>844</v>
      </c>
      <c r="I345" s="1646">
        <f>VLOOKUP(C345,'2020-21 Security approved'!$A$7:$D$11,4,FALSE)</f>
        <v>1.0743142483597676</v>
      </c>
      <c r="J345" s="508">
        <f>I345*(1+'Model update'!$B$31)*(1-'Model update'!$J$192)+'Model update'!$J$196</f>
        <v>1.0916147874723836</v>
      </c>
      <c r="K345" s="211"/>
      <c r="L345" s="211"/>
      <c r="M345" s="211"/>
    </row>
    <row r="346" spans="1:13">
      <c r="B346" s="1567" t="str">
        <f t="shared" si="3"/>
        <v xml:space="preserve">UWLMCONMedium conventional </v>
      </c>
      <c r="C346" s="252" t="str">
        <f>'2020-21 Security approved'!A10</f>
        <v>UWLMCON</v>
      </c>
      <c r="D346" s="252" t="s">
        <v>1336</v>
      </c>
      <c r="E346" s="252"/>
      <c r="F346" s="252" t="s">
        <v>1329</v>
      </c>
      <c r="G346" s="252"/>
      <c r="H346" s="252" t="s">
        <v>844</v>
      </c>
      <c r="I346" s="1646">
        <f>VLOOKUP(C346,'2020-21 Security approved'!$A$7:$D$11,4,FALSE)</f>
        <v>1.1078914555669443</v>
      </c>
      <c r="J346" s="508">
        <f>I346*(1+'Model update'!$B$31)*(1-'Model update'!$J$192)+'Model update'!$J$196</f>
        <v>1.1257327152252172</v>
      </c>
      <c r="K346" s="211"/>
      <c r="L346" s="211"/>
      <c r="M346" s="211"/>
    </row>
    <row r="347" spans="1:13" ht="13.8" thickBot="1">
      <c r="B347" s="1567" t="str">
        <f t="shared" si="3"/>
        <v xml:space="preserve">UWLLCONLarge conventional </v>
      </c>
      <c r="C347" s="252" t="str">
        <f>'2020-21 Security approved'!A11</f>
        <v>UWLLCON</v>
      </c>
      <c r="D347" s="254" t="s">
        <v>1336</v>
      </c>
      <c r="E347" s="254"/>
      <c r="F347" s="254" t="s">
        <v>1331</v>
      </c>
      <c r="G347" s="254"/>
      <c r="H347" s="254" t="s">
        <v>844</v>
      </c>
      <c r="I347" s="1647">
        <f>VLOOKUP(C347,'2020-21 Security approved'!$A$7:$D$11,4,FALSE)</f>
        <v>1.1160953759587351</v>
      </c>
      <c r="J347" s="509">
        <f>I347*(1+'Model update'!$B$31)*(1-'Model update'!$J$192)+'Model update'!$J$196</f>
        <v>1.1340687498897468</v>
      </c>
      <c r="K347" s="211"/>
      <c r="L347" s="211"/>
      <c r="M347" s="211"/>
    </row>
    <row r="348" spans="1:13">
      <c r="B348" s="65"/>
      <c r="C348" s="65"/>
      <c r="D348" s="211"/>
      <c r="E348" s="211"/>
      <c r="F348" s="211"/>
      <c r="G348" s="211"/>
      <c r="H348" s="211"/>
      <c r="I348" s="211"/>
      <c r="J348" s="211"/>
      <c r="K348" s="211"/>
      <c r="L348" s="211"/>
      <c r="M348" s="211"/>
    </row>
    <row r="349" spans="1:13">
      <c r="B349" s="65"/>
      <c r="C349" s="65"/>
      <c r="D349" s="211"/>
      <c r="E349" s="211"/>
      <c r="F349" s="211"/>
      <c r="G349" s="211"/>
      <c r="H349" s="211"/>
      <c r="I349" s="211"/>
      <c r="J349" s="211"/>
      <c r="K349" s="211"/>
      <c r="L349" s="211"/>
      <c r="M349" s="211"/>
    </row>
    <row r="350" spans="1:13">
      <c r="B350" s="65"/>
      <c r="C350" s="65"/>
      <c r="D350" s="211"/>
      <c r="E350" s="211"/>
      <c r="F350" s="211"/>
      <c r="G350" s="211"/>
      <c r="H350" s="211"/>
      <c r="I350" s="211"/>
      <c r="J350" s="211"/>
      <c r="K350" s="211"/>
      <c r="L350" s="211"/>
      <c r="M350" s="211"/>
    </row>
    <row r="351" spans="1:13">
      <c r="B351" s="65"/>
      <c r="C351" s="65"/>
      <c r="D351" s="211"/>
      <c r="E351" s="211"/>
      <c r="F351" s="211"/>
      <c r="G351" s="211"/>
      <c r="H351" s="211"/>
      <c r="I351" s="211"/>
      <c r="J351" s="211"/>
      <c r="K351" s="211"/>
      <c r="L351" s="211"/>
      <c r="M351" s="211"/>
    </row>
    <row r="352" spans="1:13">
      <c r="B352" s="65"/>
      <c r="C352" s="65"/>
      <c r="D352" s="211"/>
      <c r="E352" s="211"/>
      <c r="F352" s="211"/>
      <c r="G352" s="211"/>
      <c r="H352" s="211"/>
      <c r="I352" s="211"/>
      <c r="J352" s="211"/>
      <c r="K352" s="211"/>
      <c r="L352" s="211"/>
      <c r="M352" s="211"/>
    </row>
    <row r="353" spans="2:28">
      <c r="B353" s="65"/>
      <c r="C353" s="65"/>
      <c r="D353" s="211"/>
      <c r="E353" s="211"/>
      <c r="F353" s="211"/>
      <c r="G353" s="211"/>
      <c r="H353" s="211"/>
      <c r="I353" s="211"/>
      <c r="J353" s="211"/>
      <c r="K353" s="211"/>
      <c r="L353" s="211"/>
      <c r="M353" s="211"/>
    </row>
    <row r="354" spans="2:28">
      <c r="B354" s="65"/>
      <c r="C354" s="65"/>
      <c r="D354" s="211"/>
      <c r="E354" s="211"/>
      <c r="F354" s="211"/>
      <c r="G354" s="211"/>
      <c r="H354" s="211"/>
      <c r="I354" s="211"/>
      <c r="J354" s="211"/>
      <c r="K354" s="211"/>
      <c r="L354" s="211"/>
      <c r="M354" s="211"/>
    </row>
    <row r="355" spans="2:28">
      <c r="B355" s="65"/>
      <c r="C355" s="65"/>
      <c r="D355" s="211"/>
      <c r="E355" s="211"/>
      <c r="F355" s="211"/>
      <c r="G355" s="211"/>
      <c r="H355" s="211"/>
      <c r="I355" s="211"/>
      <c r="J355" s="211"/>
      <c r="K355" s="65"/>
      <c r="L355" s="65"/>
      <c r="M355" s="65"/>
    </row>
    <row r="356" spans="2:28" s="35" customFormat="1" ht="13.8">
      <c r="B356" s="65"/>
      <c r="C356" s="65"/>
      <c r="D356" s="65"/>
      <c r="E356" s="65"/>
      <c r="F356" s="65"/>
      <c r="G356" s="65"/>
      <c r="H356" s="65"/>
      <c r="I356" s="65"/>
      <c r="J356" s="65"/>
      <c r="K356"/>
      <c r="L356"/>
      <c r="M356" s="9"/>
    </row>
    <row r="357" spans="2:28" s="35" customFormat="1" ht="13.8">
      <c r="B357" s="6"/>
      <c r="C357" s="6"/>
      <c r="D357"/>
      <c r="E357"/>
      <c r="F357"/>
      <c r="G357"/>
      <c r="H357"/>
      <c r="I357"/>
      <c r="J357"/>
      <c r="K357" s="9"/>
      <c r="L357" s="9"/>
      <c r="M357" s="9"/>
    </row>
    <row r="358" spans="2:28" s="35" customFormat="1" ht="18" customHeight="1">
      <c r="B358" s="6"/>
      <c r="C358" s="6"/>
      <c r="D358" s="9"/>
      <c r="E358" s="9"/>
      <c r="F358" s="9"/>
      <c r="G358" s="9"/>
      <c r="H358" s="9"/>
      <c r="I358" s="9"/>
      <c r="J358" s="9"/>
      <c r="K358" s="9"/>
      <c r="L358" s="9"/>
      <c r="M358" s="9"/>
    </row>
    <row r="359" spans="2:28" s="35" customFormat="1" ht="18" customHeight="1">
      <c r="B359" s="17"/>
      <c r="C359" s="17"/>
      <c r="D359" s="9"/>
      <c r="E359" s="9"/>
      <c r="F359" s="9"/>
      <c r="G359" s="9"/>
      <c r="H359" s="9"/>
      <c r="I359" s="9"/>
      <c r="J359" s="9"/>
      <c r="K359" s="9"/>
      <c r="L359" s="9"/>
      <c r="M359" s="9"/>
    </row>
    <row r="360" spans="2:28" s="35" customFormat="1" ht="18" customHeight="1">
      <c r="B360" s="17"/>
      <c r="C360" s="17"/>
      <c r="D360" s="9"/>
      <c r="E360" s="9"/>
      <c r="F360" s="9"/>
      <c r="G360" s="9"/>
      <c r="H360" s="9"/>
      <c r="I360" s="9"/>
      <c r="J360" s="9"/>
      <c r="K360" s="9"/>
      <c r="L360" s="9"/>
      <c r="M360" s="9"/>
    </row>
    <row r="361" spans="2:28" s="35" customFormat="1" ht="18" customHeight="1">
      <c r="B361" s="17"/>
      <c r="C361" s="17"/>
      <c r="D361" s="9"/>
      <c r="E361" s="9"/>
      <c r="F361" s="9"/>
      <c r="G361" s="9"/>
      <c r="H361" s="9"/>
      <c r="I361" s="9"/>
      <c r="J361" s="9"/>
      <c r="K361" s="9"/>
      <c r="L361" s="9"/>
      <c r="M361" s="9"/>
    </row>
    <row r="362" spans="2:28" s="35" customFormat="1" ht="18" customHeight="1">
      <c r="B362" s="17"/>
      <c r="C362" s="17"/>
      <c r="D362" s="9"/>
      <c r="E362" s="9"/>
      <c r="F362" s="9"/>
      <c r="G362" s="9"/>
      <c r="H362" s="9"/>
      <c r="I362" s="9"/>
      <c r="J362" s="9"/>
      <c r="K362"/>
      <c r="L362"/>
      <c r="M362" s="34"/>
      <c r="AB362" s="23"/>
    </row>
    <row r="363" spans="2:28" s="35" customFormat="1" ht="18" customHeight="1">
      <c r="B363" s="17"/>
      <c r="C363" s="17"/>
      <c r="D363"/>
      <c r="E363"/>
      <c r="F363"/>
      <c r="G363"/>
      <c r="H363"/>
      <c r="I363"/>
      <c r="J363"/>
      <c r="K363"/>
      <c r="L363"/>
      <c r="M363" s="34"/>
      <c r="AB363" s="23"/>
    </row>
    <row r="364" spans="2:28" s="35" customFormat="1" ht="18" customHeight="1">
      <c r="B364" s="17"/>
      <c r="C364" s="17"/>
      <c r="D364"/>
      <c r="E364"/>
      <c r="F364"/>
      <c r="G364"/>
      <c r="H364"/>
      <c r="I364"/>
      <c r="J364"/>
      <c r="K364"/>
      <c r="L364"/>
      <c r="M364" s="34"/>
      <c r="AB364" s="23"/>
    </row>
    <row r="365" spans="2:28" s="35" customFormat="1" ht="18" customHeight="1">
      <c r="B365" s="17"/>
      <c r="C365" s="17"/>
      <c r="D365"/>
      <c r="E365"/>
      <c r="F365"/>
      <c r="G365"/>
      <c r="H365"/>
      <c r="I365"/>
      <c r="J365"/>
      <c r="K365"/>
      <c r="L365"/>
      <c r="M365" s="34"/>
      <c r="AB365" s="23"/>
    </row>
    <row r="366" spans="2:28" s="35" customFormat="1" ht="18" customHeight="1">
      <c r="B366" s="17"/>
      <c r="C366" s="17"/>
      <c r="D366"/>
      <c r="E366"/>
      <c r="F366"/>
      <c r="G366"/>
      <c r="H366"/>
      <c r="I366"/>
      <c r="J366"/>
      <c r="K366"/>
      <c r="L366"/>
      <c r="M366" s="68"/>
      <c r="AB366" s="23"/>
    </row>
    <row r="367" spans="2:28" s="35" customFormat="1" ht="18" customHeight="1">
      <c r="B367" s="17"/>
      <c r="C367" s="17"/>
      <c r="D367"/>
      <c r="E367"/>
      <c r="F367"/>
      <c r="G367"/>
      <c r="H367"/>
      <c r="I367"/>
      <c r="J367"/>
      <c r="K367"/>
      <c r="L367"/>
      <c r="M367" s="34"/>
      <c r="AB367" s="23"/>
    </row>
    <row r="368" spans="2:28" s="35" customFormat="1" ht="18" customHeight="1">
      <c r="B368" s="17"/>
      <c r="C368" s="17"/>
      <c r="D368"/>
      <c r="E368"/>
      <c r="F368"/>
      <c r="G368"/>
      <c r="H368"/>
      <c r="I368"/>
      <c r="J368"/>
      <c r="K368"/>
      <c r="L368"/>
      <c r="M368" s="34"/>
      <c r="AB368" s="23"/>
    </row>
    <row r="369" spans="2:28" s="35" customFormat="1" ht="18" customHeight="1">
      <c r="B369" s="17"/>
      <c r="C369" s="17"/>
      <c r="D369"/>
      <c r="E369"/>
      <c r="F369"/>
      <c r="G369"/>
      <c r="H369"/>
      <c r="I369"/>
      <c r="J369"/>
      <c r="K369"/>
      <c r="L369"/>
      <c r="M369" s="34"/>
      <c r="AB369" s="23"/>
    </row>
    <row r="370" spans="2:28" s="35" customFormat="1" ht="18" customHeight="1">
      <c r="B370" s="17"/>
      <c r="C370" s="17"/>
      <c r="D370"/>
      <c r="E370"/>
      <c r="F370"/>
      <c r="G370"/>
      <c r="H370"/>
      <c r="I370"/>
      <c r="J370"/>
      <c r="K370"/>
      <c r="L370"/>
      <c r="M370" s="34"/>
      <c r="AB370" s="23"/>
    </row>
    <row r="371" spans="2:28" s="35" customFormat="1" ht="18" customHeight="1">
      <c r="B371" s="17"/>
      <c r="C371" s="17"/>
      <c r="D371"/>
      <c r="E371"/>
      <c r="F371"/>
      <c r="G371"/>
      <c r="H371"/>
      <c r="I371"/>
      <c r="J371"/>
      <c r="K371"/>
      <c r="L371"/>
      <c r="M371" s="34"/>
      <c r="AB371" s="23"/>
    </row>
    <row r="372" spans="2:28" s="35" customFormat="1" ht="18" customHeight="1">
      <c r="B372" s="17"/>
      <c r="C372" s="17"/>
      <c r="D372"/>
      <c r="E372"/>
      <c r="F372"/>
      <c r="G372"/>
      <c r="H372"/>
      <c r="I372"/>
      <c r="J372"/>
      <c r="K372"/>
      <c r="L372"/>
      <c r="M372" s="34"/>
      <c r="AB372" s="23"/>
    </row>
    <row r="373" spans="2:28" s="35" customFormat="1" ht="18" customHeight="1">
      <c r="B373" s="17"/>
      <c r="C373" s="17"/>
      <c r="D373"/>
      <c r="E373"/>
      <c r="F373"/>
      <c r="G373"/>
      <c r="H373"/>
      <c r="I373"/>
      <c r="J373"/>
      <c r="K373"/>
      <c r="L373"/>
      <c r="M373" s="34"/>
      <c r="AB373" s="23"/>
    </row>
    <row r="374" spans="2:28" s="35" customFormat="1" ht="18" customHeight="1">
      <c r="B374" s="17"/>
      <c r="C374" s="17"/>
      <c r="D374"/>
      <c r="E374"/>
      <c r="F374"/>
      <c r="G374"/>
      <c r="H374"/>
      <c r="I374"/>
      <c r="J374"/>
      <c r="K374"/>
      <c r="L374"/>
      <c r="M374" s="34"/>
      <c r="AB374" s="23"/>
    </row>
    <row r="375" spans="2:28" s="35" customFormat="1" ht="13.8">
      <c r="B375" s="17"/>
      <c r="C375" s="17"/>
      <c r="D375"/>
      <c r="E375"/>
      <c r="F375"/>
      <c r="G375"/>
      <c r="H375"/>
      <c r="I375"/>
      <c r="J375"/>
      <c r="K375"/>
      <c r="L375"/>
      <c r="M375" s="9"/>
    </row>
    <row r="376" spans="2:28" s="35" customFormat="1" ht="13.8">
      <c r="B376" s="6"/>
      <c r="C376" s="6"/>
      <c r="D376"/>
      <c r="E376"/>
      <c r="F376"/>
      <c r="G376"/>
      <c r="H376"/>
      <c r="I376"/>
      <c r="J376"/>
      <c r="K376"/>
      <c r="L376"/>
      <c r="M376" s="9"/>
    </row>
    <row r="377" spans="2:28" s="35" customFormat="1" ht="13.8">
      <c r="B377" s="6"/>
      <c r="C377" s="6"/>
      <c r="D377"/>
      <c r="E377"/>
      <c r="F377"/>
      <c r="G377"/>
      <c r="H377"/>
      <c r="I377"/>
      <c r="J377"/>
      <c r="K377"/>
      <c r="L377"/>
      <c r="M377" s="9"/>
    </row>
    <row r="378" spans="2:28" s="35" customFormat="1" ht="13.8">
      <c r="B378" s="6"/>
      <c r="C378" s="6"/>
      <c r="D378"/>
      <c r="E378"/>
      <c r="F378"/>
      <c r="G378"/>
      <c r="H378"/>
      <c r="I378"/>
      <c r="J378"/>
      <c r="K378"/>
      <c r="L378"/>
      <c r="M378" s="9"/>
    </row>
    <row r="379" spans="2:28" s="35" customFormat="1" ht="13.8">
      <c r="B379" s="6"/>
      <c r="C379" s="6"/>
      <c r="D379"/>
      <c r="E379"/>
      <c r="F379"/>
      <c r="G379"/>
      <c r="H379"/>
      <c r="I379"/>
      <c r="J379"/>
      <c r="K379"/>
      <c r="L379"/>
      <c r="M379" s="9"/>
    </row>
    <row r="380" spans="2:28" s="35" customFormat="1" ht="13.8">
      <c r="B380" s="6"/>
      <c r="C380" s="6"/>
      <c r="D380"/>
      <c r="E380"/>
      <c r="F380"/>
      <c r="G380"/>
      <c r="H380"/>
      <c r="I380"/>
      <c r="J380"/>
      <c r="K380"/>
      <c r="L380"/>
      <c r="M380" s="9"/>
    </row>
    <row r="381" spans="2:28" s="35" customFormat="1" ht="13.8">
      <c r="B381" s="6"/>
      <c r="C381" s="6"/>
      <c r="D381"/>
      <c r="E381"/>
      <c r="F381"/>
      <c r="G381"/>
      <c r="H381"/>
      <c r="I381"/>
      <c r="J381"/>
      <c r="K381"/>
      <c r="L381"/>
      <c r="M381" s="9"/>
    </row>
    <row r="382" spans="2:28" s="35" customFormat="1" ht="13.8">
      <c r="B382" s="6"/>
      <c r="C382" s="6"/>
      <c r="D382"/>
      <c r="E382"/>
      <c r="F382"/>
      <c r="G382"/>
      <c r="H382"/>
      <c r="I382"/>
      <c r="J382"/>
      <c r="K382"/>
      <c r="L382"/>
      <c r="M382" s="9"/>
    </row>
    <row r="383" spans="2:28" s="35" customFormat="1" ht="13.8">
      <c r="B383" s="6"/>
      <c r="C383" s="6"/>
      <c r="D383"/>
      <c r="E383"/>
      <c r="F383"/>
      <c r="G383"/>
      <c r="H383"/>
      <c r="I383"/>
      <c r="J383"/>
      <c r="K383"/>
      <c r="L383"/>
      <c r="M383" s="9"/>
    </row>
    <row r="384" spans="2:28" s="35" customFormat="1" ht="13.8">
      <c r="B384" s="6"/>
      <c r="C384" s="6"/>
      <c r="D384"/>
      <c r="E384"/>
      <c r="F384"/>
      <c r="G384"/>
      <c r="H384"/>
      <c r="I384"/>
      <c r="J384"/>
      <c r="K384"/>
      <c r="L384"/>
      <c r="M384" s="9"/>
    </row>
    <row r="385" spans="2:13" s="35" customFormat="1" ht="13.8">
      <c r="B385" s="6"/>
      <c r="C385" s="6"/>
      <c r="D385"/>
      <c r="E385"/>
      <c r="F385"/>
      <c r="G385"/>
      <c r="H385"/>
      <c r="I385"/>
      <c r="J385"/>
      <c r="K385"/>
      <c r="L385"/>
      <c r="M385" s="9"/>
    </row>
    <row r="386" spans="2:13" s="35" customFormat="1" ht="13.8">
      <c r="B386" s="6"/>
      <c r="C386" s="6"/>
      <c r="D386"/>
      <c r="E386"/>
      <c r="F386"/>
      <c r="G386"/>
      <c r="H386"/>
      <c r="I386"/>
      <c r="J386"/>
      <c r="K386"/>
      <c r="L386"/>
      <c r="M386" s="9"/>
    </row>
    <row r="387" spans="2:13" s="35" customFormat="1" ht="13.8">
      <c r="B387" s="6"/>
      <c r="C387" s="6"/>
      <c r="D387"/>
      <c r="E387"/>
      <c r="F387"/>
      <c r="G387"/>
      <c r="H387"/>
      <c r="I387"/>
      <c r="J387"/>
      <c r="K387"/>
      <c r="L387"/>
      <c r="M387" s="9"/>
    </row>
    <row r="388" spans="2:13" s="35" customFormat="1" ht="13.8">
      <c r="B388" s="6"/>
      <c r="C388" s="6"/>
      <c r="D388"/>
      <c r="E388"/>
      <c r="F388"/>
      <c r="G388"/>
      <c r="H388"/>
      <c r="I388"/>
      <c r="J388"/>
      <c r="K388"/>
      <c r="L388"/>
      <c r="M388" s="9"/>
    </row>
    <row r="389" spans="2:13" s="35" customFormat="1" ht="13.8">
      <c r="B389" s="6"/>
      <c r="C389" s="6"/>
      <c r="D389"/>
      <c r="E389"/>
      <c r="F389"/>
      <c r="G389"/>
      <c r="H389"/>
      <c r="I389"/>
      <c r="J389"/>
      <c r="K389"/>
      <c r="L389"/>
      <c r="M389" s="9"/>
    </row>
    <row r="390" spans="2:13" s="35" customFormat="1" ht="13.8">
      <c r="B390" s="6"/>
      <c r="C390" s="6"/>
      <c r="D390"/>
      <c r="E390"/>
      <c r="F390"/>
      <c r="G390"/>
      <c r="H390"/>
      <c r="I390"/>
      <c r="J390"/>
      <c r="K390"/>
      <c r="L390"/>
      <c r="M390" s="9"/>
    </row>
    <row r="391" spans="2:13" s="35" customFormat="1" ht="13.8">
      <c r="B391" s="6"/>
      <c r="C391" s="6"/>
      <c r="D391"/>
      <c r="E391"/>
      <c r="F391"/>
      <c r="G391"/>
      <c r="H391"/>
      <c r="I391"/>
      <c r="J391"/>
      <c r="K391"/>
      <c r="L391"/>
      <c r="M391" s="9"/>
    </row>
    <row r="392" spans="2:13" s="35" customFormat="1" ht="13.8">
      <c r="B392" s="6"/>
      <c r="C392" s="6"/>
      <c r="D392"/>
      <c r="E392"/>
      <c r="F392"/>
      <c r="G392"/>
      <c r="H392"/>
      <c r="I392"/>
      <c r="J392"/>
      <c r="K392"/>
      <c r="L392"/>
      <c r="M392" s="9"/>
    </row>
    <row r="393" spans="2:13" s="35" customFormat="1" ht="13.8">
      <c r="B393" s="6"/>
      <c r="C393" s="6"/>
      <c r="D393"/>
      <c r="E393"/>
      <c r="F393"/>
      <c r="G393"/>
      <c r="H393"/>
      <c r="I393"/>
      <c r="J393"/>
      <c r="K393"/>
      <c r="L393"/>
      <c r="M393" s="9"/>
    </row>
    <row r="394" spans="2:13" s="35" customFormat="1" ht="13.8">
      <c r="B394" s="6"/>
      <c r="C394" s="6"/>
      <c r="D394"/>
      <c r="E394"/>
      <c r="F394"/>
      <c r="G394"/>
      <c r="H394"/>
      <c r="I394"/>
      <c r="J394"/>
      <c r="K394"/>
      <c r="L394"/>
      <c r="M394" s="9"/>
    </row>
    <row r="395" spans="2:13" s="35" customFormat="1" ht="13.8">
      <c r="B395" s="6"/>
      <c r="C395" s="6"/>
      <c r="D395"/>
      <c r="E395"/>
      <c r="F395"/>
      <c r="G395"/>
      <c r="H395"/>
      <c r="I395"/>
      <c r="J395"/>
      <c r="K395"/>
      <c r="L395"/>
      <c r="M395" s="9"/>
    </row>
    <row r="396" spans="2:13" s="35" customFormat="1" ht="13.8">
      <c r="B396" s="6"/>
      <c r="C396" s="6"/>
      <c r="D396"/>
      <c r="E396"/>
      <c r="F396"/>
      <c r="G396"/>
      <c r="H396"/>
      <c r="I396"/>
      <c r="J396"/>
      <c r="K396"/>
      <c r="L396"/>
      <c r="M396" s="9"/>
    </row>
    <row r="397" spans="2:13" s="35" customFormat="1" ht="13.8">
      <c r="B397" s="6"/>
      <c r="C397" s="6"/>
      <c r="D397"/>
      <c r="E397"/>
      <c r="F397"/>
      <c r="G397"/>
      <c r="H397"/>
      <c r="I397"/>
      <c r="J397"/>
      <c r="K397"/>
      <c r="L397"/>
      <c r="M397" s="9"/>
    </row>
    <row r="398" spans="2:13" s="35" customFormat="1" ht="13.8">
      <c r="B398" s="6"/>
      <c r="C398" s="6"/>
      <c r="D398"/>
      <c r="E398"/>
      <c r="F398"/>
      <c r="G398"/>
      <c r="H398"/>
      <c r="I398"/>
      <c r="J398"/>
      <c r="K398"/>
      <c r="L398"/>
      <c r="M398" s="9"/>
    </row>
    <row r="399" spans="2:13" s="35" customFormat="1" ht="13.8">
      <c r="B399" s="6"/>
      <c r="C399" s="6"/>
      <c r="D399"/>
      <c r="E399"/>
      <c r="F399"/>
      <c r="G399"/>
      <c r="H399"/>
      <c r="I399"/>
      <c r="J399"/>
      <c r="K399"/>
      <c r="L399"/>
      <c r="M399" s="9"/>
    </row>
    <row r="400" spans="2:13" s="35" customFormat="1" ht="13.8">
      <c r="B400" s="6"/>
      <c r="C400" s="6"/>
      <c r="D400"/>
      <c r="E400"/>
      <c r="F400"/>
      <c r="G400"/>
      <c r="H400"/>
      <c r="I400"/>
      <c r="J400"/>
      <c r="K400"/>
      <c r="L400"/>
      <c r="M400" s="9"/>
    </row>
    <row r="401" spans="2:13" s="35" customFormat="1" ht="13.8">
      <c r="B401" s="6"/>
      <c r="C401" s="6"/>
      <c r="D401"/>
      <c r="E401"/>
      <c r="F401"/>
      <c r="G401"/>
      <c r="H401"/>
      <c r="I401"/>
      <c r="J401"/>
      <c r="K401"/>
      <c r="L401"/>
      <c r="M401" s="9"/>
    </row>
    <row r="402" spans="2:13" s="35" customFormat="1" ht="13.8">
      <c r="B402" s="6"/>
      <c r="C402" s="6"/>
      <c r="D402"/>
      <c r="E402"/>
      <c r="F402"/>
      <c r="G402"/>
      <c r="H402"/>
      <c r="I402"/>
      <c r="J402"/>
      <c r="K402"/>
      <c r="L402"/>
      <c r="M402" s="9"/>
    </row>
    <row r="403" spans="2:13" s="35" customFormat="1" ht="13.8">
      <c r="B403" s="6"/>
      <c r="C403" s="6"/>
      <c r="D403"/>
      <c r="E403"/>
      <c r="F403"/>
      <c r="G403"/>
      <c r="H403"/>
      <c r="I403"/>
      <c r="J403"/>
      <c r="K403"/>
      <c r="L403"/>
      <c r="M403" s="9"/>
    </row>
    <row r="404" spans="2:13" s="35" customFormat="1" ht="13.8">
      <c r="B404" s="6"/>
      <c r="C404" s="6"/>
      <c r="D404"/>
      <c r="E404"/>
      <c r="F404"/>
      <c r="G404"/>
      <c r="H404"/>
      <c r="I404"/>
      <c r="J404"/>
      <c r="K404"/>
      <c r="L404"/>
      <c r="M404" s="9"/>
    </row>
    <row r="405" spans="2:13" s="35" customFormat="1" ht="13.8">
      <c r="B405" s="6"/>
      <c r="C405" s="6"/>
      <c r="D405"/>
      <c r="E405"/>
      <c r="F405"/>
      <c r="G405"/>
      <c r="H405"/>
      <c r="I405"/>
      <c r="J405"/>
      <c r="K405"/>
      <c r="L405"/>
      <c r="M405" s="9"/>
    </row>
    <row r="406" spans="2:13" s="35" customFormat="1" ht="13.8">
      <c r="B406" s="6"/>
      <c r="C406" s="6"/>
      <c r="D406"/>
      <c r="E406"/>
      <c r="F406"/>
      <c r="G406"/>
      <c r="H406"/>
      <c r="I406"/>
      <c r="J406"/>
      <c r="K406"/>
      <c r="L406"/>
      <c r="M406" s="9"/>
    </row>
    <row r="407" spans="2:13" s="35" customFormat="1" ht="13.8">
      <c r="B407" s="6"/>
      <c r="C407" s="6"/>
      <c r="D407"/>
      <c r="E407"/>
      <c r="F407"/>
      <c r="G407"/>
      <c r="H407"/>
      <c r="I407"/>
      <c r="J407"/>
      <c r="K407"/>
      <c r="L407"/>
      <c r="M407" s="9"/>
    </row>
    <row r="408" spans="2:13" s="35" customFormat="1" ht="13.8">
      <c r="B408" s="6"/>
      <c r="C408" s="6"/>
      <c r="D408"/>
      <c r="E408"/>
      <c r="F408"/>
      <c r="G408"/>
      <c r="H408"/>
      <c r="I408"/>
      <c r="J408"/>
      <c r="K408"/>
      <c r="L408"/>
      <c r="M408" s="9"/>
    </row>
    <row r="409" spans="2:13" s="35" customFormat="1" ht="13.8">
      <c r="B409" s="6"/>
      <c r="C409" s="6"/>
      <c r="D409"/>
      <c r="E409"/>
      <c r="F409"/>
      <c r="G409"/>
      <c r="H409"/>
      <c r="I409"/>
      <c r="J409"/>
      <c r="K409"/>
      <c r="L409"/>
      <c r="M409" s="9"/>
    </row>
    <row r="410" spans="2:13" s="35" customFormat="1" ht="13.8">
      <c r="B410" s="6"/>
      <c r="C410" s="6"/>
      <c r="D410"/>
      <c r="E410"/>
      <c r="F410"/>
      <c r="G410"/>
      <c r="H410"/>
      <c r="I410"/>
      <c r="J410"/>
      <c r="K410"/>
      <c r="L410"/>
    </row>
    <row r="411" spans="2:13" ht="13.8">
      <c r="B411" s="36"/>
      <c r="C411" s="36"/>
      <c r="D411"/>
      <c r="E411"/>
      <c r="F411"/>
      <c r="G411"/>
      <c r="H411"/>
      <c r="I411"/>
      <c r="J411"/>
      <c r="K411"/>
      <c r="L411"/>
      <c r="M411" s="67"/>
    </row>
    <row r="412" spans="2:13">
      <c r="D412"/>
      <c r="E412"/>
      <c r="F412"/>
      <c r="G412"/>
      <c r="H412"/>
      <c r="I412"/>
      <c r="J412"/>
      <c r="K412"/>
      <c r="L412"/>
      <c r="M412" s="67"/>
    </row>
    <row r="413" spans="2:13">
      <c r="D413"/>
      <c r="E413"/>
      <c r="F413"/>
      <c r="G413"/>
      <c r="H413"/>
      <c r="I413"/>
      <c r="J413"/>
      <c r="K413"/>
      <c r="L413"/>
      <c r="M413" s="67"/>
    </row>
    <row r="414" spans="2:13">
      <c r="D414"/>
      <c r="E414"/>
      <c r="F414"/>
      <c r="G414"/>
      <c r="H414"/>
      <c r="I414"/>
      <c r="J414"/>
      <c r="K414"/>
      <c r="L414"/>
      <c r="M414" s="67"/>
    </row>
    <row r="415" spans="2:13">
      <c r="D415"/>
      <c r="E415"/>
      <c r="F415"/>
      <c r="G415"/>
      <c r="H415"/>
      <c r="I415"/>
      <c r="J415"/>
      <c r="K415"/>
      <c r="L415"/>
      <c r="M415" s="67"/>
    </row>
    <row r="416" spans="2:13">
      <c r="D416"/>
      <c r="E416"/>
      <c r="F416"/>
      <c r="G416"/>
      <c r="H416"/>
      <c r="I416"/>
      <c r="J416"/>
      <c r="K416"/>
      <c r="L416"/>
      <c r="M416" s="67"/>
    </row>
    <row r="417" spans="2:13">
      <c r="D417"/>
      <c r="E417"/>
      <c r="F417"/>
      <c r="G417"/>
      <c r="H417"/>
      <c r="I417"/>
      <c r="J417"/>
      <c r="K417"/>
      <c r="L417"/>
      <c r="M417" s="67"/>
    </row>
    <row r="418" spans="2:13">
      <c r="D418"/>
      <c r="E418"/>
      <c r="F418"/>
      <c r="G418"/>
      <c r="H418"/>
      <c r="I418"/>
      <c r="J418"/>
      <c r="K418"/>
      <c r="L418"/>
      <c r="M418" s="67"/>
    </row>
    <row r="419" spans="2:13">
      <c r="D419"/>
      <c r="E419"/>
      <c r="F419"/>
      <c r="G419"/>
      <c r="H419"/>
      <c r="I419"/>
      <c r="J419"/>
      <c r="K419"/>
      <c r="L419"/>
      <c r="M419" s="67"/>
    </row>
    <row r="420" spans="2:13">
      <c r="D420"/>
      <c r="E420"/>
      <c r="F420"/>
      <c r="G420"/>
      <c r="H420"/>
      <c r="I420"/>
      <c r="J420"/>
      <c r="K420"/>
      <c r="L420"/>
      <c r="M420" s="67"/>
    </row>
    <row r="421" spans="2:13">
      <c r="D421"/>
      <c r="E421"/>
      <c r="F421"/>
      <c r="G421"/>
      <c r="H421"/>
      <c r="I421"/>
      <c r="J421"/>
      <c r="K421"/>
      <c r="L421"/>
      <c r="M421" s="67"/>
    </row>
    <row r="422" spans="2:13">
      <c r="D422"/>
      <c r="E422"/>
      <c r="F422"/>
      <c r="G422"/>
      <c r="H422"/>
      <c r="I422"/>
      <c r="J422"/>
      <c r="K422"/>
      <c r="L422"/>
      <c r="M422" s="67"/>
    </row>
    <row r="423" spans="2:13" s="67" customFormat="1">
      <c r="B423" s="63"/>
      <c r="C423" s="63"/>
      <c r="D423"/>
      <c r="E423"/>
      <c r="F423"/>
      <c r="G423"/>
      <c r="H423"/>
      <c r="I423"/>
      <c r="J423"/>
      <c r="K423"/>
      <c r="L423"/>
    </row>
    <row r="424" spans="2:13">
      <c r="B424" s="67"/>
      <c r="C424" s="67"/>
      <c r="D424"/>
      <c r="E424"/>
      <c r="F424"/>
      <c r="G424"/>
      <c r="H424"/>
      <c r="I424"/>
      <c r="J424"/>
    </row>
  </sheetData>
  <autoFilter ref="C5:L311" xr:uid="{DCB1818B-BE14-489E-B354-C712DBE45241}"/>
  <pageMargins left="0.7" right="0.7" top="0.75" bottom="0.75" header="0.3" footer="0.3"/>
  <pageSetup scale="5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96984-8972-4777-99B9-099BA141419A}">
  <sheetPr>
    <tabColor theme="7" tint="0.59999389629810485"/>
  </sheetPr>
  <dimension ref="A1:H131"/>
  <sheetViews>
    <sheetView workbookViewId="0">
      <selection activeCell="B24" sqref="B24"/>
    </sheetView>
  </sheetViews>
  <sheetFormatPr defaultRowHeight="13.2"/>
  <cols>
    <col min="1" max="1" width="56.109375" customWidth="1"/>
    <col min="2" max="2" width="53.5546875" bestFit="1" customWidth="1"/>
    <col min="3" max="3" width="21.33203125" customWidth="1"/>
    <col min="4" max="4" width="21.5546875" customWidth="1"/>
    <col min="5" max="5" width="21.33203125" customWidth="1"/>
    <col min="6" max="6" width="22.6640625" customWidth="1"/>
  </cols>
  <sheetData>
    <row r="1" spans="1:8" ht="13.8">
      <c r="A1" s="62" t="str">
        <f>"Tariff Approval - "&amp;'Model update'!B3</f>
        <v>Tariff Approval - Ergon Energy</v>
      </c>
      <c r="B1" s="69"/>
      <c r="C1" s="65"/>
      <c r="D1" s="62"/>
      <c r="E1" s="85"/>
      <c r="F1" s="85"/>
      <c r="G1" s="69"/>
      <c r="H1" s="69"/>
    </row>
    <row r="2" spans="1:8">
      <c r="A2" s="69"/>
      <c r="B2" s="69"/>
      <c r="C2" s="65"/>
      <c r="D2" s="69"/>
      <c r="E2" s="69"/>
      <c r="F2" s="69"/>
      <c r="G2" s="69"/>
      <c r="H2" s="69"/>
    </row>
    <row r="3" spans="1:8">
      <c r="A3" s="64" t="str">
        <f>"PROPOSED "&amp;'Model update'!A6&amp;" Labour rates"</f>
        <v>PROPOSED Financial Year  Labour rates</v>
      </c>
      <c r="B3" s="1649" t="s">
        <v>1827</v>
      </c>
      <c r="C3" s="65"/>
      <c r="D3" s="64"/>
      <c r="E3" s="69"/>
      <c r="F3" s="69"/>
      <c r="G3" s="69"/>
      <c r="H3" s="69"/>
    </row>
    <row r="4" spans="1:8" ht="13.8" thickBot="1">
      <c r="A4" s="65"/>
      <c r="B4" s="65"/>
      <c r="C4" s="65"/>
      <c r="D4" s="65"/>
      <c r="E4" s="69"/>
      <c r="F4" s="69"/>
      <c r="G4" s="211"/>
      <c r="H4" s="211"/>
    </row>
    <row r="5" spans="1:8" ht="27" thickBot="1">
      <c r="A5" s="1648" t="s">
        <v>1853</v>
      </c>
      <c r="B5" s="1648" t="s">
        <v>1828</v>
      </c>
      <c r="C5" s="1648" t="s">
        <v>1829</v>
      </c>
      <c r="D5" s="1648" t="s">
        <v>1830</v>
      </c>
      <c r="E5" s="66" t="s">
        <v>1831</v>
      </c>
      <c r="F5" s="66" t="s">
        <v>1832</v>
      </c>
      <c r="G5" s="211"/>
      <c r="H5" s="211"/>
    </row>
    <row r="6" spans="1:8">
      <c r="A6" s="250" t="s">
        <v>1833</v>
      </c>
      <c r="B6" s="250" t="s">
        <v>1834</v>
      </c>
      <c r="C6" s="1670">
        <f>'2020 ACS Labour rates approved'!E19</f>
        <v>77</v>
      </c>
      <c r="D6" s="1670">
        <f>'2020 ACS Labour rates approved'!M19</f>
        <v>134.75</v>
      </c>
      <c r="E6" s="1671">
        <f>$C6*(1+'Model update'!$B$31)*(1-'Model update'!$J$186)</f>
        <v>78.425706695217997</v>
      </c>
      <c r="F6" s="1671">
        <f>$D6*(1+'Model update'!$B$31)*(1-'Model update'!$J$186)</f>
        <v>137.24498671663147</v>
      </c>
      <c r="G6" s="1651"/>
      <c r="H6" s="1652"/>
    </row>
    <row r="7" spans="1:8">
      <c r="A7" s="252" t="s">
        <v>1835</v>
      </c>
      <c r="B7" s="252" t="s">
        <v>1836</v>
      </c>
      <c r="C7" s="1672">
        <f>'2020 ACS Labour rates approved'!E20</f>
        <v>206.7375962888637</v>
      </c>
      <c r="D7" s="1672">
        <f>'2020 ACS Labour rates approved'!M20</f>
        <v>272.80704890196273</v>
      </c>
      <c r="E7" s="1673">
        <f>$C7*(1+'Model update'!$B$31)*(1-'Model update'!$J$186)</f>
        <v>210.56548168084171</v>
      </c>
      <c r="F7" s="1673">
        <f>$D7*(1+'Model update'!$B$31)*(1-'Model update'!$J$186)</f>
        <v>277.85825456588731</v>
      </c>
      <c r="G7" s="1651"/>
      <c r="H7" s="1652"/>
    </row>
    <row r="8" spans="1:8">
      <c r="A8" s="252" t="s">
        <v>1837</v>
      </c>
      <c r="B8" s="252" t="s">
        <v>1838</v>
      </c>
      <c r="C8" s="1672">
        <f>'2020 ACS Labour rates approved'!E21</f>
        <v>143.34692459585457</v>
      </c>
      <c r="D8" s="1672">
        <f>'2020 ACS Labour rates approved'!M21</f>
        <v>177.84962284661336</v>
      </c>
      <c r="E8" s="1673">
        <f>$C8*(1+'Model update'!$B$31)*(1-'Model update'!$J$186)</f>
        <v>146.0010891430652</v>
      </c>
      <c r="F8" s="1673">
        <f>$D8*(1+'Model update'!$B$31)*(1-'Model update'!$J$186)</f>
        <v>181.14262801589143</v>
      </c>
      <c r="G8" s="1651"/>
      <c r="H8" s="1652"/>
    </row>
    <row r="9" spans="1:8">
      <c r="A9" s="252" t="s">
        <v>1839</v>
      </c>
      <c r="B9" s="252" t="s">
        <v>1840</v>
      </c>
      <c r="C9" s="1672">
        <f>'2020 ACS Labour rates approved'!E22</f>
        <v>175.02083019499838</v>
      </c>
      <c r="D9" s="1672">
        <f>'2020 ACS Labour rates approved'!M22</f>
        <v>226.86059856057955</v>
      </c>
      <c r="E9" s="1673">
        <f>$C9*(1+'Model update'!$B$31)*(1-'Model update'!$J$186)</f>
        <v>178.26145836917527</v>
      </c>
      <c r="F9" s="1673">
        <f>$D9*(1+'Model update'!$B$31)*(1-'Model update'!$J$186)</f>
        <v>231.06107484952733</v>
      </c>
      <c r="G9" s="1651"/>
      <c r="H9" s="1652"/>
    </row>
    <row r="10" spans="1:8">
      <c r="A10" s="252" t="s">
        <v>1841</v>
      </c>
      <c r="B10" s="252" t="s">
        <v>1842</v>
      </c>
      <c r="C10" s="1672">
        <f>'2020 ACS Labour rates approved'!E23</f>
        <v>162.37698425217371</v>
      </c>
      <c r="D10" s="1672">
        <f>'2020 ACS Labour rates approved'!M23</f>
        <v>205.85895614707414</v>
      </c>
      <c r="E10" s="1673">
        <f>$C10*(1+'Model update'!$B$31)*(1-'Model update'!$J$186)</f>
        <v>165.38350313006501</v>
      </c>
      <c r="F10" s="1673">
        <f>$D10*(1+'Model update'!$B$31)*(1-'Model update'!$J$186)</f>
        <v>209.67057292693738</v>
      </c>
      <c r="G10" s="1651"/>
      <c r="H10" s="1652"/>
    </row>
    <row r="11" spans="1:8">
      <c r="A11" s="252" t="s">
        <v>1843</v>
      </c>
      <c r="B11" s="252" t="s">
        <v>1836</v>
      </c>
      <c r="C11" s="1672">
        <f>'2020 ACS Labour rates approved'!E24</f>
        <v>193.79372688298892</v>
      </c>
      <c r="D11" s="1672">
        <f>'2020 ACS Labour rates approved'!M24</f>
        <v>252.19115094095031</v>
      </c>
      <c r="E11" s="1673">
        <f>$C11*(1+'Model update'!$B$31)*(1-'Model update'!$J$186)</f>
        <v>197.38194784283729</v>
      </c>
      <c r="F11" s="1673">
        <f>$D11*(1+'Model update'!$B$31)*(1-'Model update'!$J$186)</f>
        <v>256.86063941330417</v>
      </c>
      <c r="G11" s="1651"/>
      <c r="H11" s="1652"/>
    </row>
    <row r="12" spans="1:8">
      <c r="A12" s="252" t="s">
        <v>1844</v>
      </c>
      <c r="B12" s="252" t="s">
        <v>1845</v>
      </c>
      <c r="C12" s="1672">
        <f>'2020 ACS Labour rates approved'!E25</f>
        <v>189.57196815292713</v>
      </c>
      <c r="D12" s="1672">
        <f>'2020 ACS Labour rates approved'!M25</f>
        <v>240.94027107657246</v>
      </c>
      <c r="E12" s="1673">
        <f>$C12*(1+'Model update'!$B$31)*(1-'Model update'!$J$186)</f>
        <v>193.08202041554114</v>
      </c>
      <c r="F12" s="1673">
        <f>$D12*(1+'Model update'!$B$31)*(1-'Model update'!$J$186)</f>
        <v>245.40144195477387</v>
      </c>
      <c r="G12" s="1651"/>
      <c r="H12" s="1652"/>
    </row>
    <row r="13" spans="1:8">
      <c r="A13" s="252" t="s">
        <v>1846</v>
      </c>
      <c r="B13" s="252" t="s">
        <v>1838</v>
      </c>
      <c r="C13" s="1672">
        <f>'2020 ACS Labour rates approved'!E26</f>
        <v>107.04408556679527</v>
      </c>
      <c r="D13" s="1672">
        <f>'2020 ACS Labour rates approved'!M26</f>
        <v>143.43264558529745</v>
      </c>
      <c r="E13" s="1673">
        <f>$C13*(1+'Model update'!$B$31)*(1-'Model update'!$J$186)</f>
        <v>109.02607867687408</v>
      </c>
      <c r="F13" s="1673">
        <f>$D13*(1+'Model update'!$B$31)*(1-'Model update'!$J$186)</f>
        <v>146.08839731417783</v>
      </c>
      <c r="G13" s="1651"/>
      <c r="H13" s="1652"/>
    </row>
    <row r="14" spans="1:8">
      <c r="A14" s="252" t="s">
        <v>1847</v>
      </c>
      <c r="B14" s="252" t="s">
        <v>1848</v>
      </c>
      <c r="C14" s="1672">
        <f>'2020 ACS Labour rates approved'!E27</f>
        <v>225.08</v>
      </c>
      <c r="D14" s="1672">
        <f>'2020 ACS Labour rates approved'!M27</f>
        <v>314.12456581343048</v>
      </c>
      <c r="E14" s="1673">
        <f>$C14*(1+'Model update'!$B$31)*(1-'Model update'!$J$186)</f>
        <v>229.2475073111645</v>
      </c>
      <c r="F14" s="1673">
        <f>$D14*(1+'Model update'!$B$31)*(1-'Model update'!$J$186)</f>
        <v>319.94079304216621</v>
      </c>
      <c r="G14" s="1651"/>
      <c r="H14" s="1652"/>
    </row>
    <row r="15" spans="1:8">
      <c r="A15" s="252" t="s">
        <v>1849</v>
      </c>
      <c r="B15" s="252" t="s">
        <v>1850</v>
      </c>
      <c r="C15" s="1672">
        <f>'2020 ACS Labour rates approved'!E29</f>
        <v>159.18387739542646</v>
      </c>
      <c r="D15" s="1672">
        <f>'2020 ACS Labour rates approved'!M29</f>
        <v>202.35511070359644</v>
      </c>
      <c r="E15" s="1673">
        <f>$C15*(1+'Model update'!$B$31)*(1-'Model update'!$J$186)</f>
        <v>162.13127375612021</v>
      </c>
      <c r="F15" s="1673">
        <f>$D15*(1+'Model update'!$B$31)*(1-'Model update'!$J$186)</f>
        <v>206.10185143270937</v>
      </c>
      <c r="G15" s="1651"/>
      <c r="H15" s="1652"/>
    </row>
    <row r="16" spans="1:8">
      <c r="A16" s="252" t="s">
        <v>1851</v>
      </c>
      <c r="B16" s="252" t="s">
        <v>1852</v>
      </c>
      <c r="C16" s="1672">
        <f>'2020 ACS Labour rates approved'!E30</f>
        <v>131.78925159695098</v>
      </c>
      <c r="D16" s="1672">
        <f>'2020 ACS Labour rates approved'!M30</f>
        <v>179.82007380239762</v>
      </c>
      <c r="E16" s="1673">
        <f>$C16*(1+'Model update'!$B$31)*(1-'Model update'!$J$186)</f>
        <v>134.22941806915281</v>
      </c>
      <c r="F16" s="1673">
        <f>$D16*(1+'Model update'!$B$31)*(1-'Model update'!$J$186)</f>
        <v>183.14956319401674</v>
      </c>
      <c r="G16" s="1651"/>
      <c r="H16" s="1652"/>
    </row>
    <row r="17" spans="1:8">
      <c r="A17" s="252"/>
      <c r="B17" s="252"/>
      <c r="C17" s="1672"/>
      <c r="D17" s="1672"/>
      <c r="E17" s="1673"/>
      <c r="F17" s="1673"/>
      <c r="G17" s="1651"/>
      <c r="H17" s="1652"/>
    </row>
    <row r="18" spans="1:8">
      <c r="A18" s="65"/>
      <c r="B18" s="65"/>
      <c r="C18" s="1650"/>
      <c r="D18" s="1650"/>
      <c r="E18" s="65"/>
      <c r="F18" s="65"/>
      <c r="G18" s="1651"/>
      <c r="H18" s="1652"/>
    </row>
    <row r="19" spans="1:8">
      <c r="A19" s="65"/>
      <c r="B19" s="65"/>
      <c r="C19" s="1650"/>
      <c r="D19" s="1650"/>
      <c r="E19" s="65"/>
      <c r="F19" s="65"/>
      <c r="G19" s="1651"/>
      <c r="H19" s="1652"/>
    </row>
    <row r="20" spans="1:8">
      <c r="A20" s="65"/>
      <c r="B20" s="65"/>
      <c r="C20" s="1650"/>
      <c r="D20" s="1650"/>
      <c r="E20" s="65"/>
      <c r="F20" s="65"/>
      <c r="G20" s="1651"/>
      <c r="H20" s="1652"/>
    </row>
    <row r="21" spans="1:8">
      <c r="A21" s="65"/>
      <c r="B21" s="65"/>
      <c r="C21" s="65"/>
      <c r="D21" s="65"/>
      <c r="E21" s="65"/>
      <c r="F21" s="65"/>
      <c r="G21" s="65"/>
      <c r="H21" s="1652"/>
    </row>
    <row r="22" spans="1:8">
      <c r="A22" s="65"/>
      <c r="B22" s="65"/>
      <c r="C22" s="65"/>
      <c r="D22" s="65"/>
      <c r="E22" s="65"/>
      <c r="F22" s="65"/>
      <c r="G22" s="65"/>
      <c r="H22" s="1652"/>
    </row>
    <row r="23" spans="1:8">
      <c r="A23" s="65"/>
      <c r="B23" s="65"/>
      <c r="C23" s="65"/>
      <c r="D23" s="65"/>
      <c r="E23" s="65"/>
      <c r="F23" s="65"/>
      <c r="G23" s="65"/>
      <c r="H23" s="1652"/>
    </row>
    <row r="24" spans="1:8">
      <c r="A24" s="65"/>
      <c r="B24" s="65"/>
      <c r="C24" s="65"/>
      <c r="D24" s="65"/>
      <c r="E24" s="65"/>
      <c r="F24" s="65"/>
      <c r="G24" s="65"/>
      <c r="H24" s="1652"/>
    </row>
    <row r="25" spans="1:8">
      <c r="A25" s="65"/>
      <c r="B25" s="65"/>
      <c r="C25" s="65"/>
      <c r="D25" s="65"/>
      <c r="E25" s="65"/>
      <c r="F25" s="65"/>
      <c r="G25" s="65"/>
      <c r="H25" s="1652"/>
    </row>
    <row r="26" spans="1:8">
      <c r="A26" s="65"/>
      <c r="B26" s="65"/>
      <c r="C26" s="65"/>
      <c r="D26" s="65"/>
      <c r="E26" s="65"/>
      <c r="F26" s="65"/>
      <c r="G26" s="65"/>
      <c r="H26" s="1652"/>
    </row>
    <row r="27" spans="1:8">
      <c r="A27" s="65"/>
      <c r="B27" s="65"/>
      <c r="C27" s="65"/>
      <c r="D27" s="65"/>
      <c r="E27" s="65"/>
      <c r="F27" s="65"/>
      <c r="G27" s="65"/>
      <c r="H27" s="1652"/>
    </row>
    <row r="28" spans="1:8">
      <c r="A28" s="65"/>
      <c r="B28" s="65"/>
      <c r="C28" s="65"/>
      <c r="D28" s="65"/>
      <c r="E28" s="65"/>
      <c r="F28" s="65"/>
      <c r="G28" s="65"/>
      <c r="H28" s="1652"/>
    </row>
    <row r="29" spans="1:8">
      <c r="A29" s="65"/>
      <c r="B29" s="65"/>
      <c r="C29" s="65"/>
      <c r="D29" s="65"/>
      <c r="E29" s="65"/>
      <c r="F29" s="65"/>
      <c r="G29" s="65"/>
      <c r="H29" s="1652"/>
    </row>
    <row r="30" spans="1:8">
      <c r="A30" s="65"/>
      <c r="B30" s="65"/>
      <c r="C30" s="65"/>
      <c r="D30" s="65"/>
      <c r="E30" s="65"/>
      <c r="F30" s="65"/>
      <c r="G30" s="65"/>
      <c r="H30" s="1652"/>
    </row>
    <row r="31" spans="1:8">
      <c r="A31" s="65"/>
      <c r="B31" s="65"/>
      <c r="C31" s="65"/>
      <c r="D31" s="65"/>
      <c r="E31" s="65"/>
      <c r="F31" s="65"/>
      <c r="G31" s="65"/>
      <c r="H31" s="1652"/>
    </row>
    <row r="32" spans="1:8">
      <c r="A32" s="65"/>
      <c r="B32" s="65"/>
      <c r="C32" s="65"/>
      <c r="D32" s="65"/>
      <c r="E32" s="65"/>
      <c r="F32" s="65"/>
      <c r="G32" s="65"/>
      <c r="H32" s="1652"/>
    </row>
    <row r="33" spans="1:8">
      <c r="A33" s="65"/>
      <c r="B33" s="65"/>
      <c r="C33" s="65"/>
      <c r="D33" s="65"/>
      <c r="E33" s="65"/>
      <c r="F33" s="65"/>
      <c r="G33" s="65"/>
      <c r="H33" s="1652"/>
    </row>
    <row r="34" spans="1:8">
      <c r="A34" s="65"/>
      <c r="B34" s="65"/>
      <c r="C34" s="65"/>
      <c r="D34" s="65"/>
      <c r="E34" s="65"/>
      <c r="F34" s="65"/>
      <c r="G34" s="65"/>
      <c r="H34" s="1652"/>
    </row>
    <row r="35" spans="1:8">
      <c r="A35" s="65"/>
      <c r="B35" s="65"/>
      <c r="C35" s="65"/>
      <c r="D35" s="65"/>
      <c r="E35" s="65"/>
      <c r="F35" s="65"/>
      <c r="G35" s="65"/>
      <c r="H35" s="1652"/>
    </row>
    <row r="36" spans="1:8">
      <c r="A36" s="65"/>
      <c r="B36" s="65"/>
      <c r="C36" s="65"/>
      <c r="D36" s="65"/>
      <c r="E36" s="65"/>
      <c r="F36" s="65"/>
      <c r="G36" s="65"/>
      <c r="H36" s="1652"/>
    </row>
    <row r="37" spans="1:8">
      <c r="A37" s="65"/>
      <c r="B37" s="65"/>
      <c r="C37" s="65"/>
      <c r="D37" s="65"/>
      <c r="E37" s="65"/>
      <c r="F37" s="65"/>
      <c r="G37" s="65"/>
      <c r="H37" s="1652"/>
    </row>
    <row r="38" spans="1:8">
      <c r="A38" s="65"/>
      <c r="B38" s="65"/>
      <c r="C38" s="65"/>
      <c r="D38" s="65"/>
      <c r="E38" s="65"/>
      <c r="F38" s="65"/>
      <c r="G38" s="65"/>
      <c r="H38" s="1652"/>
    </row>
    <row r="39" spans="1:8">
      <c r="A39" s="65"/>
      <c r="B39" s="65"/>
      <c r="C39" s="65"/>
      <c r="D39" s="65"/>
      <c r="E39" s="65"/>
      <c r="F39" s="65"/>
      <c r="G39" s="65"/>
      <c r="H39" s="1652"/>
    </row>
    <row r="40" spans="1:8">
      <c r="A40" s="65"/>
      <c r="B40" s="65"/>
      <c r="C40" s="65"/>
      <c r="D40" s="65"/>
      <c r="E40" s="65"/>
      <c r="F40" s="65"/>
      <c r="G40" s="65"/>
      <c r="H40" s="1652"/>
    </row>
    <row r="41" spans="1:8">
      <c r="A41" s="65"/>
      <c r="B41" s="65"/>
      <c r="C41" s="65"/>
      <c r="D41" s="65"/>
      <c r="E41" s="65"/>
      <c r="F41" s="65"/>
      <c r="G41" s="65"/>
      <c r="H41" s="1652"/>
    </row>
    <row r="42" spans="1:8">
      <c r="A42" s="65"/>
      <c r="B42" s="65"/>
      <c r="C42" s="65"/>
      <c r="D42" s="65"/>
      <c r="E42" s="65"/>
      <c r="F42" s="65"/>
      <c r="G42" s="65"/>
      <c r="H42" s="1652"/>
    </row>
    <row r="43" spans="1:8">
      <c r="A43" s="65"/>
      <c r="B43" s="65"/>
      <c r="C43" s="65"/>
      <c r="D43" s="65"/>
      <c r="E43" s="65"/>
      <c r="F43" s="65"/>
      <c r="G43" s="65"/>
      <c r="H43" s="1652"/>
    </row>
    <row r="44" spans="1:8">
      <c r="A44" s="65"/>
      <c r="B44" s="65"/>
      <c r="C44" s="65"/>
      <c r="D44" s="65"/>
      <c r="E44" s="65"/>
      <c r="F44" s="65"/>
      <c r="G44" s="65"/>
      <c r="H44" s="1652"/>
    </row>
    <row r="45" spans="1:8">
      <c r="A45" s="65"/>
      <c r="B45" s="65"/>
      <c r="C45" s="65"/>
      <c r="D45" s="65"/>
      <c r="E45" s="65"/>
      <c r="F45" s="65"/>
      <c r="G45" s="65"/>
      <c r="H45" s="1652"/>
    </row>
    <row r="46" spans="1:8">
      <c r="A46" s="65"/>
      <c r="B46" s="65"/>
      <c r="C46" s="65"/>
      <c r="D46" s="65"/>
      <c r="E46" s="65"/>
      <c r="F46" s="65"/>
      <c r="G46" s="65"/>
      <c r="H46" s="1652"/>
    </row>
    <row r="47" spans="1:8">
      <c r="A47" s="65"/>
      <c r="B47" s="65"/>
      <c r="C47" s="65"/>
      <c r="D47" s="65"/>
      <c r="E47" s="65"/>
      <c r="F47" s="65"/>
      <c r="G47" s="65"/>
      <c r="H47" s="1652"/>
    </row>
    <row r="48" spans="1:8">
      <c r="A48" s="65"/>
      <c r="B48" s="65"/>
      <c r="C48" s="65"/>
      <c r="D48" s="65"/>
      <c r="E48" s="65"/>
      <c r="F48" s="65"/>
      <c r="G48" s="65"/>
      <c r="H48" s="1652"/>
    </row>
    <row r="49" spans="1:8">
      <c r="A49" s="65"/>
      <c r="B49" s="65"/>
      <c r="C49" s="65"/>
      <c r="D49" s="65"/>
      <c r="E49" s="65"/>
      <c r="F49" s="65"/>
      <c r="G49" s="65"/>
      <c r="H49" s="1652"/>
    </row>
    <row r="50" spans="1:8">
      <c r="A50" s="65"/>
      <c r="B50" s="65"/>
      <c r="C50" s="65"/>
      <c r="D50" s="65"/>
      <c r="E50" s="65"/>
      <c r="F50" s="65"/>
      <c r="G50" s="65"/>
      <c r="H50" s="1652"/>
    </row>
    <row r="51" spans="1:8">
      <c r="A51" s="65"/>
      <c r="B51" s="65"/>
      <c r="C51" s="65"/>
      <c r="D51" s="65"/>
      <c r="E51" s="65"/>
      <c r="F51" s="65"/>
      <c r="G51" s="65"/>
      <c r="H51" s="1652"/>
    </row>
    <row r="52" spans="1:8">
      <c r="A52" s="65"/>
      <c r="B52" s="65"/>
      <c r="C52" s="65"/>
      <c r="D52" s="65"/>
      <c r="E52" s="65"/>
      <c r="F52" s="65"/>
      <c r="G52" s="65"/>
      <c r="H52" s="1652"/>
    </row>
    <row r="53" spans="1:8">
      <c r="A53" s="65"/>
      <c r="B53" s="65"/>
      <c r="C53" s="65"/>
      <c r="D53" s="65"/>
      <c r="E53" s="65"/>
      <c r="F53" s="65"/>
      <c r="G53" s="65"/>
      <c r="H53" s="1652"/>
    </row>
    <row r="54" spans="1:8">
      <c r="A54" s="65"/>
      <c r="B54" s="65"/>
      <c r="C54" s="65"/>
      <c r="D54" s="65"/>
      <c r="E54" s="65"/>
      <c r="F54" s="65"/>
      <c r="G54" s="65"/>
      <c r="H54" s="1652"/>
    </row>
    <row r="55" spans="1:8">
      <c r="A55" s="65"/>
      <c r="B55" s="65"/>
      <c r="C55" s="65"/>
      <c r="D55" s="65"/>
      <c r="E55" s="65"/>
      <c r="F55" s="65"/>
      <c r="G55" s="65"/>
      <c r="H55" s="1652"/>
    </row>
    <row r="56" spans="1:8">
      <c r="A56" s="65"/>
      <c r="B56" s="65"/>
      <c r="C56" s="65"/>
      <c r="D56" s="65"/>
      <c r="E56" s="65"/>
      <c r="F56" s="65"/>
      <c r="G56" s="65"/>
      <c r="H56" s="1652"/>
    </row>
    <row r="57" spans="1:8">
      <c r="A57" s="65"/>
      <c r="B57" s="65"/>
      <c r="C57" s="65"/>
      <c r="D57" s="65"/>
      <c r="E57" s="65"/>
      <c r="F57" s="65"/>
      <c r="G57" s="65"/>
      <c r="H57" s="1652"/>
    </row>
    <row r="58" spans="1:8">
      <c r="A58" s="65"/>
      <c r="B58" s="65"/>
      <c r="C58" s="65"/>
      <c r="D58" s="65"/>
      <c r="E58" s="65"/>
      <c r="F58" s="65"/>
      <c r="G58" s="65"/>
      <c r="H58" s="1652"/>
    </row>
    <row r="59" spans="1:8">
      <c r="A59" s="65"/>
      <c r="B59" s="65"/>
      <c r="C59" s="65"/>
      <c r="D59" s="65"/>
      <c r="E59" s="65"/>
      <c r="F59" s="65"/>
      <c r="G59" s="65"/>
      <c r="H59" s="1652"/>
    </row>
    <row r="60" spans="1:8">
      <c r="A60" s="65"/>
      <c r="B60" s="65"/>
      <c r="C60" s="65"/>
      <c r="D60" s="65"/>
      <c r="E60" s="65"/>
      <c r="F60" s="65"/>
      <c r="G60" s="65"/>
      <c r="H60" s="1652"/>
    </row>
    <row r="61" spans="1:8">
      <c r="A61" s="65"/>
      <c r="B61" s="65"/>
      <c r="C61" s="65"/>
      <c r="D61" s="65"/>
      <c r="E61" s="65"/>
      <c r="F61" s="65"/>
      <c r="G61" s="65"/>
      <c r="H61" s="1652"/>
    </row>
    <row r="62" spans="1:8">
      <c r="A62" s="65"/>
      <c r="B62" s="65"/>
      <c r="C62" s="65"/>
      <c r="D62" s="65"/>
      <c r="E62" s="65"/>
      <c r="F62" s="65"/>
      <c r="G62" s="65"/>
      <c r="H62" s="1652"/>
    </row>
    <row r="63" spans="1:8">
      <c r="A63" s="65"/>
      <c r="B63" s="65"/>
      <c r="C63" s="65"/>
      <c r="D63" s="65"/>
      <c r="E63" s="65"/>
      <c r="F63" s="65"/>
      <c r="G63" s="65"/>
      <c r="H63" s="1652"/>
    </row>
    <row r="64" spans="1:8">
      <c r="A64" s="65"/>
      <c r="B64" s="65"/>
      <c r="C64" s="65"/>
      <c r="D64" s="65"/>
      <c r="E64" s="65"/>
      <c r="F64" s="65"/>
      <c r="G64" s="65"/>
      <c r="H64" s="1652"/>
    </row>
    <row r="65" spans="1:8">
      <c r="A65" s="65"/>
      <c r="B65" s="65"/>
      <c r="C65" s="65"/>
      <c r="D65" s="65"/>
      <c r="E65" s="65"/>
      <c r="F65" s="65"/>
      <c r="G65" s="65"/>
      <c r="H65" s="1652"/>
    </row>
    <row r="66" spans="1:8">
      <c r="A66" s="65"/>
      <c r="B66" s="65"/>
      <c r="C66" s="65"/>
      <c r="D66" s="65"/>
      <c r="E66" s="65"/>
      <c r="F66" s="65"/>
      <c r="G66" s="65"/>
      <c r="H66" s="1652"/>
    </row>
    <row r="67" spans="1:8">
      <c r="A67" s="65"/>
      <c r="B67" s="65"/>
      <c r="C67" s="65"/>
      <c r="D67" s="65"/>
      <c r="E67" s="65"/>
      <c r="F67" s="65"/>
      <c r="G67" s="65"/>
      <c r="H67" s="1652"/>
    </row>
    <row r="68" spans="1:8">
      <c r="A68" s="65"/>
      <c r="B68" s="65"/>
      <c r="C68" s="65"/>
      <c r="D68" s="65"/>
      <c r="E68" s="65"/>
      <c r="F68" s="65"/>
      <c r="G68" s="65"/>
      <c r="H68" s="1652"/>
    </row>
    <row r="69" spans="1:8">
      <c r="A69" s="65"/>
      <c r="B69" s="65"/>
      <c r="C69" s="65"/>
      <c r="D69" s="65"/>
      <c r="E69" s="65"/>
      <c r="F69" s="65"/>
      <c r="G69" s="65"/>
      <c r="H69" s="1652"/>
    </row>
    <row r="70" spans="1:8">
      <c r="A70" s="65"/>
      <c r="B70" s="65"/>
      <c r="C70" s="65"/>
      <c r="D70" s="65"/>
      <c r="E70" s="65"/>
      <c r="F70" s="65"/>
      <c r="G70" s="65"/>
      <c r="H70" s="1652"/>
    </row>
    <row r="71" spans="1:8">
      <c r="A71" s="65"/>
      <c r="B71" s="65"/>
      <c r="C71" s="65"/>
      <c r="D71" s="65"/>
      <c r="E71" s="65"/>
      <c r="F71" s="65"/>
      <c r="G71" s="65"/>
      <c r="H71" s="1652"/>
    </row>
    <row r="72" spans="1:8">
      <c r="A72" s="65"/>
      <c r="B72" s="65"/>
      <c r="C72" s="65"/>
      <c r="D72" s="65"/>
      <c r="E72" s="65"/>
      <c r="F72" s="65"/>
      <c r="G72" s="65"/>
      <c r="H72" s="1652"/>
    </row>
    <row r="73" spans="1:8">
      <c r="A73" s="65"/>
      <c r="B73" s="65"/>
      <c r="C73" s="65"/>
      <c r="D73" s="65"/>
      <c r="E73" s="65"/>
      <c r="F73" s="65"/>
      <c r="G73" s="65"/>
      <c r="H73" s="1652"/>
    </row>
    <row r="74" spans="1:8">
      <c r="A74" s="65"/>
      <c r="B74" s="65"/>
      <c r="C74" s="65"/>
      <c r="D74" s="65"/>
      <c r="E74" s="65"/>
      <c r="F74" s="65"/>
      <c r="G74" s="65"/>
      <c r="H74" s="1652"/>
    </row>
    <row r="75" spans="1:8">
      <c r="A75" s="65"/>
      <c r="B75" s="65"/>
      <c r="C75" s="65"/>
      <c r="D75" s="65"/>
      <c r="E75" s="65"/>
      <c r="F75" s="65"/>
      <c r="G75" s="65"/>
      <c r="H75" s="1652"/>
    </row>
    <row r="76" spans="1:8">
      <c r="A76" s="65"/>
      <c r="B76" s="65"/>
      <c r="C76" s="65"/>
      <c r="D76" s="65"/>
      <c r="E76" s="65"/>
      <c r="F76" s="65"/>
      <c r="G76" s="65"/>
      <c r="H76" s="1652"/>
    </row>
    <row r="77" spans="1:8">
      <c r="A77" s="65"/>
      <c r="B77" s="65"/>
      <c r="C77" s="65"/>
      <c r="D77" s="65"/>
      <c r="E77" s="65"/>
      <c r="F77" s="65"/>
      <c r="G77" s="65"/>
      <c r="H77" s="1652"/>
    </row>
    <row r="78" spans="1:8">
      <c r="A78" s="65"/>
      <c r="B78" s="65"/>
      <c r="C78" s="65"/>
      <c r="D78" s="65"/>
      <c r="E78" s="65"/>
      <c r="F78" s="65"/>
      <c r="G78" s="65"/>
      <c r="H78" s="1652"/>
    </row>
    <row r="79" spans="1:8">
      <c r="A79" s="65"/>
      <c r="B79" s="65"/>
      <c r="C79" s="65"/>
      <c r="D79" s="65"/>
      <c r="E79" s="65"/>
      <c r="F79" s="65"/>
      <c r="G79" s="65"/>
      <c r="H79" s="1652"/>
    </row>
    <row r="80" spans="1:8">
      <c r="A80" s="65"/>
      <c r="B80" s="65"/>
      <c r="C80" s="65"/>
      <c r="D80" s="65"/>
      <c r="E80" s="65"/>
      <c r="F80" s="65"/>
      <c r="G80" s="65"/>
      <c r="H80" s="1652"/>
    </row>
    <row r="81" spans="1:8">
      <c r="A81" s="65"/>
      <c r="B81" s="65"/>
      <c r="C81" s="65"/>
      <c r="D81" s="65"/>
      <c r="E81" s="65"/>
      <c r="F81" s="65"/>
      <c r="G81" s="65"/>
      <c r="H81" s="1652"/>
    </row>
    <row r="82" spans="1:8">
      <c r="A82" s="65"/>
      <c r="B82" s="65"/>
      <c r="C82" s="65"/>
      <c r="D82" s="65"/>
      <c r="E82" s="65"/>
      <c r="F82" s="65"/>
      <c r="G82" s="65"/>
      <c r="H82" s="1652"/>
    </row>
    <row r="83" spans="1:8">
      <c r="A83" s="65"/>
      <c r="B83" s="65"/>
      <c r="C83" s="65"/>
      <c r="D83" s="65"/>
      <c r="E83" s="65"/>
      <c r="F83" s="65"/>
      <c r="G83" s="65"/>
      <c r="H83" s="1652"/>
    </row>
    <row r="84" spans="1:8">
      <c r="A84" s="65"/>
      <c r="B84" s="65"/>
      <c r="C84" s="65"/>
      <c r="D84" s="65"/>
      <c r="E84" s="65"/>
      <c r="F84" s="65"/>
      <c r="G84" s="65"/>
      <c r="H84" s="1652"/>
    </row>
    <row r="85" spans="1:8">
      <c r="A85" s="65"/>
      <c r="B85" s="65"/>
      <c r="C85" s="65"/>
      <c r="D85" s="65"/>
      <c r="E85" s="65"/>
      <c r="F85" s="65"/>
      <c r="G85" s="65"/>
      <c r="H85" s="1652"/>
    </row>
    <row r="86" spans="1:8">
      <c r="A86" s="65"/>
      <c r="B86" s="65"/>
      <c r="C86" s="65"/>
      <c r="D86" s="65"/>
      <c r="E86" s="65"/>
      <c r="F86" s="65"/>
      <c r="G86" s="65"/>
      <c r="H86" s="1652"/>
    </row>
    <row r="87" spans="1:8">
      <c r="A87" s="65"/>
      <c r="B87" s="65"/>
      <c r="C87" s="65"/>
      <c r="D87" s="65"/>
      <c r="E87" s="65"/>
      <c r="F87" s="65"/>
      <c r="G87" s="65"/>
      <c r="H87" s="1652"/>
    </row>
    <row r="88" spans="1:8">
      <c r="A88" s="65"/>
      <c r="B88" s="65"/>
      <c r="C88" s="65"/>
      <c r="D88" s="65"/>
      <c r="E88" s="65"/>
      <c r="F88" s="65"/>
      <c r="G88" s="65"/>
      <c r="H88" s="1652"/>
    </row>
    <row r="89" spans="1:8">
      <c r="A89" s="65"/>
      <c r="B89" s="65"/>
      <c r="C89" s="65"/>
      <c r="D89" s="65"/>
      <c r="E89" s="65"/>
      <c r="F89" s="65"/>
      <c r="G89" s="65"/>
      <c r="H89" s="1652"/>
    </row>
    <row r="90" spans="1:8">
      <c r="A90" s="65"/>
      <c r="B90" s="65"/>
      <c r="C90" s="65"/>
      <c r="D90" s="65"/>
      <c r="E90" s="65"/>
      <c r="F90" s="65"/>
      <c r="G90" s="65"/>
      <c r="H90" s="1652"/>
    </row>
    <row r="91" spans="1:8">
      <c r="A91" s="65"/>
      <c r="B91" s="65"/>
      <c r="C91" s="65"/>
      <c r="D91" s="65"/>
      <c r="E91" s="65"/>
      <c r="F91" s="65"/>
      <c r="G91" s="65"/>
      <c r="H91" s="1652"/>
    </row>
    <row r="92" spans="1:8">
      <c r="A92" s="65"/>
      <c r="B92" s="65"/>
      <c r="C92" s="65"/>
      <c r="D92" s="65"/>
      <c r="E92" s="65"/>
      <c r="F92" s="65"/>
      <c r="G92" s="65"/>
      <c r="H92" s="1652"/>
    </row>
    <row r="93" spans="1:8">
      <c r="A93" s="65"/>
      <c r="B93" s="65"/>
      <c r="C93" s="65"/>
      <c r="D93" s="65"/>
      <c r="E93" s="65"/>
      <c r="F93" s="65"/>
      <c r="G93" s="65"/>
      <c r="H93" s="1652"/>
    </row>
    <row r="94" spans="1:8">
      <c r="A94" s="65"/>
      <c r="B94" s="65"/>
      <c r="C94" s="65"/>
      <c r="D94" s="65"/>
      <c r="E94" s="65"/>
      <c r="F94" s="65"/>
      <c r="G94" s="65"/>
      <c r="H94" s="1652"/>
    </row>
    <row r="95" spans="1:8">
      <c r="A95" s="65"/>
      <c r="B95" s="65"/>
      <c r="C95" s="65"/>
      <c r="D95" s="65"/>
      <c r="E95" s="65"/>
      <c r="F95" s="65"/>
      <c r="G95" s="65"/>
      <c r="H95" s="1652"/>
    </row>
    <row r="96" spans="1:8">
      <c r="A96" s="65"/>
      <c r="B96" s="65"/>
      <c r="C96" s="65"/>
      <c r="D96" s="65"/>
      <c r="E96" s="65"/>
      <c r="F96" s="65"/>
      <c r="G96" s="65"/>
      <c r="H96" s="1652"/>
    </row>
    <row r="97" spans="1:8">
      <c r="A97" s="65"/>
      <c r="B97" s="65"/>
      <c r="C97" s="65"/>
      <c r="D97" s="65"/>
      <c r="E97" s="65"/>
      <c r="F97" s="65"/>
      <c r="G97" s="65"/>
      <c r="H97" s="1652"/>
    </row>
    <row r="98" spans="1:8">
      <c r="A98" s="65"/>
      <c r="B98" s="65"/>
      <c r="C98" s="65"/>
      <c r="D98" s="65"/>
      <c r="E98" s="65"/>
      <c r="F98" s="65"/>
      <c r="G98" s="65"/>
      <c r="H98" s="1652"/>
    </row>
    <row r="99" spans="1:8">
      <c r="A99" s="65"/>
      <c r="B99" s="65"/>
      <c r="C99" s="65"/>
      <c r="D99" s="65"/>
      <c r="E99" s="65"/>
      <c r="F99" s="65"/>
      <c r="G99" s="65"/>
      <c r="H99" s="1652"/>
    </row>
    <row r="100" spans="1:8">
      <c r="A100" s="65"/>
      <c r="B100" s="65"/>
      <c r="C100" s="65"/>
      <c r="D100" s="65"/>
      <c r="E100" s="65"/>
      <c r="F100" s="65"/>
      <c r="G100" s="65"/>
      <c r="H100" s="1652"/>
    </row>
    <row r="101" spans="1:8">
      <c r="A101" s="65"/>
      <c r="B101" s="65"/>
      <c r="C101" s="65"/>
      <c r="D101" s="65"/>
      <c r="E101" s="65"/>
      <c r="F101" s="65"/>
      <c r="G101" s="65"/>
      <c r="H101" s="1652"/>
    </row>
    <row r="102" spans="1:8">
      <c r="A102" s="65"/>
      <c r="B102" s="65"/>
      <c r="C102" s="65"/>
      <c r="D102" s="65"/>
      <c r="E102" s="65"/>
      <c r="F102" s="65"/>
      <c r="G102" s="65"/>
      <c r="H102" s="1652"/>
    </row>
    <row r="103" spans="1:8">
      <c r="A103" s="65"/>
      <c r="B103" s="65"/>
      <c r="C103" s="65"/>
      <c r="D103" s="65"/>
      <c r="E103" s="65"/>
      <c r="F103" s="65"/>
      <c r="G103" s="65"/>
      <c r="H103" s="1652"/>
    </row>
    <row r="104" spans="1:8">
      <c r="A104" s="65"/>
      <c r="B104" s="65"/>
      <c r="C104" s="65"/>
      <c r="D104" s="65"/>
      <c r="E104" s="65"/>
      <c r="F104" s="65"/>
      <c r="G104" s="65"/>
      <c r="H104" s="1652"/>
    </row>
    <row r="105" spans="1:8">
      <c r="A105" s="65"/>
      <c r="B105" s="65"/>
      <c r="C105" s="65"/>
      <c r="D105" s="65"/>
      <c r="E105" s="65"/>
      <c r="F105" s="65"/>
      <c r="G105" s="65"/>
      <c r="H105" s="1652"/>
    </row>
    <row r="106" spans="1:8">
      <c r="A106" s="65"/>
      <c r="B106" s="65"/>
      <c r="C106" s="65"/>
      <c r="D106" s="65"/>
      <c r="E106" s="65"/>
      <c r="F106" s="65"/>
      <c r="G106" s="65"/>
      <c r="H106" s="1652"/>
    </row>
    <row r="107" spans="1:8">
      <c r="A107" s="65"/>
      <c r="B107" s="65"/>
      <c r="C107" s="65"/>
      <c r="D107" s="65"/>
      <c r="E107" s="65"/>
      <c r="F107" s="65"/>
      <c r="G107" s="65"/>
      <c r="H107" s="1652"/>
    </row>
    <row r="108" spans="1:8">
      <c r="A108" s="65"/>
      <c r="B108" s="65"/>
      <c r="C108" s="65"/>
      <c r="D108" s="65"/>
      <c r="E108" s="65"/>
      <c r="F108" s="65"/>
      <c r="G108" s="65"/>
      <c r="H108" s="1652"/>
    </row>
    <row r="109" spans="1:8">
      <c r="A109" s="65"/>
      <c r="B109" s="65"/>
      <c r="C109" s="65"/>
      <c r="D109" s="65"/>
      <c r="E109" s="65"/>
      <c r="F109" s="65"/>
      <c r="G109" s="65"/>
      <c r="H109" s="1652"/>
    </row>
    <row r="110" spans="1:8">
      <c r="A110" s="65"/>
      <c r="B110" s="65"/>
      <c r="C110" s="65"/>
      <c r="D110" s="65"/>
      <c r="E110" s="65"/>
      <c r="F110" s="65"/>
      <c r="G110" s="65"/>
      <c r="H110" s="1652"/>
    </row>
    <row r="111" spans="1:8">
      <c r="A111" s="65"/>
      <c r="B111" s="65"/>
      <c r="C111" s="65"/>
      <c r="D111" s="65"/>
      <c r="E111" s="65"/>
      <c r="F111" s="65"/>
      <c r="G111" s="65"/>
      <c r="H111" s="1652"/>
    </row>
    <row r="112" spans="1:8">
      <c r="A112" s="65"/>
      <c r="B112" s="65"/>
      <c r="C112" s="65"/>
      <c r="D112" s="65"/>
      <c r="E112" s="65"/>
      <c r="F112" s="65"/>
      <c r="G112" s="65"/>
      <c r="H112" s="1652"/>
    </row>
    <row r="113" spans="1:8">
      <c r="A113" s="65"/>
      <c r="B113" s="65"/>
      <c r="C113" s="65"/>
      <c r="D113" s="65"/>
      <c r="E113" s="65"/>
      <c r="F113" s="65"/>
      <c r="G113" s="65"/>
      <c r="H113" s="1652"/>
    </row>
    <row r="114" spans="1:8">
      <c r="A114" s="65"/>
      <c r="B114" s="65"/>
      <c r="C114" s="65"/>
      <c r="D114" s="65"/>
      <c r="E114" s="65"/>
      <c r="F114" s="65"/>
      <c r="G114" s="65"/>
      <c r="H114" s="1652"/>
    </row>
    <row r="115" spans="1:8">
      <c r="A115" s="65"/>
      <c r="B115" s="65"/>
      <c r="C115" s="65"/>
      <c r="D115" s="65"/>
      <c r="E115" s="65"/>
      <c r="F115" s="65"/>
      <c r="G115" s="65"/>
      <c r="H115" s="1652"/>
    </row>
    <row r="116" spans="1:8">
      <c r="A116" s="65"/>
      <c r="B116" s="65"/>
      <c r="C116" s="65"/>
      <c r="D116" s="65"/>
      <c r="E116" s="65"/>
      <c r="F116" s="65"/>
      <c r="G116" s="65"/>
      <c r="H116" s="1652"/>
    </row>
    <row r="117" spans="1:8">
      <c r="A117" s="65"/>
      <c r="B117" s="65"/>
      <c r="C117" s="65"/>
      <c r="D117" s="65"/>
      <c r="E117" s="65"/>
      <c r="F117" s="65"/>
      <c r="G117" s="65"/>
      <c r="H117" s="1652"/>
    </row>
    <row r="118" spans="1:8">
      <c r="A118" s="65"/>
      <c r="B118" s="65"/>
      <c r="C118" s="65"/>
      <c r="D118" s="65"/>
      <c r="E118" s="65"/>
      <c r="F118" s="65"/>
      <c r="G118" s="65"/>
      <c r="H118" s="1652"/>
    </row>
    <row r="119" spans="1:8">
      <c r="A119" s="65"/>
      <c r="B119" s="65"/>
      <c r="C119" s="65"/>
      <c r="D119" s="65"/>
      <c r="E119" s="65"/>
      <c r="F119" s="65"/>
      <c r="G119" s="65"/>
      <c r="H119" s="1652"/>
    </row>
    <row r="120" spans="1:8">
      <c r="A120" s="65"/>
      <c r="B120" s="65"/>
      <c r="C120" s="65"/>
      <c r="D120" s="65"/>
      <c r="E120" s="65"/>
      <c r="F120" s="65"/>
      <c r="G120" s="65"/>
      <c r="H120" s="1652"/>
    </row>
    <row r="121" spans="1:8">
      <c r="A121" s="65"/>
      <c r="B121" s="65"/>
      <c r="C121" s="65"/>
      <c r="D121" s="65"/>
      <c r="E121" s="65"/>
      <c r="F121" s="65"/>
      <c r="G121" s="65"/>
      <c r="H121" s="1652"/>
    </row>
    <row r="122" spans="1:8">
      <c r="A122" s="65"/>
      <c r="B122" s="65"/>
      <c r="C122" s="65"/>
      <c r="D122" s="65"/>
      <c r="E122" s="65"/>
      <c r="F122" s="65"/>
      <c r="G122" s="65"/>
      <c r="H122" s="1652"/>
    </row>
    <row r="123" spans="1:8">
      <c r="A123" s="65"/>
      <c r="B123" s="65"/>
      <c r="C123" s="65"/>
      <c r="D123" s="65"/>
      <c r="E123" s="65"/>
      <c r="F123" s="65"/>
      <c r="G123" s="65"/>
      <c r="H123" s="1652"/>
    </row>
    <row r="124" spans="1:8">
      <c r="A124" s="65"/>
      <c r="B124" s="65"/>
      <c r="C124" s="65"/>
      <c r="D124" s="65"/>
      <c r="E124" s="65"/>
      <c r="F124" s="65"/>
      <c r="G124" s="65"/>
      <c r="H124" s="1652"/>
    </row>
    <row r="125" spans="1:8">
      <c r="A125" s="65"/>
      <c r="B125" s="65"/>
      <c r="C125" s="65"/>
      <c r="D125" s="65"/>
      <c r="E125" s="65"/>
      <c r="F125" s="65"/>
      <c r="G125" s="65"/>
      <c r="H125" s="1652"/>
    </row>
    <row r="126" spans="1:8">
      <c r="A126" s="65"/>
      <c r="B126" s="65"/>
      <c r="C126" s="65"/>
      <c r="D126" s="65"/>
      <c r="E126" s="65"/>
      <c r="F126" s="65"/>
      <c r="G126" s="65"/>
      <c r="H126" s="1652"/>
    </row>
    <row r="127" spans="1:8">
      <c r="A127" s="65"/>
      <c r="B127" s="65"/>
      <c r="C127" s="65"/>
      <c r="D127" s="65"/>
      <c r="E127" s="65"/>
      <c r="F127" s="65"/>
      <c r="G127" s="65"/>
      <c r="H127" s="1652"/>
    </row>
    <row r="128" spans="1:8">
      <c r="A128" s="65"/>
      <c r="B128" s="65"/>
      <c r="C128" s="65"/>
      <c r="D128" s="65"/>
      <c r="E128" s="65"/>
      <c r="F128" s="65"/>
      <c r="G128" s="65"/>
      <c r="H128" s="1652"/>
    </row>
    <row r="129" spans="1:8">
      <c r="A129" s="65"/>
      <c r="B129" s="65"/>
      <c r="C129" s="65"/>
      <c r="D129" s="65"/>
      <c r="E129" s="65"/>
      <c r="F129" s="65"/>
      <c r="G129" s="65"/>
      <c r="H129" s="1652"/>
    </row>
    <row r="130" spans="1:8">
      <c r="A130" s="65"/>
      <c r="B130" s="65"/>
      <c r="C130" s="65"/>
      <c r="D130" s="65"/>
      <c r="E130" s="65"/>
      <c r="F130" s="65"/>
      <c r="G130" s="65"/>
      <c r="H130" s="1652"/>
    </row>
    <row r="131" spans="1:8">
      <c r="A131" s="65"/>
      <c r="B131" s="65"/>
      <c r="C131" s="65"/>
      <c r="D131" s="65"/>
      <c r="E131" s="65"/>
      <c r="F131" s="65"/>
      <c r="G131" s="65"/>
      <c r="H131" s="165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01C01-6F14-495D-B3B2-FB644F8A52D1}">
  <sheetPr>
    <tabColor rgb="FFFFFF00"/>
  </sheetPr>
  <dimension ref="A1:A5"/>
  <sheetViews>
    <sheetView workbookViewId="0"/>
  </sheetViews>
  <sheetFormatPr defaultRowHeight="13.2"/>
  <sheetData>
    <row r="1" spans="1:1">
      <c r="A1" t="s">
        <v>1595</v>
      </c>
    </row>
    <row r="2" spans="1:1">
      <c r="A2" t="s">
        <v>1596</v>
      </c>
    </row>
    <row r="3" spans="1:1">
      <c r="A3" t="s">
        <v>1597</v>
      </c>
    </row>
    <row r="4" spans="1:1">
      <c r="A4" t="s">
        <v>1598</v>
      </c>
    </row>
    <row r="5" spans="1:1">
      <c r="A5" t="s">
        <v>1599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pageSetUpPr autoPageBreaks="0"/>
  </sheetPr>
  <dimension ref="A1:GK115"/>
  <sheetViews>
    <sheetView zoomScale="82" zoomScaleNormal="82" workbookViewId="0">
      <pane ySplit="7" topLeftCell="A8" activePane="bottomLeft" state="frozen"/>
      <selection pane="bottomLeft" activeCell="M23" sqref="M23"/>
    </sheetView>
  </sheetViews>
  <sheetFormatPr defaultColWidth="9.109375" defaultRowHeight="13.2"/>
  <cols>
    <col min="1" max="1" width="10.44140625" style="988" customWidth="1"/>
    <col min="2" max="2" width="16.6640625" style="988" customWidth="1"/>
    <col min="3" max="3" width="50.88671875" style="988" customWidth="1"/>
    <col min="4" max="4" width="50.6640625" style="988" customWidth="1"/>
    <col min="5" max="5" width="11.6640625" style="988" customWidth="1"/>
    <col min="6" max="6" width="14.6640625" style="988" customWidth="1"/>
    <col min="7" max="7" width="10.6640625" style="988" customWidth="1"/>
    <col min="8" max="8" width="13.6640625" style="988" customWidth="1"/>
    <col min="9" max="9" width="12.6640625" style="988" customWidth="1"/>
    <col min="10" max="11" width="1.6640625" style="988" customWidth="1"/>
    <col min="12" max="12" width="12.88671875" style="988" customWidth="1"/>
    <col min="13" max="22" width="11.5546875" style="988" customWidth="1"/>
    <col min="23" max="23" width="13.33203125" style="988" bestFit="1" customWidth="1"/>
    <col min="24" max="46" width="11.5546875" style="988" customWidth="1"/>
    <col min="47" max="48" width="1.6640625" style="988" customWidth="1"/>
    <col min="49" max="83" width="11.5546875" style="988" customWidth="1"/>
    <col min="84" max="84" width="2.6640625" style="988" customWidth="1"/>
    <col min="85" max="107" width="14.6640625" style="988" customWidth="1"/>
    <col min="108" max="108" width="17.6640625" style="988" customWidth="1"/>
    <col min="109" max="109" width="14.6640625" style="988" customWidth="1"/>
    <col min="110" max="110" width="16.6640625" style="988" customWidth="1"/>
    <col min="111" max="111" width="14.6640625" style="988" customWidth="1"/>
    <col min="112" max="112" width="14.6640625" style="991" customWidth="1"/>
    <col min="113" max="119" width="14.6640625" style="988" customWidth="1"/>
    <col min="120" max="120" width="2.6640625" style="988" customWidth="1"/>
    <col min="121" max="121" width="15.6640625" style="988" customWidth="1"/>
    <col min="122" max="122" width="12" style="988" customWidth="1"/>
    <col min="123" max="123" width="12.109375" style="988" customWidth="1"/>
    <col min="124" max="126" width="13.5546875" style="988" bestFit="1" customWidth="1"/>
    <col min="127" max="131" width="14.6640625" style="988" customWidth="1"/>
    <col min="132" max="132" width="18.33203125" style="988" bestFit="1" customWidth="1"/>
    <col min="133" max="135" width="14.6640625" style="988" customWidth="1"/>
    <col min="136" max="136" width="17.33203125" style="988" bestFit="1" customWidth="1"/>
    <col min="137" max="140" width="16.33203125" style="988" bestFit="1" customWidth="1"/>
    <col min="141" max="143" width="14.6640625" style="988" customWidth="1"/>
    <col min="144" max="144" width="17.33203125" style="988" bestFit="1" customWidth="1"/>
    <col min="145" max="145" width="16.33203125" style="988" bestFit="1" customWidth="1"/>
    <col min="146" max="147" width="17.33203125" style="988" bestFit="1" customWidth="1"/>
    <col min="148" max="155" width="14.6640625" style="988" customWidth="1"/>
    <col min="156" max="156" width="18.44140625" style="988" bestFit="1" customWidth="1"/>
    <col min="157" max="157" width="2.6640625" style="988" customWidth="1"/>
    <col min="158" max="172" width="14.6640625" style="988" customWidth="1"/>
    <col min="173" max="173" width="16.33203125" style="988" bestFit="1" customWidth="1"/>
    <col min="174" max="192" width="14.6640625" style="988" customWidth="1"/>
    <col min="193" max="193" width="17.5546875" style="988" customWidth="1"/>
    <col min="194" max="16384" width="9.109375" style="988"/>
  </cols>
  <sheetData>
    <row r="1" spans="1:193" ht="13.8">
      <c r="C1" s="989" t="str">
        <f>"Tariff Approval - "&amp;'Model update'!$B$3</f>
        <v>Tariff Approval - Ergon Energy</v>
      </c>
      <c r="D1" s="989"/>
      <c r="E1" s="989"/>
      <c r="F1" s="989"/>
      <c r="G1" s="989"/>
      <c r="H1" s="989"/>
      <c r="I1" s="989"/>
      <c r="J1" s="1176"/>
      <c r="K1" s="1176"/>
      <c r="L1" s="990"/>
      <c r="M1" s="990"/>
      <c r="N1" s="990"/>
      <c r="O1" s="990"/>
      <c r="P1" s="990"/>
      <c r="Q1" s="990"/>
      <c r="R1" s="990"/>
      <c r="U1" s="990"/>
      <c r="V1" s="990"/>
      <c r="W1" s="990"/>
      <c r="X1" s="990"/>
      <c r="Y1" s="990"/>
      <c r="AA1" s="990"/>
      <c r="AB1" s="990"/>
      <c r="AC1" s="990"/>
      <c r="AD1" s="990"/>
      <c r="AE1" s="990"/>
      <c r="AF1" s="990"/>
      <c r="AG1" s="990"/>
      <c r="AH1" s="990"/>
      <c r="AJ1" s="990"/>
      <c r="AK1" s="990"/>
      <c r="AL1" s="990"/>
      <c r="AP1" s="990"/>
      <c r="AQ1" s="990"/>
      <c r="AR1" s="990"/>
      <c r="AU1" s="1176"/>
      <c r="AV1" s="1176"/>
      <c r="CF1" s="1176"/>
      <c r="DP1" s="1176"/>
      <c r="FA1" s="1176"/>
    </row>
    <row r="2" spans="1:193">
      <c r="J2" s="1176"/>
      <c r="K2" s="1176"/>
      <c r="AU2" s="1176"/>
      <c r="AV2" s="1176"/>
      <c r="CF2" s="1176"/>
      <c r="DP2" s="1176"/>
      <c r="FA2" s="1176"/>
    </row>
    <row r="3" spans="1:193">
      <c r="C3" s="992" t="str">
        <f>"PROPOSED "&amp;'Model update'!$B$6&amp;" DISTRIBUTION TARIFFS"</f>
        <v>PROPOSED 2021-22 DISTRIBUTION TARIFFS</v>
      </c>
      <c r="D3" s="992"/>
      <c r="E3" s="992"/>
      <c r="F3" s="992"/>
      <c r="G3" s="992"/>
      <c r="H3" s="992"/>
      <c r="I3" s="992"/>
      <c r="J3" s="1176"/>
      <c r="K3" s="1176"/>
      <c r="AU3" s="1176"/>
      <c r="AV3" s="1176"/>
      <c r="CF3" s="1176"/>
      <c r="CG3" s="988">
        <f>COLUMN()</f>
        <v>85</v>
      </c>
      <c r="CH3" s="988">
        <f>COLUMN()</f>
        <v>86</v>
      </c>
      <c r="CI3" s="988">
        <f>COLUMN()</f>
        <v>87</v>
      </c>
      <c r="CJ3" s="988">
        <f>COLUMN()</f>
        <v>88</v>
      </c>
      <c r="CK3" s="988">
        <f>COLUMN()</f>
        <v>89</v>
      </c>
      <c r="CL3" s="988">
        <f>COLUMN()</f>
        <v>90</v>
      </c>
      <c r="CM3" s="988">
        <f>COLUMN()</f>
        <v>91</v>
      </c>
      <c r="CN3" s="988">
        <f>COLUMN()</f>
        <v>92</v>
      </c>
      <c r="CO3" s="988">
        <f>COLUMN()</f>
        <v>93</v>
      </c>
      <c r="CP3" s="988">
        <f>COLUMN()</f>
        <v>94</v>
      </c>
      <c r="CQ3" s="988">
        <f>COLUMN()</f>
        <v>95</v>
      </c>
      <c r="CR3" s="988">
        <f>COLUMN()</f>
        <v>96</v>
      </c>
      <c r="CS3" s="988">
        <f>COLUMN()</f>
        <v>97</v>
      </c>
      <c r="CT3" s="988">
        <f>COLUMN()</f>
        <v>98</v>
      </c>
      <c r="CU3" s="988">
        <f>COLUMN()</f>
        <v>99</v>
      </c>
      <c r="CV3" s="988">
        <f>COLUMN()</f>
        <v>100</v>
      </c>
      <c r="CW3" s="988">
        <f>COLUMN()</f>
        <v>101</v>
      </c>
      <c r="CX3" s="988">
        <f>COLUMN()</f>
        <v>102</v>
      </c>
      <c r="CY3" s="988">
        <f>COLUMN()</f>
        <v>103</v>
      </c>
      <c r="CZ3" s="988">
        <f>COLUMN()</f>
        <v>104</v>
      </c>
      <c r="DA3" s="988">
        <f>COLUMN()</f>
        <v>105</v>
      </c>
      <c r="DB3" s="988">
        <f>COLUMN()</f>
        <v>106</v>
      </c>
      <c r="DC3" s="988">
        <f>COLUMN()</f>
        <v>107</v>
      </c>
      <c r="DD3" s="988">
        <f>COLUMN()</f>
        <v>108</v>
      </c>
      <c r="DE3" s="988">
        <f>COLUMN()</f>
        <v>109</v>
      </c>
      <c r="DF3" s="988">
        <f>COLUMN()</f>
        <v>110</v>
      </c>
      <c r="DG3" s="988">
        <f>COLUMN()</f>
        <v>111</v>
      </c>
      <c r="DH3" s="988">
        <f>COLUMN()</f>
        <v>112</v>
      </c>
      <c r="DI3" s="988">
        <f>COLUMN()</f>
        <v>113</v>
      </c>
      <c r="DJ3" s="988">
        <f>COLUMN()</f>
        <v>114</v>
      </c>
      <c r="DK3" s="988">
        <f>COLUMN()</f>
        <v>115</v>
      </c>
      <c r="DL3" s="988">
        <f>COLUMN()</f>
        <v>116</v>
      </c>
      <c r="DM3" s="988">
        <f>COLUMN()</f>
        <v>117</v>
      </c>
      <c r="DN3" s="988">
        <f>COLUMN()</f>
        <v>118</v>
      </c>
      <c r="DO3" s="988">
        <f>COLUMN()</f>
        <v>119</v>
      </c>
      <c r="DP3" s="1176"/>
      <c r="FA3" s="1176"/>
    </row>
    <row r="4" spans="1:193" ht="32.25" customHeight="1">
      <c r="J4" s="1176"/>
      <c r="K4" s="1176"/>
      <c r="L4" s="1157" t="str">
        <f>"Proposed Distribution Tariffs (Pt) for "&amp;'Model update'!$B$6</f>
        <v>Proposed Distribution Tariffs (Pt) for 2021-22</v>
      </c>
      <c r="M4" s="993"/>
      <c r="N4" s="993"/>
      <c r="O4" s="993"/>
      <c r="P4" s="993"/>
      <c r="Q4" s="993"/>
      <c r="R4" s="993"/>
      <c r="S4" s="994"/>
      <c r="T4" s="994"/>
      <c r="U4" s="994"/>
      <c r="V4" s="994"/>
      <c r="W4" s="994"/>
      <c r="X4" s="994"/>
      <c r="Y4" s="994"/>
      <c r="Z4" s="994"/>
      <c r="AA4" s="994"/>
      <c r="AB4" s="994"/>
      <c r="AC4" s="994"/>
      <c r="AD4" s="994"/>
      <c r="AE4" s="994"/>
      <c r="AF4" s="994"/>
      <c r="AG4" s="995"/>
      <c r="AH4" s="994"/>
      <c r="AI4" s="994"/>
      <c r="AJ4" s="994"/>
      <c r="AK4" s="994"/>
      <c r="AL4" s="994"/>
      <c r="AM4" s="994"/>
      <c r="AN4" s="994"/>
      <c r="AO4" s="994"/>
      <c r="AP4" s="994"/>
      <c r="AQ4" s="994"/>
      <c r="AR4" s="994"/>
      <c r="AS4" s="994"/>
      <c r="AT4" s="994"/>
      <c r="AU4" s="1176"/>
      <c r="AV4" s="1176"/>
      <c r="AW4" s="996" t="str">
        <f>"Current Distribution Tariffs (Pt-1) for "&amp;'Model update'!$B$8</f>
        <v>Current Distribution Tariffs (Pt-1) for 2020-21</v>
      </c>
      <c r="AX4" s="996"/>
      <c r="AY4" s="996"/>
      <c r="AZ4" s="996"/>
      <c r="BA4" s="996"/>
      <c r="BB4" s="996"/>
      <c r="BC4" s="996"/>
      <c r="BD4" s="997"/>
      <c r="BE4" s="997"/>
      <c r="BF4" s="997"/>
      <c r="BG4" s="997"/>
      <c r="BH4" s="997"/>
      <c r="BI4" s="997"/>
      <c r="BJ4" s="997"/>
      <c r="BK4" s="997"/>
      <c r="BL4" s="997"/>
      <c r="BM4" s="997"/>
      <c r="BN4" s="997"/>
      <c r="BO4" s="997"/>
      <c r="BP4" s="997"/>
      <c r="BQ4" s="997"/>
      <c r="BR4" s="997"/>
      <c r="BS4" s="997"/>
      <c r="BT4" s="998"/>
      <c r="BU4" s="997"/>
      <c r="BV4" s="997"/>
      <c r="BW4" s="997"/>
      <c r="BX4" s="998"/>
      <c r="BY4" s="998"/>
      <c r="BZ4" s="998"/>
      <c r="CA4" s="997"/>
      <c r="CB4" s="997"/>
      <c r="CC4" s="997"/>
      <c r="CD4" s="998"/>
      <c r="CE4" s="998"/>
      <c r="CF4" s="1176"/>
      <c r="CG4" s="993" t="str">
        <f>"Forecast Quantities (Qt) for "&amp;'Model update'!$B$6</f>
        <v>Forecast Quantities (Qt) for 2021-22</v>
      </c>
      <c r="CH4" s="993"/>
      <c r="CI4" s="993"/>
      <c r="CJ4" s="993"/>
      <c r="CK4" s="993"/>
      <c r="CL4" s="993"/>
      <c r="CM4" s="993"/>
      <c r="CN4" s="994"/>
      <c r="CO4" s="994"/>
      <c r="CP4" s="994"/>
      <c r="CQ4" s="994"/>
      <c r="CR4" s="994"/>
      <c r="CS4" s="994"/>
      <c r="CT4" s="994"/>
      <c r="CU4" s="994"/>
      <c r="CV4" s="994"/>
      <c r="CW4" s="994"/>
      <c r="CX4" s="994"/>
      <c r="CY4" s="994"/>
      <c r="CZ4" s="994"/>
      <c r="DA4" s="994"/>
      <c r="DB4" s="994"/>
      <c r="DC4" s="994"/>
      <c r="DD4" s="994"/>
      <c r="DE4" s="994"/>
      <c r="DF4" s="994"/>
      <c r="DG4" s="994"/>
      <c r="DH4" s="999"/>
      <c r="DI4" s="994"/>
      <c r="DJ4" s="994"/>
      <c r="DK4" s="994"/>
      <c r="DL4" s="994"/>
      <c r="DM4" s="994"/>
      <c r="DN4" s="994"/>
      <c r="DO4" s="994"/>
      <c r="DP4" s="1176"/>
      <c r="DQ4" s="996" t="str">
        <f>"Forecast Revenue (Pt "&amp;'Model update'!$B$6&amp;")*(Qt " &amp;'Model update'!$B$6&amp;")"</f>
        <v>Forecast Revenue (Pt 2021-22)*(Qt 2021-22)</v>
      </c>
      <c r="DR4" s="996"/>
      <c r="DS4" s="996"/>
      <c r="DT4" s="996"/>
      <c r="DU4" s="996"/>
      <c r="DV4" s="996"/>
      <c r="DW4" s="996"/>
      <c r="DX4" s="998"/>
      <c r="DY4" s="998"/>
      <c r="DZ4" s="998"/>
      <c r="EA4" s="998"/>
      <c r="EB4" s="1000"/>
      <c r="EC4" s="1000"/>
      <c r="ED4" s="1000"/>
      <c r="EE4" s="1000"/>
      <c r="EF4" s="1000"/>
      <c r="EG4" s="1000"/>
      <c r="EH4" s="1000"/>
      <c r="EI4" s="1000"/>
      <c r="EJ4" s="1000"/>
      <c r="EK4" s="1000"/>
      <c r="EL4" s="1000"/>
      <c r="EM4" s="1000"/>
      <c r="EN4" s="994"/>
      <c r="EO4" s="1000"/>
      <c r="EP4" s="1000"/>
      <c r="EQ4" s="1000"/>
      <c r="ER4" s="994"/>
      <c r="ES4" s="994"/>
      <c r="ET4" s="994"/>
      <c r="EU4" s="994"/>
      <c r="EV4" s="994"/>
      <c r="EW4" s="994"/>
      <c r="EX4" s="994"/>
      <c r="EY4" s="994"/>
      <c r="EZ4" s="994"/>
      <c r="FA4" s="1176"/>
      <c r="FB4" s="996" t="str">
        <f>"Revenue (Pt-1 "&amp;'Model update'!$B$8&amp;")*(Qt " &amp;'Model update'!$B$6&amp;")"</f>
        <v>Revenue (Pt-1 2020-21)*(Qt 2021-22)</v>
      </c>
      <c r="FC4" s="996"/>
      <c r="FD4" s="996"/>
      <c r="FE4" s="996"/>
      <c r="FF4" s="996"/>
      <c r="FG4" s="996"/>
      <c r="FH4" s="996"/>
      <c r="FI4" s="994"/>
      <c r="FJ4" s="994"/>
      <c r="FK4" s="994"/>
      <c r="FL4" s="994"/>
      <c r="FM4" s="994"/>
      <c r="FN4" s="994"/>
      <c r="FO4" s="994"/>
      <c r="FP4" s="994"/>
      <c r="FQ4" s="994"/>
      <c r="FR4" s="994"/>
      <c r="FS4" s="994"/>
      <c r="FT4" s="994"/>
      <c r="FU4" s="994"/>
      <c r="FV4" s="994"/>
      <c r="FW4" s="994"/>
      <c r="FX4" s="994"/>
      <c r="FY4" s="994"/>
      <c r="FZ4" s="994"/>
      <c r="GA4" s="994"/>
      <c r="GB4" s="994"/>
      <c r="GC4" s="994"/>
      <c r="GD4" s="994"/>
      <c r="GE4" s="994"/>
      <c r="GF4" s="994"/>
      <c r="GG4" s="994"/>
      <c r="GH4" s="994"/>
      <c r="GI4" s="994"/>
      <c r="GJ4" s="994"/>
      <c r="GK4" s="994"/>
    </row>
    <row r="5" spans="1:193" ht="64.95" customHeight="1">
      <c r="B5" s="1146" t="s">
        <v>925</v>
      </c>
      <c r="C5" s="1146" t="s">
        <v>38</v>
      </c>
      <c r="D5" s="1146" t="s">
        <v>39</v>
      </c>
      <c r="E5" s="1002" t="s">
        <v>740</v>
      </c>
      <c r="F5" s="1002" t="s">
        <v>927</v>
      </c>
      <c r="G5" s="1146" t="s">
        <v>903</v>
      </c>
      <c r="H5" s="1002" t="s">
        <v>879</v>
      </c>
      <c r="I5" s="1002" t="s">
        <v>168</v>
      </c>
      <c r="J5" s="1176"/>
      <c r="K5" s="1176"/>
      <c r="L5" s="1688" t="s">
        <v>745</v>
      </c>
      <c r="M5" s="1181" t="s">
        <v>775</v>
      </c>
      <c r="N5" s="1181" t="s">
        <v>776</v>
      </c>
      <c r="O5" s="1181" t="s">
        <v>777</v>
      </c>
      <c r="P5" s="1181" t="s">
        <v>778</v>
      </c>
      <c r="Q5" s="1181" t="s">
        <v>779</v>
      </c>
      <c r="R5" s="1688" t="s">
        <v>793</v>
      </c>
      <c r="S5" s="1688" t="s">
        <v>747</v>
      </c>
      <c r="T5" s="1688" t="s">
        <v>1601</v>
      </c>
      <c r="U5" s="1688" t="s">
        <v>823</v>
      </c>
      <c r="V5" s="1688" t="s">
        <v>824</v>
      </c>
      <c r="W5" s="1688" t="s">
        <v>748</v>
      </c>
      <c r="X5" s="1688" t="s">
        <v>763</v>
      </c>
      <c r="Y5" s="1688" t="s">
        <v>764</v>
      </c>
      <c r="Z5" s="1688" t="s">
        <v>1602</v>
      </c>
      <c r="AA5" s="1688" t="s">
        <v>783</v>
      </c>
      <c r="AB5" s="1688" t="s">
        <v>781</v>
      </c>
      <c r="AC5" s="1688" t="s">
        <v>802</v>
      </c>
      <c r="AD5" s="1688" t="s">
        <v>1606</v>
      </c>
      <c r="AE5" s="1688" t="s">
        <v>1607</v>
      </c>
      <c r="AF5" s="1181" t="s">
        <v>899</v>
      </c>
      <c r="AG5" s="1688" t="s">
        <v>912</v>
      </c>
      <c r="AH5" s="1181" t="s">
        <v>901</v>
      </c>
      <c r="AI5" s="1688" t="s">
        <v>758</v>
      </c>
      <c r="AJ5" s="1688" t="s">
        <v>814</v>
      </c>
      <c r="AK5" s="1688" t="s">
        <v>815</v>
      </c>
      <c r="AL5" s="1688" t="s">
        <v>816</v>
      </c>
      <c r="AM5" s="1181" t="s">
        <v>772</v>
      </c>
      <c r="AN5" s="1181" t="s">
        <v>773</v>
      </c>
      <c r="AO5" s="1181" t="s">
        <v>774</v>
      </c>
      <c r="AP5" s="1181" t="s">
        <v>749</v>
      </c>
      <c r="AQ5" s="1181" t="s">
        <v>751</v>
      </c>
      <c r="AR5" s="1181" t="s">
        <v>822</v>
      </c>
      <c r="AS5" s="1181" t="s">
        <v>1603</v>
      </c>
      <c r="AT5" s="1181" t="s">
        <v>1604</v>
      </c>
      <c r="AU5" s="1689"/>
      <c r="AV5" s="1689"/>
      <c r="AW5" s="1688" t="str">
        <f t="shared" ref="AW5:BE5" si="0">L5</f>
        <v>Fixed Charge</v>
      </c>
      <c r="AX5" s="1688" t="str">
        <f t="shared" si="0"/>
        <v>Band1 Charge</v>
      </c>
      <c r="AY5" s="1688" t="str">
        <f t="shared" si="0"/>
        <v>Band2 Charge</v>
      </c>
      <c r="AZ5" s="1688" t="str">
        <f t="shared" si="0"/>
        <v>Band3 Charge</v>
      </c>
      <c r="BA5" s="1688" t="str">
        <f t="shared" si="0"/>
        <v>Band4 Charge</v>
      </c>
      <c r="BB5" s="1688" t="str">
        <f t="shared" si="0"/>
        <v>Band5 Charge</v>
      </c>
      <c r="BC5" s="1688" t="str">
        <f t="shared" si="0"/>
        <v>Connection Unit Charge</v>
      </c>
      <c r="BD5" s="1688" t="str">
        <f t="shared" si="0"/>
        <v>Capacity Charge</v>
      </c>
      <c r="BE5" s="1688" t="str">
        <f t="shared" si="0"/>
        <v>Non Summer Capacity Charge</v>
      </c>
      <c r="BF5" s="1688" t="str">
        <f t="shared" ref="BF5:BG5" si="1">U5</f>
        <v>Minimum Capacity Charge</v>
      </c>
      <c r="BG5" s="1688" t="str">
        <f t="shared" si="1"/>
        <v>Remaining Capacity Charge</v>
      </c>
      <c r="BH5" s="1688" t="str">
        <f t="shared" ref="BH5:BZ5" si="2">W5</f>
        <v>Demand Charge kVA</v>
      </c>
      <c r="BI5" s="1688" t="str">
        <f t="shared" si="2"/>
        <v>Peak Demand Charge kVA</v>
      </c>
      <c r="BJ5" s="1688" t="str">
        <f t="shared" si="2"/>
        <v>Excess Demand Charge</v>
      </c>
      <c r="BK5" s="1688" t="str">
        <f t="shared" si="2"/>
        <v>Summer Demand Charge kVA</v>
      </c>
      <c r="BL5" s="1688" t="str">
        <f t="shared" si="2"/>
        <v>Demand Charge kW</v>
      </c>
      <c r="BM5" s="1688" t="str">
        <f t="shared" si="2"/>
        <v>Peak Demand Charge kW</v>
      </c>
      <c r="BN5" s="1688" t="str">
        <f t="shared" si="2"/>
        <v>Off Peak Demand Charge kW</v>
      </c>
      <c r="BO5" s="1688" t="str">
        <f t="shared" si="2"/>
        <v>Non Summer Demand Charge kW</v>
      </c>
      <c r="BP5" s="1688" t="str">
        <f t="shared" si="2"/>
        <v>Summer Demand Charge kW</v>
      </c>
      <c r="BQ5" s="1688" t="str">
        <f t="shared" si="2"/>
        <v xml:space="preserve"> Location
</v>
      </c>
      <c r="BR5" s="1688" t="str">
        <f t="shared" si="2"/>
        <v>General Charge</v>
      </c>
      <c r="BS5" s="1688" t="str">
        <f t="shared" si="2"/>
        <v>Common</v>
      </c>
      <c r="BT5" s="1690" t="str">
        <f t="shared" si="2"/>
        <v>Volume Charge</v>
      </c>
      <c r="BU5" s="1688" t="str">
        <f t="shared" si="2"/>
        <v>Volume Block 1 Charge</v>
      </c>
      <c r="BV5" s="1688" t="str">
        <f t="shared" si="2"/>
        <v>Volume Block 2 Charge</v>
      </c>
      <c r="BW5" s="1688" t="str">
        <f t="shared" si="2"/>
        <v>Volume Block 3 Charge</v>
      </c>
      <c r="BX5" s="1688" t="str">
        <f t="shared" si="2"/>
        <v>Volume Evening Charge</v>
      </c>
      <c r="BY5" s="1688" t="str">
        <f t="shared" si="2"/>
        <v>Volume Overnight Charge</v>
      </c>
      <c r="BZ5" s="1688" t="str">
        <f t="shared" si="2"/>
        <v>Volume Day Charge</v>
      </c>
      <c r="CA5" s="1688" t="str">
        <f t="shared" ref="CA5" si="3">AP5</f>
        <v>Volume Off Peak Charge</v>
      </c>
      <c r="CB5" s="1688" t="str">
        <f t="shared" ref="CB5" si="4">AQ5</f>
        <v>Volume Peak Charge</v>
      </c>
      <c r="CC5" s="1688" t="str">
        <f t="shared" ref="CC5" si="5">AR5</f>
        <v>Volume Peak Charge (over 10,000)</v>
      </c>
      <c r="CD5" s="1688" t="str">
        <f>AS5</f>
        <v>Volume Non Summer Charge</v>
      </c>
      <c r="CE5" s="1688" t="str">
        <f>AT5</f>
        <v>Volume Summer No Charge</v>
      </c>
      <c r="CF5" s="1689"/>
      <c r="CG5" s="1688" t="str">
        <f t="shared" ref="CG5:CO5" si="6">L5</f>
        <v>Fixed Charge</v>
      </c>
      <c r="CH5" s="1688" t="str">
        <f t="shared" si="6"/>
        <v>Band1 Charge</v>
      </c>
      <c r="CI5" s="1688" t="str">
        <f t="shared" si="6"/>
        <v>Band2 Charge</v>
      </c>
      <c r="CJ5" s="1688" t="str">
        <f t="shared" si="6"/>
        <v>Band3 Charge</v>
      </c>
      <c r="CK5" s="1688" t="str">
        <f t="shared" si="6"/>
        <v>Band4 Charge</v>
      </c>
      <c r="CL5" s="1688" t="str">
        <f t="shared" si="6"/>
        <v>Band5 Charge</v>
      </c>
      <c r="CM5" s="1688" t="str">
        <f t="shared" si="6"/>
        <v>Connection Unit Charge</v>
      </c>
      <c r="CN5" s="1688" t="str">
        <f t="shared" si="6"/>
        <v>Capacity Charge</v>
      </c>
      <c r="CO5" s="1688" t="str">
        <f t="shared" si="6"/>
        <v>Non Summer Capacity Charge</v>
      </c>
      <c r="CP5" s="1688" t="str">
        <f t="shared" ref="CP5:CQ5" si="7">U5</f>
        <v>Minimum Capacity Charge</v>
      </c>
      <c r="CQ5" s="1688" t="str">
        <f t="shared" si="7"/>
        <v>Remaining Capacity Charge</v>
      </c>
      <c r="CR5" s="1688" t="str">
        <f t="shared" ref="CR5:DJ5" si="8">W5</f>
        <v>Demand Charge kVA</v>
      </c>
      <c r="CS5" s="1688" t="str">
        <f t="shared" si="8"/>
        <v>Peak Demand Charge kVA</v>
      </c>
      <c r="CT5" s="1688" t="str">
        <f t="shared" si="8"/>
        <v>Excess Demand Charge</v>
      </c>
      <c r="CU5" s="1688" t="str">
        <f t="shared" si="8"/>
        <v>Summer Demand Charge kVA</v>
      </c>
      <c r="CV5" s="1688" t="str">
        <f t="shared" si="8"/>
        <v>Demand Charge kW</v>
      </c>
      <c r="CW5" s="1688" t="str">
        <f t="shared" si="8"/>
        <v>Peak Demand Charge kW</v>
      </c>
      <c r="CX5" s="1688" t="str">
        <f t="shared" si="8"/>
        <v>Off Peak Demand Charge kW</v>
      </c>
      <c r="CY5" s="1688" t="str">
        <f t="shared" si="8"/>
        <v>Non Summer Demand Charge kW</v>
      </c>
      <c r="CZ5" s="1688" t="str">
        <f t="shared" si="8"/>
        <v>Summer Demand Charge kW</v>
      </c>
      <c r="DA5" s="1688" t="str">
        <f t="shared" si="8"/>
        <v xml:space="preserve"> Location
</v>
      </c>
      <c r="DB5" s="1688" t="str">
        <f t="shared" si="8"/>
        <v>General Charge</v>
      </c>
      <c r="DC5" s="1688" t="str">
        <f t="shared" si="8"/>
        <v>Common</v>
      </c>
      <c r="DD5" s="1688" t="str">
        <f t="shared" si="8"/>
        <v>Volume Charge</v>
      </c>
      <c r="DE5" s="1688" t="str">
        <f t="shared" si="8"/>
        <v>Volume Block 1 Charge</v>
      </c>
      <c r="DF5" s="1688" t="str">
        <f t="shared" si="8"/>
        <v>Volume Block 2 Charge</v>
      </c>
      <c r="DG5" s="1688" t="str">
        <f t="shared" si="8"/>
        <v>Volume Block 3 Charge</v>
      </c>
      <c r="DH5" s="1688" t="str">
        <f t="shared" si="8"/>
        <v>Volume Evening Charge</v>
      </c>
      <c r="DI5" s="1688" t="str">
        <f t="shared" si="8"/>
        <v>Volume Overnight Charge</v>
      </c>
      <c r="DJ5" s="1688" t="str">
        <f t="shared" si="8"/>
        <v>Volume Day Charge</v>
      </c>
      <c r="DK5" s="1688" t="str">
        <f t="shared" ref="DK5" si="9">AP5</f>
        <v>Volume Off Peak Charge</v>
      </c>
      <c r="DL5" s="1688" t="str">
        <f t="shared" ref="DL5" si="10">AQ5</f>
        <v>Volume Peak Charge</v>
      </c>
      <c r="DM5" s="1688" t="str">
        <f t="shared" ref="DM5" si="11">AR5</f>
        <v>Volume Peak Charge (over 10,000)</v>
      </c>
      <c r="DN5" s="1688" t="str">
        <f>AS5</f>
        <v>Volume Non Summer Charge</v>
      </c>
      <c r="DO5" s="1688" t="str">
        <f>AT5</f>
        <v>Volume Summer No Charge</v>
      </c>
      <c r="DP5" s="1689"/>
      <c r="DQ5" s="1688" t="str">
        <f t="shared" ref="DQ5:DY5" si="12">L5</f>
        <v>Fixed Charge</v>
      </c>
      <c r="DR5" s="1688" t="str">
        <f t="shared" si="12"/>
        <v>Band1 Charge</v>
      </c>
      <c r="DS5" s="1688" t="str">
        <f t="shared" si="12"/>
        <v>Band2 Charge</v>
      </c>
      <c r="DT5" s="1688" t="str">
        <f t="shared" si="12"/>
        <v>Band3 Charge</v>
      </c>
      <c r="DU5" s="1688" t="str">
        <f t="shared" si="12"/>
        <v>Band4 Charge</v>
      </c>
      <c r="DV5" s="1688" t="str">
        <f t="shared" si="12"/>
        <v>Band5 Charge</v>
      </c>
      <c r="DW5" s="1688" t="str">
        <f t="shared" si="12"/>
        <v>Connection Unit Charge</v>
      </c>
      <c r="DX5" s="1688" t="str">
        <f t="shared" si="12"/>
        <v>Capacity Charge</v>
      </c>
      <c r="DY5" s="1688" t="str">
        <f t="shared" si="12"/>
        <v>Non Summer Capacity Charge</v>
      </c>
      <c r="DZ5" s="1688" t="str">
        <f t="shared" ref="DZ5:EA5" si="13">U5</f>
        <v>Minimum Capacity Charge</v>
      </c>
      <c r="EA5" s="1688" t="str">
        <f t="shared" si="13"/>
        <v>Remaining Capacity Charge</v>
      </c>
      <c r="EB5" s="1688" t="str">
        <f t="shared" ref="EB5:ET5" si="14">W5</f>
        <v>Demand Charge kVA</v>
      </c>
      <c r="EC5" s="1688" t="str">
        <f t="shared" si="14"/>
        <v>Peak Demand Charge kVA</v>
      </c>
      <c r="ED5" s="1688" t="str">
        <f t="shared" si="14"/>
        <v>Excess Demand Charge</v>
      </c>
      <c r="EE5" s="1688" t="str">
        <f t="shared" si="14"/>
        <v>Summer Demand Charge kVA</v>
      </c>
      <c r="EF5" s="1688" t="str">
        <f t="shared" si="14"/>
        <v>Demand Charge kW</v>
      </c>
      <c r="EG5" s="1688" t="str">
        <f t="shared" si="14"/>
        <v>Peak Demand Charge kW</v>
      </c>
      <c r="EH5" s="1688" t="str">
        <f t="shared" si="14"/>
        <v>Off Peak Demand Charge kW</v>
      </c>
      <c r="EI5" s="1688" t="str">
        <f t="shared" si="14"/>
        <v>Non Summer Demand Charge kW</v>
      </c>
      <c r="EJ5" s="1688" t="str">
        <f t="shared" si="14"/>
        <v>Summer Demand Charge kW</v>
      </c>
      <c r="EK5" s="1688" t="str">
        <f t="shared" si="14"/>
        <v xml:space="preserve"> Location
</v>
      </c>
      <c r="EL5" s="1688" t="str">
        <f t="shared" si="14"/>
        <v>General Charge</v>
      </c>
      <c r="EM5" s="1688" t="str">
        <f t="shared" si="14"/>
        <v>Common</v>
      </c>
      <c r="EN5" s="1688" t="str">
        <f t="shared" si="14"/>
        <v>Volume Charge</v>
      </c>
      <c r="EO5" s="1688" t="str">
        <f t="shared" si="14"/>
        <v>Volume Block 1 Charge</v>
      </c>
      <c r="EP5" s="1688" t="str">
        <f t="shared" si="14"/>
        <v>Volume Block 2 Charge</v>
      </c>
      <c r="EQ5" s="1688" t="str">
        <f t="shared" si="14"/>
        <v>Volume Block 3 Charge</v>
      </c>
      <c r="ER5" s="1688" t="str">
        <f t="shared" si="14"/>
        <v>Volume Evening Charge</v>
      </c>
      <c r="ES5" s="1688" t="str">
        <f t="shared" si="14"/>
        <v>Volume Overnight Charge</v>
      </c>
      <c r="ET5" s="1688" t="str">
        <f t="shared" si="14"/>
        <v>Volume Day Charge</v>
      </c>
      <c r="EU5" s="1688" t="str">
        <f t="shared" ref="EU5:EW5" si="15">AP5</f>
        <v>Volume Off Peak Charge</v>
      </c>
      <c r="EV5" s="1688" t="str">
        <f t="shared" si="15"/>
        <v>Volume Peak Charge</v>
      </c>
      <c r="EW5" s="1688" t="str">
        <f t="shared" si="15"/>
        <v>Volume Peak Charge (over 10,000)</v>
      </c>
      <c r="EX5" s="1688" t="str">
        <f>AS5</f>
        <v>Volume Non Summer Charge</v>
      </c>
      <c r="EY5" s="1688" t="str">
        <f>AT5</f>
        <v>Volume Summer No Charge</v>
      </c>
      <c r="EZ5" s="1691" t="s">
        <v>37</v>
      </c>
      <c r="FA5" s="1689"/>
      <c r="FB5" s="1688" t="str">
        <f t="shared" ref="FB5:FJ5" si="16">L5</f>
        <v>Fixed Charge</v>
      </c>
      <c r="FC5" s="1688" t="str">
        <f t="shared" si="16"/>
        <v>Band1 Charge</v>
      </c>
      <c r="FD5" s="1688" t="str">
        <f t="shared" si="16"/>
        <v>Band2 Charge</v>
      </c>
      <c r="FE5" s="1688" t="str">
        <f t="shared" si="16"/>
        <v>Band3 Charge</v>
      </c>
      <c r="FF5" s="1688" t="str">
        <f t="shared" si="16"/>
        <v>Band4 Charge</v>
      </c>
      <c r="FG5" s="1688" t="str">
        <f t="shared" si="16"/>
        <v>Band5 Charge</v>
      </c>
      <c r="FH5" s="1688" t="str">
        <f t="shared" si="16"/>
        <v>Connection Unit Charge</v>
      </c>
      <c r="FI5" s="1688" t="str">
        <f t="shared" si="16"/>
        <v>Capacity Charge</v>
      </c>
      <c r="FJ5" s="1688" t="str">
        <f t="shared" si="16"/>
        <v>Non Summer Capacity Charge</v>
      </c>
      <c r="FK5" s="1688" t="str">
        <f t="shared" ref="FK5:FL5" si="17">U5</f>
        <v>Minimum Capacity Charge</v>
      </c>
      <c r="FL5" s="1688" t="str">
        <f t="shared" si="17"/>
        <v>Remaining Capacity Charge</v>
      </c>
      <c r="FM5" s="1688" t="str">
        <f t="shared" ref="FM5:GE5" si="18">W5</f>
        <v>Demand Charge kVA</v>
      </c>
      <c r="FN5" s="1688" t="str">
        <f t="shared" si="18"/>
        <v>Peak Demand Charge kVA</v>
      </c>
      <c r="FO5" s="1688" t="str">
        <f t="shared" si="18"/>
        <v>Excess Demand Charge</v>
      </c>
      <c r="FP5" s="1688" t="str">
        <f t="shared" si="18"/>
        <v>Summer Demand Charge kVA</v>
      </c>
      <c r="FQ5" s="1688" t="str">
        <f t="shared" si="18"/>
        <v>Demand Charge kW</v>
      </c>
      <c r="FR5" s="1688" t="str">
        <f t="shared" si="18"/>
        <v>Peak Demand Charge kW</v>
      </c>
      <c r="FS5" s="1688" t="str">
        <f t="shared" si="18"/>
        <v>Off Peak Demand Charge kW</v>
      </c>
      <c r="FT5" s="1688" t="str">
        <f t="shared" si="18"/>
        <v>Non Summer Demand Charge kW</v>
      </c>
      <c r="FU5" s="1688" t="str">
        <f t="shared" si="18"/>
        <v>Summer Demand Charge kW</v>
      </c>
      <c r="FV5" s="1688" t="str">
        <f t="shared" si="18"/>
        <v xml:space="preserve"> Location
</v>
      </c>
      <c r="FW5" s="1688" t="str">
        <f t="shared" si="18"/>
        <v>General Charge</v>
      </c>
      <c r="FX5" s="1688" t="str">
        <f t="shared" si="18"/>
        <v>Common</v>
      </c>
      <c r="FY5" s="1688" t="str">
        <f t="shared" si="18"/>
        <v>Volume Charge</v>
      </c>
      <c r="FZ5" s="1688" t="str">
        <f t="shared" si="18"/>
        <v>Volume Block 1 Charge</v>
      </c>
      <c r="GA5" s="1688" t="str">
        <f t="shared" si="18"/>
        <v>Volume Block 2 Charge</v>
      </c>
      <c r="GB5" s="1688" t="str">
        <f t="shared" si="18"/>
        <v>Volume Block 3 Charge</v>
      </c>
      <c r="GC5" s="1688" t="str">
        <f t="shared" si="18"/>
        <v>Volume Evening Charge</v>
      </c>
      <c r="GD5" s="1688" t="str">
        <f t="shared" si="18"/>
        <v>Volume Overnight Charge</v>
      </c>
      <c r="GE5" s="1688" t="str">
        <f t="shared" si="18"/>
        <v>Volume Day Charge</v>
      </c>
      <c r="GF5" s="1688" t="str">
        <f t="shared" ref="GF5:GH5" si="19">AP5</f>
        <v>Volume Off Peak Charge</v>
      </c>
      <c r="GG5" s="1688" t="str">
        <f t="shared" si="19"/>
        <v>Volume Peak Charge</v>
      </c>
      <c r="GH5" s="1688" t="str">
        <f t="shared" si="19"/>
        <v>Volume Peak Charge (over 10,000)</v>
      </c>
      <c r="GI5" s="1688" t="str">
        <f>AS5</f>
        <v>Volume Non Summer Charge</v>
      </c>
      <c r="GJ5" s="1688" t="str">
        <f>AT5</f>
        <v>Volume Summer No Charge</v>
      </c>
      <c r="GK5" s="1171" t="s">
        <v>37</v>
      </c>
    </row>
    <row r="6" spans="1:193" s="1143" customFormat="1" ht="13.95" customHeight="1">
      <c r="B6" s="1152"/>
      <c r="C6" s="1153"/>
      <c r="D6" s="1153"/>
      <c r="E6" s="1153"/>
      <c r="F6" s="1153"/>
      <c r="G6" s="1153"/>
      <c r="H6" s="1153"/>
      <c r="I6" s="1158"/>
      <c r="J6" s="1176"/>
      <c r="K6" s="1176"/>
      <c r="L6" s="1147" t="s">
        <v>753</v>
      </c>
      <c r="M6" s="1159" t="s">
        <v>753</v>
      </c>
      <c r="N6" s="1159" t="s">
        <v>753</v>
      </c>
      <c r="O6" s="1159" t="s">
        <v>753</v>
      </c>
      <c r="P6" s="1159" t="s">
        <v>753</v>
      </c>
      <c r="Q6" s="1159" t="s">
        <v>753</v>
      </c>
      <c r="R6" s="1147" t="s">
        <v>753</v>
      </c>
      <c r="S6" s="1147" t="s">
        <v>753</v>
      </c>
      <c r="T6" s="1147" t="s">
        <v>753</v>
      </c>
      <c r="U6" s="1147" t="s">
        <v>753</v>
      </c>
      <c r="V6" s="1147" t="s">
        <v>753</v>
      </c>
      <c r="W6" s="1147" t="s">
        <v>753</v>
      </c>
      <c r="X6" s="1147" t="s">
        <v>753</v>
      </c>
      <c r="Y6" s="1147" t="s">
        <v>753</v>
      </c>
      <c r="Z6" s="1147" t="s">
        <v>753</v>
      </c>
      <c r="AA6" s="1147" t="s">
        <v>753</v>
      </c>
      <c r="AB6" s="1147" t="s">
        <v>753</v>
      </c>
      <c r="AC6" s="1147" t="s">
        <v>753</v>
      </c>
      <c r="AD6" s="1147" t="s">
        <v>753</v>
      </c>
      <c r="AE6" s="1147" t="s">
        <v>753</v>
      </c>
      <c r="AF6" s="1159" t="s">
        <v>753</v>
      </c>
      <c r="AG6" s="1147" t="s">
        <v>753</v>
      </c>
      <c r="AH6" s="1159" t="s">
        <v>753</v>
      </c>
      <c r="AI6" s="1147" t="s">
        <v>753</v>
      </c>
      <c r="AJ6" s="1147" t="s">
        <v>753</v>
      </c>
      <c r="AK6" s="1147" t="s">
        <v>753</v>
      </c>
      <c r="AL6" s="1147" t="s">
        <v>753</v>
      </c>
      <c r="AM6" s="1160" t="s">
        <v>753</v>
      </c>
      <c r="AN6" s="1160" t="s">
        <v>753</v>
      </c>
      <c r="AO6" s="1160" t="s">
        <v>753</v>
      </c>
      <c r="AP6" s="1147" t="s">
        <v>753</v>
      </c>
      <c r="AQ6" s="1147" t="s">
        <v>753</v>
      </c>
      <c r="AR6" s="1147" t="s">
        <v>753</v>
      </c>
      <c r="AS6" s="1160" t="s">
        <v>753</v>
      </c>
      <c r="AT6" s="1160" t="s">
        <v>753</v>
      </c>
      <c r="AU6" s="1176"/>
      <c r="AV6" s="1176"/>
      <c r="AW6" s="1148" t="s">
        <v>753</v>
      </c>
      <c r="AX6" s="1161" t="s">
        <v>753</v>
      </c>
      <c r="AY6" s="1161" t="s">
        <v>753</v>
      </c>
      <c r="AZ6" s="1161" t="s">
        <v>753</v>
      </c>
      <c r="BA6" s="1161" t="s">
        <v>753</v>
      </c>
      <c r="BB6" s="1161" t="s">
        <v>753</v>
      </c>
      <c r="BC6" s="1162" t="s">
        <v>753</v>
      </c>
      <c r="BD6" s="1148" t="s">
        <v>753</v>
      </c>
      <c r="BE6" s="1148" t="s">
        <v>753</v>
      </c>
      <c r="BF6" s="1148" t="s">
        <v>753</v>
      </c>
      <c r="BG6" s="1148" t="s">
        <v>753</v>
      </c>
      <c r="BH6" s="1148" t="s">
        <v>753</v>
      </c>
      <c r="BI6" s="1148" t="s">
        <v>753</v>
      </c>
      <c r="BJ6" s="1148" t="s">
        <v>753</v>
      </c>
      <c r="BK6" s="1148" t="s">
        <v>753</v>
      </c>
      <c r="BL6" s="1148" t="s">
        <v>753</v>
      </c>
      <c r="BM6" s="1148" t="s">
        <v>753</v>
      </c>
      <c r="BN6" s="1148" t="s">
        <v>753</v>
      </c>
      <c r="BO6" s="1148" t="s">
        <v>753</v>
      </c>
      <c r="BP6" s="1148" t="s">
        <v>753</v>
      </c>
      <c r="BQ6" s="1148" t="s">
        <v>753</v>
      </c>
      <c r="BR6" s="1148" t="s">
        <v>753</v>
      </c>
      <c r="BS6" s="1148" t="s">
        <v>753</v>
      </c>
      <c r="BT6" s="1150" t="s">
        <v>753</v>
      </c>
      <c r="BU6" s="1148" t="s">
        <v>753</v>
      </c>
      <c r="BV6" s="1148" t="s">
        <v>753</v>
      </c>
      <c r="BW6" s="1148" t="s">
        <v>753</v>
      </c>
      <c r="BX6" s="1163" t="s">
        <v>753</v>
      </c>
      <c r="BY6" s="1163" t="s">
        <v>753</v>
      </c>
      <c r="BZ6" s="1163" t="s">
        <v>753</v>
      </c>
      <c r="CA6" s="1148" t="s">
        <v>753</v>
      </c>
      <c r="CB6" s="1148" t="s">
        <v>753</v>
      </c>
      <c r="CC6" s="1148" t="s">
        <v>753</v>
      </c>
      <c r="CD6" s="1163" t="s">
        <v>753</v>
      </c>
      <c r="CE6" s="1163" t="s">
        <v>753</v>
      </c>
      <c r="CF6" s="1176"/>
      <c r="CG6" s="1164" t="s">
        <v>933</v>
      </c>
      <c r="CH6" s="1159" t="s">
        <v>933</v>
      </c>
      <c r="CI6" s="1159" t="s">
        <v>933</v>
      </c>
      <c r="CJ6" s="1159" t="s">
        <v>933</v>
      </c>
      <c r="CK6" s="1159" t="s">
        <v>933</v>
      </c>
      <c r="CL6" s="1165" t="s">
        <v>933</v>
      </c>
      <c r="CM6" s="1147" t="s">
        <v>933</v>
      </c>
      <c r="CN6" s="1147" t="s">
        <v>933</v>
      </c>
      <c r="CO6" s="1160" t="s">
        <v>933</v>
      </c>
      <c r="CP6" s="1147" t="s">
        <v>933</v>
      </c>
      <c r="CQ6" s="1147" t="s">
        <v>933</v>
      </c>
      <c r="CR6" s="1147" t="s">
        <v>933</v>
      </c>
      <c r="CS6" s="1147" t="s">
        <v>933</v>
      </c>
      <c r="CT6" s="1147" t="s">
        <v>933</v>
      </c>
      <c r="CU6" s="1160" t="s">
        <v>933</v>
      </c>
      <c r="CV6" s="1147" t="s">
        <v>933</v>
      </c>
      <c r="CW6" s="1147" t="s">
        <v>933</v>
      </c>
      <c r="CX6" s="1147" t="s">
        <v>933</v>
      </c>
      <c r="CY6" s="1147" t="s">
        <v>933</v>
      </c>
      <c r="CZ6" s="1147" t="s">
        <v>933</v>
      </c>
      <c r="DA6" s="1147" t="s">
        <v>933</v>
      </c>
      <c r="DB6" s="1147" t="s">
        <v>933</v>
      </c>
      <c r="DC6" s="1147" t="s">
        <v>933</v>
      </c>
      <c r="DD6" s="1147" t="s">
        <v>933</v>
      </c>
      <c r="DE6" s="1147" t="s">
        <v>933</v>
      </c>
      <c r="DF6" s="1147" t="s">
        <v>933</v>
      </c>
      <c r="DG6" s="1147" t="s">
        <v>933</v>
      </c>
      <c r="DH6" s="1166" t="s">
        <v>933</v>
      </c>
      <c r="DI6" s="1160" t="s">
        <v>933</v>
      </c>
      <c r="DJ6" s="1160" t="s">
        <v>933</v>
      </c>
      <c r="DK6" s="1147" t="s">
        <v>933</v>
      </c>
      <c r="DL6" s="1147" t="s">
        <v>933</v>
      </c>
      <c r="DM6" s="1147" t="s">
        <v>933</v>
      </c>
      <c r="DN6" s="1160" t="s">
        <v>933</v>
      </c>
      <c r="DO6" s="1160" t="s">
        <v>933</v>
      </c>
      <c r="DP6" s="1176"/>
      <c r="DQ6" s="1178"/>
      <c r="DR6" s="1159"/>
      <c r="DS6" s="1159"/>
      <c r="DT6" s="1159"/>
      <c r="DU6" s="1159"/>
      <c r="DV6" s="1159"/>
      <c r="DW6" s="1167"/>
      <c r="DX6" s="1147"/>
      <c r="DY6" s="1147"/>
      <c r="DZ6" s="1147"/>
      <c r="EA6" s="1147"/>
      <c r="EB6" s="1147"/>
      <c r="EC6" s="1147"/>
      <c r="ED6" s="1147"/>
      <c r="EE6" s="1147"/>
      <c r="EF6" s="1147"/>
      <c r="EG6" s="1147"/>
      <c r="EH6" s="1147"/>
      <c r="EI6" s="1147"/>
      <c r="EJ6" s="1147"/>
      <c r="EK6" s="1147"/>
      <c r="EL6" s="1147"/>
      <c r="EM6" s="1147"/>
      <c r="EN6" s="1168"/>
      <c r="EO6" s="1147"/>
      <c r="EP6" s="1147"/>
      <c r="EQ6" s="1147"/>
      <c r="ER6" s="1160"/>
      <c r="ES6" s="1160"/>
      <c r="ET6" s="1160"/>
      <c r="EU6" s="1160"/>
      <c r="EV6" s="1160"/>
      <c r="EW6" s="1160"/>
      <c r="EX6" s="1160"/>
      <c r="EY6" s="1160"/>
      <c r="EZ6" s="1172"/>
      <c r="FA6" s="1176"/>
      <c r="FB6" s="1147"/>
      <c r="FC6" s="1159"/>
      <c r="FD6" s="1159"/>
      <c r="FE6" s="1159"/>
      <c r="FF6" s="1159"/>
      <c r="FG6" s="1159"/>
      <c r="FH6" s="1167"/>
      <c r="FI6" s="1147"/>
      <c r="FJ6" s="1147"/>
      <c r="FK6" s="1147"/>
      <c r="FL6" s="1147"/>
      <c r="FM6" s="1147"/>
      <c r="FN6" s="1147"/>
      <c r="FO6" s="1147"/>
      <c r="FP6" s="1147"/>
      <c r="FQ6" s="1147"/>
      <c r="FR6" s="1147"/>
      <c r="FS6" s="1147"/>
      <c r="FT6" s="1147"/>
      <c r="FU6" s="1147"/>
      <c r="FV6" s="1147"/>
      <c r="FW6" s="1147"/>
      <c r="FX6" s="1147"/>
      <c r="FY6" s="1168"/>
      <c r="FZ6" s="1147"/>
      <c r="GA6" s="1147"/>
      <c r="GB6" s="1147"/>
      <c r="GC6" s="1160"/>
      <c r="GD6" s="1160"/>
      <c r="GE6" s="1160"/>
      <c r="GF6" s="1160"/>
      <c r="GG6" s="1160"/>
      <c r="GH6" s="1160"/>
      <c r="GI6" s="1160"/>
      <c r="GJ6" s="1160"/>
      <c r="GK6" s="1172"/>
    </row>
    <row r="7" spans="1:193" s="1143" customFormat="1" ht="13.95" customHeight="1">
      <c r="B7" s="1150"/>
      <c r="C7" s="1151"/>
      <c r="D7" s="1151"/>
      <c r="E7" s="1151"/>
      <c r="F7" s="1151"/>
      <c r="G7" s="1151"/>
      <c r="H7" s="1151"/>
      <c r="I7" s="1162"/>
      <c r="J7" s="1176"/>
      <c r="K7" s="1176"/>
      <c r="L7" s="1148" t="s">
        <v>754</v>
      </c>
      <c r="M7" s="1162" t="s">
        <v>754</v>
      </c>
      <c r="N7" s="1162" t="s">
        <v>754</v>
      </c>
      <c r="O7" s="1162" t="s">
        <v>754</v>
      </c>
      <c r="P7" s="1162" t="s">
        <v>754</v>
      </c>
      <c r="Q7" s="1162" t="s">
        <v>754</v>
      </c>
      <c r="R7" s="1148" t="s">
        <v>754</v>
      </c>
      <c r="S7" s="1148" t="s">
        <v>755</v>
      </c>
      <c r="T7" s="1148" t="s">
        <v>755</v>
      </c>
      <c r="U7" s="1148" t="s">
        <v>760</v>
      </c>
      <c r="V7" s="1148" t="s">
        <v>760</v>
      </c>
      <c r="W7" s="1148" t="s">
        <v>755</v>
      </c>
      <c r="X7" s="1148" t="s">
        <v>755</v>
      </c>
      <c r="Y7" s="1148" t="s">
        <v>755</v>
      </c>
      <c r="Z7" s="1148" t="s">
        <v>755</v>
      </c>
      <c r="AA7" s="1148" t="s">
        <v>760</v>
      </c>
      <c r="AB7" s="1148" t="s">
        <v>760</v>
      </c>
      <c r="AC7" s="1148" t="s">
        <v>760</v>
      </c>
      <c r="AD7" s="1148" t="s">
        <v>760</v>
      </c>
      <c r="AE7" s="1148" t="s">
        <v>760</v>
      </c>
      <c r="AF7" s="1161" t="s">
        <v>900</v>
      </c>
      <c r="AG7" s="1148" t="s">
        <v>756</v>
      </c>
      <c r="AH7" s="1161" t="s">
        <v>756</v>
      </c>
      <c r="AI7" s="1148" t="s">
        <v>756</v>
      </c>
      <c r="AJ7" s="1148" t="s">
        <v>756</v>
      </c>
      <c r="AK7" s="1148" t="s">
        <v>756</v>
      </c>
      <c r="AL7" s="1148" t="s">
        <v>756</v>
      </c>
      <c r="AM7" s="1148" t="s">
        <v>756</v>
      </c>
      <c r="AN7" s="1148" t="s">
        <v>756</v>
      </c>
      <c r="AO7" s="1148" t="s">
        <v>756</v>
      </c>
      <c r="AP7" s="1148" t="s">
        <v>760</v>
      </c>
      <c r="AQ7" s="1148" t="s">
        <v>760</v>
      </c>
      <c r="AR7" s="1148" t="s">
        <v>760</v>
      </c>
      <c r="AS7" s="1148" t="s">
        <v>756</v>
      </c>
      <c r="AT7" s="1148" t="s">
        <v>756</v>
      </c>
      <c r="AU7" s="1176"/>
      <c r="AV7" s="1176"/>
      <c r="AW7" s="1148" t="str">
        <f t="shared" ref="AW7:BE7" si="20">L7</f>
        <v>$/customer/day</v>
      </c>
      <c r="AX7" s="1161" t="str">
        <f t="shared" si="20"/>
        <v>$/customer/day</v>
      </c>
      <c r="AY7" s="1161" t="str">
        <f t="shared" si="20"/>
        <v>$/customer/day</v>
      </c>
      <c r="AZ7" s="1161" t="str">
        <f t="shared" si="20"/>
        <v>$/customer/day</v>
      </c>
      <c r="BA7" s="1161" t="str">
        <f t="shared" si="20"/>
        <v>$/customer/day</v>
      </c>
      <c r="BB7" s="1161" t="str">
        <f t="shared" si="20"/>
        <v>$/customer/day</v>
      </c>
      <c r="BC7" s="1162" t="str">
        <f t="shared" si="20"/>
        <v>$/customer/day</v>
      </c>
      <c r="BD7" s="1148" t="str">
        <f t="shared" si="20"/>
        <v>$/kVA/month</v>
      </c>
      <c r="BE7" s="1148" t="str">
        <f t="shared" si="20"/>
        <v>$/kVA/month</v>
      </c>
      <c r="BF7" s="1148" t="str">
        <f t="shared" ref="BF7:BG7" si="21">U7</f>
        <v xml:space="preserve">
$/kW/Mth</v>
      </c>
      <c r="BG7" s="1148" t="str">
        <f t="shared" si="21"/>
        <v xml:space="preserve">
$/kW/Mth</v>
      </c>
      <c r="BH7" s="1148" t="str">
        <f t="shared" ref="BH7:BZ7" si="22">W7</f>
        <v>$/kVA/month</v>
      </c>
      <c r="BI7" s="1148" t="str">
        <f t="shared" si="22"/>
        <v>$/kVA/month</v>
      </c>
      <c r="BJ7" s="1148" t="str">
        <f t="shared" si="22"/>
        <v>$/kVA/month</v>
      </c>
      <c r="BK7" s="1148" t="str">
        <f t="shared" si="22"/>
        <v>$/kVA/month</v>
      </c>
      <c r="BL7" s="1148" t="str">
        <f t="shared" si="22"/>
        <v xml:space="preserve">
$/kW/Mth</v>
      </c>
      <c r="BM7" s="1148" t="str">
        <f t="shared" si="22"/>
        <v xml:space="preserve">
$/kW/Mth</v>
      </c>
      <c r="BN7" s="1148" t="str">
        <f t="shared" si="22"/>
        <v xml:space="preserve">
$/kW/Mth</v>
      </c>
      <c r="BO7" s="1148" t="str">
        <f t="shared" si="22"/>
        <v xml:space="preserve">
$/kW/Mth</v>
      </c>
      <c r="BP7" s="1148" t="str">
        <f t="shared" si="22"/>
        <v xml:space="preserve">
$/kW/Mth</v>
      </c>
      <c r="BQ7" s="1148" t="str">
        <f t="shared" si="22"/>
        <v xml:space="preserve">$/kW/Mth </v>
      </c>
      <c r="BR7" s="1148" t="str">
        <f t="shared" si="22"/>
        <v>$/kWh</v>
      </c>
      <c r="BS7" s="1148" t="str">
        <f t="shared" si="22"/>
        <v>$/kWh</v>
      </c>
      <c r="BT7" s="1150" t="str">
        <f t="shared" si="22"/>
        <v>$/kWh</v>
      </c>
      <c r="BU7" s="1148" t="str">
        <f t="shared" si="22"/>
        <v>$/kWh</v>
      </c>
      <c r="BV7" s="1148" t="str">
        <f t="shared" si="22"/>
        <v>$/kWh</v>
      </c>
      <c r="BW7" s="1148" t="str">
        <f t="shared" si="22"/>
        <v>$/kWh</v>
      </c>
      <c r="BX7" s="1161" t="str">
        <f t="shared" si="22"/>
        <v>$/kWh</v>
      </c>
      <c r="BY7" s="1161" t="str">
        <f t="shared" si="22"/>
        <v>$/kWh</v>
      </c>
      <c r="BZ7" s="1161" t="str">
        <f t="shared" si="22"/>
        <v>$/kWh</v>
      </c>
      <c r="CA7" s="1148" t="str">
        <f t="shared" ref="CA7" si="23">AP7</f>
        <v xml:space="preserve">
$/kW/Mth</v>
      </c>
      <c r="CB7" s="1148" t="str">
        <f t="shared" ref="CB7" si="24">AQ7</f>
        <v xml:space="preserve">
$/kW/Mth</v>
      </c>
      <c r="CC7" s="1148" t="str">
        <f t="shared" ref="CC7" si="25">AR7</f>
        <v xml:space="preserve">
$/kW/Mth</v>
      </c>
      <c r="CD7" s="1161" t="str">
        <f>AS7</f>
        <v>$/kWh</v>
      </c>
      <c r="CE7" s="1161" t="str">
        <f>AT7</f>
        <v>$/kWh</v>
      </c>
      <c r="CF7" s="1176"/>
      <c r="CG7" s="1164" t="s">
        <v>939</v>
      </c>
      <c r="CH7" s="1167" t="s">
        <v>939</v>
      </c>
      <c r="CI7" s="1167" t="s">
        <v>939</v>
      </c>
      <c r="CJ7" s="1167" t="s">
        <v>939</v>
      </c>
      <c r="CK7" s="1167" t="s">
        <v>939</v>
      </c>
      <c r="CL7" s="1167" t="s">
        <v>939</v>
      </c>
      <c r="CM7" s="1162" t="s">
        <v>746</v>
      </c>
      <c r="CN7" s="1148" t="s">
        <v>904</v>
      </c>
      <c r="CO7" s="1161" t="s">
        <v>750</v>
      </c>
      <c r="CP7" s="1148" t="s">
        <v>797</v>
      </c>
      <c r="CQ7" s="1148" t="s">
        <v>797</v>
      </c>
      <c r="CR7" s="1148" t="s">
        <v>904</v>
      </c>
      <c r="CS7" s="1148" t="s">
        <v>904</v>
      </c>
      <c r="CT7" s="1148" t="s">
        <v>904</v>
      </c>
      <c r="CU7" s="1161" t="s">
        <v>750</v>
      </c>
      <c r="CV7" s="1148" t="s">
        <v>797</v>
      </c>
      <c r="CW7" s="1148" t="s">
        <v>797</v>
      </c>
      <c r="CX7" s="1148" t="s">
        <v>797</v>
      </c>
      <c r="CY7" s="1148" t="s">
        <v>797</v>
      </c>
      <c r="CZ7" s="1148" t="s">
        <v>797</v>
      </c>
      <c r="DA7" s="1148" t="s">
        <v>797</v>
      </c>
      <c r="DB7" s="1169" t="s">
        <v>750</v>
      </c>
      <c r="DC7" s="1148"/>
      <c r="DD7" s="1148" t="s">
        <v>750</v>
      </c>
      <c r="DE7" s="1148" t="s">
        <v>750</v>
      </c>
      <c r="DF7" s="1148" t="s">
        <v>750</v>
      </c>
      <c r="DG7" s="1148" t="s">
        <v>750</v>
      </c>
      <c r="DH7" s="1170" t="s">
        <v>750</v>
      </c>
      <c r="DI7" s="1161" t="s">
        <v>750</v>
      </c>
      <c r="DJ7" s="1161" t="s">
        <v>750</v>
      </c>
      <c r="DK7" s="1148" t="s">
        <v>797</v>
      </c>
      <c r="DL7" s="1148" t="s">
        <v>797</v>
      </c>
      <c r="DM7" s="1148" t="s">
        <v>797</v>
      </c>
      <c r="DN7" s="1161" t="s">
        <v>750</v>
      </c>
      <c r="DO7" s="1161" t="s">
        <v>750</v>
      </c>
      <c r="DP7" s="1176"/>
      <c r="DQ7" s="1147" t="s">
        <v>905</v>
      </c>
      <c r="DR7" s="1148" t="s">
        <v>905</v>
      </c>
      <c r="DS7" s="1148" t="s">
        <v>905</v>
      </c>
      <c r="DT7" s="1148" t="s">
        <v>905</v>
      </c>
      <c r="DU7" s="1148" t="s">
        <v>905</v>
      </c>
      <c r="DV7" s="1148" t="s">
        <v>905</v>
      </c>
      <c r="DW7" s="1162" t="s">
        <v>905</v>
      </c>
      <c r="DX7" s="1148" t="s">
        <v>905</v>
      </c>
      <c r="DY7" s="1148" t="s">
        <v>905</v>
      </c>
      <c r="DZ7" s="1148" t="s">
        <v>905</v>
      </c>
      <c r="EA7" s="1148" t="s">
        <v>905</v>
      </c>
      <c r="EB7" s="1148" t="s">
        <v>905</v>
      </c>
      <c r="EC7" s="1148" t="s">
        <v>905</v>
      </c>
      <c r="ED7" s="1148" t="s">
        <v>905</v>
      </c>
      <c r="EE7" s="1148" t="s">
        <v>905</v>
      </c>
      <c r="EF7" s="1148" t="s">
        <v>905</v>
      </c>
      <c r="EG7" s="1148" t="s">
        <v>905</v>
      </c>
      <c r="EH7" s="1148" t="s">
        <v>905</v>
      </c>
      <c r="EI7" s="1148" t="s">
        <v>905</v>
      </c>
      <c r="EJ7" s="1148" t="s">
        <v>905</v>
      </c>
      <c r="EK7" s="1148" t="s">
        <v>905</v>
      </c>
      <c r="EL7" s="1148" t="s">
        <v>905</v>
      </c>
      <c r="EM7" s="1148" t="s">
        <v>905</v>
      </c>
      <c r="EN7" s="1150" t="s">
        <v>905</v>
      </c>
      <c r="EO7" s="1148" t="s">
        <v>905</v>
      </c>
      <c r="EP7" s="1148" t="s">
        <v>905</v>
      </c>
      <c r="EQ7" s="1148" t="s">
        <v>905</v>
      </c>
      <c r="ER7" s="1148" t="s">
        <v>905</v>
      </c>
      <c r="ES7" s="1148" t="s">
        <v>905</v>
      </c>
      <c r="ET7" s="1148" t="s">
        <v>905</v>
      </c>
      <c r="EU7" s="1148" t="s">
        <v>905</v>
      </c>
      <c r="EV7" s="1148" t="s">
        <v>905</v>
      </c>
      <c r="EW7" s="1148" t="s">
        <v>905</v>
      </c>
      <c r="EX7" s="1148" t="s">
        <v>905</v>
      </c>
      <c r="EY7" s="1148" t="s">
        <v>905</v>
      </c>
      <c r="EZ7" s="1173" t="s">
        <v>905</v>
      </c>
      <c r="FA7" s="1176"/>
      <c r="FB7" s="1148" t="str">
        <f>L7</f>
        <v>$/customer/day</v>
      </c>
      <c r="FC7" s="1148" t="s">
        <v>905</v>
      </c>
      <c r="FD7" s="1148" t="s">
        <v>905</v>
      </c>
      <c r="FE7" s="1148" t="s">
        <v>905</v>
      </c>
      <c r="FF7" s="1148" t="s">
        <v>905</v>
      </c>
      <c r="FG7" s="1148" t="s">
        <v>905</v>
      </c>
      <c r="FH7" s="1162" t="str">
        <f>R7</f>
        <v>$/customer/day</v>
      </c>
      <c r="FI7" s="1148" t="str">
        <f>S7</f>
        <v>$/kVA/month</v>
      </c>
      <c r="FJ7" s="1148" t="str">
        <f>T7</f>
        <v>$/kVA/month</v>
      </c>
      <c r="FK7" s="1148" t="str">
        <f t="shared" ref="FK7:FL7" si="26">U7</f>
        <v xml:space="preserve">
$/kW/Mth</v>
      </c>
      <c r="FL7" s="1148" t="str">
        <f t="shared" si="26"/>
        <v xml:space="preserve">
$/kW/Mth</v>
      </c>
      <c r="FM7" s="1148" t="str">
        <f t="shared" ref="FM7:GE7" si="27">W7</f>
        <v>$/kVA/month</v>
      </c>
      <c r="FN7" s="1148" t="str">
        <f t="shared" si="27"/>
        <v>$/kVA/month</v>
      </c>
      <c r="FO7" s="1148" t="str">
        <f t="shared" si="27"/>
        <v>$/kVA/month</v>
      </c>
      <c r="FP7" s="1148" t="str">
        <f t="shared" si="27"/>
        <v>$/kVA/month</v>
      </c>
      <c r="FQ7" s="1148" t="str">
        <f t="shared" si="27"/>
        <v xml:space="preserve">
$/kW/Mth</v>
      </c>
      <c r="FR7" s="1148" t="str">
        <f t="shared" si="27"/>
        <v xml:space="preserve">
$/kW/Mth</v>
      </c>
      <c r="FS7" s="1148" t="str">
        <f t="shared" si="27"/>
        <v xml:space="preserve">
$/kW/Mth</v>
      </c>
      <c r="FT7" s="1148" t="str">
        <f t="shared" si="27"/>
        <v xml:space="preserve">
$/kW/Mth</v>
      </c>
      <c r="FU7" s="1148" t="str">
        <f t="shared" si="27"/>
        <v xml:space="preserve">
$/kW/Mth</v>
      </c>
      <c r="FV7" s="1148" t="str">
        <f t="shared" si="27"/>
        <v xml:space="preserve">$/kW/Mth </v>
      </c>
      <c r="FW7" s="1148" t="str">
        <f t="shared" si="27"/>
        <v>$/kWh</v>
      </c>
      <c r="FX7" s="1148" t="str">
        <f t="shared" si="27"/>
        <v>$/kWh</v>
      </c>
      <c r="FY7" s="1150" t="str">
        <f t="shared" si="27"/>
        <v>$/kWh</v>
      </c>
      <c r="FZ7" s="1148" t="str">
        <f t="shared" si="27"/>
        <v>$/kWh</v>
      </c>
      <c r="GA7" s="1148" t="str">
        <f t="shared" si="27"/>
        <v>$/kWh</v>
      </c>
      <c r="GB7" s="1148" t="str">
        <f t="shared" si="27"/>
        <v>$/kWh</v>
      </c>
      <c r="GC7" s="1148" t="str">
        <f t="shared" si="27"/>
        <v>$/kWh</v>
      </c>
      <c r="GD7" s="1148" t="str">
        <f t="shared" si="27"/>
        <v>$/kWh</v>
      </c>
      <c r="GE7" s="1148" t="str">
        <f t="shared" si="27"/>
        <v>$/kWh</v>
      </c>
      <c r="GF7" s="1148" t="str">
        <f t="shared" ref="GF7:GH7" si="28">AP7</f>
        <v xml:space="preserve">
$/kW/Mth</v>
      </c>
      <c r="GG7" s="1148" t="str">
        <f t="shared" si="28"/>
        <v xml:space="preserve">
$/kW/Mth</v>
      </c>
      <c r="GH7" s="1148" t="str">
        <f t="shared" si="28"/>
        <v xml:space="preserve">
$/kW/Mth</v>
      </c>
      <c r="GI7" s="1148" t="str">
        <f>AS7</f>
        <v>$/kWh</v>
      </c>
      <c r="GJ7" s="1148" t="str">
        <f>AT7</f>
        <v>$/kWh</v>
      </c>
      <c r="GK7" s="1173"/>
    </row>
    <row r="8" spans="1:193">
      <c r="A8" s="1003"/>
      <c r="B8" s="1204"/>
      <c r="C8" s="1204" t="s">
        <v>1907</v>
      </c>
      <c r="D8" s="1204" t="s">
        <v>1907</v>
      </c>
      <c r="E8" s="1204" t="s">
        <v>743</v>
      </c>
      <c r="F8" s="1204" t="s">
        <v>743</v>
      </c>
      <c r="G8" s="1204" t="s">
        <v>789</v>
      </c>
      <c r="H8" s="1603" t="s">
        <v>1605</v>
      </c>
      <c r="I8" s="1204" t="s">
        <v>744</v>
      </c>
      <c r="J8" s="1177"/>
      <c r="K8" s="1177"/>
      <c r="L8" s="1233" t="s">
        <v>1907</v>
      </c>
      <c r="M8" s="1004"/>
      <c r="N8" s="1004"/>
      <c r="O8" s="1004"/>
      <c r="P8" s="1004"/>
      <c r="Q8" s="1004"/>
      <c r="R8" s="1004"/>
      <c r="S8" s="1233" t="s">
        <v>1907</v>
      </c>
      <c r="T8" s="1004"/>
      <c r="U8" s="1004"/>
      <c r="V8" s="1004"/>
      <c r="W8" s="1233" t="s">
        <v>1907</v>
      </c>
      <c r="X8" s="1004"/>
      <c r="Y8" s="1004"/>
      <c r="Z8" s="1004"/>
      <c r="AA8" s="1004"/>
      <c r="AB8" s="1004"/>
      <c r="AC8" s="1004"/>
      <c r="AD8" s="1004"/>
      <c r="AE8" s="1004"/>
      <c r="AF8" s="1004"/>
      <c r="AG8" s="1004"/>
      <c r="AH8" s="1004"/>
      <c r="AI8" s="1233" t="s">
        <v>1907</v>
      </c>
      <c r="AJ8" s="1005"/>
      <c r="AK8" s="1005"/>
      <c r="AL8" s="1005"/>
      <c r="AM8" s="1005"/>
      <c r="AN8" s="1005"/>
      <c r="AO8" s="1005"/>
      <c r="AP8" s="1004"/>
      <c r="AQ8" s="1004"/>
      <c r="AR8" s="1004"/>
      <c r="AS8" s="1005"/>
      <c r="AT8" s="1005"/>
      <c r="AU8" s="1177"/>
      <c r="AV8" s="1177"/>
      <c r="AW8" s="1182" t="s">
        <v>1907</v>
      </c>
      <c r="AX8" s="1011"/>
      <c r="AY8" s="1011"/>
      <c r="AZ8" s="1011"/>
      <c r="BA8" s="1011"/>
      <c r="BB8" s="1011"/>
      <c r="BC8" s="1182" t="s">
        <v>1907</v>
      </c>
      <c r="BD8" s="1182" t="s">
        <v>1907</v>
      </c>
      <c r="BE8" s="1004"/>
      <c r="BF8" s="1004"/>
      <c r="BG8" s="1004"/>
      <c r="BH8" s="1182" t="s">
        <v>1907</v>
      </c>
      <c r="BI8" s="1004"/>
      <c r="BJ8" s="1004"/>
      <c r="BK8" s="1004"/>
      <c r="BL8" s="1004"/>
      <c r="BM8" s="1004"/>
      <c r="BN8" s="1004"/>
      <c r="BO8" s="1004"/>
      <c r="BP8" s="1004"/>
      <c r="BQ8" s="1004"/>
      <c r="BR8" s="1005"/>
      <c r="BS8" s="1005"/>
      <c r="BT8" s="1182" t="s">
        <v>1907</v>
      </c>
      <c r="BU8" s="1005"/>
      <c r="BV8" s="1005"/>
      <c r="BW8" s="1005"/>
      <c r="BX8" s="1016"/>
      <c r="BY8" s="1016"/>
      <c r="BZ8" s="1016"/>
      <c r="CA8" s="1004"/>
      <c r="CB8" s="1004"/>
      <c r="CC8" s="1004"/>
      <c r="CD8" s="1016"/>
      <c r="CE8" s="1016"/>
      <c r="CF8" s="1177"/>
      <c r="CG8" s="1299"/>
      <c r="CH8" s="1006"/>
      <c r="CI8" s="1006"/>
      <c r="CJ8" s="1006"/>
      <c r="CK8" s="1006"/>
      <c r="CL8" s="1006"/>
      <c r="CM8" s="1007"/>
      <c r="CN8" s="1197"/>
      <c r="CO8" s="1010"/>
      <c r="CP8" s="1007"/>
      <c r="CQ8" s="1007"/>
      <c r="CR8" s="1197"/>
      <c r="CS8" s="1007"/>
      <c r="CT8" s="1007"/>
      <c r="CU8" s="1010"/>
      <c r="CV8" s="1007"/>
      <c r="CW8" s="1007"/>
      <c r="CX8" s="1007"/>
      <c r="CY8" s="1007"/>
      <c r="CZ8" s="1007"/>
      <c r="DA8" s="1007"/>
      <c r="DB8" s="1007"/>
      <c r="DC8" s="1007"/>
      <c r="DD8" s="1197"/>
      <c r="DE8" s="1008"/>
      <c r="DF8" s="1008"/>
      <c r="DG8" s="1008"/>
      <c r="DH8" s="1009"/>
      <c r="DI8" s="1010"/>
      <c r="DJ8" s="1010"/>
      <c r="DK8" s="1007"/>
      <c r="DL8" s="1007"/>
      <c r="DM8" s="1007"/>
      <c r="DN8" s="1010"/>
      <c r="DO8" s="1010"/>
      <c r="DP8" s="1177"/>
      <c r="DQ8" s="1199">
        <v>23336922.961473163</v>
      </c>
      <c r="DR8" s="1199">
        <v>0</v>
      </c>
      <c r="DS8" s="1199">
        <v>0</v>
      </c>
      <c r="DT8" s="1199">
        <v>0</v>
      </c>
      <c r="DU8" s="1199">
        <v>0</v>
      </c>
      <c r="DV8" s="1199">
        <v>0</v>
      </c>
      <c r="DW8" s="1199">
        <v>0</v>
      </c>
      <c r="DX8" s="1199">
        <v>11720040.002492268</v>
      </c>
      <c r="DY8" s="1199">
        <v>0</v>
      </c>
      <c r="DZ8" s="1199">
        <v>0</v>
      </c>
      <c r="EA8" s="1199">
        <v>0</v>
      </c>
      <c r="EB8" s="1199">
        <v>5001308.8086180482</v>
      </c>
      <c r="EC8" s="1199">
        <v>0</v>
      </c>
      <c r="ED8" s="1199">
        <v>0</v>
      </c>
      <c r="EE8" s="1199">
        <v>0</v>
      </c>
      <c r="EF8" s="1199">
        <v>0</v>
      </c>
      <c r="EG8" s="1199">
        <v>0</v>
      </c>
      <c r="EH8" s="1199">
        <v>0</v>
      </c>
      <c r="EI8" s="1199">
        <v>0</v>
      </c>
      <c r="EJ8" s="1199">
        <v>0</v>
      </c>
      <c r="EK8" s="1199">
        <v>0</v>
      </c>
      <c r="EL8" s="1199">
        <v>0</v>
      </c>
      <c r="EM8" s="1199">
        <v>0</v>
      </c>
      <c r="EN8" s="1199">
        <v>10728818.928376688</v>
      </c>
      <c r="EO8" s="1199">
        <v>0</v>
      </c>
      <c r="EP8" s="1199">
        <v>0</v>
      </c>
      <c r="EQ8" s="1199">
        <v>0</v>
      </c>
      <c r="ER8" s="1199">
        <v>0</v>
      </c>
      <c r="ES8" s="1199">
        <v>0</v>
      </c>
      <c r="ET8" s="1199">
        <v>0</v>
      </c>
      <c r="EU8" s="1199">
        <v>0</v>
      </c>
      <c r="EV8" s="1199">
        <v>0</v>
      </c>
      <c r="EW8" s="1199">
        <v>0</v>
      </c>
      <c r="EX8" s="1199">
        <v>0</v>
      </c>
      <c r="EY8" s="1199">
        <v>0</v>
      </c>
      <c r="EZ8" s="1175">
        <v>50787090.714867875</v>
      </c>
      <c r="FA8" s="1177"/>
      <c r="FB8" s="1202">
        <v>23447029.536204111</v>
      </c>
      <c r="FC8" s="1202">
        <v>0</v>
      </c>
      <c r="FD8" s="1202">
        <v>0</v>
      </c>
      <c r="FE8" s="1202">
        <v>0</v>
      </c>
      <c r="FF8" s="1202">
        <v>0</v>
      </c>
      <c r="FG8" s="1202">
        <v>0</v>
      </c>
      <c r="FH8" s="1202">
        <v>0</v>
      </c>
      <c r="FI8" s="1202">
        <v>13592687.180097101</v>
      </c>
      <c r="FJ8" s="1202">
        <v>0</v>
      </c>
      <c r="FK8" s="1202">
        <v>0</v>
      </c>
      <c r="FL8" s="1202">
        <v>0</v>
      </c>
      <c r="FM8" s="1202">
        <v>6696657.8953617755</v>
      </c>
      <c r="FN8" s="1202">
        <v>0</v>
      </c>
      <c r="FO8" s="1202">
        <v>0</v>
      </c>
      <c r="FP8" s="1202">
        <v>0</v>
      </c>
      <c r="FQ8" s="1202">
        <v>0</v>
      </c>
      <c r="FR8" s="1202">
        <v>0</v>
      </c>
      <c r="FS8" s="1202">
        <v>0</v>
      </c>
      <c r="FT8" s="1202">
        <v>0</v>
      </c>
      <c r="FU8" s="1202">
        <v>0</v>
      </c>
      <c r="FV8" s="1202">
        <v>0</v>
      </c>
      <c r="FW8" s="1202">
        <v>0</v>
      </c>
      <c r="FX8" s="1202">
        <v>0</v>
      </c>
      <c r="FY8" s="1202">
        <v>10019946.294523781</v>
      </c>
      <c r="FZ8" s="1202">
        <v>0</v>
      </c>
      <c r="GA8" s="1202">
        <v>0</v>
      </c>
      <c r="GB8" s="1202">
        <v>0</v>
      </c>
      <c r="GC8" s="1202">
        <v>0</v>
      </c>
      <c r="GD8" s="1202">
        <v>0</v>
      </c>
      <c r="GE8" s="1202">
        <v>0</v>
      </c>
      <c r="GF8" s="1202">
        <v>0</v>
      </c>
      <c r="GG8" s="1202">
        <v>0</v>
      </c>
      <c r="GH8" s="1202">
        <v>0</v>
      </c>
      <c r="GI8" s="1202">
        <v>0</v>
      </c>
      <c r="GJ8" s="1202">
        <v>0</v>
      </c>
      <c r="GK8" s="1174">
        <v>53756320.906186804</v>
      </c>
    </row>
    <row r="9" spans="1:193" ht="6" customHeight="1">
      <c r="A9" s="1184"/>
      <c r="B9" s="1184"/>
      <c r="C9" s="1184"/>
      <c r="D9" s="1184"/>
      <c r="E9" s="1184"/>
      <c r="F9" s="1184"/>
      <c r="G9" s="1184"/>
      <c r="H9" s="1184"/>
      <c r="I9" s="1184"/>
      <c r="J9" s="1177"/>
      <c r="K9" s="1177"/>
      <c r="L9" s="1185"/>
      <c r="M9" s="1185"/>
      <c r="N9" s="1185"/>
      <c r="O9" s="1185"/>
      <c r="P9" s="1185"/>
      <c r="Q9" s="1185"/>
      <c r="R9" s="1185"/>
      <c r="S9" s="1185"/>
      <c r="T9" s="1185"/>
      <c r="U9" s="1185"/>
      <c r="V9" s="1185"/>
      <c r="W9" s="1185"/>
      <c r="X9" s="1185"/>
      <c r="Y9" s="1185"/>
      <c r="Z9" s="1185"/>
      <c r="AA9" s="1185"/>
      <c r="AB9" s="1185"/>
      <c r="AC9" s="1185"/>
      <c r="AD9" s="1185"/>
      <c r="AE9" s="1185"/>
      <c r="AF9" s="1185"/>
      <c r="AG9" s="1185"/>
      <c r="AH9" s="1185"/>
      <c r="AI9" s="1186"/>
      <c r="AJ9" s="1186"/>
      <c r="AK9" s="1186"/>
      <c r="AL9" s="1186"/>
      <c r="AM9" s="1186"/>
      <c r="AN9" s="1186"/>
      <c r="AO9" s="1186"/>
      <c r="AP9" s="1185"/>
      <c r="AQ9" s="1185"/>
      <c r="AR9" s="1185"/>
      <c r="AS9" s="1186"/>
      <c r="AT9" s="1186"/>
      <c r="AU9" s="1184"/>
      <c r="AV9" s="1184"/>
      <c r="AW9" s="1185"/>
      <c r="AX9" s="1185"/>
      <c r="AY9" s="1185"/>
      <c r="AZ9" s="1185"/>
      <c r="BA9" s="1185"/>
      <c r="BB9" s="1185"/>
      <c r="BC9" s="1185"/>
      <c r="BD9" s="1185"/>
      <c r="BE9" s="1185"/>
      <c r="BF9" s="1185"/>
      <c r="BG9" s="1185"/>
      <c r="BH9" s="1185"/>
      <c r="BI9" s="1185"/>
      <c r="BJ9" s="1185"/>
      <c r="BK9" s="1185"/>
      <c r="BL9" s="1185"/>
      <c r="BM9" s="1185"/>
      <c r="BN9" s="1185"/>
      <c r="BO9" s="1185"/>
      <c r="BP9" s="1185"/>
      <c r="BQ9" s="1185"/>
      <c r="BR9" s="1186"/>
      <c r="BS9" s="1186"/>
      <c r="BT9" s="1301"/>
      <c r="BU9" s="1186"/>
      <c r="BV9" s="1186"/>
      <c r="BW9" s="1186"/>
      <c r="BX9" s="1186"/>
      <c r="BY9" s="1186"/>
      <c r="BZ9" s="1186"/>
      <c r="CA9" s="1185"/>
      <c r="CB9" s="1185"/>
      <c r="CC9" s="1185"/>
      <c r="CD9" s="1186"/>
      <c r="CE9" s="1186"/>
      <c r="CF9" s="1184"/>
      <c r="CG9" s="1189"/>
      <c r="CH9" s="1187"/>
      <c r="CI9" s="1187"/>
      <c r="CJ9" s="1187"/>
      <c r="CK9" s="1187"/>
      <c r="CL9" s="1187"/>
      <c r="CM9" s="1187"/>
      <c r="CN9" s="1188"/>
      <c r="CO9" s="1189"/>
      <c r="CP9" s="1187"/>
      <c r="CQ9" s="1187"/>
      <c r="CR9" s="1188"/>
      <c r="CS9" s="1187"/>
      <c r="CT9" s="1187"/>
      <c r="CU9" s="1189"/>
      <c r="CV9" s="1187"/>
      <c r="CW9" s="1187"/>
      <c r="CX9" s="1187"/>
      <c r="CY9" s="1187"/>
      <c r="CZ9" s="1187"/>
      <c r="DA9" s="1187"/>
      <c r="DB9" s="1187"/>
      <c r="DC9" s="1187"/>
      <c r="DD9" s="1189"/>
      <c r="DE9" s="1189"/>
      <c r="DF9" s="1189"/>
      <c r="DG9" s="1189"/>
      <c r="DH9" s="1190"/>
      <c r="DI9" s="1189"/>
      <c r="DJ9" s="1189"/>
      <c r="DK9" s="1187"/>
      <c r="DL9" s="1187"/>
      <c r="DM9" s="1187"/>
      <c r="DN9" s="1189"/>
      <c r="DO9" s="1189"/>
      <c r="DP9" s="1184"/>
      <c r="DQ9" s="1191"/>
      <c r="DR9" s="1191"/>
      <c r="DS9" s="1191"/>
      <c r="DT9" s="1191"/>
      <c r="DU9" s="1191"/>
      <c r="DV9" s="1191"/>
      <c r="DW9" s="1191"/>
      <c r="DX9" s="1191"/>
      <c r="DY9" s="1191"/>
      <c r="DZ9" s="1191"/>
      <c r="EA9" s="1191"/>
      <c r="EB9" s="1192"/>
      <c r="EC9" s="1191"/>
      <c r="ED9" s="1191"/>
      <c r="EE9" s="1191"/>
      <c r="EF9" s="1191"/>
      <c r="EG9" s="1191"/>
      <c r="EH9" s="1191"/>
      <c r="EI9" s="1191"/>
      <c r="EJ9" s="1191"/>
      <c r="EK9" s="1191"/>
      <c r="EL9" s="1191"/>
      <c r="EM9" s="1191"/>
      <c r="EN9" s="1191"/>
      <c r="EO9" s="1191"/>
      <c r="EP9" s="1191"/>
      <c r="EQ9" s="1191"/>
      <c r="ER9" s="1191"/>
      <c r="ES9" s="1191"/>
      <c r="ET9" s="1191"/>
      <c r="EU9" s="1191"/>
      <c r="EV9" s="1191"/>
      <c r="EW9" s="1191"/>
      <c r="EX9" s="1191"/>
      <c r="EY9" s="1191"/>
      <c r="EZ9" s="1193"/>
      <c r="FA9" s="1184"/>
      <c r="FB9" s="1191"/>
      <c r="FC9" s="1191"/>
      <c r="FD9" s="1191"/>
      <c r="FE9" s="1191"/>
      <c r="FF9" s="1191"/>
      <c r="FG9" s="1191"/>
      <c r="FH9" s="1192"/>
      <c r="FI9" s="1192"/>
      <c r="FJ9" s="1192"/>
      <c r="FK9" s="1192"/>
      <c r="FL9" s="1192"/>
      <c r="FM9" s="1191"/>
      <c r="FN9" s="1191"/>
      <c r="FO9" s="1191"/>
      <c r="FP9" s="1191"/>
      <c r="FQ9" s="1191"/>
      <c r="FR9" s="1191"/>
      <c r="FS9" s="1191"/>
      <c r="FT9" s="1191"/>
      <c r="FU9" s="1191"/>
      <c r="FV9" s="1191"/>
      <c r="FW9" s="1191"/>
      <c r="FX9" s="1191"/>
      <c r="FY9" s="1194"/>
      <c r="FZ9" s="1191"/>
      <c r="GA9" s="1191"/>
      <c r="GB9" s="1191"/>
      <c r="GC9" s="1191"/>
      <c r="GD9" s="1191"/>
      <c r="GE9" s="1191"/>
      <c r="GF9" s="1191"/>
      <c r="GG9" s="1191"/>
      <c r="GH9" s="1191"/>
      <c r="GI9" s="1191"/>
      <c r="GJ9" s="1191"/>
      <c r="GK9" s="1193"/>
    </row>
    <row r="10" spans="1:193" s="1015" customFormat="1">
      <c r="A10" s="1003"/>
      <c r="B10" s="1149"/>
      <c r="C10" s="1149" t="s">
        <v>269</v>
      </c>
      <c r="D10" s="1149" t="s">
        <v>269</v>
      </c>
      <c r="E10" s="1149" t="s">
        <v>762</v>
      </c>
      <c r="F10" s="1149" t="s">
        <v>762</v>
      </c>
      <c r="G10" s="1149" t="s">
        <v>789</v>
      </c>
      <c r="H10" s="1149" t="s">
        <v>208</v>
      </c>
      <c r="I10" s="1149" t="s">
        <v>744</v>
      </c>
      <c r="J10" s="1177"/>
      <c r="K10" s="1177"/>
      <c r="L10" s="1233">
        <v>109.746</v>
      </c>
      <c r="M10" s="1019"/>
      <c r="N10" s="1019"/>
      <c r="O10" s="1019"/>
      <c r="P10" s="1019"/>
      <c r="Q10" s="1019"/>
      <c r="R10" s="1233">
        <v>5.5268387722844636</v>
      </c>
      <c r="S10" s="1233">
        <v>2.5656019999999997</v>
      </c>
      <c r="T10" s="1004"/>
      <c r="U10" s="1020"/>
      <c r="V10" s="1020"/>
      <c r="W10" s="1233">
        <v>3.0136537693631666</v>
      </c>
      <c r="X10" s="1020"/>
      <c r="Y10" s="1020"/>
      <c r="Z10" s="1004"/>
      <c r="AA10" s="1020"/>
      <c r="AB10" s="1020"/>
      <c r="AC10" s="1020"/>
      <c r="AD10" s="1020"/>
      <c r="AE10" s="1020"/>
      <c r="AF10" s="1020"/>
      <c r="AG10" s="1020"/>
      <c r="AH10" s="1020"/>
      <c r="AI10" s="1224">
        <v>3.9433916961679593E-3</v>
      </c>
      <c r="AJ10" s="1021"/>
      <c r="AK10" s="1021"/>
      <c r="AL10" s="1021"/>
      <c r="AM10" s="1022"/>
      <c r="AN10" s="1022"/>
      <c r="AO10" s="1021"/>
      <c r="AP10" s="1020"/>
      <c r="AQ10" s="1020"/>
      <c r="AR10" s="1020"/>
      <c r="AS10" s="1021"/>
      <c r="AT10" s="1021"/>
      <c r="AU10" s="1176"/>
      <c r="AV10" s="1176"/>
      <c r="AW10" s="1182">
        <v>109.746</v>
      </c>
      <c r="AX10" s="1023"/>
      <c r="AY10" s="1023"/>
      <c r="AZ10" s="1023"/>
      <c r="BA10" s="1023"/>
      <c r="BB10" s="1023"/>
      <c r="BC10" s="1182">
        <v>5.5673792611015624</v>
      </c>
      <c r="BD10" s="1182">
        <v>2.6264000000000003</v>
      </c>
      <c r="BE10" s="1020"/>
      <c r="BF10" s="1020"/>
      <c r="BG10" s="1020"/>
      <c r="BH10" s="1182">
        <v>2.8655999999999997</v>
      </c>
      <c r="BI10" s="1020"/>
      <c r="BJ10" s="1020"/>
      <c r="BK10" s="1020"/>
      <c r="BL10" s="1020"/>
      <c r="BM10" s="1020"/>
      <c r="BN10" s="1020"/>
      <c r="BO10" s="1020"/>
      <c r="BP10" s="1020"/>
      <c r="BQ10" s="1020"/>
      <c r="BR10" s="1021"/>
      <c r="BS10" s="1022"/>
      <c r="BT10" s="1318">
        <v>3.3699827662586755E-3</v>
      </c>
      <c r="BU10" s="1238"/>
      <c r="BV10" s="1238"/>
      <c r="BW10" s="1238"/>
      <c r="BX10" s="1239"/>
      <c r="BY10" s="1239"/>
      <c r="BZ10" s="1238"/>
      <c r="CA10" s="1020"/>
      <c r="CB10" s="1020"/>
      <c r="CC10" s="1020"/>
      <c r="CD10" s="1238"/>
      <c r="CE10" s="1238"/>
      <c r="CF10" s="1176"/>
      <c r="CG10" s="1236">
        <v>30</v>
      </c>
      <c r="CH10" s="1024"/>
      <c r="CI10" s="1024"/>
      <c r="CJ10" s="1024"/>
      <c r="CK10" s="1024"/>
      <c r="CL10" s="1024"/>
      <c r="CM10" s="1236">
        <v>1093</v>
      </c>
      <c r="CN10" s="1236">
        <v>99550</v>
      </c>
      <c r="CO10" s="1027"/>
      <c r="CP10" s="1026"/>
      <c r="CQ10" s="1026"/>
      <c r="CR10" s="1236">
        <v>770147.65600000008</v>
      </c>
      <c r="CS10" s="1026"/>
      <c r="CT10" s="1024"/>
      <c r="CU10" s="1027"/>
      <c r="CV10" s="1026"/>
      <c r="CW10" s="1024"/>
      <c r="CX10" s="1026"/>
      <c r="CY10" s="1026"/>
      <c r="CZ10" s="1026"/>
      <c r="DA10" s="1026"/>
      <c r="DB10" s="1024"/>
      <c r="DC10" s="1025"/>
      <c r="DD10" s="1236">
        <v>251911000</v>
      </c>
      <c r="DE10" s="1027"/>
      <c r="DF10" s="1027"/>
      <c r="DG10" s="1027"/>
      <c r="DH10" s="1028"/>
      <c r="DI10" s="1027"/>
      <c r="DJ10" s="1027"/>
      <c r="DK10" s="1026"/>
      <c r="DL10" s="1026"/>
      <c r="DM10" s="1026"/>
      <c r="DN10" s="1027"/>
      <c r="DO10" s="1027"/>
      <c r="DP10" s="1176"/>
      <c r="DQ10" s="1779">
        <f t="shared" ref="DQ10:DQ23" si="29">L10*CG10*DQ$107</f>
        <v>1201718.7</v>
      </c>
      <c r="DR10" s="1779">
        <f t="shared" ref="DR10:DR23" si="30">M10*CH10*DR$107</f>
        <v>0</v>
      </c>
      <c r="DS10" s="1779">
        <f t="shared" ref="DS10:DS23" si="31">N10*CI10*DS$107</f>
        <v>0</v>
      </c>
      <c r="DT10" s="1779">
        <f t="shared" ref="DT10:DT23" si="32">O10*CJ10*DT$107</f>
        <v>0</v>
      </c>
      <c r="DU10" s="1779">
        <f t="shared" ref="DU10:DU23" si="33">P10*CK10*DU$107</f>
        <v>0</v>
      </c>
      <c r="DV10" s="1779">
        <f t="shared" ref="DV10:DV23" si="34">Q10*CL10*DV$107</f>
        <v>0</v>
      </c>
      <c r="DW10" s="1779">
        <f t="shared" ref="DW10:DW23" si="35">R10*CM10*DW$107</f>
        <v>2204904.6940090251</v>
      </c>
      <c r="DX10" s="1779">
        <f t="shared" ref="DX10:DX23" si="36">S10*CN10*DX$107</f>
        <v>3064868.1491999999</v>
      </c>
      <c r="DY10" s="1779">
        <f t="shared" ref="DY10:DY23" si="37">T10*CO10*DY$107</f>
        <v>0</v>
      </c>
      <c r="DZ10" s="1779">
        <f t="shared" ref="DZ10:DZ23" si="38">U10*CP10*DZ$107</f>
        <v>0</v>
      </c>
      <c r="EA10" s="1779">
        <f t="shared" ref="EA10:EA23" si="39">V10*CQ10*EA$107</f>
        <v>0</v>
      </c>
      <c r="EB10" s="1779">
        <f t="shared" ref="EB10:EB23" si="40">W10*CR10*EB$107</f>
        <v>2320958.3864706075</v>
      </c>
      <c r="EC10" s="1779">
        <f t="shared" ref="EC10:EC23" si="41">X10*CS10*EC$107</f>
        <v>0</v>
      </c>
      <c r="ED10" s="1779">
        <f t="shared" ref="ED10:ED23" si="42">Y10*CT10*ED$107</f>
        <v>0</v>
      </c>
      <c r="EE10" s="1779">
        <f t="shared" ref="EE10:EE23" si="43">Z10*CU10*EE$107</f>
        <v>0</v>
      </c>
      <c r="EF10" s="1779">
        <f t="shared" ref="EF10:EF23" si="44">AA10*CV10*EF$107</f>
        <v>0</v>
      </c>
      <c r="EG10" s="1779">
        <f t="shared" ref="EG10:EG23" si="45">AB10*CW10*EG$107</f>
        <v>0</v>
      </c>
      <c r="EH10" s="1779">
        <f t="shared" ref="EH10:EH23" si="46">AC10*CX10*EH$107</f>
        <v>0</v>
      </c>
      <c r="EI10" s="1779">
        <f t="shared" ref="EI10:EI23" si="47">AD10*CY10*EI$107</f>
        <v>0</v>
      </c>
      <c r="EJ10" s="1779">
        <f t="shared" ref="EJ10:EJ23" si="48">AE10*CZ10*EJ$107</f>
        <v>0</v>
      </c>
      <c r="EK10" s="1779">
        <f t="shared" ref="EK10:EK23" si="49">AF10*DA10*EK$107</f>
        <v>0</v>
      </c>
      <c r="EL10" s="1779">
        <f t="shared" ref="EL10:EL23" si="50">AG10*DB10*EL$107</f>
        <v>0</v>
      </c>
      <c r="EM10" s="1779">
        <f t="shared" ref="EM10:EM23" si="51">AH10*DC10*EM$107</f>
        <v>0</v>
      </c>
      <c r="EN10" s="1779">
        <f t="shared" ref="EN10:EN23" si="52">AI10*DD10*EN$107</f>
        <v>993383.74557336676</v>
      </c>
      <c r="EO10" s="1779">
        <f t="shared" ref="EO10:EO23" si="53">AJ10*DE10*EO$107</f>
        <v>0</v>
      </c>
      <c r="EP10" s="1779">
        <f t="shared" ref="EP10:EP23" si="54">AK10*DF10*EP$107</f>
        <v>0</v>
      </c>
      <c r="EQ10" s="1779">
        <f t="shared" ref="EQ10:EQ23" si="55">AL10*DG10*EQ$107</f>
        <v>0</v>
      </c>
      <c r="ER10" s="1779">
        <f t="shared" ref="ER10:ER23" si="56">AM10*DH10*ER$107</f>
        <v>0</v>
      </c>
      <c r="ES10" s="1779">
        <f t="shared" ref="ES10:ES23" si="57">AN10*DI10*ES$107</f>
        <v>0</v>
      </c>
      <c r="ET10" s="1779">
        <f t="shared" ref="ET10:ET23" si="58">AO10*DJ10*ET$107</f>
        <v>0</v>
      </c>
      <c r="EU10" s="1779">
        <f t="shared" ref="EU10:EU23" si="59">AP10*DK10*EU$107</f>
        <v>0</v>
      </c>
      <c r="EV10" s="1779">
        <f t="shared" ref="EV10:EV23" si="60">AQ10*DL10*EV$107</f>
        <v>0</v>
      </c>
      <c r="EW10" s="1779">
        <f t="shared" ref="EW10:EW23" si="61">AR10*DM10*EW$107</f>
        <v>0</v>
      </c>
      <c r="EX10" s="1779">
        <f t="shared" ref="EX10:EX23" si="62">AS10*DN10*EX$107</f>
        <v>0</v>
      </c>
      <c r="EY10" s="1779">
        <f t="shared" ref="EY10:EY23" si="63">AT10*DO10*EY$107</f>
        <v>0</v>
      </c>
      <c r="EZ10" s="1175">
        <f t="shared" ref="EZ10:EZ23" si="64">SUM(DQ10:EY10)</f>
        <v>9785833.6752529982</v>
      </c>
      <c r="FA10" s="1177"/>
      <c r="FB10" s="1202">
        <f t="shared" ref="FB10:FB23" si="65">AW10*CG10*FB$107</f>
        <v>1201718.7</v>
      </c>
      <c r="FC10" s="1202">
        <f t="shared" ref="FC10:FC23" si="66">AX10*CH10*FC$107</f>
        <v>0</v>
      </c>
      <c r="FD10" s="1202">
        <f t="shared" ref="FD10:FD23" si="67">AY10*CI10*FD$107</f>
        <v>0</v>
      </c>
      <c r="FE10" s="1202">
        <f t="shared" ref="FE10:FE23" si="68">AZ10*CJ10*FE$107</f>
        <v>0</v>
      </c>
      <c r="FF10" s="1202">
        <f t="shared" ref="FF10:FF23" si="69">BA10*CK10*FF$107</f>
        <v>0</v>
      </c>
      <c r="FG10" s="1202">
        <f t="shared" ref="FG10:FG23" si="70">BB10*CL10*FG$107</f>
        <v>0</v>
      </c>
      <c r="FH10" s="1202">
        <f t="shared" ref="FH10:FH23" si="71">BC10*CM10*FH$107</f>
        <v>2221078.1193201626</v>
      </c>
      <c r="FI10" s="1202">
        <f t="shared" ref="FI10:FI23" si="72">BD10*CN10*FI$107</f>
        <v>3137497.4400000004</v>
      </c>
      <c r="FJ10" s="1202">
        <f t="shared" ref="FJ10:FJ23" si="73">BE10*CO10*FJ$107</f>
        <v>0</v>
      </c>
      <c r="FK10" s="1202">
        <f t="shared" ref="FK10:FK23" si="74">BF10*CP10*FK$107</f>
        <v>0</v>
      </c>
      <c r="FL10" s="1202">
        <f t="shared" ref="FL10:FL23" si="75">BG10*CQ10*FL$107</f>
        <v>0</v>
      </c>
      <c r="FM10" s="1202">
        <f t="shared" ref="FM10:FM23" si="76">BH10*CR10*FM$107</f>
        <v>2206935.1230335999</v>
      </c>
      <c r="FN10" s="1202">
        <f t="shared" ref="FN10:FN23" si="77">BI10*CS10*FN$107</f>
        <v>0</v>
      </c>
      <c r="FO10" s="1202">
        <f t="shared" ref="FO10:FO23" si="78">BJ10*CT10*FO$107</f>
        <v>0</v>
      </c>
      <c r="FP10" s="1202">
        <f t="shared" ref="FP10:FP23" si="79">BK10*CU10*FP$107</f>
        <v>0</v>
      </c>
      <c r="FQ10" s="1202">
        <f t="shared" ref="FQ10:FQ23" si="80">BL10*CV10*FQ$107</f>
        <v>0</v>
      </c>
      <c r="FR10" s="1202">
        <f t="shared" ref="FR10:FR23" si="81">BM10*CW10*FR$107</f>
        <v>0</v>
      </c>
      <c r="FS10" s="1202">
        <f t="shared" ref="FS10:FS23" si="82">BN10*CX10*FS$107</f>
        <v>0</v>
      </c>
      <c r="FT10" s="1202">
        <f t="shared" ref="FT10:FT23" si="83">BO10*CY10*FT$107</f>
        <v>0</v>
      </c>
      <c r="FU10" s="1202">
        <f t="shared" ref="FU10:FU23" si="84">BP10*CZ10*FU$107</f>
        <v>0</v>
      </c>
      <c r="FV10" s="1202">
        <f t="shared" ref="FV10:FV23" si="85">BQ10*DA10*FV$107</f>
        <v>0</v>
      </c>
      <c r="FW10" s="1202">
        <f t="shared" ref="FW10:FW23" si="86">BR10*DB10*FW$107</f>
        <v>0</v>
      </c>
      <c r="FX10" s="1202">
        <f t="shared" ref="FX10:FX23" si="87">BS10*DC10*FX$107</f>
        <v>0</v>
      </c>
      <c r="FY10" s="1202">
        <f t="shared" ref="FY10:FY23" si="88">BT10*DD10*FY$107</f>
        <v>848935.72863098921</v>
      </c>
      <c r="FZ10" s="1202">
        <f t="shared" ref="FZ10:FZ23" si="89">BU10*DE10*FZ$107</f>
        <v>0</v>
      </c>
      <c r="GA10" s="1202">
        <f t="shared" ref="GA10:GA23" si="90">BV10*DF10*GA$107</f>
        <v>0</v>
      </c>
      <c r="GB10" s="1202">
        <f t="shared" ref="GB10:GB23" si="91">BW10*DG10*GB$107</f>
        <v>0</v>
      </c>
      <c r="GC10" s="1202">
        <f t="shared" ref="GC10:GC23" si="92">BX10*DH10*GC$107</f>
        <v>0</v>
      </c>
      <c r="GD10" s="1202">
        <f t="shared" ref="GD10:GD23" si="93">BY10*DI10*GD$107</f>
        <v>0</v>
      </c>
      <c r="GE10" s="1202">
        <f t="shared" ref="GE10:GE23" si="94">BZ10*DJ10*GE$107</f>
        <v>0</v>
      </c>
      <c r="GF10" s="1202">
        <f t="shared" ref="GF10:GF23" si="95">CA10*DK10*GF$107</f>
        <v>0</v>
      </c>
      <c r="GG10" s="1202">
        <f t="shared" ref="GG10:GG23" si="96">CB10*DL10*GG$107</f>
        <v>0</v>
      </c>
      <c r="GH10" s="1202">
        <f t="shared" ref="GH10:GH23" si="97">CC10*DM10*GH$107</f>
        <v>0</v>
      </c>
      <c r="GI10" s="1202">
        <f t="shared" ref="GI10:GI23" si="98">CD10*DN10*GI$107</f>
        <v>0</v>
      </c>
      <c r="GJ10" s="1202">
        <f t="shared" ref="GJ10:GJ23" si="99">CE10*DO10*GJ$107</f>
        <v>0</v>
      </c>
      <c r="GK10" s="1174">
        <f t="shared" ref="GK10:GK23" si="100">SUM(FB10:GJ10)</f>
        <v>9616165.1109847538</v>
      </c>
    </row>
    <row r="11" spans="1:193" s="1015" customFormat="1">
      <c r="A11" s="1003"/>
      <c r="B11" s="1149"/>
      <c r="C11" s="1149" t="s">
        <v>270</v>
      </c>
      <c r="D11" s="1149" t="s">
        <v>270</v>
      </c>
      <c r="E11" s="1149" t="s">
        <v>762</v>
      </c>
      <c r="F11" s="1149" t="s">
        <v>762</v>
      </c>
      <c r="G11" s="1149" t="s">
        <v>789</v>
      </c>
      <c r="H11" s="1149" t="s">
        <v>210</v>
      </c>
      <c r="I11" s="1149" t="s">
        <v>744</v>
      </c>
      <c r="J11" s="1177"/>
      <c r="K11" s="1177"/>
      <c r="L11" s="1233">
        <v>44.44</v>
      </c>
      <c r="M11" s="1019"/>
      <c r="N11" s="1019"/>
      <c r="O11" s="1019"/>
      <c r="P11" s="1019"/>
      <c r="Q11" s="1019"/>
      <c r="R11" s="1233">
        <v>5.5268387722844636</v>
      </c>
      <c r="S11" s="1233">
        <v>3.2827199999999999</v>
      </c>
      <c r="T11" s="1004"/>
      <c r="U11" s="1020"/>
      <c r="V11" s="1020"/>
      <c r="W11" s="1233">
        <v>3.1221876799972401</v>
      </c>
      <c r="X11" s="1020"/>
      <c r="Y11" s="1020"/>
      <c r="Z11" s="1004"/>
      <c r="AA11" s="1020"/>
      <c r="AB11" s="1020"/>
      <c r="AC11" s="1020"/>
      <c r="AD11" s="1020"/>
      <c r="AE11" s="1020"/>
      <c r="AF11" s="1020"/>
      <c r="AG11" s="1020"/>
      <c r="AH11" s="1023"/>
      <c r="AI11" s="1224">
        <v>3.9433916961679593E-3</v>
      </c>
      <c r="AJ11" s="1021"/>
      <c r="AK11" s="1021"/>
      <c r="AL11" s="1021"/>
      <c r="AM11" s="1022"/>
      <c r="AN11" s="1021"/>
      <c r="AO11" s="1021"/>
      <c r="AP11" s="1020"/>
      <c r="AQ11" s="1020"/>
      <c r="AR11" s="1020"/>
      <c r="AS11" s="1021"/>
      <c r="AT11" s="1021"/>
      <c r="AU11" s="1176"/>
      <c r="AV11" s="1176"/>
      <c r="AW11" s="1182">
        <v>44.44</v>
      </c>
      <c r="AX11" s="1023"/>
      <c r="AY11" s="1023"/>
      <c r="AZ11" s="1023"/>
      <c r="BA11" s="1023"/>
      <c r="BB11" s="1023"/>
      <c r="BC11" s="1182">
        <v>5.5673792611015624</v>
      </c>
      <c r="BD11" s="1182">
        <v>3.3600000000000003</v>
      </c>
      <c r="BE11" s="1020"/>
      <c r="BF11" s="1020"/>
      <c r="BG11" s="1020"/>
      <c r="BH11" s="1182">
        <v>2.9688000000000003</v>
      </c>
      <c r="BI11" s="1020"/>
      <c r="BJ11" s="1020"/>
      <c r="BK11" s="1020"/>
      <c r="BL11" s="1020"/>
      <c r="BM11" s="1020"/>
      <c r="BN11" s="1020"/>
      <c r="BO11" s="1020"/>
      <c r="BP11" s="1020"/>
      <c r="BQ11" s="1020"/>
      <c r="BR11" s="1021"/>
      <c r="BS11" s="1022"/>
      <c r="BT11" s="1226">
        <v>3.3699827662586755E-3</v>
      </c>
      <c r="BU11" s="1238"/>
      <c r="BV11" s="1238"/>
      <c r="BW11" s="1238"/>
      <c r="BX11" s="1239"/>
      <c r="BY11" s="1239"/>
      <c r="BZ11" s="1238"/>
      <c r="CA11" s="1020"/>
      <c r="CB11" s="1020"/>
      <c r="CC11" s="1020"/>
      <c r="CD11" s="1238"/>
      <c r="CE11" s="1238"/>
      <c r="CF11" s="1176"/>
      <c r="CG11" s="1236">
        <v>18</v>
      </c>
      <c r="CH11" s="1024"/>
      <c r="CI11" s="1024"/>
      <c r="CJ11" s="1024"/>
      <c r="CK11" s="1024"/>
      <c r="CL11" s="1024"/>
      <c r="CM11" s="1236">
        <v>116</v>
      </c>
      <c r="CN11" s="1236">
        <v>48970</v>
      </c>
      <c r="CO11" s="1027"/>
      <c r="CP11" s="1026"/>
      <c r="CQ11" s="1026"/>
      <c r="CR11" s="1236">
        <v>261185.96499999997</v>
      </c>
      <c r="CS11" s="1026"/>
      <c r="CT11" s="1024"/>
      <c r="CU11" s="1027"/>
      <c r="CV11" s="1026"/>
      <c r="CW11" s="1024"/>
      <c r="CX11" s="1026"/>
      <c r="CY11" s="1026"/>
      <c r="CZ11" s="1026"/>
      <c r="DA11" s="1026"/>
      <c r="DB11" s="1024"/>
      <c r="DC11" s="1025"/>
      <c r="DD11" s="1236">
        <v>97935000</v>
      </c>
      <c r="DE11" s="1027"/>
      <c r="DF11" s="1027"/>
      <c r="DG11" s="1027"/>
      <c r="DH11" s="1028"/>
      <c r="DI11" s="1027"/>
      <c r="DJ11" s="1027"/>
      <c r="DK11" s="1026"/>
      <c r="DL11" s="1026"/>
      <c r="DM11" s="1026"/>
      <c r="DN11" s="1027"/>
      <c r="DO11" s="1027"/>
      <c r="DP11" s="1176"/>
      <c r="DQ11" s="1779">
        <f t="shared" si="29"/>
        <v>291970.8</v>
      </c>
      <c r="DR11" s="1779">
        <f t="shared" si="30"/>
        <v>0</v>
      </c>
      <c r="DS11" s="1779">
        <f t="shared" si="31"/>
        <v>0</v>
      </c>
      <c r="DT11" s="1779">
        <f t="shared" si="32"/>
        <v>0</v>
      </c>
      <c r="DU11" s="1779">
        <f t="shared" si="33"/>
        <v>0</v>
      </c>
      <c r="DV11" s="1779">
        <f t="shared" si="34"/>
        <v>0</v>
      </c>
      <c r="DW11" s="1779">
        <f t="shared" si="35"/>
        <v>234006.35361852418</v>
      </c>
      <c r="DX11" s="1779">
        <f t="shared" si="36"/>
        <v>1929057.5808000001</v>
      </c>
      <c r="DY11" s="1779">
        <f t="shared" si="37"/>
        <v>0</v>
      </c>
      <c r="DZ11" s="1779">
        <f t="shared" si="38"/>
        <v>0</v>
      </c>
      <c r="EA11" s="1779">
        <f t="shared" si="39"/>
        <v>0</v>
      </c>
      <c r="EB11" s="1779">
        <f t="shared" si="40"/>
        <v>815471.60211119021</v>
      </c>
      <c r="EC11" s="1779">
        <f t="shared" si="41"/>
        <v>0</v>
      </c>
      <c r="ED11" s="1779">
        <f t="shared" si="42"/>
        <v>0</v>
      </c>
      <c r="EE11" s="1779">
        <f t="shared" si="43"/>
        <v>0</v>
      </c>
      <c r="EF11" s="1779">
        <f t="shared" si="44"/>
        <v>0</v>
      </c>
      <c r="EG11" s="1779">
        <f t="shared" si="45"/>
        <v>0</v>
      </c>
      <c r="EH11" s="1779">
        <f t="shared" si="46"/>
        <v>0</v>
      </c>
      <c r="EI11" s="1779">
        <f t="shared" si="47"/>
        <v>0</v>
      </c>
      <c r="EJ11" s="1779">
        <f t="shared" si="48"/>
        <v>0</v>
      </c>
      <c r="EK11" s="1779">
        <f t="shared" si="49"/>
        <v>0</v>
      </c>
      <c r="EL11" s="1779">
        <f t="shared" si="50"/>
        <v>0</v>
      </c>
      <c r="EM11" s="1779">
        <f t="shared" si="51"/>
        <v>0</v>
      </c>
      <c r="EN11" s="1779">
        <f t="shared" si="52"/>
        <v>386196.06576420908</v>
      </c>
      <c r="EO11" s="1779">
        <f t="shared" si="53"/>
        <v>0</v>
      </c>
      <c r="EP11" s="1779">
        <f t="shared" si="54"/>
        <v>0</v>
      </c>
      <c r="EQ11" s="1779">
        <f t="shared" si="55"/>
        <v>0</v>
      </c>
      <c r="ER11" s="1779">
        <f t="shared" si="56"/>
        <v>0</v>
      </c>
      <c r="ES11" s="1779">
        <f t="shared" si="57"/>
        <v>0</v>
      </c>
      <c r="ET11" s="1779">
        <f t="shared" si="58"/>
        <v>0</v>
      </c>
      <c r="EU11" s="1779">
        <f t="shared" si="59"/>
        <v>0</v>
      </c>
      <c r="EV11" s="1779">
        <f t="shared" si="60"/>
        <v>0</v>
      </c>
      <c r="EW11" s="1779">
        <f t="shared" si="61"/>
        <v>0</v>
      </c>
      <c r="EX11" s="1779">
        <f t="shared" si="62"/>
        <v>0</v>
      </c>
      <c r="EY11" s="1779">
        <f t="shared" si="63"/>
        <v>0</v>
      </c>
      <c r="EZ11" s="1175">
        <f t="shared" si="64"/>
        <v>3656702.4022939238</v>
      </c>
      <c r="FA11" s="1177"/>
      <c r="FB11" s="1202">
        <f t="shared" si="65"/>
        <v>291970.8</v>
      </c>
      <c r="FC11" s="1202">
        <f t="shared" si="66"/>
        <v>0</v>
      </c>
      <c r="FD11" s="1202">
        <f t="shared" si="67"/>
        <v>0</v>
      </c>
      <c r="FE11" s="1202">
        <f t="shared" si="68"/>
        <v>0</v>
      </c>
      <c r="FF11" s="1202">
        <f t="shared" si="69"/>
        <v>0</v>
      </c>
      <c r="FG11" s="1202">
        <f t="shared" si="70"/>
        <v>0</v>
      </c>
      <c r="FH11" s="1202">
        <f t="shared" si="71"/>
        <v>235722.83791504015</v>
      </c>
      <c r="FI11" s="1202">
        <f t="shared" si="72"/>
        <v>1974470.4000000001</v>
      </c>
      <c r="FJ11" s="1202">
        <f t="shared" si="73"/>
        <v>0</v>
      </c>
      <c r="FK11" s="1202">
        <f t="shared" si="74"/>
        <v>0</v>
      </c>
      <c r="FL11" s="1202">
        <f t="shared" si="75"/>
        <v>0</v>
      </c>
      <c r="FM11" s="1202">
        <f t="shared" si="76"/>
        <v>775408.89289200003</v>
      </c>
      <c r="FN11" s="1202">
        <f t="shared" si="77"/>
        <v>0</v>
      </c>
      <c r="FO11" s="1202">
        <f t="shared" si="78"/>
        <v>0</v>
      </c>
      <c r="FP11" s="1202">
        <f t="shared" si="79"/>
        <v>0</v>
      </c>
      <c r="FQ11" s="1202">
        <f t="shared" si="80"/>
        <v>0</v>
      </c>
      <c r="FR11" s="1202">
        <f t="shared" si="81"/>
        <v>0</v>
      </c>
      <c r="FS11" s="1202">
        <f t="shared" si="82"/>
        <v>0</v>
      </c>
      <c r="FT11" s="1202">
        <f t="shared" si="83"/>
        <v>0</v>
      </c>
      <c r="FU11" s="1202">
        <f t="shared" si="84"/>
        <v>0</v>
      </c>
      <c r="FV11" s="1202">
        <f t="shared" si="85"/>
        <v>0</v>
      </c>
      <c r="FW11" s="1202">
        <f t="shared" si="86"/>
        <v>0</v>
      </c>
      <c r="FX11" s="1202">
        <f t="shared" si="87"/>
        <v>0</v>
      </c>
      <c r="FY11" s="1202">
        <f t="shared" si="88"/>
        <v>330039.26221354341</v>
      </c>
      <c r="FZ11" s="1202">
        <f t="shared" si="89"/>
        <v>0</v>
      </c>
      <c r="GA11" s="1202">
        <f t="shared" si="90"/>
        <v>0</v>
      </c>
      <c r="GB11" s="1202">
        <f t="shared" si="91"/>
        <v>0</v>
      </c>
      <c r="GC11" s="1202">
        <f t="shared" si="92"/>
        <v>0</v>
      </c>
      <c r="GD11" s="1202">
        <f t="shared" si="93"/>
        <v>0</v>
      </c>
      <c r="GE11" s="1202">
        <f t="shared" si="94"/>
        <v>0</v>
      </c>
      <c r="GF11" s="1202">
        <f t="shared" si="95"/>
        <v>0</v>
      </c>
      <c r="GG11" s="1202">
        <f t="shared" si="96"/>
        <v>0</v>
      </c>
      <c r="GH11" s="1202">
        <f t="shared" si="97"/>
        <v>0</v>
      </c>
      <c r="GI11" s="1202">
        <f t="shared" si="98"/>
        <v>0</v>
      </c>
      <c r="GJ11" s="1202">
        <f t="shared" si="99"/>
        <v>0</v>
      </c>
      <c r="GK11" s="1174">
        <f t="shared" si="100"/>
        <v>3607612.1930205836</v>
      </c>
    </row>
    <row r="12" spans="1:193" s="1015" customFormat="1">
      <c r="A12" s="1003"/>
      <c r="B12" s="1149"/>
      <c r="C12" s="1149" t="s">
        <v>271</v>
      </c>
      <c r="D12" s="1149" t="s">
        <v>271</v>
      </c>
      <c r="E12" s="1149" t="s">
        <v>762</v>
      </c>
      <c r="F12" s="1149" t="s">
        <v>762</v>
      </c>
      <c r="G12" s="1149" t="s">
        <v>789</v>
      </c>
      <c r="H12" s="1149" t="s">
        <v>211</v>
      </c>
      <c r="I12" s="1149" t="s">
        <v>744</v>
      </c>
      <c r="J12" s="1177"/>
      <c r="K12" s="1177"/>
      <c r="L12" s="1233">
        <v>33.128</v>
      </c>
      <c r="M12" s="1019"/>
      <c r="N12" s="1019"/>
      <c r="O12" s="1019"/>
      <c r="P12" s="1019"/>
      <c r="Q12" s="1019"/>
      <c r="R12" s="1233">
        <v>5.5268387722844636</v>
      </c>
      <c r="S12" s="1233">
        <v>3.8884599999999998</v>
      </c>
      <c r="T12" s="1004"/>
      <c r="U12" s="1020"/>
      <c r="V12" s="1020"/>
      <c r="W12" s="1233">
        <v>3.7864778313253016</v>
      </c>
      <c r="X12" s="1020"/>
      <c r="Y12" s="1020"/>
      <c r="Z12" s="1004"/>
      <c r="AA12" s="1020"/>
      <c r="AB12" s="1020"/>
      <c r="AC12" s="1020"/>
      <c r="AD12" s="1020"/>
      <c r="AE12" s="1020"/>
      <c r="AF12" s="1020"/>
      <c r="AG12" s="1020"/>
      <c r="AH12" s="1020"/>
      <c r="AI12" s="1224">
        <v>3.9433916961679593E-3</v>
      </c>
      <c r="AJ12" s="1021"/>
      <c r="AK12" s="1021"/>
      <c r="AL12" s="1021"/>
      <c r="AM12" s="1022"/>
      <c r="AN12" s="1021"/>
      <c r="AO12" s="1021"/>
      <c r="AP12" s="1020"/>
      <c r="AQ12" s="1020"/>
      <c r="AR12" s="1020"/>
      <c r="AS12" s="1021"/>
      <c r="AT12" s="1021"/>
      <c r="AU12" s="1176"/>
      <c r="AV12" s="1176"/>
      <c r="AW12" s="1182">
        <v>33.128</v>
      </c>
      <c r="AX12" s="1023"/>
      <c r="AY12" s="1023"/>
      <c r="AZ12" s="1023"/>
      <c r="BA12" s="1023"/>
      <c r="BB12" s="1023"/>
      <c r="BC12" s="1182">
        <v>5.5673792611015624</v>
      </c>
      <c r="BD12" s="1182">
        <v>3.98</v>
      </c>
      <c r="BE12" s="1020"/>
      <c r="BF12" s="1020"/>
      <c r="BG12" s="1020"/>
      <c r="BH12" s="1182">
        <v>3.5987999999999998</v>
      </c>
      <c r="BI12" s="1020"/>
      <c r="BJ12" s="1020"/>
      <c r="BK12" s="1020"/>
      <c r="BL12" s="1020"/>
      <c r="BM12" s="1020"/>
      <c r="BN12" s="1020"/>
      <c r="BO12" s="1020"/>
      <c r="BP12" s="1020"/>
      <c r="BQ12" s="1020"/>
      <c r="BR12" s="1021"/>
      <c r="BS12" s="1022"/>
      <c r="BT12" s="1226">
        <v>3.3699827662586755E-3</v>
      </c>
      <c r="BU12" s="1238"/>
      <c r="BV12" s="1238"/>
      <c r="BW12" s="1238"/>
      <c r="BX12" s="1239"/>
      <c r="BY12" s="1239"/>
      <c r="BZ12" s="1238"/>
      <c r="CA12" s="1020"/>
      <c r="CB12" s="1020"/>
      <c r="CC12" s="1020"/>
      <c r="CD12" s="1238"/>
      <c r="CE12" s="1238"/>
      <c r="CF12" s="1176"/>
      <c r="CG12" s="1236">
        <v>26</v>
      </c>
      <c r="CH12" s="1024"/>
      <c r="CI12" s="1024"/>
      <c r="CJ12" s="1024"/>
      <c r="CK12" s="1024"/>
      <c r="CL12" s="1024"/>
      <c r="CM12" s="1236">
        <v>255</v>
      </c>
      <c r="CN12" s="1236">
        <v>87657</v>
      </c>
      <c r="CO12" s="1027"/>
      <c r="CP12" s="1026"/>
      <c r="CQ12" s="1026"/>
      <c r="CR12" s="1236">
        <v>750670.57199999993</v>
      </c>
      <c r="CS12" s="1026"/>
      <c r="CT12" s="1024"/>
      <c r="CU12" s="1027"/>
      <c r="CV12" s="1026"/>
      <c r="CW12" s="1024"/>
      <c r="CX12" s="1026"/>
      <c r="CY12" s="1026"/>
      <c r="CZ12" s="1026"/>
      <c r="DA12" s="1026"/>
      <c r="DB12" s="1024"/>
      <c r="DC12" s="1025"/>
      <c r="DD12" s="1236">
        <v>301008000</v>
      </c>
      <c r="DE12" s="1027"/>
      <c r="DF12" s="1027"/>
      <c r="DG12" s="1027"/>
      <c r="DH12" s="1028"/>
      <c r="DI12" s="1027"/>
      <c r="DJ12" s="1027"/>
      <c r="DK12" s="1026"/>
      <c r="DL12" s="1026"/>
      <c r="DM12" s="1026"/>
      <c r="DN12" s="1027"/>
      <c r="DO12" s="1027"/>
      <c r="DP12" s="1176"/>
      <c r="DQ12" s="1779">
        <f t="shared" si="29"/>
        <v>314384.71999999997</v>
      </c>
      <c r="DR12" s="1779">
        <f t="shared" si="30"/>
        <v>0</v>
      </c>
      <c r="DS12" s="1779">
        <f t="shared" si="31"/>
        <v>0</v>
      </c>
      <c r="DT12" s="1779">
        <f t="shared" si="32"/>
        <v>0</v>
      </c>
      <c r="DU12" s="1779">
        <f t="shared" si="33"/>
        <v>0</v>
      </c>
      <c r="DV12" s="1779">
        <f t="shared" si="34"/>
        <v>0</v>
      </c>
      <c r="DW12" s="1779">
        <f t="shared" si="35"/>
        <v>514410.51873037644</v>
      </c>
      <c r="DX12" s="1779">
        <f t="shared" si="36"/>
        <v>4090208.8586400002</v>
      </c>
      <c r="DY12" s="1779">
        <f t="shared" si="37"/>
        <v>0</v>
      </c>
      <c r="DZ12" s="1779">
        <f t="shared" si="38"/>
        <v>0</v>
      </c>
      <c r="EA12" s="1779">
        <f t="shared" si="39"/>
        <v>0</v>
      </c>
      <c r="EB12" s="1779">
        <f t="shared" si="40"/>
        <v>2842397.4795062835</v>
      </c>
      <c r="EC12" s="1779">
        <f t="shared" si="41"/>
        <v>0</v>
      </c>
      <c r="ED12" s="1779">
        <f t="shared" si="42"/>
        <v>0</v>
      </c>
      <c r="EE12" s="1779">
        <f t="shared" si="43"/>
        <v>0</v>
      </c>
      <c r="EF12" s="1779">
        <f t="shared" si="44"/>
        <v>0</v>
      </c>
      <c r="EG12" s="1779">
        <f t="shared" si="45"/>
        <v>0</v>
      </c>
      <c r="EH12" s="1779">
        <f t="shared" si="46"/>
        <v>0</v>
      </c>
      <c r="EI12" s="1779">
        <f t="shared" si="47"/>
        <v>0</v>
      </c>
      <c r="EJ12" s="1779">
        <f t="shared" si="48"/>
        <v>0</v>
      </c>
      <c r="EK12" s="1779">
        <f t="shared" si="49"/>
        <v>0</v>
      </c>
      <c r="EL12" s="1779">
        <f t="shared" si="50"/>
        <v>0</v>
      </c>
      <c r="EM12" s="1779">
        <f t="shared" si="51"/>
        <v>0</v>
      </c>
      <c r="EN12" s="1779">
        <f t="shared" si="52"/>
        <v>1186992.447680125</v>
      </c>
      <c r="EO12" s="1779">
        <f t="shared" si="53"/>
        <v>0</v>
      </c>
      <c r="EP12" s="1779">
        <f t="shared" si="54"/>
        <v>0</v>
      </c>
      <c r="EQ12" s="1779">
        <f t="shared" si="55"/>
        <v>0</v>
      </c>
      <c r="ER12" s="1779">
        <f t="shared" si="56"/>
        <v>0</v>
      </c>
      <c r="ES12" s="1779">
        <f t="shared" si="57"/>
        <v>0</v>
      </c>
      <c r="ET12" s="1779">
        <f t="shared" si="58"/>
        <v>0</v>
      </c>
      <c r="EU12" s="1779">
        <f t="shared" si="59"/>
        <v>0</v>
      </c>
      <c r="EV12" s="1779">
        <f t="shared" si="60"/>
        <v>0</v>
      </c>
      <c r="EW12" s="1779">
        <f t="shared" si="61"/>
        <v>0</v>
      </c>
      <c r="EX12" s="1779">
        <f t="shared" si="62"/>
        <v>0</v>
      </c>
      <c r="EY12" s="1779">
        <f t="shared" si="63"/>
        <v>0</v>
      </c>
      <c r="EZ12" s="1175">
        <f t="shared" si="64"/>
        <v>8948394.0245567858</v>
      </c>
      <c r="FA12" s="1177"/>
      <c r="FB12" s="1202">
        <f t="shared" si="65"/>
        <v>314384.71999999997</v>
      </c>
      <c r="FC12" s="1202">
        <f t="shared" si="66"/>
        <v>0</v>
      </c>
      <c r="FD12" s="1202">
        <f t="shared" si="67"/>
        <v>0</v>
      </c>
      <c r="FE12" s="1202">
        <f t="shared" si="68"/>
        <v>0</v>
      </c>
      <c r="FF12" s="1202">
        <f t="shared" si="69"/>
        <v>0</v>
      </c>
      <c r="FG12" s="1202">
        <f t="shared" si="70"/>
        <v>0</v>
      </c>
      <c r="FH12" s="1202">
        <f t="shared" si="71"/>
        <v>518183.82472702797</v>
      </c>
      <c r="FI12" s="1202">
        <f t="shared" si="72"/>
        <v>4186498.32</v>
      </c>
      <c r="FJ12" s="1202">
        <f t="shared" si="73"/>
        <v>0</v>
      </c>
      <c r="FK12" s="1202">
        <f t="shared" si="74"/>
        <v>0</v>
      </c>
      <c r="FL12" s="1202">
        <f t="shared" si="75"/>
        <v>0</v>
      </c>
      <c r="FM12" s="1202">
        <f t="shared" si="76"/>
        <v>2701513.2545135994</v>
      </c>
      <c r="FN12" s="1202">
        <f t="shared" si="77"/>
        <v>0</v>
      </c>
      <c r="FO12" s="1202">
        <f t="shared" si="78"/>
        <v>0</v>
      </c>
      <c r="FP12" s="1202">
        <f t="shared" si="79"/>
        <v>0</v>
      </c>
      <c r="FQ12" s="1202">
        <f t="shared" si="80"/>
        <v>0</v>
      </c>
      <c r="FR12" s="1202">
        <f t="shared" si="81"/>
        <v>0</v>
      </c>
      <c r="FS12" s="1202">
        <f t="shared" si="82"/>
        <v>0</v>
      </c>
      <c r="FT12" s="1202">
        <f t="shared" si="83"/>
        <v>0</v>
      </c>
      <c r="FU12" s="1202">
        <f t="shared" si="84"/>
        <v>0</v>
      </c>
      <c r="FV12" s="1202">
        <f t="shared" si="85"/>
        <v>0</v>
      </c>
      <c r="FW12" s="1202">
        <f t="shared" si="86"/>
        <v>0</v>
      </c>
      <c r="FX12" s="1202">
        <f t="shared" si="87"/>
        <v>0</v>
      </c>
      <c r="FY12" s="1202">
        <f t="shared" si="88"/>
        <v>1014391.7725059914</v>
      </c>
      <c r="FZ12" s="1202">
        <f t="shared" si="89"/>
        <v>0</v>
      </c>
      <c r="GA12" s="1202">
        <f t="shared" si="90"/>
        <v>0</v>
      </c>
      <c r="GB12" s="1202">
        <f t="shared" si="91"/>
        <v>0</v>
      </c>
      <c r="GC12" s="1202">
        <f t="shared" si="92"/>
        <v>0</v>
      </c>
      <c r="GD12" s="1202">
        <f t="shared" si="93"/>
        <v>0</v>
      </c>
      <c r="GE12" s="1202">
        <f t="shared" si="94"/>
        <v>0</v>
      </c>
      <c r="GF12" s="1202">
        <f t="shared" si="95"/>
        <v>0</v>
      </c>
      <c r="GG12" s="1202">
        <f t="shared" si="96"/>
        <v>0</v>
      </c>
      <c r="GH12" s="1202">
        <f t="shared" si="97"/>
        <v>0</v>
      </c>
      <c r="GI12" s="1202">
        <f t="shared" si="98"/>
        <v>0</v>
      </c>
      <c r="GJ12" s="1202">
        <f t="shared" si="99"/>
        <v>0</v>
      </c>
      <c r="GK12" s="1174">
        <f t="shared" si="100"/>
        <v>8734971.8917466179</v>
      </c>
    </row>
    <row r="13" spans="1:193" s="1015" customFormat="1">
      <c r="A13" s="1003"/>
      <c r="B13" s="1149"/>
      <c r="C13" s="1149" t="s">
        <v>272</v>
      </c>
      <c r="D13" s="1149" t="s">
        <v>272</v>
      </c>
      <c r="E13" s="1149" t="s">
        <v>762</v>
      </c>
      <c r="F13" s="1149" t="s">
        <v>762</v>
      </c>
      <c r="G13" s="1149" t="s">
        <v>789</v>
      </c>
      <c r="H13" s="1149" t="s">
        <v>212</v>
      </c>
      <c r="I13" s="1149" t="s">
        <v>744</v>
      </c>
      <c r="J13" s="1177"/>
      <c r="K13" s="1177"/>
      <c r="L13" s="1233">
        <v>26.664000000000001</v>
      </c>
      <c r="M13" s="1019"/>
      <c r="N13" s="1019"/>
      <c r="O13" s="1019"/>
      <c r="P13" s="1019"/>
      <c r="Q13" s="1019"/>
      <c r="R13" s="1233">
        <v>5.5268387722844636</v>
      </c>
      <c r="S13" s="1233">
        <v>8.1677199999999992</v>
      </c>
      <c r="T13" s="1004"/>
      <c r="U13" s="1020"/>
      <c r="V13" s="1020"/>
      <c r="W13" s="1233">
        <v>7.6356870980490728</v>
      </c>
      <c r="X13" s="1020"/>
      <c r="Y13" s="1020"/>
      <c r="Z13" s="1004"/>
      <c r="AA13" s="1020"/>
      <c r="AB13" s="1020"/>
      <c r="AC13" s="1020"/>
      <c r="AD13" s="1020"/>
      <c r="AE13" s="1020"/>
      <c r="AF13" s="1020"/>
      <c r="AG13" s="1020"/>
      <c r="AH13" s="1020"/>
      <c r="AI13" s="1224">
        <v>3.9433916961679593E-3</v>
      </c>
      <c r="AJ13" s="1021"/>
      <c r="AK13" s="1021"/>
      <c r="AL13" s="1021"/>
      <c r="AM13" s="1022"/>
      <c r="AN13" s="1021"/>
      <c r="AO13" s="1021"/>
      <c r="AP13" s="1020"/>
      <c r="AQ13" s="1020"/>
      <c r="AR13" s="1020"/>
      <c r="AS13" s="1021"/>
      <c r="AT13" s="1021"/>
      <c r="AU13" s="1176"/>
      <c r="AV13" s="1176"/>
      <c r="AW13" s="1182">
        <v>26.664000000000001</v>
      </c>
      <c r="AX13" s="1023"/>
      <c r="AY13" s="1023"/>
      <c r="AZ13" s="1023"/>
      <c r="BA13" s="1023"/>
      <c r="BB13" s="1023"/>
      <c r="BC13" s="1182">
        <v>5.5673792611015624</v>
      </c>
      <c r="BD13" s="1182">
        <v>8.36</v>
      </c>
      <c r="BE13" s="1020"/>
      <c r="BF13" s="1020"/>
      <c r="BG13" s="1020"/>
      <c r="BH13" s="1182">
        <v>7.26</v>
      </c>
      <c r="BI13" s="1020"/>
      <c r="BJ13" s="1020"/>
      <c r="BK13" s="1020"/>
      <c r="BL13" s="1020"/>
      <c r="BM13" s="1020"/>
      <c r="BN13" s="1020"/>
      <c r="BO13" s="1020"/>
      <c r="BP13" s="1020"/>
      <c r="BQ13" s="1020"/>
      <c r="BR13" s="1021"/>
      <c r="BS13" s="1022"/>
      <c r="BT13" s="1226">
        <v>3.3699827662586755E-3</v>
      </c>
      <c r="BU13" s="1238"/>
      <c r="BV13" s="1238"/>
      <c r="BW13" s="1238"/>
      <c r="BX13" s="1238"/>
      <c r="BY13" s="1240"/>
      <c r="BZ13" s="1238"/>
      <c r="CA13" s="1020"/>
      <c r="CB13" s="1020"/>
      <c r="CC13" s="1020"/>
      <c r="CD13" s="1238"/>
      <c r="CE13" s="1238"/>
      <c r="CF13" s="1176"/>
      <c r="CG13" s="1236">
        <v>95</v>
      </c>
      <c r="CH13" s="1024"/>
      <c r="CI13" s="1024"/>
      <c r="CJ13" s="1024"/>
      <c r="CK13" s="1024"/>
      <c r="CL13" s="1024"/>
      <c r="CM13" s="1236">
        <v>278</v>
      </c>
      <c r="CN13" s="1236">
        <v>184831</v>
      </c>
      <c r="CO13" s="1027"/>
      <c r="CP13" s="1026"/>
      <c r="CQ13" s="1026"/>
      <c r="CR13" s="1236">
        <v>1530499.5308181816</v>
      </c>
      <c r="CS13" s="1026"/>
      <c r="CT13" s="1024"/>
      <c r="CU13" s="1027"/>
      <c r="CV13" s="1026"/>
      <c r="CW13" s="1024"/>
      <c r="CX13" s="1026"/>
      <c r="CY13" s="1026"/>
      <c r="CZ13" s="1026"/>
      <c r="DA13" s="1026"/>
      <c r="DB13" s="1024"/>
      <c r="DC13" s="1025"/>
      <c r="DD13" s="1236">
        <v>557783000</v>
      </c>
      <c r="DE13" s="1027"/>
      <c r="DF13" s="1027"/>
      <c r="DG13" s="1027"/>
      <c r="DH13" s="1028"/>
      <c r="DI13" s="1027"/>
      <c r="DJ13" s="1027"/>
      <c r="DK13" s="1026"/>
      <c r="DL13" s="1026"/>
      <c r="DM13" s="1026"/>
      <c r="DN13" s="1027"/>
      <c r="DO13" s="1027"/>
      <c r="DP13" s="1176"/>
      <c r="DQ13" s="1779">
        <f t="shared" si="29"/>
        <v>924574.2</v>
      </c>
      <c r="DR13" s="1779">
        <f t="shared" si="30"/>
        <v>0</v>
      </c>
      <c r="DS13" s="1779">
        <f t="shared" si="31"/>
        <v>0</v>
      </c>
      <c r="DT13" s="1779">
        <f t="shared" si="32"/>
        <v>0</v>
      </c>
      <c r="DU13" s="1779">
        <f t="shared" si="33"/>
        <v>0</v>
      </c>
      <c r="DV13" s="1779">
        <f t="shared" si="34"/>
        <v>0</v>
      </c>
      <c r="DW13" s="1779">
        <f t="shared" si="35"/>
        <v>560808.33022370457</v>
      </c>
      <c r="DX13" s="1779">
        <f t="shared" si="36"/>
        <v>18115774.263839997</v>
      </c>
      <c r="DY13" s="1779">
        <f t="shared" si="37"/>
        <v>0</v>
      </c>
      <c r="DZ13" s="1779">
        <f t="shared" si="38"/>
        <v>0</v>
      </c>
      <c r="EA13" s="1779">
        <f t="shared" si="39"/>
        <v>0</v>
      </c>
      <c r="EB13" s="1779">
        <f t="shared" si="40"/>
        <v>11686415.521038549</v>
      </c>
      <c r="EC13" s="1779">
        <f t="shared" si="41"/>
        <v>0</v>
      </c>
      <c r="ED13" s="1779">
        <f t="shared" si="42"/>
        <v>0</v>
      </c>
      <c r="EE13" s="1779">
        <f t="shared" si="43"/>
        <v>0</v>
      </c>
      <c r="EF13" s="1779">
        <f t="shared" si="44"/>
        <v>0</v>
      </c>
      <c r="EG13" s="1779">
        <f t="shared" si="45"/>
        <v>0</v>
      </c>
      <c r="EH13" s="1779">
        <f t="shared" si="46"/>
        <v>0</v>
      </c>
      <c r="EI13" s="1779">
        <f t="shared" si="47"/>
        <v>0</v>
      </c>
      <c r="EJ13" s="1779">
        <f t="shared" si="48"/>
        <v>0</v>
      </c>
      <c r="EK13" s="1779">
        <f t="shared" si="49"/>
        <v>0</v>
      </c>
      <c r="EL13" s="1779">
        <f t="shared" si="50"/>
        <v>0</v>
      </c>
      <c r="EM13" s="1779">
        <f t="shared" si="51"/>
        <v>0</v>
      </c>
      <c r="EN13" s="1779">
        <f t="shared" si="52"/>
        <v>2199556.850463653</v>
      </c>
      <c r="EO13" s="1779">
        <f t="shared" si="53"/>
        <v>0</v>
      </c>
      <c r="EP13" s="1779">
        <f t="shared" si="54"/>
        <v>0</v>
      </c>
      <c r="EQ13" s="1779">
        <f t="shared" si="55"/>
        <v>0</v>
      </c>
      <c r="ER13" s="1779">
        <f t="shared" si="56"/>
        <v>0</v>
      </c>
      <c r="ES13" s="1779">
        <f t="shared" si="57"/>
        <v>0</v>
      </c>
      <c r="ET13" s="1779">
        <f t="shared" si="58"/>
        <v>0</v>
      </c>
      <c r="EU13" s="1779">
        <f t="shared" si="59"/>
        <v>0</v>
      </c>
      <c r="EV13" s="1779">
        <f t="shared" si="60"/>
        <v>0</v>
      </c>
      <c r="EW13" s="1779">
        <f t="shared" si="61"/>
        <v>0</v>
      </c>
      <c r="EX13" s="1779">
        <f t="shared" si="62"/>
        <v>0</v>
      </c>
      <c r="EY13" s="1779">
        <f t="shared" si="63"/>
        <v>0</v>
      </c>
      <c r="EZ13" s="1175">
        <f t="shared" si="64"/>
        <v>33487129.165565901</v>
      </c>
      <c r="FA13" s="1177"/>
      <c r="FB13" s="1202">
        <f t="shared" si="65"/>
        <v>924574.2</v>
      </c>
      <c r="FC13" s="1202">
        <f t="shared" si="66"/>
        <v>0</v>
      </c>
      <c r="FD13" s="1202">
        <f t="shared" si="67"/>
        <v>0</v>
      </c>
      <c r="FE13" s="1202">
        <f t="shared" si="68"/>
        <v>0</v>
      </c>
      <c r="FF13" s="1202">
        <f t="shared" si="69"/>
        <v>0</v>
      </c>
      <c r="FG13" s="1202">
        <f t="shared" si="70"/>
        <v>0</v>
      </c>
      <c r="FH13" s="1202">
        <f t="shared" si="71"/>
        <v>564921.97362397553</v>
      </c>
      <c r="FI13" s="1202">
        <f t="shared" si="72"/>
        <v>18542245.919999998</v>
      </c>
      <c r="FJ13" s="1202">
        <f t="shared" si="73"/>
        <v>0</v>
      </c>
      <c r="FK13" s="1202">
        <f t="shared" si="74"/>
        <v>0</v>
      </c>
      <c r="FL13" s="1202">
        <f t="shared" si="75"/>
        <v>0</v>
      </c>
      <c r="FM13" s="1202">
        <f t="shared" si="76"/>
        <v>11111426.593739998</v>
      </c>
      <c r="FN13" s="1202">
        <f t="shared" si="77"/>
        <v>0</v>
      </c>
      <c r="FO13" s="1202">
        <f t="shared" si="78"/>
        <v>0</v>
      </c>
      <c r="FP13" s="1202">
        <f t="shared" si="79"/>
        <v>0</v>
      </c>
      <c r="FQ13" s="1202">
        <f t="shared" si="80"/>
        <v>0</v>
      </c>
      <c r="FR13" s="1202">
        <f t="shared" si="81"/>
        <v>0</v>
      </c>
      <c r="FS13" s="1202">
        <f t="shared" si="82"/>
        <v>0</v>
      </c>
      <c r="FT13" s="1202">
        <f t="shared" si="83"/>
        <v>0</v>
      </c>
      <c r="FU13" s="1202">
        <f t="shared" si="84"/>
        <v>0</v>
      </c>
      <c r="FV13" s="1202">
        <f t="shared" si="85"/>
        <v>0</v>
      </c>
      <c r="FW13" s="1202">
        <f t="shared" si="86"/>
        <v>0</v>
      </c>
      <c r="FX13" s="1202">
        <f t="shared" si="87"/>
        <v>0</v>
      </c>
      <c r="FY13" s="1202">
        <f t="shared" si="88"/>
        <v>1879719.0973120627</v>
      </c>
      <c r="FZ13" s="1202">
        <f t="shared" si="89"/>
        <v>0</v>
      </c>
      <c r="GA13" s="1202">
        <f t="shared" si="90"/>
        <v>0</v>
      </c>
      <c r="GB13" s="1202">
        <f t="shared" si="91"/>
        <v>0</v>
      </c>
      <c r="GC13" s="1202">
        <f t="shared" si="92"/>
        <v>0</v>
      </c>
      <c r="GD13" s="1202">
        <f t="shared" si="93"/>
        <v>0</v>
      </c>
      <c r="GE13" s="1202">
        <f t="shared" si="94"/>
        <v>0</v>
      </c>
      <c r="GF13" s="1202">
        <f t="shared" si="95"/>
        <v>0</v>
      </c>
      <c r="GG13" s="1202">
        <f t="shared" si="96"/>
        <v>0</v>
      </c>
      <c r="GH13" s="1202">
        <f t="shared" si="97"/>
        <v>0</v>
      </c>
      <c r="GI13" s="1202">
        <f t="shared" si="98"/>
        <v>0</v>
      </c>
      <c r="GJ13" s="1202">
        <f t="shared" si="99"/>
        <v>0</v>
      </c>
      <c r="GK13" s="1174">
        <f t="shared" si="100"/>
        <v>33022887.784676034</v>
      </c>
    </row>
    <row r="14" spans="1:193" s="1015" customFormat="1">
      <c r="A14" s="1003"/>
      <c r="B14" s="1149"/>
      <c r="C14" s="1149" t="s">
        <v>273</v>
      </c>
      <c r="D14" s="1149" t="s">
        <v>273</v>
      </c>
      <c r="E14" s="1149" t="s">
        <v>762</v>
      </c>
      <c r="F14" s="1149" t="s">
        <v>762</v>
      </c>
      <c r="G14" s="1149" t="s">
        <v>789</v>
      </c>
      <c r="H14" s="1149" t="s">
        <v>213</v>
      </c>
      <c r="I14" s="1149" t="s">
        <v>744</v>
      </c>
      <c r="J14" s="1177"/>
      <c r="K14" s="1177"/>
      <c r="L14" s="1233">
        <v>0</v>
      </c>
      <c r="M14" s="1019"/>
      <c r="N14" s="1019"/>
      <c r="O14" s="1019"/>
      <c r="P14" s="1019"/>
      <c r="Q14" s="1019"/>
      <c r="R14" s="1233">
        <v>5.5268387722844636</v>
      </c>
      <c r="S14" s="1004"/>
      <c r="T14" s="1233">
        <v>4.9321799999999998</v>
      </c>
      <c r="U14" s="1020"/>
      <c r="V14" s="1020"/>
      <c r="W14" s="1004"/>
      <c r="X14" s="1004"/>
      <c r="Y14" s="1004"/>
      <c r="Z14" s="1233">
        <v>11.728068846815834</v>
      </c>
      <c r="AA14" s="1020"/>
      <c r="AB14" s="1020"/>
      <c r="AC14" s="1020"/>
      <c r="AD14" s="1020"/>
      <c r="AE14" s="1020"/>
      <c r="AF14" s="1020"/>
      <c r="AG14" s="1020"/>
      <c r="AH14" s="1020"/>
      <c r="AI14" s="1029"/>
      <c r="AJ14" s="1021"/>
      <c r="AK14" s="1021"/>
      <c r="AL14" s="1021"/>
      <c r="AM14" s="1021"/>
      <c r="AN14" s="1021"/>
      <c r="AO14" s="1021"/>
      <c r="AP14" s="1020"/>
      <c r="AQ14" s="1020"/>
      <c r="AR14" s="1020"/>
      <c r="AS14" s="1224">
        <v>3.2560000000000002E-3</v>
      </c>
      <c r="AT14" s="1224">
        <v>0</v>
      </c>
      <c r="AU14" s="1176"/>
      <c r="AV14" s="1176"/>
      <c r="AW14" s="1182">
        <v>0</v>
      </c>
      <c r="AX14" s="1023"/>
      <c r="AY14" s="1023"/>
      <c r="AZ14" s="1023"/>
      <c r="BA14" s="1023"/>
      <c r="BB14" s="1023"/>
      <c r="BC14" s="1182">
        <v>5.5673792611015624</v>
      </c>
      <c r="BD14" s="1019"/>
      <c r="BE14" s="1231">
        <v>4.9820000000000002</v>
      </c>
      <c r="BF14" s="1020"/>
      <c r="BG14" s="1020"/>
      <c r="BH14" s="1020"/>
      <c r="BI14" s="1020"/>
      <c r="BJ14" s="1004"/>
      <c r="BK14" s="1182">
        <v>11.202</v>
      </c>
      <c r="BL14" s="1020"/>
      <c r="BM14" s="1020"/>
      <c r="BN14" s="1020"/>
      <c r="BO14" s="1020"/>
      <c r="BP14" s="1020"/>
      <c r="BQ14" s="1020"/>
      <c r="BR14" s="1021"/>
      <c r="BS14" s="1022"/>
      <c r="BT14" s="1319"/>
      <c r="BU14" s="1238"/>
      <c r="BV14" s="1238"/>
      <c r="BW14" s="1238"/>
      <c r="BX14" s="1238"/>
      <c r="BY14" s="1238"/>
      <c r="BZ14" s="1237"/>
      <c r="CA14" s="1020"/>
      <c r="CB14" s="1020"/>
      <c r="CC14" s="1020"/>
      <c r="CD14" s="1225">
        <v>2.96E-3</v>
      </c>
      <c r="CE14" s="1225">
        <v>0</v>
      </c>
      <c r="CF14" s="1176"/>
      <c r="CG14" s="1236">
        <v>2</v>
      </c>
      <c r="CH14" s="1025"/>
      <c r="CI14" s="1025"/>
      <c r="CJ14" s="1025"/>
      <c r="CK14" s="1025"/>
      <c r="CL14" s="1025"/>
      <c r="CM14" s="1236">
        <v>40</v>
      </c>
      <c r="CN14" s="1025"/>
      <c r="CO14" s="1236">
        <v>4610</v>
      </c>
      <c r="CP14" s="1026"/>
      <c r="CQ14" s="1026"/>
      <c r="CR14" s="1026"/>
      <c r="CS14" s="1026"/>
      <c r="CT14" s="1024"/>
      <c r="CU14" s="1236">
        <v>13465.490569375164</v>
      </c>
      <c r="CV14" s="1026"/>
      <c r="CW14" s="1024"/>
      <c r="CX14" s="1026"/>
      <c r="CY14" s="1026"/>
      <c r="CZ14" s="1026"/>
      <c r="DA14" s="1026"/>
      <c r="DB14" s="1024"/>
      <c r="DC14" s="1024"/>
      <c r="DD14" s="1033"/>
      <c r="DE14" s="1027"/>
      <c r="DF14" s="1027"/>
      <c r="DG14" s="1027"/>
      <c r="DH14" s="1031"/>
      <c r="DI14" s="1032"/>
      <c r="DJ14" s="1032"/>
      <c r="DK14" s="1026"/>
      <c r="DL14" s="1026"/>
      <c r="DM14" s="1026"/>
      <c r="DN14" s="1236">
        <v>15865216.720099546</v>
      </c>
      <c r="DO14" s="1236">
        <v>4812783.2799004558</v>
      </c>
      <c r="DP14" s="1176"/>
      <c r="DQ14" s="1779">
        <f t="shared" si="29"/>
        <v>0</v>
      </c>
      <c r="DR14" s="1779">
        <f t="shared" si="30"/>
        <v>0</v>
      </c>
      <c r="DS14" s="1779">
        <f t="shared" si="31"/>
        <v>0</v>
      </c>
      <c r="DT14" s="1779">
        <f t="shared" si="32"/>
        <v>0</v>
      </c>
      <c r="DU14" s="1779">
        <f t="shared" si="33"/>
        <v>0</v>
      </c>
      <c r="DV14" s="1779">
        <f t="shared" si="34"/>
        <v>0</v>
      </c>
      <c r="DW14" s="1779">
        <f t="shared" si="35"/>
        <v>80691.846075353169</v>
      </c>
      <c r="DX14" s="1779">
        <f t="shared" si="36"/>
        <v>0</v>
      </c>
      <c r="DY14" s="1779">
        <f t="shared" si="37"/>
        <v>204636.1482</v>
      </c>
      <c r="DZ14" s="1779">
        <f t="shared" si="38"/>
        <v>0</v>
      </c>
      <c r="EA14" s="1779">
        <f t="shared" si="39"/>
        <v>0</v>
      </c>
      <c r="EB14" s="1779">
        <f t="shared" si="40"/>
        <v>0</v>
      </c>
      <c r="EC14" s="1779">
        <f t="shared" si="41"/>
        <v>0</v>
      </c>
      <c r="ED14" s="1779">
        <f t="shared" si="42"/>
        <v>0</v>
      </c>
      <c r="EE14" s="1779">
        <f t="shared" si="43"/>
        <v>157924.20045378126</v>
      </c>
      <c r="EF14" s="1779">
        <f t="shared" si="44"/>
        <v>0</v>
      </c>
      <c r="EG14" s="1779">
        <f t="shared" si="45"/>
        <v>0</v>
      </c>
      <c r="EH14" s="1779">
        <f t="shared" si="46"/>
        <v>0</v>
      </c>
      <c r="EI14" s="1779">
        <f t="shared" si="47"/>
        <v>0</v>
      </c>
      <c r="EJ14" s="1779">
        <f t="shared" si="48"/>
        <v>0</v>
      </c>
      <c r="EK14" s="1779">
        <f t="shared" si="49"/>
        <v>0</v>
      </c>
      <c r="EL14" s="1779">
        <f t="shared" si="50"/>
        <v>0</v>
      </c>
      <c r="EM14" s="1779">
        <f t="shared" si="51"/>
        <v>0</v>
      </c>
      <c r="EN14" s="1779">
        <f t="shared" si="52"/>
        <v>0</v>
      </c>
      <c r="EO14" s="1779">
        <f t="shared" si="53"/>
        <v>0</v>
      </c>
      <c r="EP14" s="1779">
        <f t="shared" si="54"/>
        <v>0</v>
      </c>
      <c r="EQ14" s="1779">
        <f t="shared" si="55"/>
        <v>0</v>
      </c>
      <c r="ER14" s="1779">
        <f t="shared" si="56"/>
        <v>0</v>
      </c>
      <c r="ES14" s="1779">
        <f t="shared" si="57"/>
        <v>0</v>
      </c>
      <c r="ET14" s="1779">
        <f t="shared" si="58"/>
        <v>0</v>
      </c>
      <c r="EU14" s="1779">
        <f t="shared" si="59"/>
        <v>0</v>
      </c>
      <c r="EV14" s="1779">
        <f t="shared" si="60"/>
        <v>0</v>
      </c>
      <c r="EW14" s="1779">
        <f t="shared" si="61"/>
        <v>0</v>
      </c>
      <c r="EX14" s="1779">
        <f t="shared" si="62"/>
        <v>51657.145640644128</v>
      </c>
      <c r="EY14" s="1779">
        <f t="shared" si="63"/>
        <v>0</v>
      </c>
      <c r="EZ14" s="1175">
        <f t="shared" si="64"/>
        <v>494909.34036977857</v>
      </c>
      <c r="FA14" s="1177"/>
      <c r="FB14" s="1202">
        <f t="shared" si="65"/>
        <v>0</v>
      </c>
      <c r="FC14" s="1202">
        <f t="shared" si="66"/>
        <v>0</v>
      </c>
      <c r="FD14" s="1202">
        <f t="shared" si="67"/>
        <v>0</v>
      </c>
      <c r="FE14" s="1202">
        <f t="shared" si="68"/>
        <v>0</v>
      </c>
      <c r="FF14" s="1202">
        <f t="shared" si="69"/>
        <v>0</v>
      </c>
      <c r="FG14" s="1202">
        <f t="shared" si="70"/>
        <v>0</v>
      </c>
      <c r="FH14" s="1202">
        <f t="shared" si="71"/>
        <v>81283.737212082822</v>
      </c>
      <c r="FI14" s="1202">
        <f t="shared" si="72"/>
        <v>0</v>
      </c>
      <c r="FJ14" s="1202">
        <f t="shared" si="73"/>
        <v>206703.18</v>
      </c>
      <c r="FK14" s="1202">
        <f t="shared" si="74"/>
        <v>0</v>
      </c>
      <c r="FL14" s="1202">
        <f t="shared" si="75"/>
        <v>0</v>
      </c>
      <c r="FM14" s="1202">
        <f t="shared" si="76"/>
        <v>0</v>
      </c>
      <c r="FN14" s="1202">
        <f t="shared" si="77"/>
        <v>0</v>
      </c>
      <c r="FO14" s="1202">
        <f t="shared" si="78"/>
        <v>0</v>
      </c>
      <c r="FP14" s="1202">
        <f t="shared" si="79"/>
        <v>150840.42535814058</v>
      </c>
      <c r="FQ14" s="1202">
        <f t="shared" si="80"/>
        <v>0</v>
      </c>
      <c r="FR14" s="1202">
        <f t="shared" si="81"/>
        <v>0</v>
      </c>
      <c r="FS14" s="1202">
        <f t="shared" si="82"/>
        <v>0</v>
      </c>
      <c r="FT14" s="1202">
        <f t="shared" si="83"/>
        <v>0</v>
      </c>
      <c r="FU14" s="1202">
        <f t="shared" si="84"/>
        <v>0</v>
      </c>
      <c r="FV14" s="1202">
        <f t="shared" si="85"/>
        <v>0</v>
      </c>
      <c r="FW14" s="1202">
        <f t="shared" si="86"/>
        <v>0</v>
      </c>
      <c r="FX14" s="1202">
        <f t="shared" si="87"/>
        <v>0</v>
      </c>
      <c r="FY14" s="1202">
        <f t="shared" si="88"/>
        <v>0</v>
      </c>
      <c r="FZ14" s="1202">
        <f t="shared" si="89"/>
        <v>0</v>
      </c>
      <c r="GA14" s="1202">
        <f t="shared" si="90"/>
        <v>0</v>
      </c>
      <c r="GB14" s="1202">
        <f t="shared" si="91"/>
        <v>0</v>
      </c>
      <c r="GC14" s="1202">
        <f t="shared" si="92"/>
        <v>0</v>
      </c>
      <c r="GD14" s="1202">
        <f t="shared" si="93"/>
        <v>0</v>
      </c>
      <c r="GE14" s="1202">
        <f t="shared" si="94"/>
        <v>0</v>
      </c>
      <c r="GF14" s="1202">
        <f t="shared" si="95"/>
        <v>0</v>
      </c>
      <c r="GG14" s="1202">
        <f t="shared" si="96"/>
        <v>0</v>
      </c>
      <c r="GH14" s="1202">
        <f t="shared" si="97"/>
        <v>0</v>
      </c>
      <c r="GI14" s="1202">
        <f t="shared" si="98"/>
        <v>46961.041491494652</v>
      </c>
      <c r="GJ14" s="1202">
        <f t="shared" si="99"/>
        <v>0</v>
      </c>
      <c r="GK14" s="1174">
        <f t="shared" si="100"/>
        <v>485788.38406171801</v>
      </c>
    </row>
    <row r="15" spans="1:193" s="1015" customFormat="1">
      <c r="A15" s="1003"/>
      <c r="B15" s="1149"/>
      <c r="C15" s="1149" t="s">
        <v>274</v>
      </c>
      <c r="D15" s="1149" t="s">
        <v>274</v>
      </c>
      <c r="E15" s="1149" t="s">
        <v>762</v>
      </c>
      <c r="F15" s="1149" t="s">
        <v>762</v>
      </c>
      <c r="G15" s="1149" t="s">
        <v>789</v>
      </c>
      <c r="H15" s="1149" t="s">
        <v>214</v>
      </c>
      <c r="I15" s="1149" t="s">
        <v>744</v>
      </c>
      <c r="J15" s="1177"/>
      <c r="K15" s="1177"/>
      <c r="L15" s="1233">
        <v>0</v>
      </c>
      <c r="M15" s="1019"/>
      <c r="N15" s="1019"/>
      <c r="O15" s="1019"/>
      <c r="P15" s="1019"/>
      <c r="Q15" s="1019"/>
      <c r="R15" s="1233">
        <v>5.5268387722844636</v>
      </c>
      <c r="S15" s="1004"/>
      <c r="T15" s="1233">
        <v>3.2877900000000002</v>
      </c>
      <c r="U15" s="1020"/>
      <c r="V15" s="1020"/>
      <c r="W15" s="1004"/>
      <c r="X15" s="1004"/>
      <c r="Y15" s="1004"/>
      <c r="Z15" s="1233">
        <v>44.225349397590364</v>
      </c>
      <c r="AA15" s="1020"/>
      <c r="AB15" s="1020"/>
      <c r="AC15" s="1020"/>
      <c r="AD15" s="1020"/>
      <c r="AE15" s="1020"/>
      <c r="AF15" s="1020"/>
      <c r="AG15" s="1020"/>
      <c r="AH15" s="1020"/>
      <c r="AI15" s="1029"/>
      <c r="AJ15" s="1021"/>
      <c r="AK15" s="1021"/>
      <c r="AL15" s="1021"/>
      <c r="AM15" s="1021"/>
      <c r="AN15" s="1021"/>
      <c r="AO15" s="1021"/>
      <c r="AP15" s="1020"/>
      <c r="AQ15" s="1020"/>
      <c r="AR15" s="1020"/>
      <c r="AS15" s="1224">
        <v>3.2560000000000002E-3</v>
      </c>
      <c r="AT15" s="1224">
        <v>0</v>
      </c>
      <c r="AU15" s="1176"/>
      <c r="AV15" s="1176"/>
      <c r="AW15" s="1182">
        <v>0</v>
      </c>
      <c r="AX15" s="1023"/>
      <c r="AY15" s="1023"/>
      <c r="AZ15" s="1023"/>
      <c r="BA15" s="1023"/>
      <c r="BB15" s="1023"/>
      <c r="BC15" s="1182">
        <v>5.5673792611015624</v>
      </c>
      <c r="BD15" s="1019"/>
      <c r="BE15" s="1231">
        <v>3.3210000000000002</v>
      </c>
      <c r="BF15" s="1020"/>
      <c r="BG15" s="1020"/>
      <c r="BH15" s="1020"/>
      <c r="BI15" s="1020"/>
      <c r="BJ15" s="1004"/>
      <c r="BK15" s="1182">
        <v>42.198</v>
      </c>
      <c r="BL15" s="1020"/>
      <c r="BM15" s="1020"/>
      <c r="BN15" s="1020"/>
      <c r="BO15" s="1020"/>
      <c r="BP15" s="1020"/>
      <c r="BQ15" s="1020"/>
      <c r="BR15" s="1021"/>
      <c r="BS15" s="1022"/>
      <c r="BT15" s="1319"/>
      <c r="BU15" s="1238"/>
      <c r="BV15" s="1238"/>
      <c r="BW15" s="1238"/>
      <c r="BX15" s="1238"/>
      <c r="BY15" s="1238"/>
      <c r="BZ15" s="1237"/>
      <c r="CA15" s="1020"/>
      <c r="CB15" s="1020"/>
      <c r="CC15" s="1020"/>
      <c r="CD15" s="1225">
        <v>2.96E-3</v>
      </c>
      <c r="CE15" s="1225">
        <v>0</v>
      </c>
      <c r="CF15" s="1176"/>
      <c r="CG15" s="1236">
        <v>0</v>
      </c>
      <c r="CH15" s="1025"/>
      <c r="CI15" s="1025"/>
      <c r="CJ15" s="1025"/>
      <c r="CK15" s="1025"/>
      <c r="CL15" s="1025"/>
      <c r="CM15" s="1236">
        <v>0</v>
      </c>
      <c r="CN15" s="1025"/>
      <c r="CO15" s="1236">
        <v>0</v>
      </c>
      <c r="CP15" s="1026"/>
      <c r="CQ15" s="1026"/>
      <c r="CR15" s="1026"/>
      <c r="CS15" s="1026"/>
      <c r="CT15" s="1024"/>
      <c r="CU15" s="1236">
        <v>0</v>
      </c>
      <c r="CV15" s="1026"/>
      <c r="CW15" s="1024"/>
      <c r="CX15" s="1026"/>
      <c r="CY15" s="1026"/>
      <c r="CZ15" s="1026"/>
      <c r="DA15" s="1026"/>
      <c r="DB15" s="1024"/>
      <c r="DC15" s="1024"/>
      <c r="DD15" s="1033"/>
      <c r="DE15" s="1027"/>
      <c r="DF15" s="1027"/>
      <c r="DG15" s="1027"/>
      <c r="DH15" s="1031"/>
      <c r="DI15" s="1032"/>
      <c r="DJ15" s="1032"/>
      <c r="DK15" s="1026"/>
      <c r="DL15" s="1026"/>
      <c r="DM15" s="1026"/>
      <c r="DN15" s="1236">
        <v>0</v>
      </c>
      <c r="DO15" s="1236">
        <v>0</v>
      </c>
      <c r="DP15" s="1176"/>
      <c r="DQ15" s="1779">
        <f t="shared" si="29"/>
        <v>0</v>
      </c>
      <c r="DR15" s="1779">
        <f t="shared" si="30"/>
        <v>0</v>
      </c>
      <c r="DS15" s="1779">
        <f t="shared" si="31"/>
        <v>0</v>
      </c>
      <c r="DT15" s="1779">
        <f t="shared" si="32"/>
        <v>0</v>
      </c>
      <c r="DU15" s="1779">
        <f t="shared" si="33"/>
        <v>0</v>
      </c>
      <c r="DV15" s="1779">
        <f t="shared" si="34"/>
        <v>0</v>
      </c>
      <c r="DW15" s="1779">
        <f t="shared" si="35"/>
        <v>0</v>
      </c>
      <c r="DX15" s="1779">
        <f t="shared" si="36"/>
        <v>0</v>
      </c>
      <c r="DY15" s="1779">
        <f t="shared" si="37"/>
        <v>0</v>
      </c>
      <c r="DZ15" s="1779">
        <f t="shared" si="38"/>
        <v>0</v>
      </c>
      <c r="EA15" s="1779">
        <f t="shared" si="39"/>
        <v>0</v>
      </c>
      <c r="EB15" s="1779">
        <f t="shared" si="40"/>
        <v>0</v>
      </c>
      <c r="EC15" s="1779">
        <f t="shared" si="41"/>
        <v>0</v>
      </c>
      <c r="ED15" s="1779">
        <f t="shared" si="42"/>
        <v>0</v>
      </c>
      <c r="EE15" s="1779">
        <f t="shared" si="43"/>
        <v>0</v>
      </c>
      <c r="EF15" s="1779">
        <f t="shared" si="44"/>
        <v>0</v>
      </c>
      <c r="EG15" s="1779">
        <f t="shared" si="45"/>
        <v>0</v>
      </c>
      <c r="EH15" s="1779">
        <f t="shared" si="46"/>
        <v>0</v>
      </c>
      <c r="EI15" s="1779">
        <f t="shared" si="47"/>
        <v>0</v>
      </c>
      <c r="EJ15" s="1779">
        <f t="shared" si="48"/>
        <v>0</v>
      </c>
      <c r="EK15" s="1779">
        <f t="shared" si="49"/>
        <v>0</v>
      </c>
      <c r="EL15" s="1779">
        <f t="shared" si="50"/>
        <v>0</v>
      </c>
      <c r="EM15" s="1779">
        <f t="shared" si="51"/>
        <v>0</v>
      </c>
      <c r="EN15" s="1779">
        <f t="shared" si="52"/>
        <v>0</v>
      </c>
      <c r="EO15" s="1779">
        <f t="shared" si="53"/>
        <v>0</v>
      </c>
      <c r="EP15" s="1779">
        <f t="shared" si="54"/>
        <v>0</v>
      </c>
      <c r="EQ15" s="1779">
        <f t="shared" si="55"/>
        <v>0</v>
      </c>
      <c r="ER15" s="1779">
        <f t="shared" si="56"/>
        <v>0</v>
      </c>
      <c r="ES15" s="1779">
        <f t="shared" si="57"/>
        <v>0</v>
      </c>
      <c r="ET15" s="1779">
        <f t="shared" si="58"/>
        <v>0</v>
      </c>
      <c r="EU15" s="1779">
        <f t="shared" si="59"/>
        <v>0</v>
      </c>
      <c r="EV15" s="1779">
        <f t="shared" si="60"/>
        <v>0</v>
      </c>
      <c r="EW15" s="1779">
        <f t="shared" si="61"/>
        <v>0</v>
      </c>
      <c r="EX15" s="1779">
        <f t="shared" si="62"/>
        <v>0</v>
      </c>
      <c r="EY15" s="1779">
        <f t="shared" si="63"/>
        <v>0</v>
      </c>
      <c r="EZ15" s="1175">
        <f t="shared" si="64"/>
        <v>0</v>
      </c>
      <c r="FA15" s="1177"/>
      <c r="FB15" s="1202">
        <f t="shared" si="65"/>
        <v>0</v>
      </c>
      <c r="FC15" s="1202">
        <f t="shared" si="66"/>
        <v>0</v>
      </c>
      <c r="FD15" s="1202">
        <f t="shared" si="67"/>
        <v>0</v>
      </c>
      <c r="FE15" s="1202">
        <f t="shared" si="68"/>
        <v>0</v>
      </c>
      <c r="FF15" s="1202">
        <f t="shared" si="69"/>
        <v>0</v>
      </c>
      <c r="FG15" s="1202">
        <f t="shared" si="70"/>
        <v>0</v>
      </c>
      <c r="FH15" s="1202">
        <f t="shared" si="71"/>
        <v>0</v>
      </c>
      <c r="FI15" s="1202">
        <f t="shared" si="72"/>
        <v>0</v>
      </c>
      <c r="FJ15" s="1202">
        <f t="shared" si="73"/>
        <v>0</v>
      </c>
      <c r="FK15" s="1202">
        <f t="shared" si="74"/>
        <v>0</v>
      </c>
      <c r="FL15" s="1202">
        <f t="shared" si="75"/>
        <v>0</v>
      </c>
      <c r="FM15" s="1202">
        <f t="shared" si="76"/>
        <v>0</v>
      </c>
      <c r="FN15" s="1202">
        <f t="shared" si="77"/>
        <v>0</v>
      </c>
      <c r="FO15" s="1202">
        <f t="shared" si="78"/>
        <v>0</v>
      </c>
      <c r="FP15" s="1202">
        <f t="shared" si="79"/>
        <v>0</v>
      </c>
      <c r="FQ15" s="1202">
        <f t="shared" si="80"/>
        <v>0</v>
      </c>
      <c r="FR15" s="1202">
        <f t="shared" si="81"/>
        <v>0</v>
      </c>
      <c r="FS15" s="1202">
        <f t="shared" si="82"/>
        <v>0</v>
      </c>
      <c r="FT15" s="1202">
        <f t="shared" si="83"/>
        <v>0</v>
      </c>
      <c r="FU15" s="1202">
        <f t="shared" si="84"/>
        <v>0</v>
      </c>
      <c r="FV15" s="1202">
        <f t="shared" si="85"/>
        <v>0</v>
      </c>
      <c r="FW15" s="1202">
        <f t="shared" si="86"/>
        <v>0</v>
      </c>
      <c r="FX15" s="1202">
        <f t="shared" si="87"/>
        <v>0</v>
      </c>
      <c r="FY15" s="1202">
        <f t="shared" si="88"/>
        <v>0</v>
      </c>
      <c r="FZ15" s="1202">
        <f t="shared" si="89"/>
        <v>0</v>
      </c>
      <c r="GA15" s="1202">
        <f t="shared" si="90"/>
        <v>0</v>
      </c>
      <c r="GB15" s="1202">
        <f t="shared" si="91"/>
        <v>0</v>
      </c>
      <c r="GC15" s="1202">
        <f t="shared" si="92"/>
        <v>0</v>
      </c>
      <c r="GD15" s="1202">
        <f t="shared" si="93"/>
        <v>0</v>
      </c>
      <c r="GE15" s="1202">
        <f t="shared" si="94"/>
        <v>0</v>
      </c>
      <c r="GF15" s="1202">
        <f t="shared" si="95"/>
        <v>0</v>
      </c>
      <c r="GG15" s="1202">
        <f t="shared" si="96"/>
        <v>0</v>
      </c>
      <c r="GH15" s="1202">
        <f t="shared" si="97"/>
        <v>0</v>
      </c>
      <c r="GI15" s="1202">
        <f t="shared" si="98"/>
        <v>0</v>
      </c>
      <c r="GJ15" s="1202">
        <f t="shared" si="99"/>
        <v>0</v>
      </c>
      <c r="GK15" s="1174">
        <f t="shared" si="100"/>
        <v>0</v>
      </c>
    </row>
    <row r="16" spans="1:193" s="1015" customFormat="1">
      <c r="A16" s="1003"/>
      <c r="B16" s="1149"/>
      <c r="C16" s="1149" t="s">
        <v>275</v>
      </c>
      <c r="D16" s="1149" t="s">
        <v>275</v>
      </c>
      <c r="E16" s="1149" t="s">
        <v>762</v>
      </c>
      <c r="F16" s="1149" t="s">
        <v>762</v>
      </c>
      <c r="G16" s="1149" t="s">
        <v>789</v>
      </c>
      <c r="H16" s="1149" t="s">
        <v>215</v>
      </c>
      <c r="I16" s="1149" t="s">
        <v>744</v>
      </c>
      <c r="J16" s="1177"/>
      <c r="K16" s="1177"/>
      <c r="L16" s="1233">
        <v>0</v>
      </c>
      <c r="M16" s="1019"/>
      <c r="N16" s="1019"/>
      <c r="O16" s="1019"/>
      <c r="P16" s="1019"/>
      <c r="Q16" s="1019"/>
      <c r="R16" s="1233">
        <v>5.5268387722844636</v>
      </c>
      <c r="S16" s="1004"/>
      <c r="T16" s="1233">
        <v>6.5755800000000004</v>
      </c>
      <c r="U16" s="1020"/>
      <c r="V16" s="1020"/>
      <c r="W16" s="1004"/>
      <c r="X16" s="1004"/>
      <c r="Y16" s="1004"/>
      <c r="Z16" s="1233">
        <v>72.183903614457833</v>
      </c>
      <c r="AA16" s="1020"/>
      <c r="AB16" s="1020"/>
      <c r="AC16" s="1020"/>
      <c r="AD16" s="1020"/>
      <c r="AE16" s="1020"/>
      <c r="AF16" s="1020"/>
      <c r="AG16" s="1020"/>
      <c r="AH16" s="1020"/>
      <c r="AI16" s="1029"/>
      <c r="AJ16" s="1021"/>
      <c r="AK16" s="1021"/>
      <c r="AL16" s="1021"/>
      <c r="AM16" s="1021"/>
      <c r="AN16" s="1021"/>
      <c r="AO16" s="1021"/>
      <c r="AP16" s="1020"/>
      <c r="AQ16" s="1020"/>
      <c r="AR16" s="1020"/>
      <c r="AS16" s="1224">
        <v>3.2560000000000002E-3</v>
      </c>
      <c r="AT16" s="1224">
        <v>0</v>
      </c>
      <c r="AU16" s="1176"/>
      <c r="AV16" s="1176"/>
      <c r="AW16" s="1182">
        <v>0</v>
      </c>
      <c r="AX16" s="1023"/>
      <c r="AY16" s="1023"/>
      <c r="AZ16" s="1023"/>
      <c r="BA16" s="1023"/>
      <c r="BB16" s="1023"/>
      <c r="BC16" s="1182">
        <v>5.5673792611015624</v>
      </c>
      <c r="BD16" s="1019"/>
      <c r="BE16" s="1231">
        <v>6.6420000000000003</v>
      </c>
      <c r="BF16" s="1020"/>
      <c r="BG16" s="1020"/>
      <c r="BH16" s="1020"/>
      <c r="BI16" s="1020"/>
      <c r="BJ16" s="1004"/>
      <c r="BK16" s="1182">
        <v>73.664000000000001</v>
      </c>
      <c r="BL16" s="1020"/>
      <c r="BM16" s="1020"/>
      <c r="BN16" s="1020"/>
      <c r="BO16" s="1020"/>
      <c r="BP16" s="1020"/>
      <c r="BQ16" s="1020"/>
      <c r="BR16" s="1021"/>
      <c r="BS16" s="1022"/>
      <c r="BT16" s="1319"/>
      <c r="BU16" s="1238"/>
      <c r="BV16" s="1238"/>
      <c r="BW16" s="1238"/>
      <c r="BX16" s="1238"/>
      <c r="BY16" s="1238"/>
      <c r="BZ16" s="1237"/>
      <c r="CA16" s="1020"/>
      <c r="CB16" s="1020"/>
      <c r="CC16" s="1020"/>
      <c r="CD16" s="1225">
        <v>2.96E-3</v>
      </c>
      <c r="CE16" s="1225">
        <v>0</v>
      </c>
      <c r="CF16" s="1176"/>
      <c r="CG16" s="1236">
        <v>1</v>
      </c>
      <c r="CH16" s="1025"/>
      <c r="CI16" s="1025"/>
      <c r="CJ16" s="1025"/>
      <c r="CK16" s="1025"/>
      <c r="CL16" s="1025"/>
      <c r="CM16" s="1236">
        <v>4</v>
      </c>
      <c r="CN16" s="1025"/>
      <c r="CO16" s="1236">
        <v>630</v>
      </c>
      <c r="CP16" s="1026"/>
      <c r="CQ16" s="1026"/>
      <c r="CR16" s="1026"/>
      <c r="CS16" s="1026"/>
      <c r="CT16" s="1024"/>
      <c r="CU16" s="1236">
        <v>814.24033598143546</v>
      </c>
      <c r="CV16" s="1026"/>
      <c r="CW16" s="1024"/>
      <c r="CX16" s="1026"/>
      <c r="CY16" s="1026"/>
      <c r="CZ16" s="1026"/>
      <c r="DA16" s="1026"/>
      <c r="DB16" s="1024"/>
      <c r="DC16" s="1024"/>
      <c r="DD16" s="1033"/>
      <c r="DE16" s="1027"/>
      <c r="DF16" s="1027"/>
      <c r="DG16" s="1027"/>
      <c r="DH16" s="1031"/>
      <c r="DI16" s="1032"/>
      <c r="DJ16" s="1032"/>
      <c r="DK16" s="1026"/>
      <c r="DL16" s="1026"/>
      <c r="DM16" s="1026"/>
      <c r="DN16" s="1236">
        <v>942587.00456952944</v>
      </c>
      <c r="DO16" s="1236">
        <v>442412.99543047056</v>
      </c>
      <c r="DP16" s="1176"/>
      <c r="DQ16" s="1779">
        <f t="shared" si="29"/>
        <v>0</v>
      </c>
      <c r="DR16" s="1779">
        <f t="shared" si="30"/>
        <v>0</v>
      </c>
      <c r="DS16" s="1779">
        <f t="shared" si="31"/>
        <v>0</v>
      </c>
      <c r="DT16" s="1779">
        <f t="shared" si="32"/>
        <v>0</v>
      </c>
      <c r="DU16" s="1779">
        <f t="shared" si="33"/>
        <v>0</v>
      </c>
      <c r="DV16" s="1779">
        <f t="shared" si="34"/>
        <v>0</v>
      </c>
      <c r="DW16" s="1779">
        <f t="shared" si="35"/>
        <v>8069.1846075353169</v>
      </c>
      <c r="DX16" s="1779">
        <f t="shared" si="36"/>
        <v>0</v>
      </c>
      <c r="DY16" s="1779">
        <f t="shared" si="37"/>
        <v>37283.538600000007</v>
      </c>
      <c r="DZ16" s="1779">
        <f t="shared" si="38"/>
        <v>0</v>
      </c>
      <c r="EA16" s="1779">
        <f t="shared" si="39"/>
        <v>0</v>
      </c>
      <c r="EB16" s="1779">
        <f t="shared" si="40"/>
        <v>0</v>
      </c>
      <c r="EC16" s="1779">
        <f t="shared" si="41"/>
        <v>0</v>
      </c>
      <c r="ED16" s="1779">
        <f t="shared" si="42"/>
        <v>0</v>
      </c>
      <c r="EE16" s="1779">
        <f t="shared" si="43"/>
        <v>58775.045931487701</v>
      </c>
      <c r="EF16" s="1779">
        <f t="shared" si="44"/>
        <v>0</v>
      </c>
      <c r="EG16" s="1779">
        <f t="shared" si="45"/>
        <v>0</v>
      </c>
      <c r="EH16" s="1779">
        <f t="shared" si="46"/>
        <v>0</v>
      </c>
      <c r="EI16" s="1779">
        <f t="shared" si="47"/>
        <v>0</v>
      </c>
      <c r="EJ16" s="1779">
        <f t="shared" si="48"/>
        <v>0</v>
      </c>
      <c r="EK16" s="1779">
        <f t="shared" si="49"/>
        <v>0</v>
      </c>
      <c r="EL16" s="1779">
        <f t="shared" si="50"/>
        <v>0</v>
      </c>
      <c r="EM16" s="1779">
        <f t="shared" si="51"/>
        <v>0</v>
      </c>
      <c r="EN16" s="1779">
        <f t="shared" si="52"/>
        <v>0</v>
      </c>
      <c r="EO16" s="1779">
        <f t="shared" si="53"/>
        <v>0</v>
      </c>
      <c r="EP16" s="1779">
        <f t="shared" si="54"/>
        <v>0</v>
      </c>
      <c r="EQ16" s="1779">
        <f t="shared" si="55"/>
        <v>0</v>
      </c>
      <c r="ER16" s="1779">
        <f t="shared" si="56"/>
        <v>0</v>
      </c>
      <c r="ES16" s="1779">
        <f t="shared" si="57"/>
        <v>0</v>
      </c>
      <c r="ET16" s="1779">
        <f t="shared" si="58"/>
        <v>0</v>
      </c>
      <c r="EU16" s="1779">
        <f t="shared" si="59"/>
        <v>0</v>
      </c>
      <c r="EV16" s="1779">
        <f t="shared" si="60"/>
        <v>0</v>
      </c>
      <c r="EW16" s="1779">
        <f t="shared" si="61"/>
        <v>0</v>
      </c>
      <c r="EX16" s="1779">
        <f t="shared" si="62"/>
        <v>3069.0632868783882</v>
      </c>
      <c r="EY16" s="1779">
        <f t="shared" si="63"/>
        <v>0</v>
      </c>
      <c r="EZ16" s="1175">
        <f t="shared" si="64"/>
        <v>107196.83242590142</v>
      </c>
      <c r="FA16" s="1177"/>
      <c r="FB16" s="1202">
        <f t="shared" si="65"/>
        <v>0</v>
      </c>
      <c r="FC16" s="1202">
        <f t="shared" si="66"/>
        <v>0</v>
      </c>
      <c r="FD16" s="1202">
        <f t="shared" si="67"/>
        <v>0</v>
      </c>
      <c r="FE16" s="1202">
        <f t="shared" si="68"/>
        <v>0</v>
      </c>
      <c r="FF16" s="1202">
        <f t="shared" si="69"/>
        <v>0</v>
      </c>
      <c r="FG16" s="1202">
        <f t="shared" si="70"/>
        <v>0</v>
      </c>
      <c r="FH16" s="1202">
        <f t="shared" si="71"/>
        <v>8128.3737212082815</v>
      </c>
      <c r="FI16" s="1202">
        <f t="shared" si="72"/>
        <v>0</v>
      </c>
      <c r="FJ16" s="1202">
        <f t="shared" si="73"/>
        <v>37660.14</v>
      </c>
      <c r="FK16" s="1202">
        <f t="shared" si="74"/>
        <v>0</v>
      </c>
      <c r="FL16" s="1202">
        <f t="shared" si="75"/>
        <v>0</v>
      </c>
      <c r="FM16" s="1202">
        <f t="shared" si="76"/>
        <v>0</v>
      </c>
      <c r="FN16" s="1202">
        <f t="shared" si="77"/>
        <v>0</v>
      </c>
      <c r="FO16" s="1202">
        <f t="shared" si="78"/>
        <v>0</v>
      </c>
      <c r="FP16" s="1202">
        <f t="shared" si="79"/>
        <v>59980.200109736463</v>
      </c>
      <c r="FQ16" s="1202">
        <f t="shared" si="80"/>
        <v>0</v>
      </c>
      <c r="FR16" s="1202">
        <f t="shared" si="81"/>
        <v>0</v>
      </c>
      <c r="FS16" s="1202">
        <f t="shared" si="82"/>
        <v>0</v>
      </c>
      <c r="FT16" s="1202">
        <f t="shared" si="83"/>
        <v>0</v>
      </c>
      <c r="FU16" s="1202">
        <f t="shared" si="84"/>
        <v>0</v>
      </c>
      <c r="FV16" s="1202">
        <f t="shared" si="85"/>
        <v>0</v>
      </c>
      <c r="FW16" s="1202">
        <f t="shared" si="86"/>
        <v>0</v>
      </c>
      <c r="FX16" s="1202">
        <f t="shared" si="87"/>
        <v>0</v>
      </c>
      <c r="FY16" s="1202">
        <f t="shared" si="88"/>
        <v>0</v>
      </c>
      <c r="FZ16" s="1202">
        <f t="shared" si="89"/>
        <v>0</v>
      </c>
      <c r="GA16" s="1202">
        <f t="shared" si="90"/>
        <v>0</v>
      </c>
      <c r="GB16" s="1202">
        <f t="shared" si="91"/>
        <v>0</v>
      </c>
      <c r="GC16" s="1202">
        <f t="shared" si="92"/>
        <v>0</v>
      </c>
      <c r="GD16" s="1202">
        <f t="shared" si="93"/>
        <v>0</v>
      </c>
      <c r="GE16" s="1202">
        <f t="shared" si="94"/>
        <v>0</v>
      </c>
      <c r="GF16" s="1202">
        <f t="shared" si="95"/>
        <v>0</v>
      </c>
      <c r="GG16" s="1202">
        <f t="shared" si="96"/>
        <v>0</v>
      </c>
      <c r="GH16" s="1202">
        <f t="shared" si="97"/>
        <v>0</v>
      </c>
      <c r="GI16" s="1202">
        <f t="shared" si="98"/>
        <v>2790.0575335258072</v>
      </c>
      <c r="GJ16" s="1202">
        <f t="shared" si="99"/>
        <v>0</v>
      </c>
      <c r="GK16" s="1174">
        <f t="shared" si="100"/>
        <v>108558.77136447054</v>
      </c>
    </row>
    <row r="17" spans="1:193" s="1015" customFormat="1">
      <c r="A17" s="1003"/>
      <c r="B17" s="1149"/>
      <c r="C17" s="1149" t="s">
        <v>276</v>
      </c>
      <c r="D17" s="1149" t="s">
        <v>276</v>
      </c>
      <c r="E17" s="1149" t="s">
        <v>762</v>
      </c>
      <c r="F17" s="1149" t="s">
        <v>762</v>
      </c>
      <c r="G17" s="1149" t="s">
        <v>790</v>
      </c>
      <c r="H17" s="1149" t="s">
        <v>209</v>
      </c>
      <c r="I17" s="1149" t="s">
        <v>744</v>
      </c>
      <c r="J17" s="1177"/>
      <c r="K17" s="1177"/>
      <c r="L17" s="1233">
        <v>109.746</v>
      </c>
      <c r="M17" s="1019"/>
      <c r="N17" s="1019"/>
      <c r="O17" s="1019"/>
      <c r="P17" s="1019"/>
      <c r="Q17" s="1019"/>
      <c r="R17" s="1233">
        <v>5.5268387722844636</v>
      </c>
      <c r="S17" s="1233">
        <v>8.3843099999999993</v>
      </c>
      <c r="T17" s="1004"/>
      <c r="U17" s="1020"/>
      <c r="V17" s="1020"/>
      <c r="W17" s="1233">
        <v>7.1198299741483435</v>
      </c>
      <c r="X17" s="1020"/>
      <c r="Y17" s="1020"/>
      <c r="Z17" s="1004"/>
      <c r="AA17" s="1020"/>
      <c r="AB17" s="1020"/>
      <c r="AC17" s="1020"/>
      <c r="AD17" s="1020"/>
      <c r="AE17" s="1020"/>
      <c r="AF17" s="1020"/>
      <c r="AG17" s="1020"/>
      <c r="AH17" s="1020"/>
      <c r="AI17" s="1224">
        <v>9.2694566638878741E-3</v>
      </c>
      <c r="AJ17" s="1021"/>
      <c r="AK17" s="1021"/>
      <c r="AL17" s="1021"/>
      <c r="AM17" s="1021"/>
      <c r="AN17" s="1021"/>
      <c r="AO17" s="1021"/>
      <c r="AP17" s="1020"/>
      <c r="AQ17" s="1020"/>
      <c r="AR17" s="1020"/>
      <c r="AS17" s="1021"/>
      <c r="AT17" s="1021"/>
      <c r="AU17" s="1176"/>
      <c r="AV17" s="1176"/>
      <c r="AW17" s="1182">
        <v>109.746</v>
      </c>
      <c r="AX17" s="1023"/>
      <c r="AY17" s="1023"/>
      <c r="AZ17" s="1023"/>
      <c r="BA17" s="1023"/>
      <c r="BB17" s="1023"/>
      <c r="BC17" s="1182">
        <v>5.5673792611015624</v>
      </c>
      <c r="BD17" s="1182">
        <v>8.4687999999999999</v>
      </c>
      <c r="BE17" s="1020"/>
      <c r="BF17" s="1020"/>
      <c r="BG17" s="1020"/>
      <c r="BH17" s="1182">
        <v>6.7691999999999997</v>
      </c>
      <c r="BI17" s="1020"/>
      <c r="BJ17" s="1020"/>
      <c r="BK17" s="1020"/>
      <c r="BL17" s="1020"/>
      <c r="BM17" s="1020"/>
      <c r="BN17" s="1020"/>
      <c r="BO17" s="1020"/>
      <c r="BP17" s="1020"/>
      <c r="BQ17" s="1020"/>
      <c r="BR17" s="1021"/>
      <c r="BS17" s="1022"/>
      <c r="BT17" s="1226">
        <v>8.2368773777787407E-3</v>
      </c>
      <c r="BU17" s="1238"/>
      <c r="BV17" s="1238"/>
      <c r="BW17" s="1238"/>
      <c r="BX17" s="1238"/>
      <c r="BY17" s="1238"/>
      <c r="BZ17" s="1237"/>
      <c r="CA17" s="1020"/>
      <c r="CB17" s="1020"/>
      <c r="CC17" s="1020"/>
      <c r="CD17" s="1237"/>
      <c r="CE17" s="1237"/>
      <c r="CF17" s="1176"/>
      <c r="CG17" s="1236">
        <v>2</v>
      </c>
      <c r="CH17" s="1024"/>
      <c r="CI17" s="1024"/>
      <c r="CJ17" s="1024"/>
      <c r="CK17" s="1024"/>
      <c r="CL17" s="1024"/>
      <c r="CM17" s="1236">
        <v>164</v>
      </c>
      <c r="CN17" s="1236">
        <v>4000</v>
      </c>
      <c r="CO17" s="1027"/>
      <c r="CP17" s="1026"/>
      <c r="CQ17" s="1026"/>
      <c r="CR17" s="1236">
        <v>13688.88</v>
      </c>
      <c r="CS17" s="1025"/>
      <c r="CT17" s="1024"/>
      <c r="CU17" s="1027"/>
      <c r="CV17" s="1026"/>
      <c r="CW17" s="1024"/>
      <c r="CX17" s="1026"/>
      <c r="CY17" s="1026"/>
      <c r="CZ17" s="1026"/>
      <c r="DA17" s="1026"/>
      <c r="DB17" s="1024"/>
      <c r="DC17" s="1024"/>
      <c r="DD17" s="1236">
        <v>7463000</v>
      </c>
      <c r="DE17" s="1027"/>
      <c r="DF17" s="1027"/>
      <c r="DG17" s="1027"/>
      <c r="DH17" s="1028"/>
      <c r="DI17" s="1027"/>
      <c r="DJ17" s="1027"/>
      <c r="DK17" s="1026"/>
      <c r="DL17" s="1026"/>
      <c r="DM17" s="1026"/>
      <c r="DN17" s="1027"/>
      <c r="DO17" s="1027"/>
      <c r="DP17" s="1176"/>
      <c r="DQ17" s="1779">
        <f t="shared" si="29"/>
        <v>80114.58</v>
      </c>
      <c r="DR17" s="1779">
        <f t="shared" si="30"/>
        <v>0</v>
      </c>
      <c r="DS17" s="1779">
        <f t="shared" si="31"/>
        <v>0</v>
      </c>
      <c r="DT17" s="1779">
        <f t="shared" si="32"/>
        <v>0</v>
      </c>
      <c r="DU17" s="1779">
        <f t="shared" si="33"/>
        <v>0</v>
      </c>
      <c r="DV17" s="1779">
        <f t="shared" si="34"/>
        <v>0</v>
      </c>
      <c r="DW17" s="1779">
        <f t="shared" si="35"/>
        <v>330836.56890894799</v>
      </c>
      <c r="DX17" s="1779">
        <f t="shared" si="36"/>
        <v>402446.88</v>
      </c>
      <c r="DY17" s="1779">
        <f t="shared" si="37"/>
        <v>0</v>
      </c>
      <c r="DZ17" s="1779">
        <f t="shared" si="38"/>
        <v>0</v>
      </c>
      <c r="EA17" s="1779">
        <f t="shared" si="39"/>
        <v>0</v>
      </c>
      <c r="EB17" s="1779">
        <f t="shared" si="40"/>
        <v>97462.498136519775</v>
      </c>
      <c r="EC17" s="1779">
        <f t="shared" si="41"/>
        <v>0</v>
      </c>
      <c r="ED17" s="1779">
        <f t="shared" si="42"/>
        <v>0</v>
      </c>
      <c r="EE17" s="1779">
        <f t="shared" si="43"/>
        <v>0</v>
      </c>
      <c r="EF17" s="1779">
        <f t="shared" si="44"/>
        <v>0</v>
      </c>
      <c r="EG17" s="1779">
        <f t="shared" si="45"/>
        <v>0</v>
      </c>
      <c r="EH17" s="1779">
        <f t="shared" si="46"/>
        <v>0</v>
      </c>
      <c r="EI17" s="1779">
        <f t="shared" si="47"/>
        <v>0</v>
      </c>
      <c r="EJ17" s="1779">
        <f t="shared" si="48"/>
        <v>0</v>
      </c>
      <c r="EK17" s="1779">
        <f t="shared" si="49"/>
        <v>0</v>
      </c>
      <c r="EL17" s="1779">
        <f t="shared" si="50"/>
        <v>0</v>
      </c>
      <c r="EM17" s="1779">
        <f t="shared" si="51"/>
        <v>0</v>
      </c>
      <c r="EN17" s="1779">
        <f t="shared" si="52"/>
        <v>69177.955082595203</v>
      </c>
      <c r="EO17" s="1779">
        <f t="shared" si="53"/>
        <v>0</v>
      </c>
      <c r="EP17" s="1779">
        <f t="shared" si="54"/>
        <v>0</v>
      </c>
      <c r="EQ17" s="1779">
        <f t="shared" si="55"/>
        <v>0</v>
      </c>
      <c r="ER17" s="1779">
        <f t="shared" si="56"/>
        <v>0</v>
      </c>
      <c r="ES17" s="1779">
        <f t="shared" si="57"/>
        <v>0</v>
      </c>
      <c r="ET17" s="1779">
        <f t="shared" si="58"/>
        <v>0</v>
      </c>
      <c r="EU17" s="1779">
        <f t="shared" si="59"/>
        <v>0</v>
      </c>
      <c r="EV17" s="1779">
        <f t="shared" si="60"/>
        <v>0</v>
      </c>
      <c r="EW17" s="1779">
        <f t="shared" si="61"/>
        <v>0</v>
      </c>
      <c r="EX17" s="1779">
        <f t="shared" si="62"/>
        <v>0</v>
      </c>
      <c r="EY17" s="1779">
        <f t="shared" si="63"/>
        <v>0</v>
      </c>
      <c r="EZ17" s="1175">
        <f t="shared" si="64"/>
        <v>980038.48212806298</v>
      </c>
      <c r="FA17" s="1177"/>
      <c r="FB17" s="1202">
        <f t="shared" si="65"/>
        <v>80114.58</v>
      </c>
      <c r="FC17" s="1202">
        <f t="shared" si="66"/>
        <v>0</v>
      </c>
      <c r="FD17" s="1202">
        <f t="shared" si="67"/>
        <v>0</v>
      </c>
      <c r="FE17" s="1202">
        <f t="shared" si="68"/>
        <v>0</v>
      </c>
      <c r="FF17" s="1202">
        <f t="shared" si="69"/>
        <v>0</v>
      </c>
      <c r="FG17" s="1202">
        <f t="shared" si="70"/>
        <v>0</v>
      </c>
      <c r="FH17" s="1202">
        <f t="shared" si="71"/>
        <v>333263.32256953954</v>
      </c>
      <c r="FI17" s="1202">
        <f t="shared" si="72"/>
        <v>406502.39999999997</v>
      </c>
      <c r="FJ17" s="1202">
        <f t="shared" si="73"/>
        <v>0</v>
      </c>
      <c r="FK17" s="1202">
        <f t="shared" si="74"/>
        <v>0</v>
      </c>
      <c r="FL17" s="1202">
        <f t="shared" si="75"/>
        <v>0</v>
      </c>
      <c r="FM17" s="1202">
        <f t="shared" si="76"/>
        <v>92662.766495999997</v>
      </c>
      <c r="FN17" s="1202">
        <f t="shared" si="77"/>
        <v>0</v>
      </c>
      <c r="FO17" s="1202">
        <f t="shared" si="78"/>
        <v>0</v>
      </c>
      <c r="FP17" s="1202">
        <f t="shared" si="79"/>
        <v>0</v>
      </c>
      <c r="FQ17" s="1202">
        <f t="shared" si="80"/>
        <v>0</v>
      </c>
      <c r="FR17" s="1202">
        <f t="shared" si="81"/>
        <v>0</v>
      </c>
      <c r="FS17" s="1202">
        <f t="shared" si="82"/>
        <v>0</v>
      </c>
      <c r="FT17" s="1202">
        <f t="shared" si="83"/>
        <v>0</v>
      </c>
      <c r="FU17" s="1202">
        <f t="shared" si="84"/>
        <v>0</v>
      </c>
      <c r="FV17" s="1202">
        <f t="shared" si="85"/>
        <v>0</v>
      </c>
      <c r="FW17" s="1202">
        <f t="shared" si="86"/>
        <v>0</v>
      </c>
      <c r="FX17" s="1202">
        <f t="shared" si="87"/>
        <v>0</v>
      </c>
      <c r="FY17" s="1202">
        <f t="shared" si="88"/>
        <v>61471.815870362741</v>
      </c>
      <c r="FZ17" s="1202">
        <f t="shared" si="89"/>
        <v>0</v>
      </c>
      <c r="GA17" s="1202">
        <f t="shared" si="90"/>
        <v>0</v>
      </c>
      <c r="GB17" s="1202">
        <f t="shared" si="91"/>
        <v>0</v>
      </c>
      <c r="GC17" s="1202">
        <f t="shared" si="92"/>
        <v>0</v>
      </c>
      <c r="GD17" s="1202">
        <f t="shared" si="93"/>
        <v>0</v>
      </c>
      <c r="GE17" s="1202">
        <f t="shared" si="94"/>
        <v>0</v>
      </c>
      <c r="GF17" s="1202">
        <f t="shared" si="95"/>
        <v>0</v>
      </c>
      <c r="GG17" s="1202">
        <f t="shared" si="96"/>
        <v>0</v>
      </c>
      <c r="GH17" s="1202">
        <f t="shared" si="97"/>
        <v>0</v>
      </c>
      <c r="GI17" s="1202">
        <f t="shared" si="98"/>
        <v>0</v>
      </c>
      <c r="GJ17" s="1202">
        <f t="shared" si="99"/>
        <v>0</v>
      </c>
      <c r="GK17" s="1174">
        <f t="shared" si="100"/>
        <v>974014.8849359022</v>
      </c>
    </row>
    <row r="18" spans="1:193" s="1015" customFormat="1">
      <c r="A18" s="1003"/>
      <c r="B18" s="1149"/>
      <c r="C18" s="1149" t="s">
        <v>277</v>
      </c>
      <c r="D18" s="1149" t="s">
        <v>277</v>
      </c>
      <c r="E18" s="1149" t="s">
        <v>762</v>
      </c>
      <c r="F18" s="1149" t="s">
        <v>762</v>
      </c>
      <c r="G18" s="1149" t="s">
        <v>790</v>
      </c>
      <c r="H18" s="1149" t="s">
        <v>216</v>
      </c>
      <c r="I18" s="1149" t="s">
        <v>744</v>
      </c>
      <c r="J18" s="1177"/>
      <c r="K18" s="1177"/>
      <c r="L18" s="1233">
        <v>44.44</v>
      </c>
      <c r="M18" s="1019"/>
      <c r="N18" s="1019"/>
      <c r="O18" s="1019"/>
      <c r="P18" s="1019"/>
      <c r="Q18" s="1019"/>
      <c r="R18" s="1233">
        <v>5.5268387722844636</v>
      </c>
      <c r="S18" s="1233">
        <v>14.053139999999999</v>
      </c>
      <c r="T18" s="1004"/>
      <c r="U18" s="1020"/>
      <c r="V18" s="1020"/>
      <c r="W18" s="1233">
        <v>18.444879518072288</v>
      </c>
      <c r="X18" s="1020"/>
      <c r="Y18" s="1020"/>
      <c r="Z18" s="1004"/>
      <c r="AA18" s="1020"/>
      <c r="AB18" s="1020"/>
      <c r="AC18" s="1020"/>
      <c r="AD18" s="1020"/>
      <c r="AE18" s="1020"/>
      <c r="AF18" s="1020"/>
      <c r="AG18" s="1020"/>
      <c r="AH18" s="1020"/>
      <c r="AI18" s="1224">
        <v>9.2694566638878741E-3</v>
      </c>
      <c r="AJ18" s="1021"/>
      <c r="AK18" s="1021"/>
      <c r="AL18" s="1021"/>
      <c r="AM18" s="1021"/>
      <c r="AN18" s="1021"/>
      <c r="AO18" s="1021"/>
      <c r="AP18" s="1020"/>
      <c r="AQ18" s="1020"/>
      <c r="AR18" s="1020"/>
      <c r="AS18" s="1021"/>
      <c r="AT18" s="1021"/>
      <c r="AU18" s="1176"/>
      <c r="AV18" s="1176"/>
      <c r="AW18" s="1182">
        <v>44.44</v>
      </c>
      <c r="AX18" s="1023"/>
      <c r="AY18" s="1023"/>
      <c r="AZ18" s="1023"/>
      <c r="BA18" s="1023"/>
      <c r="BB18" s="1023"/>
      <c r="BC18" s="1182">
        <v>5.5673792611015624</v>
      </c>
      <c r="BD18" s="1182">
        <v>13.913600000000001</v>
      </c>
      <c r="BE18" s="1020"/>
      <c r="BF18" s="1020"/>
      <c r="BG18" s="1020"/>
      <c r="BH18" s="1182">
        <v>19.123200000000001</v>
      </c>
      <c r="BI18" s="1020"/>
      <c r="BJ18" s="1020"/>
      <c r="BK18" s="1020"/>
      <c r="BL18" s="1020"/>
      <c r="BM18" s="1020"/>
      <c r="BN18" s="1020"/>
      <c r="BO18" s="1020"/>
      <c r="BP18" s="1020"/>
      <c r="BQ18" s="1020"/>
      <c r="BR18" s="1021"/>
      <c r="BS18" s="1022"/>
      <c r="BT18" s="1226">
        <v>8.2368773777787407E-3</v>
      </c>
      <c r="BU18" s="1238"/>
      <c r="BV18" s="1238"/>
      <c r="BW18" s="1238"/>
      <c r="BX18" s="1238"/>
      <c r="BY18" s="1238"/>
      <c r="BZ18" s="1237"/>
      <c r="CA18" s="1020"/>
      <c r="CB18" s="1020"/>
      <c r="CC18" s="1020"/>
      <c r="CD18" s="1237"/>
      <c r="CE18" s="1237"/>
      <c r="CF18" s="1176"/>
      <c r="CG18" s="1236">
        <v>3</v>
      </c>
      <c r="CH18" s="1024"/>
      <c r="CI18" s="1024"/>
      <c r="CJ18" s="1024"/>
      <c r="CK18" s="1024"/>
      <c r="CL18" s="1024"/>
      <c r="CM18" s="1236">
        <v>12</v>
      </c>
      <c r="CN18" s="1236">
        <v>6710</v>
      </c>
      <c r="CO18" s="1027"/>
      <c r="CP18" s="1026"/>
      <c r="CQ18" s="1026"/>
      <c r="CR18" s="1236">
        <v>19071.115999999998</v>
      </c>
      <c r="CS18" s="1025"/>
      <c r="CT18" s="1024"/>
      <c r="CU18" s="1027"/>
      <c r="CV18" s="1026"/>
      <c r="CW18" s="1024"/>
      <c r="CX18" s="1026"/>
      <c r="CY18" s="1026"/>
      <c r="CZ18" s="1026"/>
      <c r="DA18" s="1026"/>
      <c r="DB18" s="1024"/>
      <c r="DC18" s="1024"/>
      <c r="DD18" s="1236">
        <v>2192000</v>
      </c>
      <c r="DE18" s="1027"/>
      <c r="DF18" s="1027"/>
      <c r="DG18" s="1027"/>
      <c r="DH18" s="1028"/>
      <c r="DI18" s="1027"/>
      <c r="DJ18" s="1027"/>
      <c r="DK18" s="1026"/>
      <c r="DL18" s="1026"/>
      <c r="DM18" s="1026"/>
      <c r="DN18" s="1027"/>
      <c r="DO18" s="1027"/>
      <c r="DP18" s="1176"/>
      <c r="DQ18" s="1779">
        <f t="shared" si="29"/>
        <v>48661.799999999996</v>
      </c>
      <c r="DR18" s="1779">
        <f t="shared" si="30"/>
        <v>0</v>
      </c>
      <c r="DS18" s="1779">
        <f t="shared" si="31"/>
        <v>0</v>
      </c>
      <c r="DT18" s="1779">
        <f t="shared" si="32"/>
        <v>0</v>
      </c>
      <c r="DU18" s="1779">
        <f t="shared" si="33"/>
        <v>0</v>
      </c>
      <c r="DV18" s="1779">
        <f t="shared" si="34"/>
        <v>0</v>
      </c>
      <c r="DW18" s="1779">
        <f t="shared" si="35"/>
        <v>24207.553822605951</v>
      </c>
      <c r="DX18" s="1779">
        <f t="shared" si="36"/>
        <v>1131558.8328</v>
      </c>
      <c r="DY18" s="1779">
        <f t="shared" si="37"/>
        <v>0</v>
      </c>
      <c r="DZ18" s="1779">
        <f t="shared" si="38"/>
        <v>0</v>
      </c>
      <c r="EA18" s="1779">
        <f t="shared" si="39"/>
        <v>0</v>
      </c>
      <c r="EB18" s="1779">
        <f t="shared" si="40"/>
        <v>351764.43689518067</v>
      </c>
      <c r="EC18" s="1779">
        <f t="shared" si="41"/>
        <v>0</v>
      </c>
      <c r="ED18" s="1779">
        <f t="shared" si="42"/>
        <v>0</v>
      </c>
      <c r="EE18" s="1779">
        <f t="shared" si="43"/>
        <v>0</v>
      </c>
      <c r="EF18" s="1779">
        <f t="shared" si="44"/>
        <v>0</v>
      </c>
      <c r="EG18" s="1779">
        <f t="shared" si="45"/>
        <v>0</v>
      </c>
      <c r="EH18" s="1779">
        <f t="shared" si="46"/>
        <v>0</v>
      </c>
      <c r="EI18" s="1779">
        <f t="shared" si="47"/>
        <v>0</v>
      </c>
      <c r="EJ18" s="1779">
        <f t="shared" si="48"/>
        <v>0</v>
      </c>
      <c r="EK18" s="1779">
        <f t="shared" si="49"/>
        <v>0</v>
      </c>
      <c r="EL18" s="1779">
        <f t="shared" si="50"/>
        <v>0</v>
      </c>
      <c r="EM18" s="1779">
        <f t="shared" si="51"/>
        <v>0</v>
      </c>
      <c r="EN18" s="1779">
        <f t="shared" si="52"/>
        <v>20318.64900724222</v>
      </c>
      <c r="EO18" s="1779">
        <f t="shared" si="53"/>
        <v>0</v>
      </c>
      <c r="EP18" s="1779">
        <f t="shared" si="54"/>
        <v>0</v>
      </c>
      <c r="EQ18" s="1779">
        <f t="shared" si="55"/>
        <v>0</v>
      </c>
      <c r="ER18" s="1779">
        <f t="shared" si="56"/>
        <v>0</v>
      </c>
      <c r="ES18" s="1779">
        <f t="shared" si="57"/>
        <v>0</v>
      </c>
      <c r="ET18" s="1779">
        <f t="shared" si="58"/>
        <v>0</v>
      </c>
      <c r="EU18" s="1779">
        <f t="shared" si="59"/>
        <v>0</v>
      </c>
      <c r="EV18" s="1779">
        <f t="shared" si="60"/>
        <v>0</v>
      </c>
      <c r="EW18" s="1779">
        <f t="shared" si="61"/>
        <v>0</v>
      </c>
      <c r="EX18" s="1779">
        <f t="shared" si="62"/>
        <v>0</v>
      </c>
      <c r="EY18" s="1779">
        <f t="shared" si="63"/>
        <v>0</v>
      </c>
      <c r="EZ18" s="1175">
        <f t="shared" si="64"/>
        <v>1576511.2725250288</v>
      </c>
      <c r="FA18" s="1177"/>
      <c r="FB18" s="1202">
        <f t="shared" si="65"/>
        <v>48661.799999999996</v>
      </c>
      <c r="FC18" s="1202">
        <f t="shared" si="66"/>
        <v>0</v>
      </c>
      <c r="FD18" s="1202">
        <f t="shared" si="67"/>
        <v>0</v>
      </c>
      <c r="FE18" s="1202">
        <f t="shared" si="68"/>
        <v>0</v>
      </c>
      <c r="FF18" s="1202">
        <f t="shared" si="69"/>
        <v>0</v>
      </c>
      <c r="FG18" s="1202">
        <f t="shared" si="70"/>
        <v>0</v>
      </c>
      <c r="FH18" s="1202">
        <f t="shared" si="71"/>
        <v>24385.121163624841</v>
      </c>
      <c r="FI18" s="1202">
        <f t="shared" si="72"/>
        <v>1120323.0720000002</v>
      </c>
      <c r="FJ18" s="1202">
        <f t="shared" si="73"/>
        <v>0</v>
      </c>
      <c r="FK18" s="1202">
        <f t="shared" si="74"/>
        <v>0</v>
      </c>
      <c r="FL18" s="1202">
        <f t="shared" si="75"/>
        <v>0</v>
      </c>
      <c r="FM18" s="1202">
        <f t="shared" si="76"/>
        <v>364700.76549119997</v>
      </c>
      <c r="FN18" s="1202">
        <f t="shared" si="77"/>
        <v>0</v>
      </c>
      <c r="FO18" s="1202">
        <f t="shared" si="78"/>
        <v>0</v>
      </c>
      <c r="FP18" s="1202">
        <f t="shared" si="79"/>
        <v>0</v>
      </c>
      <c r="FQ18" s="1202">
        <f t="shared" si="80"/>
        <v>0</v>
      </c>
      <c r="FR18" s="1202">
        <f t="shared" si="81"/>
        <v>0</v>
      </c>
      <c r="FS18" s="1202">
        <f t="shared" si="82"/>
        <v>0</v>
      </c>
      <c r="FT18" s="1202">
        <f t="shared" si="83"/>
        <v>0</v>
      </c>
      <c r="FU18" s="1202">
        <f t="shared" si="84"/>
        <v>0</v>
      </c>
      <c r="FV18" s="1202">
        <f t="shared" si="85"/>
        <v>0</v>
      </c>
      <c r="FW18" s="1202">
        <f t="shared" si="86"/>
        <v>0</v>
      </c>
      <c r="FX18" s="1202">
        <f t="shared" si="87"/>
        <v>0</v>
      </c>
      <c r="FY18" s="1202">
        <f t="shared" si="88"/>
        <v>18055.235212091</v>
      </c>
      <c r="FZ18" s="1202">
        <f t="shared" si="89"/>
        <v>0</v>
      </c>
      <c r="GA18" s="1202">
        <f t="shared" si="90"/>
        <v>0</v>
      </c>
      <c r="GB18" s="1202">
        <f t="shared" si="91"/>
        <v>0</v>
      </c>
      <c r="GC18" s="1202">
        <f t="shared" si="92"/>
        <v>0</v>
      </c>
      <c r="GD18" s="1202">
        <f t="shared" si="93"/>
        <v>0</v>
      </c>
      <c r="GE18" s="1202">
        <f t="shared" si="94"/>
        <v>0</v>
      </c>
      <c r="GF18" s="1202">
        <f t="shared" si="95"/>
        <v>0</v>
      </c>
      <c r="GG18" s="1202">
        <f t="shared" si="96"/>
        <v>0</v>
      </c>
      <c r="GH18" s="1202">
        <f t="shared" si="97"/>
        <v>0</v>
      </c>
      <c r="GI18" s="1202">
        <f t="shared" si="98"/>
        <v>0</v>
      </c>
      <c r="GJ18" s="1202">
        <f t="shared" si="99"/>
        <v>0</v>
      </c>
      <c r="GK18" s="1174">
        <f t="shared" si="100"/>
        <v>1576125.9938669158</v>
      </c>
    </row>
    <row r="19" spans="1:193" s="1015" customFormat="1">
      <c r="A19" s="1003"/>
      <c r="B19" s="1149"/>
      <c r="C19" s="1149" t="s">
        <v>278</v>
      </c>
      <c r="D19" s="1149" t="s">
        <v>278</v>
      </c>
      <c r="E19" s="1149" t="s">
        <v>762</v>
      </c>
      <c r="F19" s="1149" t="s">
        <v>762</v>
      </c>
      <c r="G19" s="1149" t="s">
        <v>790</v>
      </c>
      <c r="H19" s="1149" t="s">
        <v>217</v>
      </c>
      <c r="I19" s="1149" t="s">
        <v>744</v>
      </c>
      <c r="J19" s="1177"/>
      <c r="K19" s="1177"/>
      <c r="L19" s="1233">
        <v>0</v>
      </c>
      <c r="M19" s="1019"/>
      <c r="N19" s="1019"/>
      <c r="O19" s="1019"/>
      <c r="P19" s="1019"/>
      <c r="Q19" s="1019"/>
      <c r="R19" s="1233">
        <v>5.5268387722844636</v>
      </c>
      <c r="S19" s="1233">
        <v>0</v>
      </c>
      <c r="T19" s="1004"/>
      <c r="U19" s="1020"/>
      <c r="V19" s="1020"/>
      <c r="W19" s="1233">
        <v>31.317211703958694</v>
      </c>
      <c r="X19" s="1020"/>
      <c r="Y19" s="1020"/>
      <c r="Z19" s="1004"/>
      <c r="AA19" s="1020"/>
      <c r="AB19" s="1020"/>
      <c r="AC19" s="1020"/>
      <c r="AD19" s="1020"/>
      <c r="AE19" s="1020"/>
      <c r="AF19" s="1020"/>
      <c r="AG19" s="1020"/>
      <c r="AH19" s="1020"/>
      <c r="AI19" s="1224">
        <v>9.2694566638878741E-3</v>
      </c>
      <c r="AJ19" s="1021"/>
      <c r="AK19" s="1021"/>
      <c r="AL19" s="1021"/>
      <c r="AM19" s="1021"/>
      <c r="AN19" s="1021"/>
      <c r="AO19" s="1021"/>
      <c r="AP19" s="1020"/>
      <c r="AQ19" s="1020"/>
      <c r="AR19" s="1020"/>
      <c r="AS19" s="1021"/>
      <c r="AT19" s="1021"/>
      <c r="AU19" s="1176"/>
      <c r="AV19" s="1176"/>
      <c r="AW19" s="1182">
        <v>0</v>
      </c>
      <c r="AX19" s="1023"/>
      <c r="AY19" s="1023"/>
      <c r="AZ19" s="1023"/>
      <c r="BA19" s="1023"/>
      <c r="BB19" s="1023"/>
      <c r="BC19" s="1229">
        <v>0</v>
      </c>
      <c r="BD19" s="1229">
        <v>0</v>
      </c>
      <c r="BE19" s="1020"/>
      <c r="BF19" s="1020"/>
      <c r="BG19" s="1020"/>
      <c r="BH19" s="1229">
        <v>0</v>
      </c>
      <c r="BI19" s="1020"/>
      <c r="BJ19" s="1020"/>
      <c r="BK19" s="1020"/>
      <c r="BL19" s="1020"/>
      <c r="BM19" s="1020"/>
      <c r="BN19" s="1020"/>
      <c r="BO19" s="1020"/>
      <c r="BP19" s="1020"/>
      <c r="BQ19" s="1020"/>
      <c r="BR19" s="1021"/>
      <c r="BS19" s="1022"/>
      <c r="BT19" s="1226">
        <v>0</v>
      </c>
      <c r="BU19" s="1238"/>
      <c r="BV19" s="1238"/>
      <c r="BW19" s="1238"/>
      <c r="BX19" s="1238"/>
      <c r="BY19" s="1238"/>
      <c r="BZ19" s="1237"/>
      <c r="CA19" s="1020"/>
      <c r="CB19" s="1020"/>
      <c r="CC19" s="1020"/>
      <c r="CD19" s="1237"/>
      <c r="CE19" s="1237"/>
      <c r="CF19" s="1176"/>
      <c r="CG19" s="1236">
        <v>0</v>
      </c>
      <c r="CH19" s="1024"/>
      <c r="CI19" s="1024"/>
      <c r="CJ19" s="1024"/>
      <c r="CK19" s="1024"/>
      <c r="CL19" s="1024"/>
      <c r="CM19" s="1236">
        <v>0</v>
      </c>
      <c r="CN19" s="1236">
        <v>0</v>
      </c>
      <c r="CO19" s="1027"/>
      <c r="CP19" s="1026"/>
      <c r="CQ19" s="1026"/>
      <c r="CR19" s="1236">
        <v>0</v>
      </c>
      <c r="CS19" s="1025"/>
      <c r="CT19" s="1024"/>
      <c r="CU19" s="1027"/>
      <c r="CV19" s="1026"/>
      <c r="CW19" s="1024"/>
      <c r="CX19" s="1026"/>
      <c r="CY19" s="1026"/>
      <c r="CZ19" s="1026"/>
      <c r="DA19" s="1026"/>
      <c r="DB19" s="1024"/>
      <c r="DC19" s="1024"/>
      <c r="DD19" s="1236">
        <v>0</v>
      </c>
      <c r="DE19" s="1027"/>
      <c r="DF19" s="1027"/>
      <c r="DG19" s="1027"/>
      <c r="DH19" s="1028"/>
      <c r="DI19" s="1027"/>
      <c r="DJ19" s="1027"/>
      <c r="DK19" s="1026"/>
      <c r="DL19" s="1026"/>
      <c r="DM19" s="1026"/>
      <c r="DN19" s="1027"/>
      <c r="DO19" s="1027"/>
      <c r="DP19" s="1176"/>
      <c r="DQ19" s="1779">
        <f t="shared" si="29"/>
        <v>0</v>
      </c>
      <c r="DR19" s="1779">
        <f t="shared" si="30"/>
        <v>0</v>
      </c>
      <c r="DS19" s="1779">
        <f t="shared" si="31"/>
        <v>0</v>
      </c>
      <c r="DT19" s="1779">
        <f t="shared" si="32"/>
        <v>0</v>
      </c>
      <c r="DU19" s="1779">
        <f t="shared" si="33"/>
        <v>0</v>
      </c>
      <c r="DV19" s="1779">
        <f t="shared" si="34"/>
        <v>0</v>
      </c>
      <c r="DW19" s="1779">
        <f t="shared" si="35"/>
        <v>0</v>
      </c>
      <c r="DX19" s="1779">
        <f t="shared" si="36"/>
        <v>0</v>
      </c>
      <c r="DY19" s="1779">
        <f t="shared" si="37"/>
        <v>0</v>
      </c>
      <c r="DZ19" s="1779">
        <f t="shared" si="38"/>
        <v>0</v>
      </c>
      <c r="EA19" s="1779">
        <f t="shared" si="39"/>
        <v>0</v>
      </c>
      <c r="EB19" s="1779">
        <f t="shared" si="40"/>
        <v>0</v>
      </c>
      <c r="EC19" s="1779">
        <f t="shared" si="41"/>
        <v>0</v>
      </c>
      <c r="ED19" s="1779">
        <f t="shared" si="42"/>
        <v>0</v>
      </c>
      <c r="EE19" s="1779">
        <f t="shared" si="43"/>
        <v>0</v>
      </c>
      <c r="EF19" s="1779">
        <f t="shared" si="44"/>
        <v>0</v>
      </c>
      <c r="EG19" s="1779">
        <f t="shared" si="45"/>
        <v>0</v>
      </c>
      <c r="EH19" s="1779">
        <f t="shared" si="46"/>
        <v>0</v>
      </c>
      <c r="EI19" s="1779">
        <f t="shared" si="47"/>
        <v>0</v>
      </c>
      <c r="EJ19" s="1779">
        <f t="shared" si="48"/>
        <v>0</v>
      </c>
      <c r="EK19" s="1779">
        <f t="shared" si="49"/>
        <v>0</v>
      </c>
      <c r="EL19" s="1779">
        <f t="shared" si="50"/>
        <v>0</v>
      </c>
      <c r="EM19" s="1779">
        <f t="shared" si="51"/>
        <v>0</v>
      </c>
      <c r="EN19" s="1779">
        <f t="shared" si="52"/>
        <v>0</v>
      </c>
      <c r="EO19" s="1779">
        <f t="shared" si="53"/>
        <v>0</v>
      </c>
      <c r="EP19" s="1779">
        <f t="shared" si="54"/>
        <v>0</v>
      </c>
      <c r="EQ19" s="1779">
        <f t="shared" si="55"/>
        <v>0</v>
      </c>
      <c r="ER19" s="1779">
        <f t="shared" si="56"/>
        <v>0</v>
      </c>
      <c r="ES19" s="1779">
        <f t="shared" si="57"/>
        <v>0</v>
      </c>
      <c r="ET19" s="1779">
        <f t="shared" si="58"/>
        <v>0</v>
      </c>
      <c r="EU19" s="1779">
        <f t="shared" si="59"/>
        <v>0</v>
      </c>
      <c r="EV19" s="1779">
        <f t="shared" si="60"/>
        <v>0</v>
      </c>
      <c r="EW19" s="1779">
        <f t="shared" si="61"/>
        <v>0</v>
      </c>
      <c r="EX19" s="1779">
        <f t="shared" si="62"/>
        <v>0</v>
      </c>
      <c r="EY19" s="1779">
        <f t="shared" si="63"/>
        <v>0</v>
      </c>
      <c r="EZ19" s="1175">
        <f t="shared" si="64"/>
        <v>0</v>
      </c>
      <c r="FA19" s="1177"/>
      <c r="FB19" s="1202">
        <f t="shared" si="65"/>
        <v>0</v>
      </c>
      <c r="FC19" s="1202">
        <f t="shared" si="66"/>
        <v>0</v>
      </c>
      <c r="FD19" s="1202">
        <f t="shared" si="67"/>
        <v>0</v>
      </c>
      <c r="FE19" s="1202">
        <f t="shared" si="68"/>
        <v>0</v>
      </c>
      <c r="FF19" s="1202">
        <f t="shared" si="69"/>
        <v>0</v>
      </c>
      <c r="FG19" s="1202">
        <f t="shared" si="70"/>
        <v>0</v>
      </c>
      <c r="FH19" s="1202">
        <f t="shared" si="71"/>
        <v>0</v>
      </c>
      <c r="FI19" s="1202">
        <f t="shared" si="72"/>
        <v>0</v>
      </c>
      <c r="FJ19" s="1202">
        <f t="shared" si="73"/>
        <v>0</v>
      </c>
      <c r="FK19" s="1202">
        <f t="shared" si="74"/>
        <v>0</v>
      </c>
      <c r="FL19" s="1202">
        <f t="shared" si="75"/>
        <v>0</v>
      </c>
      <c r="FM19" s="1202">
        <f t="shared" si="76"/>
        <v>0</v>
      </c>
      <c r="FN19" s="1202">
        <f t="shared" si="77"/>
        <v>0</v>
      </c>
      <c r="FO19" s="1202">
        <f t="shared" si="78"/>
        <v>0</v>
      </c>
      <c r="FP19" s="1202">
        <f t="shared" si="79"/>
        <v>0</v>
      </c>
      <c r="FQ19" s="1202">
        <f t="shared" si="80"/>
        <v>0</v>
      </c>
      <c r="FR19" s="1202">
        <f t="shared" si="81"/>
        <v>0</v>
      </c>
      <c r="FS19" s="1202">
        <f t="shared" si="82"/>
        <v>0</v>
      </c>
      <c r="FT19" s="1202">
        <f t="shared" si="83"/>
        <v>0</v>
      </c>
      <c r="FU19" s="1202">
        <f t="shared" si="84"/>
        <v>0</v>
      </c>
      <c r="FV19" s="1202">
        <f t="shared" si="85"/>
        <v>0</v>
      </c>
      <c r="FW19" s="1202">
        <f t="shared" si="86"/>
        <v>0</v>
      </c>
      <c r="FX19" s="1202">
        <f t="shared" si="87"/>
        <v>0</v>
      </c>
      <c r="FY19" s="1202">
        <f t="shared" si="88"/>
        <v>0</v>
      </c>
      <c r="FZ19" s="1202">
        <f t="shared" si="89"/>
        <v>0</v>
      </c>
      <c r="GA19" s="1202">
        <f t="shared" si="90"/>
        <v>0</v>
      </c>
      <c r="GB19" s="1202">
        <f t="shared" si="91"/>
        <v>0</v>
      </c>
      <c r="GC19" s="1202">
        <f t="shared" si="92"/>
        <v>0</v>
      </c>
      <c r="GD19" s="1202">
        <f t="shared" si="93"/>
        <v>0</v>
      </c>
      <c r="GE19" s="1202">
        <f t="shared" si="94"/>
        <v>0</v>
      </c>
      <c r="GF19" s="1202">
        <f t="shared" si="95"/>
        <v>0</v>
      </c>
      <c r="GG19" s="1202">
        <f t="shared" si="96"/>
        <v>0</v>
      </c>
      <c r="GH19" s="1202">
        <f t="shared" si="97"/>
        <v>0</v>
      </c>
      <c r="GI19" s="1202">
        <f t="shared" si="98"/>
        <v>0</v>
      </c>
      <c r="GJ19" s="1202">
        <f t="shared" si="99"/>
        <v>0</v>
      </c>
      <c r="GK19" s="1174">
        <f t="shared" si="100"/>
        <v>0</v>
      </c>
    </row>
    <row r="20" spans="1:193" s="1015" customFormat="1">
      <c r="A20" s="1003"/>
      <c r="B20" s="1149"/>
      <c r="C20" s="1149" t="s">
        <v>279</v>
      </c>
      <c r="D20" s="1149" t="s">
        <v>279</v>
      </c>
      <c r="E20" s="1149" t="s">
        <v>762</v>
      </c>
      <c r="F20" s="1149" t="s">
        <v>762</v>
      </c>
      <c r="G20" s="1149" t="s">
        <v>790</v>
      </c>
      <c r="H20" s="1149" t="s">
        <v>218</v>
      </c>
      <c r="I20" s="1149" t="s">
        <v>744</v>
      </c>
      <c r="J20" s="1177"/>
      <c r="K20" s="1177"/>
      <c r="L20" s="1233">
        <v>26.664000000000001</v>
      </c>
      <c r="M20" s="1019"/>
      <c r="N20" s="1019"/>
      <c r="O20" s="1019"/>
      <c r="P20" s="1019"/>
      <c r="Q20" s="1019"/>
      <c r="R20" s="1233">
        <v>5.5268387722844636</v>
      </c>
      <c r="S20" s="1233">
        <v>18.627839999999999</v>
      </c>
      <c r="T20" s="1004"/>
      <c r="U20" s="1020"/>
      <c r="V20" s="1020"/>
      <c r="W20" s="1233">
        <v>31.317211703958694</v>
      </c>
      <c r="X20" s="1020"/>
      <c r="Y20" s="1020"/>
      <c r="Z20" s="1004"/>
      <c r="AA20" s="1020"/>
      <c r="AB20" s="1020"/>
      <c r="AC20" s="1020"/>
      <c r="AD20" s="1020"/>
      <c r="AE20" s="1020"/>
      <c r="AF20" s="1020"/>
      <c r="AG20" s="1020"/>
      <c r="AH20" s="1020"/>
      <c r="AI20" s="1224">
        <v>9.2694566638878741E-3</v>
      </c>
      <c r="AJ20" s="1021"/>
      <c r="AK20" s="1021"/>
      <c r="AL20" s="1021"/>
      <c r="AM20" s="1021"/>
      <c r="AN20" s="1021"/>
      <c r="AO20" s="1021"/>
      <c r="AP20" s="1020"/>
      <c r="AQ20" s="1020"/>
      <c r="AR20" s="1020"/>
      <c r="AS20" s="1021"/>
      <c r="AT20" s="1021"/>
      <c r="AU20" s="1176"/>
      <c r="AV20" s="1176"/>
      <c r="AW20" s="1182">
        <v>26.664000000000001</v>
      </c>
      <c r="AX20" s="1023"/>
      <c r="AY20" s="1023"/>
      <c r="AZ20" s="1023"/>
      <c r="BA20" s="1023"/>
      <c r="BB20" s="1023"/>
      <c r="BC20" s="1182">
        <v>5.5673792611015624</v>
      </c>
      <c r="BD20" s="1182">
        <v>18.815999999999999</v>
      </c>
      <c r="BE20" s="1020"/>
      <c r="BF20" s="1020"/>
      <c r="BG20" s="1020"/>
      <c r="BH20" s="1182">
        <v>30</v>
      </c>
      <c r="BI20" s="1020"/>
      <c r="BJ20" s="1020"/>
      <c r="BK20" s="1020"/>
      <c r="BL20" s="1020"/>
      <c r="BM20" s="1020"/>
      <c r="BN20" s="1020"/>
      <c r="BO20" s="1020"/>
      <c r="BP20" s="1020"/>
      <c r="BQ20" s="1020"/>
      <c r="BR20" s="1021"/>
      <c r="BS20" s="1022"/>
      <c r="BT20" s="1226">
        <v>8.2368773777787407E-3</v>
      </c>
      <c r="BU20" s="1238"/>
      <c r="BV20" s="1238"/>
      <c r="BW20" s="1238"/>
      <c r="BX20" s="1238"/>
      <c r="BY20" s="1238"/>
      <c r="BZ20" s="1237"/>
      <c r="CA20" s="1020"/>
      <c r="CB20" s="1020"/>
      <c r="CC20" s="1020"/>
      <c r="CD20" s="1237"/>
      <c r="CE20" s="1237"/>
      <c r="CF20" s="1176"/>
      <c r="CG20" s="1236">
        <v>2</v>
      </c>
      <c r="CH20" s="1024"/>
      <c r="CI20" s="1024"/>
      <c r="CJ20" s="1024"/>
      <c r="CK20" s="1024"/>
      <c r="CL20" s="1024"/>
      <c r="CM20" s="1236">
        <v>17</v>
      </c>
      <c r="CN20" s="1236">
        <v>4577</v>
      </c>
      <c r="CO20" s="1027"/>
      <c r="CP20" s="1026"/>
      <c r="CQ20" s="1026"/>
      <c r="CR20" s="1236">
        <v>26250.846000000001</v>
      </c>
      <c r="CS20" s="1025"/>
      <c r="CT20" s="1024"/>
      <c r="CU20" s="1027"/>
      <c r="CV20" s="1026"/>
      <c r="CW20" s="1024"/>
      <c r="CX20" s="1026"/>
      <c r="CY20" s="1026"/>
      <c r="CZ20" s="1026"/>
      <c r="DA20" s="1026"/>
      <c r="DB20" s="1024"/>
      <c r="DC20" s="1024"/>
      <c r="DD20" s="1236">
        <v>11238000</v>
      </c>
      <c r="DE20" s="1027"/>
      <c r="DF20" s="1027"/>
      <c r="DG20" s="1027"/>
      <c r="DH20" s="1028"/>
      <c r="DI20" s="1027"/>
      <c r="DJ20" s="1027"/>
      <c r="DK20" s="1026"/>
      <c r="DL20" s="1026"/>
      <c r="DM20" s="1026"/>
      <c r="DN20" s="1027"/>
      <c r="DO20" s="1027"/>
      <c r="DP20" s="1176"/>
      <c r="DQ20" s="1779">
        <f t="shared" si="29"/>
        <v>19464.72</v>
      </c>
      <c r="DR20" s="1779">
        <f t="shared" si="30"/>
        <v>0</v>
      </c>
      <c r="DS20" s="1779">
        <f t="shared" si="31"/>
        <v>0</v>
      </c>
      <c r="DT20" s="1779">
        <f t="shared" si="32"/>
        <v>0</v>
      </c>
      <c r="DU20" s="1779">
        <f t="shared" si="33"/>
        <v>0</v>
      </c>
      <c r="DV20" s="1779">
        <f t="shared" si="34"/>
        <v>0</v>
      </c>
      <c r="DW20" s="1779">
        <f t="shared" si="35"/>
        <v>34294.034582025095</v>
      </c>
      <c r="DX20" s="1779">
        <f t="shared" si="36"/>
        <v>1023115.4841599999</v>
      </c>
      <c r="DY20" s="1779">
        <f t="shared" si="37"/>
        <v>0</v>
      </c>
      <c r="DZ20" s="1779">
        <f t="shared" si="38"/>
        <v>0</v>
      </c>
      <c r="EA20" s="1779">
        <f t="shared" si="39"/>
        <v>0</v>
      </c>
      <c r="EB20" s="1779">
        <f t="shared" si="40"/>
        <v>822103.30159001728</v>
      </c>
      <c r="EC20" s="1779">
        <f t="shared" si="41"/>
        <v>0</v>
      </c>
      <c r="ED20" s="1779">
        <f t="shared" si="42"/>
        <v>0</v>
      </c>
      <c r="EE20" s="1779">
        <f t="shared" si="43"/>
        <v>0</v>
      </c>
      <c r="EF20" s="1779">
        <f t="shared" si="44"/>
        <v>0</v>
      </c>
      <c r="EG20" s="1779">
        <f t="shared" si="45"/>
        <v>0</v>
      </c>
      <c r="EH20" s="1779">
        <f t="shared" si="46"/>
        <v>0</v>
      </c>
      <c r="EI20" s="1779">
        <f t="shared" si="47"/>
        <v>0</v>
      </c>
      <c r="EJ20" s="1779">
        <f t="shared" si="48"/>
        <v>0</v>
      </c>
      <c r="EK20" s="1779">
        <f t="shared" si="49"/>
        <v>0</v>
      </c>
      <c r="EL20" s="1779">
        <f t="shared" si="50"/>
        <v>0</v>
      </c>
      <c r="EM20" s="1779">
        <f t="shared" si="51"/>
        <v>0</v>
      </c>
      <c r="EN20" s="1779">
        <f t="shared" si="52"/>
        <v>104170.15398877193</v>
      </c>
      <c r="EO20" s="1779">
        <f t="shared" si="53"/>
        <v>0</v>
      </c>
      <c r="EP20" s="1779">
        <f t="shared" si="54"/>
        <v>0</v>
      </c>
      <c r="EQ20" s="1779">
        <f t="shared" si="55"/>
        <v>0</v>
      </c>
      <c r="ER20" s="1779">
        <f t="shared" si="56"/>
        <v>0</v>
      </c>
      <c r="ES20" s="1779">
        <f t="shared" si="57"/>
        <v>0</v>
      </c>
      <c r="ET20" s="1779">
        <f t="shared" si="58"/>
        <v>0</v>
      </c>
      <c r="EU20" s="1779">
        <f t="shared" si="59"/>
        <v>0</v>
      </c>
      <c r="EV20" s="1779">
        <f t="shared" si="60"/>
        <v>0</v>
      </c>
      <c r="EW20" s="1779">
        <f t="shared" si="61"/>
        <v>0</v>
      </c>
      <c r="EX20" s="1779">
        <f t="shared" si="62"/>
        <v>0</v>
      </c>
      <c r="EY20" s="1779">
        <f t="shared" si="63"/>
        <v>0</v>
      </c>
      <c r="EZ20" s="1175">
        <f t="shared" si="64"/>
        <v>2003147.694320814</v>
      </c>
      <c r="FA20" s="1177"/>
      <c r="FB20" s="1202">
        <f t="shared" si="65"/>
        <v>19464.72</v>
      </c>
      <c r="FC20" s="1202">
        <f t="shared" si="66"/>
        <v>0</v>
      </c>
      <c r="FD20" s="1202">
        <f t="shared" si="67"/>
        <v>0</v>
      </c>
      <c r="FE20" s="1202">
        <f t="shared" si="68"/>
        <v>0</v>
      </c>
      <c r="FF20" s="1202">
        <f t="shared" si="69"/>
        <v>0</v>
      </c>
      <c r="FG20" s="1202">
        <f t="shared" si="70"/>
        <v>0</v>
      </c>
      <c r="FH20" s="1202">
        <f t="shared" si="71"/>
        <v>34545.588315135195</v>
      </c>
      <c r="FI20" s="1202">
        <f t="shared" si="72"/>
        <v>1033449.9839999999</v>
      </c>
      <c r="FJ20" s="1202">
        <f t="shared" si="73"/>
        <v>0</v>
      </c>
      <c r="FK20" s="1202">
        <f t="shared" si="74"/>
        <v>0</v>
      </c>
      <c r="FL20" s="1202">
        <f t="shared" si="75"/>
        <v>0</v>
      </c>
      <c r="FM20" s="1202">
        <f t="shared" si="76"/>
        <v>787525.38</v>
      </c>
      <c r="FN20" s="1202">
        <f t="shared" si="77"/>
        <v>0</v>
      </c>
      <c r="FO20" s="1202">
        <f t="shared" si="78"/>
        <v>0</v>
      </c>
      <c r="FP20" s="1202">
        <f t="shared" si="79"/>
        <v>0</v>
      </c>
      <c r="FQ20" s="1202">
        <f t="shared" si="80"/>
        <v>0</v>
      </c>
      <c r="FR20" s="1202">
        <f t="shared" si="81"/>
        <v>0</v>
      </c>
      <c r="FS20" s="1202">
        <f t="shared" si="82"/>
        <v>0</v>
      </c>
      <c r="FT20" s="1202">
        <f t="shared" si="83"/>
        <v>0</v>
      </c>
      <c r="FU20" s="1202">
        <f t="shared" si="84"/>
        <v>0</v>
      </c>
      <c r="FV20" s="1202">
        <f t="shared" si="85"/>
        <v>0</v>
      </c>
      <c r="FW20" s="1202">
        <f t="shared" si="86"/>
        <v>0</v>
      </c>
      <c r="FX20" s="1202">
        <f t="shared" si="87"/>
        <v>0</v>
      </c>
      <c r="FY20" s="1202">
        <f t="shared" si="88"/>
        <v>92566.027971477481</v>
      </c>
      <c r="FZ20" s="1202">
        <f t="shared" si="89"/>
        <v>0</v>
      </c>
      <c r="GA20" s="1202">
        <f t="shared" si="90"/>
        <v>0</v>
      </c>
      <c r="GB20" s="1202">
        <f t="shared" si="91"/>
        <v>0</v>
      </c>
      <c r="GC20" s="1202">
        <f t="shared" si="92"/>
        <v>0</v>
      </c>
      <c r="GD20" s="1202">
        <f t="shared" si="93"/>
        <v>0</v>
      </c>
      <c r="GE20" s="1202">
        <f t="shared" si="94"/>
        <v>0</v>
      </c>
      <c r="GF20" s="1202">
        <f t="shared" si="95"/>
        <v>0</v>
      </c>
      <c r="GG20" s="1202">
        <f t="shared" si="96"/>
        <v>0</v>
      </c>
      <c r="GH20" s="1202">
        <f t="shared" si="97"/>
        <v>0</v>
      </c>
      <c r="GI20" s="1202">
        <f t="shared" si="98"/>
        <v>0</v>
      </c>
      <c r="GJ20" s="1202">
        <f t="shared" si="99"/>
        <v>0</v>
      </c>
      <c r="GK20" s="1174">
        <f t="shared" si="100"/>
        <v>1967551.7002866126</v>
      </c>
    </row>
    <row r="21" spans="1:193" s="1015" customFormat="1">
      <c r="A21" s="1003"/>
      <c r="B21" s="1149"/>
      <c r="C21" s="1149" t="s">
        <v>280</v>
      </c>
      <c r="D21" s="1149" t="s">
        <v>280</v>
      </c>
      <c r="E21" s="1149" t="s">
        <v>762</v>
      </c>
      <c r="F21" s="1149" t="s">
        <v>762</v>
      </c>
      <c r="G21" s="1149" t="s">
        <v>790</v>
      </c>
      <c r="H21" s="1149" t="s">
        <v>219</v>
      </c>
      <c r="I21" s="1149" t="s">
        <v>744</v>
      </c>
      <c r="J21" s="1177"/>
      <c r="K21" s="1177"/>
      <c r="L21" s="1233">
        <v>0</v>
      </c>
      <c r="M21" s="1019"/>
      <c r="N21" s="1019"/>
      <c r="O21" s="1019"/>
      <c r="P21" s="1019"/>
      <c r="Q21" s="1019"/>
      <c r="R21" s="1233">
        <v>5.5268387722844636</v>
      </c>
      <c r="S21" s="1004"/>
      <c r="T21" s="1233">
        <v>17.352719999999998</v>
      </c>
      <c r="U21" s="1020"/>
      <c r="V21" s="1020"/>
      <c r="W21" s="1004"/>
      <c r="X21" s="1004"/>
      <c r="Y21" s="1004"/>
      <c r="Z21" s="1233">
        <v>29.511807228915661</v>
      </c>
      <c r="AA21" s="1020"/>
      <c r="AB21" s="1020"/>
      <c r="AC21" s="1020"/>
      <c r="AD21" s="1020"/>
      <c r="AE21" s="1020"/>
      <c r="AF21" s="1020"/>
      <c r="AG21" s="1020"/>
      <c r="AH21" s="1020"/>
      <c r="AI21" s="1144"/>
      <c r="AJ21" s="1021"/>
      <c r="AK21" s="1021"/>
      <c r="AL21" s="1021"/>
      <c r="AM21" s="1021"/>
      <c r="AN21" s="1021"/>
      <c r="AO21" s="1021"/>
      <c r="AP21" s="1020"/>
      <c r="AQ21" s="1020"/>
      <c r="AR21" s="1020"/>
      <c r="AS21" s="1224">
        <v>2.6290000000000004E-2</v>
      </c>
      <c r="AT21" s="1224">
        <v>0</v>
      </c>
      <c r="AU21" s="1176"/>
      <c r="AV21" s="1176"/>
      <c r="AW21" s="1182">
        <v>0</v>
      </c>
      <c r="AX21" s="1023"/>
      <c r="AY21" s="1023"/>
      <c r="AZ21" s="1023"/>
      <c r="BA21" s="1023"/>
      <c r="BB21" s="1023"/>
      <c r="BC21" s="1182">
        <v>5.5670000000000002</v>
      </c>
      <c r="BD21" s="1019"/>
      <c r="BE21" s="1182">
        <v>17.527999999999999</v>
      </c>
      <c r="BF21" s="1020"/>
      <c r="BG21" s="1020"/>
      <c r="BH21" s="1020"/>
      <c r="BI21" s="1020"/>
      <c r="BJ21" s="1004"/>
      <c r="BK21" s="1182">
        <v>28.175000000000001</v>
      </c>
      <c r="BL21" s="1020"/>
      <c r="BM21" s="1020"/>
      <c r="BN21" s="1020"/>
      <c r="BO21" s="1020"/>
      <c r="BP21" s="1020"/>
      <c r="BQ21" s="1020"/>
      <c r="BR21" s="1021"/>
      <c r="BS21" s="1022"/>
      <c r="BT21" s="1319"/>
      <c r="BU21" s="1238"/>
      <c r="BV21" s="1238"/>
      <c r="BW21" s="1238"/>
      <c r="BX21" s="1238"/>
      <c r="BY21" s="1238"/>
      <c r="BZ21" s="1237"/>
      <c r="CA21" s="1020"/>
      <c r="CB21" s="1020"/>
      <c r="CC21" s="1020"/>
      <c r="CD21" s="1225">
        <v>2.3900000000000001E-2</v>
      </c>
      <c r="CE21" s="1225">
        <v>0</v>
      </c>
      <c r="CF21" s="1176"/>
      <c r="CG21" s="1236">
        <v>0</v>
      </c>
      <c r="CH21" s="1025"/>
      <c r="CI21" s="1025"/>
      <c r="CJ21" s="1025"/>
      <c r="CK21" s="1025"/>
      <c r="CL21" s="1025"/>
      <c r="CM21" s="1236">
        <v>0</v>
      </c>
      <c r="CN21" s="1025"/>
      <c r="CO21" s="1236">
        <v>0</v>
      </c>
      <c r="CP21" s="1026"/>
      <c r="CQ21" s="1026"/>
      <c r="CR21" s="1026"/>
      <c r="CS21" s="1026"/>
      <c r="CT21" s="1024"/>
      <c r="CU21" s="1236">
        <v>0</v>
      </c>
      <c r="CV21" s="1024"/>
      <c r="CW21" s="1024"/>
      <c r="CX21" s="1026"/>
      <c r="CY21" s="1026"/>
      <c r="CZ21" s="1026"/>
      <c r="DA21" s="1026"/>
      <c r="DB21" s="1024"/>
      <c r="DC21" s="1024"/>
      <c r="DD21" s="1179"/>
      <c r="DE21" s="1027"/>
      <c r="DF21" s="1027"/>
      <c r="DG21" s="1027"/>
      <c r="DH21" s="1031"/>
      <c r="DI21" s="1032"/>
      <c r="DJ21" s="1032"/>
      <c r="DK21" s="1026"/>
      <c r="DL21" s="1026"/>
      <c r="DM21" s="1026"/>
      <c r="DN21" s="1236">
        <v>0</v>
      </c>
      <c r="DO21" s="1236">
        <v>0</v>
      </c>
      <c r="DP21" s="1176"/>
      <c r="DQ21" s="1779">
        <f t="shared" si="29"/>
        <v>0</v>
      </c>
      <c r="DR21" s="1779">
        <f t="shared" si="30"/>
        <v>0</v>
      </c>
      <c r="DS21" s="1779">
        <f t="shared" si="31"/>
        <v>0</v>
      </c>
      <c r="DT21" s="1779">
        <f t="shared" si="32"/>
        <v>0</v>
      </c>
      <c r="DU21" s="1779">
        <f t="shared" si="33"/>
        <v>0</v>
      </c>
      <c r="DV21" s="1779">
        <f t="shared" si="34"/>
        <v>0</v>
      </c>
      <c r="DW21" s="1779">
        <f t="shared" si="35"/>
        <v>0</v>
      </c>
      <c r="DX21" s="1779">
        <f t="shared" si="36"/>
        <v>0</v>
      </c>
      <c r="DY21" s="1779">
        <f t="shared" si="37"/>
        <v>0</v>
      </c>
      <c r="DZ21" s="1779">
        <f t="shared" si="38"/>
        <v>0</v>
      </c>
      <c r="EA21" s="1779">
        <f t="shared" si="39"/>
        <v>0</v>
      </c>
      <c r="EB21" s="1779">
        <f t="shared" si="40"/>
        <v>0</v>
      </c>
      <c r="EC21" s="1779">
        <f t="shared" si="41"/>
        <v>0</v>
      </c>
      <c r="ED21" s="1779">
        <f t="shared" si="42"/>
        <v>0</v>
      </c>
      <c r="EE21" s="1779">
        <f t="shared" si="43"/>
        <v>0</v>
      </c>
      <c r="EF21" s="1779">
        <f t="shared" si="44"/>
        <v>0</v>
      </c>
      <c r="EG21" s="1779">
        <f t="shared" si="45"/>
        <v>0</v>
      </c>
      <c r="EH21" s="1779">
        <f t="shared" si="46"/>
        <v>0</v>
      </c>
      <c r="EI21" s="1779">
        <f t="shared" si="47"/>
        <v>0</v>
      </c>
      <c r="EJ21" s="1779">
        <f t="shared" si="48"/>
        <v>0</v>
      </c>
      <c r="EK21" s="1779">
        <f t="shared" si="49"/>
        <v>0</v>
      </c>
      <c r="EL21" s="1779">
        <f t="shared" si="50"/>
        <v>0</v>
      </c>
      <c r="EM21" s="1779">
        <f t="shared" si="51"/>
        <v>0</v>
      </c>
      <c r="EN21" s="1779">
        <f t="shared" si="52"/>
        <v>0</v>
      </c>
      <c r="EO21" s="1779">
        <f t="shared" si="53"/>
        <v>0</v>
      </c>
      <c r="EP21" s="1779">
        <f t="shared" si="54"/>
        <v>0</v>
      </c>
      <c r="EQ21" s="1779">
        <f t="shared" si="55"/>
        <v>0</v>
      </c>
      <c r="ER21" s="1779">
        <f t="shared" si="56"/>
        <v>0</v>
      </c>
      <c r="ES21" s="1779">
        <f t="shared" si="57"/>
        <v>0</v>
      </c>
      <c r="ET21" s="1779">
        <f t="shared" si="58"/>
        <v>0</v>
      </c>
      <c r="EU21" s="1779">
        <f t="shared" si="59"/>
        <v>0</v>
      </c>
      <c r="EV21" s="1779">
        <f t="shared" si="60"/>
        <v>0</v>
      </c>
      <c r="EW21" s="1779">
        <f t="shared" si="61"/>
        <v>0</v>
      </c>
      <c r="EX21" s="1779">
        <f t="shared" si="62"/>
        <v>0</v>
      </c>
      <c r="EY21" s="1779">
        <f t="shared" si="63"/>
        <v>0</v>
      </c>
      <c r="EZ21" s="1175">
        <f t="shared" si="64"/>
        <v>0</v>
      </c>
      <c r="FA21" s="1177"/>
      <c r="FB21" s="1202">
        <f t="shared" si="65"/>
        <v>0</v>
      </c>
      <c r="FC21" s="1202">
        <f t="shared" si="66"/>
        <v>0</v>
      </c>
      <c r="FD21" s="1202">
        <f t="shared" si="67"/>
        <v>0</v>
      </c>
      <c r="FE21" s="1202">
        <f t="shared" si="68"/>
        <v>0</v>
      </c>
      <c r="FF21" s="1202">
        <f t="shared" si="69"/>
        <v>0</v>
      </c>
      <c r="FG21" s="1202">
        <f t="shared" si="70"/>
        <v>0</v>
      </c>
      <c r="FH21" s="1202">
        <f t="shared" si="71"/>
        <v>0</v>
      </c>
      <c r="FI21" s="1202">
        <f t="shared" si="72"/>
        <v>0</v>
      </c>
      <c r="FJ21" s="1202">
        <f t="shared" si="73"/>
        <v>0</v>
      </c>
      <c r="FK21" s="1202">
        <f t="shared" si="74"/>
        <v>0</v>
      </c>
      <c r="FL21" s="1202">
        <f t="shared" si="75"/>
        <v>0</v>
      </c>
      <c r="FM21" s="1202">
        <f t="shared" si="76"/>
        <v>0</v>
      </c>
      <c r="FN21" s="1202">
        <f t="shared" si="77"/>
        <v>0</v>
      </c>
      <c r="FO21" s="1202">
        <f t="shared" si="78"/>
        <v>0</v>
      </c>
      <c r="FP21" s="1202">
        <f t="shared" si="79"/>
        <v>0</v>
      </c>
      <c r="FQ21" s="1202">
        <f t="shared" si="80"/>
        <v>0</v>
      </c>
      <c r="FR21" s="1202">
        <f t="shared" si="81"/>
        <v>0</v>
      </c>
      <c r="FS21" s="1202">
        <f t="shared" si="82"/>
        <v>0</v>
      </c>
      <c r="FT21" s="1202">
        <f t="shared" si="83"/>
        <v>0</v>
      </c>
      <c r="FU21" s="1202">
        <f t="shared" si="84"/>
        <v>0</v>
      </c>
      <c r="FV21" s="1202">
        <f t="shared" si="85"/>
        <v>0</v>
      </c>
      <c r="FW21" s="1202">
        <f t="shared" si="86"/>
        <v>0</v>
      </c>
      <c r="FX21" s="1202">
        <f t="shared" si="87"/>
        <v>0</v>
      </c>
      <c r="FY21" s="1202">
        <f t="shared" si="88"/>
        <v>0</v>
      </c>
      <c r="FZ21" s="1202">
        <f t="shared" si="89"/>
        <v>0</v>
      </c>
      <c r="GA21" s="1202">
        <f t="shared" si="90"/>
        <v>0</v>
      </c>
      <c r="GB21" s="1202">
        <f t="shared" si="91"/>
        <v>0</v>
      </c>
      <c r="GC21" s="1202">
        <f t="shared" si="92"/>
        <v>0</v>
      </c>
      <c r="GD21" s="1202">
        <f t="shared" si="93"/>
        <v>0</v>
      </c>
      <c r="GE21" s="1202">
        <f t="shared" si="94"/>
        <v>0</v>
      </c>
      <c r="GF21" s="1202">
        <f t="shared" si="95"/>
        <v>0</v>
      </c>
      <c r="GG21" s="1202">
        <f t="shared" si="96"/>
        <v>0</v>
      </c>
      <c r="GH21" s="1202">
        <f t="shared" si="97"/>
        <v>0</v>
      </c>
      <c r="GI21" s="1202">
        <f t="shared" si="98"/>
        <v>0</v>
      </c>
      <c r="GJ21" s="1202">
        <f t="shared" si="99"/>
        <v>0</v>
      </c>
      <c r="GK21" s="1174">
        <f t="shared" si="100"/>
        <v>0</v>
      </c>
    </row>
    <row r="22" spans="1:193" s="1015" customFormat="1">
      <c r="A22" s="1003"/>
      <c r="B22" s="1149"/>
      <c r="C22" s="1149" t="s">
        <v>281</v>
      </c>
      <c r="D22" s="1149" t="s">
        <v>281</v>
      </c>
      <c r="E22" s="1149" t="s">
        <v>762</v>
      </c>
      <c r="F22" s="1149" t="s">
        <v>762</v>
      </c>
      <c r="G22" s="1149" t="s">
        <v>790</v>
      </c>
      <c r="H22" s="1149" t="s">
        <v>220</v>
      </c>
      <c r="I22" s="1149" t="s">
        <v>744</v>
      </c>
      <c r="J22" s="1177"/>
      <c r="K22" s="1177"/>
      <c r="L22" s="1233">
        <v>0</v>
      </c>
      <c r="M22" s="1019"/>
      <c r="N22" s="1019"/>
      <c r="O22" s="1019"/>
      <c r="P22" s="1019"/>
      <c r="Q22" s="1019"/>
      <c r="R22" s="1233">
        <v>5.5268387722844636</v>
      </c>
      <c r="S22" s="1004"/>
      <c r="T22" s="1233">
        <v>0</v>
      </c>
      <c r="U22" s="1020"/>
      <c r="V22" s="1020"/>
      <c r="W22" s="1004"/>
      <c r="X22" s="1004"/>
      <c r="Y22" s="1004"/>
      <c r="Z22" s="1233">
        <v>125.26884681583478</v>
      </c>
      <c r="AA22" s="1020"/>
      <c r="AB22" s="1020"/>
      <c r="AC22" s="1020"/>
      <c r="AD22" s="1020"/>
      <c r="AE22" s="1020"/>
      <c r="AF22" s="1020"/>
      <c r="AG22" s="1020"/>
      <c r="AH22" s="1020"/>
      <c r="AI22" s="1034"/>
      <c r="AJ22" s="1021"/>
      <c r="AK22" s="1021"/>
      <c r="AL22" s="1021"/>
      <c r="AM22" s="1021"/>
      <c r="AN22" s="1021"/>
      <c r="AO22" s="1021"/>
      <c r="AP22" s="1020"/>
      <c r="AQ22" s="1020"/>
      <c r="AR22" s="1020"/>
      <c r="AS22" s="1224">
        <v>2.6290000000000004E-2</v>
      </c>
      <c r="AT22" s="1224">
        <v>0</v>
      </c>
      <c r="AU22" s="1176"/>
      <c r="AV22" s="1176"/>
      <c r="AW22" s="1182">
        <v>0</v>
      </c>
      <c r="AX22" s="1023"/>
      <c r="AY22" s="1023"/>
      <c r="AZ22" s="1023"/>
      <c r="BA22" s="1023"/>
      <c r="BB22" s="1023"/>
      <c r="BC22" s="1182">
        <v>0</v>
      </c>
      <c r="BD22" s="1019"/>
      <c r="BE22" s="1182">
        <v>0</v>
      </c>
      <c r="BF22" s="1020"/>
      <c r="BG22" s="1020"/>
      <c r="BH22" s="1020"/>
      <c r="BI22" s="1020"/>
      <c r="BJ22" s="1004"/>
      <c r="BK22" s="1182">
        <v>0</v>
      </c>
      <c r="BL22" s="1020"/>
      <c r="BM22" s="1020"/>
      <c r="BN22" s="1020"/>
      <c r="BO22" s="1020"/>
      <c r="BP22" s="1020"/>
      <c r="BQ22" s="1020"/>
      <c r="BR22" s="1021"/>
      <c r="BS22" s="1022"/>
      <c r="BT22" s="1319"/>
      <c r="BU22" s="1238"/>
      <c r="BV22" s="1238"/>
      <c r="BW22" s="1238"/>
      <c r="BX22" s="1238"/>
      <c r="BY22" s="1238"/>
      <c r="BZ22" s="1237"/>
      <c r="CA22" s="1020"/>
      <c r="CB22" s="1020"/>
      <c r="CC22" s="1020"/>
      <c r="CD22" s="1225">
        <v>0</v>
      </c>
      <c r="CE22" s="1225">
        <v>0</v>
      </c>
      <c r="CF22" s="1176"/>
      <c r="CG22" s="1236">
        <v>0</v>
      </c>
      <c r="CH22" s="1025"/>
      <c r="CI22" s="1025"/>
      <c r="CJ22" s="1025"/>
      <c r="CK22" s="1025"/>
      <c r="CL22" s="1025"/>
      <c r="CM22" s="1236">
        <v>0</v>
      </c>
      <c r="CN22" s="1025"/>
      <c r="CO22" s="1236">
        <v>0</v>
      </c>
      <c r="CP22" s="1026"/>
      <c r="CQ22" s="1026"/>
      <c r="CR22" s="1026"/>
      <c r="CS22" s="1026"/>
      <c r="CT22" s="1024"/>
      <c r="CU22" s="1236">
        <v>0</v>
      </c>
      <c r="CV22" s="1024"/>
      <c r="CW22" s="1024"/>
      <c r="CX22" s="1026"/>
      <c r="CY22" s="1026"/>
      <c r="CZ22" s="1026"/>
      <c r="DA22" s="1026"/>
      <c r="DB22" s="1024"/>
      <c r="DC22" s="1024"/>
      <c r="DD22" s="1179"/>
      <c r="DE22" s="1027"/>
      <c r="DF22" s="1027"/>
      <c r="DG22" s="1027"/>
      <c r="DH22" s="1031"/>
      <c r="DI22" s="1032"/>
      <c r="DJ22" s="1032"/>
      <c r="DK22" s="1026"/>
      <c r="DL22" s="1026"/>
      <c r="DM22" s="1026"/>
      <c r="DN22" s="1236">
        <v>0</v>
      </c>
      <c r="DO22" s="1236">
        <v>0</v>
      </c>
      <c r="DP22" s="1176"/>
      <c r="DQ22" s="1779">
        <f t="shared" si="29"/>
        <v>0</v>
      </c>
      <c r="DR22" s="1779">
        <f t="shared" si="30"/>
        <v>0</v>
      </c>
      <c r="DS22" s="1779">
        <f t="shared" si="31"/>
        <v>0</v>
      </c>
      <c r="DT22" s="1779">
        <f t="shared" si="32"/>
        <v>0</v>
      </c>
      <c r="DU22" s="1779">
        <f t="shared" si="33"/>
        <v>0</v>
      </c>
      <c r="DV22" s="1779">
        <f t="shared" si="34"/>
        <v>0</v>
      </c>
      <c r="DW22" s="1779">
        <f t="shared" si="35"/>
        <v>0</v>
      </c>
      <c r="DX22" s="1779">
        <f t="shared" si="36"/>
        <v>0</v>
      </c>
      <c r="DY22" s="1779">
        <f t="shared" si="37"/>
        <v>0</v>
      </c>
      <c r="DZ22" s="1779">
        <f t="shared" si="38"/>
        <v>0</v>
      </c>
      <c r="EA22" s="1779">
        <f t="shared" si="39"/>
        <v>0</v>
      </c>
      <c r="EB22" s="1779">
        <f t="shared" si="40"/>
        <v>0</v>
      </c>
      <c r="EC22" s="1779">
        <f t="shared" si="41"/>
        <v>0</v>
      </c>
      <c r="ED22" s="1779">
        <f t="shared" si="42"/>
        <v>0</v>
      </c>
      <c r="EE22" s="1779">
        <f t="shared" si="43"/>
        <v>0</v>
      </c>
      <c r="EF22" s="1779">
        <f t="shared" si="44"/>
        <v>0</v>
      </c>
      <c r="EG22" s="1779">
        <f t="shared" si="45"/>
        <v>0</v>
      </c>
      <c r="EH22" s="1779">
        <f t="shared" si="46"/>
        <v>0</v>
      </c>
      <c r="EI22" s="1779">
        <f t="shared" si="47"/>
        <v>0</v>
      </c>
      <c r="EJ22" s="1779">
        <f t="shared" si="48"/>
        <v>0</v>
      </c>
      <c r="EK22" s="1779">
        <f t="shared" si="49"/>
        <v>0</v>
      </c>
      <c r="EL22" s="1779">
        <f t="shared" si="50"/>
        <v>0</v>
      </c>
      <c r="EM22" s="1779">
        <f t="shared" si="51"/>
        <v>0</v>
      </c>
      <c r="EN22" s="1779">
        <f t="shared" si="52"/>
        <v>0</v>
      </c>
      <c r="EO22" s="1779">
        <f t="shared" si="53"/>
        <v>0</v>
      </c>
      <c r="EP22" s="1779">
        <f t="shared" si="54"/>
        <v>0</v>
      </c>
      <c r="EQ22" s="1779">
        <f t="shared" si="55"/>
        <v>0</v>
      </c>
      <c r="ER22" s="1779">
        <f t="shared" si="56"/>
        <v>0</v>
      </c>
      <c r="ES22" s="1779">
        <f t="shared" si="57"/>
        <v>0</v>
      </c>
      <c r="ET22" s="1779">
        <f t="shared" si="58"/>
        <v>0</v>
      </c>
      <c r="EU22" s="1779">
        <f t="shared" si="59"/>
        <v>0</v>
      </c>
      <c r="EV22" s="1779">
        <f t="shared" si="60"/>
        <v>0</v>
      </c>
      <c r="EW22" s="1779">
        <f t="shared" si="61"/>
        <v>0</v>
      </c>
      <c r="EX22" s="1779">
        <f t="shared" si="62"/>
        <v>0</v>
      </c>
      <c r="EY22" s="1779">
        <f t="shared" si="63"/>
        <v>0</v>
      </c>
      <c r="EZ22" s="1175">
        <f t="shared" si="64"/>
        <v>0</v>
      </c>
      <c r="FA22" s="1177"/>
      <c r="FB22" s="1202">
        <f t="shared" si="65"/>
        <v>0</v>
      </c>
      <c r="FC22" s="1202">
        <f t="shared" si="66"/>
        <v>0</v>
      </c>
      <c r="FD22" s="1202">
        <f t="shared" si="67"/>
        <v>0</v>
      </c>
      <c r="FE22" s="1202">
        <f t="shared" si="68"/>
        <v>0</v>
      </c>
      <c r="FF22" s="1202">
        <f t="shared" si="69"/>
        <v>0</v>
      </c>
      <c r="FG22" s="1202">
        <f t="shared" si="70"/>
        <v>0</v>
      </c>
      <c r="FH22" s="1202">
        <f t="shared" si="71"/>
        <v>0</v>
      </c>
      <c r="FI22" s="1202">
        <f t="shared" si="72"/>
        <v>0</v>
      </c>
      <c r="FJ22" s="1202">
        <f t="shared" si="73"/>
        <v>0</v>
      </c>
      <c r="FK22" s="1202">
        <f t="shared" si="74"/>
        <v>0</v>
      </c>
      <c r="FL22" s="1202">
        <f t="shared" si="75"/>
        <v>0</v>
      </c>
      <c r="FM22" s="1202">
        <f t="shared" si="76"/>
        <v>0</v>
      </c>
      <c r="FN22" s="1202">
        <f t="shared" si="77"/>
        <v>0</v>
      </c>
      <c r="FO22" s="1202">
        <f t="shared" si="78"/>
        <v>0</v>
      </c>
      <c r="FP22" s="1202">
        <f t="shared" si="79"/>
        <v>0</v>
      </c>
      <c r="FQ22" s="1202">
        <f t="shared" si="80"/>
        <v>0</v>
      </c>
      <c r="FR22" s="1202">
        <f t="shared" si="81"/>
        <v>0</v>
      </c>
      <c r="FS22" s="1202">
        <f t="shared" si="82"/>
        <v>0</v>
      </c>
      <c r="FT22" s="1202">
        <f t="shared" si="83"/>
        <v>0</v>
      </c>
      <c r="FU22" s="1202">
        <f t="shared" si="84"/>
        <v>0</v>
      </c>
      <c r="FV22" s="1202">
        <f t="shared" si="85"/>
        <v>0</v>
      </c>
      <c r="FW22" s="1202">
        <f t="shared" si="86"/>
        <v>0</v>
      </c>
      <c r="FX22" s="1202">
        <f t="shared" si="87"/>
        <v>0</v>
      </c>
      <c r="FY22" s="1202">
        <f t="shared" si="88"/>
        <v>0</v>
      </c>
      <c r="FZ22" s="1202">
        <f t="shared" si="89"/>
        <v>0</v>
      </c>
      <c r="GA22" s="1202">
        <f t="shared" si="90"/>
        <v>0</v>
      </c>
      <c r="GB22" s="1202">
        <f t="shared" si="91"/>
        <v>0</v>
      </c>
      <c r="GC22" s="1202">
        <f t="shared" si="92"/>
        <v>0</v>
      </c>
      <c r="GD22" s="1202">
        <f t="shared" si="93"/>
        <v>0</v>
      </c>
      <c r="GE22" s="1202">
        <f t="shared" si="94"/>
        <v>0</v>
      </c>
      <c r="GF22" s="1202">
        <f t="shared" si="95"/>
        <v>0</v>
      </c>
      <c r="GG22" s="1202">
        <f t="shared" si="96"/>
        <v>0</v>
      </c>
      <c r="GH22" s="1202">
        <f t="shared" si="97"/>
        <v>0</v>
      </c>
      <c r="GI22" s="1202">
        <f t="shared" si="98"/>
        <v>0</v>
      </c>
      <c r="GJ22" s="1202">
        <f t="shared" si="99"/>
        <v>0</v>
      </c>
      <c r="GK22" s="1174">
        <f t="shared" si="100"/>
        <v>0</v>
      </c>
    </row>
    <row r="23" spans="1:193" s="1015" customFormat="1">
      <c r="A23" s="1003"/>
      <c r="B23" s="1149"/>
      <c r="C23" s="1149" t="s">
        <v>282</v>
      </c>
      <c r="D23" s="1149" t="s">
        <v>282</v>
      </c>
      <c r="E23" s="1149" t="s">
        <v>762</v>
      </c>
      <c r="F23" s="1149" t="s">
        <v>762</v>
      </c>
      <c r="G23" s="1149" t="s">
        <v>790</v>
      </c>
      <c r="H23" s="1149" t="s">
        <v>221</v>
      </c>
      <c r="I23" s="1149" t="s">
        <v>744</v>
      </c>
      <c r="J23" s="1177"/>
      <c r="K23" s="1177"/>
      <c r="L23" s="1233">
        <v>0</v>
      </c>
      <c r="M23" s="1019"/>
      <c r="N23" s="1019"/>
      <c r="O23" s="1019"/>
      <c r="P23" s="1019"/>
      <c r="Q23" s="1019"/>
      <c r="R23" s="1233">
        <v>5.5268387722844636</v>
      </c>
      <c r="S23" s="1004"/>
      <c r="T23" s="1233">
        <v>27.124019999999998</v>
      </c>
      <c r="U23" s="1020"/>
      <c r="V23" s="1020"/>
      <c r="W23" s="1004"/>
      <c r="X23" s="1004"/>
      <c r="Y23" s="1004"/>
      <c r="Z23" s="1233">
        <v>175.37638554216869</v>
      </c>
      <c r="AA23" s="1020"/>
      <c r="AB23" s="1020"/>
      <c r="AC23" s="1020"/>
      <c r="AD23" s="1020"/>
      <c r="AE23" s="1020"/>
      <c r="AF23" s="1020"/>
      <c r="AG23" s="1020"/>
      <c r="AH23" s="1020"/>
      <c r="AI23" s="1034"/>
      <c r="AJ23" s="1021"/>
      <c r="AK23" s="1021"/>
      <c r="AL23" s="1021"/>
      <c r="AM23" s="1021"/>
      <c r="AN23" s="1021"/>
      <c r="AO23" s="1021"/>
      <c r="AP23" s="1020"/>
      <c r="AQ23" s="1020"/>
      <c r="AR23" s="1020"/>
      <c r="AS23" s="1224">
        <v>2.6290000000000004E-2</v>
      </c>
      <c r="AT23" s="1224">
        <v>0</v>
      </c>
      <c r="AU23" s="1176"/>
      <c r="AV23" s="1176"/>
      <c r="AW23" s="1182">
        <v>0</v>
      </c>
      <c r="AX23" s="1023"/>
      <c r="AY23" s="1023"/>
      <c r="AZ23" s="1023"/>
      <c r="BA23" s="1023"/>
      <c r="BB23" s="1020"/>
      <c r="BC23" s="1229">
        <v>5.5670000000000002</v>
      </c>
      <c r="BD23" s="1019"/>
      <c r="BE23" s="1182">
        <v>27.398</v>
      </c>
      <c r="BF23" s="1020"/>
      <c r="BG23" s="1020"/>
      <c r="BH23" s="1020"/>
      <c r="BI23" s="1020"/>
      <c r="BJ23" s="1004"/>
      <c r="BK23" s="1182">
        <v>184.33099999999999</v>
      </c>
      <c r="BL23" s="1020"/>
      <c r="BM23" s="1020"/>
      <c r="BN23" s="1020"/>
      <c r="BO23" s="1020"/>
      <c r="BP23" s="1020"/>
      <c r="BQ23" s="1020"/>
      <c r="BR23" s="1021"/>
      <c r="BS23" s="1022"/>
      <c r="BT23" s="1319"/>
      <c r="BU23" s="1238"/>
      <c r="BV23" s="1238"/>
      <c r="BW23" s="1238"/>
      <c r="BX23" s="1238"/>
      <c r="BY23" s="1238"/>
      <c r="BZ23" s="1237"/>
      <c r="CA23" s="1020"/>
      <c r="CB23" s="1020"/>
      <c r="CC23" s="1020"/>
      <c r="CD23" s="1225">
        <v>2.3900000000000001E-2</v>
      </c>
      <c r="CE23" s="1225">
        <v>0</v>
      </c>
      <c r="CF23" s="1176"/>
      <c r="CG23" s="1236">
        <v>0</v>
      </c>
      <c r="CH23" s="1025"/>
      <c r="CI23" s="1025"/>
      <c r="CJ23" s="1025"/>
      <c r="CK23" s="1025"/>
      <c r="CL23" s="1025"/>
      <c r="CM23" s="1236">
        <v>0</v>
      </c>
      <c r="CN23" s="1025"/>
      <c r="CO23" s="1236">
        <v>0</v>
      </c>
      <c r="CP23" s="1026"/>
      <c r="CQ23" s="1026"/>
      <c r="CR23" s="1026"/>
      <c r="CS23" s="1026"/>
      <c r="CT23" s="1024"/>
      <c r="CU23" s="1236">
        <v>0</v>
      </c>
      <c r="CV23" s="1024"/>
      <c r="CW23" s="1024"/>
      <c r="CX23" s="1026"/>
      <c r="CY23" s="1026"/>
      <c r="CZ23" s="1026"/>
      <c r="DA23" s="1026"/>
      <c r="DB23" s="1024"/>
      <c r="DC23" s="1024"/>
      <c r="DD23" s="1179"/>
      <c r="DE23" s="1027"/>
      <c r="DF23" s="1027"/>
      <c r="DG23" s="1027"/>
      <c r="DH23" s="1031"/>
      <c r="DI23" s="1032"/>
      <c r="DJ23" s="1032"/>
      <c r="DK23" s="1026"/>
      <c r="DL23" s="1026"/>
      <c r="DM23" s="1026"/>
      <c r="DN23" s="1236">
        <v>0</v>
      </c>
      <c r="DO23" s="1236">
        <v>0</v>
      </c>
      <c r="DP23" s="1176"/>
      <c r="DQ23" s="1199">
        <f t="shared" si="29"/>
        <v>0</v>
      </c>
      <c r="DR23" s="1199">
        <f t="shared" si="30"/>
        <v>0</v>
      </c>
      <c r="DS23" s="1199">
        <f t="shared" si="31"/>
        <v>0</v>
      </c>
      <c r="DT23" s="1199">
        <f t="shared" si="32"/>
        <v>0</v>
      </c>
      <c r="DU23" s="1199">
        <f t="shared" si="33"/>
        <v>0</v>
      </c>
      <c r="DV23" s="1199">
        <f t="shared" si="34"/>
        <v>0</v>
      </c>
      <c r="DW23" s="1199">
        <f t="shared" si="35"/>
        <v>0</v>
      </c>
      <c r="DX23" s="1199">
        <f t="shared" si="36"/>
        <v>0</v>
      </c>
      <c r="DY23" s="1199">
        <f t="shared" si="37"/>
        <v>0</v>
      </c>
      <c r="DZ23" s="1199">
        <f t="shared" si="38"/>
        <v>0</v>
      </c>
      <c r="EA23" s="1199">
        <f t="shared" si="39"/>
        <v>0</v>
      </c>
      <c r="EB23" s="1199">
        <f t="shared" si="40"/>
        <v>0</v>
      </c>
      <c r="EC23" s="1199">
        <f t="shared" si="41"/>
        <v>0</v>
      </c>
      <c r="ED23" s="1199">
        <f t="shared" si="42"/>
        <v>0</v>
      </c>
      <c r="EE23" s="1199">
        <f t="shared" si="43"/>
        <v>0</v>
      </c>
      <c r="EF23" s="1199">
        <f t="shared" si="44"/>
        <v>0</v>
      </c>
      <c r="EG23" s="1199">
        <f t="shared" si="45"/>
        <v>0</v>
      </c>
      <c r="EH23" s="1199">
        <f t="shared" si="46"/>
        <v>0</v>
      </c>
      <c r="EI23" s="1199">
        <f t="shared" si="47"/>
        <v>0</v>
      </c>
      <c r="EJ23" s="1199">
        <f t="shared" si="48"/>
        <v>0</v>
      </c>
      <c r="EK23" s="1199">
        <f t="shared" si="49"/>
        <v>0</v>
      </c>
      <c r="EL23" s="1199">
        <f t="shared" si="50"/>
        <v>0</v>
      </c>
      <c r="EM23" s="1199">
        <f t="shared" si="51"/>
        <v>0</v>
      </c>
      <c r="EN23" s="1199">
        <f t="shared" si="52"/>
        <v>0</v>
      </c>
      <c r="EO23" s="1199">
        <f t="shared" si="53"/>
        <v>0</v>
      </c>
      <c r="EP23" s="1199">
        <f t="shared" si="54"/>
        <v>0</v>
      </c>
      <c r="EQ23" s="1199">
        <f t="shared" si="55"/>
        <v>0</v>
      </c>
      <c r="ER23" s="1199">
        <f t="shared" si="56"/>
        <v>0</v>
      </c>
      <c r="ES23" s="1199">
        <f t="shared" si="57"/>
        <v>0</v>
      </c>
      <c r="ET23" s="1199">
        <f t="shared" si="58"/>
        <v>0</v>
      </c>
      <c r="EU23" s="1199">
        <f t="shared" si="59"/>
        <v>0</v>
      </c>
      <c r="EV23" s="1199">
        <f t="shared" si="60"/>
        <v>0</v>
      </c>
      <c r="EW23" s="1199">
        <f t="shared" si="61"/>
        <v>0</v>
      </c>
      <c r="EX23" s="1199">
        <f t="shared" si="62"/>
        <v>0</v>
      </c>
      <c r="EY23" s="1199">
        <f t="shared" si="63"/>
        <v>0</v>
      </c>
      <c r="EZ23" s="1175">
        <f t="shared" si="64"/>
        <v>0</v>
      </c>
      <c r="FA23" s="1177"/>
      <c r="FB23" s="1202">
        <f t="shared" si="65"/>
        <v>0</v>
      </c>
      <c r="FC23" s="1202">
        <f t="shared" si="66"/>
        <v>0</v>
      </c>
      <c r="FD23" s="1202">
        <f t="shared" si="67"/>
        <v>0</v>
      </c>
      <c r="FE23" s="1202">
        <f t="shared" si="68"/>
        <v>0</v>
      </c>
      <c r="FF23" s="1202">
        <f t="shared" si="69"/>
        <v>0</v>
      </c>
      <c r="FG23" s="1202">
        <f t="shared" si="70"/>
        <v>0</v>
      </c>
      <c r="FH23" s="1202">
        <f t="shared" si="71"/>
        <v>0</v>
      </c>
      <c r="FI23" s="1202">
        <f t="shared" si="72"/>
        <v>0</v>
      </c>
      <c r="FJ23" s="1202">
        <f t="shared" si="73"/>
        <v>0</v>
      </c>
      <c r="FK23" s="1202">
        <f t="shared" si="74"/>
        <v>0</v>
      </c>
      <c r="FL23" s="1202">
        <f t="shared" si="75"/>
        <v>0</v>
      </c>
      <c r="FM23" s="1202">
        <f t="shared" si="76"/>
        <v>0</v>
      </c>
      <c r="FN23" s="1202">
        <f t="shared" si="77"/>
        <v>0</v>
      </c>
      <c r="FO23" s="1202">
        <f t="shared" si="78"/>
        <v>0</v>
      </c>
      <c r="FP23" s="1202">
        <f t="shared" si="79"/>
        <v>0</v>
      </c>
      <c r="FQ23" s="1202">
        <f t="shared" si="80"/>
        <v>0</v>
      </c>
      <c r="FR23" s="1202">
        <f t="shared" si="81"/>
        <v>0</v>
      </c>
      <c r="FS23" s="1202">
        <f t="shared" si="82"/>
        <v>0</v>
      </c>
      <c r="FT23" s="1202">
        <f t="shared" si="83"/>
        <v>0</v>
      </c>
      <c r="FU23" s="1202">
        <f t="shared" si="84"/>
        <v>0</v>
      </c>
      <c r="FV23" s="1202">
        <f t="shared" si="85"/>
        <v>0</v>
      </c>
      <c r="FW23" s="1202">
        <f t="shared" si="86"/>
        <v>0</v>
      </c>
      <c r="FX23" s="1202">
        <f t="shared" si="87"/>
        <v>0</v>
      </c>
      <c r="FY23" s="1202">
        <f t="shared" si="88"/>
        <v>0</v>
      </c>
      <c r="FZ23" s="1202">
        <f t="shared" si="89"/>
        <v>0</v>
      </c>
      <c r="GA23" s="1202">
        <f t="shared" si="90"/>
        <v>0</v>
      </c>
      <c r="GB23" s="1202">
        <f t="shared" si="91"/>
        <v>0</v>
      </c>
      <c r="GC23" s="1202">
        <f t="shared" si="92"/>
        <v>0</v>
      </c>
      <c r="GD23" s="1202">
        <f t="shared" si="93"/>
        <v>0</v>
      </c>
      <c r="GE23" s="1202">
        <f t="shared" si="94"/>
        <v>0</v>
      </c>
      <c r="GF23" s="1202">
        <f t="shared" si="95"/>
        <v>0</v>
      </c>
      <c r="GG23" s="1202">
        <f t="shared" si="96"/>
        <v>0</v>
      </c>
      <c r="GH23" s="1202">
        <f t="shared" si="97"/>
        <v>0</v>
      </c>
      <c r="GI23" s="1202">
        <f t="shared" si="98"/>
        <v>0</v>
      </c>
      <c r="GJ23" s="1202">
        <f t="shared" si="99"/>
        <v>0</v>
      </c>
      <c r="GK23" s="1174">
        <f t="shared" si="100"/>
        <v>0</v>
      </c>
    </row>
    <row r="24" spans="1:193" ht="6" customHeight="1">
      <c r="A24" s="1184" t="s">
        <v>742</v>
      </c>
      <c r="B24" s="1184" t="s">
        <v>742</v>
      </c>
      <c r="C24" s="1184"/>
      <c r="D24" s="1184"/>
      <c r="E24" s="1184"/>
      <c r="F24" s="1184"/>
      <c r="G24" s="1184"/>
      <c r="H24" s="1184"/>
      <c r="I24" s="1184"/>
      <c r="J24" s="1234"/>
      <c r="K24" s="1234"/>
      <c r="L24" s="1185"/>
      <c r="M24" s="1185"/>
      <c r="N24" s="1185"/>
      <c r="O24" s="1185"/>
      <c r="P24" s="1185"/>
      <c r="Q24" s="1185"/>
      <c r="R24" s="1185"/>
      <c r="S24" s="1185"/>
      <c r="T24" s="1185"/>
      <c r="U24" s="1185"/>
      <c r="V24" s="1185"/>
      <c r="W24" s="1185"/>
      <c r="X24" s="1185"/>
      <c r="Y24" s="1185"/>
      <c r="Z24" s="1185"/>
      <c r="AA24" s="1185"/>
      <c r="AB24" s="1185"/>
      <c r="AC24" s="1185"/>
      <c r="AD24" s="1185"/>
      <c r="AE24" s="1185"/>
      <c r="AF24" s="1185"/>
      <c r="AG24" s="1185"/>
      <c r="AH24" s="1185"/>
      <c r="AI24" s="1186"/>
      <c r="AJ24" s="1186"/>
      <c r="AK24" s="1186"/>
      <c r="AL24" s="1186"/>
      <c r="AM24" s="1186"/>
      <c r="AN24" s="1186"/>
      <c r="AO24" s="1186"/>
      <c r="AP24" s="1185"/>
      <c r="AQ24" s="1185"/>
      <c r="AR24" s="1185"/>
      <c r="AS24" s="1186"/>
      <c r="AT24" s="1186"/>
      <c r="AU24" s="1184"/>
      <c r="AV24" s="1184"/>
      <c r="AW24" s="1185"/>
      <c r="AX24" s="1185"/>
      <c r="AY24" s="1185"/>
      <c r="AZ24" s="1185"/>
      <c r="BA24" s="1185"/>
      <c r="BB24" s="1185"/>
      <c r="BC24" s="1185"/>
      <c r="BD24" s="1185"/>
      <c r="BE24" s="1185"/>
      <c r="BF24" s="1185"/>
      <c r="BG24" s="1185"/>
      <c r="BH24" s="1185"/>
      <c r="BI24" s="1185"/>
      <c r="BJ24" s="1185"/>
      <c r="BK24" s="1185"/>
      <c r="BL24" s="1185"/>
      <c r="BM24" s="1185"/>
      <c r="BN24" s="1185"/>
      <c r="BO24" s="1185"/>
      <c r="BP24" s="1185"/>
      <c r="BQ24" s="1185"/>
      <c r="BR24" s="1186"/>
      <c r="BS24" s="1186"/>
      <c r="BT24" s="1301"/>
      <c r="BU24" s="1186"/>
      <c r="BV24" s="1186"/>
      <c r="BW24" s="1186"/>
      <c r="BX24" s="1186"/>
      <c r="BY24" s="1186"/>
      <c r="BZ24" s="1186"/>
      <c r="CA24" s="1185"/>
      <c r="CB24" s="1185"/>
      <c r="CC24" s="1185"/>
      <c r="CD24" s="1186"/>
      <c r="CE24" s="1186"/>
      <c r="CF24" s="1184"/>
      <c r="CG24" s="1189"/>
      <c r="CH24" s="1187"/>
      <c r="CI24" s="1187"/>
      <c r="CJ24" s="1187"/>
      <c r="CK24" s="1187"/>
      <c r="CL24" s="1187"/>
      <c r="CM24" s="1187"/>
      <c r="CN24" s="1188"/>
      <c r="CO24" s="1189"/>
      <c r="CP24" s="1187"/>
      <c r="CQ24" s="1187"/>
      <c r="CR24" s="1188"/>
      <c r="CS24" s="1187"/>
      <c r="CT24" s="1187"/>
      <c r="CU24" s="1189"/>
      <c r="CV24" s="1187"/>
      <c r="CW24" s="1187"/>
      <c r="CX24" s="1187"/>
      <c r="CY24" s="1187"/>
      <c r="CZ24" s="1187"/>
      <c r="DA24" s="1187"/>
      <c r="DB24" s="1187"/>
      <c r="DC24" s="1187"/>
      <c r="DD24" s="1189"/>
      <c r="DE24" s="1189"/>
      <c r="DF24" s="1189"/>
      <c r="DG24" s="1189"/>
      <c r="DH24" s="1190"/>
      <c r="DI24" s="1189"/>
      <c r="DJ24" s="1189"/>
      <c r="DK24" s="1187"/>
      <c r="DL24" s="1187"/>
      <c r="DM24" s="1187"/>
      <c r="DN24" s="1189"/>
      <c r="DO24" s="1189"/>
      <c r="DP24" s="1184"/>
      <c r="DQ24" s="1191"/>
      <c r="DR24" s="1191"/>
      <c r="DS24" s="1191"/>
      <c r="DT24" s="1191"/>
      <c r="DU24" s="1191"/>
      <c r="DV24" s="1191"/>
      <c r="DW24" s="1191"/>
      <c r="DX24" s="1191"/>
      <c r="DY24" s="1191"/>
      <c r="DZ24" s="1191"/>
      <c r="EA24" s="1191"/>
      <c r="EB24" s="1192"/>
      <c r="EC24" s="1191"/>
      <c r="ED24" s="1191"/>
      <c r="EE24" s="1191"/>
      <c r="EF24" s="1191"/>
      <c r="EG24" s="1191"/>
      <c r="EH24" s="1191"/>
      <c r="EI24" s="1191"/>
      <c r="EJ24" s="1191"/>
      <c r="EK24" s="1191"/>
      <c r="EL24" s="1191"/>
      <c r="EM24" s="1191"/>
      <c r="EN24" s="1191"/>
      <c r="EO24" s="1191"/>
      <c r="EP24" s="1191"/>
      <c r="EQ24" s="1191"/>
      <c r="ER24" s="1191"/>
      <c r="ES24" s="1191"/>
      <c r="ET24" s="1191"/>
      <c r="EU24" s="1191"/>
      <c r="EV24" s="1191"/>
      <c r="EW24" s="1191"/>
      <c r="EX24" s="1191"/>
      <c r="EY24" s="1191"/>
      <c r="EZ24" s="1193"/>
      <c r="FA24" s="1184"/>
      <c r="FB24" s="1191"/>
      <c r="FC24" s="1191"/>
      <c r="FD24" s="1191"/>
      <c r="FE24" s="1191"/>
      <c r="FF24" s="1191"/>
      <c r="FG24" s="1191"/>
      <c r="FH24" s="1192"/>
      <c r="FI24" s="1192"/>
      <c r="FJ24" s="1192"/>
      <c r="FK24" s="1192"/>
      <c r="FL24" s="1192"/>
      <c r="FM24" s="1191"/>
      <c r="FN24" s="1191"/>
      <c r="FO24" s="1191"/>
      <c r="FP24" s="1191"/>
      <c r="FQ24" s="1191"/>
      <c r="FR24" s="1191"/>
      <c r="FS24" s="1191"/>
      <c r="FT24" s="1191"/>
      <c r="FU24" s="1191"/>
      <c r="FV24" s="1191"/>
      <c r="FW24" s="1191"/>
      <c r="FX24" s="1191"/>
      <c r="FY24" s="1194"/>
      <c r="FZ24" s="1191"/>
      <c r="GA24" s="1191"/>
      <c r="GB24" s="1191"/>
      <c r="GC24" s="1191"/>
      <c r="GD24" s="1191"/>
      <c r="GE24" s="1191"/>
      <c r="GF24" s="1191"/>
      <c r="GG24" s="1191"/>
      <c r="GH24" s="1191"/>
      <c r="GI24" s="1191"/>
      <c r="GJ24" s="1191"/>
      <c r="GK24" s="1193"/>
    </row>
    <row r="25" spans="1:193" s="1015" customFormat="1">
      <c r="A25" s="1003"/>
      <c r="B25" s="1149"/>
      <c r="C25" s="1149" t="s">
        <v>245</v>
      </c>
      <c r="D25" s="1204" t="s">
        <v>245</v>
      </c>
      <c r="E25" s="1204" t="s">
        <v>765</v>
      </c>
      <c r="F25" s="1204" t="s">
        <v>766</v>
      </c>
      <c r="G25" s="1204" t="s">
        <v>789</v>
      </c>
      <c r="H25" s="1204" t="s">
        <v>184</v>
      </c>
      <c r="I25" s="1149" t="s">
        <v>744</v>
      </c>
      <c r="J25" s="1176"/>
      <c r="K25" s="1176"/>
      <c r="L25" s="1233">
        <v>299.28095999999999</v>
      </c>
      <c r="M25" s="1020"/>
      <c r="N25" s="1020"/>
      <c r="O25" s="1020"/>
      <c r="P25" s="1020"/>
      <c r="Q25" s="1020"/>
      <c r="R25" s="1004"/>
      <c r="S25" s="1004"/>
      <c r="T25" s="1004"/>
      <c r="U25" s="1004"/>
      <c r="V25" s="1004"/>
      <c r="W25" s="1233">
        <v>13.866588098106714</v>
      </c>
      <c r="X25" s="1004"/>
      <c r="Y25" s="1004"/>
      <c r="Z25" s="1004"/>
      <c r="AA25" s="1233">
        <v>15.407320109007459</v>
      </c>
      <c r="AB25" s="1004"/>
      <c r="AC25" s="1004"/>
      <c r="AD25" s="1004"/>
      <c r="AE25" s="1004"/>
      <c r="AF25" s="1004"/>
      <c r="AG25" s="1004"/>
      <c r="AH25" s="1004"/>
      <c r="AI25" s="1224">
        <v>3.481491826166801E-3</v>
      </c>
      <c r="AJ25" s="1005"/>
      <c r="AK25" s="1005"/>
      <c r="AL25" s="1005"/>
      <c r="AM25" s="1005"/>
      <c r="AN25" s="1005"/>
      <c r="AO25" s="1005"/>
      <c r="AP25" s="1004"/>
      <c r="AQ25" s="1004"/>
      <c r="AR25" s="1004"/>
      <c r="AS25" s="1005"/>
      <c r="AT25" s="1005"/>
      <c r="AU25" s="1176"/>
      <c r="AV25" s="1176"/>
      <c r="AW25" s="1182">
        <v>299.28095999999999</v>
      </c>
      <c r="AX25" s="1011"/>
      <c r="AY25" s="1011"/>
      <c r="AZ25" s="1011"/>
      <c r="BA25" s="1011"/>
      <c r="BB25" s="1011"/>
      <c r="BC25" s="1004"/>
      <c r="BD25" s="1004"/>
      <c r="BE25" s="1004"/>
      <c r="BF25" s="1004"/>
      <c r="BG25" s="1004"/>
      <c r="BH25" s="1182">
        <v>13.670999999999999</v>
      </c>
      <c r="BI25" s="1004"/>
      <c r="BJ25" s="1004"/>
      <c r="BK25" s="1004"/>
      <c r="BL25" s="1182">
        <v>15.1904</v>
      </c>
      <c r="BM25" s="1004"/>
      <c r="BN25" s="1004"/>
      <c r="BO25" s="1004"/>
      <c r="BP25" s="1004"/>
      <c r="BQ25" s="1004"/>
      <c r="BR25" s="1005"/>
      <c r="BS25" s="1005"/>
      <c r="BT25" s="1318">
        <v>1.9744621039491056E-3</v>
      </c>
      <c r="BU25" s="1241"/>
      <c r="BV25" s="1241"/>
      <c r="BW25" s="1241"/>
      <c r="BX25" s="1241"/>
      <c r="BY25" s="1241"/>
      <c r="BZ25" s="1602"/>
      <c r="CA25" s="1004"/>
      <c r="CB25" s="1004"/>
      <c r="CC25" s="1004"/>
      <c r="CD25" s="1602"/>
      <c r="CE25" s="1602"/>
      <c r="CF25" s="1176"/>
      <c r="CG25" s="1236">
        <v>244.99999999999997</v>
      </c>
      <c r="CH25" s="1011"/>
      <c r="CI25" s="1011"/>
      <c r="CJ25" s="1011"/>
      <c r="CK25" s="1011"/>
      <c r="CL25" s="1011"/>
      <c r="CM25" s="1004"/>
      <c r="CN25" s="1004"/>
      <c r="CO25" s="1008"/>
      <c r="CP25" s="1004"/>
      <c r="CQ25" s="1004"/>
      <c r="CR25" s="1004"/>
      <c r="CS25" s="1004"/>
      <c r="CT25" s="1004"/>
      <c r="CU25" s="1008"/>
      <c r="CV25" s="1236">
        <v>387985.49728999985</v>
      </c>
      <c r="CW25" s="1004"/>
      <c r="CX25" s="1004"/>
      <c r="CY25" s="1004"/>
      <c r="CZ25" s="1004"/>
      <c r="DA25" s="1004"/>
      <c r="DB25" s="1004"/>
      <c r="DC25" s="1004"/>
      <c r="DD25" s="1236">
        <v>381966646.69999993</v>
      </c>
      <c r="DE25" s="1008"/>
      <c r="DF25" s="1008"/>
      <c r="DG25" s="1008"/>
      <c r="DH25" s="1014"/>
      <c r="DI25" s="1008"/>
      <c r="DJ25" s="1008"/>
      <c r="DK25" s="1004"/>
      <c r="DL25" s="1004"/>
      <c r="DM25" s="1004"/>
      <c r="DN25" s="1008"/>
      <c r="DO25" s="1008"/>
      <c r="DP25" s="1176"/>
      <c r="DQ25" s="1199">
        <f t="shared" ref="DQ25:DQ45" si="101">L25*CG25*DQ$107</f>
        <v>26763199.847999994</v>
      </c>
      <c r="DR25" s="1199">
        <f t="shared" ref="DR25:DR45" si="102">M25*CH25*DR$107</f>
        <v>0</v>
      </c>
      <c r="DS25" s="1199">
        <f t="shared" ref="DS25:DS45" si="103">N25*CI25*DS$107</f>
        <v>0</v>
      </c>
      <c r="DT25" s="1199">
        <f t="shared" ref="DT25:DT45" si="104">O25*CJ25*DT$107</f>
        <v>0</v>
      </c>
      <c r="DU25" s="1199">
        <f t="shared" ref="DU25:DU45" si="105">P25*CK25*DU$107</f>
        <v>0</v>
      </c>
      <c r="DV25" s="1199">
        <f t="shared" ref="DV25:DV45" si="106">Q25*CL25*DV$107</f>
        <v>0</v>
      </c>
      <c r="DW25" s="1199">
        <f t="shared" ref="DW25:DW45" si="107">R25*CM25*DW$107</f>
        <v>0</v>
      </c>
      <c r="DX25" s="1199">
        <f t="shared" ref="DX25:DX45" si="108">S25*CN25*DX$107</f>
        <v>0</v>
      </c>
      <c r="DY25" s="1199">
        <f t="shared" ref="DY25:DY45" si="109">T25*CO25*DY$107</f>
        <v>0</v>
      </c>
      <c r="DZ25" s="1199">
        <f t="shared" ref="DZ25:DZ45" si="110">U25*CP25*DZ$107</f>
        <v>0</v>
      </c>
      <c r="EA25" s="1199">
        <f t="shared" ref="EA25:EA45" si="111">V25*CQ25*EA$107</f>
        <v>0</v>
      </c>
      <c r="EB25" s="1199">
        <f t="shared" ref="EB25:EB45" si="112">W25*CR25*EB$107</f>
        <v>0</v>
      </c>
      <c r="EC25" s="1199">
        <f t="shared" ref="EC25:EC45" si="113">X25*CS25*EC$107</f>
        <v>0</v>
      </c>
      <c r="ED25" s="1199">
        <f t="shared" ref="ED25:ED45" si="114">Y25*CT25*ED$107</f>
        <v>0</v>
      </c>
      <c r="EE25" s="1199">
        <f t="shared" ref="EE25:EE45" si="115">Z25*CU25*EE$107</f>
        <v>0</v>
      </c>
      <c r="EF25" s="1199">
        <f t="shared" ref="EF25:EF45" si="116">AA25*CV25*EF$107</f>
        <v>5977816.7543994738</v>
      </c>
      <c r="EG25" s="1199">
        <f t="shared" ref="EG25:EG45" si="117">AB25*CW25*EG$107</f>
        <v>0</v>
      </c>
      <c r="EH25" s="1199">
        <f t="shared" ref="EH25:EH45" si="118">AC25*CX25*EH$107</f>
        <v>0</v>
      </c>
      <c r="EI25" s="1199">
        <f t="shared" ref="EI25:EI45" si="119">AD25*CY25*EI$107</f>
        <v>0</v>
      </c>
      <c r="EJ25" s="1199">
        <f t="shared" ref="EJ25:EJ45" si="120">AE25*CZ25*EJ$107</f>
        <v>0</v>
      </c>
      <c r="EK25" s="1199">
        <f t="shared" ref="EK25:EK45" si="121">AF25*DA25*EK$107</f>
        <v>0</v>
      </c>
      <c r="EL25" s="1199">
        <f t="shared" ref="EL25:EL45" si="122">AG25*DB25*EL$107</f>
        <v>0</v>
      </c>
      <c r="EM25" s="1199">
        <f t="shared" ref="EM25:EM45" si="123">AH25*DC25*EM$107</f>
        <v>0</v>
      </c>
      <c r="EN25" s="1199">
        <f t="shared" ref="EN25:EN45" si="124">AI25*DD25*EN$107</f>
        <v>1329813.7583543921</v>
      </c>
      <c r="EO25" s="1199">
        <f t="shared" ref="EO25:EO45" si="125">AJ25*DE25*EO$107</f>
        <v>0</v>
      </c>
      <c r="EP25" s="1199">
        <f t="shared" ref="EP25:EP45" si="126">AK25*DF25*EP$107</f>
        <v>0</v>
      </c>
      <c r="EQ25" s="1199">
        <f t="shared" ref="EQ25:EQ45" si="127">AL25*DG25*EQ$107</f>
        <v>0</v>
      </c>
      <c r="ER25" s="1199">
        <f t="shared" ref="ER25:ER45" si="128">AM25*DH25*ER$107</f>
        <v>0</v>
      </c>
      <c r="ES25" s="1199">
        <f t="shared" ref="ES25:ES45" si="129">AN25*DI25*ES$107</f>
        <v>0</v>
      </c>
      <c r="ET25" s="1199">
        <f t="shared" ref="ET25:ET45" si="130">AO25*DJ25*ET$107</f>
        <v>0</v>
      </c>
      <c r="EU25" s="1199">
        <f t="shared" ref="EU25:EU45" si="131">AP25*DK25*EU$107</f>
        <v>0</v>
      </c>
      <c r="EV25" s="1199">
        <f t="shared" ref="EV25:EV45" si="132">AQ25*DL25*EV$107</f>
        <v>0</v>
      </c>
      <c r="EW25" s="1199">
        <f t="shared" ref="EW25:EW45" si="133">AR25*DM25*EW$107</f>
        <v>0</v>
      </c>
      <c r="EX25" s="1199">
        <f t="shared" ref="EX25:EX45" si="134">AS25*DN25*EX$107</f>
        <v>0</v>
      </c>
      <c r="EY25" s="1199">
        <f t="shared" ref="EY25:EY45" si="135">AT25*DO25*EY$107</f>
        <v>0</v>
      </c>
      <c r="EZ25" s="1175">
        <f t="shared" ref="EZ25:EZ45" si="136">SUM(DQ25:EY25)</f>
        <v>34070830.360753864</v>
      </c>
      <c r="FA25" s="1177"/>
      <c r="FB25" s="1202">
        <f t="shared" ref="FB25:FB45" si="137">AW25*CG25*FB$107</f>
        <v>26763199.847999994</v>
      </c>
      <c r="FC25" s="1202">
        <f t="shared" ref="FC25:FC45" si="138">AX25*CH25*FC$107</f>
        <v>0</v>
      </c>
      <c r="FD25" s="1202">
        <f t="shared" ref="FD25:FD45" si="139">AY25*CI25*FD$107</f>
        <v>0</v>
      </c>
      <c r="FE25" s="1202">
        <f t="shared" ref="FE25:FE45" si="140">AZ25*CJ25*FE$107</f>
        <v>0</v>
      </c>
      <c r="FF25" s="1202">
        <f t="shared" ref="FF25:FF45" si="141">BA25*CK25*FF$107</f>
        <v>0</v>
      </c>
      <c r="FG25" s="1202">
        <f t="shared" ref="FG25:FG45" si="142">BB25*CL25*FG$107</f>
        <v>0</v>
      </c>
      <c r="FH25" s="1202">
        <f t="shared" ref="FH25:FH45" si="143">BC25*CM25*FH$107</f>
        <v>0</v>
      </c>
      <c r="FI25" s="1202">
        <f t="shared" ref="FI25:FI45" si="144">BD25*CN25*FI$107</f>
        <v>0</v>
      </c>
      <c r="FJ25" s="1202">
        <f t="shared" ref="FJ25:FJ45" si="145">BE25*CO25*FJ$107</f>
        <v>0</v>
      </c>
      <c r="FK25" s="1202">
        <f t="shared" ref="FK25:FK45" si="146">BF25*CP25*FK$107</f>
        <v>0</v>
      </c>
      <c r="FL25" s="1202">
        <f t="shared" ref="FL25:FL45" si="147">BG25*CQ25*FL$107</f>
        <v>0</v>
      </c>
      <c r="FM25" s="1202">
        <f t="shared" ref="FM25:FM45" si="148">BH25*CR25*FM$107</f>
        <v>0</v>
      </c>
      <c r="FN25" s="1202">
        <f t="shared" ref="FN25:FN45" si="149">BI25*CS25*FN$107</f>
        <v>0</v>
      </c>
      <c r="FO25" s="1202">
        <f t="shared" ref="FO25:FO45" si="150">BJ25*CT25*FO$107</f>
        <v>0</v>
      </c>
      <c r="FP25" s="1202">
        <f t="shared" ref="FP25:FP45" si="151">BK25*CU25*FP$107</f>
        <v>0</v>
      </c>
      <c r="FQ25" s="1202">
        <f t="shared" ref="FQ25:FQ45" si="152">BL25*CV25*FQ$107</f>
        <v>5893654.8980340138</v>
      </c>
      <c r="FR25" s="1202">
        <f t="shared" ref="FR25:FR45" si="153">BM25*CW25*FR$107</f>
        <v>0</v>
      </c>
      <c r="FS25" s="1202">
        <f t="shared" ref="FS25:FS45" si="154">BN25*CX25*FS$107</f>
        <v>0</v>
      </c>
      <c r="FT25" s="1202">
        <f t="shared" ref="FT25:FT45" si="155">BO25*CY25*FT$107</f>
        <v>0</v>
      </c>
      <c r="FU25" s="1202">
        <f t="shared" ref="FU25:FU45" si="156">BP25*CZ25*FU$107</f>
        <v>0</v>
      </c>
      <c r="FV25" s="1202">
        <f t="shared" ref="FV25:FV45" si="157">BQ25*DA25*FV$107</f>
        <v>0</v>
      </c>
      <c r="FW25" s="1202">
        <f t="shared" ref="FW25:FW45" si="158">BR25*DB25*FW$107</f>
        <v>0</v>
      </c>
      <c r="FX25" s="1202">
        <f t="shared" ref="FX25:FX45" si="159">BS25*DC25*FX$107</f>
        <v>0</v>
      </c>
      <c r="FY25" s="1202">
        <f t="shared" ref="FY25:FY45" si="160">BT25*DD25*FY$107</f>
        <v>754178.6688816665</v>
      </c>
      <c r="FZ25" s="1202">
        <f t="shared" ref="FZ25:FZ45" si="161">BU25*DE25*FZ$107</f>
        <v>0</v>
      </c>
      <c r="GA25" s="1202">
        <f t="shared" ref="GA25:GA45" si="162">BV25*DF25*GA$107</f>
        <v>0</v>
      </c>
      <c r="GB25" s="1202">
        <f t="shared" ref="GB25:GB45" si="163">BW25*DG25*GB$107</f>
        <v>0</v>
      </c>
      <c r="GC25" s="1202">
        <f t="shared" ref="GC25:GC45" si="164">BX25*DH25*GC$107</f>
        <v>0</v>
      </c>
      <c r="GD25" s="1202">
        <f t="shared" ref="GD25:GD45" si="165">BY25*DI25*GD$107</f>
        <v>0</v>
      </c>
      <c r="GE25" s="1202">
        <f t="shared" ref="GE25:GE45" si="166">BZ25*DJ25*GE$107</f>
        <v>0</v>
      </c>
      <c r="GF25" s="1202">
        <f t="shared" ref="GF25:GF45" si="167">CA25*DK25*GF$107</f>
        <v>0</v>
      </c>
      <c r="GG25" s="1202">
        <f t="shared" ref="GG25:GG45" si="168">CB25*DL25*GG$107</f>
        <v>0</v>
      </c>
      <c r="GH25" s="1202">
        <f t="shared" ref="GH25:GH45" si="169">CC25*DM25*GH$107</f>
        <v>0</v>
      </c>
      <c r="GI25" s="1202">
        <f t="shared" ref="GI25:GI45" si="170">CD25*DN25*GI$107</f>
        <v>0</v>
      </c>
      <c r="GJ25" s="1202">
        <f t="shared" ref="GJ25:GJ45" si="171">CE25*DO25*GJ$107</f>
        <v>0</v>
      </c>
      <c r="GK25" s="1174">
        <f t="shared" ref="GK25:GK45" si="172">SUM(FB25:GJ25)</f>
        <v>33411033.414915673</v>
      </c>
    </row>
    <row r="26" spans="1:193" s="1015" customFormat="1">
      <c r="A26" s="1003"/>
      <c r="B26" s="1149"/>
      <c r="C26" s="1149" t="s">
        <v>244</v>
      </c>
      <c r="D26" s="1204" t="s">
        <v>244</v>
      </c>
      <c r="E26" s="1204" t="s">
        <v>765</v>
      </c>
      <c r="F26" s="1204" t="s">
        <v>766</v>
      </c>
      <c r="G26" s="1204" t="s">
        <v>789</v>
      </c>
      <c r="H26" s="1204" t="s">
        <v>185</v>
      </c>
      <c r="I26" s="1149" t="s">
        <v>744</v>
      </c>
      <c r="J26" s="1177"/>
      <c r="K26" s="1177"/>
      <c r="L26" s="1233">
        <v>113.2824</v>
      </c>
      <c r="M26" s="1020"/>
      <c r="N26" s="1020"/>
      <c r="O26" s="1020"/>
      <c r="P26" s="1020"/>
      <c r="Q26" s="1020"/>
      <c r="R26" s="1004"/>
      <c r="S26" s="1004"/>
      <c r="T26" s="1004"/>
      <c r="U26" s="1013"/>
      <c r="V26" s="1013"/>
      <c r="W26" s="1233">
        <v>17.09579354561102</v>
      </c>
      <c r="X26" s="1004"/>
      <c r="Y26" s="1004"/>
      <c r="Z26" s="1004"/>
      <c r="AA26" s="1233">
        <v>18.995326161790022</v>
      </c>
      <c r="AB26" s="1004"/>
      <c r="AC26" s="1013"/>
      <c r="AD26" s="1004"/>
      <c r="AE26" s="1013"/>
      <c r="AF26" s="1004"/>
      <c r="AG26" s="1004"/>
      <c r="AH26" s="1004"/>
      <c r="AI26" s="1224">
        <v>3.481491826166801E-3</v>
      </c>
      <c r="AJ26" s="1005"/>
      <c r="AK26" s="1005"/>
      <c r="AL26" s="1005"/>
      <c r="AM26" s="1005"/>
      <c r="AN26" s="1005"/>
      <c r="AO26" s="1005"/>
      <c r="AP26" s="1013"/>
      <c r="AQ26" s="1013"/>
      <c r="AR26" s="1013"/>
      <c r="AS26" s="1005"/>
      <c r="AT26" s="1005"/>
      <c r="AU26" s="1177"/>
      <c r="AV26" s="1177"/>
      <c r="AW26" s="1182">
        <v>113.2824</v>
      </c>
      <c r="AX26" s="1011"/>
      <c r="AY26" s="1011"/>
      <c r="AZ26" s="1011"/>
      <c r="BA26" s="1011"/>
      <c r="BB26" s="1011"/>
      <c r="BC26" s="1004"/>
      <c r="BD26" s="1004"/>
      <c r="BE26" s="1004"/>
      <c r="BF26" s="1013"/>
      <c r="BG26" s="1013"/>
      <c r="BH26" s="1182">
        <v>16.838999999999999</v>
      </c>
      <c r="BI26" s="1004"/>
      <c r="BJ26" s="1004"/>
      <c r="BK26" s="1004"/>
      <c r="BL26" s="1182">
        <v>18.711200000000002</v>
      </c>
      <c r="BM26" s="1004"/>
      <c r="BN26" s="1013"/>
      <c r="BO26" s="1013"/>
      <c r="BP26" s="1013"/>
      <c r="BQ26" s="1004"/>
      <c r="BR26" s="1005"/>
      <c r="BS26" s="1005"/>
      <c r="BT26" s="1226">
        <v>1.9744621039491056E-3</v>
      </c>
      <c r="BU26" s="1241"/>
      <c r="BV26" s="1241"/>
      <c r="BW26" s="1241"/>
      <c r="BX26" s="1241"/>
      <c r="BY26" s="1241"/>
      <c r="BZ26" s="1602"/>
      <c r="CA26" s="1013"/>
      <c r="CB26" s="1013"/>
      <c r="CC26" s="1013"/>
      <c r="CD26" s="1602"/>
      <c r="CE26" s="1602"/>
      <c r="CF26" s="1177"/>
      <c r="CG26" s="1236">
        <v>1372.3299999999997</v>
      </c>
      <c r="CH26" s="1011"/>
      <c r="CI26" s="1011"/>
      <c r="CJ26" s="1011"/>
      <c r="CK26" s="1011"/>
      <c r="CL26" s="1011"/>
      <c r="CM26" s="1004"/>
      <c r="CN26" s="1004"/>
      <c r="CO26" s="1008"/>
      <c r="CP26" s="1013"/>
      <c r="CQ26" s="1013"/>
      <c r="CR26" s="1004"/>
      <c r="CS26" s="1004"/>
      <c r="CT26" s="1004"/>
      <c r="CU26" s="1008"/>
      <c r="CV26" s="1236">
        <v>1309384.52679</v>
      </c>
      <c r="CW26" s="1004"/>
      <c r="CX26" s="1013"/>
      <c r="CY26" s="1013"/>
      <c r="CZ26" s="1013"/>
      <c r="DA26" s="1004"/>
      <c r="DB26" s="1004"/>
      <c r="DC26" s="1004"/>
      <c r="DD26" s="1236">
        <v>1031276450.4399999</v>
      </c>
      <c r="DE26" s="1008"/>
      <c r="DF26" s="1008"/>
      <c r="DG26" s="1008"/>
      <c r="DH26" s="1014"/>
      <c r="DI26" s="1008"/>
      <c r="DJ26" s="1008"/>
      <c r="DK26" s="1013"/>
      <c r="DL26" s="1013"/>
      <c r="DM26" s="1013"/>
      <c r="DN26" s="1008"/>
      <c r="DO26" s="1008"/>
      <c r="DP26" s="1177"/>
      <c r="DQ26" s="1199">
        <f t="shared" si="101"/>
        <v>56743205.137079984</v>
      </c>
      <c r="DR26" s="1199">
        <f t="shared" si="102"/>
        <v>0</v>
      </c>
      <c r="DS26" s="1199">
        <f t="shared" si="103"/>
        <v>0</v>
      </c>
      <c r="DT26" s="1199">
        <f t="shared" si="104"/>
        <v>0</v>
      </c>
      <c r="DU26" s="1199">
        <f t="shared" si="105"/>
        <v>0</v>
      </c>
      <c r="DV26" s="1199">
        <f t="shared" si="106"/>
        <v>0</v>
      </c>
      <c r="DW26" s="1199">
        <f t="shared" si="107"/>
        <v>0</v>
      </c>
      <c r="DX26" s="1199">
        <f t="shared" si="108"/>
        <v>0</v>
      </c>
      <c r="DY26" s="1199">
        <f t="shared" si="109"/>
        <v>0</v>
      </c>
      <c r="DZ26" s="1199">
        <f t="shared" si="110"/>
        <v>0</v>
      </c>
      <c r="EA26" s="1199">
        <f t="shared" si="111"/>
        <v>0</v>
      </c>
      <c r="EB26" s="1199">
        <f t="shared" si="112"/>
        <v>0</v>
      </c>
      <c r="EC26" s="1199">
        <f t="shared" si="113"/>
        <v>0</v>
      </c>
      <c r="ED26" s="1199">
        <f t="shared" si="114"/>
        <v>0</v>
      </c>
      <c r="EE26" s="1199">
        <f t="shared" si="115"/>
        <v>0</v>
      </c>
      <c r="EF26" s="1199">
        <f t="shared" si="116"/>
        <v>24872186.157577135</v>
      </c>
      <c r="EG26" s="1199">
        <f t="shared" si="117"/>
        <v>0</v>
      </c>
      <c r="EH26" s="1199">
        <f t="shared" si="118"/>
        <v>0</v>
      </c>
      <c r="EI26" s="1199">
        <f t="shared" si="119"/>
        <v>0</v>
      </c>
      <c r="EJ26" s="1199">
        <f t="shared" si="120"/>
        <v>0</v>
      </c>
      <c r="EK26" s="1199">
        <f t="shared" si="121"/>
        <v>0</v>
      </c>
      <c r="EL26" s="1199">
        <f t="shared" si="122"/>
        <v>0</v>
      </c>
      <c r="EM26" s="1199">
        <f t="shared" si="123"/>
        <v>0</v>
      </c>
      <c r="EN26" s="1199">
        <f t="shared" si="124"/>
        <v>3590380.5327251717</v>
      </c>
      <c r="EO26" s="1199">
        <f t="shared" si="125"/>
        <v>0</v>
      </c>
      <c r="EP26" s="1199">
        <f t="shared" si="126"/>
        <v>0</v>
      </c>
      <c r="EQ26" s="1199">
        <f t="shared" si="127"/>
        <v>0</v>
      </c>
      <c r="ER26" s="1199">
        <f t="shared" si="128"/>
        <v>0</v>
      </c>
      <c r="ES26" s="1199">
        <f t="shared" si="129"/>
        <v>0</v>
      </c>
      <c r="ET26" s="1199">
        <f t="shared" si="130"/>
        <v>0</v>
      </c>
      <c r="EU26" s="1199">
        <f t="shared" si="131"/>
        <v>0</v>
      </c>
      <c r="EV26" s="1199">
        <f t="shared" si="132"/>
        <v>0</v>
      </c>
      <c r="EW26" s="1199">
        <f t="shared" si="133"/>
        <v>0</v>
      </c>
      <c r="EX26" s="1199">
        <f t="shared" si="134"/>
        <v>0</v>
      </c>
      <c r="EY26" s="1199">
        <f t="shared" si="135"/>
        <v>0</v>
      </c>
      <c r="EZ26" s="1175">
        <f t="shared" si="136"/>
        <v>85205771.827382281</v>
      </c>
      <c r="FA26" s="1177"/>
      <c r="FB26" s="1202">
        <f t="shared" si="137"/>
        <v>56743205.137079984</v>
      </c>
      <c r="FC26" s="1202">
        <f t="shared" si="138"/>
        <v>0</v>
      </c>
      <c r="FD26" s="1202">
        <f t="shared" si="139"/>
        <v>0</v>
      </c>
      <c r="FE26" s="1202">
        <f t="shared" si="140"/>
        <v>0</v>
      </c>
      <c r="FF26" s="1202">
        <f t="shared" si="141"/>
        <v>0</v>
      </c>
      <c r="FG26" s="1202">
        <f t="shared" si="142"/>
        <v>0</v>
      </c>
      <c r="FH26" s="1202">
        <f t="shared" si="143"/>
        <v>0</v>
      </c>
      <c r="FI26" s="1202">
        <f t="shared" si="144"/>
        <v>0</v>
      </c>
      <c r="FJ26" s="1202">
        <f t="shared" si="145"/>
        <v>0</v>
      </c>
      <c r="FK26" s="1202">
        <f t="shared" si="146"/>
        <v>0</v>
      </c>
      <c r="FL26" s="1202">
        <f t="shared" si="147"/>
        <v>0</v>
      </c>
      <c r="FM26" s="1202">
        <f t="shared" si="148"/>
        <v>0</v>
      </c>
      <c r="FN26" s="1202">
        <f t="shared" si="149"/>
        <v>0</v>
      </c>
      <c r="FO26" s="1202">
        <f t="shared" si="150"/>
        <v>0</v>
      </c>
      <c r="FP26" s="1202">
        <f t="shared" si="151"/>
        <v>0</v>
      </c>
      <c r="FQ26" s="1202">
        <f t="shared" si="152"/>
        <v>24500155.757673051</v>
      </c>
      <c r="FR26" s="1202">
        <f t="shared" si="153"/>
        <v>0</v>
      </c>
      <c r="FS26" s="1202">
        <f t="shared" si="154"/>
        <v>0</v>
      </c>
      <c r="FT26" s="1202">
        <f t="shared" si="155"/>
        <v>0</v>
      </c>
      <c r="FU26" s="1202">
        <f t="shared" si="156"/>
        <v>0</v>
      </c>
      <c r="FV26" s="1202">
        <f t="shared" si="157"/>
        <v>0</v>
      </c>
      <c r="FW26" s="1202">
        <f t="shared" si="158"/>
        <v>0</v>
      </c>
      <c r="FX26" s="1202">
        <f t="shared" si="159"/>
        <v>0</v>
      </c>
      <c r="FY26" s="1202">
        <f t="shared" si="160"/>
        <v>2036216.2700889278</v>
      </c>
      <c r="FZ26" s="1202">
        <f t="shared" si="161"/>
        <v>0</v>
      </c>
      <c r="GA26" s="1202">
        <f t="shared" si="162"/>
        <v>0</v>
      </c>
      <c r="GB26" s="1202">
        <f t="shared" si="163"/>
        <v>0</v>
      </c>
      <c r="GC26" s="1202">
        <f t="shared" si="164"/>
        <v>0</v>
      </c>
      <c r="GD26" s="1202">
        <f t="shared" si="165"/>
        <v>0</v>
      </c>
      <c r="GE26" s="1202">
        <f t="shared" si="166"/>
        <v>0</v>
      </c>
      <c r="GF26" s="1202">
        <f t="shared" si="167"/>
        <v>0</v>
      </c>
      <c r="GG26" s="1202">
        <f t="shared" si="168"/>
        <v>0</v>
      </c>
      <c r="GH26" s="1202">
        <f t="shared" si="169"/>
        <v>0</v>
      </c>
      <c r="GI26" s="1202">
        <f t="shared" si="170"/>
        <v>0</v>
      </c>
      <c r="GJ26" s="1202">
        <f t="shared" si="171"/>
        <v>0</v>
      </c>
      <c r="GK26" s="1174">
        <f t="shared" si="172"/>
        <v>83279577.164841965</v>
      </c>
    </row>
    <row r="27" spans="1:193" s="1015" customFormat="1">
      <c r="A27" s="1003"/>
      <c r="B27" s="1149"/>
      <c r="C27" s="1149" t="s">
        <v>243</v>
      </c>
      <c r="D27" s="1204" t="s">
        <v>243</v>
      </c>
      <c r="E27" s="1204" t="s">
        <v>765</v>
      </c>
      <c r="F27" s="1204" t="s">
        <v>766</v>
      </c>
      <c r="G27" s="1204" t="s">
        <v>789</v>
      </c>
      <c r="H27" s="1204" t="s">
        <v>186</v>
      </c>
      <c r="I27" s="1149" t="s">
        <v>744</v>
      </c>
      <c r="J27" s="1177"/>
      <c r="K27" s="1177"/>
      <c r="L27" s="1233">
        <v>31.940480000000001</v>
      </c>
      <c r="M27" s="1020"/>
      <c r="N27" s="1020"/>
      <c r="O27" s="1020"/>
      <c r="P27" s="1020"/>
      <c r="Q27" s="1020"/>
      <c r="R27" s="1004"/>
      <c r="S27" s="1004"/>
      <c r="T27" s="1004"/>
      <c r="U27" s="1013"/>
      <c r="V27" s="1013"/>
      <c r="W27" s="1233">
        <v>21.274765301204823</v>
      </c>
      <c r="X27" s="1004"/>
      <c r="Y27" s="1004"/>
      <c r="Z27" s="1004"/>
      <c r="AA27" s="1233">
        <v>23.638628112449805</v>
      </c>
      <c r="AB27" s="1004"/>
      <c r="AC27" s="1013"/>
      <c r="AD27" s="1004"/>
      <c r="AE27" s="1013"/>
      <c r="AF27" s="1004"/>
      <c r="AG27" s="1013"/>
      <c r="AH27" s="1004"/>
      <c r="AI27" s="1224">
        <v>3.481491826166801E-3</v>
      </c>
      <c r="AJ27" s="1005"/>
      <c r="AK27" s="1005"/>
      <c r="AL27" s="1005"/>
      <c r="AM27" s="1005"/>
      <c r="AN27" s="1005"/>
      <c r="AO27" s="1005"/>
      <c r="AP27" s="1013"/>
      <c r="AQ27" s="1013"/>
      <c r="AR27" s="1013"/>
      <c r="AS27" s="1005"/>
      <c r="AT27" s="1005"/>
      <c r="AU27" s="1177"/>
      <c r="AV27" s="1177"/>
      <c r="AW27" s="1182">
        <v>31.940480000000001</v>
      </c>
      <c r="AX27" s="1011"/>
      <c r="AY27" s="1011"/>
      <c r="AZ27" s="1011"/>
      <c r="BA27" s="1011"/>
      <c r="BB27" s="1011"/>
      <c r="BC27" s="1004"/>
      <c r="BD27" s="1004"/>
      <c r="BE27" s="1004"/>
      <c r="BF27" s="1013"/>
      <c r="BG27" s="1013"/>
      <c r="BH27" s="1182">
        <v>21.401</v>
      </c>
      <c r="BI27" s="1004"/>
      <c r="BJ27" s="1004"/>
      <c r="BK27" s="1004"/>
      <c r="BL27" s="1182">
        <v>23.778749999999999</v>
      </c>
      <c r="BM27" s="1004"/>
      <c r="BN27" s="1013"/>
      <c r="BO27" s="1013"/>
      <c r="BP27" s="1013"/>
      <c r="BQ27" s="1004"/>
      <c r="BR27" s="1035"/>
      <c r="BS27" s="1005"/>
      <c r="BT27" s="1226">
        <v>1.9744621039491056E-3</v>
      </c>
      <c r="BU27" s="1241"/>
      <c r="BV27" s="1241"/>
      <c r="BW27" s="1241"/>
      <c r="BX27" s="1241"/>
      <c r="BY27" s="1241"/>
      <c r="BZ27" s="1602"/>
      <c r="CA27" s="1013"/>
      <c r="CB27" s="1013"/>
      <c r="CC27" s="1013"/>
      <c r="CD27" s="1602"/>
      <c r="CE27" s="1602"/>
      <c r="CF27" s="1177"/>
      <c r="CG27" s="1236">
        <v>4286.619999999999</v>
      </c>
      <c r="CH27" s="1011"/>
      <c r="CI27" s="1011"/>
      <c r="CJ27" s="1011"/>
      <c r="CK27" s="1011"/>
      <c r="CL27" s="1011"/>
      <c r="CM27" s="1004"/>
      <c r="CN27" s="1004"/>
      <c r="CO27" s="1008"/>
      <c r="CP27" s="1013"/>
      <c r="CQ27" s="1013"/>
      <c r="CR27" s="1004"/>
      <c r="CS27" s="1004"/>
      <c r="CT27" s="1004"/>
      <c r="CU27" s="1008"/>
      <c r="CV27" s="1236">
        <v>1410980.7204999996</v>
      </c>
      <c r="CW27" s="1004"/>
      <c r="CX27" s="1013"/>
      <c r="CY27" s="1013"/>
      <c r="CZ27" s="1013"/>
      <c r="DA27" s="1004"/>
      <c r="DB27" s="1013"/>
      <c r="DC27" s="1004"/>
      <c r="DD27" s="1236">
        <v>788919735.44999993</v>
      </c>
      <c r="DE27" s="1008"/>
      <c r="DF27" s="1008"/>
      <c r="DG27" s="1008"/>
      <c r="DH27" s="1014"/>
      <c r="DI27" s="1008"/>
      <c r="DJ27" s="1008"/>
      <c r="DK27" s="1013"/>
      <c r="DL27" s="1013"/>
      <c r="DM27" s="1013"/>
      <c r="DN27" s="1008"/>
      <c r="DO27" s="1008"/>
      <c r="DP27" s="1177"/>
      <c r="DQ27" s="1199">
        <f t="shared" si="101"/>
        <v>49974595.637823991</v>
      </c>
      <c r="DR27" s="1199">
        <f t="shared" si="102"/>
        <v>0</v>
      </c>
      <c r="DS27" s="1199">
        <f t="shared" si="103"/>
        <v>0</v>
      </c>
      <c r="DT27" s="1199">
        <f t="shared" si="104"/>
        <v>0</v>
      </c>
      <c r="DU27" s="1199">
        <f t="shared" si="105"/>
        <v>0</v>
      </c>
      <c r="DV27" s="1199">
        <f t="shared" si="106"/>
        <v>0</v>
      </c>
      <c r="DW27" s="1199">
        <f t="shared" si="107"/>
        <v>0</v>
      </c>
      <c r="DX27" s="1199">
        <f t="shared" si="108"/>
        <v>0</v>
      </c>
      <c r="DY27" s="1199">
        <f t="shared" si="109"/>
        <v>0</v>
      </c>
      <c r="DZ27" s="1199">
        <f t="shared" si="110"/>
        <v>0</v>
      </c>
      <c r="EA27" s="1199">
        <f t="shared" si="111"/>
        <v>0</v>
      </c>
      <c r="EB27" s="1199">
        <f t="shared" si="112"/>
        <v>0</v>
      </c>
      <c r="EC27" s="1199">
        <f t="shared" si="113"/>
        <v>0</v>
      </c>
      <c r="ED27" s="1199">
        <f t="shared" si="114"/>
        <v>0</v>
      </c>
      <c r="EE27" s="1199">
        <f t="shared" si="115"/>
        <v>0</v>
      </c>
      <c r="EF27" s="1199">
        <f t="shared" si="116"/>
        <v>33353648.525735971</v>
      </c>
      <c r="EG27" s="1199">
        <f t="shared" si="117"/>
        <v>0</v>
      </c>
      <c r="EH27" s="1199">
        <f t="shared" si="118"/>
        <v>0</v>
      </c>
      <c r="EI27" s="1199">
        <f t="shared" si="119"/>
        <v>0</v>
      </c>
      <c r="EJ27" s="1199">
        <f t="shared" si="120"/>
        <v>0</v>
      </c>
      <c r="EK27" s="1199">
        <f t="shared" si="121"/>
        <v>0</v>
      </c>
      <c r="EL27" s="1199">
        <f t="shared" si="122"/>
        <v>0</v>
      </c>
      <c r="EM27" s="1199">
        <f t="shared" si="123"/>
        <v>0</v>
      </c>
      <c r="EN27" s="1199">
        <f t="shared" si="124"/>
        <v>2746617.6104708496</v>
      </c>
      <c r="EO27" s="1199">
        <f t="shared" si="125"/>
        <v>0</v>
      </c>
      <c r="EP27" s="1199">
        <f t="shared" si="126"/>
        <v>0</v>
      </c>
      <c r="EQ27" s="1199">
        <f t="shared" si="127"/>
        <v>0</v>
      </c>
      <c r="ER27" s="1199">
        <f t="shared" si="128"/>
        <v>0</v>
      </c>
      <c r="ES27" s="1199">
        <f t="shared" si="129"/>
        <v>0</v>
      </c>
      <c r="ET27" s="1199">
        <f t="shared" si="130"/>
        <v>0</v>
      </c>
      <c r="EU27" s="1199">
        <f t="shared" si="131"/>
        <v>0</v>
      </c>
      <c r="EV27" s="1199">
        <f t="shared" si="132"/>
        <v>0</v>
      </c>
      <c r="EW27" s="1199">
        <f t="shared" si="133"/>
        <v>0</v>
      </c>
      <c r="EX27" s="1199">
        <f t="shared" si="134"/>
        <v>0</v>
      </c>
      <c r="EY27" s="1199">
        <f t="shared" si="135"/>
        <v>0</v>
      </c>
      <c r="EZ27" s="1175">
        <f t="shared" si="136"/>
        <v>86074861.774030805</v>
      </c>
      <c r="FA27" s="1177"/>
      <c r="FB27" s="1202">
        <f t="shared" si="137"/>
        <v>49974595.637823991</v>
      </c>
      <c r="FC27" s="1202">
        <f t="shared" si="138"/>
        <v>0</v>
      </c>
      <c r="FD27" s="1202">
        <f t="shared" si="139"/>
        <v>0</v>
      </c>
      <c r="FE27" s="1202">
        <f t="shared" si="140"/>
        <v>0</v>
      </c>
      <c r="FF27" s="1202">
        <f t="shared" si="141"/>
        <v>0</v>
      </c>
      <c r="FG27" s="1202">
        <f t="shared" si="142"/>
        <v>0</v>
      </c>
      <c r="FH27" s="1202">
        <f t="shared" si="143"/>
        <v>0</v>
      </c>
      <c r="FI27" s="1202">
        <f t="shared" si="144"/>
        <v>0</v>
      </c>
      <c r="FJ27" s="1202">
        <f t="shared" si="145"/>
        <v>0</v>
      </c>
      <c r="FK27" s="1202">
        <f t="shared" si="146"/>
        <v>0</v>
      </c>
      <c r="FL27" s="1202">
        <f t="shared" si="147"/>
        <v>0</v>
      </c>
      <c r="FM27" s="1202">
        <f t="shared" si="148"/>
        <v>0</v>
      </c>
      <c r="FN27" s="1202">
        <f t="shared" si="149"/>
        <v>0</v>
      </c>
      <c r="FO27" s="1202">
        <f t="shared" si="150"/>
        <v>0</v>
      </c>
      <c r="FP27" s="1202">
        <f t="shared" si="151"/>
        <v>0</v>
      </c>
      <c r="FQ27" s="1202">
        <f t="shared" si="152"/>
        <v>33551357.807589363</v>
      </c>
      <c r="FR27" s="1202">
        <f t="shared" si="153"/>
        <v>0</v>
      </c>
      <c r="FS27" s="1202">
        <f t="shared" si="154"/>
        <v>0</v>
      </c>
      <c r="FT27" s="1202">
        <f t="shared" si="155"/>
        <v>0</v>
      </c>
      <c r="FU27" s="1202">
        <f t="shared" si="156"/>
        <v>0</v>
      </c>
      <c r="FV27" s="1202">
        <f t="shared" si="157"/>
        <v>0</v>
      </c>
      <c r="FW27" s="1202">
        <f t="shared" si="158"/>
        <v>0</v>
      </c>
      <c r="FX27" s="1202">
        <f t="shared" si="159"/>
        <v>0</v>
      </c>
      <c r="FY27" s="1202">
        <f t="shared" si="160"/>
        <v>1557692.1207035787</v>
      </c>
      <c r="FZ27" s="1202">
        <f t="shared" si="161"/>
        <v>0</v>
      </c>
      <c r="GA27" s="1202">
        <f t="shared" si="162"/>
        <v>0</v>
      </c>
      <c r="GB27" s="1202">
        <f t="shared" si="163"/>
        <v>0</v>
      </c>
      <c r="GC27" s="1202">
        <f t="shared" si="164"/>
        <v>0</v>
      </c>
      <c r="GD27" s="1202">
        <f t="shared" si="165"/>
        <v>0</v>
      </c>
      <c r="GE27" s="1202">
        <f t="shared" si="166"/>
        <v>0</v>
      </c>
      <c r="GF27" s="1202">
        <f t="shared" si="167"/>
        <v>0</v>
      </c>
      <c r="GG27" s="1202">
        <f t="shared" si="168"/>
        <v>0</v>
      </c>
      <c r="GH27" s="1202">
        <f t="shared" si="169"/>
        <v>0</v>
      </c>
      <c r="GI27" s="1202">
        <f t="shared" si="170"/>
        <v>0</v>
      </c>
      <c r="GJ27" s="1202">
        <f t="shared" si="171"/>
        <v>0</v>
      </c>
      <c r="GK27" s="1174">
        <f t="shared" si="172"/>
        <v>85083645.566116929</v>
      </c>
    </row>
    <row r="28" spans="1:193" s="1015" customFormat="1">
      <c r="A28" s="1003"/>
      <c r="B28" s="1149"/>
      <c r="C28" s="1149" t="s">
        <v>242</v>
      </c>
      <c r="D28" s="1204" t="s">
        <v>242</v>
      </c>
      <c r="E28" s="1204" t="s">
        <v>765</v>
      </c>
      <c r="F28" s="1204" t="s">
        <v>766</v>
      </c>
      <c r="G28" s="1204" t="s">
        <v>790</v>
      </c>
      <c r="H28" s="1204" t="s">
        <v>187</v>
      </c>
      <c r="I28" s="1149" t="s">
        <v>744</v>
      </c>
      <c r="J28" s="1177"/>
      <c r="K28" s="1177"/>
      <c r="L28" s="1233">
        <v>882.64560000000006</v>
      </c>
      <c r="M28" s="1020"/>
      <c r="N28" s="1020"/>
      <c r="O28" s="1020"/>
      <c r="P28" s="1020"/>
      <c r="Q28" s="1020"/>
      <c r="R28" s="1004"/>
      <c r="S28" s="1004"/>
      <c r="T28" s="1004"/>
      <c r="U28" s="1013"/>
      <c r="V28" s="1013"/>
      <c r="W28" s="1233">
        <v>52.422289156626512</v>
      </c>
      <c r="X28" s="1004"/>
      <c r="Y28" s="1004"/>
      <c r="Z28" s="1004"/>
      <c r="AA28" s="1233">
        <v>58.246987951807235</v>
      </c>
      <c r="AB28" s="1004"/>
      <c r="AC28" s="1013"/>
      <c r="AD28" s="1004"/>
      <c r="AE28" s="1013"/>
      <c r="AF28" s="1004"/>
      <c r="AG28" s="1013"/>
      <c r="AH28" s="1004"/>
      <c r="AI28" s="1224">
        <v>5.2655267410076341E-3</v>
      </c>
      <c r="AJ28" s="1005"/>
      <c r="AK28" s="1035"/>
      <c r="AL28" s="1005"/>
      <c r="AM28" s="1005"/>
      <c r="AN28" s="1005"/>
      <c r="AO28" s="1005"/>
      <c r="AP28" s="1013"/>
      <c r="AQ28" s="1013"/>
      <c r="AR28" s="1013"/>
      <c r="AS28" s="1005"/>
      <c r="AT28" s="1005"/>
      <c r="AU28" s="1177"/>
      <c r="AV28" s="1177"/>
      <c r="AW28" s="1182">
        <v>882.64560000000006</v>
      </c>
      <c r="AX28" s="1011"/>
      <c r="AY28" s="1011"/>
      <c r="AZ28" s="1011"/>
      <c r="BA28" s="1011"/>
      <c r="BB28" s="1011"/>
      <c r="BC28" s="1004"/>
      <c r="BD28" s="1004"/>
      <c r="BE28" s="1004"/>
      <c r="BF28" s="1013"/>
      <c r="BG28" s="1013"/>
      <c r="BH28" s="1182">
        <v>52.92</v>
      </c>
      <c r="BI28" s="1004"/>
      <c r="BJ28" s="1004"/>
      <c r="BK28" s="1004"/>
      <c r="BL28" s="1182">
        <v>58.800000000000004</v>
      </c>
      <c r="BM28" s="1004"/>
      <c r="BN28" s="1013"/>
      <c r="BO28" s="1013"/>
      <c r="BP28" s="1013"/>
      <c r="BQ28" s="1004"/>
      <c r="BR28" s="1035"/>
      <c r="BS28" s="1005"/>
      <c r="BT28" s="1226">
        <v>1.672310515522942E-3</v>
      </c>
      <c r="BU28" s="1241"/>
      <c r="BV28" s="1602"/>
      <c r="BW28" s="1241"/>
      <c r="BX28" s="1241"/>
      <c r="BY28" s="1241"/>
      <c r="BZ28" s="1602"/>
      <c r="CA28" s="1013"/>
      <c r="CB28" s="1013"/>
      <c r="CC28" s="1013"/>
      <c r="CD28" s="1602"/>
      <c r="CE28" s="1602"/>
      <c r="CF28" s="1177"/>
      <c r="CG28" s="1236">
        <v>24.000000000000004</v>
      </c>
      <c r="CH28" s="1011"/>
      <c r="CI28" s="1011"/>
      <c r="CJ28" s="1011"/>
      <c r="CK28" s="1011"/>
      <c r="CL28" s="1011"/>
      <c r="CM28" s="1004"/>
      <c r="CN28" s="1004"/>
      <c r="CO28" s="1008"/>
      <c r="CP28" s="1013"/>
      <c r="CQ28" s="1013"/>
      <c r="CR28" s="1004"/>
      <c r="CS28" s="1004"/>
      <c r="CT28" s="1004"/>
      <c r="CU28" s="1008"/>
      <c r="CV28" s="1236">
        <v>51521.802149999996</v>
      </c>
      <c r="CW28" s="1004"/>
      <c r="CX28" s="1013"/>
      <c r="CY28" s="1013"/>
      <c r="CZ28" s="1013"/>
      <c r="DA28" s="1004"/>
      <c r="DB28" s="1013"/>
      <c r="DC28" s="1004"/>
      <c r="DD28" s="1236">
        <v>28638767.090000004</v>
      </c>
      <c r="DE28" s="1008"/>
      <c r="DF28" s="1036"/>
      <c r="DG28" s="1008"/>
      <c r="DH28" s="1014"/>
      <c r="DI28" s="1008"/>
      <c r="DJ28" s="1008"/>
      <c r="DK28" s="1013"/>
      <c r="DL28" s="1013"/>
      <c r="DM28" s="1013"/>
      <c r="DN28" s="1008"/>
      <c r="DO28" s="1008"/>
      <c r="DP28" s="1177"/>
      <c r="DQ28" s="1199">
        <f t="shared" si="101"/>
        <v>7731975.4560000012</v>
      </c>
      <c r="DR28" s="1199">
        <f t="shared" si="102"/>
        <v>0</v>
      </c>
      <c r="DS28" s="1199">
        <f t="shared" si="103"/>
        <v>0</v>
      </c>
      <c r="DT28" s="1199">
        <f t="shared" si="104"/>
        <v>0</v>
      </c>
      <c r="DU28" s="1199">
        <f t="shared" si="105"/>
        <v>0</v>
      </c>
      <c r="DV28" s="1199">
        <f t="shared" si="106"/>
        <v>0</v>
      </c>
      <c r="DW28" s="1199">
        <f t="shared" si="107"/>
        <v>0</v>
      </c>
      <c r="DX28" s="1199">
        <f t="shared" si="108"/>
        <v>0</v>
      </c>
      <c r="DY28" s="1199">
        <f t="shared" si="109"/>
        <v>0</v>
      </c>
      <c r="DZ28" s="1199">
        <f t="shared" si="110"/>
        <v>0</v>
      </c>
      <c r="EA28" s="1199">
        <f t="shared" si="111"/>
        <v>0</v>
      </c>
      <c r="EB28" s="1199">
        <f t="shared" si="112"/>
        <v>0</v>
      </c>
      <c r="EC28" s="1199">
        <f t="shared" si="113"/>
        <v>0</v>
      </c>
      <c r="ED28" s="1199">
        <f t="shared" si="114"/>
        <v>0</v>
      </c>
      <c r="EE28" s="1199">
        <f t="shared" si="115"/>
        <v>0</v>
      </c>
      <c r="EF28" s="1199">
        <f t="shared" si="116"/>
        <v>3000989.7890864457</v>
      </c>
      <c r="EG28" s="1199">
        <f t="shared" si="117"/>
        <v>0</v>
      </c>
      <c r="EH28" s="1199">
        <f t="shared" si="118"/>
        <v>0</v>
      </c>
      <c r="EI28" s="1199">
        <f t="shared" si="119"/>
        <v>0</v>
      </c>
      <c r="EJ28" s="1199">
        <f t="shared" si="120"/>
        <v>0</v>
      </c>
      <c r="EK28" s="1199">
        <f t="shared" si="121"/>
        <v>0</v>
      </c>
      <c r="EL28" s="1199">
        <f t="shared" si="122"/>
        <v>0</v>
      </c>
      <c r="EM28" s="1199">
        <f t="shared" si="123"/>
        <v>0</v>
      </c>
      <c r="EN28" s="1199">
        <f t="shared" si="124"/>
        <v>150798.19394188441</v>
      </c>
      <c r="EO28" s="1199">
        <f t="shared" si="125"/>
        <v>0</v>
      </c>
      <c r="EP28" s="1199">
        <f t="shared" si="126"/>
        <v>0</v>
      </c>
      <c r="EQ28" s="1199">
        <f t="shared" si="127"/>
        <v>0</v>
      </c>
      <c r="ER28" s="1199">
        <f t="shared" si="128"/>
        <v>0</v>
      </c>
      <c r="ES28" s="1199">
        <f t="shared" si="129"/>
        <v>0</v>
      </c>
      <c r="ET28" s="1199">
        <f t="shared" si="130"/>
        <v>0</v>
      </c>
      <c r="EU28" s="1199">
        <f t="shared" si="131"/>
        <v>0</v>
      </c>
      <c r="EV28" s="1199">
        <f t="shared" si="132"/>
        <v>0</v>
      </c>
      <c r="EW28" s="1199">
        <f t="shared" si="133"/>
        <v>0</v>
      </c>
      <c r="EX28" s="1199">
        <f t="shared" si="134"/>
        <v>0</v>
      </c>
      <c r="EY28" s="1199">
        <f t="shared" si="135"/>
        <v>0</v>
      </c>
      <c r="EZ28" s="1175">
        <f t="shared" si="136"/>
        <v>10883763.43902833</v>
      </c>
      <c r="FA28" s="1177"/>
      <c r="FB28" s="1202">
        <f t="shared" si="137"/>
        <v>7731975.4560000012</v>
      </c>
      <c r="FC28" s="1202">
        <f t="shared" si="138"/>
        <v>0</v>
      </c>
      <c r="FD28" s="1202">
        <f t="shared" si="139"/>
        <v>0</v>
      </c>
      <c r="FE28" s="1202">
        <f t="shared" si="140"/>
        <v>0</v>
      </c>
      <c r="FF28" s="1202">
        <f t="shared" si="141"/>
        <v>0</v>
      </c>
      <c r="FG28" s="1202">
        <f t="shared" si="142"/>
        <v>0</v>
      </c>
      <c r="FH28" s="1202">
        <f t="shared" si="143"/>
        <v>0</v>
      </c>
      <c r="FI28" s="1202">
        <f t="shared" si="144"/>
        <v>0</v>
      </c>
      <c r="FJ28" s="1202">
        <f t="shared" si="145"/>
        <v>0</v>
      </c>
      <c r="FK28" s="1202">
        <f t="shared" si="146"/>
        <v>0</v>
      </c>
      <c r="FL28" s="1202">
        <f t="shared" si="147"/>
        <v>0</v>
      </c>
      <c r="FM28" s="1202">
        <f t="shared" si="148"/>
        <v>0</v>
      </c>
      <c r="FN28" s="1202">
        <f t="shared" si="149"/>
        <v>0</v>
      </c>
      <c r="FO28" s="1202">
        <f t="shared" si="150"/>
        <v>0</v>
      </c>
      <c r="FP28" s="1202">
        <f t="shared" si="151"/>
        <v>0</v>
      </c>
      <c r="FQ28" s="1202">
        <f t="shared" si="152"/>
        <v>3029481.96642</v>
      </c>
      <c r="FR28" s="1202">
        <f t="shared" si="153"/>
        <v>0</v>
      </c>
      <c r="FS28" s="1202">
        <f t="shared" si="154"/>
        <v>0</v>
      </c>
      <c r="FT28" s="1202">
        <f t="shared" si="155"/>
        <v>0</v>
      </c>
      <c r="FU28" s="1202">
        <f t="shared" si="156"/>
        <v>0</v>
      </c>
      <c r="FV28" s="1202">
        <f t="shared" si="157"/>
        <v>0</v>
      </c>
      <c r="FW28" s="1202">
        <f t="shared" si="158"/>
        <v>0</v>
      </c>
      <c r="FX28" s="1202">
        <f t="shared" si="159"/>
        <v>0</v>
      </c>
      <c r="FY28" s="1202">
        <f t="shared" si="160"/>
        <v>47892.911356219374</v>
      </c>
      <c r="FZ28" s="1202">
        <f t="shared" si="161"/>
        <v>0</v>
      </c>
      <c r="GA28" s="1202">
        <f t="shared" si="162"/>
        <v>0</v>
      </c>
      <c r="GB28" s="1202">
        <f t="shared" si="163"/>
        <v>0</v>
      </c>
      <c r="GC28" s="1202">
        <f t="shared" si="164"/>
        <v>0</v>
      </c>
      <c r="GD28" s="1202">
        <f t="shared" si="165"/>
        <v>0</v>
      </c>
      <c r="GE28" s="1202">
        <f t="shared" si="166"/>
        <v>0</v>
      </c>
      <c r="GF28" s="1202">
        <f t="shared" si="167"/>
        <v>0</v>
      </c>
      <c r="GG28" s="1202">
        <f t="shared" si="168"/>
        <v>0</v>
      </c>
      <c r="GH28" s="1202">
        <f t="shared" si="169"/>
        <v>0</v>
      </c>
      <c r="GI28" s="1202">
        <f t="shared" si="170"/>
        <v>0</v>
      </c>
      <c r="GJ28" s="1202">
        <f t="shared" si="171"/>
        <v>0</v>
      </c>
      <c r="GK28" s="1174">
        <f t="shared" si="172"/>
        <v>10809350.333776221</v>
      </c>
    </row>
    <row r="29" spans="1:193" s="1015" customFormat="1">
      <c r="A29" s="1003"/>
      <c r="B29" s="1149"/>
      <c r="C29" s="1149" t="s">
        <v>241</v>
      </c>
      <c r="D29" s="1204" t="s">
        <v>241</v>
      </c>
      <c r="E29" s="1204" t="s">
        <v>765</v>
      </c>
      <c r="F29" s="1204" t="s">
        <v>766</v>
      </c>
      <c r="G29" s="1204" t="s">
        <v>790</v>
      </c>
      <c r="H29" s="1204" t="s">
        <v>188</v>
      </c>
      <c r="I29" s="1149" t="s">
        <v>744</v>
      </c>
      <c r="J29" s="1177"/>
      <c r="K29" s="1177"/>
      <c r="L29" s="1233">
        <v>275.90479999999997</v>
      </c>
      <c r="M29" s="1020"/>
      <c r="N29" s="1020"/>
      <c r="O29" s="1020"/>
      <c r="P29" s="1020"/>
      <c r="Q29" s="1020"/>
      <c r="R29" s="1004"/>
      <c r="S29" s="1004"/>
      <c r="T29" s="1004"/>
      <c r="U29" s="1013"/>
      <c r="V29" s="1013"/>
      <c r="W29" s="1233">
        <v>61.408967297762487</v>
      </c>
      <c r="X29" s="1004"/>
      <c r="Y29" s="1004"/>
      <c r="Z29" s="1004"/>
      <c r="AA29" s="1233">
        <v>68.23218588640276</v>
      </c>
      <c r="AB29" s="1004"/>
      <c r="AC29" s="1013"/>
      <c r="AD29" s="1004"/>
      <c r="AE29" s="1013"/>
      <c r="AF29" s="1004"/>
      <c r="AG29" s="1013"/>
      <c r="AH29" s="1004"/>
      <c r="AI29" s="1224">
        <v>5.2655267410076341E-3</v>
      </c>
      <c r="AJ29" s="1005"/>
      <c r="AK29" s="1035"/>
      <c r="AL29" s="1005"/>
      <c r="AM29" s="1005"/>
      <c r="AN29" s="1005"/>
      <c r="AO29" s="1005"/>
      <c r="AP29" s="1013"/>
      <c r="AQ29" s="1013"/>
      <c r="AR29" s="1013"/>
      <c r="AS29" s="1005"/>
      <c r="AT29" s="1005"/>
      <c r="AU29" s="1177"/>
      <c r="AV29" s="1177"/>
      <c r="AW29" s="1182">
        <v>275.90479999999997</v>
      </c>
      <c r="AX29" s="1011"/>
      <c r="AY29" s="1011"/>
      <c r="AZ29" s="1011"/>
      <c r="BA29" s="1011"/>
      <c r="BB29" s="1011"/>
      <c r="BC29" s="1004"/>
      <c r="BD29" s="1004"/>
      <c r="BE29" s="1004"/>
      <c r="BF29" s="1013"/>
      <c r="BG29" s="1013"/>
      <c r="BH29" s="1182">
        <v>61.985999999999997</v>
      </c>
      <c r="BI29" s="1004"/>
      <c r="BJ29" s="1004"/>
      <c r="BK29" s="1004"/>
      <c r="BL29" s="1182">
        <v>68.873599999999996</v>
      </c>
      <c r="BM29" s="1004"/>
      <c r="BN29" s="1013"/>
      <c r="BO29" s="1013"/>
      <c r="BP29" s="1013"/>
      <c r="BQ29" s="1004"/>
      <c r="BR29" s="1035"/>
      <c r="BS29" s="1005"/>
      <c r="BT29" s="1226">
        <v>1.672310515522942E-3</v>
      </c>
      <c r="BU29" s="1241"/>
      <c r="BV29" s="1602"/>
      <c r="BW29" s="1241"/>
      <c r="BX29" s="1241"/>
      <c r="BY29" s="1241"/>
      <c r="BZ29" s="1602"/>
      <c r="CA29" s="1013"/>
      <c r="CB29" s="1013"/>
      <c r="CC29" s="1013"/>
      <c r="CD29" s="1602"/>
      <c r="CE29" s="1602"/>
      <c r="CF29" s="1177"/>
      <c r="CG29" s="1236">
        <v>142</v>
      </c>
      <c r="CH29" s="1011"/>
      <c r="CI29" s="1011"/>
      <c r="CJ29" s="1011"/>
      <c r="CK29" s="1011"/>
      <c r="CL29" s="1011"/>
      <c r="CM29" s="1004"/>
      <c r="CN29" s="1004"/>
      <c r="CO29" s="1008"/>
      <c r="CP29" s="1013"/>
      <c r="CQ29" s="1013"/>
      <c r="CR29" s="1004"/>
      <c r="CS29" s="1004"/>
      <c r="CT29" s="1004"/>
      <c r="CU29" s="1008"/>
      <c r="CV29" s="1236">
        <v>127228.34866</v>
      </c>
      <c r="CW29" s="1004"/>
      <c r="CX29" s="1013"/>
      <c r="CY29" s="1013"/>
      <c r="CZ29" s="1013"/>
      <c r="DA29" s="1004"/>
      <c r="DB29" s="1013"/>
      <c r="DC29" s="1004"/>
      <c r="DD29" s="1236">
        <v>60949413.220000006</v>
      </c>
      <c r="DE29" s="1008"/>
      <c r="DF29" s="1036"/>
      <c r="DG29" s="1008"/>
      <c r="DH29" s="1014"/>
      <c r="DI29" s="1008"/>
      <c r="DJ29" s="1008"/>
      <c r="DK29" s="1013"/>
      <c r="DL29" s="1013"/>
      <c r="DM29" s="1013"/>
      <c r="DN29" s="1008"/>
      <c r="DO29" s="1008"/>
      <c r="DP29" s="1177"/>
      <c r="DQ29" s="1199">
        <f t="shared" si="101"/>
        <v>14300145.783999996</v>
      </c>
      <c r="DR29" s="1199">
        <f t="shared" si="102"/>
        <v>0</v>
      </c>
      <c r="DS29" s="1199">
        <f t="shared" si="103"/>
        <v>0</v>
      </c>
      <c r="DT29" s="1199">
        <f t="shared" si="104"/>
        <v>0</v>
      </c>
      <c r="DU29" s="1199">
        <f t="shared" si="105"/>
        <v>0</v>
      </c>
      <c r="DV29" s="1199">
        <f t="shared" si="106"/>
        <v>0</v>
      </c>
      <c r="DW29" s="1199">
        <f t="shared" si="107"/>
        <v>0</v>
      </c>
      <c r="DX29" s="1199">
        <f t="shared" si="108"/>
        <v>0</v>
      </c>
      <c r="DY29" s="1199">
        <f t="shared" si="109"/>
        <v>0</v>
      </c>
      <c r="DZ29" s="1199">
        <f t="shared" si="110"/>
        <v>0</v>
      </c>
      <c r="EA29" s="1199">
        <f t="shared" si="111"/>
        <v>0</v>
      </c>
      <c r="EB29" s="1199">
        <f t="shared" si="112"/>
        <v>0</v>
      </c>
      <c r="EC29" s="1199">
        <f t="shared" si="113"/>
        <v>0</v>
      </c>
      <c r="ED29" s="1199">
        <f t="shared" si="114"/>
        <v>0</v>
      </c>
      <c r="EE29" s="1199">
        <f t="shared" si="115"/>
        <v>0</v>
      </c>
      <c r="EF29" s="1199">
        <f t="shared" si="116"/>
        <v>8681068.3357891813</v>
      </c>
      <c r="EG29" s="1199">
        <f t="shared" si="117"/>
        <v>0</v>
      </c>
      <c r="EH29" s="1199">
        <f t="shared" si="118"/>
        <v>0</v>
      </c>
      <c r="EI29" s="1199">
        <f t="shared" si="119"/>
        <v>0</v>
      </c>
      <c r="EJ29" s="1199">
        <f t="shared" si="120"/>
        <v>0</v>
      </c>
      <c r="EK29" s="1199">
        <f t="shared" si="121"/>
        <v>0</v>
      </c>
      <c r="EL29" s="1199">
        <f t="shared" si="122"/>
        <v>0</v>
      </c>
      <c r="EM29" s="1199">
        <f t="shared" si="123"/>
        <v>0</v>
      </c>
      <c r="EN29" s="1199">
        <f t="shared" si="124"/>
        <v>320930.76515863423</v>
      </c>
      <c r="EO29" s="1199">
        <f t="shared" si="125"/>
        <v>0</v>
      </c>
      <c r="EP29" s="1199">
        <f t="shared" si="126"/>
        <v>0</v>
      </c>
      <c r="EQ29" s="1199">
        <f t="shared" si="127"/>
        <v>0</v>
      </c>
      <c r="ER29" s="1199">
        <f t="shared" si="128"/>
        <v>0</v>
      </c>
      <c r="ES29" s="1199">
        <f t="shared" si="129"/>
        <v>0</v>
      </c>
      <c r="ET29" s="1199">
        <f t="shared" si="130"/>
        <v>0</v>
      </c>
      <c r="EU29" s="1199">
        <f t="shared" si="131"/>
        <v>0</v>
      </c>
      <c r="EV29" s="1199">
        <f t="shared" si="132"/>
        <v>0</v>
      </c>
      <c r="EW29" s="1199">
        <f t="shared" si="133"/>
        <v>0</v>
      </c>
      <c r="EX29" s="1199">
        <f t="shared" si="134"/>
        <v>0</v>
      </c>
      <c r="EY29" s="1199">
        <f t="shared" si="135"/>
        <v>0</v>
      </c>
      <c r="EZ29" s="1175">
        <f t="shared" si="136"/>
        <v>23302144.88494781</v>
      </c>
      <c r="FA29" s="1177"/>
      <c r="FB29" s="1202">
        <f t="shared" si="137"/>
        <v>14300145.783999996</v>
      </c>
      <c r="FC29" s="1202">
        <f t="shared" si="138"/>
        <v>0</v>
      </c>
      <c r="FD29" s="1202">
        <f t="shared" si="139"/>
        <v>0</v>
      </c>
      <c r="FE29" s="1202">
        <f t="shared" si="140"/>
        <v>0</v>
      </c>
      <c r="FF29" s="1202">
        <f t="shared" si="141"/>
        <v>0</v>
      </c>
      <c r="FG29" s="1202">
        <f t="shared" si="142"/>
        <v>0</v>
      </c>
      <c r="FH29" s="1202">
        <f t="shared" si="143"/>
        <v>0</v>
      </c>
      <c r="FI29" s="1202">
        <f t="shared" si="144"/>
        <v>0</v>
      </c>
      <c r="FJ29" s="1202">
        <f t="shared" si="145"/>
        <v>0</v>
      </c>
      <c r="FK29" s="1202">
        <f t="shared" si="146"/>
        <v>0</v>
      </c>
      <c r="FL29" s="1202">
        <f t="shared" si="147"/>
        <v>0</v>
      </c>
      <c r="FM29" s="1202">
        <f t="shared" si="148"/>
        <v>0</v>
      </c>
      <c r="FN29" s="1202">
        <f t="shared" si="149"/>
        <v>0</v>
      </c>
      <c r="FO29" s="1202">
        <f t="shared" si="150"/>
        <v>0</v>
      </c>
      <c r="FP29" s="1202">
        <f t="shared" si="151"/>
        <v>0</v>
      </c>
      <c r="FQ29" s="1202">
        <f t="shared" si="152"/>
        <v>8762674.3942693751</v>
      </c>
      <c r="FR29" s="1202">
        <f t="shared" si="153"/>
        <v>0</v>
      </c>
      <c r="FS29" s="1202">
        <f t="shared" si="154"/>
        <v>0</v>
      </c>
      <c r="FT29" s="1202">
        <f t="shared" si="155"/>
        <v>0</v>
      </c>
      <c r="FU29" s="1202">
        <f t="shared" si="156"/>
        <v>0</v>
      </c>
      <c r="FV29" s="1202">
        <f t="shared" si="157"/>
        <v>0</v>
      </c>
      <c r="FW29" s="1202">
        <f t="shared" si="158"/>
        <v>0</v>
      </c>
      <c r="FX29" s="1202">
        <f t="shared" si="159"/>
        <v>0</v>
      </c>
      <c r="FY29" s="1202">
        <f t="shared" si="160"/>
        <v>101926.34464275902</v>
      </c>
      <c r="FZ29" s="1202">
        <f t="shared" si="161"/>
        <v>0</v>
      </c>
      <c r="GA29" s="1202">
        <f t="shared" si="162"/>
        <v>0</v>
      </c>
      <c r="GB29" s="1202">
        <f t="shared" si="163"/>
        <v>0</v>
      </c>
      <c r="GC29" s="1202">
        <f t="shared" si="164"/>
        <v>0</v>
      </c>
      <c r="GD29" s="1202">
        <f t="shared" si="165"/>
        <v>0</v>
      </c>
      <c r="GE29" s="1202">
        <f t="shared" si="166"/>
        <v>0</v>
      </c>
      <c r="GF29" s="1202">
        <f t="shared" si="167"/>
        <v>0</v>
      </c>
      <c r="GG29" s="1202">
        <f t="shared" si="168"/>
        <v>0</v>
      </c>
      <c r="GH29" s="1202">
        <f t="shared" si="169"/>
        <v>0</v>
      </c>
      <c r="GI29" s="1202">
        <f t="shared" si="170"/>
        <v>0</v>
      </c>
      <c r="GJ29" s="1202">
        <f t="shared" si="171"/>
        <v>0</v>
      </c>
      <c r="GK29" s="1174">
        <f t="shared" si="172"/>
        <v>23164746.52291213</v>
      </c>
    </row>
    <row r="30" spans="1:193" s="1015" customFormat="1">
      <c r="A30" s="1003"/>
      <c r="B30" s="1149"/>
      <c r="C30" s="1149" t="s">
        <v>240</v>
      </c>
      <c r="D30" s="1204" t="s">
        <v>240</v>
      </c>
      <c r="E30" s="1204" t="s">
        <v>765</v>
      </c>
      <c r="F30" s="1204" t="s">
        <v>766</v>
      </c>
      <c r="G30" s="1204" t="s">
        <v>790</v>
      </c>
      <c r="H30" s="1204" t="s">
        <v>189</v>
      </c>
      <c r="I30" s="1149" t="s">
        <v>744</v>
      </c>
      <c r="J30" s="1177"/>
      <c r="K30" s="1177"/>
      <c r="L30" s="1233">
        <v>71.612800000000007</v>
      </c>
      <c r="M30" s="1020"/>
      <c r="N30" s="1020"/>
      <c r="O30" s="1020"/>
      <c r="P30" s="1020"/>
      <c r="Q30" s="1020"/>
      <c r="R30" s="1004"/>
      <c r="S30" s="1004"/>
      <c r="T30" s="1004"/>
      <c r="U30" s="1013"/>
      <c r="V30" s="1013"/>
      <c r="W30" s="1233">
        <v>58.66303786574872</v>
      </c>
      <c r="X30" s="1004"/>
      <c r="Y30" s="1004"/>
      <c r="Z30" s="1004"/>
      <c r="AA30" s="1233">
        <v>65.18115318416524</v>
      </c>
      <c r="AB30" s="1004"/>
      <c r="AC30" s="1013"/>
      <c r="AD30" s="1004"/>
      <c r="AE30" s="1013"/>
      <c r="AF30" s="1004"/>
      <c r="AG30" s="1013"/>
      <c r="AH30" s="1004"/>
      <c r="AI30" s="1224">
        <v>5.2655267410076341E-3</v>
      </c>
      <c r="AJ30" s="1005"/>
      <c r="AK30" s="1035"/>
      <c r="AL30" s="1005"/>
      <c r="AM30" s="1005"/>
      <c r="AN30" s="1005"/>
      <c r="AO30" s="1005"/>
      <c r="AP30" s="1013"/>
      <c r="AQ30" s="1013"/>
      <c r="AR30" s="1013"/>
      <c r="AS30" s="1005"/>
      <c r="AT30" s="1005"/>
      <c r="AU30" s="1177"/>
      <c r="AV30" s="1177"/>
      <c r="AW30" s="1182">
        <v>71.612800000000007</v>
      </c>
      <c r="AX30" s="1011"/>
      <c r="AY30" s="1011"/>
      <c r="AZ30" s="1011"/>
      <c r="BA30" s="1011"/>
      <c r="BB30" s="1011"/>
      <c r="BC30" s="1004"/>
      <c r="BD30" s="1004"/>
      <c r="BE30" s="1004"/>
      <c r="BF30" s="1013"/>
      <c r="BG30" s="1013"/>
      <c r="BH30" s="1182">
        <v>59.134</v>
      </c>
      <c r="BI30" s="1004"/>
      <c r="BJ30" s="1004"/>
      <c r="BK30" s="1004"/>
      <c r="BL30" s="1182">
        <v>65.704499999999996</v>
      </c>
      <c r="BM30" s="1004"/>
      <c r="BN30" s="1013"/>
      <c r="BO30" s="1013"/>
      <c r="BP30" s="1013"/>
      <c r="BQ30" s="1004"/>
      <c r="BR30" s="1035"/>
      <c r="BS30" s="1005"/>
      <c r="BT30" s="1226">
        <v>1.672310515522942E-3</v>
      </c>
      <c r="BU30" s="1241"/>
      <c r="BV30" s="1602"/>
      <c r="BW30" s="1241"/>
      <c r="BX30" s="1241"/>
      <c r="BY30" s="1241"/>
      <c r="BZ30" s="1602"/>
      <c r="CA30" s="1013"/>
      <c r="CB30" s="1013"/>
      <c r="CC30" s="1013"/>
      <c r="CD30" s="1602"/>
      <c r="CE30" s="1602"/>
      <c r="CF30" s="1177"/>
      <c r="CG30" s="1236">
        <v>661.37</v>
      </c>
      <c r="CH30" s="1011"/>
      <c r="CI30" s="1011"/>
      <c r="CJ30" s="1011"/>
      <c r="CK30" s="1011"/>
      <c r="CL30" s="1011"/>
      <c r="CM30" s="1004"/>
      <c r="CN30" s="1004"/>
      <c r="CO30" s="1008"/>
      <c r="CP30" s="1013"/>
      <c r="CQ30" s="1013"/>
      <c r="CR30" s="1004"/>
      <c r="CS30" s="1004"/>
      <c r="CT30" s="1004"/>
      <c r="CU30" s="1008"/>
      <c r="CV30" s="1236">
        <v>172031.93829999998</v>
      </c>
      <c r="CW30" s="1004"/>
      <c r="CX30" s="1013"/>
      <c r="CY30" s="1013"/>
      <c r="CZ30" s="1013"/>
      <c r="DA30" s="1004"/>
      <c r="DB30" s="1013"/>
      <c r="DC30" s="1004"/>
      <c r="DD30" s="1236">
        <v>95044179.719999999</v>
      </c>
      <c r="DE30" s="1008"/>
      <c r="DF30" s="1036"/>
      <c r="DG30" s="1008"/>
      <c r="DH30" s="1014"/>
      <c r="DI30" s="1008"/>
      <c r="DJ30" s="1008"/>
      <c r="DK30" s="1013"/>
      <c r="DL30" s="1013"/>
      <c r="DM30" s="1013"/>
      <c r="DN30" s="1008"/>
      <c r="DO30" s="1008"/>
      <c r="DP30" s="1177"/>
      <c r="DQ30" s="1199">
        <f t="shared" si="101"/>
        <v>17287333.500640001</v>
      </c>
      <c r="DR30" s="1199">
        <f t="shared" si="102"/>
        <v>0</v>
      </c>
      <c r="DS30" s="1199">
        <f t="shared" si="103"/>
        <v>0</v>
      </c>
      <c r="DT30" s="1199">
        <f t="shared" si="104"/>
        <v>0</v>
      </c>
      <c r="DU30" s="1199">
        <f t="shared" si="105"/>
        <v>0</v>
      </c>
      <c r="DV30" s="1199">
        <f t="shared" si="106"/>
        <v>0</v>
      </c>
      <c r="DW30" s="1199">
        <f t="shared" si="107"/>
        <v>0</v>
      </c>
      <c r="DX30" s="1199">
        <f t="shared" si="108"/>
        <v>0</v>
      </c>
      <c r="DY30" s="1199">
        <f t="shared" si="109"/>
        <v>0</v>
      </c>
      <c r="DZ30" s="1199">
        <f t="shared" si="110"/>
        <v>0</v>
      </c>
      <c r="EA30" s="1199">
        <f t="shared" si="111"/>
        <v>0</v>
      </c>
      <c r="EB30" s="1199">
        <f t="shared" si="112"/>
        <v>0</v>
      </c>
      <c r="EC30" s="1199">
        <f t="shared" si="113"/>
        <v>0</v>
      </c>
      <c r="ED30" s="1199">
        <f t="shared" si="114"/>
        <v>0</v>
      </c>
      <c r="EE30" s="1199">
        <f t="shared" si="115"/>
        <v>0</v>
      </c>
      <c r="EF30" s="1199">
        <f t="shared" si="116"/>
        <v>11213240.122901162</v>
      </c>
      <c r="EG30" s="1199">
        <f t="shared" si="117"/>
        <v>0</v>
      </c>
      <c r="EH30" s="1199">
        <f t="shared" si="118"/>
        <v>0</v>
      </c>
      <c r="EI30" s="1199">
        <f t="shared" si="119"/>
        <v>0</v>
      </c>
      <c r="EJ30" s="1199">
        <f t="shared" si="120"/>
        <v>0</v>
      </c>
      <c r="EK30" s="1199">
        <f t="shared" si="121"/>
        <v>0</v>
      </c>
      <c r="EL30" s="1199">
        <f t="shared" si="122"/>
        <v>0</v>
      </c>
      <c r="EM30" s="1199">
        <f t="shared" si="123"/>
        <v>0</v>
      </c>
      <c r="EN30" s="1199">
        <f t="shared" si="124"/>
        <v>500457.66989279544</v>
      </c>
      <c r="EO30" s="1199">
        <f t="shared" si="125"/>
        <v>0</v>
      </c>
      <c r="EP30" s="1199">
        <f t="shared" si="126"/>
        <v>0</v>
      </c>
      <c r="EQ30" s="1199">
        <f t="shared" si="127"/>
        <v>0</v>
      </c>
      <c r="ER30" s="1199">
        <f t="shared" si="128"/>
        <v>0</v>
      </c>
      <c r="ES30" s="1199">
        <f t="shared" si="129"/>
        <v>0</v>
      </c>
      <c r="ET30" s="1199">
        <f t="shared" si="130"/>
        <v>0</v>
      </c>
      <c r="EU30" s="1199">
        <f t="shared" si="131"/>
        <v>0</v>
      </c>
      <c r="EV30" s="1199">
        <f t="shared" si="132"/>
        <v>0</v>
      </c>
      <c r="EW30" s="1199">
        <f t="shared" si="133"/>
        <v>0</v>
      </c>
      <c r="EX30" s="1199">
        <f t="shared" si="134"/>
        <v>0</v>
      </c>
      <c r="EY30" s="1199">
        <f t="shared" si="135"/>
        <v>0</v>
      </c>
      <c r="EZ30" s="1175">
        <f t="shared" si="136"/>
        <v>29001031.293433957</v>
      </c>
      <c r="FA30" s="1177"/>
      <c r="FB30" s="1202">
        <f t="shared" si="137"/>
        <v>17287333.500640001</v>
      </c>
      <c r="FC30" s="1202">
        <f t="shared" si="138"/>
        <v>0</v>
      </c>
      <c r="FD30" s="1202">
        <f t="shared" si="139"/>
        <v>0</v>
      </c>
      <c r="FE30" s="1202">
        <f t="shared" si="140"/>
        <v>0</v>
      </c>
      <c r="FF30" s="1202">
        <f t="shared" si="141"/>
        <v>0</v>
      </c>
      <c r="FG30" s="1202">
        <f t="shared" si="142"/>
        <v>0</v>
      </c>
      <c r="FH30" s="1202">
        <f t="shared" si="143"/>
        <v>0</v>
      </c>
      <c r="FI30" s="1202">
        <f t="shared" si="144"/>
        <v>0</v>
      </c>
      <c r="FJ30" s="1202">
        <f t="shared" si="145"/>
        <v>0</v>
      </c>
      <c r="FK30" s="1202">
        <f t="shared" si="146"/>
        <v>0</v>
      </c>
      <c r="FL30" s="1202">
        <f t="shared" si="147"/>
        <v>0</v>
      </c>
      <c r="FM30" s="1202">
        <f t="shared" si="148"/>
        <v>0</v>
      </c>
      <c r="FN30" s="1202">
        <f t="shared" si="149"/>
        <v>0</v>
      </c>
      <c r="FO30" s="1202">
        <f t="shared" si="150"/>
        <v>0</v>
      </c>
      <c r="FP30" s="1202">
        <f t="shared" si="151"/>
        <v>0</v>
      </c>
      <c r="FQ30" s="1202">
        <f t="shared" si="152"/>
        <v>11303272.490032349</v>
      </c>
      <c r="FR30" s="1202">
        <f t="shared" si="153"/>
        <v>0</v>
      </c>
      <c r="FS30" s="1202">
        <f t="shared" si="154"/>
        <v>0</v>
      </c>
      <c r="FT30" s="1202">
        <f t="shared" si="155"/>
        <v>0</v>
      </c>
      <c r="FU30" s="1202">
        <f t="shared" si="156"/>
        <v>0</v>
      </c>
      <c r="FV30" s="1202">
        <f t="shared" si="157"/>
        <v>0</v>
      </c>
      <c r="FW30" s="1202">
        <f t="shared" si="158"/>
        <v>0</v>
      </c>
      <c r="FX30" s="1202">
        <f t="shared" si="159"/>
        <v>0</v>
      </c>
      <c r="FY30" s="1202">
        <f t="shared" si="160"/>
        <v>158943.38118500836</v>
      </c>
      <c r="FZ30" s="1202">
        <f t="shared" si="161"/>
        <v>0</v>
      </c>
      <c r="GA30" s="1202">
        <f t="shared" si="162"/>
        <v>0</v>
      </c>
      <c r="GB30" s="1202">
        <f t="shared" si="163"/>
        <v>0</v>
      </c>
      <c r="GC30" s="1202">
        <f t="shared" si="164"/>
        <v>0</v>
      </c>
      <c r="GD30" s="1202">
        <f t="shared" si="165"/>
        <v>0</v>
      </c>
      <c r="GE30" s="1202">
        <f t="shared" si="166"/>
        <v>0</v>
      </c>
      <c r="GF30" s="1202">
        <f t="shared" si="167"/>
        <v>0</v>
      </c>
      <c r="GG30" s="1202">
        <f t="shared" si="168"/>
        <v>0</v>
      </c>
      <c r="GH30" s="1202">
        <f t="shared" si="169"/>
        <v>0</v>
      </c>
      <c r="GI30" s="1202">
        <f t="shared" si="170"/>
        <v>0</v>
      </c>
      <c r="GJ30" s="1202">
        <f t="shared" si="171"/>
        <v>0</v>
      </c>
      <c r="GK30" s="1174">
        <f t="shared" si="172"/>
        <v>28749549.37185736</v>
      </c>
    </row>
    <row r="31" spans="1:193" s="1015" customFormat="1">
      <c r="A31" s="1003"/>
      <c r="B31" s="1149"/>
      <c r="C31" s="1149" t="s">
        <v>239</v>
      </c>
      <c r="D31" s="1204" t="s">
        <v>239</v>
      </c>
      <c r="E31" s="1204" t="s">
        <v>765</v>
      </c>
      <c r="F31" s="1204" t="s">
        <v>766</v>
      </c>
      <c r="G31" s="1204" t="s">
        <v>791</v>
      </c>
      <c r="H31" s="1204" t="s">
        <v>190</v>
      </c>
      <c r="I31" s="1149" t="s">
        <v>744</v>
      </c>
      <c r="J31" s="1177"/>
      <c r="K31" s="1177"/>
      <c r="L31" s="1233">
        <v>209.20425</v>
      </c>
      <c r="M31" s="1020"/>
      <c r="N31" s="1020"/>
      <c r="O31" s="1020"/>
      <c r="P31" s="1020"/>
      <c r="Q31" s="1020"/>
      <c r="R31" s="1004"/>
      <c r="S31" s="1004"/>
      <c r="T31" s="1004"/>
      <c r="U31" s="1013"/>
      <c r="V31" s="1013"/>
      <c r="W31" s="1233">
        <v>9.4143424279724304</v>
      </c>
      <c r="X31" s="1004"/>
      <c r="Y31" s="1004"/>
      <c r="Z31" s="1004"/>
      <c r="AA31" s="1233">
        <v>10.460380475524921</v>
      </c>
      <c r="AB31" s="1004"/>
      <c r="AC31" s="1013"/>
      <c r="AD31" s="1004"/>
      <c r="AE31" s="1013"/>
      <c r="AF31" s="1004"/>
      <c r="AG31" s="1013"/>
      <c r="AH31" s="1004"/>
      <c r="AI31" s="1224">
        <v>2.5175116444294322E-3</v>
      </c>
      <c r="AJ31" s="1035"/>
      <c r="AK31" s="1005"/>
      <c r="AL31" s="1005"/>
      <c r="AM31" s="1005"/>
      <c r="AN31" s="1005"/>
      <c r="AO31" s="1005"/>
      <c r="AP31" s="1013"/>
      <c r="AQ31" s="1013"/>
      <c r="AR31" s="1013"/>
      <c r="AS31" s="1005"/>
      <c r="AT31" s="1005"/>
      <c r="AU31" s="1177"/>
      <c r="AV31" s="1177"/>
      <c r="AW31" s="1182">
        <v>209.20425</v>
      </c>
      <c r="AX31" s="1011"/>
      <c r="AY31" s="1011"/>
      <c r="AZ31" s="1011"/>
      <c r="BA31" s="1011"/>
      <c r="BB31" s="1011"/>
      <c r="BC31" s="1004"/>
      <c r="BD31" s="1004"/>
      <c r="BE31" s="1004"/>
      <c r="BF31" s="1013"/>
      <c r="BG31" s="1013"/>
      <c r="BH31" s="1182">
        <v>9.2279999999999998</v>
      </c>
      <c r="BI31" s="1004"/>
      <c r="BJ31" s="1004"/>
      <c r="BK31" s="1004"/>
      <c r="BL31" s="1182">
        <v>10.254</v>
      </c>
      <c r="BM31" s="1004"/>
      <c r="BN31" s="1013"/>
      <c r="BO31" s="1013"/>
      <c r="BP31" s="1013"/>
      <c r="BQ31" s="1004"/>
      <c r="BR31" s="1035"/>
      <c r="BS31" s="1005"/>
      <c r="BT31" s="1226">
        <v>1.9470111878998149E-3</v>
      </c>
      <c r="BU31" s="1241"/>
      <c r="BV31" s="1241"/>
      <c r="BW31" s="1241"/>
      <c r="BX31" s="1241"/>
      <c r="BY31" s="1241"/>
      <c r="BZ31" s="1602"/>
      <c r="CA31" s="1013"/>
      <c r="CB31" s="1013"/>
      <c r="CC31" s="1013"/>
      <c r="CD31" s="1602"/>
      <c r="CE31" s="1602"/>
      <c r="CF31" s="1177"/>
      <c r="CG31" s="1236">
        <v>7</v>
      </c>
      <c r="CH31" s="1011"/>
      <c r="CI31" s="1011"/>
      <c r="CJ31" s="1011"/>
      <c r="CK31" s="1011"/>
      <c r="CL31" s="1011"/>
      <c r="CM31" s="1004"/>
      <c r="CN31" s="1004"/>
      <c r="CO31" s="1008"/>
      <c r="CP31" s="1013"/>
      <c r="CQ31" s="1013"/>
      <c r="CR31" s="1004"/>
      <c r="CS31" s="1004"/>
      <c r="CT31" s="1004"/>
      <c r="CU31" s="1008"/>
      <c r="CV31" s="1236">
        <v>1444.8</v>
      </c>
      <c r="CW31" s="1004"/>
      <c r="CX31" s="1013"/>
      <c r="CY31" s="1013"/>
      <c r="CZ31" s="1013"/>
      <c r="DA31" s="1004"/>
      <c r="DB31" s="1013"/>
      <c r="DC31" s="1004"/>
      <c r="DD31" s="1236">
        <v>11091765.17</v>
      </c>
      <c r="DE31" s="1036"/>
      <c r="DF31" s="1008"/>
      <c r="DG31" s="1008"/>
      <c r="DH31" s="1014"/>
      <c r="DI31" s="1008"/>
      <c r="DJ31" s="1008"/>
      <c r="DK31" s="1013"/>
      <c r="DL31" s="1013"/>
      <c r="DM31" s="1013"/>
      <c r="DN31" s="1008"/>
      <c r="DO31" s="1008"/>
      <c r="DP31" s="1177"/>
      <c r="DQ31" s="1199">
        <f t="shared" si="101"/>
        <v>534516.85875000001</v>
      </c>
      <c r="DR31" s="1199">
        <f t="shared" si="102"/>
        <v>0</v>
      </c>
      <c r="DS31" s="1199">
        <f t="shared" si="103"/>
        <v>0</v>
      </c>
      <c r="DT31" s="1199">
        <f t="shared" si="104"/>
        <v>0</v>
      </c>
      <c r="DU31" s="1199">
        <f t="shared" si="105"/>
        <v>0</v>
      </c>
      <c r="DV31" s="1199">
        <f t="shared" si="106"/>
        <v>0</v>
      </c>
      <c r="DW31" s="1199">
        <f t="shared" si="107"/>
        <v>0</v>
      </c>
      <c r="DX31" s="1199">
        <f t="shared" si="108"/>
        <v>0</v>
      </c>
      <c r="DY31" s="1199">
        <f t="shared" si="109"/>
        <v>0</v>
      </c>
      <c r="DZ31" s="1199">
        <f t="shared" si="110"/>
        <v>0</v>
      </c>
      <c r="EA31" s="1199">
        <f t="shared" si="111"/>
        <v>0</v>
      </c>
      <c r="EB31" s="1199">
        <f t="shared" si="112"/>
        <v>0</v>
      </c>
      <c r="EC31" s="1199">
        <f t="shared" si="113"/>
        <v>0</v>
      </c>
      <c r="ED31" s="1199">
        <f t="shared" si="114"/>
        <v>0</v>
      </c>
      <c r="EE31" s="1199">
        <f t="shared" si="115"/>
        <v>0</v>
      </c>
      <c r="EF31" s="1199">
        <f t="shared" si="116"/>
        <v>15113.157711038406</v>
      </c>
      <c r="EG31" s="1199">
        <f t="shared" si="117"/>
        <v>0</v>
      </c>
      <c r="EH31" s="1199">
        <f t="shared" si="118"/>
        <v>0</v>
      </c>
      <c r="EI31" s="1199">
        <f t="shared" si="119"/>
        <v>0</v>
      </c>
      <c r="EJ31" s="1199">
        <f t="shared" si="120"/>
        <v>0</v>
      </c>
      <c r="EK31" s="1199">
        <f t="shared" si="121"/>
        <v>0</v>
      </c>
      <c r="EL31" s="1199">
        <f t="shared" si="122"/>
        <v>0</v>
      </c>
      <c r="EM31" s="1199">
        <f t="shared" si="123"/>
        <v>0</v>
      </c>
      <c r="EN31" s="1199">
        <f t="shared" si="124"/>
        <v>27923.647972751802</v>
      </c>
      <c r="EO31" s="1199">
        <f t="shared" si="125"/>
        <v>0</v>
      </c>
      <c r="EP31" s="1199">
        <f t="shared" si="126"/>
        <v>0</v>
      </c>
      <c r="EQ31" s="1199">
        <f t="shared" si="127"/>
        <v>0</v>
      </c>
      <c r="ER31" s="1199">
        <f t="shared" si="128"/>
        <v>0</v>
      </c>
      <c r="ES31" s="1199">
        <f t="shared" si="129"/>
        <v>0</v>
      </c>
      <c r="ET31" s="1199">
        <f t="shared" si="130"/>
        <v>0</v>
      </c>
      <c r="EU31" s="1199">
        <f t="shared" si="131"/>
        <v>0</v>
      </c>
      <c r="EV31" s="1199">
        <f t="shared" si="132"/>
        <v>0</v>
      </c>
      <c r="EW31" s="1199">
        <f t="shared" si="133"/>
        <v>0</v>
      </c>
      <c r="EX31" s="1199">
        <f t="shared" si="134"/>
        <v>0</v>
      </c>
      <c r="EY31" s="1199">
        <f t="shared" si="135"/>
        <v>0</v>
      </c>
      <c r="EZ31" s="1175">
        <f t="shared" si="136"/>
        <v>577553.66443379014</v>
      </c>
      <c r="FA31" s="1177"/>
      <c r="FB31" s="1202">
        <f t="shared" si="137"/>
        <v>534516.85875000001</v>
      </c>
      <c r="FC31" s="1202">
        <f t="shared" si="138"/>
        <v>0</v>
      </c>
      <c r="FD31" s="1202">
        <f t="shared" si="139"/>
        <v>0</v>
      </c>
      <c r="FE31" s="1202">
        <f t="shared" si="140"/>
        <v>0</v>
      </c>
      <c r="FF31" s="1202">
        <f t="shared" si="141"/>
        <v>0</v>
      </c>
      <c r="FG31" s="1202">
        <f t="shared" si="142"/>
        <v>0</v>
      </c>
      <c r="FH31" s="1202">
        <f t="shared" si="143"/>
        <v>0</v>
      </c>
      <c r="FI31" s="1202">
        <f t="shared" si="144"/>
        <v>0</v>
      </c>
      <c r="FJ31" s="1202">
        <f t="shared" si="145"/>
        <v>0</v>
      </c>
      <c r="FK31" s="1202">
        <f t="shared" si="146"/>
        <v>0</v>
      </c>
      <c r="FL31" s="1202">
        <f t="shared" si="147"/>
        <v>0</v>
      </c>
      <c r="FM31" s="1202">
        <f t="shared" si="148"/>
        <v>0</v>
      </c>
      <c r="FN31" s="1202">
        <f t="shared" si="149"/>
        <v>0</v>
      </c>
      <c r="FO31" s="1202">
        <f t="shared" si="150"/>
        <v>0</v>
      </c>
      <c r="FP31" s="1202">
        <f t="shared" si="151"/>
        <v>0</v>
      </c>
      <c r="FQ31" s="1202">
        <f t="shared" si="152"/>
        <v>14814.9792</v>
      </c>
      <c r="FR31" s="1202">
        <f t="shared" si="153"/>
        <v>0</v>
      </c>
      <c r="FS31" s="1202">
        <f t="shared" si="154"/>
        <v>0</v>
      </c>
      <c r="FT31" s="1202">
        <f t="shared" si="155"/>
        <v>0</v>
      </c>
      <c r="FU31" s="1202">
        <f t="shared" si="156"/>
        <v>0</v>
      </c>
      <c r="FV31" s="1202">
        <f t="shared" si="157"/>
        <v>0</v>
      </c>
      <c r="FW31" s="1202">
        <f t="shared" si="158"/>
        <v>0</v>
      </c>
      <c r="FX31" s="1202">
        <f t="shared" si="159"/>
        <v>0</v>
      </c>
      <c r="FY31" s="1202">
        <f t="shared" si="160"/>
        <v>21595.79087954749</v>
      </c>
      <c r="FZ31" s="1202">
        <f t="shared" si="161"/>
        <v>0</v>
      </c>
      <c r="GA31" s="1202">
        <f t="shared" si="162"/>
        <v>0</v>
      </c>
      <c r="GB31" s="1202">
        <f t="shared" si="163"/>
        <v>0</v>
      </c>
      <c r="GC31" s="1202">
        <f t="shared" si="164"/>
        <v>0</v>
      </c>
      <c r="GD31" s="1202">
        <f t="shared" si="165"/>
        <v>0</v>
      </c>
      <c r="GE31" s="1202">
        <f t="shared" si="166"/>
        <v>0</v>
      </c>
      <c r="GF31" s="1202">
        <f t="shared" si="167"/>
        <v>0</v>
      </c>
      <c r="GG31" s="1202">
        <f t="shared" si="168"/>
        <v>0</v>
      </c>
      <c r="GH31" s="1202">
        <f t="shared" si="169"/>
        <v>0</v>
      </c>
      <c r="GI31" s="1202">
        <f t="shared" si="170"/>
        <v>0</v>
      </c>
      <c r="GJ31" s="1202">
        <f t="shared" si="171"/>
        <v>0</v>
      </c>
      <c r="GK31" s="1174">
        <f t="shared" si="172"/>
        <v>570927.62882954744</v>
      </c>
    </row>
    <row r="32" spans="1:193" s="1015" customFormat="1">
      <c r="A32" s="1003"/>
      <c r="B32" s="1149"/>
      <c r="C32" s="1149" t="s">
        <v>238</v>
      </c>
      <c r="D32" s="1204" t="s">
        <v>238</v>
      </c>
      <c r="E32" s="1204" t="s">
        <v>765</v>
      </c>
      <c r="F32" s="1204" t="s">
        <v>766</v>
      </c>
      <c r="G32" s="1204" t="s">
        <v>791</v>
      </c>
      <c r="H32" s="1204" t="s">
        <v>191</v>
      </c>
      <c r="I32" s="1149" t="s">
        <v>744</v>
      </c>
      <c r="J32" s="1177"/>
      <c r="K32" s="1177"/>
      <c r="L32" s="1233">
        <v>72.678799999999995</v>
      </c>
      <c r="M32" s="1020"/>
      <c r="N32" s="1020"/>
      <c r="O32" s="1020"/>
      <c r="P32" s="1020"/>
      <c r="Q32" s="1020"/>
      <c r="R32" s="1004"/>
      <c r="S32" s="1004"/>
      <c r="T32" s="1004"/>
      <c r="U32" s="1013"/>
      <c r="V32" s="1013"/>
      <c r="W32" s="1233">
        <v>12.078268682368542</v>
      </c>
      <c r="X32" s="1004"/>
      <c r="Y32" s="1004"/>
      <c r="Z32" s="1004"/>
      <c r="AA32" s="1233">
        <v>13.420298535965046</v>
      </c>
      <c r="AB32" s="1004"/>
      <c r="AC32" s="1013"/>
      <c r="AD32" s="1004"/>
      <c r="AE32" s="1013"/>
      <c r="AF32" s="1004"/>
      <c r="AG32" s="1013"/>
      <c r="AH32" s="1004"/>
      <c r="AI32" s="1224">
        <v>2.5175116444294322E-3</v>
      </c>
      <c r="AJ32" s="1035"/>
      <c r="AK32" s="1005"/>
      <c r="AL32" s="1005"/>
      <c r="AM32" s="1005"/>
      <c r="AN32" s="1005"/>
      <c r="AO32" s="1005"/>
      <c r="AP32" s="1013"/>
      <c r="AQ32" s="1013"/>
      <c r="AR32" s="1013"/>
      <c r="AS32" s="1005"/>
      <c r="AT32" s="1005"/>
      <c r="AU32" s="1177"/>
      <c r="AV32" s="1177"/>
      <c r="AW32" s="1182">
        <v>72.678799999999995</v>
      </c>
      <c r="AX32" s="1011"/>
      <c r="AY32" s="1011"/>
      <c r="AZ32" s="1011"/>
      <c r="BA32" s="1011"/>
      <c r="BB32" s="1011"/>
      <c r="BC32" s="1004"/>
      <c r="BD32" s="1004"/>
      <c r="BE32" s="1004"/>
      <c r="BF32" s="1013"/>
      <c r="BG32" s="1013"/>
      <c r="BH32" s="1182">
        <v>12.179</v>
      </c>
      <c r="BI32" s="1004"/>
      <c r="BJ32" s="1004"/>
      <c r="BK32" s="1004"/>
      <c r="BL32" s="1182">
        <v>13.53285</v>
      </c>
      <c r="BM32" s="1004"/>
      <c r="BN32" s="1013"/>
      <c r="BO32" s="1013"/>
      <c r="BP32" s="1013"/>
      <c r="BQ32" s="1004"/>
      <c r="BR32" s="1035"/>
      <c r="BS32" s="1005"/>
      <c r="BT32" s="1226">
        <v>1.9470111878998149E-3</v>
      </c>
      <c r="BU32" s="1241"/>
      <c r="BV32" s="1241"/>
      <c r="BW32" s="1241"/>
      <c r="BX32" s="1241"/>
      <c r="BY32" s="1241"/>
      <c r="BZ32" s="1602"/>
      <c r="CA32" s="1013"/>
      <c r="CB32" s="1013"/>
      <c r="CC32" s="1013"/>
      <c r="CD32" s="1602"/>
      <c r="CE32" s="1602"/>
      <c r="CF32" s="1177"/>
      <c r="CG32" s="1236">
        <v>38</v>
      </c>
      <c r="CH32" s="1011"/>
      <c r="CI32" s="1011"/>
      <c r="CJ32" s="1011"/>
      <c r="CK32" s="1011"/>
      <c r="CL32" s="1011"/>
      <c r="CM32" s="1004"/>
      <c r="CN32" s="1004"/>
      <c r="CO32" s="1008"/>
      <c r="CP32" s="1013"/>
      <c r="CQ32" s="1013"/>
      <c r="CR32" s="1004"/>
      <c r="CS32" s="1004"/>
      <c r="CT32" s="1004"/>
      <c r="CU32" s="1008"/>
      <c r="CV32" s="1236">
        <v>26522.1</v>
      </c>
      <c r="CW32" s="1004"/>
      <c r="CX32" s="1013"/>
      <c r="CY32" s="1013"/>
      <c r="CZ32" s="1013"/>
      <c r="DA32" s="1004"/>
      <c r="DB32" s="1013"/>
      <c r="DC32" s="1004"/>
      <c r="DD32" s="1236">
        <v>16596571.65</v>
      </c>
      <c r="DE32" s="1036"/>
      <c r="DF32" s="1008"/>
      <c r="DG32" s="1008"/>
      <c r="DH32" s="1014"/>
      <c r="DI32" s="1008"/>
      <c r="DJ32" s="1008"/>
      <c r="DK32" s="1013"/>
      <c r="DL32" s="1013"/>
      <c r="DM32" s="1013"/>
      <c r="DN32" s="1008"/>
      <c r="DO32" s="1008"/>
      <c r="DP32" s="1177"/>
      <c r="DQ32" s="1199">
        <f t="shared" si="101"/>
        <v>1008054.9559999999</v>
      </c>
      <c r="DR32" s="1199">
        <f t="shared" si="102"/>
        <v>0</v>
      </c>
      <c r="DS32" s="1199">
        <f t="shared" si="103"/>
        <v>0</v>
      </c>
      <c r="DT32" s="1199">
        <f t="shared" si="104"/>
        <v>0</v>
      </c>
      <c r="DU32" s="1199">
        <f t="shared" si="105"/>
        <v>0</v>
      </c>
      <c r="DV32" s="1199">
        <f t="shared" si="106"/>
        <v>0</v>
      </c>
      <c r="DW32" s="1199">
        <f t="shared" si="107"/>
        <v>0</v>
      </c>
      <c r="DX32" s="1199">
        <f t="shared" si="108"/>
        <v>0</v>
      </c>
      <c r="DY32" s="1199">
        <f t="shared" si="109"/>
        <v>0</v>
      </c>
      <c r="DZ32" s="1199">
        <f t="shared" si="110"/>
        <v>0</v>
      </c>
      <c r="EA32" s="1199">
        <f t="shared" si="111"/>
        <v>0</v>
      </c>
      <c r="EB32" s="1199">
        <f t="shared" si="112"/>
        <v>0</v>
      </c>
      <c r="EC32" s="1199">
        <f t="shared" si="113"/>
        <v>0</v>
      </c>
      <c r="ED32" s="1199">
        <f t="shared" si="114"/>
        <v>0</v>
      </c>
      <c r="EE32" s="1199">
        <f t="shared" si="115"/>
        <v>0</v>
      </c>
      <c r="EF32" s="1199">
        <f t="shared" si="116"/>
        <v>355934.49980071851</v>
      </c>
      <c r="EG32" s="1199">
        <f t="shared" si="117"/>
        <v>0</v>
      </c>
      <c r="EH32" s="1199">
        <f t="shared" si="118"/>
        <v>0</v>
      </c>
      <c r="EI32" s="1199">
        <f t="shared" si="119"/>
        <v>0</v>
      </c>
      <c r="EJ32" s="1199">
        <f t="shared" si="120"/>
        <v>0</v>
      </c>
      <c r="EK32" s="1199">
        <f t="shared" si="121"/>
        <v>0</v>
      </c>
      <c r="EL32" s="1199">
        <f t="shared" si="122"/>
        <v>0</v>
      </c>
      <c r="EM32" s="1199">
        <f t="shared" si="123"/>
        <v>0</v>
      </c>
      <c r="EN32" s="1199">
        <f t="shared" si="124"/>
        <v>41782.062386482394</v>
      </c>
      <c r="EO32" s="1199">
        <f t="shared" si="125"/>
        <v>0</v>
      </c>
      <c r="EP32" s="1199">
        <f t="shared" si="126"/>
        <v>0</v>
      </c>
      <c r="EQ32" s="1199">
        <f t="shared" si="127"/>
        <v>0</v>
      </c>
      <c r="ER32" s="1199">
        <f t="shared" si="128"/>
        <v>0</v>
      </c>
      <c r="ES32" s="1199">
        <f t="shared" si="129"/>
        <v>0</v>
      </c>
      <c r="ET32" s="1199">
        <f t="shared" si="130"/>
        <v>0</v>
      </c>
      <c r="EU32" s="1199">
        <f t="shared" si="131"/>
        <v>0</v>
      </c>
      <c r="EV32" s="1199">
        <f t="shared" si="132"/>
        <v>0</v>
      </c>
      <c r="EW32" s="1199">
        <f t="shared" si="133"/>
        <v>0</v>
      </c>
      <c r="EX32" s="1199">
        <f t="shared" si="134"/>
        <v>0</v>
      </c>
      <c r="EY32" s="1199">
        <f t="shared" si="135"/>
        <v>0</v>
      </c>
      <c r="EZ32" s="1175">
        <f t="shared" si="136"/>
        <v>1405771.5181872009</v>
      </c>
      <c r="FA32" s="1177"/>
      <c r="FB32" s="1202">
        <f t="shared" si="137"/>
        <v>1008054.9559999999</v>
      </c>
      <c r="FC32" s="1202">
        <f t="shared" si="138"/>
        <v>0</v>
      </c>
      <c r="FD32" s="1202">
        <f t="shared" si="139"/>
        <v>0</v>
      </c>
      <c r="FE32" s="1202">
        <f t="shared" si="140"/>
        <v>0</v>
      </c>
      <c r="FF32" s="1202">
        <f t="shared" si="141"/>
        <v>0</v>
      </c>
      <c r="FG32" s="1202">
        <f t="shared" si="142"/>
        <v>0</v>
      </c>
      <c r="FH32" s="1202">
        <f t="shared" si="143"/>
        <v>0</v>
      </c>
      <c r="FI32" s="1202">
        <f t="shared" si="144"/>
        <v>0</v>
      </c>
      <c r="FJ32" s="1202">
        <f t="shared" si="145"/>
        <v>0</v>
      </c>
      <c r="FK32" s="1202">
        <f t="shared" si="146"/>
        <v>0</v>
      </c>
      <c r="FL32" s="1202">
        <f t="shared" si="147"/>
        <v>0</v>
      </c>
      <c r="FM32" s="1202">
        <f t="shared" si="148"/>
        <v>0</v>
      </c>
      <c r="FN32" s="1202">
        <f t="shared" si="149"/>
        <v>0</v>
      </c>
      <c r="FO32" s="1202">
        <f t="shared" si="150"/>
        <v>0</v>
      </c>
      <c r="FP32" s="1202">
        <f t="shared" si="151"/>
        <v>0</v>
      </c>
      <c r="FQ32" s="1202">
        <f t="shared" si="152"/>
        <v>358919.60098499997</v>
      </c>
      <c r="FR32" s="1202">
        <f t="shared" si="153"/>
        <v>0</v>
      </c>
      <c r="FS32" s="1202">
        <f t="shared" si="154"/>
        <v>0</v>
      </c>
      <c r="FT32" s="1202">
        <f t="shared" si="155"/>
        <v>0</v>
      </c>
      <c r="FU32" s="1202">
        <f t="shared" si="156"/>
        <v>0</v>
      </c>
      <c r="FV32" s="1202">
        <f t="shared" si="157"/>
        <v>0</v>
      </c>
      <c r="FW32" s="1202">
        <f t="shared" si="158"/>
        <v>0</v>
      </c>
      <c r="FX32" s="1202">
        <f t="shared" si="159"/>
        <v>0</v>
      </c>
      <c r="FY32" s="1202">
        <f t="shared" si="160"/>
        <v>32313.71068333089</v>
      </c>
      <c r="FZ32" s="1202">
        <f t="shared" si="161"/>
        <v>0</v>
      </c>
      <c r="GA32" s="1202">
        <f t="shared" si="162"/>
        <v>0</v>
      </c>
      <c r="GB32" s="1202">
        <f t="shared" si="163"/>
        <v>0</v>
      </c>
      <c r="GC32" s="1202">
        <f t="shared" si="164"/>
        <v>0</v>
      </c>
      <c r="GD32" s="1202">
        <f t="shared" si="165"/>
        <v>0</v>
      </c>
      <c r="GE32" s="1202">
        <f t="shared" si="166"/>
        <v>0</v>
      </c>
      <c r="GF32" s="1202">
        <f t="shared" si="167"/>
        <v>0</v>
      </c>
      <c r="GG32" s="1202">
        <f t="shared" si="168"/>
        <v>0</v>
      </c>
      <c r="GH32" s="1202">
        <f t="shared" si="169"/>
        <v>0</v>
      </c>
      <c r="GI32" s="1202">
        <f t="shared" si="170"/>
        <v>0</v>
      </c>
      <c r="GJ32" s="1202">
        <f t="shared" si="171"/>
        <v>0</v>
      </c>
      <c r="GK32" s="1174">
        <f t="shared" si="172"/>
        <v>1399288.2676683308</v>
      </c>
    </row>
    <row r="33" spans="1:193" s="1015" customFormat="1">
      <c r="A33" s="1003"/>
      <c r="B33" s="1149"/>
      <c r="C33" s="1149" t="s">
        <v>237</v>
      </c>
      <c r="D33" s="1204" t="s">
        <v>237</v>
      </c>
      <c r="E33" s="1204" t="s">
        <v>765</v>
      </c>
      <c r="F33" s="1204" t="s">
        <v>766</v>
      </c>
      <c r="G33" s="1204" t="s">
        <v>791</v>
      </c>
      <c r="H33" s="1204" t="s">
        <v>192</v>
      </c>
      <c r="I33" s="1149" t="s">
        <v>744</v>
      </c>
      <c r="J33" s="1177"/>
      <c r="K33" s="1177"/>
      <c r="L33" s="1233">
        <v>21.37595</v>
      </c>
      <c r="M33" s="1020"/>
      <c r="N33" s="1020"/>
      <c r="O33" s="1020"/>
      <c r="P33" s="1020"/>
      <c r="Q33" s="1020"/>
      <c r="R33" s="1004"/>
      <c r="S33" s="1004"/>
      <c r="T33" s="1004"/>
      <c r="U33" s="1013"/>
      <c r="V33" s="1013"/>
      <c r="W33" s="1233">
        <v>13.288980343841954</v>
      </c>
      <c r="X33" s="1004"/>
      <c r="Y33" s="1004"/>
      <c r="Z33" s="1004"/>
      <c r="AA33" s="1233">
        <v>14.765533715379949</v>
      </c>
      <c r="AB33" s="1004"/>
      <c r="AC33" s="1013"/>
      <c r="AD33" s="1004"/>
      <c r="AE33" s="1013"/>
      <c r="AF33" s="1004"/>
      <c r="AG33" s="1013"/>
      <c r="AH33" s="1004"/>
      <c r="AI33" s="1224">
        <v>2.5175116444294322E-3</v>
      </c>
      <c r="AJ33" s="1035"/>
      <c r="AK33" s="1005"/>
      <c r="AL33" s="1005"/>
      <c r="AM33" s="1005"/>
      <c r="AN33" s="1005"/>
      <c r="AO33" s="1005"/>
      <c r="AP33" s="1013"/>
      <c r="AQ33" s="1013"/>
      <c r="AR33" s="1013"/>
      <c r="AS33" s="1005"/>
      <c r="AT33" s="1005"/>
      <c r="AU33" s="1176"/>
      <c r="AV33" s="1176"/>
      <c r="AW33" s="1182">
        <v>21.37595</v>
      </c>
      <c r="AX33" s="1011"/>
      <c r="AY33" s="1011"/>
      <c r="AZ33" s="1011"/>
      <c r="BA33" s="1011"/>
      <c r="BB33" s="1011"/>
      <c r="BC33" s="1004"/>
      <c r="BD33" s="1004"/>
      <c r="BE33" s="1004"/>
      <c r="BF33" s="1013"/>
      <c r="BG33" s="1013"/>
      <c r="BH33" s="1182">
        <v>13.401</v>
      </c>
      <c r="BI33" s="1004"/>
      <c r="BJ33" s="1004"/>
      <c r="BK33" s="1004"/>
      <c r="BL33" s="1182">
        <v>14.8896</v>
      </c>
      <c r="BM33" s="1004"/>
      <c r="BN33" s="1013"/>
      <c r="BO33" s="1013"/>
      <c r="BP33" s="1013"/>
      <c r="BQ33" s="1004"/>
      <c r="BR33" s="1035"/>
      <c r="BS33" s="1005"/>
      <c r="BT33" s="1226">
        <v>1.9470111878998149E-3</v>
      </c>
      <c r="BU33" s="1241"/>
      <c r="BV33" s="1241"/>
      <c r="BW33" s="1241"/>
      <c r="BX33" s="1241"/>
      <c r="BY33" s="1241"/>
      <c r="BZ33" s="1602"/>
      <c r="CA33" s="1013"/>
      <c r="CB33" s="1013"/>
      <c r="CC33" s="1013"/>
      <c r="CD33" s="1602"/>
      <c r="CE33" s="1602"/>
      <c r="CF33" s="1176"/>
      <c r="CG33" s="1236">
        <v>96</v>
      </c>
      <c r="CH33" s="1011"/>
      <c r="CI33" s="1011"/>
      <c r="CJ33" s="1011"/>
      <c r="CK33" s="1011"/>
      <c r="CL33" s="1011"/>
      <c r="CM33" s="1004"/>
      <c r="CN33" s="1004"/>
      <c r="CO33" s="1008"/>
      <c r="CP33" s="1013"/>
      <c r="CQ33" s="1013"/>
      <c r="CR33" s="1004"/>
      <c r="CS33" s="1004"/>
      <c r="CT33" s="1004"/>
      <c r="CU33" s="1008"/>
      <c r="CV33" s="1236">
        <v>27360.639999999999</v>
      </c>
      <c r="CW33" s="1004"/>
      <c r="CX33" s="1013"/>
      <c r="CY33" s="1013"/>
      <c r="CZ33" s="1013"/>
      <c r="DA33" s="1004"/>
      <c r="DB33" s="1013"/>
      <c r="DC33" s="1004"/>
      <c r="DD33" s="1236">
        <v>14296523.59</v>
      </c>
      <c r="DE33" s="1036"/>
      <c r="DF33" s="1008"/>
      <c r="DG33" s="1008"/>
      <c r="DH33" s="1014"/>
      <c r="DI33" s="1008"/>
      <c r="DJ33" s="1008"/>
      <c r="DK33" s="1013"/>
      <c r="DL33" s="1013"/>
      <c r="DM33" s="1013"/>
      <c r="DN33" s="1008"/>
      <c r="DO33" s="1008"/>
      <c r="DP33" s="1176"/>
      <c r="DQ33" s="1199">
        <f t="shared" si="101"/>
        <v>749013.28799999994</v>
      </c>
      <c r="DR33" s="1199">
        <f t="shared" si="102"/>
        <v>0</v>
      </c>
      <c r="DS33" s="1199">
        <f t="shared" si="103"/>
        <v>0</v>
      </c>
      <c r="DT33" s="1199">
        <f t="shared" si="104"/>
        <v>0</v>
      </c>
      <c r="DU33" s="1199">
        <f t="shared" si="105"/>
        <v>0</v>
      </c>
      <c r="DV33" s="1199">
        <f t="shared" si="106"/>
        <v>0</v>
      </c>
      <c r="DW33" s="1199">
        <f t="shared" si="107"/>
        <v>0</v>
      </c>
      <c r="DX33" s="1199">
        <f t="shared" si="108"/>
        <v>0</v>
      </c>
      <c r="DY33" s="1199">
        <f t="shared" si="109"/>
        <v>0</v>
      </c>
      <c r="DZ33" s="1199">
        <f t="shared" si="110"/>
        <v>0</v>
      </c>
      <c r="EA33" s="1199">
        <f t="shared" si="111"/>
        <v>0</v>
      </c>
      <c r="EB33" s="1199">
        <f t="shared" si="112"/>
        <v>0</v>
      </c>
      <c r="EC33" s="1199">
        <f t="shared" si="113"/>
        <v>0</v>
      </c>
      <c r="ED33" s="1199">
        <f t="shared" si="114"/>
        <v>0</v>
      </c>
      <c r="EE33" s="1199">
        <f t="shared" si="115"/>
        <v>0</v>
      </c>
      <c r="EF33" s="1199">
        <f t="shared" si="116"/>
        <v>403994.45239437325</v>
      </c>
      <c r="EG33" s="1199">
        <f t="shared" si="117"/>
        <v>0</v>
      </c>
      <c r="EH33" s="1199">
        <f t="shared" si="118"/>
        <v>0</v>
      </c>
      <c r="EI33" s="1199">
        <f t="shared" si="119"/>
        <v>0</v>
      </c>
      <c r="EJ33" s="1199">
        <f t="shared" si="120"/>
        <v>0</v>
      </c>
      <c r="EK33" s="1199">
        <f t="shared" si="121"/>
        <v>0</v>
      </c>
      <c r="EL33" s="1199">
        <f t="shared" si="122"/>
        <v>0</v>
      </c>
      <c r="EM33" s="1199">
        <f t="shared" si="123"/>
        <v>0</v>
      </c>
      <c r="EN33" s="1199">
        <f t="shared" si="124"/>
        <v>35991.664612685068</v>
      </c>
      <c r="EO33" s="1199">
        <f t="shared" si="125"/>
        <v>0</v>
      </c>
      <c r="EP33" s="1199">
        <f t="shared" si="126"/>
        <v>0</v>
      </c>
      <c r="EQ33" s="1199">
        <f t="shared" si="127"/>
        <v>0</v>
      </c>
      <c r="ER33" s="1199">
        <f t="shared" si="128"/>
        <v>0</v>
      </c>
      <c r="ES33" s="1199">
        <f t="shared" si="129"/>
        <v>0</v>
      </c>
      <c r="ET33" s="1199">
        <f t="shared" si="130"/>
        <v>0</v>
      </c>
      <c r="EU33" s="1199">
        <f t="shared" si="131"/>
        <v>0</v>
      </c>
      <c r="EV33" s="1199">
        <f t="shared" si="132"/>
        <v>0</v>
      </c>
      <c r="EW33" s="1199">
        <f t="shared" si="133"/>
        <v>0</v>
      </c>
      <c r="EX33" s="1199">
        <f t="shared" si="134"/>
        <v>0</v>
      </c>
      <c r="EY33" s="1199">
        <f t="shared" si="135"/>
        <v>0</v>
      </c>
      <c r="EZ33" s="1175">
        <f t="shared" si="136"/>
        <v>1188999.4050070583</v>
      </c>
      <c r="FA33" s="1177"/>
      <c r="FB33" s="1202">
        <f t="shared" si="137"/>
        <v>749013.28799999994</v>
      </c>
      <c r="FC33" s="1202">
        <f t="shared" si="138"/>
        <v>0</v>
      </c>
      <c r="FD33" s="1202">
        <f t="shared" si="139"/>
        <v>0</v>
      </c>
      <c r="FE33" s="1202">
        <f t="shared" si="140"/>
        <v>0</v>
      </c>
      <c r="FF33" s="1202">
        <f t="shared" si="141"/>
        <v>0</v>
      </c>
      <c r="FG33" s="1202">
        <f t="shared" si="142"/>
        <v>0</v>
      </c>
      <c r="FH33" s="1202">
        <f t="shared" si="143"/>
        <v>0</v>
      </c>
      <c r="FI33" s="1202">
        <f t="shared" si="144"/>
        <v>0</v>
      </c>
      <c r="FJ33" s="1202">
        <f t="shared" si="145"/>
        <v>0</v>
      </c>
      <c r="FK33" s="1202">
        <f t="shared" si="146"/>
        <v>0</v>
      </c>
      <c r="FL33" s="1202">
        <f t="shared" si="147"/>
        <v>0</v>
      </c>
      <c r="FM33" s="1202">
        <f t="shared" si="148"/>
        <v>0</v>
      </c>
      <c r="FN33" s="1202">
        <f t="shared" si="149"/>
        <v>0</v>
      </c>
      <c r="FO33" s="1202">
        <f t="shared" si="150"/>
        <v>0</v>
      </c>
      <c r="FP33" s="1202">
        <f t="shared" si="151"/>
        <v>0</v>
      </c>
      <c r="FQ33" s="1202">
        <f t="shared" si="152"/>
        <v>407388.98534399999</v>
      </c>
      <c r="FR33" s="1202">
        <f t="shared" si="153"/>
        <v>0</v>
      </c>
      <c r="FS33" s="1202">
        <f t="shared" si="154"/>
        <v>0</v>
      </c>
      <c r="FT33" s="1202">
        <f t="shared" si="155"/>
        <v>0</v>
      </c>
      <c r="FU33" s="1202">
        <f t="shared" si="156"/>
        <v>0</v>
      </c>
      <c r="FV33" s="1202">
        <f t="shared" si="157"/>
        <v>0</v>
      </c>
      <c r="FW33" s="1202">
        <f t="shared" si="158"/>
        <v>0</v>
      </c>
      <c r="FX33" s="1202">
        <f t="shared" si="159"/>
        <v>0</v>
      </c>
      <c r="FY33" s="1202">
        <f t="shared" si="160"/>
        <v>27835.491377803624</v>
      </c>
      <c r="FZ33" s="1202">
        <f t="shared" si="161"/>
        <v>0</v>
      </c>
      <c r="GA33" s="1202">
        <f t="shared" si="162"/>
        <v>0</v>
      </c>
      <c r="GB33" s="1202">
        <f t="shared" si="163"/>
        <v>0</v>
      </c>
      <c r="GC33" s="1202">
        <f t="shared" si="164"/>
        <v>0</v>
      </c>
      <c r="GD33" s="1202">
        <f t="shared" si="165"/>
        <v>0</v>
      </c>
      <c r="GE33" s="1202">
        <f t="shared" si="166"/>
        <v>0</v>
      </c>
      <c r="GF33" s="1202">
        <f t="shared" si="167"/>
        <v>0</v>
      </c>
      <c r="GG33" s="1202">
        <f t="shared" si="168"/>
        <v>0</v>
      </c>
      <c r="GH33" s="1202">
        <f t="shared" si="169"/>
        <v>0</v>
      </c>
      <c r="GI33" s="1202">
        <f t="shared" si="170"/>
        <v>0</v>
      </c>
      <c r="GJ33" s="1202">
        <f t="shared" si="171"/>
        <v>0</v>
      </c>
      <c r="GK33" s="1174">
        <f t="shared" si="172"/>
        <v>1184237.7647218036</v>
      </c>
    </row>
    <row r="34" spans="1:193" s="1015" customFormat="1">
      <c r="A34" s="1003"/>
      <c r="B34" s="1149"/>
      <c r="C34" s="1149" t="s">
        <v>236</v>
      </c>
      <c r="D34" s="1204" t="s">
        <v>236</v>
      </c>
      <c r="E34" s="1204" t="s">
        <v>765</v>
      </c>
      <c r="F34" s="1204" t="s">
        <v>766</v>
      </c>
      <c r="G34" s="1204" t="s">
        <v>789</v>
      </c>
      <c r="H34" s="1204" t="s">
        <v>800</v>
      </c>
      <c r="I34" s="1149" t="s">
        <v>744</v>
      </c>
      <c r="J34" s="1177"/>
      <c r="K34" s="1177"/>
      <c r="L34" s="1233">
        <v>25.65</v>
      </c>
      <c r="M34" s="1020"/>
      <c r="N34" s="1020"/>
      <c r="O34" s="1020"/>
      <c r="P34" s="1020"/>
      <c r="Q34" s="1020"/>
      <c r="R34" s="1004"/>
      <c r="S34" s="1004"/>
      <c r="T34" s="1004"/>
      <c r="U34" s="1013"/>
      <c r="V34" s="1013"/>
      <c r="W34" s="1004"/>
      <c r="X34" s="1004"/>
      <c r="Y34" s="1004"/>
      <c r="Z34" s="1004"/>
      <c r="AA34" s="1004"/>
      <c r="AB34" s="1004"/>
      <c r="AC34" s="1013"/>
      <c r="AD34" s="1233">
        <v>9.0240500000000008</v>
      </c>
      <c r="AE34" s="1233">
        <v>63.271128326822478</v>
      </c>
      <c r="AF34" s="1004"/>
      <c r="AG34" s="1013"/>
      <c r="AH34" s="1004"/>
      <c r="AI34" s="1145"/>
      <c r="AJ34" s="1005"/>
      <c r="AK34" s="1035"/>
      <c r="AL34" s="1005"/>
      <c r="AM34" s="1005"/>
      <c r="AN34" s="1005"/>
      <c r="AO34" s="1005"/>
      <c r="AP34" s="1013"/>
      <c r="AQ34" s="1013"/>
      <c r="AR34" s="1013"/>
      <c r="AS34" s="1224">
        <v>2.2272520037793033E-2</v>
      </c>
      <c r="AT34" s="1224">
        <v>0</v>
      </c>
      <c r="AU34" s="1177"/>
      <c r="AV34" s="1177"/>
      <c r="AW34" s="1182">
        <v>25.65</v>
      </c>
      <c r="AX34" s="1011"/>
      <c r="AY34" s="1011"/>
      <c r="AZ34" s="1011"/>
      <c r="BA34" s="1011"/>
      <c r="BB34" s="1011"/>
      <c r="BC34" s="1004"/>
      <c r="BD34" s="1004"/>
      <c r="BE34" s="1004"/>
      <c r="BF34" s="1004"/>
      <c r="BG34" s="1004"/>
      <c r="BH34" s="1004"/>
      <c r="BI34" s="1004"/>
      <c r="BJ34" s="1004"/>
      <c r="BK34" s="1004"/>
      <c r="BL34" s="1004"/>
      <c r="BM34" s="1004"/>
      <c r="BN34" s="1004"/>
      <c r="BO34" s="1182">
        <v>9.0240500000000008</v>
      </c>
      <c r="BP34" s="1182">
        <v>62.024625</v>
      </c>
      <c r="BQ34" s="1004"/>
      <c r="BR34" s="1035"/>
      <c r="BS34" s="1005"/>
      <c r="BT34" s="1319"/>
      <c r="BU34" s="1241"/>
      <c r="BV34" s="1602"/>
      <c r="BW34" s="1241"/>
      <c r="BX34" s="1241"/>
      <c r="BY34" s="1241"/>
      <c r="BZ34" s="1602"/>
      <c r="CA34" s="1004"/>
      <c r="CB34" s="1004"/>
      <c r="CC34" s="1004"/>
      <c r="CD34" s="1226">
        <v>1.9553195944517147E-2</v>
      </c>
      <c r="CE34" s="1226">
        <v>0</v>
      </c>
      <c r="CF34" s="1177"/>
      <c r="CG34" s="1236">
        <v>723.99999999999977</v>
      </c>
      <c r="CH34" s="1011"/>
      <c r="CI34" s="1011"/>
      <c r="CJ34" s="1011"/>
      <c r="CK34" s="1011"/>
      <c r="CL34" s="1011"/>
      <c r="CM34" s="1004"/>
      <c r="CN34" s="1004"/>
      <c r="CO34" s="1008"/>
      <c r="CP34" s="1013"/>
      <c r="CQ34" s="1013"/>
      <c r="CR34" s="1004"/>
      <c r="CS34" s="1004"/>
      <c r="CT34" s="1004"/>
      <c r="CU34" s="1008"/>
      <c r="CV34" s="1004"/>
      <c r="CW34" s="1004"/>
      <c r="CX34" s="1013"/>
      <c r="CY34" s="1236">
        <v>953569.95140999975</v>
      </c>
      <c r="CZ34" s="1236">
        <v>409770.41387999989</v>
      </c>
      <c r="DA34" s="1004"/>
      <c r="DB34" s="1013"/>
      <c r="DC34" s="1004"/>
      <c r="DD34" s="1036"/>
      <c r="DE34" s="1008"/>
      <c r="DF34" s="1036"/>
      <c r="DG34" s="1008"/>
      <c r="DH34" s="1014"/>
      <c r="DI34" s="1008"/>
      <c r="DJ34" s="1008"/>
      <c r="DK34" s="1013"/>
      <c r="DL34" s="1013"/>
      <c r="DM34" s="1013"/>
      <c r="DN34" s="1236">
        <v>292129999.99999994</v>
      </c>
      <c r="DO34" s="1236">
        <v>109172674.07999997</v>
      </c>
      <c r="DP34" s="1177"/>
      <c r="DQ34" s="1199">
        <f t="shared" si="101"/>
        <v>6778268.9999999981</v>
      </c>
      <c r="DR34" s="1199">
        <f t="shared" si="102"/>
        <v>0</v>
      </c>
      <c r="DS34" s="1199">
        <f t="shared" si="103"/>
        <v>0</v>
      </c>
      <c r="DT34" s="1199">
        <f t="shared" si="104"/>
        <v>0</v>
      </c>
      <c r="DU34" s="1199">
        <f t="shared" si="105"/>
        <v>0</v>
      </c>
      <c r="DV34" s="1199">
        <f t="shared" si="106"/>
        <v>0</v>
      </c>
      <c r="DW34" s="1199">
        <f t="shared" si="107"/>
        <v>0</v>
      </c>
      <c r="DX34" s="1199">
        <f t="shared" si="108"/>
        <v>0</v>
      </c>
      <c r="DY34" s="1199">
        <f t="shared" si="109"/>
        <v>0</v>
      </c>
      <c r="DZ34" s="1199">
        <f t="shared" si="110"/>
        <v>0</v>
      </c>
      <c r="EA34" s="1199">
        <f t="shared" si="111"/>
        <v>0</v>
      </c>
      <c r="EB34" s="1199">
        <f t="shared" si="112"/>
        <v>0</v>
      </c>
      <c r="EC34" s="1199">
        <f t="shared" si="113"/>
        <v>0</v>
      </c>
      <c r="ED34" s="1199">
        <f t="shared" si="114"/>
        <v>0</v>
      </c>
      <c r="EE34" s="1199">
        <f t="shared" si="115"/>
        <v>0</v>
      </c>
      <c r="EF34" s="1199">
        <f t="shared" si="116"/>
        <v>0</v>
      </c>
      <c r="EG34" s="1199">
        <f t="shared" si="117"/>
        <v>0</v>
      </c>
      <c r="EH34" s="1199">
        <f t="shared" si="118"/>
        <v>0</v>
      </c>
      <c r="EI34" s="1199">
        <f t="shared" si="119"/>
        <v>8605062.9200214092</v>
      </c>
      <c r="EJ34" s="1199">
        <f t="shared" si="120"/>
        <v>25926636.441136632</v>
      </c>
      <c r="EK34" s="1199">
        <f t="shared" si="121"/>
        <v>0</v>
      </c>
      <c r="EL34" s="1199">
        <f t="shared" si="122"/>
        <v>0</v>
      </c>
      <c r="EM34" s="1199">
        <f t="shared" si="123"/>
        <v>0</v>
      </c>
      <c r="EN34" s="1199">
        <f t="shared" si="124"/>
        <v>0</v>
      </c>
      <c r="EO34" s="1199">
        <f t="shared" si="125"/>
        <v>0</v>
      </c>
      <c r="EP34" s="1199">
        <f t="shared" si="126"/>
        <v>0</v>
      </c>
      <c r="EQ34" s="1199">
        <f t="shared" si="127"/>
        <v>0</v>
      </c>
      <c r="ER34" s="1199">
        <f t="shared" si="128"/>
        <v>0</v>
      </c>
      <c r="ES34" s="1199">
        <f t="shared" si="129"/>
        <v>0</v>
      </c>
      <c r="ET34" s="1199">
        <f t="shared" si="130"/>
        <v>0</v>
      </c>
      <c r="EU34" s="1199">
        <f t="shared" si="131"/>
        <v>0</v>
      </c>
      <c r="EV34" s="1199">
        <f t="shared" si="132"/>
        <v>0</v>
      </c>
      <c r="EW34" s="1199">
        <f t="shared" si="133"/>
        <v>0</v>
      </c>
      <c r="EX34" s="1199">
        <f t="shared" si="134"/>
        <v>6506471.278640477</v>
      </c>
      <c r="EY34" s="1199">
        <f t="shared" si="135"/>
        <v>0</v>
      </c>
      <c r="EZ34" s="1175">
        <f t="shared" si="136"/>
        <v>47816439.639798522</v>
      </c>
      <c r="FA34" s="1177"/>
      <c r="FB34" s="1202">
        <f t="shared" si="137"/>
        <v>6778268.9999999981</v>
      </c>
      <c r="FC34" s="1202">
        <f t="shared" si="138"/>
        <v>0</v>
      </c>
      <c r="FD34" s="1202">
        <f t="shared" si="139"/>
        <v>0</v>
      </c>
      <c r="FE34" s="1202">
        <f t="shared" si="140"/>
        <v>0</v>
      </c>
      <c r="FF34" s="1202">
        <f t="shared" si="141"/>
        <v>0</v>
      </c>
      <c r="FG34" s="1202">
        <f t="shared" si="142"/>
        <v>0</v>
      </c>
      <c r="FH34" s="1202">
        <f t="shared" si="143"/>
        <v>0</v>
      </c>
      <c r="FI34" s="1202">
        <f t="shared" si="144"/>
        <v>0</v>
      </c>
      <c r="FJ34" s="1202">
        <f t="shared" si="145"/>
        <v>0</v>
      </c>
      <c r="FK34" s="1202">
        <f t="shared" si="146"/>
        <v>0</v>
      </c>
      <c r="FL34" s="1202">
        <f t="shared" si="147"/>
        <v>0</v>
      </c>
      <c r="FM34" s="1202">
        <f t="shared" si="148"/>
        <v>0</v>
      </c>
      <c r="FN34" s="1202">
        <f t="shared" si="149"/>
        <v>0</v>
      </c>
      <c r="FO34" s="1202">
        <f t="shared" si="150"/>
        <v>0</v>
      </c>
      <c r="FP34" s="1202">
        <f t="shared" si="151"/>
        <v>0</v>
      </c>
      <c r="FQ34" s="1202">
        <f t="shared" si="152"/>
        <v>0</v>
      </c>
      <c r="FR34" s="1202">
        <f t="shared" si="153"/>
        <v>0</v>
      </c>
      <c r="FS34" s="1202">
        <f t="shared" si="154"/>
        <v>0</v>
      </c>
      <c r="FT34" s="1202">
        <f t="shared" si="155"/>
        <v>8605062.9200214092</v>
      </c>
      <c r="FU34" s="1202">
        <f t="shared" si="156"/>
        <v>25415856.257001787</v>
      </c>
      <c r="FV34" s="1202">
        <f t="shared" si="157"/>
        <v>0</v>
      </c>
      <c r="FW34" s="1202">
        <f t="shared" si="158"/>
        <v>0</v>
      </c>
      <c r="FX34" s="1202">
        <f t="shared" si="159"/>
        <v>0</v>
      </c>
      <c r="FY34" s="1202">
        <f t="shared" si="160"/>
        <v>0</v>
      </c>
      <c r="FZ34" s="1202">
        <f t="shared" si="161"/>
        <v>0</v>
      </c>
      <c r="GA34" s="1202">
        <f t="shared" si="162"/>
        <v>0</v>
      </c>
      <c r="GB34" s="1202">
        <f t="shared" si="163"/>
        <v>0</v>
      </c>
      <c r="GC34" s="1202">
        <f t="shared" si="164"/>
        <v>0</v>
      </c>
      <c r="GD34" s="1202">
        <f t="shared" si="165"/>
        <v>0</v>
      </c>
      <c r="GE34" s="1202">
        <f t="shared" si="166"/>
        <v>0</v>
      </c>
      <c r="GF34" s="1202">
        <f t="shared" si="167"/>
        <v>0</v>
      </c>
      <c r="GG34" s="1202">
        <f t="shared" si="168"/>
        <v>0</v>
      </c>
      <c r="GH34" s="1202">
        <f t="shared" si="169"/>
        <v>0</v>
      </c>
      <c r="GI34" s="1202">
        <f t="shared" si="170"/>
        <v>5712075.1312717935</v>
      </c>
      <c r="GJ34" s="1202">
        <f t="shared" si="171"/>
        <v>0</v>
      </c>
      <c r="GK34" s="1174">
        <f t="shared" si="172"/>
        <v>46511263.308294989</v>
      </c>
    </row>
    <row r="35" spans="1:193" s="1015" customFormat="1">
      <c r="A35" s="1003"/>
      <c r="B35" s="1149"/>
      <c r="C35" s="1149" t="s">
        <v>235</v>
      </c>
      <c r="D35" s="1204" t="s">
        <v>235</v>
      </c>
      <c r="E35" s="1204" t="s">
        <v>765</v>
      </c>
      <c r="F35" s="1204" t="s">
        <v>766</v>
      </c>
      <c r="G35" s="1204" t="s">
        <v>790</v>
      </c>
      <c r="H35" s="1204" t="s">
        <v>806</v>
      </c>
      <c r="I35" s="1149" t="s">
        <v>744</v>
      </c>
      <c r="J35" s="1177"/>
      <c r="K35" s="1177"/>
      <c r="L35" s="1233">
        <v>85.5</v>
      </c>
      <c r="M35" s="1020"/>
      <c r="N35" s="1020"/>
      <c r="O35" s="1020"/>
      <c r="P35" s="1020"/>
      <c r="Q35" s="1020"/>
      <c r="R35" s="1004"/>
      <c r="S35" s="1004"/>
      <c r="T35" s="1004"/>
      <c r="U35" s="1013"/>
      <c r="V35" s="1013"/>
      <c r="W35" s="1004"/>
      <c r="X35" s="1004"/>
      <c r="Y35" s="1004"/>
      <c r="Z35" s="1004"/>
      <c r="AA35" s="1004"/>
      <c r="AB35" s="1004"/>
      <c r="AC35" s="1013"/>
      <c r="AD35" s="1233">
        <v>36.400171499999992</v>
      </c>
      <c r="AE35" s="1233">
        <v>163.34640869924601</v>
      </c>
      <c r="AF35" s="1004"/>
      <c r="AG35" s="1013"/>
      <c r="AH35" s="1004"/>
      <c r="AI35" s="1145"/>
      <c r="AJ35" s="1005"/>
      <c r="AK35" s="1035"/>
      <c r="AL35" s="1005"/>
      <c r="AM35" s="1005"/>
      <c r="AN35" s="1005"/>
      <c r="AO35" s="1005"/>
      <c r="AP35" s="1013"/>
      <c r="AQ35" s="1013"/>
      <c r="AR35" s="1013"/>
      <c r="AS35" s="1224">
        <v>2.2221178641728484E-2</v>
      </c>
      <c r="AT35" s="1224">
        <v>0</v>
      </c>
      <c r="AU35" s="1177"/>
      <c r="AV35" s="1177"/>
      <c r="AW35" s="1182">
        <v>85.5</v>
      </c>
      <c r="AX35" s="1011"/>
      <c r="AY35" s="1011"/>
      <c r="AZ35" s="1011"/>
      <c r="BA35" s="1011"/>
      <c r="BB35" s="1011"/>
      <c r="BC35" s="1004"/>
      <c r="BD35" s="1004"/>
      <c r="BE35" s="1004"/>
      <c r="BF35" s="1004"/>
      <c r="BG35" s="1004"/>
      <c r="BH35" s="1004"/>
      <c r="BI35" s="1004"/>
      <c r="BJ35" s="1004"/>
      <c r="BK35" s="1004"/>
      <c r="BL35" s="1004"/>
      <c r="BM35" s="1004"/>
      <c r="BN35" s="1004"/>
      <c r="BO35" s="1182">
        <v>37.525949999999995</v>
      </c>
      <c r="BP35" s="1182">
        <v>155.30969999999999</v>
      </c>
      <c r="BQ35" s="1004"/>
      <c r="BR35" s="1035"/>
      <c r="BS35" s="1005"/>
      <c r="BT35" s="1319"/>
      <c r="BU35" s="1241"/>
      <c r="BV35" s="1602"/>
      <c r="BW35" s="1241"/>
      <c r="BX35" s="1241"/>
      <c r="BY35" s="1241"/>
      <c r="BZ35" s="1602"/>
      <c r="CA35" s="1004"/>
      <c r="CB35" s="1004"/>
      <c r="CC35" s="1004"/>
      <c r="CD35" s="1226">
        <v>2.0621841521434314E-2</v>
      </c>
      <c r="CE35" s="1226">
        <v>0</v>
      </c>
      <c r="CF35" s="1177"/>
      <c r="CG35" s="1236">
        <v>25</v>
      </c>
      <c r="CH35" s="1011"/>
      <c r="CI35" s="1011"/>
      <c r="CJ35" s="1011"/>
      <c r="CK35" s="1011"/>
      <c r="CL35" s="1011"/>
      <c r="CM35" s="1004"/>
      <c r="CN35" s="1004"/>
      <c r="CO35" s="1008"/>
      <c r="CP35" s="1013"/>
      <c r="CQ35" s="1013"/>
      <c r="CR35" s="1004"/>
      <c r="CS35" s="1004"/>
      <c r="CT35" s="1004"/>
      <c r="CU35" s="1008"/>
      <c r="CV35" s="1004"/>
      <c r="CW35" s="1004"/>
      <c r="CX35" s="1013"/>
      <c r="CY35" s="1236">
        <v>29575.47</v>
      </c>
      <c r="CZ35" s="1236">
        <v>11009.010000000002</v>
      </c>
      <c r="DA35" s="1004"/>
      <c r="DB35" s="1013"/>
      <c r="DC35" s="1004"/>
      <c r="DD35" s="1036"/>
      <c r="DE35" s="1008"/>
      <c r="DF35" s="1036"/>
      <c r="DG35" s="1008"/>
      <c r="DH35" s="1014"/>
      <c r="DI35" s="1008"/>
      <c r="DJ35" s="1008"/>
      <c r="DK35" s="1013"/>
      <c r="DL35" s="1013"/>
      <c r="DM35" s="1013"/>
      <c r="DN35" s="1236">
        <v>7189999.9900000012</v>
      </c>
      <c r="DO35" s="1236">
        <v>2815524.5999999996</v>
      </c>
      <c r="DP35" s="1177"/>
      <c r="DQ35" s="1199">
        <f t="shared" si="101"/>
        <v>780187.5</v>
      </c>
      <c r="DR35" s="1199">
        <f t="shared" si="102"/>
        <v>0</v>
      </c>
      <c r="DS35" s="1199">
        <f t="shared" si="103"/>
        <v>0</v>
      </c>
      <c r="DT35" s="1199">
        <f t="shared" si="104"/>
        <v>0</v>
      </c>
      <c r="DU35" s="1199">
        <f t="shared" si="105"/>
        <v>0</v>
      </c>
      <c r="DV35" s="1199">
        <f t="shared" si="106"/>
        <v>0</v>
      </c>
      <c r="DW35" s="1199">
        <f t="shared" si="107"/>
        <v>0</v>
      </c>
      <c r="DX35" s="1199">
        <f t="shared" si="108"/>
        <v>0</v>
      </c>
      <c r="DY35" s="1199">
        <f t="shared" si="109"/>
        <v>0</v>
      </c>
      <c r="DZ35" s="1199">
        <f t="shared" si="110"/>
        <v>0</v>
      </c>
      <c r="EA35" s="1199">
        <f t="shared" si="111"/>
        <v>0</v>
      </c>
      <c r="EB35" s="1199">
        <f t="shared" si="112"/>
        <v>0</v>
      </c>
      <c r="EC35" s="1199">
        <f t="shared" si="113"/>
        <v>0</v>
      </c>
      <c r="ED35" s="1199">
        <f t="shared" si="114"/>
        <v>0</v>
      </c>
      <c r="EE35" s="1199">
        <f t="shared" si="115"/>
        <v>0</v>
      </c>
      <c r="EF35" s="1199">
        <f t="shared" si="116"/>
        <v>0</v>
      </c>
      <c r="EG35" s="1199">
        <f t="shared" si="117"/>
        <v>0</v>
      </c>
      <c r="EH35" s="1199">
        <f t="shared" si="118"/>
        <v>0</v>
      </c>
      <c r="EI35" s="1199">
        <f t="shared" si="119"/>
        <v>1076552.1801931048</v>
      </c>
      <c r="EJ35" s="1199">
        <f t="shared" si="120"/>
        <v>1798282.2468340867</v>
      </c>
      <c r="EK35" s="1199">
        <f t="shared" si="121"/>
        <v>0</v>
      </c>
      <c r="EL35" s="1199">
        <f t="shared" si="122"/>
        <v>0</v>
      </c>
      <c r="EM35" s="1199">
        <f t="shared" si="123"/>
        <v>0</v>
      </c>
      <c r="EN35" s="1199">
        <f t="shared" si="124"/>
        <v>0</v>
      </c>
      <c r="EO35" s="1199">
        <f t="shared" si="125"/>
        <v>0</v>
      </c>
      <c r="EP35" s="1199">
        <f t="shared" si="126"/>
        <v>0</v>
      </c>
      <c r="EQ35" s="1199">
        <f t="shared" si="127"/>
        <v>0</v>
      </c>
      <c r="ER35" s="1199">
        <f t="shared" si="128"/>
        <v>0</v>
      </c>
      <c r="ES35" s="1199">
        <f t="shared" si="129"/>
        <v>0</v>
      </c>
      <c r="ET35" s="1199">
        <f t="shared" si="130"/>
        <v>0</v>
      </c>
      <c r="EU35" s="1199">
        <f t="shared" si="131"/>
        <v>0</v>
      </c>
      <c r="EV35" s="1199">
        <f t="shared" si="132"/>
        <v>0</v>
      </c>
      <c r="EW35" s="1199">
        <f t="shared" si="133"/>
        <v>0</v>
      </c>
      <c r="EX35" s="1199">
        <f t="shared" si="134"/>
        <v>159770.27421181605</v>
      </c>
      <c r="EY35" s="1199">
        <f t="shared" si="135"/>
        <v>0</v>
      </c>
      <c r="EZ35" s="1175">
        <f t="shared" si="136"/>
        <v>3814792.2012390075</v>
      </c>
      <c r="FA35" s="1177"/>
      <c r="FB35" s="1202">
        <f t="shared" si="137"/>
        <v>780187.5</v>
      </c>
      <c r="FC35" s="1202">
        <f t="shared" si="138"/>
        <v>0</v>
      </c>
      <c r="FD35" s="1202">
        <f t="shared" si="139"/>
        <v>0</v>
      </c>
      <c r="FE35" s="1202">
        <f t="shared" si="140"/>
        <v>0</v>
      </c>
      <c r="FF35" s="1202">
        <f t="shared" si="141"/>
        <v>0</v>
      </c>
      <c r="FG35" s="1202">
        <f t="shared" si="142"/>
        <v>0</v>
      </c>
      <c r="FH35" s="1202">
        <f t="shared" si="143"/>
        <v>0</v>
      </c>
      <c r="FI35" s="1202">
        <f t="shared" si="144"/>
        <v>0</v>
      </c>
      <c r="FJ35" s="1202">
        <f t="shared" si="145"/>
        <v>0</v>
      </c>
      <c r="FK35" s="1202">
        <f t="shared" si="146"/>
        <v>0</v>
      </c>
      <c r="FL35" s="1202">
        <f t="shared" si="147"/>
        <v>0</v>
      </c>
      <c r="FM35" s="1202">
        <f t="shared" si="148"/>
        <v>0</v>
      </c>
      <c r="FN35" s="1202">
        <f t="shared" si="149"/>
        <v>0</v>
      </c>
      <c r="FO35" s="1202">
        <f t="shared" si="150"/>
        <v>0</v>
      </c>
      <c r="FP35" s="1202">
        <f t="shared" si="151"/>
        <v>0</v>
      </c>
      <c r="FQ35" s="1202">
        <f t="shared" si="152"/>
        <v>0</v>
      </c>
      <c r="FR35" s="1202">
        <f t="shared" si="153"/>
        <v>0</v>
      </c>
      <c r="FS35" s="1202">
        <f t="shared" si="154"/>
        <v>0</v>
      </c>
      <c r="FT35" s="1202">
        <f t="shared" si="155"/>
        <v>1109847.6084464998</v>
      </c>
      <c r="FU35" s="1202">
        <f t="shared" si="156"/>
        <v>1709806.0403970003</v>
      </c>
      <c r="FV35" s="1202">
        <f t="shared" si="157"/>
        <v>0</v>
      </c>
      <c r="FW35" s="1202">
        <f t="shared" si="158"/>
        <v>0</v>
      </c>
      <c r="FX35" s="1202">
        <f t="shared" si="159"/>
        <v>0</v>
      </c>
      <c r="FY35" s="1202">
        <f t="shared" si="160"/>
        <v>0</v>
      </c>
      <c r="FZ35" s="1202">
        <f t="shared" si="161"/>
        <v>0</v>
      </c>
      <c r="GA35" s="1202">
        <f t="shared" si="162"/>
        <v>0</v>
      </c>
      <c r="GB35" s="1202">
        <f t="shared" si="163"/>
        <v>0</v>
      </c>
      <c r="GC35" s="1202">
        <f t="shared" si="164"/>
        <v>0</v>
      </c>
      <c r="GD35" s="1202">
        <f t="shared" si="165"/>
        <v>0</v>
      </c>
      <c r="GE35" s="1202">
        <f t="shared" si="166"/>
        <v>0</v>
      </c>
      <c r="GF35" s="1202">
        <f t="shared" si="167"/>
        <v>0</v>
      </c>
      <c r="GG35" s="1202">
        <f t="shared" si="168"/>
        <v>0</v>
      </c>
      <c r="GH35" s="1202">
        <f t="shared" si="169"/>
        <v>0</v>
      </c>
      <c r="GI35" s="1202">
        <f t="shared" si="170"/>
        <v>148271.04033289434</v>
      </c>
      <c r="GJ35" s="1202">
        <f t="shared" si="171"/>
        <v>0</v>
      </c>
      <c r="GK35" s="1174">
        <f t="shared" si="172"/>
        <v>3748112.1891763941</v>
      </c>
    </row>
    <row r="36" spans="1:193" s="1015" customFormat="1">
      <c r="A36" s="1003"/>
      <c r="B36" s="1149"/>
      <c r="C36" s="1149" t="s">
        <v>234</v>
      </c>
      <c r="D36" s="1204" t="s">
        <v>234</v>
      </c>
      <c r="E36" s="1204" t="s">
        <v>765</v>
      </c>
      <c r="F36" s="1204" t="s">
        <v>766</v>
      </c>
      <c r="G36" s="1204" t="s">
        <v>791</v>
      </c>
      <c r="H36" s="1204" t="s">
        <v>810</v>
      </c>
      <c r="I36" s="1149" t="s">
        <v>744</v>
      </c>
      <c r="J36" s="1176"/>
      <c r="K36" s="1176"/>
      <c r="L36" s="1233">
        <v>17.099999999999998</v>
      </c>
      <c r="M36" s="1020"/>
      <c r="N36" s="1020"/>
      <c r="O36" s="1020"/>
      <c r="P36" s="1020"/>
      <c r="Q36" s="1020"/>
      <c r="R36" s="1004"/>
      <c r="S36" s="1004"/>
      <c r="T36" s="1004"/>
      <c r="U36" s="1013"/>
      <c r="V36" s="1013"/>
      <c r="W36" s="1004"/>
      <c r="X36" s="1004"/>
      <c r="Y36" s="1004"/>
      <c r="Z36" s="1004"/>
      <c r="AA36" s="1004"/>
      <c r="AB36" s="1004"/>
      <c r="AC36" s="1013"/>
      <c r="AD36" s="1233">
        <v>1.97505</v>
      </c>
      <c r="AE36" s="1233">
        <v>62.878750779116473</v>
      </c>
      <c r="AF36" s="1004"/>
      <c r="AG36" s="1013"/>
      <c r="AH36" s="1004"/>
      <c r="AI36" s="1145"/>
      <c r="AJ36" s="1005"/>
      <c r="AK36" s="1035"/>
      <c r="AL36" s="1005"/>
      <c r="AM36" s="1005"/>
      <c r="AN36" s="1005"/>
      <c r="AO36" s="1005"/>
      <c r="AP36" s="1013"/>
      <c r="AQ36" s="1013"/>
      <c r="AR36" s="1013"/>
      <c r="AS36" s="1224">
        <v>1.3570589054236224E-2</v>
      </c>
      <c r="AT36" s="1224">
        <v>0</v>
      </c>
      <c r="AU36" s="1176"/>
      <c r="AV36" s="1176"/>
      <c r="AW36" s="1182">
        <v>17.099999999999998</v>
      </c>
      <c r="AX36" s="1011"/>
      <c r="AY36" s="1011"/>
      <c r="AZ36" s="1011"/>
      <c r="BA36" s="1011"/>
      <c r="BB36" s="1011"/>
      <c r="BC36" s="1004"/>
      <c r="BD36" s="1004"/>
      <c r="BE36" s="1004"/>
      <c r="BF36" s="1004"/>
      <c r="BG36" s="1004"/>
      <c r="BH36" s="1004"/>
      <c r="BI36" s="1004"/>
      <c r="BJ36" s="1004"/>
      <c r="BK36" s="1004"/>
      <c r="BL36" s="1004"/>
      <c r="BM36" s="1004"/>
      <c r="BN36" s="1004"/>
      <c r="BO36" s="1182">
        <v>1.97505</v>
      </c>
      <c r="BP36" s="1182">
        <v>62.018250000000002</v>
      </c>
      <c r="BQ36" s="1004"/>
      <c r="BR36" s="1035"/>
      <c r="BS36" s="1005"/>
      <c r="BT36" s="1319"/>
      <c r="BU36" s="1241"/>
      <c r="BV36" s="1602"/>
      <c r="BW36" s="1241"/>
      <c r="BX36" s="1241"/>
      <c r="BY36" s="1241"/>
      <c r="BZ36" s="1602"/>
      <c r="CA36" s="1004"/>
      <c r="CB36" s="1004"/>
      <c r="CC36" s="1004"/>
      <c r="CD36" s="1226">
        <v>1.246722492323323E-2</v>
      </c>
      <c r="CE36" s="1226">
        <v>0</v>
      </c>
      <c r="CF36" s="1176"/>
      <c r="CG36" s="1236">
        <v>2.68</v>
      </c>
      <c r="CH36" s="1011"/>
      <c r="CI36" s="1011"/>
      <c r="CJ36" s="1011"/>
      <c r="CK36" s="1011"/>
      <c r="CL36" s="1011"/>
      <c r="CM36" s="1004"/>
      <c r="CN36" s="1004"/>
      <c r="CO36" s="1008"/>
      <c r="CP36" s="1013"/>
      <c r="CQ36" s="1013"/>
      <c r="CR36" s="1004"/>
      <c r="CS36" s="1004"/>
      <c r="CT36" s="1004"/>
      <c r="CU36" s="1008"/>
      <c r="CV36" s="1004"/>
      <c r="CW36" s="1004"/>
      <c r="CX36" s="1013"/>
      <c r="CY36" s="1236">
        <v>3045.78</v>
      </c>
      <c r="CZ36" s="1236">
        <v>1494.97</v>
      </c>
      <c r="DA36" s="1004"/>
      <c r="DB36" s="1013"/>
      <c r="DC36" s="1004"/>
      <c r="DD36" s="1036"/>
      <c r="DE36" s="1008"/>
      <c r="DF36" s="1036"/>
      <c r="DG36" s="1008"/>
      <c r="DH36" s="1014"/>
      <c r="DI36" s="1008"/>
      <c r="DJ36" s="1008"/>
      <c r="DK36" s="1013"/>
      <c r="DL36" s="1013"/>
      <c r="DM36" s="1013"/>
      <c r="DN36" s="1236">
        <v>615479.98</v>
      </c>
      <c r="DO36" s="1236">
        <v>273790.34999999998</v>
      </c>
      <c r="DP36" s="1176"/>
      <c r="DQ36" s="1199">
        <f t="shared" si="101"/>
        <v>16727.219999999998</v>
      </c>
      <c r="DR36" s="1199">
        <f t="shared" si="102"/>
        <v>0</v>
      </c>
      <c r="DS36" s="1199">
        <f t="shared" si="103"/>
        <v>0</v>
      </c>
      <c r="DT36" s="1199">
        <f t="shared" si="104"/>
        <v>0</v>
      </c>
      <c r="DU36" s="1199">
        <f t="shared" si="105"/>
        <v>0</v>
      </c>
      <c r="DV36" s="1199">
        <f t="shared" si="106"/>
        <v>0</v>
      </c>
      <c r="DW36" s="1199">
        <f t="shared" si="107"/>
        <v>0</v>
      </c>
      <c r="DX36" s="1199">
        <f t="shared" si="108"/>
        <v>0</v>
      </c>
      <c r="DY36" s="1199">
        <f t="shared" si="109"/>
        <v>0</v>
      </c>
      <c r="DZ36" s="1199">
        <f t="shared" si="110"/>
        <v>0</v>
      </c>
      <c r="EA36" s="1199">
        <f t="shared" si="111"/>
        <v>0</v>
      </c>
      <c r="EB36" s="1199">
        <f t="shared" si="112"/>
        <v>0</v>
      </c>
      <c r="EC36" s="1199">
        <f t="shared" si="113"/>
        <v>0</v>
      </c>
      <c r="ED36" s="1199">
        <f t="shared" si="114"/>
        <v>0</v>
      </c>
      <c r="EE36" s="1199">
        <f t="shared" si="115"/>
        <v>0</v>
      </c>
      <c r="EF36" s="1199">
        <f t="shared" si="116"/>
        <v>0</v>
      </c>
      <c r="EG36" s="1199">
        <f t="shared" si="117"/>
        <v>0</v>
      </c>
      <c r="EH36" s="1199">
        <f t="shared" si="118"/>
        <v>0</v>
      </c>
      <c r="EI36" s="1199">
        <f t="shared" si="119"/>
        <v>6015.5677890000006</v>
      </c>
      <c r="EJ36" s="1199">
        <f t="shared" si="120"/>
        <v>94001.846052255758</v>
      </c>
      <c r="EK36" s="1199">
        <f t="shared" si="121"/>
        <v>0</v>
      </c>
      <c r="EL36" s="1199">
        <f t="shared" si="122"/>
        <v>0</v>
      </c>
      <c r="EM36" s="1199">
        <f t="shared" si="123"/>
        <v>0</v>
      </c>
      <c r="EN36" s="1199">
        <f t="shared" si="124"/>
        <v>0</v>
      </c>
      <c r="EO36" s="1199">
        <f t="shared" si="125"/>
        <v>0</v>
      </c>
      <c r="EP36" s="1199">
        <f t="shared" si="126"/>
        <v>0</v>
      </c>
      <c r="EQ36" s="1199">
        <f t="shared" si="127"/>
        <v>0</v>
      </c>
      <c r="ER36" s="1199">
        <f t="shared" si="128"/>
        <v>0</v>
      </c>
      <c r="ES36" s="1199">
        <f t="shared" si="129"/>
        <v>0</v>
      </c>
      <c r="ET36" s="1199">
        <f t="shared" si="130"/>
        <v>0</v>
      </c>
      <c r="EU36" s="1199">
        <f t="shared" si="131"/>
        <v>0</v>
      </c>
      <c r="EV36" s="1199">
        <f t="shared" si="132"/>
        <v>0</v>
      </c>
      <c r="EW36" s="1199">
        <f t="shared" si="133"/>
        <v>0</v>
      </c>
      <c r="EX36" s="1199">
        <f t="shared" si="134"/>
        <v>8352.4258796895301</v>
      </c>
      <c r="EY36" s="1199">
        <f t="shared" si="135"/>
        <v>0</v>
      </c>
      <c r="EZ36" s="1175">
        <f t="shared" si="136"/>
        <v>125097.05972094528</v>
      </c>
      <c r="FA36" s="1177"/>
      <c r="FB36" s="1202">
        <f t="shared" si="137"/>
        <v>16727.219999999998</v>
      </c>
      <c r="FC36" s="1202">
        <f t="shared" si="138"/>
        <v>0</v>
      </c>
      <c r="FD36" s="1202">
        <f t="shared" si="139"/>
        <v>0</v>
      </c>
      <c r="FE36" s="1202">
        <f t="shared" si="140"/>
        <v>0</v>
      </c>
      <c r="FF36" s="1202">
        <f t="shared" si="141"/>
        <v>0</v>
      </c>
      <c r="FG36" s="1202">
        <f t="shared" si="142"/>
        <v>0</v>
      </c>
      <c r="FH36" s="1202">
        <f t="shared" si="143"/>
        <v>0</v>
      </c>
      <c r="FI36" s="1202">
        <f t="shared" si="144"/>
        <v>0</v>
      </c>
      <c r="FJ36" s="1202">
        <f t="shared" si="145"/>
        <v>0</v>
      </c>
      <c r="FK36" s="1202">
        <f t="shared" si="146"/>
        <v>0</v>
      </c>
      <c r="FL36" s="1202">
        <f t="shared" si="147"/>
        <v>0</v>
      </c>
      <c r="FM36" s="1202">
        <f t="shared" si="148"/>
        <v>0</v>
      </c>
      <c r="FN36" s="1202">
        <f t="shared" si="149"/>
        <v>0</v>
      </c>
      <c r="FO36" s="1202">
        <f t="shared" si="150"/>
        <v>0</v>
      </c>
      <c r="FP36" s="1202">
        <f t="shared" si="151"/>
        <v>0</v>
      </c>
      <c r="FQ36" s="1202">
        <f t="shared" si="152"/>
        <v>0</v>
      </c>
      <c r="FR36" s="1202">
        <f t="shared" si="153"/>
        <v>0</v>
      </c>
      <c r="FS36" s="1202">
        <f t="shared" si="154"/>
        <v>0</v>
      </c>
      <c r="FT36" s="1202">
        <f t="shared" si="155"/>
        <v>6015.5677890000006</v>
      </c>
      <c r="FU36" s="1202">
        <f t="shared" si="156"/>
        <v>92715.423202500009</v>
      </c>
      <c r="FV36" s="1202">
        <f t="shared" si="157"/>
        <v>0</v>
      </c>
      <c r="FW36" s="1202">
        <f t="shared" si="158"/>
        <v>0</v>
      </c>
      <c r="FX36" s="1202">
        <f t="shared" si="159"/>
        <v>0</v>
      </c>
      <c r="FY36" s="1202">
        <f t="shared" si="160"/>
        <v>0</v>
      </c>
      <c r="FZ36" s="1202">
        <f t="shared" si="161"/>
        <v>0</v>
      </c>
      <c r="GA36" s="1202">
        <f t="shared" si="162"/>
        <v>0</v>
      </c>
      <c r="GB36" s="1202">
        <f t="shared" si="163"/>
        <v>0</v>
      </c>
      <c r="GC36" s="1202">
        <f t="shared" si="164"/>
        <v>0</v>
      </c>
      <c r="GD36" s="1202">
        <f t="shared" si="165"/>
        <v>0</v>
      </c>
      <c r="GE36" s="1202">
        <f t="shared" si="166"/>
        <v>0</v>
      </c>
      <c r="GF36" s="1202">
        <f t="shared" si="167"/>
        <v>0</v>
      </c>
      <c r="GG36" s="1202">
        <f t="shared" si="168"/>
        <v>0</v>
      </c>
      <c r="GH36" s="1202">
        <f t="shared" si="169"/>
        <v>0</v>
      </c>
      <c r="GI36" s="1202">
        <f t="shared" si="170"/>
        <v>7673.3273464070899</v>
      </c>
      <c r="GJ36" s="1202">
        <f t="shared" si="171"/>
        <v>0</v>
      </c>
      <c r="GK36" s="1174">
        <f t="shared" si="172"/>
        <v>123131.5383379071</v>
      </c>
    </row>
    <row r="37" spans="1:193" s="1015" customFormat="1">
      <c r="A37" s="1003"/>
      <c r="B37" s="1149"/>
      <c r="C37" s="1149" t="s">
        <v>880</v>
      </c>
      <c r="D37" s="1204" t="s">
        <v>880</v>
      </c>
      <c r="E37" s="1204" t="s">
        <v>765</v>
      </c>
      <c r="F37" s="1204" t="s">
        <v>766</v>
      </c>
      <c r="G37" s="1204" t="s">
        <v>789</v>
      </c>
      <c r="H37" s="1204" t="s">
        <v>803</v>
      </c>
      <c r="I37" s="1149" t="s">
        <v>744</v>
      </c>
      <c r="J37" s="1176"/>
      <c r="K37" s="1176"/>
      <c r="L37" s="1233">
        <v>147.26712000000001</v>
      </c>
      <c r="M37" s="1020"/>
      <c r="N37" s="1020"/>
      <c r="O37" s="1020"/>
      <c r="P37" s="1020"/>
      <c r="Q37" s="1020"/>
      <c r="R37" s="1004"/>
      <c r="S37" s="1004"/>
      <c r="T37" s="1004"/>
      <c r="U37" s="1004"/>
      <c r="V37" s="1004"/>
      <c r="W37" s="1004"/>
      <c r="X37" s="1233">
        <v>12.10310995746123</v>
      </c>
      <c r="Y37" s="1233">
        <v>2.4206219914922462</v>
      </c>
      <c r="Z37" s="1004"/>
      <c r="AA37" s="1004"/>
      <c r="AB37" s="1004"/>
      <c r="AC37" s="1004"/>
      <c r="AD37" s="1004"/>
      <c r="AE37" s="1004"/>
      <c r="AF37" s="1004"/>
      <c r="AG37" s="1013"/>
      <c r="AH37" s="1004"/>
      <c r="AI37" s="1224">
        <v>7.5379800874573622E-3</v>
      </c>
      <c r="AJ37" s="1005"/>
      <c r="AK37" s="1035"/>
      <c r="AL37" s="1005"/>
      <c r="AM37" s="1005"/>
      <c r="AN37" s="1005"/>
      <c r="AO37" s="1005"/>
      <c r="AP37" s="1004"/>
      <c r="AQ37" s="1004"/>
      <c r="AR37" s="1004"/>
      <c r="AS37" s="1005"/>
      <c r="AT37" s="1005"/>
      <c r="AU37" s="1176"/>
      <c r="AV37" s="1176"/>
      <c r="AW37" s="1231">
        <v>147.26712000000001</v>
      </c>
      <c r="AX37" s="1011"/>
      <c r="AY37" s="1011"/>
      <c r="AZ37" s="1011"/>
      <c r="BA37" s="1011"/>
      <c r="BB37" s="1011"/>
      <c r="BC37" s="1004"/>
      <c r="BD37" s="1004"/>
      <c r="BE37" s="1004"/>
      <c r="BF37" s="1004"/>
      <c r="BG37" s="1004"/>
      <c r="BH37" s="1004"/>
      <c r="BI37" s="1182">
        <v>11.865</v>
      </c>
      <c r="BJ37" s="1182">
        <v>2.3730000000000002</v>
      </c>
      <c r="BK37" s="1004"/>
      <c r="BL37" s="1004"/>
      <c r="BM37" s="1004"/>
      <c r="BN37" s="1004"/>
      <c r="BO37" s="1004"/>
      <c r="BP37" s="1004"/>
      <c r="BQ37" s="1004"/>
      <c r="BR37" s="1035"/>
      <c r="BS37" s="1005"/>
      <c r="BT37" s="1226">
        <v>5.206471488761767E-3</v>
      </c>
      <c r="BU37" s="1241"/>
      <c r="BV37" s="1602"/>
      <c r="BW37" s="1241"/>
      <c r="BX37" s="1241"/>
      <c r="BY37" s="1241"/>
      <c r="BZ37" s="1602"/>
      <c r="CA37" s="1004"/>
      <c r="CB37" s="1004"/>
      <c r="CC37" s="1004"/>
      <c r="CD37" s="1602"/>
      <c r="CE37" s="1602"/>
      <c r="CF37" s="1176"/>
      <c r="CG37" s="1236">
        <v>19.999999999999996</v>
      </c>
      <c r="CH37" s="1011"/>
      <c r="CI37" s="1011"/>
      <c r="CJ37" s="1011"/>
      <c r="CK37" s="1011"/>
      <c r="CL37" s="1004"/>
      <c r="CM37" s="1004"/>
      <c r="CN37" s="1004"/>
      <c r="CO37" s="1008"/>
      <c r="CP37" s="1004"/>
      <c r="CQ37" s="1004"/>
      <c r="CR37" s="1004"/>
      <c r="CS37" s="1236">
        <v>44942.55812999999</v>
      </c>
      <c r="CT37" s="1236">
        <v>8240.8599999999988</v>
      </c>
      <c r="CU37" s="1008"/>
      <c r="CV37" s="1004"/>
      <c r="CW37" s="1004"/>
      <c r="CX37" s="1004"/>
      <c r="CY37" s="1004"/>
      <c r="CZ37" s="1004"/>
      <c r="DA37" s="1004"/>
      <c r="DB37" s="1013"/>
      <c r="DC37" s="1004"/>
      <c r="DD37" s="1236">
        <v>19958821.199999996</v>
      </c>
      <c r="DE37" s="1008"/>
      <c r="DF37" s="1036"/>
      <c r="DG37" s="1008"/>
      <c r="DH37" s="1014"/>
      <c r="DI37" s="1008"/>
      <c r="DJ37" s="1008"/>
      <c r="DK37" s="1004"/>
      <c r="DL37" s="1004"/>
      <c r="DM37" s="1004"/>
      <c r="DN37" s="1008"/>
      <c r="DO37" s="1008"/>
      <c r="DP37" s="1176"/>
      <c r="DQ37" s="1199">
        <f t="shared" si="101"/>
        <v>1075049.9759999998</v>
      </c>
      <c r="DR37" s="1199">
        <f t="shared" si="102"/>
        <v>0</v>
      </c>
      <c r="DS37" s="1199">
        <f t="shared" si="103"/>
        <v>0</v>
      </c>
      <c r="DT37" s="1199">
        <f t="shared" si="104"/>
        <v>0</v>
      </c>
      <c r="DU37" s="1199">
        <f t="shared" si="105"/>
        <v>0</v>
      </c>
      <c r="DV37" s="1199">
        <f t="shared" si="106"/>
        <v>0</v>
      </c>
      <c r="DW37" s="1199">
        <f t="shared" si="107"/>
        <v>0</v>
      </c>
      <c r="DX37" s="1199">
        <f t="shared" si="108"/>
        <v>0</v>
      </c>
      <c r="DY37" s="1199">
        <f t="shared" si="109"/>
        <v>0</v>
      </c>
      <c r="DZ37" s="1199">
        <f t="shared" si="110"/>
        <v>0</v>
      </c>
      <c r="EA37" s="1199">
        <f t="shared" si="111"/>
        <v>0</v>
      </c>
      <c r="EB37" s="1199">
        <f t="shared" si="112"/>
        <v>0</v>
      </c>
      <c r="EC37" s="1199">
        <f t="shared" si="113"/>
        <v>543944.72281698301</v>
      </c>
      <c r="ED37" s="1199">
        <f t="shared" si="114"/>
        <v>19948.006944808789</v>
      </c>
      <c r="EE37" s="1199">
        <f t="shared" si="115"/>
        <v>0</v>
      </c>
      <c r="EF37" s="1199">
        <f t="shared" si="116"/>
        <v>0</v>
      </c>
      <c r="EG37" s="1199">
        <f t="shared" si="117"/>
        <v>0</v>
      </c>
      <c r="EH37" s="1199">
        <f t="shared" si="118"/>
        <v>0</v>
      </c>
      <c r="EI37" s="1199">
        <f t="shared" si="119"/>
        <v>0</v>
      </c>
      <c r="EJ37" s="1199">
        <f t="shared" si="120"/>
        <v>0</v>
      </c>
      <c r="EK37" s="1199">
        <f t="shared" si="121"/>
        <v>0</v>
      </c>
      <c r="EL37" s="1199">
        <f t="shared" si="122"/>
        <v>0</v>
      </c>
      <c r="EM37" s="1199">
        <f t="shared" si="123"/>
        <v>0</v>
      </c>
      <c r="EN37" s="1199">
        <f t="shared" si="124"/>
        <v>150449.19677472182</v>
      </c>
      <c r="EO37" s="1199">
        <f t="shared" si="125"/>
        <v>0</v>
      </c>
      <c r="EP37" s="1199">
        <f t="shared" si="126"/>
        <v>0</v>
      </c>
      <c r="EQ37" s="1199">
        <f t="shared" si="127"/>
        <v>0</v>
      </c>
      <c r="ER37" s="1199">
        <f t="shared" si="128"/>
        <v>0</v>
      </c>
      <c r="ES37" s="1199">
        <f t="shared" si="129"/>
        <v>0</v>
      </c>
      <c r="ET37" s="1199">
        <f t="shared" si="130"/>
        <v>0</v>
      </c>
      <c r="EU37" s="1199">
        <f t="shared" si="131"/>
        <v>0</v>
      </c>
      <c r="EV37" s="1199">
        <f t="shared" si="132"/>
        <v>0</v>
      </c>
      <c r="EW37" s="1199">
        <f t="shared" si="133"/>
        <v>0</v>
      </c>
      <c r="EX37" s="1199">
        <f t="shared" si="134"/>
        <v>0</v>
      </c>
      <c r="EY37" s="1199">
        <f t="shared" si="135"/>
        <v>0</v>
      </c>
      <c r="EZ37" s="1175">
        <f t="shared" si="136"/>
        <v>1789391.9025365135</v>
      </c>
      <c r="FA37" s="1177"/>
      <c r="FB37" s="1202">
        <f t="shared" si="137"/>
        <v>1075049.9759999998</v>
      </c>
      <c r="FC37" s="1202">
        <f t="shared" si="138"/>
        <v>0</v>
      </c>
      <c r="FD37" s="1202">
        <f t="shared" si="139"/>
        <v>0</v>
      </c>
      <c r="FE37" s="1202">
        <f t="shared" si="140"/>
        <v>0</v>
      </c>
      <c r="FF37" s="1202">
        <f t="shared" si="141"/>
        <v>0</v>
      </c>
      <c r="FG37" s="1202">
        <f t="shared" si="142"/>
        <v>0</v>
      </c>
      <c r="FH37" s="1202">
        <f t="shared" si="143"/>
        <v>0</v>
      </c>
      <c r="FI37" s="1202">
        <f t="shared" si="144"/>
        <v>0</v>
      </c>
      <c r="FJ37" s="1202">
        <f t="shared" si="145"/>
        <v>0</v>
      </c>
      <c r="FK37" s="1202">
        <f t="shared" si="146"/>
        <v>0</v>
      </c>
      <c r="FL37" s="1202">
        <f t="shared" si="147"/>
        <v>0</v>
      </c>
      <c r="FM37" s="1202">
        <f t="shared" si="148"/>
        <v>0</v>
      </c>
      <c r="FN37" s="1202">
        <f t="shared" si="149"/>
        <v>533243.45221244986</v>
      </c>
      <c r="FO37" s="1202">
        <f t="shared" si="150"/>
        <v>19555.56078</v>
      </c>
      <c r="FP37" s="1202">
        <f t="shared" si="151"/>
        <v>0</v>
      </c>
      <c r="FQ37" s="1202">
        <f t="shared" si="152"/>
        <v>0</v>
      </c>
      <c r="FR37" s="1202">
        <f t="shared" si="153"/>
        <v>0</v>
      </c>
      <c r="FS37" s="1202">
        <f t="shared" si="154"/>
        <v>0</v>
      </c>
      <c r="FT37" s="1202">
        <f t="shared" si="155"/>
        <v>0</v>
      </c>
      <c r="FU37" s="1202">
        <f t="shared" si="156"/>
        <v>0</v>
      </c>
      <c r="FV37" s="1202">
        <f t="shared" si="157"/>
        <v>0</v>
      </c>
      <c r="FW37" s="1202">
        <f t="shared" si="158"/>
        <v>0</v>
      </c>
      <c r="FX37" s="1202">
        <f t="shared" si="159"/>
        <v>0</v>
      </c>
      <c r="FY37" s="1202">
        <f t="shared" si="160"/>
        <v>103915.0335270939</v>
      </c>
      <c r="FZ37" s="1202">
        <f t="shared" si="161"/>
        <v>0</v>
      </c>
      <c r="GA37" s="1202">
        <f t="shared" si="162"/>
        <v>0</v>
      </c>
      <c r="GB37" s="1202">
        <f t="shared" si="163"/>
        <v>0</v>
      </c>
      <c r="GC37" s="1202">
        <f t="shared" si="164"/>
        <v>0</v>
      </c>
      <c r="GD37" s="1202">
        <f t="shared" si="165"/>
        <v>0</v>
      </c>
      <c r="GE37" s="1202">
        <f t="shared" si="166"/>
        <v>0</v>
      </c>
      <c r="GF37" s="1202">
        <f t="shared" si="167"/>
        <v>0</v>
      </c>
      <c r="GG37" s="1202">
        <f t="shared" si="168"/>
        <v>0</v>
      </c>
      <c r="GH37" s="1202">
        <f t="shared" si="169"/>
        <v>0</v>
      </c>
      <c r="GI37" s="1202">
        <f t="shared" si="170"/>
        <v>0</v>
      </c>
      <c r="GJ37" s="1202">
        <f t="shared" si="171"/>
        <v>0</v>
      </c>
      <c r="GK37" s="1174">
        <f t="shared" si="172"/>
        <v>1731764.0225195435</v>
      </c>
    </row>
    <row r="38" spans="1:193" s="1015" customFormat="1">
      <c r="A38" s="1003"/>
      <c r="B38" s="1149"/>
      <c r="C38" s="1149" t="s">
        <v>881</v>
      </c>
      <c r="D38" s="1204" t="s">
        <v>881</v>
      </c>
      <c r="E38" s="1204" t="s">
        <v>765</v>
      </c>
      <c r="F38" s="1204" t="s">
        <v>766</v>
      </c>
      <c r="G38" s="1204" t="s">
        <v>790</v>
      </c>
      <c r="H38" s="1204" t="s">
        <v>807</v>
      </c>
      <c r="I38" s="1149" t="s">
        <v>744</v>
      </c>
      <c r="J38" s="1176"/>
      <c r="K38" s="1176"/>
      <c r="L38" s="1233">
        <v>551.80959999999993</v>
      </c>
      <c r="M38" s="1020"/>
      <c r="N38" s="1020"/>
      <c r="O38" s="1020"/>
      <c r="P38" s="1020"/>
      <c r="Q38" s="1020"/>
      <c r="R38" s="1004"/>
      <c r="S38" s="1004"/>
      <c r="T38" s="1004"/>
      <c r="U38" s="1004"/>
      <c r="V38" s="1004"/>
      <c r="W38" s="1004"/>
      <c r="X38" s="1233">
        <v>34.810696595524959</v>
      </c>
      <c r="Y38" s="1233">
        <v>6.9621393191049918</v>
      </c>
      <c r="Z38" s="1004"/>
      <c r="AA38" s="1004"/>
      <c r="AB38" s="1004"/>
      <c r="AC38" s="1004"/>
      <c r="AD38" s="1004"/>
      <c r="AE38" s="1004"/>
      <c r="AF38" s="1004"/>
      <c r="AG38" s="1013"/>
      <c r="AH38" s="1004"/>
      <c r="AI38" s="1224">
        <v>1.2153850132632408E-2</v>
      </c>
      <c r="AJ38" s="1005"/>
      <c r="AK38" s="1035"/>
      <c r="AL38" s="1005"/>
      <c r="AM38" s="1005"/>
      <c r="AN38" s="1005"/>
      <c r="AO38" s="1005"/>
      <c r="AP38" s="1004"/>
      <c r="AQ38" s="1004"/>
      <c r="AR38" s="1004"/>
      <c r="AS38" s="1005"/>
      <c r="AT38" s="1005"/>
      <c r="AU38" s="1176"/>
      <c r="AV38" s="1176"/>
      <c r="AW38" s="1231">
        <v>551.80959999999993</v>
      </c>
      <c r="AX38" s="1011"/>
      <c r="AY38" s="1011"/>
      <c r="AZ38" s="1011"/>
      <c r="BA38" s="1011"/>
      <c r="BB38" s="1011"/>
      <c r="BC38" s="1004"/>
      <c r="BD38" s="1004"/>
      <c r="BE38" s="1004"/>
      <c r="BF38" s="1004"/>
      <c r="BG38" s="1004"/>
      <c r="BH38" s="1004"/>
      <c r="BI38" s="1182">
        <v>34.1</v>
      </c>
      <c r="BJ38" s="1182">
        <v>6.82</v>
      </c>
      <c r="BK38" s="1004"/>
      <c r="BL38" s="1004"/>
      <c r="BM38" s="1004"/>
      <c r="BN38" s="1004"/>
      <c r="BO38" s="1004"/>
      <c r="BP38" s="1004"/>
      <c r="BQ38" s="1004"/>
      <c r="BR38" s="1035"/>
      <c r="BS38" s="1005"/>
      <c r="BT38" s="1226">
        <v>5.0416267149662759E-3</v>
      </c>
      <c r="BU38" s="1241"/>
      <c r="BV38" s="1602"/>
      <c r="BW38" s="1241"/>
      <c r="BX38" s="1241"/>
      <c r="BY38" s="1241"/>
      <c r="BZ38" s="1602"/>
      <c r="CA38" s="1004"/>
      <c r="CB38" s="1004"/>
      <c r="CC38" s="1004"/>
      <c r="CD38" s="1602"/>
      <c r="CE38" s="1602"/>
      <c r="CF38" s="1176"/>
      <c r="CG38" s="1236">
        <v>30.000000000000004</v>
      </c>
      <c r="CH38" s="1011"/>
      <c r="CI38" s="1011"/>
      <c r="CJ38" s="1011"/>
      <c r="CK38" s="1011"/>
      <c r="CL38" s="1004"/>
      <c r="CM38" s="1004"/>
      <c r="CN38" s="1004"/>
      <c r="CO38" s="1008"/>
      <c r="CP38" s="1004"/>
      <c r="CQ38" s="1004"/>
      <c r="CR38" s="1004"/>
      <c r="CS38" s="1236">
        <v>55288.251349999991</v>
      </c>
      <c r="CT38" s="1236">
        <v>23373.330000000005</v>
      </c>
      <c r="CU38" s="1008"/>
      <c r="CV38" s="1004"/>
      <c r="CW38" s="1004"/>
      <c r="CX38" s="1004"/>
      <c r="CY38" s="1004"/>
      <c r="CZ38" s="1004"/>
      <c r="DA38" s="1004"/>
      <c r="DB38" s="1013"/>
      <c r="DC38" s="1004"/>
      <c r="DD38" s="1236">
        <v>20440498.150000002</v>
      </c>
      <c r="DE38" s="1008"/>
      <c r="DF38" s="1036"/>
      <c r="DG38" s="1008"/>
      <c r="DH38" s="1014"/>
      <c r="DI38" s="1008"/>
      <c r="DJ38" s="1008"/>
      <c r="DK38" s="1004"/>
      <c r="DL38" s="1004"/>
      <c r="DM38" s="1004"/>
      <c r="DN38" s="1008"/>
      <c r="DO38" s="1008"/>
      <c r="DP38" s="1176"/>
      <c r="DQ38" s="1199">
        <f t="shared" si="101"/>
        <v>6042315.1200000001</v>
      </c>
      <c r="DR38" s="1199">
        <f t="shared" si="102"/>
        <v>0</v>
      </c>
      <c r="DS38" s="1199">
        <f t="shared" si="103"/>
        <v>0</v>
      </c>
      <c r="DT38" s="1199">
        <f t="shared" si="104"/>
        <v>0</v>
      </c>
      <c r="DU38" s="1199">
        <f t="shared" si="105"/>
        <v>0</v>
      </c>
      <c r="DV38" s="1199">
        <f t="shared" si="106"/>
        <v>0</v>
      </c>
      <c r="DW38" s="1199">
        <f t="shared" si="107"/>
        <v>0</v>
      </c>
      <c r="DX38" s="1199">
        <f t="shared" si="108"/>
        <v>0</v>
      </c>
      <c r="DY38" s="1199">
        <f t="shared" si="109"/>
        <v>0</v>
      </c>
      <c r="DZ38" s="1199">
        <f t="shared" si="110"/>
        <v>0</v>
      </c>
      <c r="EA38" s="1199">
        <f t="shared" si="111"/>
        <v>0</v>
      </c>
      <c r="EB38" s="1199">
        <f t="shared" si="112"/>
        <v>0</v>
      </c>
      <c r="EC38" s="1199">
        <f t="shared" si="113"/>
        <v>1924622.5430419729</v>
      </c>
      <c r="ED38" s="1199">
        <f t="shared" si="114"/>
        <v>162728.37981141632</v>
      </c>
      <c r="EE38" s="1199">
        <f t="shared" si="115"/>
        <v>0</v>
      </c>
      <c r="EF38" s="1199">
        <f t="shared" si="116"/>
        <v>0</v>
      </c>
      <c r="EG38" s="1199">
        <f t="shared" si="117"/>
        <v>0</v>
      </c>
      <c r="EH38" s="1199">
        <f t="shared" si="118"/>
        <v>0</v>
      </c>
      <c r="EI38" s="1199">
        <f t="shared" si="119"/>
        <v>0</v>
      </c>
      <c r="EJ38" s="1199">
        <f t="shared" si="120"/>
        <v>0</v>
      </c>
      <c r="EK38" s="1199">
        <f t="shared" si="121"/>
        <v>0</v>
      </c>
      <c r="EL38" s="1199">
        <f t="shared" si="122"/>
        <v>0</v>
      </c>
      <c r="EM38" s="1199">
        <f t="shared" si="123"/>
        <v>0</v>
      </c>
      <c r="EN38" s="1199">
        <f t="shared" si="124"/>
        <v>248430.75115145001</v>
      </c>
      <c r="EO38" s="1199">
        <f t="shared" si="125"/>
        <v>0</v>
      </c>
      <c r="EP38" s="1199">
        <f t="shared" si="126"/>
        <v>0</v>
      </c>
      <c r="EQ38" s="1199">
        <f t="shared" si="127"/>
        <v>0</v>
      </c>
      <c r="ER38" s="1199">
        <f t="shared" si="128"/>
        <v>0</v>
      </c>
      <c r="ES38" s="1199">
        <f t="shared" si="129"/>
        <v>0</v>
      </c>
      <c r="ET38" s="1199">
        <f t="shared" si="130"/>
        <v>0</v>
      </c>
      <c r="EU38" s="1199">
        <f t="shared" si="131"/>
        <v>0</v>
      </c>
      <c r="EV38" s="1199">
        <f t="shared" si="132"/>
        <v>0</v>
      </c>
      <c r="EW38" s="1199">
        <f t="shared" si="133"/>
        <v>0</v>
      </c>
      <c r="EX38" s="1199">
        <f t="shared" si="134"/>
        <v>0</v>
      </c>
      <c r="EY38" s="1199">
        <f t="shared" si="135"/>
        <v>0</v>
      </c>
      <c r="EZ38" s="1175">
        <f t="shared" si="136"/>
        <v>8378096.7940048398</v>
      </c>
      <c r="FA38" s="1177"/>
      <c r="FB38" s="1202">
        <f t="shared" si="137"/>
        <v>6042315.1200000001</v>
      </c>
      <c r="FC38" s="1202">
        <f t="shared" si="138"/>
        <v>0</v>
      </c>
      <c r="FD38" s="1202">
        <f t="shared" si="139"/>
        <v>0</v>
      </c>
      <c r="FE38" s="1202">
        <f t="shared" si="140"/>
        <v>0</v>
      </c>
      <c r="FF38" s="1202">
        <f t="shared" si="141"/>
        <v>0</v>
      </c>
      <c r="FG38" s="1202">
        <f t="shared" si="142"/>
        <v>0</v>
      </c>
      <c r="FH38" s="1202">
        <f t="shared" si="143"/>
        <v>0</v>
      </c>
      <c r="FI38" s="1202">
        <f t="shared" si="144"/>
        <v>0</v>
      </c>
      <c r="FJ38" s="1202">
        <f t="shared" si="145"/>
        <v>0</v>
      </c>
      <c r="FK38" s="1202">
        <f t="shared" si="146"/>
        <v>0</v>
      </c>
      <c r="FL38" s="1202">
        <f t="shared" si="147"/>
        <v>0</v>
      </c>
      <c r="FM38" s="1202">
        <f t="shared" si="148"/>
        <v>0</v>
      </c>
      <c r="FN38" s="1202">
        <f t="shared" si="149"/>
        <v>1885329.3710349998</v>
      </c>
      <c r="FO38" s="1202">
        <f t="shared" si="150"/>
        <v>159406.11060000004</v>
      </c>
      <c r="FP38" s="1202">
        <f t="shared" si="151"/>
        <v>0</v>
      </c>
      <c r="FQ38" s="1202">
        <f t="shared" si="152"/>
        <v>0</v>
      </c>
      <c r="FR38" s="1202">
        <f t="shared" si="153"/>
        <v>0</v>
      </c>
      <c r="FS38" s="1202">
        <f t="shared" si="154"/>
        <v>0</v>
      </c>
      <c r="FT38" s="1202">
        <f t="shared" si="155"/>
        <v>0</v>
      </c>
      <c r="FU38" s="1202">
        <f t="shared" si="156"/>
        <v>0</v>
      </c>
      <c r="FV38" s="1202">
        <f t="shared" si="157"/>
        <v>0</v>
      </c>
      <c r="FW38" s="1202">
        <f t="shared" si="158"/>
        <v>0</v>
      </c>
      <c r="FX38" s="1202">
        <f t="shared" si="159"/>
        <v>0</v>
      </c>
      <c r="FY38" s="1202">
        <f t="shared" si="160"/>
        <v>103053.36154025875</v>
      </c>
      <c r="FZ38" s="1202">
        <f t="shared" si="161"/>
        <v>0</v>
      </c>
      <c r="GA38" s="1202">
        <f t="shared" si="162"/>
        <v>0</v>
      </c>
      <c r="GB38" s="1202">
        <f t="shared" si="163"/>
        <v>0</v>
      </c>
      <c r="GC38" s="1202">
        <f t="shared" si="164"/>
        <v>0</v>
      </c>
      <c r="GD38" s="1202">
        <f t="shared" si="165"/>
        <v>0</v>
      </c>
      <c r="GE38" s="1202">
        <f t="shared" si="166"/>
        <v>0</v>
      </c>
      <c r="GF38" s="1202">
        <f t="shared" si="167"/>
        <v>0</v>
      </c>
      <c r="GG38" s="1202">
        <f t="shared" si="168"/>
        <v>0</v>
      </c>
      <c r="GH38" s="1202">
        <f t="shared" si="169"/>
        <v>0</v>
      </c>
      <c r="GI38" s="1202">
        <f t="shared" si="170"/>
        <v>0</v>
      </c>
      <c r="GJ38" s="1202">
        <f t="shared" si="171"/>
        <v>0</v>
      </c>
      <c r="GK38" s="1174">
        <f t="shared" si="172"/>
        <v>8190103.9631752586</v>
      </c>
    </row>
    <row r="39" spans="1:193" s="1015" customFormat="1">
      <c r="A39" s="1003"/>
      <c r="B39" s="1149"/>
      <c r="C39" s="1149" t="s">
        <v>882</v>
      </c>
      <c r="D39" s="1204" t="s">
        <v>882</v>
      </c>
      <c r="E39" s="1204" t="s">
        <v>765</v>
      </c>
      <c r="F39" s="1204" t="s">
        <v>766</v>
      </c>
      <c r="G39" s="1204" t="s">
        <v>791</v>
      </c>
      <c r="H39" s="1204" t="s">
        <v>811</v>
      </c>
      <c r="I39" s="1149" t="s">
        <v>744</v>
      </c>
      <c r="J39" s="1176"/>
      <c r="K39" s="1176"/>
      <c r="L39" s="1233">
        <v>94.482439999999997</v>
      </c>
      <c r="M39" s="1020"/>
      <c r="N39" s="1020"/>
      <c r="O39" s="1020"/>
      <c r="P39" s="1020"/>
      <c r="Q39" s="1020"/>
      <c r="R39" s="1004"/>
      <c r="S39" s="1004"/>
      <c r="T39" s="1004"/>
      <c r="U39" s="1004"/>
      <c r="V39" s="1004"/>
      <c r="W39" s="1004"/>
      <c r="X39" s="1233">
        <v>11.911792072674743</v>
      </c>
      <c r="Y39" s="1233">
        <v>2.3823584145349486</v>
      </c>
      <c r="Z39" s="1004"/>
      <c r="AA39" s="1004"/>
      <c r="AB39" s="1004"/>
      <c r="AC39" s="1004"/>
      <c r="AD39" s="1004"/>
      <c r="AE39" s="1004"/>
      <c r="AF39" s="1004"/>
      <c r="AG39" s="1013"/>
      <c r="AH39" s="1004"/>
      <c r="AI39" s="1224">
        <v>6.5830952438607013E-3</v>
      </c>
      <c r="AJ39" s="1005"/>
      <c r="AK39" s="1035"/>
      <c r="AL39" s="1005"/>
      <c r="AM39" s="1005"/>
      <c r="AN39" s="1005"/>
      <c r="AO39" s="1005"/>
      <c r="AP39" s="1004"/>
      <c r="AQ39" s="1004"/>
      <c r="AR39" s="1004"/>
      <c r="AS39" s="1005"/>
      <c r="AT39" s="1005"/>
      <c r="AU39" s="1176"/>
      <c r="AV39" s="1176"/>
      <c r="AW39" s="1231">
        <v>94.482439999999997</v>
      </c>
      <c r="AX39" s="1011"/>
      <c r="AY39" s="1011"/>
      <c r="AZ39" s="1011"/>
      <c r="BA39" s="1011"/>
      <c r="BB39" s="1011"/>
      <c r="BC39" s="1004"/>
      <c r="BD39" s="1004"/>
      <c r="BE39" s="1004"/>
      <c r="BF39" s="1004"/>
      <c r="BG39" s="1004"/>
      <c r="BH39" s="1004"/>
      <c r="BI39" s="1182">
        <v>11.677</v>
      </c>
      <c r="BJ39" s="1182">
        <v>2.3353999999999999</v>
      </c>
      <c r="BK39" s="1004"/>
      <c r="BL39" s="1004"/>
      <c r="BM39" s="1004"/>
      <c r="BN39" s="1004"/>
      <c r="BO39" s="1004"/>
      <c r="BP39" s="1004"/>
      <c r="BQ39" s="1004"/>
      <c r="BR39" s="1035"/>
      <c r="BS39" s="1005"/>
      <c r="BT39" s="1226">
        <v>5.7009785786859418E-3</v>
      </c>
      <c r="BU39" s="1241"/>
      <c r="BV39" s="1602"/>
      <c r="BW39" s="1241"/>
      <c r="BX39" s="1241"/>
      <c r="BY39" s="1241"/>
      <c r="BZ39" s="1602"/>
      <c r="CA39" s="1004"/>
      <c r="CB39" s="1004"/>
      <c r="CC39" s="1004"/>
      <c r="CD39" s="1602"/>
      <c r="CE39" s="1602"/>
      <c r="CF39" s="1176"/>
      <c r="CG39" s="1236">
        <v>5.35</v>
      </c>
      <c r="CH39" s="1011"/>
      <c r="CI39" s="1011"/>
      <c r="CJ39" s="1011"/>
      <c r="CK39" s="1011"/>
      <c r="CL39" s="1004"/>
      <c r="CM39" s="1004"/>
      <c r="CN39" s="1004"/>
      <c r="CO39" s="1008"/>
      <c r="CP39" s="1004"/>
      <c r="CQ39" s="1004"/>
      <c r="CR39" s="1004"/>
      <c r="CS39" s="1236">
        <v>13239.12</v>
      </c>
      <c r="CT39" s="1236">
        <v>466.52</v>
      </c>
      <c r="CU39" s="1008"/>
      <c r="CV39" s="1004"/>
      <c r="CW39" s="1004"/>
      <c r="CX39" s="1004"/>
      <c r="CY39" s="1004"/>
      <c r="CZ39" s="1004"/>
      <c r="DA39" s="1004"/>
      <c r="DB39" s="1013"/>
      <c r="DC39" s="1004"/>
      <c r="DD39" s="1236">
        <v>5321124.3099999996</v>
      </c>
      <c r="DE39" s="1008"/>
      <c r="DF39" s="1036"/>
      <c r="DG39" s="1008"/>
      <c r="DH39" s="1014"/>
      <c r="DI39" s="1008"/>
      <c r="DJ39" s="1008"/>
      <c r="DK39" s="1004"/>
      <c r="DL39" s="1004"/>
      <c r="DM39" s="1004"/>
      <c r="DN39" s="1008"/>
      <c r="DO39" s="1008"/>
      <c r="DP39" s="1176"/>
      <c r="DQ39" s="1199">
        <f t="shared" si="101"/>
        <v>184500.58471</v>
      </c>
      <c r="DR39" s="1199">
        <f t="shared" si="102"/>
        <v>0</v>
      </c>
      <c r="DS39" s="1199">
        <f t="shared" si="103"/>
        <v>0</v>
      </c>
      <c r="DT39" s="1199">
        <f t="shared" si="104"/>
        <v>0</v>
      </c>
      <c r="DU39" s="1199">
        <f t="shared" si="105"/>
        <v>0</v>
      </c>
      <c r="DV39" s="1199">
        <f t="shared" si="106"/>
        <v>0</v>
      </c>
      <c r="DW39" s="1199">
        <f t="shared" si="107"/>
        <v>0</v>
      </c>
      <c r="DX39" s="1199">
        <f t="shared" si="108"/>
        <v>0</v>
      </c>
      <c r="DY39" s="1199">
        <f t="shared" si="109"/>
        <v>0</v>
      </c>
      <c r="DZ39" s="1199">
        <f t="shared" si="110"/>
        <v>0</v>
      </c>
      <c r="EA39" s="1199">
        <f t="shared" si="111"/>
        <v>0</v>
      </c>
      <c r="EB39" s="1199">
        <f t="shared" si="112"/>
        <v>0</v>
      </c>
      <c r="EC39" s="1199">
        <f t="shared" si="113"/>
        <v>157701.64466518964</v>
      </c>
      <c r="ED39" s="1199">
        <f t="shared" si="114"/>
        <v>1111.4178475488441</v>
      </c>
      <c r="EE39" s="1199">
        <f t="shared" si="115"/>
        <v>0</v>
      </c>
      <c r="EF39" s="1199">
        <f t="shared" si="116"/>
        <v>0</v>
      </c>
      <c r="EG39" s="1199">
        <f t="shared" si="117"/>
        <v>0</v>
      </c>
      <c r="EH39" s="1199">
        <f t="shared" si="118"/>
        <v>0</v>
      </c>
      <c r="EI39" s="1199">
        <f t="shared" si="119"/>
        <v>0</v>
      </c>
      <c r="EJ39" s="1199">
        <f t="shared" si="120"/>
        <v>0</v>
      </c>
      <c r="EK39" s="1199">
        <f t="shared" si="121"/>
        <v>0</v>
      </c>
      <c r="EL39" s="1199">
        <f t="shared" si="122"/>
        <v>0</v>
      </c>
      <c r="EM39" s="1199">
        <f t="shared" si="123"/>
        <v>0</v>
      </c>
      <c r="EN39" s="1199">
        <f t="shared" si="124"/>
        <v>35029.468137152551</v>
      </c>
      <c r="EO39" s="1199">
        <f t="shared" si="125"/>
        <v>0</v>
      </c>
      <c r="EP39" s="1199">
        <f t="shared" si="126"/>
        <v>0</v>
      </c>
      <c r="EQ39" s="1199">
        <f t="shared" si="127"/>
        <v>0</v>
      </c>
      <c r="ER39" s="1199">
        <f t="shared" si="128"/>
        <v>0</v>
      </c>
      <c r="ES39" s="1199">
        <f t="shared" si="129"/>
        <v>0</v>
      </c>
      <c r="ET39" s="1199">
        <f t="shared" si="130"/>
        <v>0</v>
      </c>
      <c r="EU39" s="1199">
        <f t="shared" si="131"/>
        <v>0</v>
      </c>
      <c r="EV39" s="1199">
        <f t="shared" si="132"/>
        <v>0</v>
      </c>
      <c r="EW39" s="1199">
        <f t="shared" si="133"/>
        <v>0</v>
      </c>
      <c r="EX39" s="1199">
        <f t="shared" si="134"/>
        <v>0</v>
      </c>
      <c r="EY39" s="1199">
        <f t="shared" si="135"/>
        <v>0</v>
      </c>
      <c r="EZ39" s="1175">
        <f t="shared" si="136"/>
        <v>378343.11535989103</v>
      </c>
      <c r="FA39" s="1177"/>
      <c r="FB39" s="1202">
        <f t="shared" si="137"/>
        <v>184500.58471</v>
      </c>
      <c r="FC39" s="1202">
        <f t="shared" si="138"/>
        <v>0</v>
      </c>
      <c r="FD39" s="1202">
        <f t="shared" si="139"/>
        <v>0</v>
      </c>
      <c r="FE39" s="1202">
        <f t="shared" si="140"/>
        <v>0</v>
      </c>
      <c r="FF39" s="1202">
        <f t="shared" si="141"/>
        <v>0</v>
      </c>
      <c r="FG39" s="1202">
        <f t="shared" si="142"/>
        <v>0</v>
      </c>
      <c r="FH39" s="1202">
        <f t="shared" si="143"/>
        <v>0</v>
      </c>
      <c r="FI39" s="1202">
        <f t="shared" si="144"/>
        <v>0</v>
      </c>
      <c r="FJ39" s="1202">
        <f t="shared" si="145"/>
        <v>0</v>
      </c>
      <c r="FK39" s="1202">
        <f t="shared" si="146"/>
        <v>0</v>
      </c>
      <c r="FL39" s="1202">
        <f t="shared" si="147"/>
        <v>0</v>
      </c>
      <c r="FM39" s="1202">
        <f t="shared" si="148"/>
        <v>0</v>
      </c>
      <c r="FN39" s="1202">
        <f t="shared" si="149"/>
        <v>154593.20423999999</v>
      </c>
      <c r="FO39" s="1202">
        <f t="shared" si="150"/>
        <v>1089.510808</v>
      </c>
      <c r="FP39" s="1202">
        <f t="shared" si="151"/>
        <v>0</v>
      </c>
      <c r="FQ39" s="1202">
        <f t="shared" si="152"/>
        <v>0</v>
      </c>
      <c r="FR39" s="1202">
        <f t="shared" si="153"/>
        <v>0</v>
      </c>
      <c r="FS39" s="1202">
        <f t="shared" si="154"/>
        <v>0</v>
      </c>
      <c r="FT39" s="1202">
        <f t="shared" si="155"/>
        <v>0</v>
      </c>
      <c r="FU39" s="1202">
        <f t="shared" si="156"/>
        <v>0</v>
      </c>
      <c r="FV39" s="1202">
        <f t="shared" si="157"/>
        <v>0</v>
      </c>
      <c r="FW39" s="1202">
        <f t="shared" si="158"/>
        <v>0</v>
      </c>
      <c r="FX39" s="1202">
        <f t="shared" si="159"/>
        <v>0</v>
      </c>
      <c r="FY39" s="1202">
        <f t="shared" si="160"/>
        <v>30335.615705835011</v>
      </c>
      <c r="FZ39" s="1202">
        <f t="shared" si="161"/>
        <v>0</v>
      </c>
      <c r="GA39" s="1202">
        <f t="shared" si="162"/>
        <v>0</v>
      </c>
      <c r="GB39" s="1202">
        <f t="shared" si="163"/>
        <v>0</v>
      </c>
      <c r="GC39" s="1202">
        <f t="shared" si="164"/>
        <v>0</v>
      </c>
      <c r="GD39" s="1202">
        <f t="shared" si="165"/>
        <v>0</v>
      </c>
      <c r="GE39" s="1202">
        <f t="shared" si="166"/>
        <v>0</v>
      </c>
      <c r="GF39" s="1202">
        <f t="shared" si="167"/>
        <v>0</v>
      </c>
      <c r="GG39" s="1202">
        <f t="shared" si="168"/>
        <v>0</v>
      </c>
      <c r="GH39" s="1202">
        <f t="shared" si="169"/>
        <v>0</v>
      </c>
      <c r="GI39" s="1202">
        <f t="shared" si="170"/>
        <v>0</v>
      </c>
      <c r="GJ39" s="1202">
        <f t="shared" si="171"/>
        <v>0</v>
      </c>
      <c r="GK39" s="1174">
        <f t="shared" si="172"/>
        <v>370518.91546383494</v>
      </c>
    </row>
    <row r="40" spans="1:193" s="1015" customFormat="1">
      <c r="A40" s="1003"/>
      <c r="B40" s="1149"/>
      <c r="C40" s="1149" t="s">
        <v>883</v>
      </c>
      <c r="D40" s="1204" t="s">
        <v>883</v>
      </c>
      <c r="E40" s="1204" t="s">
        <v>765</v>
      </c>
      <c r="F40" s="1204" t="s">
        <v>766</v>
      </c>
      <c r="G40" s="1204" t="s">
        <v>789</v>
      </c>
      <c r="H40" s="1204" t="s">
        <v>804</v>
      </c>
      <c r="I40" s="1149" t="s">
        <v>744</v>
      </c>
      <c r="J40" s="1176"/>
      <c r="K40" s="1176"/>
      <c r="L40" s="1233">
        <v>31.940480000000001</v>
      </c>
      <c r="M40" s="1020"/>
      <c r="N40" s="1020"/>
      <c r="O40" s="1020"/>
      <c r="P40" s="1020"/>
      <c r="Q40" s="1020"/>
      <c r="R40" s="1004"/>
      <c r="S40" s="1004"/>
      <c r="T40" s="1004"/>
      <c r="U40" s="1004"/>
      <c r="V40" s="1004"/>
      <c r="W40" s="1004"/>
      <c r="X40" s="1004"/>
      <c r="Y40" s="1004"/>
      <c r="Z40" s="1004"/>
      <c r="AA40" s="1004"/>
      <c r="AB40" s="1004"/>
      <c r="AC40" s="1004"/>
      <c r="AD40" s="1004"/>
      <c r="AE40" s="1004"/>
      <c r="AF40" s="1004"/>
      <c r="AG40" s="1013"/>
      <c r="AH40" s="1004"/>
      <c r="AI40" s="1224">
        <v>8.1790770244269007E-2</v>
      </c>
      <c r="AJ40" s="1005"/>
      <c r="AK40" s="1035"/>
      <c r="AL40" s="1005"/>
      <c r="AM40" s="1005"/>
      <c r="AN40" s="1005"/>
      <c r="AO40" s="1005"/>
      <c r="AP40" s="1004"/>
      <c r="AQ40" s="1004"/>
      <c r="AR40" s="1004"/>
      <c r="AS40" s="1005"/>
      <c r="AT40" s="1005"/>
      <c r="AU40" s="1176"/>
      <c r="AV40" s="1176"/>
      <c r="AW40" s="1231">
        <v>31.940480000000001</v>
      </c>
      <c r="AX40" s="1011"/>
      <c r="AY40" s="1011"/>
      <c r="AZ40" s="1011"/>
      <c r="BA40" s="1011"/>
      <c r="BB40" s="1011"/>
      <c r="BC40" s="1004"/>
      <c r="BD40" s="1004"/>
      <c r="BE40" s="1004"/>
      <c r="BF40" s="1004"/>
      <c r="BG40" s="1004"/>
      <c r="BH40" s="1004"/>
      <c r="BI40" s="1004"/>
      <c r="BJ40" s="1004"/>
      <c r="BK40" s="1004"/>
      <c r="BL40" s="1004"/>
      <c r="BM40" s="1004"/>
      <c r="BN40" s="1004"/>
      <c r="BO40" s="1004"/>
      <c r="BP40" s="1004"/>
      <c r="BQ40" s="1004"/>
      <c r="BR40" s="1035"/>
      <c r="BS40" s="1005"/>
      <c r="BT40" s="1226">
        <v>7.8942420907880159E-2</v>
      </c>
      <c r="BU40" s="1241"/>
      <c r="BV40" s="1602"/>
      <c r="BW40" s="1241"/>
      <c r="BX40" s="1241"/>
      <c r="BY40" s="1241"/>
      <c r="BZ40" s="1602"/>
      <c r="CA40" s="1004"/>
      <c r="CB40" s="1004"/>
      <c r="CC40" s="1004"/>
      <c r="CD40" s="1602"/>
      <c r="CE40" s="1602"/>
      <c r="CF40" s="1176"/>
      <c r="CG40" s="1236">
        <v>30.669999999999998</v>
      </c>
      <c r="CH40" s="1011"/>
      <c r="CI40" s="1011"/>
      <c r="CJ40" s="1011"/>
      <c r="CK40" s="1011"/>
      <c r="CL40" s="1004"/>
      <c r="CM40" s="1004"/>
      <c r="CN40" s="1004"/>
      <c r="CO40" s="1008"/>
      <c r="CP40" s="1004"/>
      <c r="CQ40" s="1004"/>
      <c r="CR40" s="1004"/>
      <c r="CS40" s="1004"/>
      <c r="CT40" s="1004"/>
      <c r="CU40" s="1008"/>
      <c r="CV40" s="1004"/>
      <c r="CW40" s="1004"/>
      <c r="CX40" s="1004"/>
      <c r="CY40" s="1004"/>
      <c r="CZ40" s="1004"/>
      <c r="DA40" s="1004"/>
      <c r="DB40" s="1013"/>
      <c r="DC40" s="1004"/>
      <c r="DD40" s="1236">
        <v>9108307.8299999982</v>
      </c>
      <c r="DE40" s="1008"/>
      <c r="DF40" s="1036"/>
      <c r="DG40" s="1008"/>
      <c r="DH40" s="1014"/>
      <c r="DI40" s="1008"/>
      <c r="DJ40" s="1008"/>
      <c r="DK40" s="1004"/>
      <c r="DL40" s="1004"/>
      <c r="DM40" s="1004"/>
      <c r="DN40" s="1008"/>
      <c r="DO40" s="1008"/>
      <c r="DP40" s="1176"/>
      <c r="DQ40" s="1199">
        <f t="shared" si="101"/>
        <v>357559.300384</v>
      </c>
      <c r="DR40" s="1199">
        <f t="shared" si="102"/>
        <v>0</v>
      </c>
      <c r="DS40" s="1199">
        <f t="shared" si="103"/>
        <v>0</v>
      </c>
      <c r="DT40" s="1199">
        <f t="shared" si="104"/>
        <v>0</v>
      </c>
      <c r="DU40" s="1199">
        <f t="shared" si="105"/>
        <v>0</v>
      </c>
      <c r="DV40" s="1199">
        <f t="shared" si="106"/>
        <v>0</v>
      </c>
      <c r="DW40" s="1199">
        <f t="shared" si="107"/>
        <v>0</v>
      </c>
      <c r="DX40" s="1199">
        <f t="shared" si="108"/>
        <v>0</v>
      </c>
      <c r="DY40" s="1199">
        <f t="shared" si="109"/>
        <v>0</v>
      </c>
      <c r="DZ40" s="1199">
        <f t="shared" si="110"/>
        <v>0</v>
      </c>
      <c r="EA40" s="1199">
        <f t="shared" si="111"/>
        <v>0</v>
      </c>
      <c r="EB40" s="1199">
        <f t="shared" si="112"/>
        <v>0</v>
      </c>
      <c r="EC40" s="1199">
        <f t="shared" si="113"/>
        <v>0</v>
      </c>
      <c r="ED40" s="1199">
        <f t="shared" si="114"/>
        <v>0</v>
      </c>
      <c r="EE40" s="1199">
        <f t="shared" si="115"/>
        <v>0</v>
      </c>
      <c r="EF40" s="1199">
        <f t="shared" si="116"/>
        <v>0</v>
      </c>
      <c r="EG40" s="1199">
        <f t="shared" si="117"/>
        <v>0</v>
      </c>
      <c r="EH40" s="1199">
        <f t="shared" si="118"/>
        <v>0</v>
      </c>
      <c r="EI40" s="1199">
        <f t="shared" si="119"/>
        <v>0</v>
      </c>
      <c r="EJ40" s="1199">
        <f t="shared" si="120"/>
        <v>0</v>
      </c>
      <c r="EK40" s="1199">
        <f t="shared" si="121"/>
        <v>0</v>
      </c>
      <c r="EL40" s="1199">
        <f t="shared" si="122"/>
        <v>0</v>
      </c>
      <c r="EM40" s="1199">
        <f t="shared" si="123"/>
        <v>0</v>
      </c>
      <c r="EN40" s="1199">
        <f t="shared" si="124"/>
        <v>744975.51303760626</v>
      </c>
      <c r="EO40" s="1199">
        <f t="shared" si="125"/>
        <v>0</v>
      </c>
      <c r="EP40" s="1199">
        <f t="shared" si="126"/>
        <v>0</v>
      </c>
      <c r="EQ40" s="1199">
        <f t="shared" si="127"/>
        <v>0</v>
      </c>
      <c r="ER40" s="1199">
        <f t="shared" si="128"/>
        <v>0</v>
      </c>
      <c r="ES40" s="1199">
        <f t="shared" si="129"/>
        <v>0</v>
      </c>
      <c r="ET40" s="1199">
        <f t="shared" si="130"/>
        <v>0</v>
      </c>
      <c r="EU40" s="1199">
        <f t="shared" si="131"/>
        <v>0</v>
      </c>
      <c r="EV40" s="1199">
        <f t="shared" si="132"/>
        <v>0</v>
      </c>
      <c r="EW40" s="1199">
        <f t="shared" si="133"/>
        <v>0</v>
      </c>
      <c r="EX40" s="1199">
        <f t="shared" si="134"/>
        <v>0</v>
      </c>
      <c r="EY40" s="1199">
        <f t="shared" si="135"/>
        <v>0</v>
      </c>
      <c r="EZ40" s="1175">
        <f t="shared" si="136"/>
        <v>1102534.8134216063</v>
      </c>
      <c r="FA40" s="1177"/>
      <c r="FB40" s="1202">
        <f t="shared" si="137"/>
        <v>357559.300384</v>
      </c>
      <c r="FC40" s="1202">
        <f t="shared" si="138"/>
        <v>0</v>
      </c>
      <c r="FD40" s="1202">
        <f t="shared" si="139"/>
        <v>0</v>
      </c>
      <c r="FE40" s="1202">
        <f t="shared" si="140"/>
        <v>0</v>
      </c>
      <c r="FF40" s="1202">
        <f t="shared" si="141"/>
        <v>0</v>
      </c>
      <c r="FG40" s="1202">
        <f t="shared" si="142"/>
        <v>0</v>
      </c>
      <c r="FH40" s="1202">
        <f t="shared" si="143"/>
        <v>0</v>
      </c>
      <c r="FI40" s="1202">
        <f t="shared" si="144"/>
        <v>0</v>
      </c>
      <c r="FJ40" s="1202">
        <f t="shared" si="145"/>
        <v>0</v>
      </c>
      <c r="FK40" s="1202">
        <f t="shared" si="146"/>
        <v>0</v>
      </c>
      <c r="FL40" s="1202">
        <f t="shared" si="147"/>
        <v>0</v>
      </c>
      <c r="FM40" s="1202">
        <f t="shared" si="148"/>
        <v>0</v>
      </c>
      <c r="FN40" s="1202">
        <f t="shared" si="149"/>
        <v>0</v>
      </c>
      <c r="FO40" s="1202">
        <f t="shared" si="150"/>
        <v>0</v>
      </c>
      <c r="FP40" s="1202">
        <f t="shared" si="151"/>
        <v>0</v>
      </c>
      <c r="FQ40" s="1202">
        <f t="shared" si="152"/>
        <v>0</v>
      </c>
      <c r="FR40" s="1202">
        <f t="shared" si="153"/>
        <v>0</v>
      </c>
      <c r="FS40" s="1202">
        <f t="shared" si="154"/>
        <v>0</v>
      </c>
      <c r="FT40" s="1202">
        <f t="shared" si="155"/>
        <v>0</v>
      </c>
      <c r="FU40" s="1202">
        <f t="shared" si="156"/>
        <v>0</v>
      </c>
      <c r="FV40" s="1202">
        <f t="shared" si="157"/>
        <v>0</v>
      </c>
      <c r="FW40" s="1202">
        <f t="shared" si="158"/>
        <v>0</v>
      </c>
      <c r="FX40" s="1202">
        <f t="shared" si="159"/>
        <v>0</v>
      </c>
      <c r="FY40" s="1202">
        <f t="shared" si="160"/>
        <v>719031.87047440046</v>
      </c>
      <c r="FZ40" s="1202">
        <f t="shared" si="161"/>
        <v>0</v>
      </c>
      <c r="GA40" s="1202">
        <f t="shared" si="162"/>
        <v>0</v>
      </c>
      <c r="GB40" s="1202">
        <f t="shared" si="163"/>
        <v>0</v>
      </c>
      <c r="GC40" s="1202">
        <f t="shared" si="164"/>
        <v>0</v>
      </c>
      <c r="GD40" s="1202">
        <f t="shared" si="165"/>
        <v>0</v>
      </c>
      <c r="GE40" s="1202">
        <f t="shared" si="166"/>
        <v>0</v>
      </c>
      <c r="GF40" s="1202">
        <f t="shared" si="167"/>
        <v>0</v>
      </c>
      <c r="GG40" s="1202">
        <f t="shared" si="168"/>
        <v>0</v>
      </c>
      <c r="GH40" s="1202">
        <f t="shared" si="169"/>
        <v>0</v>
      </c>
      <c r="GI40" s="1202">
        <f t="shared" si="170"/>
        <v>0</v>
      </c>
      <c r="GJ40" s="1202">
        <f t="shared" si="171"/>
        <v>0</v>
      </c>
      <c r="GK40" s="1174">
        <f t="shared" si="172"/>
        <v>1076591.1708584004</v>
      </c>
    </row>
    <row r="41" spans="1:193" s="1015" customFormat="1">
      <c r="A41" s="1003"/>
      <c r="B41" s="1149"/>
      <c r="C41" s="1149" t="s">
        <v>884</v>
      </c>
      <c r="D41" s="1204" t="s">
        <v>884</v>
      </c>
      <c r="E41" s="1204" t="s">
        <v>765</v>
      </c>
      <c r="F41" s="1204" t="s">
        <v>766</v>
      </c>
      <c r="G41" s="1204" t="s">
        <v>790</v>
      </c>
      <c r="H41" s="1204" t="s">
        <v>808</v>
      </c>
      <c r="I41" s="1149" t="s">
        <v>744</v>
      </c>
      <c r="J41" s="1176"/>
      <c r="K41" s="1176"/>
      <c r="L41" s="1233">
        <v>71.612800000000007</v>
      </c>
      <c r="M41" s="1020"/>
      <c r="N41" s="1020"/>
      <c r="O41" s="1020"/>
      <c r="P41" s="1020"/>
      <c r="Q41" s="1020"/>
      <c r="R41" s="1004"/>
      <c r="S41" s="1004"/>
      <c r="T41" s="1004"/>
      <c r="U41" s="1004"/>
      <c r="V41" s="1004"/>
      <c r="W41" s="1004"/>
      <c r="X41" s="1004"/>
      <c r="Y41" s="1004"/>
      <c r="Z41" s="1004"/>
      <c r="AA41" s="1004"/>
      <c r="AB41" s="1004"/>
      <c r="AC41" s="1004"/>
      <c r="AD41" s="1004"/>
      <c r="AE41" s="1004"/>
      <c r="AF41" s="1004"/>
      <c r="AG41" s="1013"/>
      <c r="AH41" s="1004"/>
      <c r="AI41" s="1224">
        <v>8.0407050454194509E-2</v>
      </c>
      <c r="AJ41" s="1005"/>
      <c r="AK41" s="1035"/>
      <c r="AL41" s="1005"/>
      <c r="AM41" s="1005"/>
      <c r="AN41" s="1005"/>
      <c r="AO41" s="1005"/>
      <c r="AP41" s="1004"/>
      <c r="AQ41" s="1004"/>
      <c r="AR41" s="1004"/>
      <c r="AS41" s="1005"/>
      <c r="AT41" s="1005"/>
      <c r="AU41" s="1176"/>
      <c r="AV41" s="1176"/>
      <c r="AW41" s="1231">
        <v>71.612800000000007</v>
      </c>
      <c r="AX41" s="1011"/>
      <c r="AY41" s="1011"/>
      <c r="AZ41" s="1011"/>
      <c r="BA41" s="1011"/>
      <c r="BB41" s="1011"/>
      <c r="BC41" s="1004"/>
      <c r="BD41" s="1004"/>
      <c r="BE41" s="1004"/>
      <c r="BF41" s="1004"/>
      <c r="BG41" s="1004"/>
      <c r="BH41" s="1004"/>
      <c r="BI41" s="1004"/>
      <c r="BJ41" s="1004"/>
      <c r="BK41" s="1004"/>
      <c r="BL41" s="1004"/>
      <c r="BM41" s="1004"/>
      <c r="BN41" s="1004"/>
      <c r="BO41" s="1004"/>
      <c r="BP41" s="1004"/>
      <c r="BQ41" s="1004"/>
      <c r="BR41" s="1035"/>
      <c r="BS41" s="1005"/>
      <c r="BT41" s="1226">
        <v>7.733681146516927E-2</v>
      </c>
      <c r="BU41" s="1241"/>
      <c r="BV41" s="1602"/>
      <c r="BW41" s="1241"/>
      <c r="BX41" s="1241"/>
      <c r="BY41" s="1241"/>
      <c r="BZ41" s="1602"/>
      <c r="CA41" s="1004"/>
      <c r="CB41" s="1004"/>
      <c r="CC41" s="1004"/>
      <c r="CD41" s="1602"/>
      <c r="CE41" s="1602"/>
      <c r="CF41" s="1176"/>
      <c r="CG41" s="1236">
        <v>6.3200000000000012</v>
      </c>
      <c r="CH41" s="1011"/>
      <c r="CI41" s="1011"/>
      <c r="CJ41" s="1011"/>
      <c r="CK41" s="1011"/>
      <c r="CL41" s="1004"/>
      <c r="CM41" s="1004"/>
      <c r="CN41" s="1004"/>
      <c r="CO41" s="1008"/>
      <c r="CP41" s="1004"/>
      <c r="CQ41" s="1004"/>
      <c r="CR41" s="1004"/>
      <c r="CS41" s="1004"/>
      <c r="CT41" s="1004"/>
      <c r="CU41" s="1008"/>
      <c r="CV41" s="1004"/>
      <c r="CW41" s="1004"/>
      <c r="CX41" s="1004"/>
      <c r="CY41" s="1004"/>
      <c r="CZ41" s="1004"/>
      <c r="DA41" s="1004"/>
      <c r="DB41" s="1013"/>
      <c r="DC41" s="1004"/>
      <c r="DD41" s="1236">
        <v>1157556.9700000002</v>
      </c>
      <c r="DE41" s="1008"/>
      <c r="DF41" s="1036"/>
      <c r="DG41" s="1008"/>
      <c r="DH41" s="1014"/>
      <c r="DI41" s="1008"/>
      <c r="DJ41" s="1008"/>
      <c r="DK41" s="1004"/>
      <c r="DL41" s="1004"/>
      <c r="DM41" s="1004"/>
      <c r="DN41" s="1008"/>
      <c r="DO41" s="1008"/>
      <c r="DP41" s="1176"/>
      <c r="DQ41" s="1199">
        <f t="shared" si="101"/>
        <v>165196.40704000005</v>
      </c>
      <c r="DR41" s="1199">
        <f t="shared" si="102"/>
        <v>0</v>
      </c>
      <c r="DS41" s="1199">
        <f t="shared" si="103"/>
        <v>0</v>
      </c>
      <c r="DT41" s="1199">
        <f t="shared" si="104"/>
        <v>0</v>
      </c>
      <c r="DU41" s="1199">
        <f t="shared" si="105"/>
        <v>0</v>
      </c>
      <c r="DV41" s="1199">
        <f t="shared" si="106"/>
        <v>0</v>
      </c>
      <c r="DW41" s="1199">
        <f t="shared" si="107"/>
        <v>0</v>
      </c>
      <c r="DX41" s="1199">
        <f t="shared" si="108"/>
        <v>0</v>
      </c>
      <c r="DY41" s="1199">
        <f t="shared" si="109"/>
        <v>0</v>
      </c>
      <c r="DZ41" s="1199">
        <f t="shared" si="110"/>
        <v>0</v>
      </c>
      <c r="EA41" s="1199">
        <f t="shared" si="111"/>
        <v>0</v>
      </c>
      <c r="EB41" s="1199">
        <f t="shared" si="112"/>
        <v>0</v>
      </c>
      <c r="EC41" s="1199">
        <f t="shared" si="113"/>
        <v>0</v>
      </c>
      <c r="ED41" s="1199">
        <f t="shared" si="114"/>
        <v>0</v>
      </c>
      <c r="EE41" s="1199">
        <f t="shared" si="115"/>
        <v>0</v>
      </c>
      <c r="EF41" s="1199">
        <f t="shared" si="116"/>
        <v>0</v>
      </c>
      <c r="EG41" s="1199">
        <f t="shared" si="117"/>
        <v>0</v>
      </c>
      <c r="EH41" s="1199">
        <f t="shared" si="118"/>
        <v>0</v>
      </c>
      <c r="EI41" s="1199">
        <f t="shared" si="119"/>
        <v>0</v>
      </c>
      <c r="EJ41" s="1199">
        <f t="shared" si="120"/>
        <v>0</v>
      </c>
      <c r="EK41" s="1199">
        <f t="shared" si="121"/>
        <v>0</v>
      </c>
      <c r="EL41" s="1199">
        <f t="shared" si="122"/>
        <v>0</v>
      </c>
      <c r="EM41" s="1199">
        <f t="shared" si="123"/>
        <v>0</v>
      </c>
      <c r="EN41" s="1199">
        <f t="shared" si="124"/>
        <v>93075.741690394541</v>
      </c>
      <c r="EO41" s="1199">
        <f t="shared" si="125"/>
        <v>0</v>
      </c>
      <c r="EP41" s="1199">
        <f t="shared" si="126"/>
        <v>0</v>
      </c>
      <c r="EQ41" s="1199">
        <f t="shared" si="127"/>
        <v>0</v>
      </c>
      <c r="ER41" s="1199">
        <f t="shared" si="128"/>
        <v>0</v>
      </c>
      <c r="ES41" s="1199">
        <f t="shared" si="129"/>
        <v>0</v>
      </c>
      <c r="ET41" s="1199">
        <f t="shared" si="130"/>
        <v>0</v>
      </c>
      <c r="EU41" s="1199">
        <f t="shared" si="131"/>
        <v>0</v>
      </c>
      <c r="EV41" s="1199">
        <f t="shared" si="132"/>
        <v>0</v>
      </c>
      <c r="EW41" s="1199">
        <f t="shared" si="133"/>
        <v>0</v>
      </c>
      <c r="EX41" s="1199">
        <f t="shared" si="134"/>
        <v>0</v>
      </c>
      <c r="EY41" s="1199">
        <f t="shared" si="135"/>
        <v>0</v>
      </c>
      <c r="EZ41" s="1175">
        <f t="shared" si="136"/>
        <v>258272.14873039461</v>
      </c>
      <c r="FA41" s="1177"/>
      <c r="FB41" s="1202">
        <f t="shared" si="137"/>
        <v>165196.40704000005</v>
      </c>
      <c r="FC41" s="1202">
        <f t="shared" si="138"/>
        <v>0</v>
      </c>
      <c r="FD41" s="1202">
        <f t="shared" si="139"/>
        <v>0</v>
      </c>
      <c r="FE41" s="1202">
        <f t="shared" si="140"/>
        <v>0</v>
      </c>
      <c r="FF41" s="1202">
        <f t="shared" si="141"/>
        <v>0</v>
      </c>
      <c r="FG41" s="1202">
        <f t="shared" si="142"/>
        <v>0</v>
      </c>
      <c r="FH41" s="1202">
        <f t="shared" si="143"/>
        <v>0</v>
      </c>
      <c r="FI41" s="1202">
        <f t="shared" si="144"/>
        <v>0</v>
      </c>
      <c r="FJ41" s="1202">
        <f t="shared" si="145"/>
        <v>0</v>
      </c>
      <c r="FK41" s="1202">
        <f t="shared" si="146"/>
        <v>0</v>
      </c>
      <c r="FL41" s="1202">
        <f t="shared" si="147"/>
        <v>0</v>
      </c>
      <c r="FM41" s="1202">
        <f t="shared" si="148"/>
        <v>0</v>
      </c>
      <c r="FN41" s="1202">
        <f t="shared" si="149"/>
        <v>0</v>
      </c>
      <c r="FO41" s="1202">
        <f t="shared" si="150"/>
        <v>0</v>
      </c>
      <c r="FP41" s="1202">
        <f t="shared" si="151"/>
        <v>0</v>
      </c>
      <c r="FQ41" s="1202">
        <f t="shared" si="152"/>
        <v>0</v>
      </c>
      <c r="FR41" s="1202">
        <f t="shared" si="153"/>
        <v>0</v>
      </c>
      <c r="FS41" s="1202">
        <f t="shared" si="154"/>
        <v>0</v>
      </c>
      <c r="FT41" s="1202">
        <f t="shared" si="155"/>
        <v>0</v>
      </c>
      <c r="FU41" s="1202">
        <f t="shared" si="156"/>
        <v>0</v>
      </c>
      <c r="FV41" s="1202">
        <f t="shared" si="157"/>
        <v>0</v>
      </c>
      <c r="FW41" s="1202">
        <f t="shared" si="158"/>
        <v>0</v>
      </c>
      <c r="FX41" s="1202">
        <f t="shared" si="159"/>
        <v>0</v>
      </c>
      <c r="FY41" s="1202">
        <f t="shared" si="160"/>
        <v>89521.76514908261</v>
      </c>
      <c r="FZ41" s="1202">
        <f t="shared" si="161"/>
        <v>0</v>
      </c>
      <c r="GA41" s="1202">
        <f t="shared" si="162"/>
        <v>0</v>
      </c>
      <c r="GB41" s="1202">
        <f t="shared" si="163"/>
        <v>0</v>
      </c>
      <c r="GC41" s="1202">
        <f t="shared" si="164"/>
        <v>0</v>
      </c>
      <c r="GD41" s="1202">
        <f t="shared" si="165"/>
        <v>0</v>
      </c>
      <c r="GE41" s="1202">
        <f t="shared" si="166"/>
        <v>0</v>
      </c>
      <c r="GF41" s="1202">
        <f t="shared" si="167"/>
        <v>0</v>
      </c>
      <c r="GG41" s="1202">
        <f t="shared" si="168"/>
        <v>0</v>
      </c>
      <c r="GH41" s="1202">
        <f t="shared" si="169"/>
        <v>0</v>
      </c>
      <c r="GI41" s="1202">
        <f t="shared" si="170"/>
        <v>0</v>
      </c>
      <c r="GJ41" s="1202">
        <f t="shared" si="171"/>
        <v>0</v>
      </c>
      <c r="GK41" s="1174">
        <f t="shared" si="172"/>
        <v>254718.17218908266</v>
      </c>
    </row>
    <row r="42" spans="1:193" s="1015" customFormat="1">
      <c r="A42" s="1003"/>
      <c r="B42" s="1149"/>
      <c r="C42" s="1149" t="s">
        <v>885</v>
      </c>
      <c r="D42" s="1204" t="s">
        <v>885</v>
      </c>
      <c r="E42" s="1204" t="s">
        <v>765</v>
      </c>
      <c r="F42" s="1204" t="s">
        <v>766</v>
      </c>
      <c r="G42" s="1204" t="s">
        <v>791</v>
      </c>
      <c r="H42" s="1204" t="s">
        <v>812</v>
      </c>
      <c r="I42" s="1149" t="s">
        <v>744</v>
      </c>
      <c r="J42" s="1176"/>
      <c r="K42" s="1176"/>
      <c r="L42" s="1233">
        <v>21.37595</v>
      </c>
      <c r="M42" s="1020"/>
      <c r="N42" s="1020"/>
      <c r="O42" s="1020"/>
      <c r="P42" s="1020"/>
      <c r="Q42" s="1020"/>
      <c r="R42" s="1004"/>
      <c r="S42" s="1004"/>
      <c r="T42" s="1004"/>
      <c r="U42" s="1004"/>
      <c r="V42" s="1004"/>
      <c r="W42" s="1004"/>
      <c r="X42" s="1004"/>
      <c r="Y42" s="1004"/>
      <c r="Z42" s="1004"/>
      <c r="AA42" s="1004"/>
      <c r="AB42" s="1004"/>
      <c r="AC42" s="1004"/>
      <c r="AD42" s="1004"/>
      <c r="AE42" s="1004"/>
      <c r="AF42" s="1004"/>
      <c r="AG42" s="1013"/>
      <c r="AH42" s="1004"/>
      <c r="AI42" s="1224">
        <v>8.2612582775926979E-2</v>
      </c>
      <c r="AJ42" s="1005"/>
      <c r="AK42" s="1035"/>
      <c r="AL42" s="1005"/>
      <c r="AM42" s="1005"/>
      <c r="AN42" s="1005"/>
      <c r="AO42" s="1005"/>
      <c r="AP42" s="1004"/>
      <c r="AQ42" s="1004"/>
      <c r="AR42" s="1004"/>
      <c r="AS42" s="1005"/>
      <c r="AT42" s="1005"/>
      <c r="AU42" s="1176"/>
      <c r="AV42" s="1176"/>
      <c r="AW42" s="1231">
        <v>21.37595</v>
      </c>
      <c r="AX42" s="1011"/>
      <c r="AY42" s="1011"/>
      <c r="AZ42" s="1011"/>
      <c r="BA42" s="1011"/>
      <c r="BB42" s="1011"/>
      <c r="BC42" s="1004"/>
      <c r="BD42" s="1004"/>
      <c r="BE42" s="1004"/>
      <c r="BF42" s="1004"/>
      <c r="BG42" s="1004"/>
      <c r="BH42" s="1004"/>
      <c r="BI42" s="1004"/>
      <c r="BJ42" s="1004"/>
      <c r="BK42" s="1004"/>
      <c r="BL42" s="1004"/>
      <c r="BM42" s="1004"/>
      <c r="BN42" s="1004"/>
      <c r="BO42" s="1004"/>
      <c r="BP42" s="1004"/>
      <c r="BQ42" s="1004"/>
      <c r="BR42" s="1035"/>
      <c r="BS42" s="1005"/>
      <c r="BT42" s="1226">
        <v>8.1016672863832948E-2</v>
      </c>
      <c r="BU42" s="1241"/>
      <c r="BV42" s="1602"/>
      <c r="BW42" s="1241"/>
      <c r="BX42" s="1241"/>
      <c r="BY42" s="1241"/>
      <c r="BZ42" s="1602"/>
      <c r="CA42" s="1004"/>
      <c r="CB42" s="1004"/>
      <c r="CC42" s="1004"/>
      <c r="CD42" s="1602"/>
      <c r="CE42" s="1602"/>
      <c r="CF42" s="1176"/>
      <c r="CG42" s="1236">
        <v>1.78</v>
      </c>
      <c r="CH42" s="1011"/>
      <c r="CI42" s="1011"/>
      <c r="CJ42" s="1011"/>
      <c r="CK42" s="1011"/>
      <c r="CL42" s="1004"/>
      <c r="CM42" s="1004"/>
      <c r="CN42" s="1004"/>
      <c r="CO42" s="1008"/>
      <c r="CP42" s="1004"/>
      <c r="CQ42" s="1004"/>
      <c r="CR42" s="1004"/>
      <c r="CS42" s="1004"/>
      <c r="CT42" s="1004"/>
      <c r="CU42" s="1008"/>
      <c r="CV42" s="1004"/>
      <c r="CW42" s="1004"/>
      <c r="CX42" s="1004"/>
      <c r="CY42" s="1004"/>
      <c r="CZ42" s="1004"/>
      <c r="DA42" s="1004"/>
      <c r="DB42" s="1013"/>
      <c r="DC42" s="1004"/>
      <c r="DD42" s="1236">
        <v>462476.17</v>
      </c>
      <c r="DE42" s="1008"/>
      <c r="DF42" s="1036"/>
      <c r="DG42" s="1008"/>
      <c r="DH42" s="1014"/>
      <c r="DI42" s="1008"/>
      <c r="DJ42" s="1008"/>
      <c r="DK42" s="1004"/>
      <c r="DL42" s="1004"/>
      <c r="DM42" s="1004"/>
      <c r="DN42" s="1008"/>
      <c r="DO42" s="1008"/>
      <c r="DP42" s="1176"/>
      <c r="DQ42" s="1199">
        <f t="shared" si="101"/>
        <v>13887.954715</v>
      </c>
      <c r="DR42" s="1199">
        <f t="shared" si="102"/>
        <v>0</v>
      </c>
      <c r="DS42" s="1199">
        <f t="shared" si="103"/>
        <v>0</v>
      </c>
      <c r="DT42" s="1199">
        <f t="shared" si="104"/>
        <v>0</v>
      </c>
      <c r="DU42" s="1199">
        <f t="shared" si="105"/>
        <v>0</v>
      </c>
      <c r="DV42" s="1199">
        <f t="shared" si="106"/>
        <v>0</v>
      </c>
      <c r="DW42" s="1199">
        <f t="shared" si="107"/>
        <v>0</v>
      </c>
      <c r="DX42" s="1199">
        <f t="shared" si="108"/>
        <v>0</v>
      </c>
      <c r="DY42" s="1199">
        <f t="shared" si="109"/>
        <v>0</v>
      </c>
      <c r="DZ42" s="1199">
        <f t="shared" si="110"/>
        <v>0</v>
      </c>
      <c r="EA42" s="1199">
        <f t="shared" si="111"/>
        <v>0</v>
      </c>
      <c r="EB42" s="1199">
        <f t="shared" si="112"/>
        <v>0</v>
      </c>
      <c r="EC42" s="1199">
        <f t="shared" si="113"/>
        <v>0</v>
      </c>
      <c r="ED42" s="1199">
        <f t="shared" si="114"/>
        <v>0</v>
      </c>
      <c r="EE42" s="1199">
        <f t="shared" si="115"/>
        <v>0</v>
      </c>
      <c r="EF42" s="1199">
        <f t="shared" si="116"/>
        <v>0</v>
      </c>
      <c r="EG42" s="1199">
        <f t="shared" si="117"/>
        <v>0</v>
      </c>
      <c r="EH42" s="1199">
        <f t="shared" si="118"/>
        <v>0</v>
      </c>
      <c r="EI42" s="1199">
        <f t="shared" si="119"/>
        <v>0</v>
      </c>
      <c r="EJ42" s="1199">
        <f t="shared" si="120"/>
        <v>0</v>
      </c>
      <c r="EK42" s="1199">
        <f t="shared" si="121"/>
        <v>0</v>
      </c>
      <c r="EL42" s="1199">
        <f t="shared" si="122"/>
        <v>0</v>
      </c>
      <c r="EM42" s="1199">
        <f t="shared" si="123"/>
        <v>0</v>
      </c>
      <c r="EN42" s="1199">
        <f t="shared" si="124"/>
        <v>38206.350876018674</v>
      </c>
      <c r="EO42" s="1199">
        <f t="shared" si="125"/>
        <v>0</v>
      </c>
      <c r="EP42" s="1199">
        <f t="shared" si="126"/>
        <v>0</v>
      </c>
      <c r="EQ42" s="1199">
        <f t="shared" si="127"/>
        <v>0</v>
      </c>
      <c r="ER42" s="1199">
        <f t="shared" si="128"/>
        <v>0</v>
      </c>
      <c r="ES42" s="1199">
        <f t="shared" si="129"/>
        <v>0</v>
      </c>
      <c r="ET42" s="1199">
        <f t="shared" si="130"/>
        <v>0</v>
      </c>
      <c r="EU42" s="1199">
        <f t="shared" si="131"/>
        <v>0</v>
      </c>
      <c r="EV42" s="1199">
        <f t="shared" si="132"/>
        <v>0</v>
      </c>
      <c r="EW42" s="1199">
        <f t="shared" si="133"/>
        <v>0</v>
      </c>
      <c r="EX42" s="1199">
        <f t="shared" si="134"/>
        <v>0</v>
      </c>
      <c r="EY42" s="1199">
        <f t="shared" si="135"/>
        <v>0</v>
      </c>
      <c r="EZ42" s="1175">
        <f t="shared" si="136"/>
        <v>52094.305591018674</v>
      </c>
      <c r="FA42" s="1177"/>
      <c r="FB42" s="1202">
        <f t="shared" si="137"/>
        <v>13887.954715</v>
      </c>
      <c r="FC42" s="1202">
        <f t="shared" si="138"/>
        <v>0</v>
      </c>
      <c r="FD42" s="1202">
        <f t="shared" si="139"/>
        <v>0</v>
      </c>
      <c r="FE42" s="1202">
        <f t="shared" si="140"/>
        <v>0</v>
      </c>
      <c r="FF42" s="1202">
        <f t="shared" si="141"/>
        <v>0</v>
      </c>
      <c r="FG42" s="1202">
        <f t="shared" si="142"/>
        <v>0</v>
      </c>
      <c r="FH42" s="1202">
        <f t="shared" si="143"/>
        <v>0</v>
      </c>
      <c r="FI42" s="1202">
        <f t="shared" si="144"/>
        <v>0</v>
      </c>
      <c r="FJ42" s="1202">
        <f t="shared" si="145"/>
        <v>0</v>
      </c>
      <c r="FK42" s="1202">
        <f t="shared" si="146"/>
        <v>0</v>
      </c>
      <c r="FL42" s="1202">
        <f t="shared" si="147"/>
        <v>0</v>
      </c>
      <c r="FM42" s="1202">
        <f t="shared" si="148"/>
        <v>0</v>
      </c>
      <c r="FN42" s="1202">
        <f t="shared" si="149"/>
        <v>0</v>
      </c>
      <c r="FO42" s="1202">
        <f t="shared" si="150"/>
        <v>0</v>
      </c>
      <c r="FP42" s="1202">
        <f t="shared" si="151"/>
        <v>0</v>
      </c>
      <c r="FQ42" s="1202">
        <f t="shared" si="152"/>
        <v>0</v>
      </c>
      <c r="FR42" s="1202">
        <f t="shared" si="153"/>
        <v>0</v>
      </c>
      <c r="FS42" s="1202">
        <f t="shared" si="154"/>
        <v>0</v>
      </c>
      <c r="FT42" s="1202">
        <f t="shared" si="155"/>
        <v>0</v>
      </c>
      <c r="FU42" s="1202">
        <f t="shared" si="156"/>
        <v>0</v>
      </c>
      <c r="FV42" s="1202">
        <f t="shared" si="157"/>
        <v>0</v>
      </c>
      <c r="FW42" s="1202">
        <f t="shared" si="158"/>
        <v>0</v>
      </c>
      <c r="FX42" s="1202">
        <f t="shared" si="159"/>
        <v>0</v>
      </c>
      <c r="FY42" s="1202">
        <f t="shared" si="160"/>
        <v>37468.280572208394</v>
      </c>
      <c r="FZ42" s="1202">
        <f t="shared" si="161"/>
        <v>0</v>
      </c>
      <c r="GA42" s="1202">
        <f t="shared" si="162"/>
        <v>0</v>
      </c>
      <c r="GB42" s="1202">
        <f t="shared" si="163"/>
        <v>0</v>
      </c>
      <c r="GC42" s="1202">
        <f t="shared" si="164"/>
        <v>0</v>
      </c>
      <c r="GD42" s="1202">
        <f t="shared" si="165"/>
        <v>0</v>
      </c>
      <c r="GE42" s="1202">
        <f t="shared" si="166"/>
        <v>0</v>
      </c>
      <c r="GF42" s="1202">
        <f t="shared" si="167"/>
        <v>0</v>
      </c>
      <c r="GG42" s="1202">
        <f t="shared" si="168"/>
        <v>0</v>
      </c>
      <c r="GH42" s="1202">
        <f t="shared" si="169"/>
        <v>0</v>
      </c>
      <c r="GI42" s="1202">
        <f t="shared" si="170"/>
        <v>0</v>
      </c>
      <c r="GJ42" s="1202">
        <f t="shared" si="171"/>
        <v>0</v>
      </c>
      <c r="GK42" s="1174">
        <f t="shared" si="172"/>
        <v>51356.235287208394</v>
      </c>
    </row>
    <row r="43" spans="1:193" s="1015" customFormat="1">
      <c r="A43" s="1003"/>
      <c r="B43" s="1149"/>
      <c r="C43" s="1149" t="s">
        <v>896</v>
      </c>
      <c r="D43" s="1204" t="s">
        <v>896</v>
      </c>
      <c r="E43" s="1204" t="s">
        <v>765</v>
      </c>
      <c r="F43" s="1204" t="s">
        <v>766</v>
      </c>
      <c r="G43" s="1204" t="s">
        <v>789</v>
      </c>
      <c r="H43" s="1204" t="s">
        <v>805</v>
      </c>
      <c r="I43" s="1149" t="s">
        <v>744</v>
      </c>
      <c r="J43" s="1176"/>
      <c r="K43" s="1176"/>
      <c r="L43" s="1020"/>
      <c r="M43" s="1020"/>
      <c r="N43" s="1020"/>
      <c r="O43" s="1020"/>
      <c r="P43" s="1020"/>
      <c r="Q43" s="1020"/>
      <c r="R43" s="1004"/>
      <c r="S43" s="1004"/>
      <c r="T43" s="1004"/>
      <c r="U43" s="1004"/>
      <c r="V43" s="1004"/>
      <c r="W43" s="1004"/>
      <c r="X43" s="1004"/>
      <c r="Y43" s="1004"/>
      <c r="Z43" s="1004"/>
      <c r="AA43" s="1004"/>
      <c r="AB43" s="1004"/>
      <c r="AC43" s="1004"/>
      <c r="AD43" s="1004"/>
      <c r="AE43" s="1004"/>
      <c r="AF43" s="1004"/>
      <c r="AG43" s="1013"/>
      <c r="AH43" s="1004"/>
      <c r="AI43" s="1224">
        <v>8.1790770244269007E-2</v>
      </c>
      <c r="AJ43" s="1005"/>
      <c r="AK43" s="1035"/>
      <c r="AL43" s="1005"/>
      <c r="AM43" s="1005"/>
      <c r="AN43" s="1005"/>
      <c r="AO43" s="1005"/>
      <c r="AP43" s="1004"/>
      <c r="AQ43" s="1004"/>
      <c r="AR43" s="1004"/>
      <c r="AS43" s="1005"/>
      <c r="AT43" s="1005"/>
      <c r="AU43" s="1176"/>
      <c r="AV43" s="1176"/>
      <c r="AW43" s="1601"/>
      <c r="AX43" s="1011"/>
      <c r="AY43" s="1011"/>
      <c r="AZ43" s="1011"/>
      <c r="BA43" s="1011"/>
      <c r="BB43" s="1011"/>
      <c r="BC43" s="1004"/>
      <c r="BD43" s="1004"/>
      <c r="BE43" s="1004"/>
      <c r="BF43" s="1004"/>
      <c r="BG43" s="1004"/>
      <c r="BH43" s="1004"/>
      <c r="BI43" s="1004"/>
      <c r="BJ43" s="1004"/>
      <c r="BK43" s="1004"/>
      <c r="BL43" s="1004"/>
      <c r="BM43" s="1004"/>
      <c r="BN43" s="1004"/>
      <c r="BO43" s="1004"/>
      <c r="BP43" s="1004"/>
      <c r="BQ43" s="1004"/>
      <c r="BR43" s="1035"/>
      <c r="BS43" s="1005"/>
      <c r="BT43" s="1226">
        <v>7.8942420907880159E-2</v>
      </c>
      <c r="BU43" s="1241"/>
      <c r="BV43" s="1602"/>
      <c r="BW43" s="1241"/>
      <c r="BX43" s="1241"/>
      <c r="BY43" s="1241"/>
      <c r="BZ43" s="1602"/>
      <c r="CA43" s="1004"/>
      <c r="CB43" s="1004"/>
      <c r="CC43" s="1004"/>
      <c r="CD43" s="1602"/>
      <c r="CE43" s="1602"/>
      <c r="CF43" s="1176"/>
      <c r="CG43" s="1195"/>
      <c r="CH43" s="1011"/>
      <c r="CI43" s="1011"/>
      <c r="CJ43" s="1011"/>
      <c r="CK43" s="1011"/>
      <c r="CL43" s="1004"/>
      <c r="CM43" s="1004"/>
      <c r="CN43" s="1004"/>
      <c r="CO43" s="1008"/>
      <c r="CP43" s="1004"/>
      <c r="CQ43" s="1004"/>
      <c r="CR43" s="1004"/>
      <c r="CS43" s="1004"/>
      <c r="CT43" s="1004"/>
      <c r="CU43" s="1008"/>
      <c r="CV43" s="1004"/>
      <c r="CW43" s="1004"/>
      <c r="CX43" s="1004"/>
      <c r="CY43" s="1004"/>
      <c r="CZ43" s="1004"/>
      <c r="DA43" s="1004"/>
      <c r="DB43" s="1013"/>
      <c r="DC43" s="1004"/>
      <c r="DD43" s="1236">
        <v>6739999.9999999981</v>
      </c>
      <c r="DE43" s="1008"/>
      <c r="DF43" s="1036"/>
      <c r="DG43" s="1008"/>
      <c r="DH43" s="1014"/>
      <c r="DI43" s="1008"/>
      <c r="DJ43" s="1008"/>
      <c r="DK43" s="1004"/>
      <c r="DL43" s="1004"/>
      <c r="DM43" s="1004"/>
      <c r="DN43" s="1008"/>
      <c r="DO43" s="1008"/>
      <c r="DP43" s="1176"/>
      <c r="DQ43" s="1199">
        <f t="shared" si="101"/>
        <v>0</v>
      </c>
      <c r="DR43" s="1199">
        <f t="shared" si="102"/>
        <v>0</v>
      </c>
      <c r="DS43" s="1199">
        <f t="shared" si="103"/>
        <v>0</v>
      </c>
      <c r="DT43" s="1199">
        <f t="shared" si="104"/>
        <v>0</v>
      </c>
      <c r="DU43" s="1199">
        <f t="shared" si="105"/>
        <v>0</v>
      </c>
      <c r="DV43" s="1199">
        <f t="shared" si="106"/>
        <v>0</v>
      </c>
      <c r="DW43" s="1199">
        <f t="shared" si="107"/>
        <v>0</v>
      </c>
      <c r="DX43" s="1199">
        <f t="shared" si="108"/>
        <v>0</v>
      </c>
      <c r="DY43" s="1199">
        <f t="shared" si="109"/>
        <v>0</v>
      </c>
      <c r="DZ43" s="1199">
        <f t="shared" si="110"/>
        <v>0</v>
      </c>
      <c r="EA43" s="1199">
        <f t="shared" si="111"/>
        <v>0</v>
      </c>
      <c r="EB43" s="1199">
        <f t="shared" si="112"/>
        <v>0</v>
      </c>
      <c r="EC43" s="1199">
        <f t="shared" si="113"/>
        <v>0</v>
      </c>
      <c r="ED43" s="1199">
        <f t="shared" si="114"/>
        <v>0</v>
      </c>
      <c r="EE43" s="1199">
        <f t="shared" si="115"/>
        <v>0</v>
      </c>
      <c r="EF43" s="1199">
        <f t="shared" si="116"/>
        <v>0</v>
      </c>
      <c r="EG43" s="1199">
        <f t="shared" si="117"/>
        <v>0</v>
      </c>
      <c r="EH43" s="1199">
        <f t="shared" si="118"/>
        <v>0</v>
      </c>
      <c r="EI43" s="1199">
        <f t="shared" si="119"/>
        <v>0</v>
      </c>
      <c r="EJ43" s="1199">
        <f t="shared" si="120"/>
        <v>0</v>
      </c>
      <c r="EK43" s="1199">
        <f t="shared" si="121"/>
        <v>0</v>
      </c>
      <c r="EL43" s="1199">
        <f t="shared" si="122"/>
        <v>0</v>
      </c>
      <c r="EM43" s="1199">
        <f t="shared" si="123"/>
        <v>0</v>
      </c>
      <c r="EN43" s="1199">
        <f t="shared" si="124"/>
        <v>551269.79144637298</v>
      </c>
      <c r="EO43" s="1199">
        <f t="shared" si="125"/>
        <v>0</v>
      </c>
      <c r="EP43" s="1199">
        <f t="shared" si="126"/>
        <v>0</v>
      </c>
      <c r="EQ43" s="1199">
        <f t="shared" si="127"/>
        <v>0</v>
      </c>
      <c r="ER43" s="1199">
        <f t="shared" si="128"/>
        <v>0</v>
      </c>
      <c r="ES43" s="1199">
        <f t="shared" si="129"/>
        <v>0</v>
      </c>
      <c r="ET43" s="1199">
        <f t="shared" si="130"/>
        <v>0</v>
      </c>
      <c r="EU43" s="1199">
        <f t="shared" si="131"/>
        <v>0</v>
      </c>
      <c r="EV43" s="1199">
        <f t="shared" si="132"/>
        <v>0</v>
      </c>
      <c r="EW43" s="1199">
        <f t="shared" si="133"/>
        <v>0</v>
      </c>
      <c r="EX43" s="1199">
        <f t="shared" si="134"/>
        <v>0</v>
      </c>
      <c r="EY43" s="1199">
        <f t="shared" si="135"/>
        <v>0</v>
      </c>
      <c r="EZ43" s="1175">
        <f t="shared" si="136"/>
        <v>551269.79144637298</v>
      </c>
      <c r="FA43" s="1177"/>
      <c r="FB43" s="1202">
        <f t="shared" si="137"/>
        <v>0</v>
      </c>
      <c r="FC43" s="1202">
        <f t="shared" si="138"/>
        <v>0</v>
      </c>
      <c r="FD43" s="1202">
        <f t="shared" si="139"/>
        <v>0</v>
      </c>
      <c r="FE43" s="1202">
        <f t="shared" si="140"/>
        <v>0</v>
      </c>
      <c r="FF43" s="1202">
        <f t="shared" si="141"/>
        <v>0</v>
      </c>
      <c r="FG43" s="1202">
        <f t="shared" si="142"/>
        <v>0</v>
      </c>
      <c r="FH43" s="1202">
        <f t="shared" si="143"/>
        <v>0</v>
      </c>
      <c r="FI43" s="1202">
        <f t="shared" si="144"/>
        <v>0</v>
      </c>
      <c r="FJ43" s="1202">
        <f t="shared" si="145"/>
        <v>0</v>
      </c>
      <c r="FK43" s="1202">
        <f t="shared" si="146"/>
        <v>0</v>
      </c>
      <c r="FL43" s="1202">
        <f t="shared" si="147"/>
        <v>0</v>
      </c>
      <c r="FM43" s="1202">
        <f t="shared" si="148"/>
        <v>0</v>
      </c>
      <c r="FN43" s="1202">
        <f t="shared" si="149"/>
        <v>0</v>
      </c>
      <c r="FO43" s="1202">
        <f t="shared" si="150"/>
        <v>0</v>
      </c>
      <c r="FP43" s="1202">
        <f t="shared" si="151"/>
        <v>0</v>
      </c>
      <c r="FQ43" s="1202">
        <f t="shared" si="152"/>
        <v>0</v>
      </c>
      <c r="FR43" s="1202">
        <f t="shared" si="153"/>
        <v>0</v>
      </c>
      <c r="FS43" s="1202">
        <f t="shared" si="154"/>
        <v>0</v>
      </c>
      <c r="FT43" s="1202">
        <f t="shared" si="155"/>
        <v>0</v>
      </c>
      <c r="FU43" s="1202">
        <f t="shared" si="156"/>
        <v>0</v>
      </c>
      <c r="FV43" s="1202">
        <f t="shared" si="157"/>
        <v>0</v>
      </c>
      <c r="FW43" s="1202">
        <f t="shared" si="158"/>
        <v>0</v>
      </c>
      <c r="FX43" s="1202">
        <f t="shared" si="159"/>
        <v>0</v>
      </c>
      <c r="FY43" s="1202">
        <f t="shared" si="160"/>
        <v>532071.91691911209</v>
      </c>
      <c r="FZ43" s="1202">
        <f t="shared" si="161"/>
        <v>0</v>
      </c>
      <c r="GA43" s="1202">
        <f t="shared" si="162"/>
        <v>0</v>
      </c>
      <c r="GB43" s="1202">
        <f t="shared" si="163"/>
        <v>0</v>
      </c>
      <c r="GC43" s="1202">
        <f t="shared" si="164"/>
        <v>0</v>
      </c>
      <c r="GD43" s="1202">
        <f t="shared" si="165"/>
        <v>0</v>
      </c>
      <c r="GE43" s="1202">
        <f t="shared" si="166"/>
        <v>0</v>
      </c>
      <c r="GF43" s="1202">
        <f t="shared" si="167"/>
        <v>0</v>
      </c>
      <c r="GG43" s="1202">
        <f t="shared" si="168"/>
        <v>0</v>
      </c>
      <c r="GH43" s="1202">
        <f t="shared" si="169"/>
        <v>0</v>
      </c>
      <c r="GI43" s="1202">
        <f t="shared" si="170"/>
        <v>0</v>
      </c>
      <c r="GJ43" s="1202">
        <f t="shared" si="171"/>
        <v>0</v>
      </c>
      <c r="GK43" s="1174">
        <f t="shared" si="172"/>
        <v>532071.91691911209</v>
      </c>
    </row>
    <row r="44" spans="1:193" s="1015" customFormat="1">
      <c r="A44" s="1003"/>
      <c r="B44" s="1149"/>
      <c r="C44" s="1149" t="s">
        <v>897</v>
      </c>
      <c r="D44" s="1204" t="s">
        <v>897</v>
      </c>
      <c r="E44" s="1204" t="s">
        <v>765</v>
      </c>
      <c r="F44" s="1204" t="s">
        <v>766</v>
      </c>
      <c r="G44" s="1204" t="s">
        <v>790</v>
      </c>
      <c r="H44" s="1204" t="s">
        <v>809</v>
      </c>
      <c r="I44" s="1149" t="s">
        <v>744</v>
      </c>
      <c r="J44" s="1176"/>
      <c r="K44" s="1176"/>
      <c r="L44" s="1020"/>
      <c r="M44" s="1020"/>
      <c r="N44" s="1020"/>
      <c r="O44" s="1020"/>
      <c r="P44" s="1020"/>
      <c r="Q44" s="1020"/>
      <c r="R44" s="1004"/>
      <c r="S44" s="1004"/>
      <c r="T44" s="1004"/>
      <c r="U44" s="1004"/>
      <c r="V44" s="1004"/>
      <c r="W44" s="1004"/>
      <c r="X44" s="1004"/>
      <c r="Y44" s="1004"/>
      <c r="Z44" s="1004"/>
      <c r="AA44" s="1004"/>
      <c r="AB44" s="1004"/>
      <c r="AC44" s="1004"/>
      <c r="AD44" s="1004"/>
      <c r="AE44" s="1004"/>
      <c r="AF44" s="1004"/>
      <c r="AG44" s="1013"/>
      <c r="AH44" s="1004"/>
      <c r="AI44" s="1224">
        <v>8.0407050454194509E-2</v>
      </c>
      <c r="AJ44" s="1005"/>
      <c r="AK44" s="1035"/>
      <c r="AL44" s="1005"/>
      <c r="AM44" s="1005"/>
      <c r="AN44" s="1005"/>
      <c r="AO44" s="1005"/>
      <c r="AP44" s="1004"/>
      <c r="AQ44" s="1004"/>
      <c r="AR44" s="1004"/>
      <c r="AS44" s="1005"/>
      <c r="AT44" s="1005"/>
      <c r="AU44" s="1176"/>
      <c r="AV44" s="1176"/>
      <c r="AW44" s="1601"/>
      <c r="AX44" s="1011"/>
      <c r="AY44" s="1011"/>
      <c r="AZ44" s="1011"/>
      <c r="BA44" s="1011"/>
      <c r="BB44" s="1011"/>
      <c r="BC44" s="1004"/>
      <c r="BD44" s="1004"/>
      <c r="BE44" s="1004"/>
      <c r="BF44" s="1004"/>
      <c r="BG44" s="1004"/>
      <c r="BH44" s="1004"/>
      <c r="BI44" s="1004"/>
      <c r="BJ44" s="1004"/>
      <c r="BK44" s="1004"/>
      <c r="BL44" s="1004"/>
      <c r="BM44" s="1004"/>
      <c r="BN44" s="1004"/>
      <c r="BO44" s="1004"/>
      <c r="BP44" s="1004"/>
      <c r="BQ44" s="1004"/>
      <c r="BR44" s="1035"/>
      <c r="BS44" s="1005"/>
      <c r="BT44" s="1226">
        <v>7.733681146516927E-2</v>
      </c>
      <c r="BU44" s="1241"/>
      <c r="BV44" s="1602"/>
      <c r="BW44" s="1241"/>
      <c r="BX44" s="1241"/>
      <c r="BY44" s="1241"/>
      <c r="BZ44" s="1602"/>
      <c r="CA44" s="1004"/>
      <c r="CB44" s="1004"/>
      <c r="CC44" s="1004"/>
      <c r="CD44" s="1602"/>
      <c r="CE44" s="1602"/>
      <c r="CF44" s="1176"/>
      <c r="CG44" s="1195"/>
      <c r="CH44" s="1011"/>
      <c r="CI44" s="1011"/>
      <c r="CJ44" s="1011"/>
      <c r="CK44" s="1011"/>
      <c r="CL44" s="1004"/>
      <c r="CM44" s="1004"/>
      <c r="CN44" s="1004"/>
      <c r="CO44" s="1008"/>
      <c r="CP44" s="1004"/>
      <c r="CQ44" s="1004"/>
      <c r="CR44" s="1004"/>
      <c r="CS44" s="1004"/>
      <c r="CT44" s="1004"/>
      <c r="CU44" s="1008"/>
      <c r="CV44" s="1004"/>
      <c r="CW44" s="1004"/>
      <c r="CX44" s="1004"/>
      <c r="CY44" s="1004"/>
      <c r="CZ44" s="1004"/>
      <c r="DA44" s="1004"/>
      <c r="DB44" s="1013"/>
      <c r="DC44" s="1004"/>
      <c r="DD44" s="1236">
        <v>576922.46</v>
      </c>
      <c r="DE44" s="1008"/>
      <c r="DF44" s="1036"/>
      <c r="DG44" s="1008"/>
      <c r="DH44" s="1014"/>
      <c r="DI44" s="1008"/>
      <c r="DJ44" s="1008"/>
      <c r="DK44" s="1004"/>
      <c r="DL44" s="1004"/>
      <c r="DM44" s="1004"/>
      <c r="DN44" s="1008"/>
      <c r="DO44" s="1008"/>
      <c r="DP44" s="1176"/>
      <c r="DQ44" s="1199">
        <f t="shared" si="101"/>
        <v>0</v>
      </c>
      <c r="DR44" s="1199">
        <f t="shared" si="102"/>
        <v>0</v>
      </c>
      <c r="DS44" s="1199">
        <f t="shared" si="103"/>
        <v>0</v>
      </c>
      <c r="DT44" s="1199">
        <f t="shared" si="104"/>
        <v>0</v>
      </c>
      <c r="DU44" s="1199">
        <f t="shared" si="105"/>
        <v>0</v>
      </c>
      <c r="DV44" s="1199">
        <f t="shared" si="106"/>
        <v>0</v>
      </c>
      <c r="DW44" s="1199">
        <f t="shared" si="107"/>
        <v>0</v>
      </c>
      <c r="DX44" s="1199">
        <f t="shared" si="108"/>
        <v>0</v>
      </c>
      <c r="DY44" s="1199">
        <f t="shared" si="109"/>
        <v>0</v>
      </c>
      <c r="DZ44" s="1199">
        <f t="shared" si="110"/>
        <v>0</v>
      </c>
      <c r="EA44" s="1199">
        <f t="shared" si="111"/>
        <v>0</v>
      </c>
      <c r="EB44" s="1199">
        <f t="shared" si="112"/>
        <v>0</v>
      </c>
      <c r="EC44" s="1199">
        <f t="shared" si="113"/>
        <v>0</v>
      </c>
      <c r="ED44" s="1199">
        <f t="shared" si="114"/>
        <v>0</v>
      </c>
      <c r="EE44" s="1199">
        <f t="shared" si="115"/>
        <v>0</v>
      </c>
      <c r="EF44" s="1199">
        <f t="shared" si="116"/>
        <v>0</v>
      </c>
      <c r="EG44" s="1199">
        <f t="shared" si="117"/>
        <v>0</v>
      </c>
      <c r="EH44" s="1199">
        <f t="shared" si="118"/>
        <v>0</v>
      </c>
      <c r="EI44" s="1199">
        <f t="shared" si="119"/>
        <v>0</v>
      </c>
      <c r="EJ44" s="1199">
        <f t="shared" si="120"/>
        <v>0</v>
      </c>
      <c r="EK44" s="1199">
        <f t="shared" si="121"/>
        <v>0</v>
      </c>
      <c r="EL44" s="1199">
        <f t="shared" si="122"/>
        <v>0</v>
      </c>
      <c r="EM44" s="1199">
        <f t="shared" si="123"/>
        <v>0</v>
      </c>
      <c r="EN44" s="1199">
        <f t="shared" si="124"/>
        <v>46388.633349378011</v>
      </c>
      <c r="EO44" s="1199">
        <f t="shared" si="125"/>
        <v>0</v>
      </c>
      <c r="EP44" s="1199">
        <f t="shared" si="126"/>
        <v>0</v>
      </c>
      <c r="EQ44" s="1199">
        <f t="shared" si="127"/>
        <v>0</v>
      </c>
      <c r="ER44" s="1199">
        <f t="shared" si="128"/>
        <v>0</v>
      </c>
      <c r="ES44" s="1199">
        <f t="shared" si="129"/>
        <v>0</v>
      </c>
      <c r="ET44" s="1199">
        <f t="shared" si="130"/>
        <v>0</v>
      </c>
      <c r="EU44" s="1199">
        <f t="shared" si="131"/>
        <v>0</v>
      </c>
      <c r="EV44" s="1199">
        <f t="shared" si="132"/>
        <v>0</v>
      </c>
      <c r="EW44" s="1199">
        <f t="shared" si="133"/>
        <v>0</v>
      </c>
      <c r="EX44" s="1199">
        <f t="shared" si="134"/>
        <v>0</v>
      </c>
      <c r="EY44" s="1199">
        <f t="shared" si="135"/>
        <v>0</v>
      </c>
      <c r="EZ44" s="1175">
        <f t="shared" si="136"/>
        <v>46388.633349378011</v>
      </c>
      <c r="FA44" s="1177"/>
      <c r="FB44" s="1202">
        <f t="shared" si="137"/>
        <v>0</v>
      </c>
      <c r="FC44" s="1202">
        <f t="shared" si="138"/>
        <v>0</v>
      </c>
      <c r="FD44" s="1202">
        <f t="shared" si="139"/>
        <v>0</v>
      </c>
      <c r="FE44" s="1202">
        <f t="shared" si="140"/>
        <v>0</v>
      </c>
      <c r="FF44" s="1202">
        <f t="shared" si="141"/>
        <v>0</v>
      </c>
      <c r="FG44" s="1202">
        <f t="shared" si="142"/>
        <v>0</v>
      </c>
      <c r="FH44" s="1202">
        <f t="shared" si="143"/>
        <v>0</v>
      </c>
      <c r="FI44" s="1202">
        <f t="shared" si="144"/>
        <v>0</v>
      </c>
      <c r="FJ44" s="1202">
        <f t="shared" si="145"/>
        <v>0</v>
      </c>
      <c r="FK44" s="1202">
        <f t="shared" si="146"/>
        <v>0</v>
      </c>
      <c r="FL44" s="1202">
        <f t="shared" si="147"/>
        <v>0</v>
      </c>
      <c r="FM44" s="1202">
        <f t="shared" si="148"/>
        <v>0</v>
      </c>
      <c r="FN44" s="1202">
        <f t="shared" si="149"/>
        <v>0</v>
      </c>
      <c r="FO44" s="1202">
        <f t="shared" si="150"/>
        <v>0</v>
      </c>
      <c r="FP44" s="1202">
        <f t="shared" si="151"/>
        <v>0</v>
      </c>
      <c r="FQ44" s="1202">
        <f t="shared" si="152"/>
        <v>0</v>
      </c>
      <c r="FR44" s="1202">
        <f t="shared" si="153"/>
        <v>0</v>
      </c>
      <c r="FS44" s="1202">
        <f t="shared" si="154"/>
        <v>0</v>
      </c>
      <c r="FT44" s="1202">
        <f t="shared" si="155"/>
        <v>0</v>
      </c>
      <c r="FU44" s="1202">
        <f t="shared" si="156"/>
        <v>0</v>
      </c>
      <c r="FV44" s="1202">
        <f t="shared" si="157"/>
        <v>0</v>
      </c>
      <c r="FW44" s="1202">
        <f t="shared" si="158"/>
        <v>0</v>
      </c>
      <c r="FX44" s="1202">
        <f t="shared" si="159"/>
        <v>0</v>
      </c>
      <c r="FY44" s="1202">
        <f t="shared" si="160"/>
        <v>44617.343519041657</v>
      </c>
      <c r="FZ44" s="1202">
        <f t="shared" si="161"/>
        <v>0</v>
      </c>
      <c r="GA44" s="1202">
        <f t="shared" si="162"/>
        <v>0</v>
      </c>
      <c r="GB44" s="1202">
        <f t="shared" si="163"/>
        <v>0</v>
      </c>
      <c r="GC44" s="1202">
        <f t="shared" si="164"/>
        <v>0</v>
      </c>
      <c r="GD44" s="1202">
        <f t="shared" si="165"/>
        <v>0</v>
      </c>
      <c r="GE44" s="1202">
        <f t="shared" si="166"/>
        <v>0</v>
      </c>
      <c r="GF44" s="1202">
        <f t="shared" si="167"/>
        <v>0</v>
      </c>
      <c r="GG44" s="1202">
        <f t="shared" si="168"/>
        <v>0</v>
      </c>
      <c r="GH44" s="1202">
        <f t="shared" si="169"/>
        <v>0</v>
      </c>
      <c r="GI44" s="1202">
        <f t="shared" si="170"/>
        <v>0</v>
      </c>
      <c r="GJ44" s="1202">
        <f t="shared" si="171"/>
        <v>0</v>
      </c>
      <c r="GK44" s="1174">
        <f t="shared" si="172"/>
        <v>44617.343519041657</v>
      </c>
    </row>
    <row r="45" spans="1:193" s="1015" customFormat="1">
      <c r="A45" s="1003"/>
      <c r="B45" s="1149"/>
      <c r="C45" s="1149" t="s">
        <v>898</v>
      </c>
      <c r="D45" s="1204" t="s">
        <v>898</v>
      </c>
      <c r="E45" s="1204" t="s">
        <v>765</v>
      </c>
      <c r="F45" s="1204" t="s">
        <v>766</v>
      </c>
      <c r="G45" s="1204" t="s">
        <v>791</v>
      </c>
      <c r="H45" s="1204" t="s">
        <v>813</v>
      </c>
      <c r="I45" s="1149" t="s">
        <v>744</v>
      </c>
      <c r="J45" s="1176"/>
      <c r="K45" s="1176"/>
      <c r="L45" s="1020"/>
      <c r="M45" s="1037"/>
      <c r="N45" s="1037"/>
      <c r="O45" s="1037"/>
      <c r="P45" s="1037"/>
      <c r="Q45" s="1037"/>
      <c r="R45" s="1004"/>
      <c r="S45" s="1004"/>
      <c r="T45" s="1004"/>
      <c r="U45" s="1004"/>
      <c r="V45" s="1004"/>
      <c r="W45" s="1004"/>
      <c r="X45" s="1004"/>
      <c r="Y45" s="1004"/>
      <c r="Z45" s="1004"/>
      <c r="AA45" s="1004"/>
      <c r="AB45" s="1004"/>
      <c r="AC45" s="1004"/>
      <c r="AD45" s="1004"/>
      <c r="AE45" s="1004"/>
      <c r="AF45" s="1004"/>
      <c r="AG45" s="1013"/>
      <c r="AH45" s="1004"/>
      <c r="AI45" s="1224">
        <v>8.2612582775926979E-2</v>
      </c>
      <c r="AJ45" s="1005"/>
      <c r="AK45" s="1035"/>
      <c r="AL45" s="1005"/>
      <c r="AM45" s="1005"/>
      <c r="AN45" s="1005"/>
      <c r="AO45" s="1005"/>
      <c r="AP45" s="1004"/>
      <c r="AQ45" s="1004"/>
      <c r="AR45" s="1004"/>
      <c r="AS45" s="1005"/>
      <c r="AT45" s="1005"/>
      <c r="AU45" s="1176"/>
      <c r="AV45" s="1176"/>
      <c r="AW45" s="1601"/>
      <c r="AX45" s="1011"/>
      <c r="AY45" s="1011"/>
      <c r="AZ45" s="1011"/>
      <c r="BA45" s="1011"/>
      <c r="BB45" s="1011"/>
      <c r="BC45" s="1004"/>
      <c r="BD45" s="1004"/>
      <c r="BE45" s="1004"/>
      <c r="BF45" s="1004"/>
      <c r="BG45" s="1004"/>
      <c r="BH45" s="1004"/>
      <c r="BI45" s="1004"/>
      <c r="BJ45" s="1004"/>
      <c r="BK45" s="1004"/>
      <c r="BL45" s="1004"/>
      <c r="BM45" s="1004"/>
      <c r="BN45" s="1004"/>
      <c r="BO45" s="1004"/>
      <c r="BP45" s="1004"/>
      <c r="BQ45" s="1004"/>
      <c r="BR45" s="1035"/>
      <c r="BS45" s="1005"/>
      <c r="BT45" s="1320">
        <v>8.1016672863832948E-2</v>
      </c>
      <c r="BU45" s="1241"/>
      <c r="BV45" s="1602"/>
      <c r="BW45" s="1241"/>
      <c r="BX45" s="1241"/>
      <c r="BY45" s="1241"/>
      <c r="BZ45" s="1602"/>
      <c r="CA45" s="1004"/>
      <c r="CB45" s="1004"/>
      <c r="CC45" s="1004"/>
      <c r="CD45" s="1602"/>
      <c r="CE45" s="1602"/>
      <c r="CF45" s="1176"/>
      <c r="CG45" s="1195"/>
      <c r="CH45" s="1011"/>
      <c r="CI45" s="1011"/>
      <c r="CJ45" s="1011"/>
      <c r="CK45" s="1011"/>
      <c r="CL45" s="1004"/>
      <c r="CM45" s="1004"/>
      <c r="CN45" s="1004"/>
      <c r="CO45" s="1008"/>
      <c r="CP45" s="1004"/>
      <c r="CQ45" s="1004"/>
      <c r="CR45" s="1004"/>
      <c r="CS45" s="1004"/>
      <c r="CT45" s="1004"/>
      <c r="CU45" s="1008"/>
      <c r="CV45" s="1004"/>
      <c r="CW45" s="1004"/>
      <c r="CX45" s="1004"/>
      <c r="CY45" s="1004"/>
      <c r="CZ45" s="1004"/>
      <c r="DA45" s="1004"/>
      <c r="DB45" s="1013"/>
      <c r="DC45" s="1004"/>
      <c r="DD45" s="1236">
        <v>270000</v>
      </c>
      <c r="DE45" s="1008"/>
      <c r="DF45" s="1036"/>
      <c r="DG45" s="1008"/>
      <c r="DH45" s="1014"/>
      <c r="DI45" s="1008"/>
      <c r="DJ45" s="1008"/>
      <c r="DK45" s="1004"/>
      <c r="DL45" s="1004"/>
      <c r="DM45" s="1004"/>
      <c r="DN45" s="1008"/>
      <c r="DO45" s="1008"/>
      <c r="DP45" s="1176"/>
      <c r="DQ45" s="1199">
        <f t="shared" si="101"/>
        <v>0</v>
      </c>
      <c r="DR45" s="1199">
        <f t="shared" si="102"/>
        <v>0</v>
      </c>
      <c r="DS45" s="1199">
        <f t="shared" si="103"/>
        <v>0</v>
      </c>
      <c r="DT45" s="1199">
        <f t="shared" si="104"/>
        <v>0</v>
      </c>
      <c r="DU45" s="1199">
        <f t="shared" si="105"/>
        <v>0</v>
      </c>
      <c r="DV45" s="1199">
        <f t="shared" si="106"/>
        <v>0</v>
      </c>
      <c r="DW45" s="1199">
        <f t="shared" si="107"/>
        <v>0</v>
      </c>
      <c r="DX45" s="1199">
        <f t="shared" si="108"/>
        <v>0</v>
      </c>
      <c r="DY45" s="1199">
        <f t="shared" si="109"/>
        <v>0</v>
      </c>
      <c r="DZ45" s="1199">
        <f t="shared" si="110"/>
        <v>0</v>
      </c>
      <c r="EA45" s="1199">
        <f t="shared" si="111"/>
        <v>0</v>
      </c>
      <c r="EB45" s="1199">
        <f t="shared" si="112"/>
        <v>0</v>
      </c>
      <c r="EC45" s="1199">
        <f t="shared" si="113"/>
        <v>0</v>
      </c>
      <c r="ED45" s="1199">
        <f t="shared" si="114"/>
        <v>0</v>
      </c>
      <c r="EE45" s="1199">
        <f t="shared" si="115"/>
        <v>0</v>
      </c>
      <c r="EF45" s="1199">
        <f t="shared" si="116"/>
        <v>0</v>
      </c>
      <c r="EG45" s="1199">
        <f t="shared" si="117"/>
        <v>0</v>
      </c>
      <c r="EH45" s="1199">
        <f t="shared" si="118"/>
        <v>0</v>
      </c>
      <c r="EI45" s="1199">
        <f t="shared" si="119"/>
        <v>0</v>
      </c>
      <c r="EJ45" s="1199">
        <f t="shared" si="120"/>
        <v>0</v>
      </c>
      <c r="EK45" s="1199">
        <f t="shared" si="121"/>
        <v>0</v>
      </c>
      <c r="EL45" s="1199">
        <f t="shared" si="122"/>
        <v>0</v>
      </c>
      <c r="EM45" s="1199">
        <f t="shared" si="123"/>
        <v>0</v>
      </c>
      <c r="EN45" s="1199">
        <f t="shared" si="124"/>
        <v>22305.397349500283</v>
      </c>
      <c r="EO45" s="1199">
        <f t="shared" si="125"/>
        <v>0</v>
      </c>
      <c r="EP45" s="1199">
        <f t="shared" si="126"/>
        <v>0</v>
      </c>
      <c r="EQ45" s="1199">
        <f t="shared" si="127"/>
        <v>0</v>
      </c>
      <c r="ER45" s="1199">
        <f t="shared" si="128"/>
        <v>0</v>
      </c>
      <c r="ES45" s="1199">
        <f t="shared" si="129"/>
        <v>0</v>
      </c>
      <c r="ET45" s="1199">
        <f t="shared" si="130"/>
        <v>0</v>
      </c>
      <c r="EU45" s="1199">
        <f t="shared" si="131"/>
        <v>0</v>
      </c>
      <c r="EV45" s="1199">
        <f t="shared" si="132"/>
        <v>0</v>
      </c>
      <c r="EW45" s="1199">
        <f t="shared" si="133"/>
        <v>0</v>
      </c>
      <c r="EX45" s="1199">
        <f t="shared" si="134"/>
        <v>0</v>
      </c>
      <c r="EY45" s="1199">
        <f t="shared" si="135"/>
        <v>0</v>
      </c>
      <c r="EZ45" s="1175">
        <f t="shared" si="136"/>
        <v>22305.397349500283</v>
      </c>
      <c r="FA45" s="1177"/>
      <c r="FB45" s="1202">
        <f t="shared" si="137"/>
        <v>0</v>
      </c>
      <c r="FC45" s="1202">
        <f t="shared" si="138"/>
        <v>0</v>
      </c>
      <c r="FD45" s="1202">
        <f t="shared" si="139"/>
        <v>0</v>
      </c>
      <c r="FE45" s="1202">
        <f t="shared" si="140"/>
        <v>0</v>
      </c>
      <c r="FF45" s="1202">
        <f t="shared" si="141"/>
        <v>0</v>
      </c>
      <c r="FG45" s="1202">
        <f t="shared" si="142"/>
        <v>0</v>
      </c>
      <c r="FH45" s="1202">
        <f t="shared" si="143"/>
        <v>0</v>
      </c>
      <c r="FI45" s="1202">
        <f t="shared" si="144"/>
        <v>0</v>
      </c>
      <c r="FJ45" s="1202">
        <f t="shared" si="145"/>
        <v>0</v>
      </c>
      <c r="FK45" s="1202">
        <f t="shared" si="146"/>
        <v>0</v>
      </c>
      <c r="FL45" s="1202">
        <f t="shared" si="147"/>
        <v>0</v>
      </c>
      <c r="FM45" s="1202">
        <f t="shared" si="148"/>
        <v>0</v>
      </c>
      <c r="FN45" s="1202">
        <f t="shared" si="149"/>
        <v>0</v>
      </c>
      <c r="FO45" s="1202">
        <f t="shared" si="150"/>
        <v>0</v>
      </c>
      <c r="FP45" s="1202">
        <f t="shared" si="151"/>
        <v>0</v>
      </c>
      <c r="FQ45" s="1202">
        <f t="shared" si="152"/>
        <v>0</v>
      </c>
      <c r="FR45" s="1202">
        <f t="shared" si="153"/>
        <v>0</v>
      </c>
      <c r="FS45" s="1202">
        <f t="shared" si="154"/>
        <v>0</v>
      </c>
      <c r="FT45" s="1202">
        <f t="shared" si="155"/>
        <v>0</v>
      </c>
      <c r="FU45" s="1202">
        <f t="shared" si="156"/>
        <v>0</v>
      </c>
      <c r="FV45" s="1202">
        <f t="shared" si="157"/>
        <v>0</v>
      </c>
      <c r="FW45" s="1202">
        <f t="shared" si="158"/>
        <v>0</v>
      </c>
      <c r="FX45" s="1202">
        <f t="shared" si="159"/>
        <v>0</v>
      </c>
      <c r="FY45" s="1202">
        <f t="shared" si="160"/>
        <v>21874.501673234896</v>
      </c>
      <c r="FZ45" s="1202">
        <f t="shared" si="161"/>
        <v>0</v>
      </c>
      <c r="GA45" s="1202">
        <f t="shared" si="162"/>
        <v>0</v>
      </c>
      <c r="GB45" s="1202">
        <f t="shared" si="163"/>
        <v>0</v>
      </c>
      <c r="GC45" s="1202">
        <f t="shared" si="164"/>
        <v>0</v>
      </c>
      <c r="GD45" s="1202">
        <f t="shared" si="165"/>
        <v>0</v>
      </c>
      <c r="GE45" s="1202">
        <f t="shared" si="166"/>
        <v>0</v>
      </c>
      <c r="GF45" s="1202">
        <f t="shared" si="167"/>
        <v>0</v>
      </c>
      <c r="GG45" s="1202">
        <f t="shared" si="168"/>
        <v>0</v>
      </c>
      <c r="GH45" s="1202">
        <f t="shared" si="169"/>
        <v>0</v>
      </c>
      <c r="GI45" s="1202">
        <f t="shared" si="170"/>
        <v>0</v>
      </c>
      <c r="GJ45" s="1202">
        <f t="shared" si="171"/>
        <v>0</v>
      </c>
      <c r="GK45" s="1174">
        <f t="shared" si="172"/>
        <v>21874.501673234896</v>
      </c>
    </row>
    <row r="46" spans="1:193" ht="6" customHeight="1">
      <c r="A46" s="1184" t="s">
        <v>742</v>
      </c>
      <c r="B46" s="1184" t="s">
        <v>742</v>
      </c>
      <c r="C46" s="1184"/>
      <c r="D46" s="1184"/>
      <c r="E46" s="1184"/>
      <c r="F46" s="1184"/>
      <c r="G46" s="1184"/>
      <c r="H46" s="1184"/>
      <c r="I46" s="1184"/>
      <c r="J46" s="1234"/>
      <c r="K46" s="1234"/>
      <c r="L46" s="1185"/>
      <c r="M46" s="1185"/>
      <c r="N46" s="1185"/>
      <c r="O46" s="1185"/>
      <c r="P46" s="1185"/>
      <c r="Q46" s="1185"/>
      <c r="R46" s="1185"/>
      <c r="S46" s="1185"/>
      <c r="T46" s="1185"/>
      <c r="U46" s="1185"/>
      <c r="V46" s="1185"/>
      <c r="W46" s="1185"/>
      <c r="X46" s="1185"/>
      <c r="Y46" s="1185"/>
      <c r="Z46" s="1185"/>
      <c r="AA46" s="1185"/>
      <c r="AB46" s="1185"/>
      <c r="AC46" s="1185"/>
      <c r="AD46" s="1185"/>
      <c r="AE46" s="1185"/>
      <c r="AF46" s="1185"/>
      <c r="AG46" s="1185"/>
      <c r="AH46" s="1185"/>
      <c r="AI46" s="1186"/>
      <c r="AJ46" s="1186"/>
      <c r="AK46" s="1186"/>
      <c r="AL46" s="1186"/>
      <c r="AM46" s="1186"/>
      <c r="AN46" s="1186"/>
      <c r="AO46" s="1186"/>
      <c r="AP46" s="1185"/>
      <c r="AQ46" s="1185"/>
      <c r="AR46" s="1185"/>
      <c r="AS46" s="1186"/>
      <c r="AT46" s="1186"/>
      <c r="AU46" s="1184"/>
      <c r="AV46" s="1184"/>
      <c r="AW46" s="1185"/>
      <c r="AX46" s="1185"/>
      <c r="AY46" s="1185"/>
      <c r="AZ46" s="1185"/>
      <c r="BA46" s="1185"/>
      <c r="BB46" s="1185"/>
      <c r="BC46" s="1185"/>
      <c r="BD46" s="1185"/>
      <c r="BE46" s="1185"/>
      <c r="BF46" s="1185"/>
      <c r="BG46" s="1185"/>
      <c r="BH46" s="1185"/>
      <c r="BI46" s="1185"/>
      <c r="BJ46" s="1185"/>
      <c r="BK46" s="1185"/>
      <c r="BL46" s="1185"/>
      <c r="BM46" s="1185"/>
      <c r="BN46" s="1185"/>
      <c r="BO46" s="1185"/>
      <c r="BP46" s="1185"/>
      <c r="BQ46" s="1185"/>
      <c r="BR46" s="1186"/>
      <c r="BS46" s="1186"/>
      <c r="BT46" s="1301"/>
      <c r="BU46" s="1186"/>
      <c r="BV46" s="1186"/>
      <c r="BW46" s="1186"/>
      <c r="BX46" s="1186"/>
      <c r="BY46" s="1186"/>
      <c r="BZ46" s="1186"/>
      <c r="CA46" s="1185"/>
      <c r="CB46" s="1185"/>
      <c r="CC46" s="1185"/>
      <c r="CD46" s="1186"/>
      <c r="CE46" s="1186"/>
      <c r="CF46" s="1184"/>
      <c r="CG46" s="1189"/>
      <c r="CH46" s="1187"/>
      <c r="CI46" s="1187"/>
      <c r="CJ46" s="1187"/>
      <c r="CK46" s="1187"/>
      <c r="CL46" s="1187"/>
      <c r="CM46" s="1187"/>
      <c r="CN46" s="1188"/>
      <c r="CO46" s="1189"/>
      <c r="CP46" s="1187"/>
      <c r="CQ46" s="1187"/>
      <c r="CR46" s="1188"/>
      <c r="CS46" s="1187"/>
      <c r="CT46" s="1187"/>
      <c r="CU46" s="1189"/>
      <c r="CV46" s="1187"/>
      <c r="CW46" s="1187"/>
      <c r="CX46" s="1187"/>
      <c r="CY46" s="1187"/>
      <c r="CZ46" s="1187"/>
      <c r="DA46" s="1187"/>
      <c r="DB46" s="1187"/>
      <c r="DC46" s="1187"/>
      <c r="DD46" s="1189"/>
      <c r="DE46" s="1189"/>
      <c r="DF46" s="1189"/>
      <c r="DG46" s="1189"/>
      <c r="DH46" s="1190"/>
      <c r="DI46" s="1189"/>
      <c r="DJ46" s="1189"/>
      <c r="DK46" s="1187"/>
      <c r="DL46" s="1187"/>
      <c r="DM46" s="1187"/>
      <c r="DN46" s="1189"/>
      <c r="DO46" s="1189"/>
      <c r="DP46" s="1184"/>
      <c r="DQ46" s="1191"/>
      <c r="DR46" s="1191"/>
      <c r="DS46" s="1191"/>
      <c r="DT46" s="1191"/>
      <c r="DU46" s="1191"/>
      <c r="DV46" s="1191"/>
      <c r="DW46" s="1191"/>
      <c r="DX46" s="1191"/>
      <c r="DY46" s="1191"/>
      <c r="DZ46" s="1191"/>
      <c r="EA46" s="1191"/>
      <c r="EB46" s="1192"/>
      <c r="EC46" s="1191"/>
      <c r="ED46" s="1191"/>
      <c r="EE46" s="1191"/>
      <c r="EF46" s="1191"/>
      <c r="EG46" s="1191"/>
      <c r="EH46" s="1191"/>
      <c r="EI46" s="1191"/>
      <c r="EJ46" s="1191"/>
      <c r="EK46" s="1191"/>
      <c r="EL46" s="1191"/>
      <c r="EM46" s="1191"/>
      <c r="EN46" s="1191"/>
      <c r="EO46" s="1191"/>
      <c r="EP46" s="1191"/>
      <c r="EQ46" s="1191"/>
      <c r="ER46" s="1191"/>
      <c r="ES46" s="1191"/>
      <c r="ET46" s="1191"/>
      <c r="EU46" s="1191"/>
      <c r="EV46" s="1191"/>
      <c r="EW46" s="1191"/>
      <c r="EX46" s="1191"/>
      <c r="EY46" s="1191"/>
      <c r="EZ46" s="1193"/>
      <c r="FA46" s="1184"/>
      <c r="FB46" s="1191"/>
      <c r="FC46" s="1191"/>
      <c r="FD46" s="1191"/>
      <c r="FE46" s="1191"/>
      <c r="FF46" s="1191"/>
      <c r="FG46" s="1191"/>
      <c r="FH46" s="1192"/>
      <c r="FI46" s="1192"/>
      <c r="FJ46" s="1192"/>
      <c r="FK46" s="1192"/>
      <c r="FL46" s="1192"/>
      <c r="FM46" s="1191"/>
      <c r="FN46" s="1191"/>
      <c r="FO46" s="1191"/>
      <c r="FP46" s="1191"/>
      <c r="FQ46" s="1191"/>
      <c r="FR46" s="1191"/>
      <c r="FS46" s="1191"/>
      <c r="FT46" s="1191"/>
      <c r="FU46" s="1191"/>
      <c r="FV46" s="1191"/>
      <c r="FW46" s="1191"/>
      <c r="FX46" s="1191"/>
      <c r="FY46" s="1194"/>
      <c r="FZ46" s="1191"/>
      <c r="GA46" s="1191"/>
      <c r="GB46" s="1191"/>
      <c r="GC46" s="1191"/>
      <c r="GD46" s="1191"/>
      <c r="GE46" s="1191"/>
      <c r="GF46" s="1191"/>
      <c r="GG46" s="1191"/>
      <c r="GH46" s="1191"/>
      <c r="GI46" s="1191"/>
      <c r="GJ46" s="1191"/>
      <c r="GK46" s="1193"/>
    </row>
    <row r="47" spans="1:193" s="1015" customFormat="1">
      <c r="A47" s="1003"/>
      <c r="B47" s="1149"/>
      <c r="C47" s="1149" t="s">
        <v>1621</v>
      </c>
      <c r="D47" s="1204" t="str">
        <f>D27</f>
        <v>East SAC&gt;100MWhpa DemandSmall</v>
      </c>
      <c r="E47" s="1204" t="s">
        <v>765</v>
      </c>
      <c r="F47" s="1204" t="s">
        <v>766</v>
      </c>
      <c r="G47" s="1204" t="s">
        <v>789</v>
      </c>
      <c r="H47" s="1204" t="s">
        <v>1626</v>
      </c>
      <c r="I47" s="1149" t="s">
        <v>744</v>
      </c>
      <c r="J47" s="1176"/>
      <c r="K47" s="1176"/>
      <c r="L47" s="1233">
        <v>31.940480000000001</v>
      </c>
      <c r="M47" s="1037"/>
      <c r="N47" s="1037"/>
      <c r="O47" s="1037"/>
      <c r="P47" s="1037"/>
      <c r="Q47" s="1037"/>
      <c r="R47" s="1004"/>
      <c r="S47" s="1004"/>
      <c r="T47" s="1004"/>
      <c r="U47" s="1013"/>
      <c r="V47" s="1013"/>
      <c r="W47" s="1004"/>
      <c r="X47" s="1004"/>
      <c r="Y47" s="1004"/>
      <c r="Z47" s="1004"/>
      <c r="AA47" s="1004"/>
      <c r="AB47" s="1004"/>
      <c r="AC47" s="1013"/>
      <c r="AD47" s="1004"/>
      <c r="AE47" s="1013"/>
      <c r="AF47" s="1004"/>
      <c r="AG47" s="1013"/>
      <c r="AH47" s="1004"/>
      <c r="AI47" s="1035"/>
      <c r="AJ47" s="1224">
        <v>3.481491826166801E-3</v>
      </c>
      <c r="AK47" s="1224">
        <v>9.0976732655260614E-2</v>
      </c>
      <c r="AL47" s="1005"/>
      <c r="AM47" s="1005"/>
      <c r="AN47" s="1005"/>
      <c r="AO47" s="1005"/>
      <c r="AP47" s="1013"/>
      <c r="AQ47" s="1013"/>
      <c r="AR47" s="1013"/>
      <c r="AS47" s="1005"/>
      <c r="AT47" s="1005"/>
      <c r="AU47" s="1176"/>
      <c r="AV47" s="1176"/>
      <c r="AW47" s="1231">
        <v>31.940480000000001</v>
      </c>
      <c r="AX47" s="1011"/>
      <c r="AY47" s="1011"/>
      <c r="AZ47" s="1011"/>
      <c r="BA47" s="1011"/>
      <c r="BB47" s="1011"/>
      <c r="BC47" s="1004"/>
      <c r="BD47" s="1004"/>
      <c r="BE47" s="1004"/>
      <c r="BF47" s="1013"/>
      <c r="BG47" s="1013"/>
      <c r="BH47" s="1004"/>
      <c r="BI47" s="1004"/>
      <c r="BJ47" s="1004"/>
      <c r="BK47" s="1004"/>
      <c r="BL47" s="1226">
        <v>23.778749999999999</v>
      </c>
      <c r="BM47" s="1004"/>
      <c r="BN47" s="1013"/>
      <c r="BO47" s="1013"/>
      <c r="BP47" s="1013"/>
      <c r="BQ47" s="1004"/>
      <c r="BR47" s="1035"/>
      <c r="BS47" s="1005"/>
      <c r="BT47" s="1038"/>
      <c r="BU47" s="1226">
        <v>1.9744621039491056E-3</v>
      </c>
      <c r="BV47" s="1226">
        <v>1.9744621039491056E-3</v>
      </c>
      <c r="BW47" s="1005"/>
      <c r="BX47" s="1005"/>
      <c r="BY47" s="1005"/>
      <c r="BZ47" s="1035"/>
      <c r="CA47" s="1013"/>
      <c r="CB47" s="1013"/>
      <c r="CC47" s="1013"/>
      <c r="CD47" s="1035"/>
      <c r="CE47" s="1035"/>
      <c r="CF47" s="1176"/>
      <c r="CG47" s="1236">
        <v>171</v>
      </c>
      <c r="CH47" s="1004"/>
      <c r="CI47" s="1004"/>
      <c r="CJ47" s="1004"/>
      <c r="CK47" s="1004"/>
      <c r="CL47" s="1004"/>
      <c r="CM47" s="1004"/>
      <c r="CN47" s="1004"/>
      <c r="CO47" s="1008"/>
      <c r="CP47" s="1013"/>
      <c r="CQ47" s="1013"/>
      <c r="CR47" s="1004"/>
      <c r="CS47" s="1004"/>
      <c r="CT47" s="1004"/>
      <c r="CU47" s="1008"/>
      <c r="CV47" s="1236">
        <v>56611</v>
      </c>
      <c r="CW47" s="1004"/>
      <c r="CX47" s="1013"/>
      <c r="CY47" s="1013"/>
      <c r="CZ47" s="1013"/>
      <c r="DA47" s="1004"/>
      <c r="DB47" s="1013"/>
      <c r="DC47" s="1004"/>
      <c r="DD47" s="1036"/>
      <c r="DE47" s="1236">
        <v>16587000</v>
      </c>
      <c r="DF47" s="1236">
        <v>15066063.965593746</v>
      </c>
      <c r="DG47" s="1008"/>
      <c r="DH47" s="1014"/>
      <c r="DI47" s="1008"/>
      <c r="DJ47" s="1008"/>
      <c r="DK47" s="1013"/>
      <c r="DL47" s="1013"/>
      <c r="DM47" s="1013"/>
      <c r="DN47" s="1008"/>
      <c r="DO47" s="1008"/>
      <c r="DP47" s="1176"/>
      <c r="DQ47" s="1199">
        <f t="shared" ref="DQ47:DQ52" si="173">IFERROR(L47*CG47*DQ$107,0)</f>
        <v>1993565.0592</v>
      </c>
      <c r="DR47" s="1199">
        <f t="shared" ref="DR47:EA52" si="174">M47*CH47*DR$107</f>
        <v>0</v>
      </c>
      <c r="DS47" s="1199">
        <f t="shared" si="174"/>
        <v>0</v>
      </c>
      <c r="DT47" s="1199">
        <f t="shared" si="174"/>
        <v>0</v>
      </c>
      <c r="DU47" s="1199">
        <f t="shared" si="174"/>
        <v>0</v>
      </c>
      <c r="DV47" s="1199">
        <f t="shared" si="174"/>
        <v>0</v>
      </c>
      <c r="DW47" s="1199">
        <f t="shared" si="174"/>
        <v>0</v>
      </c>
      <c r="DX47" s="1199">
        <f t="shared" si="174"/>
        <v>0</v>
      </c>
      <c r="DY47" s="1199">
        <f t="shared" si="174"/>
        <v>0</v>
      </c>
      <c r="DZ47" s="1199">
        <f t="shared" si="174"/>
        <v>0</v>
      </c>
      <c r="EA47" s="1199">
        <f t="shared" si="174"/>
        <v>0</v>
      </c>
      <c r="EB47" s="1199">
        <f t="shared" ref="EB47:EK52" si="175">W47*CR47*EB$107</f>
        <v>0</v>
      </c>
      <c r="EC47" s="1199">
        <f t="shared" si="175"/>
        <v>0</v>
      </c>
      <c r="ED47" s="1199">
        <f t="shared" si="175"/>
        <v>0</v>
      </c>
      <c r="EE47" s="1199">
        <f t="shared" si="175"/>
        <v>0</v>
      </c>
      <c r="EF47" s="1199">
        <f t="shared" si="175"/>
        <v>0</v>
      </c>
      <c r="EG47" s="1199">
        <f t="shared" si="175"/>
        <v>0</v>
      </c>
      <c r="EH47" s="1199">
        <f t="shared" si="175"/>
        <v>0</v>
      </c>
      <c r="EI47" s="1199">
        <f t="shared" si="175"/>
        <v>0</v>
      </c>
      <c r="EJ47" s="1199">
        <f t="shared" si="175"/>
        <v>0</v>
      </c>
      <c r="EK47" s="1199">
        <f t="shared" si="175"/>
        <v>0</v>
      </c>
      <c r="EL47" s="1199">
        <f t="shared" ref="EL47:EN52" si="176">AG47*DB47*EL$107</f>
        <v>0</v>
      </c>
      <c r="EM47" s="1199">
        <f t="shared" si="176"/>
        <v>0</v>
      </c>
      <c r="EN47" s="1199">
        <f t="shared" si="176"/>
        <v>0</v>
      </c>
      <c r="EO47" s="1199">
        <f t="shared" ref="EO47:EP52" si="177">IFERROR(AJ47*DE47*EO$107,0)</f>
        <v>57747.504920628729</v>
      </c>
      <c r="EP47" s="1199">
        <f t="shared" si="177"/>
        <v>1370661.2735648777</v>
      </c>
      <c r="EQ47" s="1199">
        <f t="shared" ref="EQ47:EY52" si="178">AL47*DG47*EQ$107</f>
        <v>0</v>
      </c>
      <c r="ER47" s="1199">
        <f t="shared" si="178"/>
        <v>0</v>
      </c>
      <c r="ES47" s="1199">
        <f t="shared" si="178"/>
        <v>0</v>
      </c>
      <c r="ET47" s="1199">
        <f t="shared" si="178"/>
        <v>0</v>
      </c>
      <c r="EU47" s="1199">
        <f t="shared" si="178"/>
        <v>0</v>
      </c>
      <c r="EV47" s="1199">
        <f t="shared" si="178"/>
        <v>0</v>
      </c>
      <c r="EW47" s="1199">
        <f t="shared" si="178"/>
        <v>0</v>
      </c>
      <c r="EX47" s="1199">
        <f t="shared" si="178"/>
        <v>0</v>
      </c>
      <c r="EY47" s="1199">
        <f t="shared" si="178"/>
        <v>0</v>
      </c>
      <c r="EZ47" s="1175">
        <f t="shared" ref="EZ47:EZ52" si="179">SUM(DQ47:EY47)</f>
        <v>3421973.8376855063</v>
      </c>
      <c r="FA47" s="1177"/>
      <c r="FB47" s="1202">
        <f t="shared" ref="FB47:FK52" si="180">AW47*CG47*FB$107</f>
        <v>1993565.0592</v>
      </c>
      <c r="FC47" s="1202">
        <f t="shared" si="180"/>
        <v>0</v>
      </c>
      <c r="FD47" s="1202">
        <f t="shared" si="180"/>
        <v>0</v>
      </c>
      <c r="FE47" s="1202">
        <f t="shared" si="180"/>
        <v>0</v>
      </c>
      <c r="FF47" s="1202">
        <f t="shared" si="180"/>
        <v>0</v>
      </c>
      <c r="FG47" s="1202">
        <f t="shared" si="180"/>
        <v>0</v>
      </c>
      <c r="FH47" s="1202">
        <f t="shared" si="180"/>
        <v>0</v>
      </c>
      <c r="FI47" s="1202">
        <f t="shared" si="180"/>
        <v>0</v>
      </c>
      <c r="FJ47" s="1202">
        <f t="shared" si="180"/>
        <v>0</v>
      </c>
      <c r="FK47" s="1202">
        <f t="shared" si="180"/>
        <v>0</v>
      </c>
      <c r="FL47" s="1202">
        <f t="shared" ref="FL47:FU52" si="181">BG47*CQ47*FL$107</f>
        <v>0</v>
      </c>
      <c r="FM47" s="1202">
        <f t="shared" si="181"/>
        <v>0</v>
      </c>
      <c r="FN47" s="1202">
        <f t="shared" si="181"/>
        <v>0</v>
      </c>
      <c r="FO47" s="1202">
        <f t="shared" si="181"/>
        <v>0</v>
      </c>
      <c r="FP47" s="1202">
        <f t="shared" si="181"/>
        <v>0</v>
      </c>
      <c r="FQ47" s="1202">
        <f t="shared" si="181"/>
        <v>1346138.8162499999</v>
      </c>
      <c r="FR47" s="1202">
        <f t="shared" si="181"/>
        <v>0</v>
      </c>
      <c r="FS47" s="1202">
        <f t="shared" si="181"/>
        <v>0</v>
      </c>
      <c r="FT47" s="1202">
        <f t="shared" si="181"/>
        <v>0</v>
      </c>
      <c r="FU47" s="1202">
        <f t="shared" si="181"/>
        <v>0</v>
      </c>
      <c r="FV47" s="1202">
        <f t="shared" ref="FV47:GE52" si="182">BQ47*DA47*FV$107</f>
        <v>0</v>
      </c>
      <c r="FW47" s="1202">
        <f t="shared" si="182"/>
        <v>0</v>
      </c>
      <c r="FX47" s="1202">
        <f t="shared" si="182"/>
        <v>0</v>
      </c>
      <c r="FY47" s="1202">
        <f t="shared" si="182"/>
        <v>0</v>
      </c>
      <c r="FZ47" s="1202">
        <f t="shared" si="182"/>
        <v>32750.402918203814</v>
      </c>
      <c r="GA47" s="1202">
        <f t="shared" si="182"/>
        <v>29747.372355738033</v>
      </c>
      <c r="GB47" s="1202">
        <f t="shared" si="182"/>
        <v>0</v>
      </c>
      <c r="GC47" s="1202">
        <f t="shared" si="182"/>
        <v>0</v>
      </c>
      <c r="GD47" s="1202">
        <f t="shared" si="182"/>
        <v>0</v>
      </c>
      <c r="GE47" s="1202">
        <f t="shared" si="182"/>
        <v>0</v>
      </c>
      <c r="GF47" s="1202">
        <f t="shared" ref="GF47:GJ52" si="183">CA47*DK47*GF$107</f>
        <v>0</v>
      </c>
      <c r="GG47" s="1202">
        <f t="shared" si="183"/>
        <v>0</v>
      </c>
      <c r="GH47" s="1202">
        <f t="shared" si="183"/>
        <v>0</v>
      </c>
      <c r="GI47" s="1202">
        <f t="shared" si="183"/>
        <v>0</v>
      </c>
      <c r="GJ47" s="1202">
        <f t="shared" si="183"/>
        <v>0</v>
      </c>
      <c r="GK47" s="1174">
        <f t="shared" ref="GK47:GK52" si="184">SUM(FB47:GJ47)</f>
        <v>3402201.6507239421</v>
      </c>
    </row>
    <row r="48" spans="1:193" s="1015" customFormat="1">
      <c r="A48" s="1003"/>
      <c r="B48" s="1149"/>
      <c r="C48" s="1149" t="s">
        <v>1620</v>
      </c>
      <c r="D48" s="1204" t="str">
        <f>D30</f>
        <v>West SAC&gt;100MWhpa DemandSmall</v>
      </c>
      <c r="E48" s="1204" t="s">
        <v>765</v>
      </c>
      <c r="F48" s="1204" t="s">
        <v>766</v>
      </c>
      <c r="G48" s="1204" t="s">
        <v>790</v>
      </c>
      <c r="H48" s="1204" t="s">
        <v>1627</v>
      </c>
      <c r="I48" s="1149" t="s">
        <v>744</v>
      </c>
      <c r="J48" s="1176"/>
      <c r="K48" s="1176"/>
      <c r="L48" s="1233">
        <v>71.612800000000007</v>
      </c>
      <c r="M48" s="1037"/>
      <c r="N48" s="1037"/>
      <c r="O48" s="1037"/>
      <c r="P48" s="1037"/>
      <c r="Q48" s="1037"/>
      <c r="R48" s="1004"/>
      <c r="S48" s="1004"/>
      <c r="T48" s="1004"/>
      <c r="U48" s="1013"/>
      <c r="V48" s="1013"/>
      <c r="W48" s="1004"/>
      <c r="X48" s="1004"/>
      <c r="Y48" s="1004"/>
      <c r="Z48" s="1004"/>
      <c r="AA48" s="1004"/>
      <c r="AB48" s="1004"/>
      <c r="AC48" s="1013"/>
      <c r="AD48" s="1004"/>
      <c r="AE48" s="1013"/>
      <c r="AF48" s="1004"/>
      <c r="AG48" s="1013"/>
      <c r="AH48" s="1004"/>
      <c r="AI48" s="1035"/>
      <c r="AJ48" s="1224">
        <v>5.2655267410076341E-3</v>
      </c>
      <c r="AK48" s="1224">
        <v>0.24652500758566293</v>
      </c>
      <c r="AL48" s="1005"/>
      <c r="AM48" s="1005"/>
      <c r="AN48" s="1005"/>
      <c r="AO48" s="1005"/>
      <c r="AP48" s="1013"/>
      <c r="AQ48" s="1013"/>
      <c r="AR48" s="1013"/>
      <c r="AS48" s="1005"/>
      <c r="AT48" s="1005"/>
      <c r="AU48" s="1176"/>
      <c r="AV48" s="1176"/>
      <c r="AW48" s="1231">
        <v>71.612800000000007</v>
      </c>
      <c r="AX48" s="1011"/>
      <c r="AY48" s="1011"/>
      <c r="AZ48" s="1011"/>
      <c r="BA48" s="1011"/>
      <c r="BB48" s="1011"/>
      <c r="BC48" s="1004"/>
      <c r="BD48" s="1004"/>
      <c r="BE48" s="1004"/>
      <c r="BF48" s="1013"/>
      <c r="BG48" s="1013"/>
      <c r="BH48" s="1004"/>
      <c r="BI48" s="1004"/>
      <c r="BJ48" s="1004"/>
      <c r="BK48" s="1004"/>
      <c r="BL48" s="1226">
        <v>65.704499999999996</v>
      </c>
      <c r="BM48" s="1004"/>
      <c r="BN48" s="1013"/>
      <c r="BO48" s="1013"/>
      <c r="BP48" s="1013"/>
      <c r="BQ48" s="1004"/>
      <c r="BR48" s="1035"/>
      <c r="BS48" s="1005"/>
      <c r="BT48" s="1038"/>
      <c r="BU48" s="1226">
        <v>1.672310515522942E-3</v>
      </c>
      <c r="BV48" s="1226">
        <v>1.672310515522942E-3</v>
      </c>
      <c r="BW48" s="1005"/>
      <c r="BX48" s="1005"/>
      <c r="BY48" s="1005"/>
      <c r="BZ48" s="1035"/>
      <c r="CA48" s="1013"/>
      <c r="CB48" s="1013"/>
      <c r="CC48" s="1013"/>
      <c r="CD48" s="1035"/>
      <c r="CE48" s="1035"/>
      <c r="CF48" s="1176"/>
      <c r="CG48" s="1236">
        <v>34.000000000000007</v>
      </c>
      <c r="CH48" s="1004"/>
      <c r="CI48" s="1004"/>
      <c r="CJ48" s="1004"/>
      <c r="CK48" s="1004"/>
      <c r="CL48" s="1004"/>
      <c r="CM48" s="1004"/>
      <c r="CN48" s="1004"/>
      <c r="CO48" s="1008"/>
      <c r="CP48" s="1013"/>
      <c r="CQ48" s="1013"/>
      <c r="CR48" s="1004"/>
      <c r="CS48" s="1004"/>
      <c r="CT48" s="1004"/>
      <c r="CU48" s="1008"/>
      <c r="CV48" s="1236">
        <v>8940</v>
      </c>
      <c r="CW48" s="1004"/>
      <c r="CX48" s="1013"/>
      <c r="CY48" s="1013"/>
      <c r="CZ48" s="1013"/>
      <c r="DA48" s="1004"/>
      <c r="DB48" s="1013"/>
      <c r="DC48" s="1004"/>
      <c r="DD48" s="1036"/>
      <c r="DE48" s="1236">
        <v>3298000.0000000005</v>
      </c>
      <c r="DF48" s="1236">
        <v>1641062.5262522111</v>
      </c>
      <c r="DG48" s="1008"/>
      <c r="DH48" s="1014"/>
      <c r="DI48" s="1008"/>
      <c r="DJ48" s="1008"/>
      <c r="DK48" s="1013"/>
      <c r="DL48" s="1013"/>
      <c r="DM48" s="1013"/>
      <c r="DN48" s="1008"/>
      <c r="DO48" s="1008"/>
      <c r="DP48" s="1176"/>
      <c r="DQ48" s="1199">
        <f t="shared" si="173"/>
        <v>888714.84800000035</v>
      </c>
      <c r="DR48" s="1199">
        <f t="shared" si="174"/>
        <v>0</v>
      </c>
      <c r="DS48" s="1199">
        <f t="shared" si="174"/>
        <v>0</v>
      </c>
      <c r="DT48" s="1199">
        <f t="shared" si="174"/>
        <v>0</v>
      </c>
      <c r="DU48" s="1199">
        <f t="shared" si="174"/>
        <v>0</v>
      </c>
      <c r="DV48" s="1199">
        <f t="shared" si="174"/>
        <v>0</v>
      </c>
      <c r="DW48" s="1199">
        <f t="shared" si="174"/>
        <v>0</v>
      </c>
      <c r="DX48" s="1199">
        <f t="shared" si="174"/>
        <v>0</v>
      </c>
      <c r="DY48" s="1199">
        <f t="shared" si="174"/>
        <v>0</v>
      </c>
      <c r="DZ48" s="1199">
        <f t="shared" si="174"/>
        <v>0</v>
      </c>
      <c r="EA48" s="1199">
        <f t="shared" si="174"/>
        <v>0</v>
      </c>
      <c r="EB48" s="1199">
        <f t="shared" si="175"/>
        <v>0</v>
      </c>
      <c r="EC48" s="1199">
        <f t="shared" si="175"/>
        <v>0</v>
      </c>
      <c r="ED48" s="1199">
        <f t="shared" si="175"/>
        <v>0</v>
      </c>
      <c r="EE48" s="1199">
        <f t="shared" si="175"/>
        <v>0</v>
      </c>
      <c r="EF48" s="1199">
        <f t="shared" si="175"/>
        <v>0</v>
      </c>
      <c r="EG48" s="1199">
        <f t="shared" si="175"/>
        <v>0</v>
      </c>
      <c r="EH48" s="1199">
        <f t="shared" si="175"/>
        <v>0</v>
      </c>
      <c r="EI48" s="1199">
        <f t="shared" si="175"/>
        <v>0</v>
      </c>
      <c r="EJ48" s="1199">
        <f t="shared" si="175"/>
        <v>0</v>
      </c>
      <c r="EK48" s="1199">
        <f t="shared" si="175"/>
        <v>0</v>
      </c>
      <c r="EL48" s="1199">
        <f t="shared" si="176"/>
        <v>0</v>
      </c>
      <c r="EM48" s="1199">
        <f t="shared" si="176"/>
        <v>0</v>
      </c>
      <c r="EN48" s="1199">
        <f t="shared" si="176"/>
        <v>0</v>
      </c>
      <c r="EO48" s="1199">
        <f t="shared" si="177"/>
        <v>17365.707191843179</v>
      </c>
      <c r="EP48" s="1199">
        <f t="shared" si="177"/>
        <v>404562.95173287351</v>
      </c>
      <c r="EQ48" s="1199">
        <f t="shared" si="178"/>
        <v>0</v>
      </c>
      <c r="ER48" s="1199">
        <f t="shared" si="178"/>
        <v>0</v>
      </c>
      <c r="ES48" s="1199">
        <f t="shared" si="178"/>
        <v>0</v>
      </c>
      <c r="ET48" s="1199">
        <f t="shared" si="178"/>
        <v>0</v>
      </c>
      <c r="EU48" s="1199">
        <f t="shared" si="178"/>
        <v>0</v>
      </c>
      <c r="EV48" s="1199">
        <f t="shared" si="178"/>
        <v>0</v>
      </c>
      <c r="EW48" s="1199">
        <f t="shared" si="178"/>
        <v>0</v>
      </c>
      <c r="EX48" s="1199">
        <f t="shared" si="178"/>
        <v>0</v>
      </c>
      <c r="EY48" s="1199">
        <f t="shared" si="178"/>
        <v>0</v>
      </c>
      <c r="EZ48" s="1175">
        <f>SUM(DQ48:EY48)</f>
        <v>1310643.506924717</v>
      </c>
      <c r="FA48" s="1177"/>
      <c r="FB48" s="1202">
        <f t="shared" si="180"/>
        <v>888714.84800000035</v>
      </c>
      <c r="FC48" s="1202">
        <f t="shared" si="180"/>
        <v>0</v>
      </c>
      <c r="FD48" s="1202">
        <f t="shared" si="180"/>
        <v>0</v>
      </c>
      <c r="FE48" s="1202">
        <f t="shared" si="180"/>
        <v>0</v>
      </c>
      <c r="FF48" s="1202">
        <f t="shared" si="180"/>
        <v>0</v>
      </c>
      <c r="FG48" s="1202">
        <f t="shared" si="180"/>
        <v>0</v>
      </c>
      <c r="FH48" s="1202">
        <f t="shared" si="180"/>
        <v>0</v>
      </c>
      <c r="FI48" s="1202">
        <f t="shared" si="180"/>
        <v>0</v>
      </c>
      <c r="FJ48" s="1202">
        <f t="shared" si="180"/>
        <v>0</v>
      </c>
      <c r="FK48" s="1202">
        <f t="shared" si="180"/>
        <v>0</v>
      </c>
      <c r="FL48" s="1202">
        <f t="shared" si="181"/>
        <v>0</v>
      </c>
      <c r="FM48" s="1202">
        <f t="shared" si="181"/>
        <v>0</v>
      </c>
      <c r="FN48" s="1202">
        <f t="shared" si="181"/>
        <v>0</v>
      </c>
      <c r="FO48" s="1202">
        <f t="shared" si="181"/>
        <v>0</v>
      </c>
      <c r="FP48" s="1202">
        <f t="shared" si="181"/>
        <v>0</v>
      </c>
      <c r="FQ48" s="1202">
        <f t="shared" si="181"/>
        <v>587398.23</v>
      </c>
      <c r="FR48" s="1202">
        <f t="shared" si="181"/>
        <v>0</v>
      </c>
      <c r="FS48" s="1202">
        <f t="shared" si="181"/>
        <v>0</v>
      </c>
      <c r="FT48" s="1202">
        <f t="shared" si="181"/>
        <v>0</v>
      </c>
      <c r="FU48" s="1202">
        <f t="shared" si="181"/>
        <v>0</v>
      </c>
      <c r="FV48" s="1202">
        <f t="shared" si="182"/>
        <v>0</v>
      </c>
      <c r="FW48" s="1202">
        <f t="shared" si="182"/>
        <v>0</v>
      </c>
      <c r="FX48" s="1202">
        <f t="shared" si="182"/>
        <v>0</v>
      </c>
      <c r="FY48" s="1202">
        <f t="shared" si="182"/>
        <v>0</v>
      </c>
      <c r="FZ48" s="1202">
        <f t="shared" si="182"/>
        <v>5515.2800801946632</v>
      </c>
      <c r="GA48" s="1202">
        <f t="shared" si="182"/>
        <v>2744.3661192822165</v>
      </c>
      <c r="GB48" s="1202">
        <f t="shared" si="182"/>
        <v>0</v>
      </c>
      <c r="GC48" s="1202">
        <f t="shared" si="182"/>
        <v>0</v>
      </c>
      <c r="GD48" s="1202">
        <f t="shared" si="182"/>
        <v>0</v>
      </c>
      <c r="GE48" s="1202">
        <f t="shared" si="182"/>
        <v>0</v>
      </c>
      <c r="GF48" s="1202">
        <f t="shared" si="183"/>
        <v>0</v>
      </c>
      <c r="GG48" s="1202">
        <f t="shared" si="183"/>
        <v>0</v>
      </c>
      <c r="GH48" s="1202">
        <f t="shared" si="183"/>
        <v>0</v>
      </c>
      <c r="GI48" s="1202">
        <f t="shared" si="183"/>
        <v>0</v>
      </c>
      <c r="GJ48" s="1202">
        <f t="shared" si="183"/>
        <v>0</v>
      </c>
      <c r="GK48" s="1174">
        <f>SUM(FB48:GJ48)</f>
        <v>1484372.7241994771</v>
      </c>
    </row>
    <row r="49" spans="1:193" s="1015" customFormat="1">
      <c r="A49" s="1003"/>
      <c r="B49" s="1149"/>
      <c r="C49" s="1149" t="s">
        <v>1624</v>
      </c>
      <c r="D49" s="1204" t="str">
        <f>D33</f>
        <v>MtIsa SAC&gt;100MWhpa DemandSmall</v>
      </c>
      <c r="E49" s="1204" t="s">
        <v>765</v>
      </c>
      <c r="F49" s="1204" t="s">
        <v>766</v>
      </c>
      <c r="G49" s="1204" t="s">
        <v>791</v>
      </c>
      <c r="H49" s="1204" t="s">
        <v>1630</v>
      </c>
      <c r="I49" s="1149" t="s">
        <v>744</v>
      </c>
      <c r="J49" s="1176"/>
      <c r="K49" s="1176"/>
      <c r="L49" s="1233">
        <v>21.37595</v>
      </c>
      <c r="M49" s="1037"/>
      <c r="N49" s="1037"/>
      <c r="O49" s="1037"/>
      <c r="P49" s="1037"/>
      <c r="Q49" s="1037"/>
      <c r="R49" s="1004"/>
      <c r="S49" s="1004"/>
      <c r="T49" s="1004"/>
      <c r="U49" s="1013"/>
      <c r="V49" s="1013"/>
      <c r="W49" s="1004"/>
      <c r="X49" s="1004"/>
      <c r="Y49" s="1004"/>
      <c r="Z49" s="1004"/>
      <c r="AA49" s="1004"/>
      <c r="AB49" s="1004"/>
      <c r="AC49" s="1013"/>
      <c r="AD49" s="1004"/>
      <c r="AE49" s="1013"/>
      <c r="AF49" s="1004"/>
      <c r="AG49" s="1013"/>
      <c r="AH49" s="1004"/>
      <c r="AI49" s="1035"/>
      <c r="AJ49" s="1224">
        <v>2.5175116444294322E-3</v>
      </c>
      <c r="AK49" s="1224">
        <v>5.717021638780434E-2</v>
      </c>
      <c r="AL49" s="1005"/>
      <c r="AM49" s="1005"/>
      <c r="AN49" s="1005"/>
      <c r="AO49" s="1005"/>
      <c r="AP49" s="1013"/>
      <c r="AQ49" s="1013"/>
      <c r="AR49" s="1013"/>
      <c r="AS49" s="1005"/>
      <c r="AT49" s="1005"/>
      <c r="AU49" s="1176"/>
      <c r="AV49" s="1176"/>
      <c r="AW49" s="1231">
        <v>21.37595</v>
      </c>
      <c r="AX49" s="1011"/>
      <c r="AY49" s="1011"/>
      <c r="AZ49" s="1011"/>
      <c r="BA49" s="1011"/>
      <c r="BB49" s="1011"/>
      <c r="BC49" s="1004"/>
      <c r="BD49" s="1004"/>
      <c r="BE49" s="1004"/>
      <c r="BF49" s="1013"/>
      <c r="BG49" s="1013"/>
      <c r="BH49" s="1004"/>
      <c r="BI49" s="1004"/>
      <c r="BJ49" s="1004"/>
      <c r="BK49" s="1004"/>
      <c r="BL49" s="1226">
        <v>14.8896</v>
      </c>
      <c r="BM49" s="1004"/>
      <c r="BN49" s="1013"/>
      <c r="BO49" s="1013"/>
      <c r="BP49" s="1013"/>
      <c r="BQ49" s="1004"/>
      <c r="BR49" s="1035"/>
      <c r="BS49" s="1005"/>
      <c r="BT49" s="1038"/>
      <c r="BU49" s="1226">
        <v>1.9470111878998149E-3</v>
      </c>
      <c r="BV49" s="1226">
        <v>1.9470111878998149E-3</v>
      </c>
      <c r="BW49" s="1005"/>
      <c r="BX49" s="1005"/>
      <c r="BY49" s="1005"/>
      <c r="BZ49" s="1035"/>
      <c r="CA49" s="1013"/>
      <c r="CB49" s="1013"/>
      <c r="CC49" s="1013"/>
      <c r="CD49" s="1035"/>
      <c r="CE49" s="1035"/>
      <c r="CF49" s="1176"/>
      <c r="CG49" s="1236">
        <v>10</v>
      </c>
      <c r="CH49" s="1004"/>
      <c r="CI49" s="1004"/>
      <c r="CJ49" s="1004"/>
      <c r="CK49" s="1004"/>
      <c r="CL49" s="1004"/>
      <c r="CM49" s="1004"/>
      <c r="CN49" s="1004"/>
      <c r="CO49" s="1008"/>
      <c r="CP49" s="1013"/>
      <c r="CQ49" s="1013"/>
      <c r="CR49" s="1004"/>
      <c r="CS49" s="1004"/>
      <c r="CT49" s="1004"/>
      <c r="CU49" s="1008"/>
      <c r="CV49" s="1236">
        <v>2858</v>
      </c>
      <c r="CW49" s="1004"/>
      <c r="CX49" s="1013"/>
      <c r="CY49" s="1013"/>
      <c r="CZ49" s="1013"/>
      <c r="DA49" s="1004"/>
      <c r="DB49" s="1013"/>
      <c r="DC49" s="1004"/>
      <c r="DD49" s="1036"/>
      <c r="DE49" s="1236">
        <v>970000</v>
      </c>
      <c r="DF49" s="1236">
        <v>523227.94433962274</v>
      </c>
      <c r="DG49" s="1008"/>
      <c r="DH49" s="1014"/>
      <c r="DI49" s="1008"/>
      <c r="DJ49" s="1008"/>
      <c r="DK49" s="1013"/>
      <c r="DL49" s="1013"/>
      <c r="DM49" s="1013"/>
      <c r="DN49" s="1008"/>
      <c r="DO49" s="1008"/>
      <c r="DP49" s="1176"/>
      <c r="DQ49" s="1199">
        <f t="shared" si="173"/>
        <v>78022.217499999999</v>
      </c>
      <c r="DR49" s="1199">
        <f t="shared" si="174"/>
        <v>0</v>
      </c>
      <c r="DS49" s="1199">
        <f t="shared" si="174"/>
        <v>0</v>
      </c>
      <c r="DT49" s="1199">
        <f t="shared" si="174"/>
        <v>0</v>
      </c>
      <c r="DU49" s="1199">
        <f t="shared" si="174"/>
        <v>0</v>
      </c>
      <c r="DV49" s="1199">
        <f t="shared" si="174"/>
        <v>0</v>
      </c>
      <c r="DW49" s="1199">
        <f t="shared" si="174"/>
        <v>0</v>
      </c>
      <c r="DX49" s="1199">
        <f t="shared" si="174"/>
        <v>0</v>
      </c>
      <c r="DY49" s="1199">
        <f t="shared" si="174"/>
        <v>0</v>
      </c>
      <c r="DZ49" s="1199">
        <f t="shared" si="174"/>
        <v>0</v>
      </c>
      <c r="EA49" s="1199">
        <f t="shared" si="174"/>
        <v>0</v>
      </c>
      <c r="EB49" s="1199">
        <f t="shared" si="175"/>
        <v>0</v>
      </c>
      <c r="EC49" s="1199">
        <f t="shared" si="175"/>
        <v>0</v>
      </c>
      <c r="ED49" s="1199">
        <f t="shared" si="175"/>
        <v>0</v>
      </c>
      <c r="EE49" s="1199">
        <f t="shared" si="175"/>
        <v>0</v>
      </c>
      <c r="EF49" s="1199">
        <f t="shared" si="175"/>
        <v>0</v>
      </c>
      <c r="EG49" s="1199">
        <f t="shared" si="175"/>
        <v>0</v>
      </c>
      <c r="EH49" s="1199">
        <f t="shared" si="175"/>
        <v>0</v>
      </c>
      <c r="EI49" s="1199">
        <f t="shared" si="175"/>
        <v>0</v>
      </c>
      <c r="EJ49" s="1199">
        <f t="shared" si="175"/>
        <v>0</v>
      </c>
      <c r="EK49" s="1199">
        <f t="shared" si="175"/>
        <v>0</v>
      </c>
      <c r="EL49" s="1199">
        <f t="shared" si="176"/>
        <v>0</v>
      </c>
      <c r="EM49" s="1199">
        <f t="shared" si="176"/>
        <v>0</v>
      </c>
      <c r="EN49" s="1199">
        <f t="shared" si="176"/>
        <v>0</v>
      </c>
      <c r="EO49" s="1199">
        <f t="shared" si="177"/>
        <v>2441.9862950965494</v>
      </c>
      <c r="EP49" s="1199">
        <f t="shared" si="177"/>
        <v>29913.054798042278</v>
      </c>
      <c r="EQ49" s="1199">
        <f t="shared" si="178"/>
        <v>0</v>
      </c>
      <c r="ER49" s="1199">
        <f t="shared" si="178"/>
        <v>0</v>
      </c>
      <c r="ES49" s="1199">
        <f t="shared" si="178"/>
        <v>0</v>
      </c>
      <c r="ET49" s="1199">
        <f t="shared" si="178"/>
        <v>0</v>
      </c>
      <c r="EU49" s="1199">
        <f t="shared" si="178"/>
        <v>0</v>
      </c>
      <c r="EV49" s="1199">
        <f t="shared" si="178"/>
        <v>0</v>
      </c>
      <c r="EW49" s="1199">
        <f t="shared" si="178"/>
        <v>0</v>
      </c>
      <c r="EX49" s="1199">
        <f t="shared" si="178"/>
        <v>0</v>
      </c>
      <c r="EY49" s="1199">
        <f t="shared" si="178"/>
        <v>0</v>
      </c>
      <c r="EZ49" s="1175">
        <f>SUM(DQ49:EY49)</f>
        <v>110377.25859313883</v>
      </c>
      <c r="FA49" s="1177"/>
      <c r="FB49" s="1202">
        <f t="shared" si="180"/>
        <v>78022.217499999999</v>
      </c>
      <c r="FC49" s="1202">
        <f t="shared" si="180"/>
        <v>0</v>
      </c>
      <c r="FD49" s="1202">
        <f t="shared" si="180"/>
        <v>0</v>
      </c>
      <c r="FE49" s="1202">
        <f t="shared" si="180"/>
        <v>0</v>
      </c>
      <c r="FF49" s="1202">
        <f t="shared" si="180"/>
        <v>0</v>
      </c>
      <c r="FG49" s="1202">
        <f t="shared" si="180"/>
        <v>0</v>
      </c>
      <c r="FH49" s="1202">
        <f t="shared" si="180"/>
        <v>0</v>
      </c>
      <c r="FI49" s="1202">
        <f t="shared" si="180"/>
        <v>0</v>
      </c>
      <c r="FJ49" s="1202">
        <f t="shared" si="180"/>
        <v>0</v>
      </c>
      <c r="FK49" s="1202">
        <f t="shared" si="180"/>
        <v>0</v>
      </c>
      <c r="FL49" s="1202">
        <f t="shared" si="181"/>
        <v>0</v>
      </c>
      <c r="FM49" s="1202">
        <f t="shared" si="181"/>
        <v>0</v>
      </c>
      <c r="FN49" s="1202">
        <f t="shared" si="181"/>
        <v>0</v>
      </c>
      <c r="FO49" s="1202">
        <f t="shared" si="181"/>
        <v>0</v>
      </c>
      <c r="FP49" s="1202">
        <f t="shared" si="181"/>
        <v>0</v>
      </c>
      <c r="FQ49" s="1202">
        <f t="shared" si="181"/>
        <v>42554.476799999997</v>
      </c>
      <c r="FR49" s="1202">
        <f t="shared" si="181"/>
        <v>0</v>
      </c>
      <c r="FS49" s="1202">
        <f t="shared" si="181"/>
        <v>0</v>
      </c>
      <c r="FT49" s="1202">
        <f t="shared" si="181"/>
        <v>0</v>
      </c>
      <c r="FU49" s="1202">
        <f t="shared" si="181"/>
        <v>0</v>
      </c>
      <c r="FV49" s="1202">
        <f t="shared" si="182"/>
        <v>0</v>
      </c>
      <c r="FW49" s="1202">
        <f t="shared" si="182"/>
        <v>0</v>
      </c>
      <c r="FX49" s="1202">
        <f t="shared" si="182"/>
        <v>0</v>
      </c>
      <c r="FY49" s="1202">
        <f t="shared" si="182"/>
        <v>0</v>
      </c>
      <c r="FZ49" s="1202">
        <f t="shared" si="182"/>
        <v>1888.6008522628204</v>
      </c>
      <c r="GA49" s="1202">
        <f t="shared" si="182"/>
        <v>1018.7306614510671</v>
      </c>
      <c r="GB49" s="1202">
        <f t="shared" si="182"/>
        <v>0</v>
      </c>
      <c r="GC49" s="1202">
        <f t="shared" si="182"/>
        <v>0</v>
      </c>
      <c r="GD49" s="1202">
        <f t="shared" si="182"/>
        <v>0</v>
      </c>
      <c r="GE49" s="1202">
        <f t="shared" si="182"/>
        <v>0</v>
      </c>
      <c r="GF49" s="1202">
        <f t="shared" si="183"/>
        <v>0</v>
      </c>
      <c r="GG49" s="1202">
        <f t="shared" si="183"/>
        <v>0</v>
      </c>
      <c r="GH49" s="1202">
        <f t="shared" si="183"/>
        <v>0</v>
      </c>
      <c r="GI49" s="1202">
        <f t="shared" si="183"/>
        <v>0</v>
      </c>
      <c r="GJ49" s="1202">
        <f t="shared" si="183"/>
        <v>0</v>
      </c>
      <c r="GK49" s="1174">
        <f>SUM(FB49:GJ49)</f>
        <v>123484.0258137139</v>
      </c>
    </row>
    <row r="50" spans="1:193" s="1015" customFormat="1">
      <c r="A50" s="1003"/>
      <c r="B50" s="1149"/>
      <c r="C50" s="1149" t="s">
        <v>1622</v>
      </c>
      <c r="D50" s="1204" t="str">
        <f>D27</f>
        <v>East SAC&gt;100MWhpa DemandSmall</v>
      </c>
      <c r="E50" s="1204" t="s">
        <v>765</v>
      </c>
      <c r="F50" s="1204" t="s">
        <v>766</v>
      </c>
      <c r="G50" s="1204" t="s">
        <v>789</v>
      </c>
      <c r="H50" s="1204" t="s">
        <v>1628</v>
      </c>
      <c r="I50" s="1149" t="s">
        <v>744</v>
      </c>
      <c r="J50" s="1176"/>
      <c r="K50" s="1176"/>
      <c r="L50" s="1233">
        <v>31.940480000000001</v>
      </c>
      <c r="M50" s="1037"/>
      <c r="N50" s="1037"/>
      <c r="O50" s="1037"/>
      <c r="P50" s="1037"/>
      <c r="Q50" s="1037"/>
      <c r="R50" s="1004"/>
      <c r="S50" s="1004"/>
      <c r="T50" s="1004"/>
      <c r="U50" s="1013"/>
      <c r="V50" s="1013"/>
      <c r="W50" s="1004"/>
      <c r="X50" s="1004"/>
      <c r="Y50" s="1004"/>
      <c r="Z50" s="1004"/>
      <c r="AA50" s="1004"/>
      <c r="AB50" s="1004"/>
      <c r="AC50" s="1013"/>
      <c r="AD50" s="1004"/>
      <c r="AE50" s="1013"/>
      <c r="AF50" s="1004"/>
      <c r="AG50" s="1013"/>
      <c r="AH50" s="1004"/>
      <c r="AI50" s="1035"/>
      <c r="AJ50" s="1224">
        <v>3.481491826166801E-3</v>
      </c>
      <c r="AK50" s="1224">
        <v>9.0976732655260614E-2</v>
      </c>
      <c r="AL50" s="1005"/>
      <c r="AM50" s="1005"/>
      <c r="AN50" s="1005"/>
      <c r="AO50" s="1005"/>
      <c r="AP50" s="1013"/>
      <c r="AQ50" s="1013"/>
      <c r="AR50" s="1013"/>
      <c r="AS50" s="1005"/>
      <c r="AT50" s="1005"/>
      <c r="AU50" s="1176"/>
      <c r="AV50" s="1176"/>
      <c r="AW50" s="1231">
        <v>31.940480000000001</v>
      </c>
      <c r="AX50" s="1011"/>
      <c r="AY50" s="1011"/>
      <c r="AZ50" s="1011"/>
      <c r="BA50" s="1011"/>
      <c r="BB50" s="1011"/>
      <c r="BC50" s="1004"/>
      <c r="BD50" s="1004"/>
      <c r="BE50" s="1004"/>
      <c r="BF50" s="1013"/>
      <c r="BG50" s="1013"/>
      <c r="BH50" s="1004"/>
      <c r="BI50" s="1004"/>
      <c r="BJ50" s="1004"/>
      <c r="BK50" s="1004"/>
      <c r="BL50" s="1226">
        <v>23.778749999999999</v>
      </c>
      <c r="BM50" s="1004"/>
      <c r="BN50" s="1013"/>
      <c r="BO50" s="1013"/>
      <c r="BP50" s="1013"/>
      <c r="BQ50" s="1004"/>
      <c r="BR50" s="1035"/>
      <c r="BS50" s="1005"/>
      <c r="BT50" s="1038"/>
      <c r="BU50" s="1226">
        <v>1.9744621039491056E-3</v>
      </c>
      <c r="BV50" s="1226">
        <v>1.9744621039491056E-3</v>
      </c>
      <c r="BW50" s="1005"/>
      <c r="BX50" s="1005"/>
      <c r="BY50" s="1005"/>
      <c r="BZ50" s="1035"/>
      <c r="CA50" s="1013"/>
      <c r="CB50" s="1013"/>
      <c r="CC50" s="1013"/>
      <c r="CD50" s="1035"/>
      <c r="CE50" s="1035"/>
      <c r="CF50" s="1176"/>
      <c r="CG50" s="1236">
        <v>0</v>
      </c>
      <c r="CH50" s="1004"/>
      <c r="CI50" s="1004"/>
      <c r="CJ50" s="1004"/>
      <c r="CK50" s="1004"/>
      <c r="CL50" s="1004"/>
      <c r="CM50" s="1004"/>
      <c r="CN50" s="1004"/>
      <c r="CO50" s="1008"/>
      <c r="CP50" s="1013"/>
      <c r="CQ50" s="1013"/>
      <c r="CR50" s="1004"/>
      <c r="CS50" s="1004"/>
      <c r="CT50" s="1004"/>
      <c r="CU50" s="1008"/>
      <c r="CV50" s="1236">
        <v>0</v>
      </c>
      <c r="CW50" s="1004"/>
      <c r="CX50" s="1013"/>
      <c r="CY50" s="1013"/>
      <c r="CZ50" s="1013"/>
      <c r="DA50" s="1004"/>
      <c r="DB50" s="1013"/>
      <c r="DC50" s="1004"/>
      <c r="DD50" s="1036"/>
      <c r="DE50" s="1236">
        <v>0</v>
      </c>
      <c r="DF50" s="1236">
        <v>0</v>
      </c>
      <c r="DG50" s="1008"/>
      <c r="DH50" s="1014"/>
      <c r="DI50" s="1008"/>
      <c r="DJ50" s="1008"/>
      <c r="DK50" s="1013"/>
      <c r="DL50" s="1013"/>
      <c r="DM50" s="1013"/>
      <c r="DN50" s="1008"/>
      <c r="DO50" s="1008"/>
      <c r="DP50" s="1176"/>
      <c r="DQ50" s="1199">
        <f t="shared" si="173"/>
        <v>0</v>
      </c>
      <c r="DR50" s="1199">
        <f t="shared" si="174"/>
        <v>0</v>
      </c>
      <c r="DS50" s="1199">
        <f t="shared" si="174"/>
        <v>0</v>
      </c>
      <c r="DT50" s="1199">
        <f t="shared" si="174"/>
        <v>0</v>
      </c>
      <c r="DU50" s="1199">
        <f t="shared" si="174"/>
        <v>0</v>
      </c>
      <c r="DV50" s="1199">
        <f t="shared" si="174"/>
        <v>0</v>
      </c>
      <c r="DW50" s="1199">
        <f t="shared" si="174"/>
        <v>0</v>
      </c>
      <c r="DX50" s="1199">
        <f t="shared" si="174"/>
        <v>0</v>
      </c>
      <c r="DY50" s="1199">
        <f t="shared" si="174"/>
        <v>0</v>
      </c>
      <c r="DZ50" s="1199">
        <f t="shared" si="174"/>
        <v>0</v>
      </c>
      <c r="EA50" s="1199">
        <f t="shared" si="174"/>
        <v>0</v>
      </c>
      <c r="EB50" s="1199">
        <f t="shared" si="175"/>
        <v>0</v>
      </c>
      <c r="EC50" s="1199">
        <f t="shared" si="175"/>
        <v>0</v>
      </c>
      <c r="ED50" s="1199">
        <f t="shared" si="175"/>
        <v>0</v>
      </c>
      <c r="EE50" s="1199">
        <f t="shared" si="175"/>
        <v>0</v>
      </c>
      <c r="EF50" s="1199">
        <f t="shared" si="175"/>
        <v>0</v>
      </c>
      <c r="EG50" s="1199">
        <f t="shared" si="175"/>
        <v>0</v>
      </c>
      <c r="EH50" s="1199">
        <f t="shared" si="175"/>
        <v>0</v>
      </c>
      <c r="EI50" s="1199">
        <f t="shared" si="175"/>
        <v>0</v>
      </c>
      <c r="EJ50" s="1199">
        <f t="shared" si="175"/>
        <v>0</v>
      </c>
      <c r="EK50" s="1199">
        <f t="shared" si="175"/>
        <v>0</v>
      </c>
      <c r="EL50" s="1199">
        <f t="shared" si="176"/>
        <v>0</v>
      </c>
      <c r="EM50" s="1199">
        <f t="shared" si="176"/>
        <v>0</v>
      </c>
      <c r="EN50" s="1199">
        <f t="shared" si="176"/>
        <v>0</v>
      </c>
      <c r="EO50" s="1199">
        <f t="shared" si="177"/>
        <v>0</v>
      </c>
      <c r="EP50" s="1199">
        <f t="shared" si="177"/>
        <v>0</v>
      </c>
      <c r="EQ50" s="1199">
        <f t="shared" si="178"/>
        <v>0</v>
      </c>
      <c r="ER50" s="1199">
        <f t="shared" si="178"/>
        <v>0</v>
      </c>
      <c r="ES50" s="1199">
        <f t="shared" si="178"/>
        <v>0</v>
      </c>
      <c r="ET50" s="1199">
        <f t="shared" si="178"/>
        <v>0</v>
      </c>
      <c r="EU50" s="1199">
        <f t="shared" si="178"/>
        <v>0</v>
      </c>
      <c r="EV50" s="1199">
        <f t="shared" si="178"/>
        <v>0</v>
      </c>
      <c r="EW50" s="1199">
        <f t="shared" si="178"/>
        <v>0</v>
      </c>
      <c r="EX50" s="1199">
        <f t="shared" si="178"/>
        <v>0</v>
      </c>
      <c r="EY50" s="1199">
        <f t="shared" si="178"/>
        <v>0</v>
      </c>
      <c r="EZ50" s="1175">
        <f t="shared" si="179"/>
        <v>0</v>
      </c>
      <c r="FA50" s="1177"/>
      <c r="FB50" s="1202">
        <f t="shared" si="180"/>
        <v>0</v>
      </c>
      <c r="FC50" s="1202">
        <f t="shared" si="180"/>
        <v>0</v>
      </c>
      <c r="FD50" s="1202">
        <f t="shared" si="180"/>
        <v>0</v>
      </c>
      <c r="FE50" s="1202">
        <f t="shared" si="180"/>
        <v>0</v>
      </c>
      <c r="FF50" s="1202">
        <f t="shared" si="180"/>
        <v>0</v>
      </c>
      <c r="FG50" s="1202">
        <f t="shared" si="180"/>
        <v>0</v>
      </c>
      <c r="FH50" s="1202">
        <f t="shared" si="180"/>
        <v>0</v>
      </c>
      <c r="FI50" s="1202">
        <f t="shared" si="180"/>
        <v>0</v>
      </c>
      <c r="FJ50" s="1202">
        <f t="shared" si="180"/>
        <v>0</v>
      </c>
      <c r="FK50" s="1202">
        <f t="shared" si="180"/>
        <v>0</v>
      </c>
      <c r="FL50" s="1202">
        <f t="shared" si="181"/>
        <v>0</v>
      </c>
      <c r="FM50" s="1202">
        <f t="shared" si="181"/>
        <v>0</v>
      </c>
      <c r="FN50" s="1202">
        <f t="shared" si="181"/>
        <v>0</v>
      </c>
      <c r="FO50" s="1202">
        <f t="shared" si="181"/>
        <v>0</v>
      </c>
      <c r="FP50" s="1202">
        <f t="shared" si="181"/>
        <v>0</v>
      </c>
      <c r="FQ50" s="1202">
        <f t="shared" si="181"/>
        <v>0</v>
      </c>
      <c r="FR50" s="1202">
        <f t="shared" si="181"/>
        <v>0</v>
      </c>
      <c r="FS50" s="1202">
        <f t="shared" si="181"/>
        <v>0</v>
      </c>
      <c r="FT50" s="1202">
        <f t="shared" si="181"/>
        <v>0</v>
      </c>
      <c r="FU50" s="1202">
        <f t="shared" si="181"/>
        <v>0</v>
      </c>
      <c r="FV50" s="1202">
        <f t="shared" si="182"/>
        <v>0</v>
      </c>
      <c r="FW50" s="1202">
        <f t="shared" si="182"/>
        <v>0</v>
      </c>
      <c r="FX50" s="1202">
        <f t="shared" si="182"/>
        <v>0</v>
      </c>
      <c r="FY50" s="1202">
        <f t="shared" si="182"/>
        <v>0</v>
      </c>
      <c r="FZ50" s="1202">
        <f t="shared" si="182"/>
        <v>0</v>
      </c>
      <c r="GA50" s="1202">
        <f t="shared" si="182"/>
        <v>0</v>
      </c>
      <c r="GB50" s="1202">
        <f t="shared" si="182"/>
        <v>0</v>
      </c>
      <c r="GC50" s="1202">
        <f t="shared" si="182"/>
        <v>0</v>
      </c>
      <c r="GD50" s="1202">
        <f t="shared" si="182"/>
        <v>0</v>
      </c>
      <c r="GE50" s="1202">
        <f t="shared" si="182"/>
        <v>0</v>
      </c>
      <c r="GF50" s="1202">
        <f t="shared" si="183"/>
        <v>0</v>
      </c>
      <c r="GG50" s="1202">
        <f t="shared" si="183"/>
        <v>0</v>
      </c>
      <c r="GH50" s="1202">
        <f t="shared" si="183"/>
        <v>0</v>
      </c>
      <c r="GI50" s="1202">
        <f t="shared" si="183"/>
        <v>0</v>
      </c>
      <c r="GJ50" s="1202">
        <f t="shared" si="183"/>
        <v>0</v>
      </c>
      <c r="GK50" s="1174">
        <f t="shared" si="184"/>
        <v>0</v>
      </c>
    </row>
    <row r="51" spans="1:193" s="1015" customFormat="1">
      <c r="A51" s="1003"/>
      <c r="B51" s="1149"/>
      <c r="C51" s="1149" t="s">
        <v>1623</v>
      </c>
      <c r="D51" s="1204" t="str">
        <f>D30</f>
        <v>West SAC&gt;100MWhpa DemandSmall</v>
      </c>
      <c r="E51" s="1204" t="s">
        <v>765</v>
      </c>
      <c r="F51" s="1204" t="s">
        <v>766</v>
      </c>
      <c r="G51" s="1204" t="s">
        <v>790</v>
      </c>
      <c r="H51" s="1204" t="s">
        <v>1629</v>
      </c>
      <c r="I51" s="1149" t="s">
        <v>744</v>
      </c>
      <c r="J51" s="1176"/>
      <c r="K51" s="1176"/>
      <c r="L51" s="1233">
        <v>71.612800000000007</v>
      </c>
      <c r="M51" s="1037"/>
      <c r="N51" s="1037"/>
      <c r="O51" s="1037"/>
      <c r="P51" s="1037"/>
      <c r="Q51" s="1037"/>
      <c r="R51" s="1004"/>
      <c r="S51" s="1004"/>
      <c r="T51" s="1004"/>
      <c r="U51" s="1013"/>
      <c r="V51" s="1013"/>
      <c r="W51" s="1004"/>
      <c r="X51" s="1004"/>
      <c r="Y51" s="1004"/>
      <c r="Z51" s="1004"/>
      <c r="AA51" s="1004"/>
      <c r="AB51" s="1004"/>
      <c r="AC51" s="1013"/>
      <c r="AD51" s="1004"/>
      <c r="AE51" s="1013"/>
      <c r="AF51" s="1004"/>
      <c r="AG51" s="1013"/>
      <c r="AH51" s="1004"/>
      <c r="AI51" s="1035"/>
      <c r="AJ51" s="1224">
        <v>5.2655267410076341E-3</v>
      </c>
      <c r="AK51" s="1224">
        <v>0.24652500758566293</v>
      </c>
      <c r="AL51" s="1005"/>
      <c r="AM51" s="1005"/>
      <c r="AN51" s="1005"/>
      <c r="AO51" s="1005"/>
      <c r="AP51" s="1013"/>
      <c r="AQ51" s="1013"/>
      <c r="AR51" s="1013"/>
      <c r="AS51" s="1005"/>
      <c r="AT51" s="1005"/>
      <c r="AU51" s="1176"/>
      <c r="AV51" s="1176"/>
      <c r="AW51" s="1231">
        <v>71.612800000000007</v>
      </c>
      <c r="AX51" s="1011"/>
      <c r="AY51" s="1011"/>
      <c r="AZ51" s="1011"/>
      <c r="BA51" s="1011"/>
      <c r="BB51" s="1011"/>
      <c r="BC51" s="1004"/>
      <c r="BD51" s="1004"/>
      <c r="BE51" s="1004"/>
      <c r="BF51" s="1013"/>
      <c r="BG51" s="1013"/>
      <c r="BH51" s="1004"/>
      <c r="BI51" s="1004"/>
      <c r="BJ51" s="1004"/>
      <c r="BK51" s="1004"/>
      <c r="BL51" s="1226">
        <v>65.704499999999996</v>
      </c>
      <c r="BM51" s="1004"/>
      <c r="BN51" s="1013"/>
      <c r="BO51" s="1013"/>
      <c r="BP51" s="1013"/>
      <c r="BQ51" s="1004"/>
      <c r="BR51" s="1035"/>
      <c r="BS51" s="1005"/>
      <c r="BT51" s="1038"/>
      <c r="BU51" s="1226">
        <v>1.672310515522942E-3</v>
      </c>
      <c r="BV51" s="1226">
        <v>1.672310515522942E-3</v>
      </c>
      <c r="BW51" s="1005"/>
      <c r="BX51" s="1005"/>
      <c r="BY51" s="1005"/>
      <c r="BZ51" s="1035"/>
      <c r="CA51" s="1013"/>
      <c r="CB51" s="1013"/>
      <c r="CC51" s="1013"/>
      <c r="CD51" s="1035"/>
      <c r="CE51" s="1035"/>
      <c r="CF51" s="1176"/>
      <c r="CG51" s="1236">
        <v>0</v>
      </c>
      <c r="CH51" s="1004"/>
      <c r="CI51" s="1004"/>
      <c r="CJ51" s="1004"/>
      <c r="CK51" s="1004"/>
      <c r="CL51" s="1004"/>
      <c r="CM51" s="1004"/>
      <c r="CN51" s="1004"/>
      <c r="CO51" s="1008"/>
      <c r="CP51" s="1013"/>
      <c r="CQ51" s="1013"/>
      <c r="CR51" s="1004"/>
      <c r="CS51" s="1004"/>
      <c r="CT51" s="1004"/>
      <c r="CU51" s="1008"/>
      <c r="CV51" s="1236">
        <v>0</v>
      </c>
      <c r="CW51" s="1004"/>
      <c r="CX51" s="1013"/>
      <c r="CY51" s="1013"/>
      <c r="CZ51" s="1013"/>
      <c r="DA51" s="1004"/>
      <c r="DB51" s="1013"/>
      <c r="DC51" s="1004"/>
      <c r="DD51" s="1036"/>
      <c r="DE51" s="1236">
        <v>0</v>
      </c>
      <c r="DF51" s="1236">
        <v>0</v>
      </c>
      <c r="DG51" s="1008"/>
      <c r="DH51" s="1014"/>
      <c r="DI51" s="1008"/>
      <c r="DJ51" s="1008"/>
      <c r="DK51" s="1013"/>
      <c r="DL51" s="1013"/>
      <c r="DM51" s="1013"/>
      <c r="DN51" s="1008"/>
      <c r="DO51" s="1008"/>
      <c r="DP51" s="1176"/>
      <c r="DQ51" s="1199">
        <f t="shared" si="173"/>
        <v>0</v>
      </c>
      <c r="DR51" s="1199">
        <f t="shared" si="174"/>
        <v>0</v>
      </c>
      <c r="DS51" s="1199">
        <f t="shared" si="174"/>
        <v>0</v>
      </c>
      <c r="DT51" s="1199">
        <f t="shared" si="174"/>
        <v>0</v>
      </c>
      <c r="DU51" s="1199">
        <f t="shared" si="174"/>
        <v>0</v>
      </c>
      <c r="DV51" s="1199">
        <f t="shared" si="174"/>
        <v>0</v>
      </c>
      <c r="DW51" s="1199">
        <f t="shared" si="174"/>
        <v>0</v>
      </c>
      <c r="DX51" s="1199">
        <f t="shared" si="174"/>
        <v>0</v>
      </c>
      <c r="DY51" s="1199">
        <f t="shared" si="174"/>
        <v>0</v>
      </c>
      <c r="DZ51" s="1199">
        <f t="shared" si="174"/>
        <v>0</v>
      </c>
      <c r="EA51" s="1199">
        <f t="shared" si="174"/>
        <v>0</v>
      </c>
      <c r="EB51" s="1199">
        <f t="shared" si="175"/>
        <v>0</v>
      </c>
      <c r="EC51" s="1199">
        <f t="shared" si="175"/>
        <v>0</v>
      </c>
      <c r="ED51" s="1199">
        <f t="shared" si="175"/>
        <v>0</v>
      </c>
      <c r="EE51" s="1199">
        <f t="shared" si="175"/>
        <v>0</v>
      </c>
      <c r="EF51" s="1199">
        <f t="shared" si="175"/>
        <v>0</v>
      </c>
      <c r="EG51" s="1199">
        <f t="shared" si="175"/>
        <v>0</v>
      </c>
      <c r="EH51" s="1199">
        <f t="shared" si="175"/>
        <v>0</v>
      </c>
      <c r="EI51" s="1199">
        <f t="shared" si="175"/>
        <v>0</v>
      </c>
      <c r="EJ51" s="1199">
        <f t="shared" si="175"/>
        <v>0</v>
      </c>
      <c r="EK51" s="1199">
        <f t="shared" si="175"/>
        <v>0</v>
      </c>
      <c r="EL51" s="1199">
        <f t="shared" si="176"/>
        <v>0</v>
      </c>
      <c r="EM51" s="1199">
        <f t="shared" si="176"/>
        <v>0</v>
      </c>
      <c r="EN51" s="1199">
        <f t="shared" si="176"/>
        <v>0</v>
      </c>
      <c r="EO51" s="1199">
        <f t="shared" si="177"/>
        <v>0</v>
      </c>
      <c r="EP51" s="1199">
        <f t="shared" si="177"/>
        <v>0</v>
      </c>
      <c r="EQ51" s="1199">
        <f t="shared" si="178"/>
        <v>0</v>
      </c>
      <c r="ER51" s="1199">
        <f t="shared" si="178"/>
        <v>0</v>
      </c>
      <c r="ES51" s="1199">
        <f t="shared" si="178"/>
        <v>0</v>
      </c>
      <c r="ET51" s="1199">
        <f t="shared" si="178"/>
        <v>0</v>
      </c>
      <c r="EU51" s="1199">
        <f t="shared" si="178"/>
        <v>0</v>
      </c>
      <c r="EV51" s="1199">
        <f t="shared" si="178"/>
        <v>0</v>
      </c>
      <c r="EW51" s="1199">
        <f t="shared" si="178"/>
        <v>0</v>
      </c>
      <c r="EX51" s="1199">
        <f t="shared" si="178"/>
        <v>0</v>
      </c>
      <c r="EY51" s="1199">
        <f t="shared" si="178"/>
        <v>0</v>
      </c>
      <c r="EZ51" s="1175">
        <f t="shared" si="179"/>
        <v>0</v>
      </c>
      <c r="FA51" s="1177"/>
      <c r="FB51" s="1202">
        <f t="shared" si="180"/>
        <v>0</v>
      </c>
      <c r="FC51" s="1202">
        <f t="shared" si="180"/>
        <v>0</v>
      </c>
      <c r="FD51" s="1202">
        <f t="shared" si="180"/>
        <v>0</v>
      </c>
      <c r="FE51" s="1202">
        <f t="shared" si="180"/>
        <v>0</v>
      </c>
      <c r="FF51" s="1202">
        <f t="shared" si="180"/>
        <v>0</v>
      </c>
      <c r="FG51" s="1202">
        <f t="shared" si="180"/>
        <v>0</v>
      </c>
      <c r="FH51" s="1202">
        <f t="shared" si="180"/>
        <v>0</v>
      </c>
      <c r="FI51" s="1202">
        <f t="shared" si="180"/>
        <v>0</v>
      </c>
      <c r="FJ51" s="1202">
        <f t="shared" si="180"/>
        <v>0</v>
      </c>
      <c r="FK51" s="1202">
        <f t="shared" si="180"/>
        <v>0</v>
      </c>
      <c r="FL51" s="1202">
        <f t="shared" si="181"/>
        <v>0</v>
      </c>
      <c r="FM51" s="1202">
        <f t="shared" si="181"/>
        <v>0</v>
      </c>
      <c r="FN51" s="1202">
        <f t="shared" si="181"/>
        <v>0</v>
      </c>
      <c r="FO51" s="1202">
        <f t="shared" si="181"/>
        <v>0</v>
      </c>
      <c r="FP51" s="1202">
        <f t="shared" si="181"/>
        <v>0</v>
      </c>
      <c r="FQ51" s="1202">
        <f t="shared" si="181"/>
        <v>0</v>
      </c>
      <c r="FR51" s="1202">
        <f t="shared" si="181"/>
        <v>0</v>
      </c>
      <c r="FS51" s="1202">
        <f t="shared" si="181"/>
        <v>0</v>
      </c>
      <c r="FT51" s="1202">
        <f t="shared" si="181"/>
        <v>0</v>
      </c>
      <c r="FU51" s="1202">
        <f t="shared" si="181"/>
        <v>0</v>
      </c>
      <c r="FV51" s="1202">
        <f t="shared" si="182"/>
        <v>0</v>
      </c>
      <c r="FW51" s="1202">
        <f t="shared" si="182"/>
        <v>0</v>
      </c>
      <c r="FX51" s="1202">
        <f t="shared" si="182"/>
        <v>0</v>
      </c>
      <c r="FY51" s="1202">
        <f t="shared" si="182"/>
        <v>0</v>
      </c>
      <c r="FZ51" s="1202">
        <f t="shared" si="182"/>
        <v>0</v>
      </c>
      <c r="GA51" s="1202">
        <f t="shared" si="182"/>
        <v>0</v>
      </c>
      <c r="GB51" s="1202">
        <f t="shared" si="182"/>
        <v>0</v>
      </c>
      <c r="GC51" s="1202">
        <f t="shared" si="182"/>
        <v>0</v>
      </c>
      <c r="GD51" s="1202">
        <f t="shared" si="182"/>
        <v>0</v>
      </c>
      <c r="GE51" s="1202">
        <f t="shared" si="182"/>
        <v>0</v>
      </c>
      <c r="GF51" s="1202">
        <f t="shared" si="183"/>
        <v>0</v>
      </c>
      <c r="GG51" s="1202">
        <f t="shared" si="183"/>
        <v>0</v>
      </c>
      <c r="GH51" s="1202">
        <f t="shared" si="183"/>
        <v>0</v>
      </c>
      <c r="GI51" s="1202">
        <f t="shared" si="183"/>
        <v>0</v>
      </c>
      <c r="GJ51" s="1202">
        <f t="shared" si="183"/>
        <v>0</v>
      </c>
      <c r="GK51" s="1174">
        <f t="shared" si="184"/>
        <v>0</v>
      </c>
    </row>
    <row r="52" spans="1:193" s="1015" customFormat="1">
      <c r="A52" s="1003"/>
      <c r="B52" s="1149"/>
      <c r="C52" s="1149" t="s">
        <v>1625</v>
      </c>
      <c r="D52" s="1204" t="str">
        <f>D33</f>
        <v>MtIsa SAC&gt;100MWhpa DemandSmall</v>
      </c>
      <c r="E52" s="1204" t="s">
        <v>765</v>
      </c>
      <c r="F52" s="1204" t="s">
        <v>766</v>
      </c>
      <c r="G52" s="1204" t="s">
        <v>791</v>
      </c>
      <c r="H52" s="1204" t="s">
        <v>1631</v>
      </c>
      <c r="I52" s="1149" t="s">
        <v>744</v>
      </c>
      <c r="J52" s="1176"/>
      <c r="K52" s="1176"/>
      <c r="L52" s="1233">
        <v>21.37595</v>
      </c>
      <c r="M52" s="1037"/>
      <c r="N52" s="1037"/>
      <c r="O52" s="1037"/>
      <c r="P52" s="1037"/>
      <c r="Q52" s="1037"/>
      <c r="R52" s="1004"/>
      <c r="S52" s="1004"/>
      <c r="T52" s="1004"/>
      <c r="U52" s="1013"/>
      <c r="V52" s="1013"/>
      <c r="W52" s="1004"/>
      <c r="X52" s="1004"/>
      <c r="Y52" s="1004"/>
      <c r="Z52" s="1004"/>
      <c r="AA52" s="1004"/>
      <c r="AB52" s="1004"/>
      <c r="AC52" s="1013"/>
      <c r="AD52" s="1004"/>
      <c r="AE52" s="1013"/>
      <c r="AF52" s="1004"/>
      <c r="AG52" s="1013"/>
      <c r="AH52" s="1004"/>
      <c r="AI52" s="1035"/>
      <c r="AJ52" s="1224">
        <v>2.5175116444294322E-3</v>
      </c>
      <c r="AK52" s="1224">
        <v>5.717021638780434E-2</v>
      </c>
      <c r="AL52" s="1005"/>
      <c r="AM52" s="1005"/>
      <c r="AN52" s="1005"/>
      <c r="AO52" s="1005"/>
      <c r="AP52" s="1013"/>
      <c r="AQ52" s="1013"/>
      <c r="AR52" s="1013"/>
      <c r="AS52" s="1005"/>
      <c r="AT52" s="1005"/>
      <c r="AU52" s="1176"/>
      <c r="AV52" s="1176"/>
      <c r="AW52" s="1231">
        <v>21.37595</v>
      </c>
      <c r="AX52" s="1011"/>
      <c r="AY52" s="1011"/>
      <c r="AZ52" s="1011"/>
      <c r="BA52" s="1011"/>
      <c r="BB52" s="1011"/>
      <c r="BC52" s="1004"/>
      <c r="BD52" s="1004"/>
      <c r="BE52" s="1004"/>
      <c r="BF52" s="1013"/>
      <c r="BG52" s="1013"/>
      <c r="BH52" s="1004"/>
      <c r="BI52" s="1004"/>
      <c r="BJ52" s="1004"/>
      <c r="BK52" s="1004"/>
      <c r="BL52" s="1226">
        <v>14.8896</v>
      </c>
      <c r="BM52" s="1004"/>
      <c r="BN52" s="1013"/>
      <c r="BO52" s="1013"/>
      <c r="BP52" s="1013"/>
      <c r="BQ52" s="1004"/>
      <c r="BR52" s="1035"/>
      <c r="BS52" s="1005"/>
      <c r="BT52" s="1038"/>
      <c r="BU52" s="1226">
        <v>1.9470111878998149E-3</v>
      </c>
      <c r="BV52" s="1226">
        <v>1.9470111878998149E-3</v>
      </c>
      <c r="BW52" s="1005"/>
      <c r="BX52" s="1005"/>
      <c r="BY52" s="1005"/>
      <c r="BZ52" s="1035"/>
      <c r="CA52" s="1013"/>
      <c r="CB52" s="1013"/>
      <c r="CC52" s="1013"/>
      <c r="CD52" s="1035"/>
      <c r="CE52" s="1035"/>
      <c r="CF52" s="1176"/>
      <c r="CG52" s="1236">
        <v>0</v>
      </c>
      <c r="CH52" s="1004"/>
      <c r="CI52" s="1004"/>
      <c r="CJ52" s="1004"/>
      <c r="CK52" s="1004"/>
      <c r="CL52" s="1004"/>
      <c r="CM52" s="1004"/>
      <c r="CN52" s="1004"/>
      <c r="CO52" s="1008"/>
      <c r="CP52" s="1013"/>
      <c r="CQ52" s="1013"/>
      <c r="CR52" s="1004"/>
      <c r="CS52" s="1004"/>
      <c r="CT52" s="1004"/>
      <c r="CU52" s="1008"/>
      <c r="CV52" s="1236">
        <v>0</v>
      </c>
      <c r="CW52" s="1004"/>
      <c r="CX52" s="1013"/>
      <c r="CY52" s="1013"/>
      <c r="CZ52" s="1013"/>
      <c r="DA52" s="1004"/>
      <c r="DB52" s="1013"/>
      <c r="DC52" s="1004"/>
      <c r="DD52" s="1036"/>
      <c r="DE52" s="1236">
        <v>0</v>
      </c>
      <c r="DF52" s="1236">
        <v>0</v>
      </c>
      <c r="DG52" s="1008"/>
      <c r="DH52" s="1014"/>
      <c r="DI52" s="1008"/>
      <c r="DJ52" s="1008"/>
      <c r="DK52" s="1013"/>
      <c r="DL52" s="1013"/>
      <c r="DM52" s="1013"/>
      <c r="DN52" s="1008"/>
      <c r="DO52" s="1008"/>
      <c r="DP52" s="1176"/>
      <c r="DQ52" s="1199">
        <f t="shared" si="173"/>
        <v>0</v>
      </c>
      <c r="DR52" s="1199">
        <f t="shared" si="174"/>
        <v>0</v>
      </c>
      <c r="DS52" s="1199">
        <f t="shared" si="174"/>
        <v>0</v>
      </c>
      <c r="DT52" s="1199">
        <f t="shared" si="174"/>
        <v>0</v>
      </c>
      <c r="DU52" s="1199">
        <f t="shared" si="174"/>
        <v>0</v>
      </c>
      <c r="DV52" s="1199">
        <f t="shared" si="174"/>
        <v>0</v>
      </c>
      <c r="DW52" s="1199">
        <f t="shared" si="174"/>
        <v>0</v>
      </c>
      <c r="DX52" s="1199">
        <f t="shared" si="174"/>
        <v>0</v>
      </c>
      <c r="DY52" s="1199">
        <f t="shared" si="174"/>
        <v>0</v>
      </c>
      <c r="DZ52" s="1199">
        <f t="shared" si="174"/>
        <v>0</v>
      </c>
      <c r="EA52" s="1199">
        <f t="shared" si="174"/>
        <v>0</v>
      </c>
      <c r="EB52" s="1199">
        <f t="shared" si="175"/>
        <v>0</v>
      </c>
      <c r="EC52" s="1199">
        <f t="shared" si="175"/>
        <v>0</v>
      </c>
      <c r="ED52" s="1199">
        <f t="shared" si="175"/>
        <v>0</v>
      </c>
      <c r="EE52" s="1199">
        <f t="shared" si="175"/>
        <v>0</v>
      </c>
      <c r="EF52" s="1199">
        <f t="shared" si="175"/>
        <v>0</v>
      </c>
      <c r="EG52" s="1199">
        <f t="shared" si="175"/>
        <v>0</v>
      </c>
      <c r="EH52" s="1199">
        <f t="shared" si="175"/>
        <v>0</v>
      </c>
      <c r="EI52" s="1199">
        <f t="shared" si="175"/>
        <v>0</v>
      </c>
      <c r="EJ52" s="1199">
        <f t="shared" si="175"/>
        <v>0</v>
      </c>
      <c r="EK52" s="1199">
        <f t="shared" si="175"/>
        <v>0</v>
      </c>
      <c r="EL52" s="1199">
        <f t="shared" si="176"/>
        <v>0</v>
      </c>
      <c r="EM52" s="1199">
        <f t="shared" si="176"/>
        <v>0</v>
      </c>
      <c r="EN52" s="1199">
        <f t="shared" si="176"/>
        <v>0</v>
      </c>
      <c r="EO52" s="1199">
        <f t="shared" si="177"/>
        <v>0</v>
      </c>
      <c r="EP52" s="1199">
        <f t="shared" si="177"/>
        <v>0</v>
      </c>
      <c r="EQ52" s="1199">
        <f t="shared" si="178"/>
        <v>0</v>
      </c>
      <c r="ER52" s="1199">
        <f t="shared" si="178"/>
        <v>0</v>
      </c>
      <c r="ES52" s="1199">
        <f t="shared" si="178"/>
        <v>0</v>
      </c>
      <c r="ET52" s="1199">
        <f t="shared" si="178"/>
        <v>0</v>
      </c>
      <c r="EU52" s="1199">
        <f t="shared" si="178"/>
        <v>0</v>
      </c>
      <c r="EV52" s="1199">
        <f t="shared" si="178"/>
        <v>0</v>
      </c>
      <c r="EW52" s="1199">
        <f t="shared" si="178"/>
        <v>0</v>
      </c>
      <c r="EX52" s="1199">
        <f t="shared" si="178"/>
        <v>0</v>
      </c>
      <c r="EY52" s="1199">
        <f t="shared" si="178"/>
        <v>0</v>
      </c>
      <c r="EZ52" s="1175">
        <f t="shared" si="179"/>
        <v>0</v>
      </c>
      <c r="FA52" s="1177"/>
      <c r="FB52" s="1202">
        <f t="shared" si="180"/>
        <v>0</v>
      </c>
      <c r="FC52" s="1202">
        <f t="shared" si="180"/>
        <v>0</v>
      </c>
      <c r="FD52" s="1202">
        <f t="shared" si="180"/>
        <v>0</v>
      </c>
      <c r="FE52" s="1202">
        <f t="shared" si="180"/>
        <v>0</v>
      </c>
      <c r="FF52" s="1202">
        <f t="shared" si="180"/>
        <v>0</v>
      </c>
      <c r="FG52" s="1202">
        <f t="shared" si="180"/>
        <v>0</v>
      </c>
      <c r="FH52" s="1202">
        <f t="shared" si="180"/>
        <v>0</v>
      </c>
      <c r="FI52" s="1202">
        <f t="shared" si="180"/>
        <v>0</v>
      </c>
      <c r="FJ52" s="1202">
        <f t="shared" si="180"/>
        <v>0</v>
      </c>
      <c r="FK52" s="1202">
        <f t="shared" si="180"/>
        <v>0</v>
      </c>
      <c r="FL52" s="1202">
        <f t="shared" si="181"/>
        <v>0</v>
      </c>
      <c r="FM52" s="1202">
        <f t="shared" si="181"/>
        <v>0</v>
      </c>
      <c r="FN52" s="1202">
        <f t="shared" si="181"/>
        <v>0</v>
      </c>
      <c r="FO52" s="1202">
        <f t="shared" si="181"/>
        <v>0</v>
      </c>
      <c r="FP52" s="1202">
        <f t="shared" si="181"/>
        <v>0</v>
      </c>
      <c r="FQ52" s="1202">
        <f t="shared" si="181"/>
        <v>0</v>
      </c>
      <c r="FR52" s="1202">
        <f t="shared" si="181"/>
        <v>0</v>
      </c>
      <c r="FS52" s="1202">
        <f t="shared" si="181"/>
        <v>0</v>
      </c>
      <c r="FT52" s="1202">
        <f t="shared" si="181"/>
        <v>0</v>
      </c>
      <c r="FU52" s="1202">
        <f t="shared" si="181"/>
        <v>0</v>
      </c>
      <c r="FV52" s="1202">
        <f t="shared" si="182"/>
        <v>0</v>
      </c>
      <c r="FW52" s="1202">
        <f t="shared" si="182"/>
        <v>0</v>
      </c>
      <c r="FX52" s="1202">
        <f t="shared" si="182"/>
        <v>0</v>
      </c>
      <c r="FY52" s="1202">
        <f t="shared" si="182"/>
        <v>0</v>
      </c>
      <c r="FZ52" s="1202">
        <f t="shared" si="182"/>
        <v>0</v>
      </c>
      <c r="GA52" s="1202">
        <f t="shared" si="182"/>
        <v>0</v>
      </c>
      <c r="GB52" s="1202">
        <f t="shared" si="182"/>
        <v>0</v>
      </c>
      <c r="GC52" s="1202">
        <f t="shared" si="182"/>
        <v>0</v>
      </c>
      <c r="GD52" s="1202">
        <f t="shared" si="182"/>
        <v>0</v>
      </c>
      <c r="GE52" s="1202">
        <f t="shared" si="182"/>
        <v>0</v>
      </c>
      <c r="GF52" s="1202">
        <f t="shared" si="183"/>
        <v>0</v>
      </c>
      <c r="GG52" s="1202">
        <f t="shared" si="183"/>
        <v>0</v>
      </c>
      <c r="GH52" s="1202">
        <f t="shared" si="183"/>
        <v>0</v>
      </c>
      <c r="GI52" s="1202">
        <f t="shared" si="183"/>
        <v>0</v>
      </c>
      <c r="GJ52" s="1202">
        <f t="shared" si="183"/>
        <v>0</v>
      </c>
      <c r="GK52" s="1174">
        <f t="shared" si="184"/>
        <v>0</v>
      </c>
    </row>
    <row r="53" spans="1:193" ht="6" customHeight="1">
      <c r="A53" s="1184" t="s">
        <v>742</v>
      </c>
      <c r="B53" s="1184" t="s">
        <v>742</v>
      </c>
      <c r="C53" s="1184"/>
      <c r="D53" s="1184"/>
      <c r="E53" s="1184"/>
      <c r="F53" s="1184"/>
      <c r="G53" s="1184"/>
      <c r="H53" s="1184"/>
      <c r="I53" s="1184"/>
      <c r="J53" s="1234"/>
      <c r="K53" s="1234"/>
      <c r="L53" s="1185"/>
      <c r="M53" s="1185"/>
      <c r="N53" s="1185"/>
      <c r="O53" s="1185"/>
      <c r="P53" s="1185"/>
      <c r="Q53" s="1185"/>
      <c r="R53" s="1185"/>
      <c r="S53" s="1185"/>
      <c r="T53" s="1185"/>
      <c r="U53" s="1185"/>
      <c r="V53" s="1185"/>
      <c r="W53" s="1185"/>
      <c r="X53" s="1185"/>
      <c r="Y53" s="1185"/>
      <c r="Z53" s="1185"/>
      <c r="AA53" s="1185"/>
      <c r="AB53" s="1185"/>
      <c r="AC53" s="1185"/>
      <c r="AD53" s="1185"/>
      <c r="AE53" s="1185"/>
      <c r="AF53" s="1185"/>
      <c r="AG53" s="1185"/>
      <c r="AH53" s="1185"/>
      <c r="AI53" s="1186"/>
      <c r="AJ53" s="1186"/>
      <c r="AK53" s="1186"/>
      <c r="AL53" s="1186"/>
      <c r="AM53" s="1186"/>
      <c r="AN53" s="1186"/>
      <c r="AO53" s="1186"/>
      <c r="AP53" s="1185"/>
      <c r="AQ53" s="1185"/>
      <c r="AR53" s="1185"/>
      <c r="AS53" s="1186"/>
      <c r="AT53" s="1186"/>
      <c r="AU53" s="1184"/>
      <c r="AV53" s="1184"/>
      <c r="AW53" s="1185"/>
      <c r="AX53" s="1185"/>
      <c r="AY53" s="1185"/>
      <c r="AZ53" s="1185"/>
      <c r="BA53" s="1185"/>
      <c r="BB53" s="1185"/>
      <c r="BC53" s="1185"/>
      <c r="BD53" s="1185"/>
      <c r="BE53" s="1185"/>
      <c r="BF53" s="1185"/>
      <c r="BG53" s="1185"/>
      <c r="BH53" s="1185"/>
      <c r="BI53" s="1185"/>
      <c r="BJ53" s="1185"/>
      <c r="BK53" s="1185"/>
      <c r="BL53" s="1185"/>
      <c r="BM53" s="1185"/>
      <c r="BN53" s="1185"/>
      <c r="BO53" s="1185"/>
      <c r="BP53" s="1185"/>
      <c r="BQ53" s="1185"/>
      <c r="BR53" s="1186"/>
      <c r="BS53" s="1186"/>
      <c r="BT53" s="1301"/>
      <c r="BU53" s="1186"/>
      <c r="BV53" s="1186"/>
      <c r="BW53" s="1186"/>
      <c r="BX53" s="1186"/>
      <c r="BY53" s="1186"/>
      <c r="BZ53" s="1186"/>
      <c r="CA53" s="1185"/>
      <c r="CB53" s="1185"/>
      <c r="CC53" s="1185"/>
      <c r="CD53" s="1186"/>
      <c r="CE53" s="1186"/>
      <c r="CF53" s="1184"/>
      <c r="CG53" s="1189"/>
      <c r="CH53" s="1187"/>
      <c r="CI53" s="1187"/>
      <c r="CJ53" s="1187"/>
      <c r="CK53" s="1187"/>
      <c r="CL53" s="1187"/>
      <c r="CM53" s="1187"/>
      <c r="CN53" s="1188"/>
      <c r="CO53" s="1189"/>
      <c r="CP53" s="1187"/>
      <c r="CQ53" s="1187"/>
      <c r="CR53" s="1188"/>
      <c r="CS53" s="1187"/>
      <c r="CT53" s="1187"/>
      <c r="CU53" s="1189"/>
      <c r="CV53" s="1187"/>
      <c r="CW53" s="1187"/>
      <c r="CX53" s="1187"/>
      <c r="CY53" s="1187"/>
      <c r="CZ53" s="1187"/>
      <c r="DA53" s="1187"/>
      <c r="DB53" s="1187"/>
      <c r="DC53" s="1187"/>
      <c r="DD53" s="1189"/>
      <c r="DE53" s="1189"/>
      <c r="DF53" s="1189"/>
      <c r="DG53" s="1189"/>
      <c r="DH53" s="1190"/>
      <c r="DI53" s="1189"/>
      <c r="DJ53" s="1189"/>
      <c r="DK53" s="1187"/>
      <c r="DL53" s="1187"/>
      <c r="DM53" s="1187"/>
      <c r="DN53" s="1189"/>
      <c r="DO53" s="1189"/>
      <c r="DP53" s="1184"/>
      <c r="DQ53" s="1191"/>
      <c r="DR53" s="1191"/>
      <c r="DS53" s="1191"/>
      <c r="DT53" s="1191"/>
      <c r="DU53" s="1191"/>
      <c r="DV53" s="1191"/>
      <c r="DW53" s="1191"/>
      <c r="DX53" s="1191"/>
      <c r="DY53" s="1191"/>
      <c r="DZ53" s="1191"/>
      <c r="EA53" s="1191"/>
      <c r="EB53" s="1192"/>
      <c r="EC53" s="1191"/>
      <c r="ED53" s="1191"/>
      <c r="EE53" s="1191"/>
      <c r="EF53" s="1191"/>
      <c r="EG53" s="1191"/>
      <c r="EH53" s="1191"/>
      <c r="EI53" s="1191"/>
      <c r="EJ53" s="1191"/>
      <c r="EK53" s="1191"/>
      <c r="EL53" s="1191"/>
      <c r="EM53" s="1191"/>
      <c r="EN53" s="1191"/>
      <c r="EO53" s="1191"/>
      <c r="EP53" s="1191"/>
      <c r="EQ53" s="1191"/>
      <c r="ER53" s="1191"/>
      <c r="ES53" s="1191"/>
      <c r="ET53" s="1191"/>
      <c r="EU53" s="1191"/>
      <c r="EV53" s="1191"/>
      <c r="EW53" s="1191"/>
      <c r="EX53" s="1191"/>
      <c r="EY53" s="1191"/>
      <c r="EZ53" s="1193"/>
      <c r="FA53" s="1184"/>
      <c r="FB53" s="1191"/>
      <c r="FC53" s="1191"/>
      <c r="FD53" s="1191"/>
      <c r="FE53" s="1191"/>
      <c r="FF53" s="1191"/>
      <c r="FG53" s="1191"/>
      <c r="FH53" s="1192"/>
      <c r="FI53" s="1192"/>
      <c r="FJ53" s="1192"/>
      <c r="FK53" s="1192"/>
      <c r="FL53" s="1192"/>
      <c r="FM53" s="1191"/>
      <c r="FN53" s="1191"/>
      <c r="FO53" s="1191"/>
      <c r="FP53" s="1191"/>
      <c r="FQ53" s="1191"/>
      <c r="FR53" s="1191"/>
      <c r="FS53" s="1191"/>
      <c r="FT53" s="1191"/>
      <c r="FU53" s="1191"/>
      <c r="FV53" s="1191"/>
      <c r="FW53" s="1191"/>
      <c r="FX53" s="1191"/>
      <c r="FY53" s="1194"/>
      <c r="FZ53" s="1191"/>
      <c r="GA53" s="1191"/>
      <c r="GB53" s="1191"/>
      <c r="GC53" s="1191"/>
      <c r="GD53" s="1191"/>
      <c r="GE53" s="1191"/>
      <c r="GF53" s="1191"/>
      <c r="GG53" s="1191"/>
      <c r="GH53" s="1191"/>
      <c r="GI53" s="1191"/>
      <c r="GJ53" s="1191"/>
      <c r="GK53" s="1193"/>
    </row>
    <row r="54" spans="1:193" s="1015" customFormat="1">
      <c r="A54" s="1003"/>
      <c r="B54" s="1149"/>
      <c r="C54" s="1149" t="s">
        <v>887</v>
      </c>
      <c r="D54" s="1204" t="s">
        <v>887</v>
      </c>
      <c r="E54" s="1204" t="s">
        <v>765</v>
      </c>
      <c r="F54" s="1204" t="s">
        <v>770</v>
      </c>
      <c r="G54" s="1204" t="s">
        <v>789</v>
      </c>
      <c r="H54" s="1204" t="s">
        <v>196</v>
      </c>
      <c r="I54" s="1149" t="s">
        <v>744</v>
      </c>
      <c r="J54" s="1176"/>
      <c r="K54" s="1176"/>
      <c r="L54" s="1233">
        <v>1.105</v>
      </c>
      <c r="M54" s="1037"/>
      <c r="N54" s="1037"/>
      <c r="O54" s="1037"/>
      <c r="P54" s="1037"/>
      <c r="Q54" s="1037"/>
      <c r="R54" s="1004"/>
      <c r="S54" s="1004"/>
      <c r="T54" s="1004"/>
      <c r="U54" s="1013"/>
      <c r="V54" s="1013"/>
      <c r="W54" s="1004"/>
      <c r="X54" s="1004"/>
      <c r="Y54" s="1004"/>
      <c r="Z54" s="1004"/>
      <c r="AA54" s="1004"/>
      <c r="AB54" s="1004"/>
      <c r="AC54" s="1013"/>
      <c r="AD54" s="1004"/>
      <c r="AE54" s="1013"/>
      <c r="AF54" s="1004"/>
      <c r="AG54" s="1013"/>
      <c r="AH54" s="1004"/>
      <c r="AI54" s="1035"/>
      <c r="AJ54" s="1224">
        <v>2.5719449225473319E-2</v>
      </c>
      <c r="AK54" s="1224">
        <v>7.4874913368164833E-2</v>
      </c>
      <c r="AL54" s="1224">
        <v>0.113658</v>
      </c>
      <c r="AM54" s="1005"/>
      <c r="AN54" s="1005"/>
      <c r="AO54" s="1005"/>
      <c r="AP54" s="1013"/>
      <c r="AQ54" s="1013"/>
      <c r="AR54" s="1013"/>
      <c r="AS54" s="1005"/>
      <c r="AT54" s="1005"/>
      <c r="AU54" s="1176"/>
      <c r="AV54" s="1176"/>
      <c r="AW54" s="1182">
        <v>1.1000000000000001</v>
      </c>
      <c r="AX54" s="1011"/>
      <c r="AY54" s="1011"/>
      <c r="AZ54" s="1011"/>
      <c r="BA54" s="1011"/>
      <c r="BB54" s="1011"/>
      <c r="BC54" s="1004"/>
      <c r="BD54" s="1004"/>
      <c r="BE54" s="1004"/>
      <c r="BF54" s="1013"/>
      <c r="BG54" s="1013"/>
      <c r="BH54" s="1004"/>
      <c r="BI54" s="1004"/>
      <c r="BJ54" s="1004"/>
      <c r="BK54" s="1004"/>
      <c r="BL54" s="1004"/>
      <c r="BM54" s="1004"/>
      <c r="BN54" s="1013"/>
      <c r="BO54" s="1013"/>
      <c r="BP54" s="1013"/>
      <c r="BQ54" s="1004"/>
      <c r="BR54" s="1035"/>
      <c r="BS54" s="1005"/>
      <c r="BT54" s="1038"/>
      <c r="BU54" s="1183">
        <v>2.5499999999999998E-2</v>
      </c>
      <c r="BV54" s="1183">
        <v>6.5717799196422885E-2</v>
      </c>
      <c r="BW54" s="1183">
        <v>0.113658</v>
      </c>
      <c r="BX54" s="1005"/>
      <c r="BY54" s="1005"/>
      <c r="BZ54" s="1035"/>
      <c r="CA54" s="1013"/>
      <c r="CB54" s="1013"/>
      <c r="CC54" s="1013"/>
      <c r="CD54" s="1035"/>
      <c r="CE54" s="1035"/>
      <c r="CF54" s="1176"/>
      <c r="CG54" s="1236">
        <v>54672.720000000008</v>
      </c>
      <c r="CH54" s="1004"/>
      <c r="CI54" s="1004"/>
      <c r="CJ54" s="1004"/>
      <c r="CK54" s="1004"/>
      <c r="CL54" s="1004"/>
      <c r="CM54" s="1004"/>
      <c r="CN54" s="1004"/>
      <c r="CO54" s="1008"/>
      <c r="CP54" s="1013"/>
      <c r="CQ54" s="1013"/>
      <c r="CR54" s="1004"/>
      <c r="CS54" s="1004"/>
      <c r="CT54" s="1004"/>
      <c r="CU54" s="1008"/>
      <c r="CV54" s="1004"/>
      <c r="CW54" s="1004"/>
      <c r="CX54" s="1013"/>
      <c r="CY54" s="1013"/>
      <c r="CZ54" s="1013"/>
      <c r="DA54" s="1004"/>
      <c r="DB54" s="1013"/>
      <c r="DC54" s="1004"/>
      <c r="DD54" s="1036"/>
      <c r="DE54" s="1236">
        <v>12558339.840000002</v>
      </c>
      <c r="DF54" s="1236">
        <v>112581289.2</v>
      </c>
      <c r="DG54" s="1236">
        <v>92362435.26000002</v>
      </c>
      <c r="DH54" s="1014"/>
      <c r="DI54" s="1008"/>
      <c r="DJ54" s="1008"/>
      <c r="DK54" s="1013"/>
      <c r="DL54" s="1013"/>
      <c r="DM54" s="1013"/>
      <c r="DN54" s="1008"/>
      <c r="DO54" s="1008"/>
      <c r="DP54" s="1176"/>
      <c r="DQ54" s="1199">
        <f t="shared" ref="DQ54:DQ71" si="185">L54*CG54*DQ$107</f>
        <v>22050874.794000003</v>
      </c>
      <c r="DR54" s="1199">
        <f t="shared" ref="DR54:DR71" si="186">M54*CH54*DR$107</f>
        <v>0</v>
      </c>
      <c r="DS54" s="1199">
        <f t="shared" ref="DS54:DS71" si="187">N54*CI54*DS$107</f>
        <v>0</v>
      </c>
      <c r="DT54" s="1199">
        <f t="shared" ref="DT54:DT71" si="188">O54*CJ54*DT$107</f>
        <v>0</v>
      </c>
      <c r="DU54" s="1199">
        <f t="shared" ref="DU54:DU71" si="189">P54*CK54*DU$107</f>
        <v>0</v>
      </c>
      <c r="DV54" s="1199">
        <f t="shared" ref="DV54:DV71" si="190">Q54*CL54*DV$107</f>
        <v>0</v>
      </c>
      <c r="DW54" s="1199">
        <f t="shared" ref="DW54:DW71" si="191">R54*CM54*DW$107</f>
        <v>0</v>
      </c>
      <c r="DX54" s="1199">
        <f t="shared" ref="DX54:DX71" si="192">S54*CN54*DX$107</f>
        <v>0</v>
      </c>
      <c r="DY54" s="1199">
        <f t="shared" ref="DY54:DY71" si="193">T54*CO54*DY$107</f>
        <v>0</v>
      </c>
      <c r="DZ54" s="1199">
        <f t="shared" ref="DZ54:DZ71" si="194">U54*CP54*DZ$107</f>
        <v>0</v>
      </c>
      <c r="EA54" s="1199">
        <f t="shared" ref="EA54:EA71" si="195">V54*CQ54*EA$107</f>
        <v>0</v>
      </c>
      <c r="EB54" s="1199">
        <f t="shared" ref="EB54:EB71" si="196">W54*CR54*EB$107</f>
        <v>0</v>
      </c>
      <c r="EC54" s="1199">
        <f t="shared" ref="EC54:EC71" si="197">X54*CS54*EC$107</f>
        <v>0</v>
      </c>
      <c r="ED54" s="1199">
        <f t="shared" ref="ED54:ED71" si="198">Y54*CT54*ED$107</f>
        <v>0</v>
      </c>
      <c r="EE54" s="1199">
        <f t="shared" ref="EE54:EE71" si="199">Z54*CU54*EE$107</f>
        <v>0</v>
      </c>
      <c r="EF54" s="1199">
        <f t="shared" ref="EF54:EF71" si="200">AA54*CV54*EF$107</f>
        <v>0</v>
      </c>
      <c r="EG54" s="1199">
        <f t="shared" ref="EG54:EG71" si="201">AB54*CW54*EG$107</f>
        <v>0</v>
      </c>
      <c r="EH54" s="1199">
        <f t="shared" ref="EH54:EH71" si="202">AC54*CX54*EH$107</f>
        <v>0</v>
      </c>
      <c r="EI54" s="1199">
        <f t="shared" ref="EI54:EI71" si="203">AD54*CY54*EI$107</f>
        <v>0</v>
      </c>
      <c r="EJ54" s="1199">
        <f t="shared" ref="EJ54:EJ71" si="204">AE54*CZ54*EJ$107</f>
        <v>0</v>
      </c>
      <c r="EK54" s="1199">
        <f t="shared" ref="EK54:EK71" si="205">AF54*DA54*EK$107</f>
        <v>0</v>
      </c>
      <c r="EL54" s="1199">
        <f t="shared" ref="EL54:EL71" si="206">AG54*DB54*EL$107</f>
        <v>0</v>
      </c>
      <c r="EM54" s="1199">
        <f t="shared" ref="EM54:EM71" si="207">AH54*DC54*EM$107</f>
        <v>0</v>
      </c>
      <c r="EN54" s="1199">
        <f t="shared" ref="EN54:EN71" si="208">AI54*DD54*EN$107</f>
        <v>0</v>
      </c>
      <c r="EO54" s="1199">
        <f t="shared" ref="EO54:EO71" si="209">AJ54*DE54*EO$107</f>
        <v>322993.58387111878</v>
      </c>
      <c r="EP54" s="1199">
        <f t="shared" ref="EP54:EP71" si="210">AK54*DF54*EP$107</f>
        <v>8429514.2757263109</v>
      </c>
      <c r="EQ54" s="1199">
        <f t="shared" ref="EQ54:EQ71" si="211">AL54*DG54*EQ$107</f>
        <v>10497729.666781083</v>
      </c>
      <c r="ER54" s="1199">
        <f t="shared" ref="ER54:ER71" si="212">AM54*DH54*ER$107</f>
        <v>0</v>
      </c>
      <c r="ES54" s="1199">
        <f t="shared" ref="ES54:ES71" si="213">AN54*DI54*ES$107</f>
        <v>0</v>
      </c>
      <c r="ET54" s="1199">
        <f t="shared" ref="ET54:ET71" si="214">AO54*DJ54*ET$107</f>
        <v>0</v>
      </c>
      <c r="EU54" s="1199">
        <f t="shared" ref="EU54:EU71" si="215">AP54*DK54*EU$107</f>
        <v>0</v>
      </c>
      <c r="EV54" s="1199">
        <f t="shared" ref="EV54:EV71" si="216">AQ54*DL54*EV$107</f>
        <v>0</v>
      </c>
      <c r="EW54" s="1199">
        <f t="shared" ref="EW54:EW71" si="217">AR54*DM54*EW$107</f>
        <v>0</v>
      </c>
      <c r="EX54" s="1199">
        <f t="shared" ref="EX54:EX71" si="218">AS54*DN54*EX$107</f>
        <v>0</v>
      </c>
      <c r="EY54" s="1199">
        <f t="shared" ref="EY54:EY71" si="219">AT54*DO54*EY$107</f>
        <v>0</v>
      </c>
      <c r="EZ54" s="1175">
        <f t="shared" ref="EZ54:EZ71" si="220">SUM(DQ54:EY54)</f>
        <v>41301112.320378512</v>
      </c>
      <c r="FA54" s="1177"/>
      <c r="FB54" s="1202">
        <f t="shared" ref="FB54:FB71" si="221">AW54*CG54*FB$107</f>
        <v>21951097.080000006</v>
      </c>
      <c r="FC54" s="1202">
        <f t="shared" ref="FC54:FC71" si="222">AX54*CH54*FC$107</f>
        <v>0</v>
      </c>
      <c r="FD54" s="1202">
        <f t="shared" ref="FD54:FD71" si="223">AY54*CI54*FD$107</f>
        <v>0</v>
      </c>
      <c r="FE54" s="1202">
        <f t="shared" ref="FE54:FE71" si="224">AZ54*CJ54*FE$107</f>
        <v>0</v>
      </c>
      <c r="FF54" s="1202">
        <f t="shared" ref="FF54:FF71" si="225">BA54*CK54*FF$107</f>
        <v>0</v>
      </c>
      <c r="FG54" s="1202">
        <f t="shared" ref="FG54:FG71" si="226">BB54*CL54*FG$107</f>
        <v>0</v>
      </c>
      <c r="FH54" s="1202">
        <f t="shared" ref="FH54:FH71" si="227">BC54*CM54*FH$107</f>
        <v>0</v>
      </c>
      <c r="FI54" s="1202">
        <f t="shared" ref="FI54:FI71" si="228">BD54*CN54*FI$107</f>
        <v>0</v>
      </c>
      <c r="FJ54" s="1202">
        <f t="shared" ref="FJ54:FJ71" si="229">BE54*CO54*FJ$107</f>
        <v>0</v>
      </c>
      <c r="FK54" s="1202">
        <f t="shared" ref="FK54:FK71" si="230">BF54*CP54*FK$107</f>
        <v>0</v>
      </c>
      <c r="FL54" s="1202">
        <f t="shared" ref="FL54:FL71" si="231">BG54*CQ54*FL$107</f>
        <v>0</v>
      </c>
      <c r="FM54" s="1202">
        <f t="shared" ref="FM54:FM71" si="232">BH54*CR54*FM$107</f>
        <v>0</v>
      </c>
      <c r="FN54" s="1202">
        <f t="shared" ref="FN54:FN71" si="233">BI54*CS54*FN$107</f>
        <v>0</v>
      </c>
      <c r="FO54" s="1202">
        <f t="shared" ref="FO54:FO71" si="234">BJ54*CT54*FO$107</f>
        <v>0</v>
      </c>
      <c r="FP54" s="1202">
        <f t="shared" ref="FP54:FP71" si="235">BK54*CU54*FP$107</f>
        <v>0</v>
      </c>
      <c r="FQ54" s="1202">
        <f t="shared" ref="FQ54:FQ71" si="236">BL54*CV54*FQ$107</f>
        <v>0</v>
      </c>
      <c r="FR54" s="1202">
        <f t="shared" ref="FR54:FR71" si="237">BM54*CW54*FR$107</f>
        <v>0</v>
      </c>
      <c r="FS54" s="1202">
        <f t="shared" ref="FS54:FS71" si="238">BN54*CX54*FS$107</f>
        <v>0</v>
      </c>
      <c r="FT54" s="1202">
        <f t="shared" ref="FT54:FT71" si="239">BO54*CY54*FT$107</f>
        <v>0</v>
      </c>
      <c r="FU54" s="1202">
        <f t="shared" ref="FU54:FU71" si="240">BP54*CZ54*FU$107</f>
        <v>0</v>
      </c>
      <c r="FV54" s="1202">
        <f t="shared" ref="FV54:FV71" si="241">BQ54*DA54*FV$107</f>
        <v>0</v>
      </c>
      <c r="FW54" s="1202">
        <f t="shared" ref="FW54:FW71" si="242">BR54*DB54*FW$107</f>
        <v>0</v>
      </c>
      <c r="FX54" s="1202">
        <f t="shared" ref="FX54:FX71" si="243">BS54*DC54*FX$107</f>
        <v>0</v>
      </c>
      <c r="FY54" s="1202">
        <f t="shared" ref="FY54:FY71" si="244">BT54*DD54*FY$107</f>
        <v>0</v>
      </c>
      <c r="FZ54" s="1202">
        <f t="shared" ref="FZ54:FZ71" si="245">BU54*DE54*FZ$107</f>
        <v>320237.66592</v>
      </c>
      <c r="GA54" s="1202">
        <f t="shared" ref="GA54:GA71" si="246">BV54*DF54*GA$107</f>
        <v>7398594.5569200125</v>
      </c>
      <c r="GB54" s="1202">
        <f t="shared" ref="GB54:GB71" si="247">BW54*DG54*GB$107</f>
        <v>10497729.666781083</v>
      </c>
      <c r="GC54" s="1202">
        <f t="shared" ref="GC54:GC71" si="248">BX54*DH54*GC$107</f>
        <v>0</v>
      </c>
      <c r="GD54" s="1202">
        <f t="shared" ref="GD54:GD71" si="249">BY54*DI54*GD$107</f>
        <v>0</v>
      </c>
      <c r="GE54" s="1202">
        <f t="shared" ref="GE54:GE71" si="250">BZ54*DJ54*GE$107</f>
        <v>0</v>
      </c>
      <c r="GF54" s="1202">
        <f t="shared" ref="GF54:GF71" si="251">CA54*DK54*GF$107</f>
        <v>0</v>
      </c>
      <c r="GG54" s="1202">
        <f t="shared" ref="GG54:GG71" si="252">CB54*DL54*GG$107</f>
        <v>0</v>
      </c>
      <c r="GH54" s="1202">
        <f t="shared" ref="GH54:GH71" si="253">CC54*DM54*GH$107</f>
        <v>0</v>
      </c>
      <c r="GI54" s="1202">
        <f t="shared" ref="GI54:GI71" si="254">CD54*DN54*GI$107</f>
        <v>0</v>
      </c>
      <c r="GJ54" s="1202">
        <f t="shared" ref="GJ54:GJ71" si="255">CE54*DO54*GJ$107</f>
        <v>0</v>
      </c>
      <c r="GK54" s="1174">
        <f t="shared" ref="GK54:GK71" si="256">SUM(FB54:GJ54)</f>
        <v>40167658.9696211</v>
      </c>
    </row>
    <row r="55" spans="1:193" s="1015" customFormat="1">
      <c r="A55" s="1003"/>
      <c r="B55" s="1149"/>
      <c r="C55" s="1149" t="s">
        <v>888</v>
      </c>
      <c r="D55" s="1204" t="s">
        <v>888</v>
      </c>
      <c r="E55" s="1204" t="s">
        <v>765</v>
      </c>
      <c r="F55" s="1204" t="s">
        <v>770</v>
      </c>
      <c r="G55" s="1204" t="s">
        <v>790</v>
      </c>
      <c r="H55" s="1204" t="s">
        <v>197</v>
      </c>
      <c r="I55" s="1149" t="s">
        <v>744</v>
      </c>
      <c r="J55" s="1176"/>
      <c r="K55" s="1176"/>
      <c r="L55" s="1233">
        <v>1.7669999999999999</v>
      </c>
      <c r="M55" s="1037"/>
      <c r="N55" s="1037"/>
      <c r="O55" s="1037"/>
      <c r="P55" s="1037"/>
      <c r="Q55" s="1037"/>
      <c r="R55" s="1004"/>
      <c r="S55" s="1004"/>
      <c r="T55" s="1004"/>
      <c r="U55" s="1013"/>
      <c r="V55" s="1013"/>
      <c r="W55" s="1004"/>
      <c r="X55" s="1004"/>
      <c r="Y55" s="1004"/>
      <c r="Z55" s="1004"/>
      <c r="AA55" s="1004"/>
      <c r="AB55" s="1004"/>
      <c r="AC55" s="1013"/>
      <c r="AD55" s="1004"/>
      <c r="AE55" s="1013"/>
      <c r="AF55" s="1004"/>
      <c r="AG55" s="1013"/>
      <c r="AH55" s="1004"/>
      <c r="AI55" s="1035"/>
      <c r="AJ55" s="1224">
        <v>7.3043235800344233E-2</v>
      </c>
      <c r="AK55" s="1224">
        <v>0.24281107410788075</v>
      </c>
      <c r="AL55" s="1224">
        <v>0.348194</v>
      </c>
      <c r="AM55" s="1005"/>
      <c r="AN55" s="1005"/>
      <c r="AO55" s="1005"/>
      <c r="AP55" s="1013"/>
      <c r="AQ55" s="1013"/>
      <c r="AR55" s="1013"/>
      <c r="AS55" s="1005"/>
      <c r="AT55" s="1005"/>
      <c r="AU55" s="1176"/>
      <c r="AV55" s="1176"/>
      <c r="AW55" s="1182">
        <v>1.76</v>
      </c>
      <c r="AX55" s="1011"/>
      <c r="AY55" s="1011"/>
      <c r="AZ55" s="1011"/>
      <c r="BA55" s="1011"/>
      <c r="BB55" s="1011"/>
      <c r="BC55" s="1004"/>
      <c r="BD55" s="1004"/>
      <c r="BE55" s="1004"/>
      <c r="BF55" s="1013"/>
      <c r="BG55" s="1013"/>
      <c r="BH55" s="1004"/>
      <c r="BI55" s="1004"/>
      <c r="BJ55" s="1004"/>
      <c r="BK55" s="1004"/>
      <c r="BL55" s="1004"/>
      <c r="BM55" s="1004"/>
      <c r="BN55" s="1013"/>
      <c r="BO55" s="1013"/>
      <c r="BP55" s="1013"/>
      <c r="BQ55" s="1004"/>
      <c r="BR55" s="1035"/>
      <c r="BS55" s="1005"/>
      <c r="BT55" s="1038"/>
      <c r="BU55" s="1183">
        <v>7.2419999999999998E-2</v>
      </c>
      <c r="BV55" s="1183">
        <v>0.23199223313392378</v>
      </c>
      <c r="BW55" s="1183">
        <v>0.348194</v>
      </c>
      <c r="BX55" s="1005"/>
      <c r="BY55" s="1005"/>
      <c r="BZ55" s="1035"/>
      <c r="CA55" s="1013"/>
      <c r="CB55" s="1013"/>
      <c r="CC55" s="1013"/>
      <c r="CD55" s="1035"/>
      <c r="CE55" s="1035"/>
      <c r="CF55" s="1176"/>
      <c r="CG55" s="1236">
        <v>9868.5300000000007</v>
      </c>
      <c r="CH55" s="1004"/>
      <c r="CI55" s="1004"/>
      <c r="CJ55" s="1004"/>
      <c r="CK55" s="1004"/>
      <c r="CL55" s="1004"/>
      <c r="CM55" s="1004"/>
      <c r="CN55" s="1004"/>
      <c r="CO55" s="1008"/>
      <c r="CP55" s="1013"/>
      <c r="CQ55" s="1013"/>
      <c r="CR55" s="1004"/>
      <c r="CS55" s="1004"/>
      <c r="CT55" s="1004"/>
      <c r="CU55" s="1008"/>
      <c r="CV55" s="1004"/>
      <c r="CW55" s="1004"/>
      <c r="CX55" s="1013"/>
      <c r="CY55" s="1013"/>
      <c r="CZ55" s="1013"/>
      <c r="DA55" s="1004"/>
      <c r="DB55" s="1013"/>
      <c r="DC55" s="1004"/>
      <c r="DD55" s="1036"/>
      <c r="DE55" s="1236">
        <v>3259479.9</v>
      </c>
      <c r="DF55" s="1236">
        <v>29329989.529999997</v>
      </c>
      <c r="DG55" s="1236">
        <v>17077788.359999999</v>
      </c>
      <c r="DH55" s="1014"/>
      <c r="DI55" s="1008"/>
      <c r="DJ55" s="1008"/>
      <c r="DK55" s="1013"/>
      <c r="DL55" s="1013"/>
      <c r="DM55" s="1013"/>
      <c r="DN55" s="1008"/>
      <c r="DO55" s="1008"/>
      <c r="DP55" s="1176"/>
      <c r="DQ55" s="1199">
        <f t="shared" si="185"/>
        <v>6364757.7661500005</v>
      </c>
      <c r="DR55" s="1199">
        <f t="shared" si="186"/>
        <v>0</v>
      </c>
      <c r="DS55" s="1199">
        <f t="shared" si="187"/>
        <v>0</v>
      </c>
      <c r="DT55" s="1199">
        <f t="shared" si="188"/>
        <v>0</v>
      </c>
      <c r="DU55" s="1199">
        <f t="shared" si="189"/>
        <v>0</v>
      </c>
      <c r="DV55" s="1199">
        <f t="shared" si="190"/>
        <v>0</v>
      </c>
      <c r="DW55" s="1199">
        <f t="shared" si="191"/>
        <v>0</v>
      </c>
      <c r="DX55" s="1199">
        <f t="shared" si="192"/>
        <v>0</v>
      </c>
      <c r="DY55" s="1199">
        <f t="shared" si="193"/>
        <v>0</v>
      </c>
      <c r="DZ55" s="1199">
        <f t="shared" si="194"/>
        <v>0</v>
      </c>
      <c r="EA55" s="1199">
        <f t="shared" si="195"/>
        <v>0</v>
      </c>
      <c r="EB55" s="1199">
        <f t="shared" si="196"/>
        <v>0</v>
      </c>
      <c r="EC55" s="1199">
        <f t="shared" si="197"/>
        <v>0</v>
      </c>
      <c r="ED55" s="1199">
        <f t="shared" si="198"/>
        <v>0</v>
      </c>
      <c r="EE55" s="1199">
        <f t="shared" si="199"/>
        <v>0</v>
      </c>
      <c r="EF55" s="1199">
        <f t="shared" si="200"/>
        <v>0</v>
      </c>
      <c r="EG55" s="1199">
        <f t="shared" si="201"/>
        <v>0</v>
      </c>
      <c r="EH55" s="1199">
        <f t="shared" si="202"/>
        <v>0</v>
      </c>
      <c r="EI55" s="1199">
        <f t="shared" si="203"/>
        <v>0</v>
      </c>
      <c r="EJ55" s="1199">
        <f t="shared" si="204"/>
        <v>0</v>
      </c>
      <c r="EK55" s="1199">
        <f t="shared" si="205"/>
        <v>0</v>
      </c>
      <c r="EL55" s="1199">
        <f t="shared" si="206"/>
        <v>0</v>
      </c>
      <c r="EM55" s="1199">
        <f t="shared" si="207"/>
        <v>0</v>
      </c>
      <c r="EN55" s="1199">
        <f t="shared" si="208"/>
        <v>0</v>
      </c>
      <c r="EO55" s="1199">
        <f t="shared" si="209"/>
        <v>238082.95892218244</v>
      </c>
      <c r="EP55" s="1199">
        <f t="shared" si="210"/>
        <v>7121646.2613521954</v>
      </c>
      <c r="EQ55" s="1199">
        <f t="shared" si="211"/>
        <v>5946383.4402218396</v>
      </c>
      <c r="ER55" s="1199">
        <f t="shared" si="212"/>
        <v>0</v>
      </c>
      <c r="ES55" s="1199">
        <f t="shared" si="213"/>
        <v>0</v>
      </c>
      <c r="ET55" s="1199">
        <f t="shared" si="214"/>
        <v>0</v>
      </c>
      <c r="EU55" s="1199">
        <f t="shared" si="215"/>
        <v>0</v>
      </c>
      <c r="EV55" s="1199">
        <f t="shared" si="216"/>
        <v>0</v>
      </c>
      <c r="EW55" s="1199">
        <f t="shared" si="217"/>
        <v>0</v>
      </c>
      <c r="EX55" s="1199">
        <f t="shared" si="218"/>
        <v>0</v>
      </c>
      <c r="EY55" s="1199">
        <f t="shared" si="219"/>
        <v>0</v>
      </c>
      <c r="EZ55" s="1175">
        <f t="shared" si="220"/>
        <v>19670870.426646218</v>
      </c>
      <c r="FA55" s="1177"/>
      <c r="FB55" s="1202">
        <f t="shared" si="221"/>
        <v>6339543.6720000012</v>
      </c>
      <c r="FC55" s="1202">
        <f t="shared" si="222"/>
        <v>0</v>
      </c>
      <c r="FD55" s="1202">
        <f t="shared" si="223"/>
        <v>0</v>
      </c>
      <c r="FE55" s="1202">
        <f t="shared" si="224"/>
        <v>0</v>
      </c>
      <c r="FF55" s="1202">
        <f t="shared" si="225"/>
        <v>0</v>
      </c>
      <c r="FG55" s="1202">
        <f t="shared" si="226"/>
        <v>0</v>
      </c>
      <c r="FH55" s="1202">
        <f t="shared" si="227"/>
        <v>0</v>
      </c>
      <c r="FI55" s="1202">
        <f t="shared" si="228"/>
        <v>0</v>
      </c>
      <c r="FJ55" s="1202">
        <f t="shared" si="229"/>
        <v>0</v>
      </c>
      <c r="FK55" s="1202">
        <f t="shared" si="230"/>
        <v>0</v>
      </c>
      <c r="FL55" s="1202">
        <f t="shared" si="231"/>
        <v>0</v>
      </c>
      <c r="FM55" s="1202">
        <f t="shared" si="232"/>
        <v>0</v>
      </c>
      <c r="FN55" s="1202">
        <f t="shared" si="233"/>
        <v>0</v>
      </c>
      <c r="FO55" s="1202">
        <f t="shared" si="234"/>
        <v>0</v>
      </c>
      <c r="FP55" s="1202">
        <f t="shared" si="235"/>
        <v>0</v>
      </c>
      <c r="FQ55" s="1202">
        <f t="shared" si="236"/>
        <v>0</v>
      </c>
      <c r="FR55" s="1202">
        <f t="shared" si="237"/>
        <v>0</v>
      </c>
      <c r="FS55" s="1202">
        <f t="shared" si="238"/>
        <v>0</v>
      </c>
      <c r="FT55" s="1202">
        <f t="shared" si="239"/>
        <v>0</v>
      </c>
      <c r="FU55" s="1202">
        <f t="shared" si="240"/>
        <v>0</v>
      </c>
      <c r="FV55" s="1202">
        <f t="shared" si="241"/>
        <v>0</v>
      </c>
      <c r="FW55" s="1202">
        <f t="shared" si="242"/>
        <v>0</v>
      </c>
      <c r="FX55" s="1202">
        <f t="shared" si="243"/>
        <v>0</v>
      </c>
      <c r="FY55" s="1202">
        <f t="shared" si="244"/>
        <v>0</v>
      </c>
      <c r="FZ55" s="1202">
        <f t="shared" si="245"/>
        <v>236051.53435799998</v>
      </c>
      <c r="GA55" s="1202">
        <f t="shared" si="246"/>
        <v>6804329.7688593026</v>
      </c>
      <c r="GB55" s="1202">
        <f t="shared" si="247"/>
        <v>5946383.4402218396</v>
      </c>
      <c r="GC55" s="1202">
        <f t="shared" si="248"/>
        <v>0</v>
      </c>
      <c r="GD55" s="1202">
        <f t="shared" si="249"/>
        <v>0</v>
      </c>
      <c r="GE55" s="1202">
        <f t="shared" si="250"/>
        <v>0</v>
      </c>
      <c r="GF55" s="1202">
        <f t="shared" si="251"/>
        <v>0</v>
      </c>
      <c r="GG55" s="1202">
        <f t="shared" si="252"/>
        <v>0</v>
      </c>
      <c r="GH55" s="1202">
        <f t="shared" si="253"/>
        <v>0</v>
      </c>
      <c r="GI55" s="1202">
        <f t="shared" si="254"/>
        <v>0</v>
      </c>
      <c r="GJ55" s="1202">
        <f t="shared" si="255"/>
        <v>0</v>
      </c>
      <c r="GK55" s="1174">
        <f t="shared" si="256"/>
        <v>19326308.415439144</v>
      </c>
    </row>
    <row r="56" spans="1:193" s="1015" customFormat="1">
      <c r="A56" s="1003"/>
      <c r="B56" s="1149"/>
      <c r="C56" s="1149" t="s">
        <v>889</v>
      </c>
      <c r="D56" s="1204" t="s">
        <v>889</v>
      </c>
      <c r="E56" s="1204" t="s">
        <v>765</v>
      </c>
      <c r="F56" s="1204" t="s">
        <v>770</v>
      </c>
      <c r="G56" s="1204" t="s">
        <v>791</v>
      </c>
      <c r="H56" s="1204" t="s">
        <v>198</v>
      </c>
      <c r="I56" s="1149" t="s">
        <v>744</v>
      </c>
      <c r="J56" s="1176"/>
      <c r="K56" s="1176"/>
      <c r="L56" s="1233">
        <v>1.105</v>
      </c>
      <c r="M56" s="1037"/>
      <c r="N56" s="1037"/>
      <c r="O56" s="1037"/>
      <c r="P56" s="1037"/>
      <c r="Q56" s="1037"/>
      <c r="R56" s="1004"/>
      <c r="S56" s="1004"/>
      <c r="T56" s="1004"/>
      <c r="U56" s="1013"/>
      <c r="V56" s="1013"/>
      <c r="W56" s="1004"/>
      <c r="X56" s="1004"/>
      <c r="Y56" s="1004"/>
      <c r="Z56" s="1004"/>
      <c r="AA56" s="1004"/>
      <c r="AB56" s="1004"/>
      <c r="AC56" s="1013"/>
      <c r="AD56" s="1004"/>
      <c r="AE56" s="1013"/>
      <c r="AF56" s="1004"/>
      <c r="AG56" s="1013"/>
      <c r="AH56" s="1004"/>
      <c r="AI56" s="1035"/>
      <c r="AJ56" s="1224">
        <v>2.5719449225473319E-2</v>
      </c>
      <c r="AK56" s="1224">
        <v>5.4558478279819286E-2</v>
      </c>
      <c r="AL56" s="1224">
        <v>6.9872500000000004E-2</v>
      </c>
      <c r="AM56" s="1005"/>
      <c r="AN56" s="1005"/>
      <c r="AO56" s="1005"/>
      <c r="AP56" s="1013"/>
      <c r="AQ56" s="1013"/>
      <c r="AR56" s="1013"/>
      <c r="AS56" s="1005"/>
      <c r="AT56" s="1005"/>
      <c r="AU56" s="1176"/>
      <c r="AV56" s="1176"/>
      <c r="AW56" s="1182">
        <v>1.1000000000000001</v>
      </c>
      <c r="AX56" s="1011"/>
      <c r="AY56" s="1011"/>
      <c r="AZ56" s="1011"/>
      <c r="BA56" s="1011"/>
      <c r="BB56" s="1011"/>
      <c r="BC56" s="1004"/>
      <c r="BD56" s="1004"/>
      <c r="BE56" s="1004"/>
      <c r="BF56" s="1013"/>
      <c r="BG56" s="1013"/>
      <c r="BH56" s="1004"/>
      <c r="BI56" s="1004"/>
      <c r="BJ56" s="1004"/>
      <c r="BK56" s="1004"/>
      <c r="BL56" s="1004"/>
      <c r="BM56" s="1004"/>
      <c r="BN56" s="1013"/>
      <c r="BO56" s="1013"/>
      <c r="BP56" s="1013"/>
      <c r="BQ56" s="1004"/>
      <c r="BR56" s="1035"/>
      <c r="BS56" s="1005"/>
      <c r="BT56" s="1038"/>
      <c r="BU56" s="1183">
        <v>2.5499999999999998E-2</v>
      </c>
      <c r="BV56" s="1183">
        <v>5.1264818665308465E-2</v>
      </c>
      <c r="BW56" s="1183">
        <v>6.9872500000000004E-2</v>
      </c>
      <c r="BX56" s="1005"/>
      <c r="BY56" s="1005"/>
      <c r="BZ56" s="1035"/>
      <c r="CA56" s="1013"/>
      <c r="CB56" s="1013"/>
      <c r="CC56" s="1013"/>
      <c r="CD56" s="1035"/>
      <c r="CE56" s="1035"/>
      <c r="CF56" s="1176"/>
      <c r="CG56" s="1236">
        <v>1028.96</v>
      </c>
      <c r="CH56" s="1004"/>
      <c r="CI56" s="1004"/>
      <c r="CJ56" s="1004"/>
      <c r="CK56" s="1004"/>
      <c r="CL56" s="1004"/>
      <c r="CM56" s="1004"/>
      <c r="CN56" s="1004"/>
      <c r="CO56" s="1008"/>
      <c r="CP56" s="1013"/>
      <c r="CQ56" s="1013"/>
      <c r="CR56" s="1004"/>
      <c r="CS56" s="1004"/>
      <c r="CT56" s="1004"/>
      <c r="CU56" s="1008"/>
      <c r="CV56" s="1004"/>
      <c r="CW56" s="1004"/>
      <c r="CX56" s="1013"/>
      <c r="CY56" s="1013"/>
      <c r="CZ56" s="1013"/>
      <c r="DA56" s="1004"/>
      <c r="DB56" s="1013"/>
      <c r="DC56" s="1004"/>
      <c r="DD56" s="1036"/>
      <c r="DE56" s="1236">
        <v>299141.77</v>
      </c>
      <c r="DF56" s="1236">
        <v>2841162.46</v>
      </c>
      <c r="DG56" s="1236">
        <v>1963423.52</v>
      </c>
      <c r="DH56" s="1014"/>
      <c r="DI56" s="1008"/>
      <c r="DJ56" s="1008"/>
      <c r="DK56" s="1013"/>
      <c r="DL56" s="1013"/>
      <c r="DM56" s="1013"/>
      <c r="DN56" s="1008"/>
      <c r="DO56" s="1008"/>
      <c r="DP56" s="1176"/>
      <c r="DQ56" s="1199">
        <f t="shared" si="185"/>
        <v>415005.29200000002</v>
      </c>
      <c r="DR56" s="1199">
        <f t="shared" si="186"/>
        <v>0</v>
      </c>
      <c r="DS56" s="1199">
        <f t="shared" si="187"/>
        <v>0</v>
      </c>
      <c r="DT56" s="1199">
        <f t="shared" si="188"/>
        <v>0</v>
      </c>
      <c r="DU56" s="1199">
        <f t="shared" si="189"/>
        <v>0</v>
      </c>
      <c r="DV56" s="1199">
        <f t="shared" si="190"/>
        <v>0</v>
      </c>
      <c r="DW56" s="1199">
        <f t="shared" si="191"/>
        <v>0</v>
      </c>
      <c r="DX56" s="1199">
        <f t="shared" si="192"/>
        <v>0</v>
      </c>
      <c r="DY56" s="1199">
        <f t="shared" si="193"/>
        <v>0</v>
      </c>
      <c r="DZ56" s="1199">
        <f t="shared" si="194"/>
        <v>0</v>
      </c>
      <c r="EA56" s="1199">
        <f t="shared" si="195"/>
        <v>0</v>
      </c>
      <c r="EB56" s="1199">
        <f t="shared" si="196"/>
        <v>0</v>
      </c>
      <c r="EC56" s="1199">
        <f t="shared" si="197"/>
        <v>0</v>
      </c>
      <c r="ED56" s="1199">
        <f t="shared" si="198"/>
        <v>0</v>
      </c>
      <c r="EE56" s="1199">
        <f t="shared" si="199"/>
        <v>0</v>
      </c>
      <c r="EF56" s="1199">
        <f t="shared" si="200"/>
        <v>0</v>
      </c>
      <c r="EG56" s="1199">
        <f t="shared" si="201"/>
        <v>0</v>
      </c>
      <c r="EH56" s="1199">
        <f t="shared" si="202"/>
        <v>0</v>
      </c>
      <c r="EI56" s="1199">
        <f t="shared" si="203"/>
        <v>0</v>
      </c>
      <c r="EJ56" s="1199">
        <f t="shared" si="204"/>
        <v>0</v>
      </c>
      <c r="EK56" s="1199">
        <f t="shared" si="205"/>
        <v>0</v>
      </c>
      <c r="EL56" s="1199">
        <f t="shared" si="206"/>
        <v>0</v>
      </c>
      <c r="EM56" s="1199">
        <f t="shared" si="207"/>
        <v>0</v>
      </c>
      <c r="EN56" s="1199">
        <f t="shared" si="208"/>
        <v>0</v>
      </c>
      <c r="EO56" s="1199">
        <f t="shared" si="209"/>
        <v>7693.7615647332186</v>
      </c>
      <c r="EP56" s="1199">
        <f t="shared" si="210"/>
        <v>155009.50036334794</v>
      </c>
      <c r="EQ56" s="1199">
        <f t="shared" si="211"/>
        <v>137189.3099012</v>
      </c>
      <c r="ER56" s="1199">
        <f t="shared" si="212"/>
        <v>0</v>
      </c>
      <c r="ES56" s="1199">
        <f t="shared" si="213"/>
        <v>0</v>
      </c>
      <c r="ET56" s="1199">
        <f t="shared" si="214"/>
        <v>0</v>
      </c>
      <c r="EU56" s="1199">
        <f t="shared" si="215"/>
        <v>0</v>
      </c>
      <c r="EV56" s="1199">
        <f t="shared" si="216"/>
        <v>0</v>
      </c>
      <c r="EW56" s="1199">
        <f t="shared" si="217"/>
        <v>0</v>
      </c>
      <c r="EX56" s="1199">
        <f t="shared" si="218"/>
        <v>0</v>
      </c>
      <c r="EY56" s="1199">
        <f t="shared" si="219"/>
        <v>0</v>
      </c>
      <c r="EZ56" s="1175">
        <f t="shared" si="220"/>
        <v>714897.86382928118</v>
      </c>
      <c r="FA56" s="1177"/>
      <c r="FB56" s="1202">
        <f t="shared" si="221"/>
        <v>413127.44000000006</v>
      </c>
      <c r="FC56" s="1202">
        <f t="shared" si="222"/>
        <v>0</v>
      </c>
      <c r="FD56" s="1202">
        <f t="shared" si="223"/>
        <v>0</v>
      </c>
      <c r="FE56" s="1202">
        <f t="shared" si="224"/>
        <v>0</v>
      </c>
      <c r="FF56" s="1202">
        <f t="shared" si="225"/>
        <v>0</v>
      </c>
      <c r="FG56" s="1202">
        <f t="shared" si="226"/>
        <v>0</v>
      </c>
      <c r="FH56" s="1202">
        <f t="shared" si="227"/>
        <v>0</v>
      </c>
      <c r="FI56" s="1202">
        <f t="shared" si="228"/>
        <v>0</v>
      </c>
      <c r="FJ56" s="1202">
        <f t="shared" si="229"/>
        <v>0</v>
      </c>
      <c r="FK56" s="1202">
        <f t="shared" si="230"/>
        <v>0</v>
      </c>
      <c r="FL56" s="1202">
        <f t="shared" si="231"/>
        <v>0</v>
      </c>
      <c r="FM56" s="1202">
        <f t="shared" si="232"/>
        <v>0</v>
      </c>
      <c r="FN56" s="1202">
        <f t="shared" si="233"/>
        <v>0</v>
      </c>
      <c r="FO56" s="1202">
        <f t="shared" si="234"/>
        <v>0</v>
      </c>
      <c r="FP56" s="1202">
        <f t="shared" si="235"/>
        <v>0</v>
      </c>
      <c r="FQ56" s="1202">
        <f t="shared" si="236"/>
        <v>0</v>
      </c>
      <c r="FR56" s="1202">
        <f t="shared" si="237"/>
        <v>0</v>
      </c>
      <c r="FS56" s="1202">
        <f t="shared" si="238"/>
        <v>0</v>
      </c>
      <c r="FT56" s="1202">
        <f t="shared" si="239"/>
        <v>0</v>
      </c>
      <c r="FU56" s="1202">
        <f t="shared" si="240"/>
        <v>0</v>
      </c>
      <c r="FV56" s="1202">
        <f t="shared" si="241"/>
        <v>0</v>
      </c>
      <c r="FW56" s="1202">
        <f t="shared" si="242"/>
        <v>0</v>
      </c>
      <c r="FX56" s="1202">
        <f t="shared" si="243"/>
        <v>0</v>
      </c>
      <c r="FY56" s="1202">
        <f t="shared" si="244"/>
        <v>0</v>
      </c>
      <c r="FZ56" s="1202">
        <f t="shared" si="245"/>
        <v>7628.115135</v>
      </c>
      <c r="GA56" s="1202">
        <f t="shared" si="246"/>
        <v>145651.67831058172</v>
      </c>
      <c r="GB56" s="1202">
        <f t="shared" si="247"/>
        <v>137189.3099012</v>
      </c>
      <c r="GC56" s="1202">
        <f t="shared" si="248"/>
        <v>0</v>
      </c>
      <c r="GD56" s="1202">
        <f t="shared" si="249"/>
        <v>0</v>
      </c>
      <c r="GE56" s="1202">
        <f t="shared" si="250"/>
        <v>0</v>
      </c>
      <c r="GF56" s="1202">
        <f t="shared" si="251"/>
        <v>0</v>
      </c>
      <c r="GG56" s="1202">
        <f t="shared" si="252"/>
        <v>0</v>
      </c>
      <c r="GH56" s="1202">
        <f t="shared" si="253"/>
        <v>0</v>
      </c>
      <c r="GI56" s="1202">
        <f t="shared" si="254"/>
        <v>0</v>
      </c>
      <c r="GJ56" s="1202">
        <f t="shared" si="255"/>
        <v>0</v>
      </c>
      <c r="GK56" s="1174">
        <f t="shared" si="256"/>
        <v>703596.54334678175</v>
      </c>
    </row>
    <row r="57" spans="1:193" s="1015" customFormat="1">
      <c r="A57" s="1003"/>
      <c r="B57" s="1149"/>
      <c r="C57" s="1149" t="s">
        <v>906</v>
      </c>
      <c r="D57" s="1204" t="s">
        <v>906</v>
      </c>
      <c r="E57" s="1204" t="s">
        <v>765</v>
      </c>
      <c r="F57" s="1204" t="s">
        <v>770</v>
      </c>
      <c r="G57" s="1204" t="s">
        <v>789</v>
      </c>
      <c r="H57" s="1204" t="s">
        <v>818</v>
      </c>
      <c r="I57" s="1149" t="s">
        <v>744</v>
      </c>
      <c r="J57" s="1176"/>
      <c r="K57" s="1176"/>
      <c r="L57" s="1004"/>
      <c r="M57" s="1233">
        <v>0</v>
      </c>
      <c r="N57" s="1233">
        <v>0.502</v>
      </c>
      <c r="O57" s="1233">
        <v>0.752</v>
      </c>
      <c r="P57" s="1233">
        <v>1.002</v>
      </c>
      <c r="Q57" s="1233">
        <v>1.252</v>
      </c>
      <c r="R57" s="1004"/>
      <c r="S57" s="1004"/>
      <c r="T57" s="1004"/>
      <c r="U57" s="1013"/>
      <c r="V57" s="1013"/>
      <c r="W57" s="1004"/>
      <c r="X57" s="1004"/>
      <c r="Y57" s="1004"/>
      <c r="Z57" s="1004"/>
      <c r="AA57" s="1004"/>
      <c r="AB57" s="1004"/>
      <c r="AC57" s="1013"/>
      <c r="AD57" s="1004"/>
      <c r="AE57" s="1013"/>
      <c r="AF57" s="1004"/>
      <c r="AG57" s="1013"/>
      <c r="AH57" s="1004"/>
      <c r="AI57" s="1224">
        <v>9.2216997982206089E-2</v>
      </c>
      <c r="AJ57" s="1038"/>
      <c r="AK57" s="1016"/>
      <c r="AL57" s="1016"/>
      <c r="AM57" s="1005"/>
      <c r="AN57" s="1005"/>
      <c r="AO57" s="1005"/>
      <c r="AP57" s="1013"/>
      <c r="AQ57" s="1013"/>
      <c r="AR57" s="1013"/>
      <c r="AS57" s="1005"/>
      <c r="AT57" s="1005"/>
      <c r="AU57" s="1176"/>
      <c r="AV57" s="1176"/>
      <c r="AW57" s="1601"/>
      <c r="AX57" s="1227">
        <v>0</v>
      </c>
      <c r="AY57" s="1227">
        <v>0.5</v>
      </c>
      <c r="AZ57" s="1227">
        <v>0.75</v>
      </c>
      <c r="BA57" s="1227">
        <v>1</v>
      </c>
      <c r="BB57" s="1227">
        <v>1.25</v>
      </c>
      <c r="BC57" s="1004"/>
      <c r="BD57" s="1004"/>
      <c r="BE57" s="1004"/>
      <c r="BF57" s="1013"/>
      <c r="BG57" s="1013"/>
      <c r="BH57" s="1004"/>
      <c r="BI57" s="1004"/>
      <c r="BJ57" s="1004"/>
      <c r="BK57" s="1004"/>
      <c r="BL57" s="1004"/>
      <c r="BM57" s="1004"/>
      <c r="BN57" s="1013"/>
      <c r="BO57" s="1013"/>
      <c r="BP57" s="1013"/>
      <c r="BQ57" s="1004"/>
      <c r="BR57" s="1035"/>
      <c r="BS57" s="1005"/>
      <c r="BT57" s="1230">
        <v>8.9988008620241033E-2</v>
      </c>
      <c r="BU57" s="1005"/>
      <c r="BV57" s="1005"/>
      <c r="BW57" s="1005"/>
      <c r="BX57" s="1005"/>
      <c r="BY57" s="1005"/>
      <c r="BZ57" s="1035"/>
      <c r="CA57" s="1013"/>
      <c r="CB57" s="1013"/>
      <c r="CC57" s="1013"/>
      <c r="CD57" s="1035"/>
      <c r="CE57" s="1035"/>
      <c r="CF57" s="1176"/>
      <c r="CG57" s="1195"/>
      <c r="CH57" s="1236">
        <v>0</v>
      </c>
      <c r="CI57" s="1236">
        <v>2450.3800000000006</v>
      </c>
      <c r="CJ57" s="1236">
        <v>896.2700000000001</v>
      </c>
      <c r="CK57" s="1236">
        <v>3885.29</v>
      </c>
      <c r="CL57" s="1236">
        <v>7485.0700000000006</v>
      </c>
      <c r="CM57" s="1004"/>
      <c r="CN57" s="1004"/>
      <c r="CO57" s="1008"/>
      <c r="CP57" s="1013"/>
      <c r="CQ57" s="1013"/>
      <c r="CR57" s="1004"/>
      <c r="CS57" s="1004"/>
      <c r="CT57" s="1004"/>
      <c r="CU57" s="1008"/>
      <c r="CV57" s="1004"/>
      <c r="CW57" s="1004"/>
      <c r="CX57" s="1013"/>
      <c r="CY57" s="1013"/>
      <c r="CZ57" s="1013"/>
      <c r="DA57" s="1004"/>
      <c r="DB57" s="1013"/>
      <c r="DC57" s="1004"/>
      <c r="DD57" s="1236">
        <v>667156427.70000017</v>
      </c>
      <c r="DE57" s="1010"/>
      <c r="DF57" s="1010"/>
      <c r="DG57" s="1010"/>
      <c r="DH57" s="1014"/>
      <c r="DI57" s="1008"/>
      <c r="DJ57" s="1008"/>
      <c r="DK57" s="1013"/>
      <c r="DL57" s="1013"/>
      <c r="DM57" s="1013"/>
      <c r="DN57" s="1008"/>
      <c r="DO57" s="1008"/>
      <c r="DP57" s="1176"/>
      <c r="DQ57" s="1199">
        <f t="shared" si="185"/>
        <v>0</v>
      </c>
      <c r="DR57" s="1199">
        <f t="shared" si="186"/>
        <v>0</v>
      </c>
      <c r="DS57" s="1199">
        <f t="shared" si="187"/>
        <v>448983.12740000011</v>
      </c>
      <c r="DT57" s="1199">
        <f t="shared" si="188"/>
        <v>246008.18960000001</v>
      </c>
      <c r="DU57" s="1199">
        <f t="shared" si="189"/>
        <v>1420967.1117</v>
      </c>
      <c r="DV57" s="1199">
        <f t="shared" si="190"/>
        <v>3420527.2886000006</v>
      </c>
      <c r="DW57" s="1199">
        <f t="shared" si="191"/>
        <v>0</v>
      </c>
      <c r="DX57" s="1199">
        <f t="shared" si="192"/>
        <v>0</v>
      </c>
      <c r="DY57" s="1199">
        <f t="shared" si="193"/>
        <v>0</v>
      </c>
      <c r="DZ57" s="1199">
        <f t="shared" si="194"/>
        <v>0</v>
      </c>
      <c r="EA57" s="1199">
        <f t="shared" si="195"/>
        <v>0</v>
      </c>
      <c r="EB57" s="1199">
        <f t="shared" si="196"/>
        <v>0</v>
      </c>
      <c r="EC57" s="1199">
        <f t="shared" si="197"/>
        <v>0</v>
      </c>
      <c r="ED57" s="1199">
        <f t="shared" si="198"/>
        <v>0</v>
      </c>
      <c r="EE57" s="1199">
        <f t="shared" si="199"/>
        <v>0</v>
      </c>
      <c r="EF57" s="1199">
        <f t="shared" si="200"/>
        <v>0</v>
      </c>
      <c r="EG57" s="1199">
        <f t="shared" si="201"/>
        <v>0</v>
      </c>
      <c r="EH57" s="1199">
        <f t="shared" si="202"/>
        <v>0</v>
      </c>
      <c r="EI57" s="1199">
        <f t="shared" si="203"/>
        <v>0</v>
      </c>
      <c r="EJ57" s="1199">
        <f t="shared" si="204"/>
        <v>0</v>
      </c>
      <c r="EK57" s="1199">
        <f t="shared" si="205"/>
        <v>0</v>
      </c>
      <c r="EL57" s="1199">
        <f t="shared" si="206"/>
        <v>0</v>
      </c>
      <c r="EM57" s="1199">
        <f t="shared" si="207"/>
        <v>0</v>
      </c>
      <c r="EN57" s="1199">
        <f t="shared" si="208"/>
        <v>61523162.947026737</v>
      </c>
      <c r="EO57" s="1199">
        <f t="shared" si="209"/>
        <v>0</v>
      </c>
      <c r="EP57" s="1199">
        <f t="shared" si="210"/>
        <v>0</v>
      </c>
      <c r="EQ57" s="1199">
        <f t="shared" si="211"/>
        <v>0</v>
      </c>
      <c r="ER57" s="1199">
        <f t="shared" si="212"/>
        <v>0</v>
      </c>
      <c r="ES57" s="1199">
        <f t="shared" si="213"/>
        <v>0</v>
      </c>
      <c r="ET57" s="1199">
        <f t="shared" si="214"/>
        <v>0</v>
      </c>
      <c r="EU57" s="1199">
        <f t="shared" si="215"/>
        <v>0</v>
      </c>
      <c r="EV57" s="1199">
        <f t="shared" si="216"/>
        <v>0</v>
      </c>
      <c r="EW57" s="1199">
        <f t="shared" si="217"/>
        <v>0</v>
      </c>
      <c r="EX57" s="1199">
        <f t="shared" si="218"/>
        <v>0</v>
      </c>
      <c r="EY57" s="1199">
        <f t="shared" si="219"/>
        <v>0</v>
      </c>
      <c r="EZ57" s="1175">
        <f t="shared" si="220"/>
        <v>67059648.664326735</v>
      </c>
      <c r="FA57" s="1177"/>
      <c r="FB57" s="1202">
        <f t="shared" si="221"/>
        <v>0</v>
      </c>
      <c r="FC57" s="1202">
        <f t="shared" si="222"/>
        <v>0</v>
      </c>
      <c r="FD57" s="1202">
        <f t="shared" si="223"/>
        <v>447194.35000000009</v>
      </c>
      <c r="FE57" s="1202">
        <f t="shared" si="224"/>
        <v>245353.91250000003</v>
      </c>
      <c r="FF57" s="1202">
        <f t="shared" si="225"/>
        <v>1418130.85</v>
      </c>
      <c r="FG57" s="1202">
        <f t="shared" si="226"/>
        <v>3415063.1875000005</v>
      </c>
      <c r="FH57" s="1202">
        <f t="shared" si="227"/>
        <v>0</v>
      </c>
      <c r="FI57" s="1202">
        <f t="shared" si="228"/>
        <v>0</v>
      </c>
      <c r="FJ57" s="1202">
        <f t="shared" si="229"/>
        <v>0</v>
      </c>
      <c r="FK57" s="1202">
        <f t="shared" si="230"/>
        <v>0</v>
      </c>
      <c r="FL57" s="1202">
        <f t="shared" si="231"/>
        <v>0</v>
      </c>
      <c r="FM57" s="1202">
        <f t="shared" si="232"/>
        <v>0</v>
      </c>
      <c r="FN57" s="1202">
        <f t="shared" si="233"/>
        <v>0</v>
      </c>
      <c r="FO57" s="1202">
        <f t="shared" si="234"/>
        <v>0</v>
      </c>
      <c r="FP57" s="1202">
        <f t="shared" si="235"/>
        <v>0</v>
      </c>
      <c r="FQ57" s="1202">
        <f t="shared" si="236"/>
        <v>0</v>
      </c>
      <c r="FR57" s="1202">
        <f t="shared" si="237"/>
        <v>0</v>
      </c>
      <c r="FS57" s="1202">
        <f t="shared" si="238"/>
        <v>0</v>
      </c>
      <c r="FT57" s="1202">
        <f t="shared" si="239"/>
        <v>0</v>
      </c>
      <c r="FU57" s="1202">
        <f t="shared" si="240"/>
        <v>0</v>
      </c>
      <c r="FV57" s="1202">
        <f t="shared" si="241"/>
        <v>0</v>
      </c>
      <c r="FW57" s="1202">
        <f t="shared" si="242"/>
        <v>0</v>
      </c>
      <c r="FX57" s="1202">
        <f t="shared" si="243"/>
        <v>0</v>
      </c>
      <c r="FY57" s="1202">
        <f t="shared" si="244"/>
        <v>60036078.366916828</v>
      </c>
      <c r="FZ57" s="1202">
        <f t="shared" si="245"/>
        <v>0</v>
      </c>
      <c r="GA57" s="1202">
        <f t="shared" si="246"/>
        <v>0</v>
      </c>
      <c r="GB57" s="1202">
        <f t="shared" si="247"/>
        <v>0</v>
      </c>
      <c r="GC57" s="1202">
        <f t="shared" si="248"/>
        <v>0</v>
      </c>
      <c r="GD57" s="1202">
        <f t="shared" si="249"/>
        <v>0</v>
      </c>
      <c r="GE57" s="1202">
        <f t="shared" si="250"/>
        <v>0</v>
      </c>
      <c r="GF57" s="1202">
        <f t="shared" si="251"/>
        <v>0</v>
      </c>
      <c r="GG57" s="1202">
        <f t="shared" si="252"/>
        <v>0</v>
      </c>
      <c r="GH57" s="1202">
        <f t="shared" si="253"/>
        <v>0</v>
      </c>
      <c r="GI57" s="1202">
        <f t="shared" si="254"/>
        <v>0</v>
      </c>
      <c r="GJ57" s="1202">
        <f t="shared" si="255"/>
        <v>0</v>
      </c>
      <c r="GK57" s="1174">
        <f t="shared" si="256"/>
        <v>65561820.666916832</v>
      </c>
    </row>
    <row r="58" spans="1:193" s="1015" customFormat="1">
      <c r="A58" s="1003"/>
      <c r="B58" s="1149"/>
      <c r="C58" s="1149" t="s">
        <v>907</v>
      </c>
      <c r="D58" s="1204" t="s">
        <v>907</v>
      </c>
      <c r="E58" s="1204" t="s">
        <v>765</v>
      </c>
      <c r="F58" s="1204" t="s">
        <v>770</v>
      </c>
      <c r="G58" s="1204" t="s">
        <v>790</v>
      </c>
      <c r="H58" s="1204" t="s">
        <v>826</v>
      </c>
      <c r="I58" s="1149" t="s">
        <v>744</v>
      </c>
      <c r="J58" s="1176"/>
      <c r="K58" s="1176"/>
      <c r="L58" s="1004"/>
      <c r="M58" s="1233">
        <v>0</v>
      </c>
      <c r="N58" s="1233">
        <v>0.80300000000000005</v>
      </c>
      <c r="O58" s="1233">
        <v>1.5529999999999999</v>
      </c>
      <c r="P58" s="1233">
        <v>2.3029999999999999</v>
      </c>
      <c r="Q58" s="1233">
        <v>3.0529999999999999</v>
      </c>
      <c r="R58" s="1004"/>
      <c r="S58" s="1004"/>
      <c r="T58" s="1004"/>
      <c r="U58" s="1013"/>
      <c r="V58" s="1013"/>
      <c r="W58" s="1004"/>
      <c r="X58" s="1004"/>
      <c r="Y58" s="1004"/>
      <c r="Z58" s="1004"/>
      <c r="AA58" s="1004"/>
      <c r="AB58" s="1004"/>
      <c r="AC58" s="1013"/>
      <c r="AD58" s="1004"/>
      <c r="AE58" s="1013"/>
      <c r="AF58" s="1004"/>
      <c r="AG58" s="1013"/>
      <c r="AH58" s="1004"/>
      <c r="AI58" s="1224">
        <v>0.30527393458745494</v>
      </c>
      <c r="AJ58" s="1038"/>
      <c r="AK58" s="1016"/>
      <c r="AL58" s="1016"/>
      <c r="AM58" s="1005"/>
      <c r="AN58" s="1005"/>
      <c r="AO58" s="1005"/>
      <c r="AP58" s="1013"/>
      <c r="AQ58" s="1013"/>
      <c r="AR58" s="1013"/>
      <c r="AS58" s="1005"/>
      <c r="AT58" s="1005"/>
      <c r="AU58" s="1176"/>
      <c r="AV58" s="1176"/>
      <c r="AW58" s="1601"/>
      <c r="AX58" s="1227">
        <v>0</v>
      </c>
      <c r="AY58" s="1227">
        <v>0.8</v>
      </c>
      <c r="AZ58" s="1227">
        <v>1.55</v>
      </c>
      <c r="BA58" s="1227">
        <v>2.2999999999999998</v>
      </c>
      <c r="BB58" s="1227">
        <v>3.05</v>
      </c>
      <c r="BC58" s="1004"/>
      <c r="BD58" s="1004"/>
      <c r="BE58" s="1004"/>
      <c r="BF58" s="1013"/>
      <c r="BG58" s="1013"/>
      <c r="BH58" s="1004"/>
      <c r="BI58" s="1004"/>
      <c r="BJ58" s="1004"/>
      <c r="BK58" s="1004"/>
      <c r="BL58" s="1004"/>
      <c r="BM58" s="1004"/>
      <c r="BN58" s="1013"/>
      <c r="BO58" s="1013"/>
      <c r="BP58" s="1013"/>
      <c r="BQ58" s="1004"/>
      <c r="BR58" s="1035"/>
      <c r="BS58" s="1005"/>
      <c r="BT58" s="1230">
        <v>0.3012999278081373</v>
      </c>
      <c r="BU58" s="1005"/>
      <c r="BV58" s="1005"/>
      <c r="BW58" s="1005"/>
      <c r="BX58" s="1005"/>
      <c r="BY58" s="1005"/>
      <c r="BZ58" s="1035"/>
      <c r="CA58" s="1013"/>
      <c r="CB58" s="1013"/>
      <c r="CC58" s="1013"/>
      <c r="CD58" s="1035"/>
      <c r="CE58" s="1035"/>
      <c r="CF58" s="1176"/>
      <c r="CG58" s="1195"/>
      <c r="CH58" s="1236">
        <v>0</v>
      </c>
      <c r="CI58" s="1236">
        <v>450.32999999999993</v>
      </c>
      <c r="CJ58" s="1236">
        <v>848.36999999999989</v>
      </c>
      <c r="CK58" s="1236">
        <v>420.41999999999996</v>
      </c>
      <c r="CL58" s="1236">
        <v>372.51999999999992</v>
      </c>
      <c r="CM58" s="1004"/>
      <c r="CN58" s="1004"/>
      <c r="CO58" s="1008"/>
      <c r="CP58" s="1013"/>
      <c r="CQ58" s="1013"/>
      <c r="CR58" s="1004"/>
      <c r="CS58" s="1004"/>
      <c r="CT58" s="1004"/>
      <c r="CU58" s="1008"/>
      <c r="CV58" s="1004"/>
      <c r="CW58" s="1004"/>
      <c r="CX58" s="1013"/>
      <c r="CY58" s="1013"/>
      <c r="CZ58" s="1013"/>
      <c r="DA58" s="1004"/>
      <c r="DB58" s="1013"/>
      <c r="DC58" s="1004"/>
      <c r="DD58" s="1236">
        <v>89217404.640000001</v>
      </c>
      <c r="DE58" s="1010"/>
      <c r="DF58" s="1010"/>
      <c r="DG58" s="1010"/>
      <c r="DH58" s="1014"/>
      <c r="DI58" s="1008"/>
      <c r="DJ58" s="1008"/>
      <c r="DK58" s="1013"/>
      <c r="DL58" s="1013"/>
      <c r="DM58" s="1013"/>
      <c r="DN58" s="1008"/>
      <c r="DO58" s="1008"/>
      <c r="DP58" s="1176"/>
      <c r="DQ58" s="1199">
        <f t="shared" si="185"/>
        <v>0</v>
      </c>
      <c r="DR58" s="1199">
        <f t="shared" si="186"/>
        <v>0</v>
      </c>
      <c r="DS58" s="1199">
        <f t="shared" si="187"/>
        <v>131989.47134999998</v>
      </c>
      <c r="DT58" s="1199">
        <f t="shared" si="188"/>
        <v>480894.29264999996</v>
      </c>
      <c r="DU58" s="1199">
        <f t="shared" si="189"/>
        <v>353402.94989999995</v>
      </c>
      <c r="DV58" s="1199">
        <f t="shared" si="190"/>
        <v>415115.79939999996</v>
      </c>
      <c r="DW58" s="1199">
        <f t="shared" si="191"/>
        <v>0</v>
      </c>
      <c r="DX58" s="1199">
        <f t="shared" si="192"/>
        <v>0</v>
      </c>
      <c r="DY58" s="1199">
        <f t="shared" si="193"/>
        <v>0</v>
      </c>
      <c r="DZ58" s="1199">
        <f t="shared" si="194"/>
        <v>0</v>
      </c>
      <c r="EA58" s="1199">
        <f t="shared" si="195"/>
        <v>0</v>
      </c>
      <c r="EB58" s="1199">
        <f t="shared" si="196"/>
        <v>0</v>
      </c>
      <c r="EC58" s="1199">
        <f t="shared" si="197"/>
        <v>0</v>
      </c>
      <c r="ED58" s="1199">
        <f t="shared" si="198"/>
        <v>0</v>
      </c>
      <c r="EE58" s="1199">
        <f t="shared" si="199"/>
        <v>0</v>
      </c>
      <c r="EF58" s="1199">
        <f t="shared" si="200"/>
        <v>0</v>
      </c>
      <c r="EG58" s="1199">
        <f t="shared" si="201"/>
        <v>0</v>
      </c>
      <c r="EH58" s="1199">
        <f t="shared" si="202"/>
        <v>0</v>
      </c>
      <c r="EI58" s="1199">
        <f t="shared" si="203"/>
        <v>0</v>
      </c>
      <c r="EJ58" s="1199">
        <f t="shared" si="204"/>
        <v>0</v>
      </c>
      <c r="EK58" s="1199">
        <f t="shared" si="205"/>
        <v>0</v>
      </c>
      <c r="EL58" s="1199">
        <f t="shared" si="206"/>
        <v>0</v>
      </c>
      <c r="EM58" s="1199">
        <f t="shared" si="207"/>
        <v>0</v>
      </c>
      <c r="EN58" s="1199">
        <f t="shared" si="208"/>
        <v>27235748.148133859</v>
      </c>
      <c r="EO58" s="1199">
        <f t="shared" si="209"/>
        <v>0</v>
      </c>
      <c r="EP58" s="1199">
        <f t="shared" si="210"/>
        <v>0</v>
      </c>
      <c r="EQ58" s="1199">
        <f t="shared" si="211"/>
        <v>0</v>
      </c>
      <c r="ER58" s="1199">
        <f t="shared" si="212"/>
        <v>0</v>
      </c>
      <c r="ES58" s="1199">
        <f t="shared" si="213"/>
        <v>0</v>
      </c>
      <c r="ET58" s="1199">
        <f t="shared" si="214"/>
        <v>0</v>
      </c>
      <c r="EU58" s="1199">
        <f t="shared" si="215"/>
        <v>0</v>
      </c>
      <c r="EV58" s="1199">
        <f t="shared" si="216"/>
        <v>0</v>
      </c>
      <c r="EW58" s="1199">
        <f t="shared" si="217"/>
        <v>0</v>
      </c>
      <c r="EX58" s="1199">
        <f t="shared" si="218"/>
        <v>0</v>
      </c>
      <c r="EY58" s="1199">
        <f t="shared" si="219"/>
        <v>0</v>
      </c>
      <c r="EZ58" s="1175">
        <f t="shared" si="220"/>
        <v>28617150.661433861</v>
      </c>
      <c r="FA58" s="1177"/>
      <c r="FB58" s="1202">
        <f t="shared" si="221"/>
        <v>0</v>
      </c>
      <c r="FC58" s="1202">
        <f t="shared" si="222"/>
        <v>0</v>
      </c>
      <c r="FD58" s="1202">
        <f t="shared" si="223"/>
        <v>131496.35999999999</v>
      </c>
      <c r="FE58" s="1202">
        <f t="shared" si="224"/>
        <v>479965.32749999996</v>
      </c>
      <c r="FF58" s="1202">
        <f t="shared" si="225"/>
        <v>352942.58999999991</v>
      </c>
      <c r="FG58" s="1202">
        <f t="shared" si="226"/>
        <v>414707.8899999999</v>
      </c>
      <c r="FH58" s="1202">
        <f t="shared" si="227"/>
        <v>0</v>
      </c>
      <c r="FI58" s="1202">
        <f t="shared" si="228"/>
        <v>0</v>
      </c>
      <c r="FJ58" s="1202">
        <f t="shared" si="229"/>
        <v>0</v>
      </c>
      <c r="FK58" s="1202">
        <f t="shared" si="230"/>
        <v>0</v>
      </c>
      <c r="FL58" s="1202">
        <f t="shared" si="231"/>
        <v>0</v>
      </c>
      <c r="FM58" s="1202">
        <f t="shared" si="232"/>
        <v>0</v>
      </c>
      <c r="FN58" s="1202">
        <f t="shared" si="233"/>
        <v>0</v>
      </c>
      <c r="FO58" s="1202">
        <f t="shared" si="234"/>
        <v>0</v>
      </c>
      <c r="FP58" s="1202">
        <f t="shared" si="235"/>
        <v>0</v>
      </c>
      <c r="FQ58" s="1202">
        <f t="shared" si="236"/>
        <v>0</v>
      </c>
      <c r="FR58" s="1202">
        <f t="shared" si="237"/>
        <v>0</v>
      </c>
      <c r="FS58" s="1202">
        <f t="shared" si="238"/>
        <v>0</v>
      </c>
      <c r="FT58" s="1202">
        <f t="shared" si="239"/>
        <v>0</v>
      </c>
      <c r="FU58" s="1202">
        <f t="shared" si="240"/>
        <v>0</v>
      </c>
      <c r="FV58" s="1202">
        <f t="shared" si="241"/>
        <v>0</v>
      </c>
      <c r="FW58" s="1202">
        <f t="shared" si="242"/>
        <v>0</v>
      </c>
      <c r="FX58" s="1202">
        <f t="shared" si="243"/>
        <v>0</v>
      </c>
      <c r="FY58" s="1202">
        <f t="shared" si="244"/>
        <v>26881197.577261373</v>
      </c>
      <c r="FZ58" s="1202">
        <f t="shared" si="245"/>
        <v>0</v>
      </c>
      <c r="GA58" s="1202">
        <f t="shared" si="246"/>
        <v>0</v>
      </c>
      <c r="GB58" s="1202">
        <f t="shared" si="247"/>
        <v>0</v>
      </c>
      <c r="GC58" s="1202">
        <f t="shared" si="248"/>
        <v>0</v>
      </c>
      <c r="GD58" s="1202">
        <f t="shared" si="249"/>
        <v>0</v>
      </c>
      <c r="GE58" s="1202">
        <f t="shared" si="250"/>
        <v>0</v>
      </c>
      <c r="GF58" s="1202">
        <f t="shared" si="251"/>
        <v>0</v>
      </c>
      <c r="GG58" s="1202">
        <f t="shared" si="252"/>
        <v>0</v>
      </c>
      <c r="GH58" s="1202">
        <f t="shared" si="253"/>
        <v>0</v>
      </c>
      <c r="GI58" s="1202">
        <f t="shared" si="254"/>
        <v>0</v>
      </c>
      <c r="GJ58" s="1202">
        <f t="shared" si="255"/>
        <v>0</v>
      </c>
      <c r="GK58" s="1174">
        <f t="shared" si="256"/>
        <v>28260309.744761374</v>
      </c>
    </row>
    <row r="59" spans="1:193" s="1015" customFormat="1">
      <c r="A59" s="1003"/>
      <c r="B59" s="1149"/>
      <c r="C59" s="1149" t="s">
        <v>908</v>
      </c>
      <c r="D59" s="1204" t="s">
        <v>908</v>
      </c>
      <c r="E59" s="1204" t="s">
        <v>765</v>
      </c>
      <c r="F59" s="1204" t="s">
        <v>770</v>
      </c>
      <c r="G59" s="1204" t="s">
        <v>791</v>
      </c>
      <c r="H59" s="1204" t="s">
        <v>831</v>
      </c>
      <c r="I59" s="1149" t="s">
        <v>744</v>
      </c>
      <c r="J59" s="1176"/>
      <c r="K59" s="1176"/>
      <c r="L59" s="1004"/>
      <c r="M59" s="1233">
        <v>0</v>
      </c>
      <c r="N59" s="1233">
        <v>0.502</v>
      </c>
      <c r="O59" s="1233">
        <v>0.60199999999999998</v>
      </c>
      <c r="P59" s="1233">
        <v>0.70199999999999996</v>
      </c>
      <c r="Q59" s="1233">
        <v>0.80199999999999994</v>
      </c>
      <c r="R59" s="1004"/>
      <c r="S59" s="1004"/>
      <c r="T59" s="1004"/>
      <c r="U59" s="1013"/>
      <c r="V59" s="1013"/>
      <c r="W59" s="1004"/>
      <c r="X59" s="1004"/>
      <c r="Y59" s="1004"/>
      <c r="Z59" s="1004"/>
      <c r="AA59" s="1004"/>
      <c r="AB59" s="1004"/>
      <c r="AC59" s="1013"/>
      <c r="AD59" s="1004"/>
      <c r="AE59" s="1013"/>
      <c r="AF59" s="1004"/>
      <c r="AG59" s="1013"/>
      <c r="AH59" s="1004"/>
      <c r="AI59" s="1224">
        <v>6.7172418798812944E-2</v>
      </c>
      <c r="AJ59" s="1016"/>
      <c r="AK59" s="1016"/>
      <c r="AL59" s="1016"/>
      <c r="AM59" s="1005"/>
      <c r="AN59" s="1005"/>
      <c r="AO59" s="1005"/>
      <c r="AP59" s="1013"/>
      <c r="AQ59" s="1013"/>
      <c r="AR59" s="1013"/>
      <c r="AS59" s="1005"/>
      <c r="AT59" s="1005"/>
      <c r="AU59" s="1176"/>
      <c r="AV59" s="1176"/>
      <c r="AW59" s="1601"/>
      <c r="AX59" s="1227">
        <v>0</v>
      </c>
      <c r="AY59" s="1227">
        <v>0.5</v>
      </c>
      <c r="AZ59" s="1227">
        <v>0.6</v>
      </c>
      <c r="BA59" s="1227">
        <v>0.7</v>
      </c>
      <c r="BB59" s="1227">
        <v>0.79999999999999993</v>
      </c>
      <c r="BC59" s="1004"/>
      <c r="BD59" s="1004"/>
      <c r="BE59" s="1004"/>
      <c r="BF59" s="1013"/>
      <c r="BG59" s="1013"/>
      <c r="BH59" s="1004"/>
      <c r="BI59" s="1004"/>
      <c r="BJ59" s="1004"/>
      <c r="BK59" s="1004"/>
      <c r="BL59" s="1004"/>
      <c r="BM59" s="1004"/>
      <c r="BN59" s="1013"/>
      <c r="BO59" s="1013"/>
      <c r="BP59" s="1013"/>
      <c r="BQ59" s="1004"/>
      <c r="BR59" s="1035"/>
      <c r="BS59" s="1005"/>
      <c r="BT59" s="1230">
        <v>6.6411312205104267E-2</v>
      </c>
      <c r="BU59" s="1005"/>
      <c r="BV59" s="1005"/>
      <c r="BW59" s="1005"/>
      <c r="BX59" s="1005"/>
      <c r="BY59" s="1005"/>
      <c r="BZ59" s="1035"/>
      <c r="CA59" s="1013"/>
      <c r="CB59" s="1013"/>
      <c r="CC59" s="1013"/>
      <c r="CD59" s="1035"/>
      <c r="CE59" s="1035"/>
      <c r="CF59" s="1176"/>
      <c r="CG59" s="1195"/>
      <c r="CH59" s="1236">
        <v>0</v>
      </c>
      <c r="CI59" s="1236">
        <v>16.059999999999999</v>
      </c>
      <c r="CJ59" s="1236">
        <v>75.569999999999993</v>
      </c>
      <c r="CK59" s="1236">
        <v>129.41</v>
      </c>
      <c r="CL59" s="1236">
        <v>156.80000000000001</v>
      </c>
      <c r="CM59" s="1004"/>
      <c r="CN59" s="1004"/>
      <c r="CO59" s="1008"/>
      <c r="CP59" s="1013"/>
      <c r="CQ59" s="1013"/>
      <c r="CR59" s="1004"/>
      <c r="CS59" s="1004"/>
      <c r="CT59" s="1004"/>
      <c r="CU59" s="1008"/>
      <c r="CV59" s="1004"/>
      <c r="CW59" s="1004"/>
      <c r="CX59" s="1013"/>
      <c r="CY59" s="1013"/>
      <c r="CZ59" s="1013"/>
      <c r="DA59" s="1004"/>
      <c r="DB59" s="1013"/>
      <c r="DC59" s="1004"/>
      <c r="DD59" s="1236">
        <v>18180753.899999999</v>
      </c>
      <c r="DE59" s="1010"/>
      <c r="DF59" s="1010"/>
      <c r="DG59" s="1010"/>
      <c r="DH59" s="1014"/>
      <c r="DI59" s="1008"/>
      <c r="DJ59" s="1008"/>
      <c r="DK59" s="1013"/>
      <c r="DL59" s="1013"/>
      <c r="DM59" s="1013"/>
      <c r="DN59" s="1008"/>
      <c r="DO59" s="1008"/>
      <c r="DP59" s="1176"/>
      <c r="DQ59" s="1199">
        <f t="shared" si="185"/>
        <v>0</v>
      </c>
      <c r="DR59" s="1199">
        <f t="shared" si="186"/>
        <v>0</v>
      </c>
      <c r="DS59" s="1199">
        <f t="shared" si="187"/>
        <v>2942.6738</v>
      </c>
      <c r="DT59" s="1199">
        <f t="shared" si="188"/>
        <v>16604.9961</v>
      </c>
      <c r="DU59" s="1199">
        <f t="shared" si="189"/>
        <v>33158.724299999994</v>
      </c>
      <c r="DV59" s="1199">
        <f t="shared" si="190"/>
        <v>45900.063999999998</v>
      </c>
      <c r="DW59" s="1199">
        <f t="shared" si="191"/>
        <v>0</v>
      </c>
      <c r="DX59" s="1199">
        <f t="shared" si="192"/>
        <v>0</v>
      </c>
      <c r="DY59" s="1199">
        <f t="shared" si="193"/>
        <v>0</v>
      </c>
      <c r="DZ59" s="1199">
        <f t="shared" si="194"/>
        <v>0</v>
      </c>
      <c r="EA59" s="1199">
        <f t="shared" si="195"/>
        <v>0</v>
      </c>
      <c r="EB59" s="1199">
        <f t="shared" si="196"/>
        <v>0</v>
      </c>
      <c r="EC59" s="1199">
        <f t="shared" si="197"/>
        <v>0</v>
      </c>
      <c r="ED59" s="1199">
        <f t="shared" si="198"/>
        <v>0</v>
      </c>
      <c r="EE59" s="1199">
        <f t="shared" si="199"/>
        <v>0</v>
      </c>
      <c r="EF59" s="1199">
        <f t="shared" si="200"/>
        <v>0</v>
      </c>
      <c r="EG59" s="1199">
        <f t="shared" si="201"/>
        <v>0</v>
      </c>
      <c r="EH59" s="1199">
        <f t="shared" si="202"/>
        <v>0</v>
      </c>
      <c r="EI59" s="1199">
        <f t="shared" si="203"/>
        <v>0</v>
      </c>
      <c r="EJ59" s="1199">
        <f t="shared" si="204"/>
        <v>0</v>
      </c>
      <c r="EK59" s="1199">
        <f t="shared" si="205"/>
        <v>0</v>
      </c>
      <c r="EL59" s="1199">
        <f t="shared" si="206"/>
        <v>0</v>
      </c>
      <c r="EM59" s="1199">
        <f t="shared" si="207"/>
        <v>0</v>
      </c>
      <c r="EN59" s="1199">
        <f t="shared" si="208"/>
        <v>1221245.2150489516</v>
      </c>
      <c r="EO59" s="1199">
        <f t="shared" si="209"/>
        <v>0</v>
      </c>
      <c r="EP59" s="1199">
        <f t="shared" si="210"/>
        <v>0</v>
      </c>
      <c r="EQ59" s="1199">
        <f t="shared" si="211"/>
        <v>0</v>
      </c>
      <c r="ER59" s="1199">
        <f t="shared" si="212"/>
        <v>0</v>
      </c>
      <c r="ES59" s="1199">
        <f t="shared" si="213"/>
        <v>0</v>
      </c>
      <c r="ET59" s="1199">
        <f t="shared" si="214"/>
        <v>0</v>
      </c>
      <c r="EU59" s="1199">
        <f t="shared" si="215"/>
        <v>0</v>
      </c>
      <c r="EV59" s="1199">
        <f t="shared" si="216"/>
        <v>0</v>
      </c>
      <c r="EW59" s="1199">
        <f t="shared" si="217"/>
        <v>0</v>
      </c>
      <c r="EX59" s="1199">
        <f t="shared" si="218"/>
        <v>0</v>
      </c>
      <c r="EY59" s="1199">
        <f t="shared" si="219"/>
        <v>0</v>
      </c>
      <c r="EZ59" s="1175">
        <f t="shared" si="220"/>
        <v>1319851.6732489516</v>
      </c>
      <c r="FA59" s="1177"/>
      <c r="FB59" s="1202">
        <f t="shared" si="221"/>
        <v>0</v>
      </c>
      <c r="FC59" s="1202">
        <f t="shared" si="222"/>
        <v>0</v>
      </c>
      <c r="FD59" s="1202">
        <f t="shared" si="223"/>
        <v>2930.95</v>
      </c>
      <c r="FE59" s="1202">
        <f t="shared" si="224"/>
        <v>16549.829999999998</v>
      </c>
      <c r="FF59" s="1202">
        <f t="shared" si="225"/>
        <v>33064.254999999997</v>
      </c>
      <c r="FG59" s="1202">
        <f t="shared" si="226"/>
        <v>45785.599999999999</v>
      </c>
      <c r="FH59" s="1202">
        <f t="shared" si="227"/>
        <v>0</v>
      </c>
      <c r="FI59" s="1202">
        <f t="shared" si="228"/>
        <v>0</v>
      </c>
      <c r="FJ59" s="1202">
        <f t="shared" si="229"/>
        <v>0</v>
      </c>
      <c r="FK59" s="1202">
        <f t="shared" si="230"/>
        <v>0</v>
      </c>
      <c r="FL59" s="1202">
        <f t="shared" si="231"/>
        <v>0</v>
      </c>
      <c r="FM59" s="1202">
        <f t="shared" si="232"/>
        <v>0</v>
      </c>
      <c r="FN59" s="1202">
        <f t="shared" si="233"/>
        <v>0</v>
      </c>
      <c r="FO59" s="1202">
        <f t="shared" si="234"/>
        <v>0</v>
      </c>
      <c r="FP59" s="1202">
        <f t="shared" si="235"/>
        <v>0</v>
      </c>
      <c r="FQ59" s="1202">
        <f t="shared" si="236"/>
        <v>0</v>
      </c>
      <c r="FR59" s="1202">
        <f t="shared" si="237"/>
        <v>0</v>
      </c>
      <c r="FS59" s="1202">
        <f t="shared" si="238"/>
        <v>0</v>
      </c>
      <c r="FT59" s="1202">
        <f t="shared" si="239"/>
        <v>0</v>
      </c>
      <c r="FU59" s="1202">
        <f t="shared" si="240"/>
        <v>0</v>
      </c>
      <c r="FV59" s="1202">
        <f t="shared" si="241"/>
        <v>0</v>
      </c>
      <c r="FW59" s="1202">
        <f t="shared" si="242"/>
        <v>0</v>
      </c>
      <c r="FX59" s="1202">
        <f t="shared" si="243"/>
        <v>0</v>
      </c>
      <c r="FY59" s="1202">
        <f t="shared" si="244"/>
        <v>1207407.7233770669</v>
      </c>
      <c r="FZ59" s="1202">
        <f t="shared" si="245"/>
        <v>0</v>
      </c>
      <c r="GA59" s="1202">
        <f t="shared" si="246"/>
        <v>0</v>
      </c>
      <c r="GB59" s="1202">
        <f t="shared" si="247"/>
        <v>0</v>
      </c>
      <c r="GC59" s="1202">
        <f t="shared" si="248"/>
        <v>0</v>
      </c>
      <c r="GD59" s="1202">
        <f t="shared" si="249"/>
        <v>0</v>
      </c>
      <c r="GE59" s="1202">
        <f t="shared" si="250"/>
        <v>0</v>
      </c>
      <c r="GF59" s="1202">
        <f t="shared" si="251"/>
        <v>0</v>
      </c>
      <c r="GG59" s="1202">
        <f t="shared" si="252"/>
        <v>0</v>
      </c>
      <c r="GH59" s="1202">
        <f t="shared" si="253"/>
        <v>0</v>
      </c>
      <c r="GI59" s="1202">
        <f t="shared" si="254"/>
        <v>0</v>
      </c>
      <c r="GJ59" s="1202">
        <f t="shared" si="255"/>
        <v>0</v>
      </c>
      <c r="GK59" s="1174">
        <f t="shared" si="256"/>
        <v>1305738.3583770669</v>
      </c>
    </row>
    <row r="60" spans="1:193" s="1015" customFormat="1">
      <c r="A60" s="1003"/>
      <c r="B60" s="1149"/>
      <c r="C60" s="1149" t="s">
        <v>251</v>
      </c>
      <c r="D60" s="1204" t="s">
        <v>251</v>
      </c>
      <c r="E60" s="1204" t="s">
        <v>765</v>
      </c>
      <c r="F60" s="1204" t="s">
        <v>770</v>
      </c>
      <c r="G60" s="1204" t="s">
        <v>789</v>
      </c>
      <c r="H60" s="1204" t="s">
        <v>817</v>
      </c>
      <c r="I60" s="1149" t="s">
        <v>744</v>
      </c>
      <c r="J60" s="1176"/>
      <c r="K60" s="1176"/>
      <c r="L60" s="1020"/>
      <c r="M60" s="1233">
        <v>1</v>
      </c>
      <c r="N60" s="1233">
        <v>1.25</v>
      </c>
      <c r="O60" s="1233">
        <v>1.5</v>
      </c>
      <c r="P60" s="1233">
        <v>1.75</v>
      </c>
      <c r="Q60" s="1233">
        <v>2</v>
      </c>
      <c r="R60" s="1004"/>
      <c r="S60" s="1004"/>
      <c r="T60" s="1004"/>
      <c r="U60" s="1013"/>
      <c r="V60" s="1013"/>
      <c r="W60" s="1004"/>
      <c r="X60" s="1004"/>
      <c r="Y60" s="1004"/>
      <c r="Z60" s="1004"/>
      <c r="AA60" s="1011"/>
      <c r="AB60" s="1004"/>
      <c r="AC60" s="1013"/>
      <c r="AD60" s="1004"/>
      <c r="AE60" s="1013"/>
      <c r="AF60" s="1004"/>
      <c r="AG60" s="1013"/>
      <c r="AH60" s="1004"/>
      <c r="AI60" s="1035"/>
      <c r="AJ60" s="1035"/>
      <c r="AK60" s="1005"/>
      <c r="AL60" s="1016"/>
      <c r="AM60" s="1224">
        <v>0.24679005473138274</v>
      </c>
      <c r="AN60" s="1224">
        <v>4.7395134798197097E-2</v>
      </c>
      <c r="AO60" s="1224">
        <v>1.8320965190146712E-2</v>
      </c>
      <c r="AP60" s="1013"/>
      <c r="AQ60" s="1013"/>
      <c r="AR60" s="1013"/>
      <c r="AS60" s="1005"/>
      <c r="AT60" s="1005"/>
      <c r="AU60" s="1176"/>
      <c r="AV60" s="1176"/>
      <c r="AW60" s="1601"/>
      <c r="AX60" s="1227">
        <v>1</v>
      </c>
      <c r="AY60" s="1227">
        <v>1.25</v>
      </c>
      <c r="AZ60" s="1227">
        <v>1.5</v>
      </c>
      <c r="BA60" s="1227">
        <v>1.75</v>
      </c>
      <c r="BB60" s="1227">
        <v>2</v>
      </c>
      <c r="BC60" s="1004"/>
      <c r="BD60" s="1004"/>
      <c r="BE60" s="1004"/>
      <c r="BF60" s="1013"/>
      <c r="BG60" s="1013"/>
      <c r="BH60" s="1004"/>
      <c r="BI60" s="1004"/>
      <c r="BJ60" s="1004"/>
      <c r="BK60" s="1004"/>
      <c r="BL60" s="1011"/>
      <c r="BM60" s="1004"/>
      <c r="BN60" s="1013"/>
      <c r="BO60" s="1013"/>
      <c r="BP60" s="1013"/>
      <c r="BQ60" s="1004"/>
      <c r="BR60" s="1035"/>
      <c r="BS60" s="1005"/>
      <c r="BT60" s="1038"/>
      <c r="BU60" s="1005"/>
      <c r="BV60" s="1005"/>
      <c r="BW60" s="1016"/>
      <c r="BX60" s="1183">
        <v>0.24193000000000001</v>
      </c>
      <c r="BY60" s="1183">
        <v>4.4099336247454886E-2</v>
      </c>
      <c r="BZ60" s="1228">
        <v>1.7736633267619137E-2</v>
      </c>
      <c r="CA60" s="1013"/>
      <c r="CB60" s="1013"/>
      <c r="CC60" s="1013"/>
      <c r="CD60" s="1035"/>
      <c r="CE60" s="1035"/>
      <c r="CF60" s="1176"/>
      <c r="CG60" s="1195"/>
      <c r="CH60" s="1236">
        <v>402.05000000000007</v>
      </c>
      <c r="CI60" s="1236">
        <v>83.140000000000015</v>
      </c>
      <c r="CJ60" s="1236">
        <v>40.640000000000008</v>
      </c>
      <c r="CK60" s="1236">
        <v>24.06</v>
      </c>
      <c r="CL60" s="1236">
        <v>12.2</v>
      </c>
      <c r="CM60" s="1004"/>
      <c r="CN60" s="1004"/>
      <c r="CO60" s="1008"/>
      <c r="CP60" s="1013"/>
      <c r="CQ60" s="1013"/>
      <c r="CR60" s="1004"/>
      <c r="CS60" s="1004"/>
      <c r="CT60" s="1004"/>
      <c r="CU60" s="1008"/>
      <c r="CV60" s="1011"/>
      <c r="CW60" s="1004"/>
      <c r="CX60" s="1013"/>
      <c r="CY60" s="1013"/>
      <c r="CZ60" s="1013"/>
      <c r="DA60" s="1004"/>
      <c r="DB60" s="1013"/>
      <c r="DC60" s="1004"/>
      <c r="DD60" s="1036"/>
      <c r="DE60" s="1036"/>
      <c r="DF60" s="1008"/>
      <c r="DG60" s="1010"/>
      <c r="DH60" s="1236">
        <v>1743606.19</v>
      </c>
      <c r="DI60" s="1236">
        <v>4610081.1000000006</v>
      </c>
      <c r="DJ60" s="1236">
        <v>4181847.1800000006</v>
      </c>
      <c r="DK60" s="1013"/>
      <c r="DL60" s="1013"/>
      <c r="DM60" s="1013"/>
      <c r="DN60" s="1008"/>
      <c r="DO60" s="1008"/>
      <c r="DP60" s="1176"/>
      <c r="DQ60" s="1199">
        <f t="shared" si="185"/>
        <v>0</v>
      </c>
      <c r="DR60" s="1199">
        <f t="shared" si="186"/>
        <v>146748.25000000003</v>
      </c>
      <c r="DS60" s="1199">
        <f t="shared" si="187"/>
        <v>37932.625000000007</v>
      </c>
      <c r="DT60" s="1199">
        <f t="shared" si="188"/>
        <v>22250.400000000001</v>
      </c>
      <c r="DU60" s="1199">
        <f t="shared" si="189"/>
        <v>15368.324999999999</v>
      </c>
      <c r="DV60" s="1199">
        <f t="shared" si="190"/>
        <v>8906</v>
      </c>
      <c r="DW60" s="1199">
        <f t="shared" si="191"/>
        <v>0</v>
      </c>
      <c r="DX60" s="1199">
        <f t="shared" si="192"/>
        <v>0</v>
      </c>
      <c r="DY60" s="1199">
        <f t="shared" si="193"/>
        <v>0</v>
      </c>
      <c r="DZ60" s="1199">
        <f t="shared" si="194"/>
        <v>0</v>
      </c>
      <c r="EA60" s="1199">
        <f t="shared" si="195"/>
        <v>0</v>
      </c>
      <c r="EB60" s="1199">
        <f t="shared" si="196"/>
        <v>0</v>
      </c>
      <c r="EC60" s="1199">
        <f t="shared" si="197"/>
        <v>0</v>
      </c>
      <c r="ED60" s="1199">
        <f t="shared" si="198"/>
        <v>0</v>
      </c>
      <c r="EE60" s="1199">
        <f t="shared" si="199"/>
        <v>0</v>
      </c>
      <c r="EF60" s="1199">
        <f t="shared" si="200"/>
        <v>0</v>
      </c>
      <c r="EG60" s="1199">
        <f t="shared" si="201"/>
        <v>0</v>
      </c>
      <c r="EH60" s="1199">
        <f t="shared" si="202"/>
        <v>0</v>
      </c>
      <c r="EI60" s="1199">
        <f t="shared" si="203"/>
        <v>0</v>
      </c>
      <c r="EJ60" s="1199">
        <f t="shared" si="204"/>
        <v>0</v>
      </c>
      <c r="EK60" s="1199">
        <f t="shared" si="205"/>
        <v>0</v>
      </c>
      <c r="EL60" s="1199">
        <f t="shared" si="206"/>
        <v>0</v>
      </c>
      <c r="EM60" s="1199">
        <f t="shared" si="207"/>
        <v>0</v>
      </c>
      <c r="EN60" s="1199">
        <f t="shared" si="208"/>
        <v>0</v>
      </c>
      <c r="EO60" s="1199">
        <f t="shared" si="209"/>
        <v>0</v>
      </c>
      <c r="EP60" s="1199">
        <f t="shared" si="210"/>
        <v>0</v>
      </c>
      <c r="EQ60" s="1199">
        <f t="shared" si="211"/>
        <v>0</v>
      </c>
      <c r="ER60" s="1199">
        <f t="shared" si="212"/>
        <v>430304.66706007771</v>
      </c>
      <c r="ES60" s="1199">
        <f t="shared" si="213"/>
        <v>218495.41516512076</v>
      </c>
      <c r="ET60" s="1199">
        <f t="shared" si="214"/>
        <v>76615.476615293199</v>
      </c>
      <c r="EU60" s="1199">
        <f t="shared" si="215"/>
        <v>0</v>
      </c>
      <c r="EV60" s="1199">
        <f t="shared" si="216"/>
        <v>0</v>
      </c>
      <c r="EW60" s="1199">
        <f t="shared" si="217"/>
        <v>0</v>
      </c>
      <c r="EX60" s="1199">
        <f t="shared" si="218"/>
        <v>0</v>
      </c>
      <c r="EY60" s="1199">
        <f t="shared" si="219"/>
        <v>0</v>
      </c>
      <c r="EZ60" s="1175">
        <f t="shared" si="220"/>
        <v>956621.15884049167</v>
      </c>
      <c r="FA60" s="1177"/>
      <c r="FB60" s="1202">
        <f t="shared" si="221"/>
        <v>0</v>
      </c>
      <c r="FC60" s="1202">
        <f t="shared" si="222"/>
        <v>146748.25000000003</v>
      </c>
      <c r="FD60" s="1202">
        <f t="shared" si="223"/>
        <v>37932.625000000007</v>
      </c>
      <c r="FE60" s="1202">
        <f t="shared" si="224"/>
        <v>22250.400000000001</v>
      </c>
      <c r="FF60" s="1202">
        <f t="shared" si="225"/>
        <v>15368.324999999999</v>
      </c>
      <c r="FG60" s="1202">
        <f t="shared" si="226"/>
        <v>8906</v>
      </c>
      <c r="FH60" s="1202">
        <f t="shared" si="227"/>
        <v>0</v>
      </c>
      <c r="FI60" s="1202">
        <f t="shared" si="228"/>
        <v>0</v>
      </c>
      <c r="FJ60" s="1202">
        <f t="shared" si="229"/>
        <v>0</v>
      </c>
      <c r="FK60" s="1202">
        <f t="shared" si="230"/>
        <v>0</v>
      </c>
      <c r="FL60" s="1202">
        <f t="shared" si="231"/>
        <v>0</v>
      </c>
      <c r="FM60" s="1202">
        <f t="shared" si="232"/>
        <v>0</v>
      </c>
      <c r="FN60" s="1202">
        <f t="shared" si="233"/>
        <v>0</v>
      </c>
      <c r="FO60" s="1202">
        <f t="shared" si="234"/>
        <v>0</v>
      </c>
      <c r="FP60" s="1202">
        <f t="shared" si="235"/>
        <v>0</v>
      </c>
      <c r="FQ60" s="1202">
        <f t="shared" si="236"/>
        <v>0</v>
      </c>
      <c r="FR60" s="1202">
        <f t="shared" si="237"/>
        <v>0</v>
      </c>
      <c r="FS60" s="1202">
        <f t="shared" si="238"/>
        <v>0</v>
      </c>
      <c r="FT60" s="1202">
        <f t="shared" si="239"/>
        <v>0</v>
      </c>
      <c r="FU60" s="1202">
        <f t="shared" si="240"/>
        <v>0</v>
      </c>
      <c r="FV60" s="1202">
        <f t="shared" si="241"/>
        <v>0</v>
      </c>
      <c r="FW60" s="1202">
        <f t="shared" si="242"/>
        <v>0</v>
      </c>
      <c r="FX60" s="1202">
        <f t="shared" si="243"/>
        <v>0</v>
      </c>
      <c r="FY60" s="1202">
        <f t="shared" si="244"/>
        <v>0</v>
      </c>
      <c r="FZ60" s="1202">
        <f t="shared" si="245"/>
        <v>0</v>
      </c>
      <c r="GA60" s="1202">
        <f t="shared" si="246"/>
        <v>0</v>
      </c>
      <c r="GB60" s="1202">
        <f t="shared" si="247"/>
        <v>0</v>
      </c>
      <c r="GC60" s="1202">
        <f t="shared" si="248"/>
        <v>421830.64554669999</v>
      </c>
      <c r="GD60" s="1202">
        <f t="shared" si="249"/>
        <v>203301.51655693672</v>
      </c>
      <c r="GE60" s="1202">
        <f t="shared" si="250"/>
        <v>74171.889812887282</v>
      </c>
      <c r="GF60" s="1202">
        <f t="shared" si="251"/>
        <v>0</v>
      </c>
      <c r="GG60" s="1202">
        <f t="shared" si="252"/>
        <v>0</v>
      </c>
      <c r="GH60" s="1202">
        <f t="shared" si="253"/>
        <v>0</v>
      </c>
      <c r="GI60" s="1202">
        <f t="shared" si="254"/>
        <v>0</v>
      </c>
      <c r="GJ60" s="1202">
        <f t="shared" si="255"/>
        <v>0</v>
      </c>
      <c r="GK60" s="1174">
        <f t="shared" si="256"/>
        <v>930509.65191652405</v>
      </c>
    </row>
    <row r="61" spans="1:193" s="1015" customFormat="1">
      <c r="A61" s="1003"/>
      <c r="B61" s="1149"/>
      <c r="C61" s="1149" t="s">
        <v>252</v>
      </c>
      <c r="D61" s="1204" t="s">
        <v>252</v>
      </c>
      <c r="E61" s="1204" t="s">
        <v>765</v>
      </c>
      <c r="F61" s="1204" t="s">
        <v>770</v>
      </c>
      <c r="G61" s="1204" t="s">
        <v>790</v>
      </c>
      <c r="H61" s="1204" t="s">
        <v>825</v>
      </c>
      <c r="I61" s="1149" t="s">
        <v>744</v>
      </c>
      <c r="J61" s="1176"/>
      <c r="K61" s="1176"/>
      <c r="L61" s="1020"/>
      <c r="M61" s="1233">
        <v>1.5</v>
      </c>
      <c r="N61" s="1233">
        <v>2.25</v>
      </c>
      <c r="O61" s="1233">
        <v>3</v>
      </c>
      <c r="P61" s="1233">
        <v>3.75</v>
      </c>
      <c r="Q61" s="1233">
        <v>4.5</v>
      </c>
      <c r="R61" s="1004"/>
      <c r="S61" s="1004"/>
      <c r="T61" s="1004"/>
      <c r="U61" s="1013"/>
      <c r="V61" s="1013"/>
      <c r="W61" s="1004"/>
      <c r="X61" s="1004"/>
      <c r="Y61" s="1004"/>
      <c r="Z61" s="1004"/>
      <c r="AA61" s="1011"/>
      <c r="AB61" s="1004"/>
      <c r="AC61" s="1013"/>
      <c r="AD61" s="1004"/>
      <c r="AE61" s="1013"/>
      <c r="AF61" s="1004"/>
      <c r="AG61" s="1013"/>
      <c r="AH61" s="1004"/>
      <c r="AI61" s="1035"/>
      <c r="AJ61" s="1035"/>
      <c r="AK61" s="1005"/>
      <c r="AL61" s="1016"/>
      <c r="AM61" s="1224">
        <v>0.63227055096819307</v>
      </c>
      <c r="AN61" s="1224">
        <v>0.2498989203170171</v>
      </c>
      <c r="AO61" s="1224">
        <v>5.2301328836840716E-2</v>
      </c>
      <c r="AP61" s="1013"/>
      <c r="AQ61" s="1013"/>
      <c r="AR61" s="1013"/>
      <c r="AS61" s="1005"/>
      <c r="AT61" s="1005"/>
      <c r="AU61" s="1176"/>
      <c r="AV61" s="1176"/>
      <c r="AW61" s="1601"/>
      <c r="AX61" s="1227">
        <v>1.5</v>
      </c>
      <c r="AY61" s="1227">
        <v>2.25</v>
      </c>
      <c r="AZ61" s="1227">
        <v>3</v>
      </c>
      <c r="BA61" s="1227">
        <v>3.75</v>
      </c>
      <c r="BB61" s="1227">
        <v>4.5</v>
      </c>
      <c r="BC61" s="1004"/>
      <c r="BD61" s="1004"/>
      <c r="BE61" s="1004"/>
      <c r="BF61" s="1013"/>
      <c r="BG61" s="1013"/>
      <c r="BH61" s="1004"/>
      <c r="BI61" s="1004"/>
      <c r="BJ61" s="1004"/>
      <c r="BK61" s="1004"/>
      <c r="BL61" s="1011"/>
      <c r="BM61" s="1004"/>
      <c r="BN61" s="1013"/>
      <c r="BO61" s="1013"/>
      <c r="BP61" s="1013"/>
      <c r="BQ61" s="1004"/>
      <c r="BR61" s="1035"/>
      <c r="BS61" s="1005"/>
      <c r="BT61" s="1038"/>
      <c r="BU61" s="1005"/>
      <c r="BV61" s="1005"/>
      <c r="BW61" s="1016"/>
      <c r="BX61" s="1183">
        <v>0.61980999999999997</v>
      </c>
      <c r="BY61" s="1183">
        <v>0.24221459183241595</v>
      </c>
      <c r="BZ61" s="1228">
        <v>5.1547609020413332E-2</v>
      </c>
      <c r="CA61" s="1013"/>
      <c r="CB61" s="1013"/>
      <c r="CC61" s="1013"/>
      <c r="CD61" s="1035"/>
      <c r="CE61" s="1035"/>
      <c r="CF61" s="1176"/>
      <c r="CG61" s="1195"/>
      <c r="CH61" s="1236">
        <v>76.790000000000006</v>
      </c>
      <c r="CI61" s="1236">
        <v>16.36</v>
      </c>
      <c r="CJ61" s="1236">
        <v>3.4699999999999998</v>
      </c>
      <c r="CK61" s="1236">
        <v>0.77</v>
      </c>
      <c r="CL61" s="1236">
        <v>2.7</v>
      </c>
      <c r="CM61" s="1004"/>
      <c r="CN61" s="1004"/>
      <c r="CO61" s="1008"/>
      <c r="CP61" s="1013"/>
      <c r="CQ61" s="1013"/>
      <c r="CR61" s="1004"/>
      <c r="CS61" s="1004"/>
      <c r="CT61" s="1004"/>
      <c r="CU61" s="1008"/>
      <c r="CV61" s="1011"/>
      <c r="CW61" s="1004"/>
      <c r="CX61" s="1013"/>
      <c r="CY61" s="1013"/>
      <c r="CZ61" s="1013"/>
      <c r="DA61" s="1004"/>
      <c r="DB61" s="1013"/>
      <c r="DC61" s="1004"/>
      <c r="DD61" s="1036"/>
      <c r="DE61" s="1036"/>
      <c r="DF61" s="1008"/>
      <c r="DG61" s="1010"/>
      <c r="DH61" s="1236">
        <v>129073.11999999998</v>
      </c>
      <c r="DI61" s="1236">
        <v>302554.96000000002</v>
      </c>
      <c r="DJ61" s="1236">
        <v>331058.37</v>
      </c>
      <c r="DK61" s="1013"/>
      <c r="DL61" s="1013"/>
      <c r="DM61" s="1013"/>
      <c r="DN61" s="1008"/>
      <c r="DO61" s="1008"/>
      <c r="DP61" s="1176"/>
      <c r="DQ61" s="1199">
        <f t="shared" si="185"/>
        <v>0</v>
      </c>
      <c r="DR61" s="1199">
        <f t="shared" si="186"/>
        <v>42042.525000000001</v>
      </c>
      <c r="DS61" s="1199">
        <f t="shared" si="187"/>
        <v>13435.650000000001</v>
      </c>
      <c r="DT61" s="1199">
        <f t="shared" si="188"/>
        <v>3799.65</v>
      </c>
      <c r="DU61" s="1199">
        <f t="shared" si="189"/>
        <v>1053.9375</v>
      </c>
      <c r="DV61" s="1199">
        <f t="shared" si="190"/>
        <v>4434.75</v>
      </c>
      <c r="DW61" s="1199">
        <f t="shared" si="191"/>
        <v>0</v>
      </c>
      <c r="DX61" s="1199">
        <f t="shared" si="192"/>
        <v>0</v>
      </c>
      <c r="DY61" s="1199">
        <f t="shared" si="193"/>
        <v>0</v>
      </c>
      <c r="DZ61" s="1199">
        <f t="shared" si="194"/>
        <v>0</v>
      </c>
      <c r="EA61" s="1199">
        <f t="shared" si="195"/>
        <v>0</v>
      </c>
      <c r="EB61" s="1199">
        <f t="shared" si="196"/>
        <v>0</v>
      </c>
      <c r="EC61" s="1199">
        <f t="shared" si="197"/>
        <v>0</v>
      </c>
      <c r="ED61" s="1199">
        <f t="shared" si="198"/>
        <v>0</v>
      </c>
      <c r="EE61" s="1199">
        <f t="shared" si="199"/>
        <v>0</v>
      </c>
      <c r="EF61" s="1199">
        <f t="shared" si="200"/>
        <v>0</v>
      </c>
      <c r="EG61" s="1199">
        <f t="shared" si="201"/>
        <v>0</v>
      </c>
      <c r="EH61" s="1199">
        <f t="shared" si="202"/>
        <v>0</v>
      </c>
      <c r="EI61" s="1199">
        <f t="shared" si="203"/>
        <v>0</v>
      </c>
      <c r="EJ61" s="1199">
        <f t="shared" si="204"/>
        <v>0</v>
      </c>
      <c r="EK61" s="1199">
        <f t="shared" si="205"/>
        <v>0</v>
      </c>
      <c r="EL61" s="1199">
        <f t="shared" si="206"/>
        <v>0</v>
      </c>
      <c r="EM61" s="1199">
        <f t="shared" si="207"/>
        <v>0</v>
      </c>
      <c r="EN61" s="1199">
        <f t="shared" si="208"/>
        <v>0</v>
      </c>
      <c r="EO61" s="1199">
        <f t="shared" si="209"/>
        <v>0</v>
      </c>
      <c r="EP61" s="1199">
        <f t="shared" si="210"/>
        <v>0</v>
      </c>
      <c r="EQ61" s="1199">
        <f t="shared" si="211"/>
        <v>0</v>
      </c>
      <c r="ER61" s="1199">
        <f t="shared" si="212"/>
        <v>81609.132697583686</v>
      </c>
      <c r="ES61" s="1199">
        <f t="shared" si="213"/>
        <v>75608.157840558299</v>
      </c>
      <c r="ET61" s="1199">
        <f t="shared" si="214"/>
        <v>17314.792673558484</v>
      </c>
      <c r="EU61" s="1199">
        <f t="shared" si="215"/>
        <v>0</v>
      </c>
      <c r="EV61" s="1199">
        <f t="shared" si="216"/>
        <v>0</v>
      </c>
      <c r="EW61" s="1199">
        <f t="shared" si="217"/>
        <v>0</v>
      </c>
      <c r="EX61" s="1199">
        <f t="shared" si="218"/>
        <v>0</v>
      </c>
      <c r="EY61" s="1199">
        <f t="shared" si="219"/>
        <v>0</v>
      </c>
      <c r="EZ61" s="1175">
        <f t="shared" si="220"/>
        <v>239298.59571170047</v>
      </c>
      <c r="FA61" s="1177"/>
      <c r="FB61" s="1202">
        <f t="shared" si="221"/>
        <v>0</v>
      </c>
      <c r="FC61" s="1202">
        <f t="shared" si="222"/>
        <v>42042.525000000001</v>
      </c>
      <c r="FD61" s="1202">
        <f t="shared" si="223"/>
        <v>13435.650000000001</v>
      </c>
      <c r="FE61" s="1202">
        <f t="shared" si="224"/>
        <v>3799.65</v>
      </c>
      <c r="FF61" s="1202">
        <f t="shared" si="225"/>
        <v>1053.9375</v>
      </c>
      <c r="FG61" s="1202">
        <f t="shared" si="226"/>
        <v>4434.75</v>
      </c>
      <c r="FH61" s="1202">
        <f t="shared" si="227"/>
        <v>0</v>
      </c>
      <c r="FI61" s="1202">
        <f t="shared" si="228"/>
        <v>0</v>
      </c>
      <c r="FJ61" s="1202">
        <f t="shared" si="229"/>
        <v>0</v>
      </c>
      <c r="FK61" s="1202">
        <f t="shared" si="230"/>
        <v>0</v>
      </c>
      <c r="FL61" s="1202">
        <f t="shared" si="231"/>
        <v>0</v>
      </c>
      <c r="FM61" s="1202">
        <f t="shared" si="232"/>
        <v>0</v>
      </c>
      <c r="FN61" s="1202">
        <f t="shared" si="233"/>
        <v>0</v>
      </c>
      <c r="FO61" s="1202">
        <f t="shared" si="234"/>
        <v>0</v>
      </c>
      <c r="FP61" s="1202">
        <f t="shared" si="235"/>
        <v>0</v>
      </c>
      <c r="FQ61" s="1202">
        <f t="shared" si="236"/>
        <v>0</v>
      </c>
      <c r="FR61" s="1202">
        <f t="shared" si="237"/>
        <v>0</v>
      </c>
      <c r="FS61" s="1202">
        <f t="shared" si="238"/>
        <v>0</v>
      </c>
      <c r="FT61" s="1202">
        <f t="shared" si="239"/>
        <v>0</v>
      </c>
      <c r="FU61" s="1202">
        <f t="shared" si="240"/>
        <v>0</v>
      </c>
      <c r="FV61" s="1202">
        <f t="shared" si="241"/>
        <v>0</v>
      </c>
      <c r="FW61" s="1202">
        <f t="shared" si="242"/>
        <v>0</v>
      </c>
      <c r="FX61" s="1202">
        <f t="shared" si="243"/>
        <v>0</v>
      </c>
      <c r="FY61" s="1202">
        <f t="shared" si="244"/>
        <v>0</v>
      </c>
      <c r="FZ61" s="1202">
        <f t="shared" si="245"/>
        <v>0</v>
      </c>
      <c r="GA61" s="1202">
        <f t="shared" si="246"/>
        <v>0</v>
      </c>
      <c r="GB61" s="1202">
        <f t="shared" si="247"/>
        <v>0</v>
      </c>
      <c r="GC61" s="1202">
        <f t="shared" si="248"/>
        <v>80000.810507199989</v>
      </c>
      <c r="GD61" s="1202">
        <f t="shared" si="249"/>
        <v>73283.226143272943</v>
      </c>
      <c r="GE61" s="1202">
        <f t="shared" si="250"/>
        <v>17065.267419695334</v>
      </c>
      <c r="GF61" s="1202">
        <f t="shared" si="251"/>
        <v>0</v>
      </c>
      <c r="GG61" s="1202">
        <f t="shared" si="252"/>
        <v>0</v>
      </c>
      <c r="GH61" s="1202">
        <f t="shared" si="253"/>
        <v>0</v>
      </c>
      <c r="GI61" s="1202">
        <f t="shared" si="254"/>
        <v>0</v>
      </c>
      <c r="GJ61" s="1202">
        <f t="shared" si="255"/>
        <v>0</v>
      </c>
      <c r="GK61" s="1174">
        <f t="shared" si="256"/>
        <v>235115.81657016827</v>
      </c>
    </row>
    <row r="62" spans="1:193" s="1015" customFormat="1">
      <c r="A62" s="1003"/>
      <c r="B62" s="1149"/>
      <c r="C62" s="1149" t="s">
        <v>253</v>
      </c>
      <c r="D62" s="1204" t="s">
        <v>253</v>
      </c>
      <c r="E62" s="1204" t="s">
        <v>765</v>
      </c>
      <c r="F62" s="1204" t="s">
        <v>770</v>
      </c>
      <c r="G62" s="1204" t="s">
        <v>791</v>
      </c>
      <c r="H62" s="1204" t="s">
        <v>830</v>
      </c>
      <c r="I62" s="1149" t="s">
        <v>744</v>
      </c>
      <c r="J62" s="1176"/>
      <c r="K62" s="1176"/>
      <c r="L62" s="1020"/>
      <c r="M62" s="1233">
        <v>1</v>
      </c>
      <c r="N62" s="1233">
        <v>1.25</v>
      </c>
      <c r="O62" s="1233">
        <v>1.5</v>
      </c>
      <c r="P62" s="1233">
        <v>1.75</v>
      </c>
      <c r="Q62" s="1233">
        <v>2</v>
      </c>
      <c r="R62" s="1004"/>
      <c r="S62" s="1004"/>
      <c r="T62" s="1004"/>
      <c r="U62" s="1013"/>
      <c r="V62" s="1013"/>
      <c r="W62" s="1004"/>
      <c r="X62" s="1004"/>
      <c r="Y62" s="1004"/>
      <c r="Z62" s="1004"/>
      <c r="AA62" s="1011"/>
      <c r="AB62" s="1004"/>
      <c r="AC62" s="1013"/>
      <c r="AD62" s="1004"/>
      <c r="AE62" s="1013"/>
      <c r="AF62" s="1004"/>
      <c r="AG62" s="1013"/>
      <c r="AH62" s="1004"/>
      <c r="AI62" s="1035"/>
      <c r="AJ62" s="1035"/>
      <c r="AK62" s="1005"/>
      <c r="AL62" s="1016"/>
      <c r="AM62" s="1224">
        <v>0.18490723314965996</v>
      </c>
      <c r="AN62" s="1224">
        <v>2.9522000000000003E-2</v>
      </c>
      <c r="AO62" s="1224">
        <v>1.8850797997973373E-2</v>
      </c>
      <c r="AP62" s="1013"/>
      <c r="AQ62" s="1013"/>
      <c r="AR62" s="1013"/>
      <c r="AS62" s="1005"/>
      <c r="AT62" s="1005"/>
      <c r="AU62" s="1176"/>
      <c r="AV62" s="1176"/>
      <c r="AW62" s="1601"/>
      <c r="AX62" s="1227">
        <v>1</v>
      </c>
      <c r="AY62" s="1227">
        <v>1.25</v>
      </c>
      <c r="AZ62" s="1227">
        <v>1.5</v>
      </c>
      <c r="BA62" s="1227">
        <v>1.75</v>
      </c>
      <c r="BB62" s="1227">
        <v>2</v>
      </c>
      <c r="BC62" s="1004"/>
      <c r="BD62" s="1004"/>
      <c r="BE62" s="1004"/>
      <c r="BF62" s="1013"/>
      <c r="BG62" s="1013"/>
      <c r="BH62" s="1004"/>
      <c r="BI62" s="1004"/>
      <c r="BJ62" s="1004"/>
      <c r="BK62" s="1004"/>
      <c r="BL62" s="1011"/>
      <c r="BM62" s="1004"/>
      <c r="BN62" s="1013"/>
      <c r="BO62" s="1013"/>
      <c r="BP62" s="1013"/>
      <c r="BQ62" s="1004"/>
      <c r="BR62" s="1035"/>
      <c r="BS62" s="1005"/>
      <c r="BT62" s="1038"/>
      <c r="BU62" s="1005"/>
      <c r="BV62" s="1005"/>
      <c r="BW62" s="1016"/>
      <c r="BX62" s="1183">
        <v>0.17581180822298179</v>
      </c>
      <c r="BY62" s="1183">
        <v>2.9000000000000001E-2</v>
      </c>
      <c r="BZ62" s="1228">
        <v>1.8548648587796659E-2</v>
      </c>
      <c r="CA62" s="1013"/>
      <c r="CB62" s="1013"/>
      <c r="CC62" s="1013"/>
      <c r="CD62" s="1035"/>
      <c r="CE62" s="1035"/>
      <c r="CF62" s="1176"/>
      <c r="CG62" s="1195"/>
      <c r="CH62" s="1236">
        <v>0</v>
      </c>
      <c r="CI62" s="1236">
        <v>0</v>
      </c>
      <c r="CJ62" s="1236">
        <v>0</v>
      </c>
      <c r="CK62" s="1236">
        <v>0</v>
      </c>
      <c r="CL62" s="1236">
        <v>0</v>
      </c>
      <c r="CM62" s="1004"/>
      <c r="CN62" s="1004"/>
      <c r="CO62" s="1008"/>
      <c r="CP62" s="1013"/>
      <c r="CQ62" s="1013"/>
      <c r="CR62" s="1004"/>
      <c r="CS62" s="1004"/>
      <c r="CT62" s="1004"/>
      <c r="CU62" s="1008"/>
      <c r="CV62" s="1011"/>
      <c r="CW62" s="1004"/>
      <c r="CX62" s="1013"/>
      <c r="CY62" s="1013"/>
      <c r="CZ62" s="1013"/>
      <c r="DA62" s="1004"/>
      <c r="DB62" s="1013"/>
      <c r="DC62" s="1004"/>
      <c r="DD62" s="1036"/>
      <c r="DE62" s="1036"/>
      <c r="DF62" s="1008"/>
      <c r="DG62" s="1010"/>
      <c r="DH62" s="1236">
        <v>0</v>
      </c>
      <c r="DI62" s="1236">
        <v>0</v>
      </c>
      <c r="DJ62" s="1236">
        <v>0</v>
      </c>
      <c r="DK62" s="1013"/>
      <c r="DL62" s="1013"/>
      <c r="DM62" s="1013"/>
      <c r="DN62" s="1008"/>
      <c r="DO62" s="1008"/>
      <c r="DP62" s="1176"/>
      <c r="DQ62" s="1199">
        <f t="shared" si="185"/>
        <v>0</v>
      </c>
      <c r="DR62" s="1199">
        <f t="shared" si="186"/>
        <v>0</v>
      </c>
      <c r="DS62" s="1199">
        <f t="shared" si="187"/>
        <v>0</v>
      </c>
      <c r="DT62" s="1199">
        <f t="shared" si="188"/>
        <v>0</v>
      </c>
      <c r="DU62" s="1199">
        <f t="shared" si="189"/>
        <v>0</v>
      </c>
      <c r="DV62" s="1199">
        <f t="shared" si="190"/>
        <v>0</v>
      </c>
      <c r="DW62" s="1199">
        <f t="shared" si="191"/>
        <v>0</v>
      </c>
      <c r="DX62" s="1199">
        <f t="shared" si="192"/>
        <v>0</v>
      </c>
      <c r="DY62" s="1199">
        <f t="shared" si="193"/>
        <v>0</v>
      </c>
      <c r="DZ62" s="1199">
        <f t="shared" si="194"/>
        <v>0</v>
      </c>
      <c r="EA62" s="1199">
        <f t="shared" si="195"/>
        <v>0</v>
      </c>
      <c r="EB62" s="1199">
        <f t="shared" si="196"/>
        <v>0</v>
      </c>
      <c r="EC62" s="1199">
        <f t="shared" si="197"/>
        <v>0</v>
      </c>
      <c r="ED62" s="1199">
        <f t="shared" si="198"/>
        <v>0</v>
      </c>
      <c r="EE62" s="1199">
        <f t="shared" si="199"/>
        <v>0</v>
      </c>
      <c r="EF62" s="1199">
        <f t="shared" si="200"/>
        <v>0</v>
      </c>
      <c r="EG62" s="1199">
        <f t="shared" si="201"/>
        <v>0</v>
      </c>
      <c r="EH62" s="1199">
        <f t="shared" si="202"/>
        <v>0</v>
      </c>
      <c r="EI62" s="1199">
        <f t="shared" si="203"/>
        <v>0</v>
      </c>
      <c r="EJ62" s="1199">
        <f t="shared" si="204"/>
        <v>0</v>
      </c>
      <c r="EK62" s="1199">
        <f t="shared" si="205"/>
        <v>0</v>
      </c>
      <c r="EL62" s="1199">
        <f t="shared" si="206"/>
        <v>0</v>
      </c>
      <c r="EM62" s="1199">
        <f t="shared" si="207"/>
        <v>0</v>
      </c>
      <c r="EN62" s="1199">
        <f t="shared" si="208"/>
        <v>0</v>
      </c>
      <c r="EO62" s="1199">
        <f t="shared" si="209"/>
        <v>0</v>
      </c>
      <c r="EP62" s="1199">
        <f t="shared" si="210"/>
        <v>0</v>
      </c>
      <c r="EQ62" s="1199">
        <f t="shared" si="211"/>
        <v>0</v>
      </c>
      <c r="ER62" s="1199">
        <f t="shared" si="212"/>
        <v>0</v>
      </c>
      <c r="ES62" s="1199">
        <f t="shared" si="213"/>
        <v>0</v>
      </c>
      <c r="ET62" s="1199">
        <f t="shared" si="214"/>
        <v>0</v>
      </c>
      <c r="EU62" s="1199">
        <f t="shared" si="215"/>
        <v>0</v>
      </c>
      <c r="EV62" s="1199">
        <f t="shared" si="216"/>
        <v>0</v>
      </c>
      <c r="EW62" s="1199">
        <f t="shared" si="217"/>
        <v>0</v>
      </c>
      <c r="EX62" s="1199">
        <f t="shared" si="218"/>
        <v>0</v>
      </c>
      <c r="EY62" s="1199">
        <f t="shared" si="219"/>
        <v>0</v>
      </c>
      <c r="EZ62" s="1175">
        <f t="shared" si="220"/>
        <v>0</v>
      </c>
      <c r="FA62" s="1177"/>
      <c r="FB62" s="1202">
        <f t="shared" si="221"/>
        <v>0</v>
      </c>
      <c r="FC62" s="1202">
        <f t="shared" si="222"/>
        <v>0</v>
      </c>
      <c r="FD62" s="1202">
        <f t="shared" si="223"/>
        <v>0</v>
      </c>
      <c r="FE62" s="1202">
        <f t="shared" si="224"/>
        <v>0</v>
      </c>
      <c r="FF62" s="1202">
        <f t="shared" si="225"/>
        <v>0</v>
      </c>
      <c r="FG62" s="1202">
        <f t="shared" si="226"/>
        <v>0</v>
      </c>
      <c r="FH62" s="1202">
        <f t="shared" si="227"/>
        <v>0</v>
      </c>
      <c r="FI62" s="1202">
        <f t="shared" si="228"/>
        <v>0</v>
      </c>
      <c r="FJ62" s="1202">
        <f t="shared" si="229"/>
        <v>0</v>
      </c>
      <c r="FK62" s="1202">
        <f t="shared" si="230"/>
        <v>0</v>
      </c>
      <c r="FL62" s="1202">
        <f t="shared" si="231"/>
        <v>0</v>
      </c>
      <c r="FM62" s="1202">
        <f t="shared" si="232"/>
        <v>0</v>
      </c>
      <c r="FN62" s="1202">
        <f t="shared" si="233"/>
        <v>0</v>
      </c>
      <c r="FO62" s="1202">
        <f t="shared" si="234"/>
        <v>0</v>
      </c>
      <c r="FP62" s="1202">
        <f t="shared" si="235"/>
        <v>0</v>
      </c>
      <c r="FQ62" s="1202">
        <f t="shared" si="236"/>
        <v>0</v>
      </c>
      <c r="FR62" s="1202">
        <f t="shared" si="237"/>
        <v>0</v>
      </c>
      <c r="FS62" s="1202">
        <f t="shared" si="238"/>
        <v>0</v>
      </c>
      <c r="FT62" s="1202">
        <f t="shared" si="239"/>
        <v>0</v>
      </c>
      <c r="FU62" s="1202">
        <f t="shared" si="240"/>
        <v>0</v>
      </c>
      <c r="FV62" s="1202">
        <f t="shared" si="241"/>
        <v>0</v>
      </c>
      <c r="FW62" s="1202">
        <f t="shared" si="242"/>
        <v>0</v>
      </c>
      <c r="FX62" s="1202">
        <f t="shared" si="243"/>
        <v>0</v>
      </c>
      <c r="FY62" s="1202">
        <f t="shared" si="244"/>
        <v>0</v>
      </c>
      <c r="FZ62" s="1202">
        <f t="shared" si="245"/>
        <v>0</v>
      </c>
      <c r="GA62" s="1202">
        <f t="shared" si="246"/>
        <v>0</v>
      </c>
      <c r="GB62" s="1202">
        <f t="shared" si="247"/>
        <v>0</v>
      </c>
      <c r="GC62" s="1202">
        <f t="shared" si="248"/>
        <v>0</v>
      </c>
      <c r="GD62" s="1202">
        <f t="shared" si="249"/>
        <v>0</v>
      </c>
      <c r="GE62" s="1202">
        <f t="shared" si="250"/>
        <v>0</v>
      </c>
      <c r="GF62" s="1202">
        <f t="shared" si="251"/>
        <v>0</v>
      </c>
      <c r="GG62" s="1202">
        <f t="shared" si="252"/>
        <v>0</v>
      </c>
      <c r="GH62" s="1202">
        <f t="shared" si="253"/>
        <v>0</v>
      </c>
      <c r="GI62" s="1202">
        <f t="shared" si="254"/>
        <v>0</v>
      </c>
      <c r="GJ62" s="1202">
        <f t="shared" si="255"/>
        <v>0</v>
      </c>
      <c r="GK62" s="1174">
        <f t="shared" si="256"/>
        <v>0</v>
      </c>
    </row>
    <row r="63" spans="1:193" s="1015" customFormat="1">
      <c r="A63" s="1003"/>
      <c r="B63" s="1149"/>
      <c r="C63" s="1149" t="s">
        <v>893</v>
      </c>
      <c r="D63" s="1204" t="s">
        <v>893</v>
      </c>
      <c r="E63" s="1204" t="s">
        <v>765</v>
      </c>
      <c r="F63" s="1204" t="s">
        <v>770</v>
      </c>
      <c r="G63" s="1204" t="s">
        <v>789</v>
      </c>
      <c r="H63" s="1204" t="s">
        <v>819</v>
      </c>
      <c r="I63" s="1149" t="s">
        <v>744</v>
      </c>
      <c r="J63" s="1176"/>
      <c r="K63" s="1176"/>
      <c r="L63" s="1233">
        <v>1</v>
      </c>
      <c r="M63" s="1037"/>
      <c r="N63" s="1037"/>
      <c r="O63" s="1037"/>
      <c r="P63" s="1037"/>
      <c r="Q63" s="1037"/>
      <c r="R63" s="1004"/>
      <c r="S63" s="1004"/>
      <c r="T63" s="1004"/>
      <c r="U63" s="1004"/>
      <c r="V63" s="1004"/>
      <c r="W63" s="1004"/>
      <c r="X63" s="1004"/>
      <c r="Y63" s="1004"/>
      <c r="Z63" s="1004"/>
      <c r="AA63" s="1011"/>
      <c r="AB63" s="1233">
        <v>0.3525858400253542</v>
      </c>
      <c r="AC63" s="1004"/>
      <c r="AD63" s="1004"/>
      <c r="AE63" s="1004"/>
      <c r="AF63" s="1004"/>
      <c r="AG63" s="1013"/>
      <c r="AH63" s="1004"/>
      <c r="AI63" s="1224">
        <v>6.7243882197805444E-2</v>
      </c>
      <c r="AJ63" s="1035"/>
      <c r="AK63" s="1005"/>
      <c r="AL63" s="1005"/>
      <c r="AM63" s="1005"/>
      <c r="AN63" s="1005"/>
      <c r="AO63" s="1005"/>
      <c r="AP63" s="1004"/>
      <c r="AQ63" s="1004"/>
      <c r="AR63" s="1004"/>
      <c r="AS63" s="1005"/>
      <c r="AT63" s="1005"/>
      <c r="AU63" s="1176"/>
      <c r="AV63" s="1176"/>
      <c r="AW63" s="1231">
        <v>1</v>
      </c>
      <c r="AX63" s="1011"/>
      <c r="AY63" s="1011"/>
      <c r="AZ63" s="1011"/>
      <c r="BA63" s="1011"/>
      <c r="BB63" s="1011"/>
      <c r="BC63" s="1004"/>
      <c r="BD63" s="1004"/>
      <c r="BE63" s="1004"/>
      <c r="BF63" s="1011"/>
      <c r="BG63" s="1011"/>
      <c r="BH63" s="1004"/>
      <c r="BI63" s="1004"/>
      <c r="BJ63" s="1004"/>
      <c r="BK63" s="1004"/>
      <c r="BL63" s="1011"/>
      <c r="BM63" s="1227">
        <v>0.33479999999999999</v>
      </c>
      <c r="BN63" s="1011"/>
      <c r="BO63" s="1011"/>
      <c r="BP63" s="1011"/>
      <c r="BQ63" s="1011"/>
      <c r="BR63" s="1011"/>
      <c r="BS63" s="1005"/>
      <c r="BT63" s="1230">
        <v>6.5194308005303667E-2</v>
      </c>
      <c r="BU63" s="1005"/>
      <c r="BV63" s="1005"/>
      <c r="BW63" s="1005"/>
      <c r="BX63" s="1005"/>
      <c r="BY63" s="1005"/>
      <c r="BZ63" s="1005"/>
      <c r="CA63" s="1005"/>
      <c r="CB63" s="1005"/>
      <c r="CC63" s="1005"/>
      <c r="CD63" s="1005"/>
      <c r="CE63" s="1005"/>
      <c r="CF63" s="1176"/>
      <c r="CG63" s="1236">
        <v>16800.64</v>
      </c>
      <c r="CH63" s="1004"/>
      <c r="CI63" s="1004"/>
      <c r="CJ63" s="1004"/>
      <c r="CK63" s="1004"/>
      <c r="CL63" s="1004"/>
      <c r="CM63" s="1004"/>
      <c r="CN63" s="1004"/>
      <c r="CO63" s="1008"/>
      <c r="CP63" s="1004"/>
      <c r="CQ63" s="1004"/>
      <c r="CR63" s="1004"/>
      <c r="CS63" s="1004"/>
      <c r="CT63" s="1004"/>
      <c r="CU63" s="1008"/>
      <c r="CV63" s="1011"/>
      <c r="CW63" s="1236">
        <v>1589586.35604</v>
      </c>
      <c r="CX63" s="1004"/>
      <c r="CY63" s="1004"/>
      <c r="CZ63" s="1004"/>
      <c r="DA63" s="1004"/>
      <c r="DB63" s="1013"/>
      <c r="DC63" s="1004"/>
      <c r="DD63" s="1236">
        <v>221343074.28000003</v>
      </c>
      <c r="DE63" s="1036"/>
      <c r="DF63" s="1008"/>
      <c r="DG63" s="1008"/>
      <c r="DH63" s="1014"/>
      <c r="DI63" s="1008"/>
      <c r="DJ63" s="1008"/>
      <c r="DK63" s="1004"/>
      <c r="DL63" s="1004"/>
      <c r="DM63" s="1004"/>
      <c r="DN63" s="1008"/>
      <c r="DO63" s="1008"/>
      <c r="DP63" s="1176"/>
      <c r="DQ63" s="1199">
        <f t="shared" si="185"/>
        <v>6132233.5999999996</v>
      </c>
      <c r="DR63" s="1199">
        <f t="shared" si="186"/>
        <v>0</v>
      </c>
      <c r="DS63" s="1199">
        <f t="shared" si="187"/>
        <v>0</v>
      </c>
      <c r="DT63" s="1199">
        <f t="shared" si="188"/>
        <v>0</v>
      </c>
      <c r="DU63" s="1199">
        <f t="shared" si="189"/>
        <v>0</v>
      </c>
      <c r="DV63" s="1199">
        <f t="shared" si="190"/>
        <v>0</v>
      </c>
      <c r="DW63" s="1199">
        <f t="shared" si="191"/>
        <v>0</v>
      </c>
      <c r="DX63" s="1199">
        <f t="shared" si="192"/>
        <v>0</v>
      </c>
      <c r="DY63" s="1199">
        <f t="shared" si="193"/>
        <v>0</v>
      </c>
      <c r="DZ63" s="1199">
        <f t="shared" si="194"/>
        <v>0</v>
      </c>
      <c r="EA63" s="1199">
        <f t="shared" si="195"/>
        <v>0</v>
      </c>
      <c r="EB63" s="1199">
        <f t="shared" si="196"/>
        <v>0</v>
      </c>
      <c r="EC63" s="1199">
        <f t="shared" si="197"/>
        <v>0</v>
      </c>
      <c r="ED63" s="1199">
        <f t="shared" si="198"/>
        <v>0</v>
      </c>
      <c r="EE63" s="1199">
        <f t="shared" si="199"/>
        <v>0</v>
      </c>
      <c r="EF63" s="1199">
        <f t="shared" si="200"/>
        <v>0</v>
      </c>
      <c r="EG63" s="1199">
        <f t="shared" si="201"/>
        <v>560465.64063720522</v>
      </c>
      <c r="EH63" s="1199">
        <f t="shared" si="202"/>
        <v>0</v>
      </c>
      <c r="EI63" s="1199">
        <f t="shared" si="203"/>
        <v>0</v>
      </c>
      <c r="EJ63" s="1199">
        <f t="shared" si="204"/>
        <v>0</v>
      </c>
      <c r="EK63" s="1199">
        <f t="shared" si="205"/>
        <v>0</v>
      </c>
      <c r="EL63" s="1199">
        <f t="shared" si="206"/>
        <v>0</v>
      </c>
      <c r="EM63" s="1199">
        <f t="shared" si="207"/>
        <v>0</v>
      </c>
      <c r="EN63" s="1199">
        <f t="shared" si="208"/>
        <v>14883967.612184422</v>
      </c>
      <c r="EO63" s="1199">
        <f t="shared" si="209"/>
        <v>0</v>
      </c>
      <c r="EP63" s="1199">
        <f t="shared" si="210"/>
        <v>0</v>
      </c>
      <c r="EQ63" s="1199">
        <f t="shared" si="211"/>
        <v>0</v>
      </c>
      <c r="ER63" s="1199">
        <f t="shared" si="212"/>
        <v>0</v>
      </c>
      <c r="ES63" s="1199">
        <f t="shared" si="213"/>
        <v>0</v>
      </c>
      <c r="ET63" s="1199">
        <f t="shared" si="214"/>
        <v>0</v>
      </c>
      <c r="EU63" s="1199">
        <f t="shared" si="215"/>
        <v>0</v>
      </c>
      <c r="EV63" s="1199">
        <f t="shared" si="216"/>
        <v>0</v>
      </c>
      <c r="EW63" s="1199">
        <f t="shared" si="217"/>
        <v>0</v>
      </c>
      <c r="EX63" s="1199">
        <f t="shared" si="218"/>
        <v>0</v>
      </c>
      <c r="EY63" s="1199">
        <f t="shared" si="219"/>
        <v>0</v>
      </c>
      <c r="EZ63" s="1175">
        <f t="shared" si="220"/>
        <v>21576666.852821626</v>
      </c>
      <c r="FA63" s="1177"/>
      <c r="FB63" s="1202">
        <f t="shared" si="221"/>
        <v>6132233.5999999996</v>
      </c>
      <c r="FC63" s="1202">
        <f t="shared" si="222"/>
        <v>0</v>
      </c>
      <c r="FD63" s="1202">
        <f t="shared" si="223"/>
        <v>0</v>
      </c>
      <c r="FE63" s="1202">
        <f t="shared" si="224"/>
        <v>0</v>
      </c>
      <c r="FF63" s="1202">
        <f t="shared" si="225"/>
        <v>0</v>
      </c>
      <c r="FG63" s="1202">
        <f t="shared" si="226"/>
        <v>0</v>
      </c>
      <c r="FH63" s="1202">
        <f t="shared" si="227"/>
        <v>0</v>
      </c>
      <c r="FI63" s="1202">
        <f t="shared" si="228"/>
        <v>0</v>
      </c>
      <c r="FJ63" s="1202">
        <f t="shared" si="229"/>
        <v>0</v>
      </c>
      <c r="FK63" s="1202">
        <f t="shared" si="230"/>
        <v>0</v>
      </c>
      <c r="FL63" s="1202">
        <f t="shared" si="231"/>
        <v>0</v>
      </c>
      <c r="FM63" s="1202">
        <f t="shared" si="232"/>
        <v>0</v>
      </c>
      <c r="FN63" s="1202">
        <f t="shared" si="233"/>
        <v>0</v>
      </c>
      <c r="FO63" s="1202">
        <f t="shared" si="234"/>
        <v>0</v>
      </c>
      <c r="FP63" s="1202">
        <f t="shared" si="235"/>
        <v>0</v>
      </c>
      <c r="FQ63" s="1202">
        <f t="shared" si="236"/>
        <v>0</v>
      </c>
      <c r="FR63" s="1202">
        <f t="shared" si="237"/>
        <v>532193.51200219197</v>
      </c>
      <c r="FS63" s="1202">
        <f t="shared" si="238"/>
        <v>0</v>
      </c>
      <c r="FT63" s="1202">
        <f t="shared" si="239"/>
        <v>0</v>
      </c>
      <c r="FU63" s="1202">
        <f t="shared" si="240"/>
        <v>0</v>
      </c>
      <c r="FV63" s="1202">
        <f t="shared" si="241"/>
        <v>0</v>
      </c>
      <c r="FW63" s="1202">
        <f t="shared" si="242"/>
        <v>0</v>
      </c>
      <c r="FX63" s="1202">
        <f t="shared" si="243"/>
        <v>0</v>
      </c>
      <c r="FY63" s="1202">
        <f t="shared" si="244"/>
        <v>14430308.559451129</v>
      </c>
      <c r="FZ63" s="1202">
        <f t="shared" si="245"/>
        <v>0</v>
      </c>
      <c r="GA63" s="1202">
        <f t="shared" si="246"/>
        <v>0</v>
      </c>
      <c r="GB63" s="1202">
        <f t="shared" si="247"/>
        <v>0</v>
      </c>
      <c r="GC63" s="1202">
        <f t="shared" si="248"/>
        <v>0</v>
      </c>
      <c r="GD63" s="1202">
        <f t="shared" si="249"/>
        <v>0</v>
      </c>
      <c r="GE63" s="1202">
        <f t="shared" si="250"/>
        <v>0</v>
      </c>
      <c r="GF63" s="1202">
        <f t="shared" si="251"/>
        <v>0</v>
      </c>
      <c r="GG63" s="1202">
        <f t="shared" si="252"/>
        <v>0</v>
      </c>
      <c r="GH63" s="1202">
        <f t="shared" si="253"/>
        <v>0</v>
      </c>
      <c r="GI63" s="1202">
        <f t="shared" si="254"/>
        <v>0</v>
      </c>
      <c r="GJ63" s="1202">
        <f t="shared" si="255"/>
        <v>0</v>
      </c>
      <c r="GK63" s="1174">
        <f t="shared" si="256"/>
        <v>21094735.671453319</v>
      </c>
    </row>
    <row r="64" spans="1:193" s="1015" customFormat="1">
      <c r="A64" s="1003"/>
      <c r="B64" s="1149"/>
      <c r="C64" s="1149" t="s">
        <v>894</v>
      </c>
      <c r="D64" s="1204" t="s">
        <v>894</v>
      </c>
      <c r="E64" s="1204" t="s">
        <v>765</v>
      </c>
      <c r="F64" s="1204" t="s">
        <v>770</v>
      </c>
      <c r="G64" s="1204" t="s">
        <v>790</v>
      </c>
      <c r="H64" s="1204" t="s">
        <v>827</v>
      </c>
      <c r="I64" s="1149" t="s">
        <v>744</v>
      </c>
      <c r="J64" s="1176"/>
      <c r="K64" s="1176"/>
      <c r="L64" s="1233">
        <v>1.5</v>
      </c>
      <c r="M64" s="1037"/>
      <c r="N64" s="1037"/>
      <c r="O64" s="1037"/>
      <c r="P64" s="1037"/>
      <c r="Q64" s="1037"/>
      <c r="R64" s="1004"/>
      <c r="S64" s="1004"/>
      <c r="T64" s="1004"/>
      <c r="U64" s="1004"/>
      <c r="V64" s="1004"/>
      <c r="W64" s="1004"/>
      <c r="X64" s="1004"/>
      <c r="Y64" s="1004"/>
      <c r="Z64" s="1004"/>
      <c r="AA64" s="1011"/>
      <c r="AB64" s="1233">
        <v>0.86744129960783134</v>
      </c>
      <c r="AC64" s="1004"/>
      <c r="AD64" s="1004"/>
      <c r="AE64" s="1004"/>
      <c r="AF64" s="1004"/>
      <c r="AG64" s="1013"/>
      <c r="AH64" s="1004"/>
      <c r="AI64" s="1224">
        <v>0.22705075726125276</v>
      </c>
      <c r="AJ64" s="1035"/>
      <c r="AK64" s="1005"/>
      <c r="AL64" s="1005"/>
      <c r="AM64" s="1005"/>
      <c r="AN64" s="1005"/>
      <c r="AO64" s="1005"/>
      <c r="AP64" s="1004"/>
      <c r="AQ64" s="1004"/>
      <c r="AR64" s="1004"/>
      <c r="AS64" s="1005"/>
      <c r="AT64" s="1005"/>
      <c r="AU64" s="1176"/>
      <c r="AV64" s="1176"/>
      <c r="AW64" s="1231">
        <v>1.5</v>
      </c>
      <c r="AX64" s="1011"/>
      <c r="AY64" s="1011"/>
      <c r="AZ64" s="1011"/>
      <c r="BA64" s="1011"/>
      <c r="BB64" s="1011"/>
      <c r="BC64" s="1004"/>
      <c r="BD64" s="1004"/>
      <c r="BE64" s="1004"/>
      <c r="BF64" s="1011"/>
      <c r="BG64" s="1011"/>
      <c r="BH64" s="1004"/>
      <c r="BI64" s="1004"/>
      <c r="BJ64" s="1004"/>
      <c r="BK64" s="1004"/>
      <c r="BL64" s="1011"/>
      <c r="BM64" s="1227">
        <v>0.82500000000000007</v>
      </c>
      <c r="BN64" s="1011"/>
      <c r="BO64" s="1011"/>
      <c r="BP64" s="1011"/>
      <c r="BQ64" s="1004"/>
      <c r="BR64" s="1011"/>
      <c r="BS64" s="1005"/>
      <c r="BT64" s="1230">
        <v>0.22352874988006394</v>
      </c>
      <c r="BU64" s="1005"/>
      <c r="BV64" s="1005"/>
      <c r="BW64" s="1005"/>
      <c r="BX64" s="1005"/>
      <c r="BY64" s="1005"/>
      <c r="BZ64" s="1005"/>
      <c r="CA64" s="1005"/>
      <c r="CB64" s="1005"/>
      <c r="CC64" s="1005"/>
      <c r="CD64" s="1005"/>
      <c r="CE64" s="1005"/>
      <c r="CF64" s="1176"/>
      <c r="CG64" s="1236">
        <v>2066.0100000000002</v>
      </c>
      <c r="CH64" s="1004"/>
      <c r="CI64" s="1004"/>
      <c r="CJ64" s="1004"/>
      <c r="CK64" s="1004"/>
      <c r="CL64" s="1004"/>
      <c r="CM64" s="1004"/>
      <c r="CN64" s="1004"/>
      <c r="CO64" s="1008"/>
      <c r="CP64" s="1004"/>
      <c r="CQ64" s="1004"/>
      <c r="CR64" s="1004"/>
      <c r="CS64" s="1004"/>
      <c r="CT64" s="1004"/>
      <c r="CU64" s="1008"/>
      <c r="CV64" s="1011"/>
      <c r="CW64" s="1236">
        <v>184283.58966999999</v>
      </c>
      <c r="CX64" s="1004"/>
      <c r="CY64" s="1004"/>
      <c r="CZ64" s="1004"/>
      <c r="DA64" s="1004"/>
      <c r="DB64" s="1013"/>
      <c r="DC64" s="1004"/>
      <c r="DD64" s="1236">
        <v>11981426.869999997</v>
      </c>
      <c r="DE64" s="1036"/>
      <c r="DF64" s="1008"/>
      <c r="DG64" s="1008"/>
      <c r="DH64" s="1014"/>
      <c r="DI64" s="1008"/>
      <c r="DJ64" s="1008"/>
      <c r="DK64" s="1004"/>
      <c r="DL64" s="1004"/>
      <c r="DM64" s="1004"/>
      <c r="DN64" s="1008"/>
      <c r="DO64" s="1008"/>
      <c r="DP64" s="1176"/>
      <c r="DQ64" s="1199">
        <f t="shared" si="185"/>
        <v>1131140.4750000001</v>
      </c>
      <c r="DR64" s="1199">
        <f t="shared" si="186"/>
        <v>0</v>
      </c>
      <c r="DS64" s="1199">
        <f t="shared" si="187"/>
        <v>0</v>
      </c>
      <c r="DT64" s="1199">
        <f t="shared" si="188"/>
        <v>0</v>
      </c>
      <c r="DU64" s="1199">
        <f t="shared" si="189"/>
        <v>0</v>
      </c>
      <c r="DV64" s="1199">
        <f t="shared" si="190"/>
        <v>0</v>
      </c>
      <c r="DW64" s="1199">
        <f t="shared" si="191"/>
        <v>0</v>
      </c>
      <c r="DX64" s="1199">
        <f t="shared" si="192"/>
        <v>0</v>
      </c>
      <c r="DY64" s="1199">
        <f t="shared" si="193"/>
        <v>0</v>
      </c>
      <c r="DZ64" s="1199">
        <f t="shared" si="194"/>
        <v>0</v>
      </c>
      <c r="EA64" s="1199">
        <f t="shared" si="195"/>
        <v>0</v>
      </c>
      <c r="EB64" s="1199">
        <f t="shared" si="196"/>
        <v>0</v>
      </c>
      <c r="EC64" s="1199">
        <f t="shared" si="197"/>
        <v>0</v>
      </c>
      <c r="ED64" s="1199">
        <f t="shared" si="198"/>
        <v>0</v>
      </c>
      <c r="EE64" s="1199">
        <f t="shared" si="199"/>
        <v>0</v>
      </c>
      <c r="EF64" s="1199">
        <f t="shared" si="200"/>
        <v>0</v>
      </c>
      <c r="EG64" s="1199">
        <f t="shared" si="201"/>
        <v>159855.19651974112</v>
      </c>
      <c r="EH64" s="1199">
        <f t="shared" si="202"/>
        <v>0</v>
      </c>
      <c r="EI64" s="1199">
        <f t="shared" si="203"/>
        <v>0</v>
      </c>
      <c r="EJ64" s="1199">
        <f t="shared" si="204"/>
        <v>0</v>
      </c>
      <c r="EK64" s="1199">
        <f t="shared" si="205"/>
        <v>0</v>
      </c>
      <c r="EL64" s="1199">
        <f t="shared" si="206"/>
        <v>0</v>
      </c>
      <c r="EM64" s="1199">
        <f t="shared" si="207"/>
        <v>0</v>
      </c>
      <c r="EN64" s="1199">
        <f t="shared" si="208"/>
        <v>2720392.0439038207</v>
      </c>
      <c r="EO64" s="1199">
        <f t="shared" si="209"/>
        <v>0</v>
      </c>
      <c r="EP64" s="1199">
        <f t="shared" si="210"/>
        <v>0</v>
      </c>
      <c r="EQ64" s="1199">
        <f t="shared" si="211"/>
        <v>0</v>
      </c>
      <c r="ER64" s="1199">
        <f t="shared" si="212"/>
        <v>0</v>
      </c>
      <c r="ES64" s="1199">
        <f t="shared" si="213"/>
        <v>0</v>
      </c>
      <c r="ET64" s="1199">
        <f t="shared" si="214"/>
        <v>0</v>
      </c>
      <c r="EU64" s="1199">
        <f t="shared" si="215"/>
        <v>0</v>
      </c>
      <c r="EV64" s="1199">
        <f t="shared" si="216"/>
        <v>0</v>
      </c>
      <c r="EW64" s="1199">
        <f t="shared" si="217"/>
        <v>0</v>
      </c>
      <c r="EX64" s="1199">
        <f t="shared" si="218"/>
        <v>0</v>
      </c>
      <c r="EY64" s="1199">
        <f t="shared" si="219"/>
        <v>0</v>
      </c>
      <c r="EZ64" s="1175">
        <f t="shared" si="220"/>
        <v>4011387.7154235616</v>
      </c>
      <c r="FA64" s="1177"/>
      <c r="FB64" s="1202">
        <f t="shared" si="221"/>
        <v>1131140.4750000001</v>
      </c>
      <c r="FC64" s="1202">
        <f t="shared" si="222"/>
        <v>0</v>
      </c>
      <c r="FD64" s="1202">
        <f t="shared" si="223"/>
        <v>0</v>
      </c>
      <c r="FE64" s="1202">
        <f t="shared" si="224"/>
        <v>0</v>
      </c>
      <c r="FF64" s="1202">
        <f t="shared" si="225"/>
        <v>0</v>
      </c>
      <c r="FG64" s="1202">
        <f t="shared" si="226"/>
        <v>0</v>
      </c>
      <c r="FH64" s="1202">
        <f t="shared" si="227"/>
        <v>0</v>
      </c>
      <c r="FI64" s="1202">
        <f t="shared" si="228"/>
        <v>0</v>
      </c>
      <c r="FJ64" s="1202">
        <f t="shared" si="229"/>
        <v>0</v>
      </c>
      <c r="FK64" s="1202">
        <f t="shared" si="230"/>
        <v>0</v>
      </c>
      <c r="FL64" s="1202">
        <f t="shared" si="231"/>
        <v>0</v>
      </c>
      <c r="FM64" s="1202">
        <f t="shared" si="232"/>
        <v>0</v>
      </c>
      <c r="FN64" s="1202">
        <f t="shared" si="233"/>
        <v>0</v>
      </c>
      <c r="FO64" s="1202">
        <f t="shared" si="234"/>
        <v>0</v>
      </c>
      <c r="FP64" s="1202">
        <f t="shared" si="235"/>
        <v>0</v>
      </c>
      <c r="FQ64" s="1202">
        <f t="shared" si="236"/>
        <v>0</v>
      </c>
      <c r="FR64" s="1202">
        <f t="shared" si="237"/>
        <v>152033.96147775001</v>
      </c>
      <c r="FS64" s="1202">
        <f t="shared" si="238"/>
        <v>0</v>
      </c>
      <c r="FT64" s="1202">
        <f t="shared" si="239"/>
        <v>0</v>
      </c>
      <c r="FU64" s="1202">
        <f t="shared" si="240"/>
        <v>0</v>
      </c>
      <c r="FV64" s="1202">
        <f t="shared" si="241"/>
        <v>0</v>
      </c>
      <c r="FW64" s="1202">
        <f t="shared" si="242"/>
        <v>0</v>
      </c>
      <c r="FX64" s="1202">
        <f t="shared" si="243"/>
        <v>0</v>
      </c>
      <c r="FY64" s="1202">
        <f t="shared" si="244"/>
        <v>2678193.3700305065</v>
      </c>
      <c r="FZ64" s="1202">
        <f t="shared" si="245"/>
        <v>0</v>
      </c>
      <c r="GA64" s="1202">
        <f t="shared" si="246"/>
        <v>0</v>
      </c>
      <c r="GB64" s="1202">
        <f t="shared" si="247"/>
        <v>0</v>
      </c>
      <c r="GC64" s="1202">
        <f t="shared" si="248"/>
        <v>0</v>
      </c>
      <c r="GD64" s="1202">
        <f t="shared" si="249"/>
        <v>0</v>
      </c>
      <c r="GE64" s="1202">
        <f t="shared" si="250"/>
        <v>0</v>
      </c>
      <c r="GF64" s="1202">
        <f t="shared" si="251"/>
        <v>0</v>
      </c>
      <c r="GG64" s="1202">
        <f t="shared" si="252"/>
        <v>0</v>
      </c>
      <c r="GH64" s="1202">
        <f t="shared" si="253"/>
        <v>0</v>
      </c>
      <c r="GI64" s="1202">
        <f t="shared" si="254"/>
        <v>0</v>
      </c>
      <c r="GJ64" s="1202">
        <f t="shared" si="255"/>
        <v>0</v>
      </c>
      <c r="GK64" s="1174">
        <f t="shared" si="256"/>
        <v>3961367.8065082566</v>
      </c>
    </row>
    <row r="65" spans="1:193" s="1015" customFormat="1">
      <c r="A65" s="1003"/>
      <c r="B65" s="1149"/>
      <c r="C65" s="1149" t="s">
        <v>895</v>
      </c>
      <c r="D65" s="1204" t="s">
        <v>895</v>
      </c>
      <c r="E65" s="1204" t="s">
        <v>765</v>
      </c>
      <c r="F65" s="1204" t="s">
        <v>770</v>
      </c>
      <c r="G65" s="1204" t="s">
        <v>791</v>
      </c>
      <c r="H65" s="1204" t="s">
        <v>832</v>
      </c>
      <c r="I65" s="1149" t="s">
        <v>744</v>
      </c>
      <c r="J65" s="1176"/>
      <c r="K65" s="1176"/>
      <c r="L65" s="1233">
        <v>1</v>
      </c>
      <c r="M65" s="1037"/>
      <c r="N65" s="1037"/>
      <c r="O65" s="1037"/>
      <c r="P65" s="1037"/>
      <c r="Q65" s="1037"/>
      <c r="R65" s="1004"/>
      <c r="S65" s="1004"/>
      <c r="T65" s="1004"/>
      <c r="U65" s="1004"/>
      <c r="V65" s="1004"/>
      <c r="W65" s="1004"/>
      <c r="X65" s="1004"/>
      <c r="Y65" s="1004"/>
      <c r="Z65" s="1004"/>
      <c r="AA65" s="1011"/>
      <c r="AB65" s="1233">
        <v>0.47579055117057711</v>
      </c>
      <c r="AC65" s="1004"/>
      <c r="AD65" s="1004"/>
      <c r="AE65" s="1004"/>
      <c r="AF65" s="1004"/>
      <c r="AG65" s="1013"/>
      <c r="AH65" s="1004"/>
      <c r="AI65" s="1224">
        <v>4.6716356074168366E-2</v>
      </c>
      <c r="AJ65" s="1035"/>
      <c r="AK65" s="1005"/>
      <c r="AL65" s="1005"/>
      <c r="AM65" s="1005"/>
      <c r="AN65" s="1005"/>
      <c r="AO65" s="1005"/>
      <c r="AP65" s="1004"/>
      <c r="AQ65" s="1004"/>
      <c r="AR65" s="1004"/>
      <c r="AS65" s="1005"/>
      <c r="AT65" s="1005"/>
      <c r="AU65" s="1176"/>
      <c r="AV65" s="1176"/>
      <c r="AW65" s="1231">
        <v>1</v>
      </c>
      <c r="AX65" s="1011"/>
      <c r="AY65" s="1011"/>
      <c r="AZ65" s="1011"/>
      <c r="BA65" s="1011"/>
      <c r="BB65" s="1011"/>
      <c r="BC65" s="1004"/>
      <c r="BD65" s="1004"/>
      <c r="BE65" s="1004"/>
      <c r="BF65" s="1011"/>
      <c r="BG65" s="1011"/>
      <c r="BH65" s="1004"/>
      <c r="BI65" s="1004"/>
      <c r="BJ65" s="1004"/>
      <c r="BK65" s="1004"/>
      <c r="BL65" s="1011"/>
      <c r="BM65" s="1227">
        <v>0.45200000000000001</v>
      </c>
      <c r="BN65" s="1011"/>
      <c r="BO65" s="1011"/>
      <c r="BP65" s="1011"/>
      <c r="BQ65" s="1004"/>
      <c r="BR65" s="1011"/>
      <c r="BS65" s="1005"/>
      <c r="BT65" s="1230">
        <v>4.6199999999999998E-2</v>
      </c>
      <c r="BU65" s="1005"/>
      <c r="BV65" s="1005"/>
      <c r="BW65" s="1005"/>
      <c r="BX65" s="1005"/>
      <c r="BY65" s="1005"/>
      <c r="BZ65" s="1005"/>
      <c r="CA65" s="1005"/>
      <c r="CB65" s="1005"/>
      <c r="CC65" s="1005"/>
      <c r="CD65" s="1005"/>
      <c r="CE65" s="1005"/>
      <c r="CF65" s="1176"/>
      <c r="CG65" s="1236">
        <v>9</v>
      </c>
      <c r="CH65" s="1004"/>
      <c r="CI65" s="1004"/>
      <c r="CJ65" s="1004"/>
      <c r="CK65" s="1004"/>
      <c r="CL65" s="1004"/>
      <c r="CM65" s="1004"/>
      <c r="CN65" s="1004"/>
      <c r="CO65" s="1008"/>
      <c r="CP65" s="1004"/>
      <c r="CQ65" s="1004"/>
      <c r="CR65" s="1004"/>
      <c r="CS65" s="1004"/>
      <c r="CT65" s="1004"/>
      <c r="CU65" s="1008"/>
      <c r="CV65" s="1011"/>
      <c r="CW65" s="1236">
        <v>846.68</v>
      </c>
      <c r="CX65" s="1004"/>
      <c r="CY65" s="1004"/>
      <c r="CZ65" s="1004"/>
      <c r="DA65" s="1004"/>
      <c r="DB65" s="1013"/>
      <c r="DC65" s="1004"/>
      <c r="DD65" s="1236">
        <v>1147410</v>
      </c>
      <c r="DE65" s="1036"/>
      <c r="DF65" s="1008"/>
      <c r="DG65" s="1008"/>
      <c r="DH65" s="1014"/>
      <c r="DI65" s="1008"/>
      <c r="DJ65" s="1008"/>
      <c r="DK65" s="1004"/>
      <c r="DL65" s="1004"/>
      <c r="DM65" s="1004"/>
      <c r="DN65" s="1008"/>
      <c r="DO65" s="1008"/>
      <c r="DP65" s="1176"/>
      <c r="DQ65" s="1199">
        <f t="shared" si="185"/>
        <v>3285</v>
      </c>
      <c r="DR65" s="1199">
        <f t="shared" si="186"/>
        <v>0</v>
      </c>
      <c r="DS65" s="1199">
        <f t="shared" si="187"/>
        <v>0</v>
      </c>
      <c r="DT65" s="1199">
        <f t="shared" si="188"/>
        <v>0</v>
      </c>
      <c r="DU65" s="1199">
        <f t="shared" si="189"/>
        <v>0</v>
      </c>
      <c r="DV65" s="1199">
        <f t="shared" si="190"/>
        <v>0</v>
      </c>
      <c r="DW65" s="1199">
        <f t="shared" si="191"/>
        <v>0</v>
      </c>
      <c r="DX65" s="1199">
        <f t="shared" si="192"/>
        <v>0</v>
      </c>
      <c r="DY65" s="1199">
        <f t="shared" si="193"/>
        <v>0</v>
      </c>
      <c r="DZ65" s="1199">
        <f t="shared" si="194"/>
        <v>0</v>
      </c>
      <c r="EA65" s="1199">
        <f t="shared" si="195"/>
        <v>0</v>
      </c>
      <c r="EB65" s="1199">
        <f t="shared" si="196"/>
        <v>0</v>
      </c>
      <c r="EC65" s="1199">
        <f t="shared" si="197"/>
        <v>0</v>
      </c>
      <c r="ED65" s="1199">
        <f t="shared" si="198"/>
        <v>0</v>
      </c>
      <c r="EE65" s="1199">
        <f t="shared" si="199"/>
        <v>0</v>
      </c>
      <c r="EF65" s="1199">
        <f t="shared" si="200"/>
        <v>0</v>
      </c>
      <c r="EG65" s="1199">
        <f t="shared" si="201"/>
        <v>402.84234386510423</v>
      </c>
      <c r="EH65" s="1199">
        <f t="shared" si="202"/>
        <v>0</v>
      </c>
      <c r="EI65" s="1199">
        <f t="shared" si="203"/>
        <v>0</v>
      </c>
      <c r="EJ65" s="1199">
        <f t="shared" si="204"/>
        <v>0</v>
      </c>
      <c r="EK65" s="1199">
        <f t="shared" si="205"/>
        <v>0</v>
      </c>
      <c r="EL65" s="1199">
        <f t="shared" si="206"/>
        <v>0</v>
      </c>
      <c r="EM65" s="1199">
        <f t="shared" si="207"/>
        <v>0</v>
      </c>
      <c r="EN65" s="1199">
        <f t="shared" si="208"/>
        <v>53602.814123061522</v>
      </c>
      <c r="EO65" s="1199">
        <f t="shared" si="209"/>
        <v>0</v>
      </c>
      <c r="EP65" s="1199">
        <f t="shared" si="210"/>
        <v>0</v>
      </c>
      <c r="EQ65" s="1199">
        <f t="shared" si="211"/>
        <v>0</v>
      </c>
      <c r="ER65" s="1199">
        <f t="shared" si="212"/>
        <v>0</v>
      </c>
      <c r="ES65" s="1199">
        <f t="shared" si="213"/>
        <v>0</v>
      </c>
      <c r="ET65" s="1199">
        <f t="shared" si="214"/>
        <v>0</v>
      </c>
      <c r="EU65" s="1199">
        <f t="shared" si="215"/>
        <v>0</v>
      </c>
      <c r="EV65" s="1199">
        <f t="shared" si="216"/>
        <v>0</v>
      </c>
      <c r="EW65" s="1199">
        <f t="shared" si="217"/>
        <v>0</v>
      </c>
      <c r="EX65" s="1199">
        <f t="shared" si="218"/>
        <v>0</v>
      </c>
      <c r="EY65" s="1199">
        <f t="shared" si="219"/>
        <v>0</v>
      </c>
      <c r="EZ65" s="1175">
        <f t="shared" si="220"/>
        <v>57290.656466926623</v>
      </c>
      <c r="FA65" s="1177"/>
      <c r="FB65" s="1202">
        <f t="shared" si="221"/>
        <v>3285</v>
      </c>
      <c r="FC65" s="1202">
        <f t="shared" si="222"/>
        <v>0</v>
      </c>
      <c r="FD65" s="1202">
        <f t="shared" si="223"/>
        <v>0</v>
      </c>
      <c r="FE65" s="1202">
        <f t="shared" si="224"/>
        <v>0</v>
      </c>
      <c r="FF65" s="1202">
        <f t="shared" si="225"/>
        <v>0</v>
      </c>
      <c r="FG65" s="1202">
        <f t="shared" si="226"/>
        <v>0</v>
      </c>
      <c r="FH65" s="1202">
        <f t="shared" si="227"/>
        <v>0</v>
      </c>
      <c r="FI65" s="1202">
        <f t="shared" si="228"/>
        <v>0</v>
      </c>
      <c r="FJ65" s="1202">
        <f t="shared" si="229"/>
        <v>0</v>
      </c>
      <c r="FK65" s="1202">
        <f t="shared" si="230"/>
        <v>0</v>
      </c>
      <c r="FL65" s="1202">
        <f t="shared" si="231"/>
        <v>0</v>
      </c>
      <c r="FM65" s="1202">
        <f t="shared" si="232"/>
        <v>0</v>
      </c>
      <c r="FN65" s="1202">
        <f t="shared" si="233"/>
        <v>0</v>
      </c>
      <c r="FO65" s="1202">
        <f t="shared" si="234"/>
        <v>0</v>
      </c>
      <c r="FP65" s="1202">
        <f t="shared" si="235"/>
        <v>0</v>
      </c>
      <c r="FQ65" s="1202">
        <f t="shared" si="236"/>
        <v>0</v>
      </c>
      <c r="FR65" s="1202">
        <f t="shared" si="237"/>
        <v>382.69936000000001</v>
      </c>
      <c r="FS65" s="1202">
        <f t="shared" si="238"/>
        <v>0</v>
      </c>
      <c r="FT65" s="1202">
        <f t="shared" si="239"/>
        <v>0</v>
      </c>
      <c r="FU65" s="1202">
        <f t="shared" si="240"/>
        <v>0</v>
      </c>
      <c r="FV65" s="1202">
        <f t="shared" si="241"/>
        <v>0</v>
      </c>
      <c r="FW65" s="1202">
        <f t="shared" si="242"/>
        <v>0</v>
      </c>
      <c r="FX65" s="1202">
        <f t="shared" si="243"/>
        <v>0</v>
      </c>
      <c r="FY65" s="1202">
        <f t="shared" si="244"/>
        <v>53010.341999999997</v>
      </c>
      <c r="FZ65" s="1202">
        <f t="shared" si="245"/>
        <v>0</v>
      </c>
      <c r="GA65" s="1202">
        <f t="shared" si="246"/>
        <v>0</v>
      </c>
      <c r="GB65" s="1202">
        <f t="shared" si="247"/>
        <v>0</v>
      </c>
      <c r="GC65" s="1202">
        <f t="shared" si="248"/>
        <v>0</v>
      </c>
      <c r="GD65" s="1202">
        <f t="shared" si="249"/>
        <v>0</v>
      </c>
      <c r="GE65" s="1202">
        <f t="shared" si="250"/>
        <v>0</v>
      </c>
      <c r="GF65" s="1202">
        <f t="shared" si="251"/>
        <v>0</v>
      </c>
      <c r="GG65" s="1202">
        <f t="shared" si="252"/>
        <v>0</v>
      </c>
      <c r="GH65" s="1202">
        <f t="shared" si="253"/>
        <v>0</v>
      </c>
      <c r="GI65" s="1202">
        <f t="shared" si="254"/>
        <v>0</v>
      </c>
      <c r="GJ65" s="1202">
        <f t="shared" si="255"/>
        <v>0</v>
      </c>
      <c r="GK65" s="1174">
        <f t="shared" si="256"/>
        <v>56678.041359999996</v>
      </c>
    </row>
    <row r="66" spans="1:193" s="1015" customFormat="1">
      <c r="A66" s="1003"/>
      <c r="B66" s="1149"/>
      <c r="C66" s="1149" t="s">
        <v>257</v>
      </c>
      <c r="D66" s="1603" t="s">
        <v>257</v>
      </c>
      <c r="E66" s="1204" t="s">
        <v>765</v>
      </c>
      <c r="F66" s="1204" t="s">
        <v>770</v>
      </c>
      <c r="G66" s="1204" t="s">
        <v>789</v>
      </c>
      <c r="H66" s="1204" t="s">
        <v>820</v>
      </c>
      <c r="I66" s="1149" t="s">
        <v>744</v>
      </c>
      <c r="J66" s="1176"/>
      <c r="K66" s="1176"/>
      <c r="L66" s="1233">
        <v>1</v>
      </c>
      <c r="M66" s="1037"/>
      <c r="N66" s="1037"/>
      <c r="O66" s="1037"/>
      <c r="P66" s="1037"/>
      <c r="Q66" s="1037"/>
      <c r="R66" s="1004"/>
      <c r="S66" s="1004"/>
      <c r="T66" s="1004"/>
      <c r="U66" s="1004"/>
      <c r="V66" s="1004"/>
      <c r="W66" s="1004"/>
      <c r="X66" s="1004"/>
      <c r="Y66" s="1004"/>
      <c r="Z66" s="1004"/>
      <c r="AA66" s="1011"/>
      <c r="AB66" s="1233">
        <v>4.2250200943947247</v>
      </c>
      <c r="AC66" s="1004"/>
      <c r="AD66" s="1004"/>
      <c r="AE66" s="1004"/>
      <c r="AF66" s="1004"/>
      <c r="AG66" s="1013"/>
      <c r="AH66" s="1004"/>
      <c r="AI66" s="1224">
        <v>5.3187046600595547E-2</v>
      </c>
      <c r="AJ66" s="1035"/>
      <c r="AK66" s="1005"/>
      <c r="AL66" s="1005"/>
      <c r="AM66" s="1005"/>
      <c r="AN66" s="1005"/>
      <c r="AO66" s="1005"/>
      <c r="AP66" s="1004"/>
      <c r="AQ66" s="1004"/>
      <c r="AR66" s="1004"/>
      <c r="AS66" s="1005"/>
      <c r="AT66" s="1005"/>
      <c r="AU66" s="1176"/>
      <c r="AV66" s="1176"/>
      <c r="AW66" s="1231">
        <v>1</v>
      </c>
      <c r="AX66" s="1011"/>
      <c r="AY66" s="1011"/>
      <c r="AZ66" s="1011"/>
      <c r="BA66" s="1011"/>
      <c r="BB66" s="1011"/>
      <c r="BC66" s="1004"/>
      <c r="BD66" s="1004"/>
      <c r="BE66" s="1004"/>
      <c r="BF66" s="1011"/>
      <c r="BG66" s="1011"/>
      <c r="BH66" s="1004"/>
      <c r="BI66" s="1004"/>
      <c r="BJ66" s="1004"/>
      <c r="BK66" s="1004"/>
      <c r="BL66" s="1011"/>
      <c r="BM66" s="1227">
        <v>4.0175999999999998</v>
      </c>
      <c r="BN66" s="1011"/>
      <c r="BO66" s="1011"/>
      <c r="BP66" s="1011"/>
      <c r="BQ66" s="1004"/>
      <c r="BR66" s="1035"/>
      <c r="BS66" s="1005"/>
      <c r="BT66" s="1230">
        <v>5.2308611349338827E-2</v>
      </c>
      <c r="BU66" s="1005"/>
      <c r="BV66" s="1005"/>
      <c r="BW66" s="1005"/>
      <c r="BX66" s="1005"/>
      <c r="BY66" s="1005"/>
      <c r="BZ66" s="1005"/>
      <c r="CA66" s="1005"/>
      <c r="CB66" s="1005"/>
      <c r="CC66" s="1005"/>
      <c r="CD66" s="1005"/>
      <c r="CE66" s="1005"/>
      <c r="CF66" s="1176"/>
      <c r="CG66" s="1236">
        <v>14.470000000000002</v>
      </c>
      <c r="CH66" s="1004"/>
      <c r="CI66" s="1004"/>
      <c r="CJ66" s="1004"/>
      <c r="CK66" s="1004"/>
      <c r="CL66" s="1004"/>
      <c r="CM66" s="1004"/>
      <c r="CN66" s="1004"/>
      <c r="CO66" s="1008"/>
      <c r="CP66" s="1004"/>
      <c r="CQ66" s="1004"/>
      <c r="CR66" s="1004"/>
      <c r="CS66" s="1004"/>
      <c r="CT66" s="1004"/>
      <c r="CU66" s="1008"/>
      <c r="CV66" s="1011"/>
      <c r="CW66" s="1236">
        <v>1327.9500000000003</v>
      </c>
      <c r="CX66" s="1004"/>
      <c r="CY66" s="1004"/>
      <c r="CZ66" s="1004"/>
      <c r="DA66" s="1004"/>
      <c r="DB66" s="1013"/>
      <c r="DC66" s="1004"/>
      <c r="DD66" s="1236">
        <v>2015388.5300000003</v>
      </c>
      <c r="DE66" s="1036"/>
      <c r="DF66" s="1008"/>
      <c r="DG66" s="1008"/>
      <c r="DH66" s="1014"/>
      <c r="DI66" s="1008"/>
      <c r="DJ66" s="1008"/>
      <c r="DK66" s="1004"/>
      <c r="DL66" s="1004"/>
      <c r="DM66" s="1004"/>
      <c r="DN66" s="1008"/>
      <c r="DO66" s="1008"/>
      <c r="DP66" s="1176"/>
      <c r="DQ66" s="1199">
        <f t="shared" si="185"/>
        <v>5281.5500000000011</v>
      </c>
      <c r="DR66" s="1199">
        <f t="shared" si="186"/>
        <v>0</v>
      </c>
      <c r="DS66" s="1199">
        <f t="shared" si="187"/>
        <v>0</v>
      </c>
      <c r="DT66" s="1199">
        <f t="shared" si="188"/>
        <v>0</v>
      </c>
      <c r="DU66" s="1199">
        <f t="shared" si="189"/>
        <v>0</v>
      </c>
      <c r="DV66" s="1199">
        <f t="shared" si="190"/>
        <v>0</v>
      </c>
      <c r="DW66" s="1199">
        <f t="shared" si="191"/>
        <v>0</v>
      </c>
      <c r="DX66" s="1199">
        <f t="shared" si="192"/>
        <v>0</v>
      </c>
      <c r="DY66" s="1199">
        <f t="shared" si="193"/>
        <v>0</v>
      </c>
      <c r="DZ66" s="1199">
        <f t="shared" si="194"/>
        <v>0</v>
      </c>
      <c r="EA66" s="1199">
        <f t="shared" si="195"/>
        <v>0</v>
      </c>
      <c r="EB66" s="1199">
        <f t="shared" si="196"/>
        <v>0</v>
      </c>
      <c r="EC66" s="1199">
        <f t="shared" si="197"/>
        <v>0</v>
      </c>
      <c r="ED66" s="1199">
        <f t="shared" si="198"/>
        <v>0</v>
      </c>
      <c r="EE66" s="1199">
        <f t="shared" si="199"/>
        <v>0</v>
      </c>
      <c r="EF66" s="1199">
        <f t="shared" si="200"/>
        <v>0</v>
      </c>
      <c r="EG66" s="1199">
        <f t="shared" si="201"/>
        <v>5610.6154343514754</v>
      </c>
      <c r="EH66" s="1199">
        <f t="shared" si="202"/>
        <v>0</v>
      </c>
      <c r="EI66" s="1199">
        <f t="shared" si="203"/>
        <v>0</v>
      </c>
      <c r="EJ66" s="1199">
        <f t="shared" si="204"/>
        <v>0</v>
      </c>
      <c r="EK66" s="1199">
        <f t="shared" si="205"/>
        <v>0</v>
      </c>
      <c r="EL66" s="1199">
        <f t="shared" si="206"/>
        <v>0</v>
      </c>
      <c r="EM66" s="1199">
        <f t="shared" si="207"/>
        <v>0</v>
      </c>
      <c r="EN66" s="1199">
        <f t="shared" si="208"/>
        <v>107192.56366341577</v>
      </c>
      <c r="EO66" s="1199">
        <f t="shared" si="209"/>
        <v>0</v>
      </c>
      <c r="EP66" s="1199">
        <f t="shared" si="210"/>
        <v>0</v>
      </c>
      <c r="EQ66" s="1199">
        <f t="shared" si="211"/>
        <v>0</v>
      </c>
      <c r="ER66" s="1199">
        <f t="shared" si="212"/>
        <v>0</v>
      </c>
      <c r="ES66" s="1199">
        <f t="shared" si="213"/>
        <v>0</v>
      </c>
      <c r="ET66" s="1199">
        <f t="shared" si="214"/>
        <v>0</v>
      </c>
      <c r="EU66" s="1199">
        <f t="shared" si="215"/>
        <v>0</v>
      </c>
      <c r="EV66" s="1199">
        <f t="shared" si="216"/>
        <v>0</v>
      </c>
      <c r="EW66" s="1199">
        <f t="shared" si="217"/>
        <v>0</v>
      </c>
      <c r="EX66" s="1199">
        <f t="shared" si="218"/>
        <v>0</v>
      </c>
      <c r="EY66" s="1199">
        <f t="shared" si="219"/>
        <v>0</v>
      </c>
      <c r="EZ66" s="1175">
        <f t="shared" si="220"/>
        <v>118084.72909776725</v>
      </c>
      <c r="FA66" s="1177"/>
      <c r="FB66" s="1202">
        <f t="shared" si="221"/>
        <v>5281.5500000000011</v>
      </c>
      <c r="FC66" s="1202">
        <f t="shared" si="222"/>
        <v>0</v>
      </c>
      <c r="FD66" s="1202">
        <f t="shared" si="223"/>
        <v>0</v>
      </c>
      <c r="FE66" s="1202">
        <f t="shared" si="224"/>
        <v>0</v>
      </c>
      <c r="FF66" s="1202">
        <f t="shared" si="225"/>
        <v>0</v>
      </c>
      <c r="FG66" s="1202">
        <f t="shared" si="226"/>
        <v>0</v>
      </c>
      <c r="FH66" s="1202">
        <f t="shared" si="227"/>
        <v>0</v>
      </c>
      <c r="FI66" s="1202">
        <f t="shared" si="228"/>
        <v>0</v>
      </c>
      <c r="FJ66" s="1202">
        <f t="shared" si="229"/>
        <v>0</v>
      </c>
      <c r="FK66" s="1202">
        <f t="shared" si="230"/>
        <v>0</v>
      </c>
      <c r="FL66" s="1202">
        <f t="shared" si="231"/>
        <v>0</v>
      </c>
      <c r="FM66" s="1202">
        <f t="shared" si="232"/>
        <v>0</v>
      </c>
      <c r="FN66" s="1202">
        <f t="shared" si="233"/>
        <v>0</v>
      </c>
      <c r="FO66" s="1202">
        <f t="shared" si="234"/>
        <v>0</v>
      </c>
      <c r="FP66" s="1202">
        <f t="shared" si="235"/>
        <v>0</v>
      </c>
      <c r="FQ66" s="1202">
        <f t="shared" si="236"/>
        <v>0</v>
      </c>
      <c r="FR66" s="1202">
        <f t="shared" si="237"/>
        <v>5335.1719200000007</v>
      </c>
      <c r="FS66" s="1202">
        <f t="shared" si="238"/>
        <v>0</v>
      </c>
      <c r="FT66" s="1202">
        <f t="shared" si="239"/>
        <v>0</v>
      </c>
      <c r="FU66" s="1202">
        <f t="shared" si="240"/>
        <v>0</v>
      </c>
      <c r="FV66" s="1202">
        <f t="shared" si="241"/>
        <v>0</v>
      </c>
      <c r="FW66" s="1202">
        <f t="shared" si="242"/>
        <v>0</v>
      </c>
      <c r="FX66" s="1202">
        <f t="shared" si="243"/>
        <v>0</v>
      </c>
      <c r="FY66" s="1202">
        <f t="shared" si="244"/>
        <v>105422.17533368531</v>
      </c>
      <c r="FZ66" s="1202">
        <f t="shared" si="245"/>
        <v>0</v>
      </c>
      <c r="GA66" s="1202">
        <f t="shared" si="246"/>
        <v>0</v>
      </c>
      <c r="GB66" s="1202">
        <f t="shared" si="247"/>
        <v>0</v>
      </c>
      <c r="GC66" s="1202">
        <f t="shared" si="248"/>
        <v>0</v>
      </c>
      <c r="GD66" s="1202">
        <f t="shared" si="249"/>
        <v>0</v>
      </c>
      <c r="GE66" s="1202">
        <f t="shared" si="250"/>
        <v>0</v>
      </c>
      <c r="GF66" s="1202">
        <f t="shared" si="251"/>
        <v>0</v>
      </c>
      <c r="GG66" s="1202">
        <f t="shared" si="252"/>
        <v>0</v>
      </c>
      <c r="GH66" s="1202">
        <f t="shared" si="253"/>
        <v>0</v>
      </c>
      <c r="GI66" s="1202">
        <f t="shared" si="254"/>
        <v>0</v>
      </c>
      <c r="GJ66" s="1202">
        <f t="shared" si="255"/>
        <v>0</v>
      </c>
      <c r="GK66" s="1174">
        <f t="shared" si="256"/>
        <v>116038.89725368531</v>
      </c>
    </row>
    <row r="67" spans="1:193" s="1015" customFormat="1">
      <c r="A67" s="1003"/>
      <c r="B67" s="1149"/>
      <c r="C67" s="1149" t="s">
        <v>258</v>
      </c>
      <c r="D67" s="1603" t="s">
        <v>258</v>
      </c>
      <c r="E67" s="1204" t="s">
        <v>765</v>
      </c>
      <c r="F67" s="1204" t="s">
        <v>770</v>
      </c>
      <c r="G67" s="1204" t="s">
        <v>790</v>
      </c>
      <c r="H67" s="1204" t="s">
        <v>828</v>
      </c>
      <c r="I67" s="1149" t="s">
        <v>744</v>
      </c>
      <c r="J67" s="1176"/>
      <c r="K67" s="1176"/>
      <c r="L67" s="1233">
        <v>1.5</v>
      </c>
      <c r="M67" s="1037"/>
      <c r="N67" s="1037"/>
      <c r="O67" s="1037"/>
      <c r="P67" s="1037"/>
      <c r="Q67" s="1037"/>
      <c r="R67" s="1004"/>
      <c r="S67" s="1004"/>
      <c r="T67" s="1004"/>
      <c r="U67" s="1004"/>
      <c r="V67" s="1004"/>
      <c r="W67" s="1004"/>
      <c r="X67" s="1004"/>
      <c r="Y67" s="1004"/>
      <c r="Z67" s="1004"/>
      <c r="AA67" s="1011"/>
      <c r="AB67" s="1233">
        <v>10.412300588248733</v>
      </c>
      <c r="AC67" s="1004"/>
      <c r="AD67" s="1004"/>
      <c r="AE67" s="1004"/>
      <c r="AF67" s="1004"/>
      <c r="AG67" s="1013"/>
      <c r="AH67" s="1004"/>
      <c r="AI67" s="1224">
        <v>0.17917284619009821</v>
      </c>
      <c r="AJ67" s="1035"/>
      <c r="AK67" s="1005"/>
      <c r="AL67" s="1005"/>
      <c r="AM67" s="1005"/>
      <c r="AN67" s="1005"/>
      <c r="AO67" s="1005"/>
      <c r="AP67" s="1004"/>
      <c r="AQ67" s="1004"/>
      <c r="AR67" s="1004"/>
      <c r="AS67" s="1005"/>
      <c r="AT67" s="1005"/>
      <c r="AU67" s="1176"/>
      <c r="AV67" s="1176"/>
      <c r="AW67" s="1231">
        <v>1.5</v>
      </c>
      <c r="AX67" s="1011"/>
      <c r="AY67" s="1011"/>
      <c r="AZ67" s="1011"/>
      <c r="BA67" s="1011"/>
      <c r="BB67" s="1011"/>
      <c r="BC67" s="1004"/>
      <c r="BD67" s="1004"/>
      <c r="BE67" s="1004"/>
      <c r="BF67" s="1011"/>
      <c r="BG67" s="1011"/>
      <c r="BH67" s="1004"/>
      <c r="BI67" s="1004"/>
      <c r="BJ67" s="1004"/>
      <c r="BK67" s="1004"/>
      <c r="BL67" s="1011"/>
      <c r="BM67" s="1227">
        <v>9.9</v>
      </c>
      <c r="BN67" s="1011"/>
      <c r="BO67" s="1011"/>
      <c r="BP67" s="1011"/>
      <c r="BQ67" s="1004"/>
      <c r="BR67" s="1035"/>
      <c r="BS67" s="1005"/>
      <c r="BT67" s="1230">
        <v>0.17958323292404565</v>
      </c>
      <c r="BU67" s="1005"/>
      <c r="BV67" s="1005"/>
      <c r="BW67" s="1005"/>
      <c r="BX67" s="1005"/>
      <c r="BY67" s="1005"/>
      <c r="BZ67" s="1005"/>
      <c r="CA67" s="1005"/>
      <c r="CB67" s="1005"/>
      <c r="CC67" s="1005"/>
      <c r="CD67" s="1005"/>
      <c r="CE67" s="1005"/>
      <c r="CF67" s="1176"/>
      <c r="CG67" s="1236">
        <v>8.8199999999999985</v>
      </c>
      <c r="CH67" s="1004"/>
      <c r="CI67" s="1004"/>
      <c r="CJ67" s="1004"/>
      <c r="CK67" s="1004"/>
      <c r="CL67" s="1004"/>
      <c r="CM67" s="1004"/>
      <c r="CN67" s="1004"/>
      <c r="CO67" s="1008"/>
      <c r="CP67" s="1004"/>
      <c r="CQ67" s="1004"/>
      <c r="CR67" s="1004"/>
      <c r="CS67" s="1004"/>
      <c r="CT67" s="1004"/>
      <c r="CU67" s="1008"/>
      <c r="CV67" s="1011"/>
      <c r="CW67" s="1236">
        <v>763.06999999999994</v>
      </c>
      <c r="CX67" s="1004"/>
      <c r="CY67" s="1004"/>
      <c r="CZ67" s="1004"/>
      <c r="DA67" s="1004"/>
      <c r="DB67" s="1013"/>
      <c r="DC67" s="1004"/>
      <c r="DD67" s="1236">
        <v>170499.95999999996</v>
      </c>
      <c r="DE67" s="1036"/>
      <c r="DF67" s="1008"/>
      <c r="DG67" s="1008"/>
      <c r="DH67" s="1014"/>
      <c r="DI67" s="1008"/>
      <c r="DJ67" s="1008"/>
      <c r="DK67" s="1004"/>
      <c r="DL67" s="1004"/>
      <c r="DM67" s="1004"/>
      <c r="DN67" s="1008"/>
      <c r="DO67" s="1008"/>
      <c r="DP67" s="1176"/>
      <c r="DQ67" s="1199">
        <f t="shared" si="185"/>
        <v>4828.9499999999989</v>
      </c>
      <c r="DR67" s="1199">
        <f t="shared" si="186"/>
        <v>0</v>
      </c>
      <c r="DS67" s="1199">
        <f t="shared" si="187"/>
        <v>0</v>
      </c>
      <c r="DT67" s="1199">
        <f t="shared" si="188"/>
        <v>0</v>
      </c>
      <c r="DU67" s="1199">
        <f t="shared" si="189"/>
        <v>0</v>
      </c>
      <c r="DV67" s="1199">
        <f t="shared" si="190"/>
        <v>0</v>
      </c>
      <c r="DW67" s="1199">
        <f t="shared" si="191"/>
        <v>0</v>
      </c>
      <c r="DX67" s="1199">
        <f t="shared" si="192"/>
        <v>0</v>
      </c>
      <c r="DY67" s="1199">
        <f t="shared" si="193"/>
        <v>0</v>
      </c>
      <c r="DZ67" s="1199">
        <f t="shared" si="194"/>
        <v>0</v>
      </c>
      <c r="EA67" s="1199">
        <f t="shared" si="195"/>
        <v>0</v>
      </c>
      <c r="EB67" s="1199">
        <f t="shared" si="196"/>
        <v>0</v>
      </c>
      <c r="EC67" s="1199">
        <f t="shared" si="197"/>
        <v>0</v>
      </c>
      <c r="ED67" s="1199">
        <f t="shared" si="198"/>
        <v>0</v>
      </c>
      <c r="EE67" s="1199">
        <f t="shared" si="199"/>
        <v>0</v>
      </c>
      <c r="EF67" s="1199">
        <f t="shared" si="200"/>
        <v>0</v>
      </c>
      <c r="EG67" s="1199">
        <f t="shared" si="201"/>
        <v>7945.3142098749604</v>
      </c>
      <c r="EH67" s="1199">
        <f t="shared" si="202"/>
        <v>0</v>
      </c>
      <c r="EI67" s="1199">
        <f t="shared" si="203"/>
        <v>0</v>
      </c>
      <c r="EJ67" s="1199">
        <f t="shared" si="204"/>
        <v>0</v>
      </c>
      <c r="EK67" s="1199">
        <f t="shared" si="205"/>
        <v>0</v>
      </c>
      <c r="EL67" s="1199">
        <f t="shared" si="206"/>
        <v>0</v>
      </c>
      <c r="EM67" s="1199">
        <f t="shared" si="207"/>
        <v>0</v>
      </c>
      <c r="EN67" s="1199">
        <f t="shared" si="208"/>
        <v>30548.96310849789</v>
      </c>
      <c r="EO67" s="1199">
        <f t="shared" si="209"/>
        <v>0</v>
      </c>
      <c r="EP67" s="1199">
        <f t="shared" si="210"/>
        <v>0</v>
      </c>
      <c r="EQ67" s="1199">
        <f t="shared" si="211"/>
        <v>0</v>
      </c>
      <c r="ER67" s="1199">
        <f t="shared" si="212"/>
        <v>0</v>
      </c>
      <c r="ES67" s="1199">
        <f t="shared" si="213"/>
        <v>0</v>
      </c>
      <c r="ET67" s="1199">
        <f t="shared" si="214"/>
        <v>0</v>
      </c>
      <c r="EU67" s="1199">
        <f t="shared" si="215"/>
        <v>0</v>
      </c>
      <c r="EV67" s="1199">
        <f t="shared" si="216"/>
        <v>0</v>
      </c>
      <c r="EW67" s="1199">
        <f t="shared" si="217"/>
        <v>0</v>
      </c>
      <c r="EX67" s="1199">
        <f t="shared" si="218"/>
        <v>0</v>
      </c>
      <c r="EY67" s="1199">
        <f t="shared" si="219"/>
        <v>0</v>
      </c>
      <c r="EZ67" s="1175">
        <f t="shared" si="220"/>
        <v>43323.227318372854</v>
      </c>
      <c r="FA67" s="1177"/>
      <c r="FB67" s="1202">
        <f t="shared" si="221"/>
        <v>4828.9499999999989</v>
      </c>
      <c r="FC67" s="1202">
        <f t="shared" si="222"/>
        <v>0</v>
      </c>
      <c r="FD67" s="1202">
        <f t="shared" si="223"/>
        <v>0</v>
      </c>
      <c r="FE67" s="1202">
        <f t="shared" si="224"/>
        <v>0</v>
      </c>
      <c r="FF67" s="1202">
        <f t="shared" si="225"/>
        <v>0</v>
      </c>
      <c r="FG67" s="1202">
        <f t="shared" si="226"/>
        <v>0</v>
      </c>
      <c r="FH67" s="1202">
        <f t="shared" si="227"/>
        <v>0</v>
      </c>
      <c r="FI67" s="1202">
        <f t="shared" si="228"/>
        <v>0</v>
      </c>
      <c r="FJ67" s="1202">
        <f t="shared" si="229"/>
        <v>0</v>
      </c>
      <c r="FK67" s="1202">
        <f t="shared" si="230"/>
        <v>0</v>
      </c>
      <c r="FL67" s="1202">
        <f t="shared" si="231"/>
        <v>0</v>
      </c>
      <c r="FM67" s="1202">
        <f t="shared" si="232"/>
        <v>0</v>
      </c>
      <c r="FN67" s="1202">
        <f t="shared" si="233"/>
        <v>0</v>
      </c>
      <c r="FO67" s="1202">
        <f t="shared" si="234"/>
        <v>0</v>
      </c>
      <c r="FP67" s="1202">
        <f t="shared" si="235"/>
        <v>0</v>
      </c>
      <c r="FQ67" s="1202">
        <f t="shared" si="236"/>
        <v>0</v>
      </c>
      <c r="FR67" s="1202">
        <f t="shared" si="237"/>
        <v>7554.393</v>
      </c>
      <c r="FS67" s="1202">
        <f t="shared" si="238"/>
        <v>0</v>
      </c>
      <c r="FT67" s="1202">
        <f t="shared" si="239"/>
        <v>0</v>
      </c>
      <c r="FU67" s="1202">
        <f t="shared" si="240"/>
        <v>0</v>
      </c>
      <c r="FV67" s="1202">
        <f t="shared" si="241"/>
        <v>0</v>
      </c>
      <c r="FW67" s="1202">
        <f t="shared" si="242"/>
        <v>0</v>
      </c>
      <c r="FX67" s="1202">
        <f t="shared" si="243"/>
        <v>0</v>
      </c>
      <c r="FY67" s="1202">
        <f t="shared" si="244"/>
        <v>30618.934030220462</v>
      </c>
      <c r="FZ67" s="1202">
        <f t="shared" si="245"/>
        <v>0</v>
      </c>
      <c r="GA67" s="1202">
        <f t="shared" si="246"/>
        <v>0</v>
      </c>
      <c r="GB67" s="1202">
        <f t="shared" si="247"/>
        <v>0</v>
      </c>
      <c r="GC67" s="1202">
        <f t="shared" si="248"/>
        <v>0</v>
      </c>
      <c r="GD67" s="1202">
        <f t="shared" si="249"/>
        <v>0</v>
      </c>
      <c r="GE67" s="1202">
        <f t="shared" si="250"/>
        <v>0</v>
      </c>
      <c r="GF67" s="1202">
        <f t="shared" si="251"/>
        <v>0</v>
      </c>
      <c r="GG67" s="1202">
        <f t="shared" si="252"/>
        <v>0</v>
      </c>
      <c r="GH67" s="1202">
        <f t="shared" si="253"/>
        <v>0</v>
      </c>
      <c r="GI67" s="1202">
        <f t="shared" si="254"/>
        <v>0</v>
      </c>
      <c r="GJ67" s="1202">
        <f t="shared" si="255"/>
        <v>0</v>
      </c>
      <c r="GK67" s="1174">
        <f t="shared" si="256"/>
        <v>43002.277030220459</v>
      </c>
    </row>
    <row r="68" spans="1:193" s="1015" customFormat="1">
      <c r="A68" s="1003"/>
      <c r="B68" s="1149"/>
      <c r="C68" s="1149" t="s">
        <v>259</v>
      </c>
      <c r="D68" s="1603" t="s">
        <v>259</v>
      </c>
      <c r="E68" s="1204" t="s">
        <v>765</v>
      </c>
      <c r="F68" s="1204" t="s">
        <v>770</v>
      </c>
      <c r="G68" s="1204" t="s">
        <v>791</v>
      </c>
      <c r="H68" s="1204" t="s">
        <v>833</v>
      </c>
      <c r="I68" s="1149" t="s">
        <v>744</v>
      </c>
      <c r="J68" s="1176"/>
      <c r="K68" s="1176"/>
      <c r="L68" s="1233">
        <v>1</v>
      </c>
      <c r="M68" s="1037"/>
      <c r="N68" s="1037"/>
      <c r="O68" s="1037"/>
      <c r="P68" s="1037"/>
      <c r="Q68" s="1037"/>
      <c r="R68" s="1004"/>
      <c r="S68" s="1004"/>
      <c r="T68" s="1004"/>
      <c r="U68" s="1004"/>
      <c r="V68" s="1004"/>
      <c r="W68" s="1004"/>
      <c r="X68" s="1004"/>
      <c r="Y68" s="1004"/>
      <c r="Z68" s="1004"/>
      <c r="AA68" s="1011"/>
      <c r="AB68" s="1233">
        <v>3.5659249729836922</v>
      </c>
      <c r="AC68" s="1004"/>
      <c r="AD68" s="1004"/>
      <c r="AE68" s="1004"/>
      <c r="AF68" s="1004"/>
      <c r="AG68" s="1013"/>
      <c r="AH68" s="1004"/>
      <c r="AI68" s="1224">
        <v>4.2328440000000002E-2</v>
      </c>
      <c r="AJ68" s="1035"/>
      <c r="AK68" s="1005"/>
      <c r="AL68" s="1005"/>
      <c r="AM68" s="1005"/>
      <c r="AN68" s="1005"/>
      <c r="AO68" s="1005"/>
      <c r="AP68" s="1004"/>
      <c r="AQ68" s="1004"/>
      <c r="AR68" s="1004"/>
      <c r="AS68" s="1005"/>
      <c r="AT68" s="1005"/>
      <c r="AU68" s="1176"/>
      <c r="AV68" s="1176"/>
      <c r="AW68" s="1231">
        <v>1</v>
      </c>
      <c r="AX68" s="1011"/>
      <c r="AY68" s="1011"/>
      <c r="AZ68" s="1011"/>
      <c r="BA68" s="1011"/>
      <c r="BB68" s="1011"/>
      <c r="BC68" s="1004"/>
      <c r="BD68" s="1004"/>
      <c r="BE68" s="1004"/>
      <c r="BF68" s="1011"/>
      <c r="BG68" s="1011"/>
      <c r="BH68" s="1004"/>
      <c r="BI68" s="1004"/>
      <c r="BJ68" s="1004"/>
      <c r="BK68" s="1004"/>
      <c r="BL68" s="1011"/>
      <c r="BM68" s="1227">
        <v>3.39</v>
      </c>
      <c r="BN68" s="1011"/>
      <c r="BO68" s="1011"/>
      <c r="BP68" s="1011"/>
      <c r="BQ68" s="1004"/>
      <c r="BR68" s="1035"/>
      <c r="BS68" s="1005"/>
      <c r="BT68" s="1230">
        <v>4.1579999999999999E-2</v>
      </c>
      <c r="BU68" s="1005"/>
      <c r="BV68" s="1005"/>
      <c r="BW68" s="1005"/>
      <c r="BX68" s="1005"/>
      <c r="BY68" s="1005"/>
      <c r="BZ68" s="1005"/>
      <c r="CA68" s="1005"/>
      <c r="CB68" s="1005"/>
      <c r="CC68" s="1005"/>
      <c r="CD68" s="1005"/>
      <c r="CE68" s="1005"/>
      <c r="CF68" s="1176"/>
      <c r="CG68" s="1236">
        <v>0</v>
      </c>
      <c r="CH68" s="1004"/>
      <c r="CI68" s="1004"/>
      <c r="CJ68" s="1004"/>
      <c r="CK68" s="1004"/>
      <c r="CL68" s="1004"/>
      <c r="CM68" s="1004"/>
      <c r="CN68" s="1004"/>
      <c r="CO68" s="1008"/>
      <c r="CP68" s="1004"/>
      <c r="CQ68" s="1004"/>
      <c r="CR68" s="1004"/>
      <c r="CS68" s="1004"/>
      <c r="CT68" s="1004"/>
      <c r="CU68" s="1008"/>
      <c r="CV68" s="1011"/>
      <c r="CW68" s="1236">
        <v>0</v>
      </c>
      <c r="CX68" s="1004"/>
      <c r="CY68" s="1004"/>
      <c r="CZ68" s="1004"/>
      <c r="DA68" s="1004"/>
      <c r="DB68" s="1013"/>
      <c r="DC68" s="1004"/>
      <c r="DD68" s="1236">
        <v>0</v>
      </c>
      <c r="DE68" s="1036"/>
      <c r="DF68" s="1008"/>
      <c r="DG68" s="1008"/>
      <c r="DH68" s="1014"/>
      <c r="DI68" s="1008"/>
      <c r="DJ68" s="1008"/>
      <c r="DK68" s="1004"/>
      <c r="DL68" s="1004"/>
      <c r="DM68" s="1004"/>
      <c r="DN68" s="1008"/>
      <c r="DO68" s="1008"/>
      <c r="DP68" s="1176"/>
      <c r="DQ68" s="1199">
        <f t="shared" si="185"/>
        <v>0</v>
      </c>
      <c r="DR68" s="1199">
        <f t="shared" si="186"/>
        <v>0</v>
      </c>
      <c r="DS68" s="1199">
        <f t="shared" si="187"/>
        <v>0</v>
      </c>
      <c r="DT68" s="1199">
        <f t="shared" si="188"/>
        <v>0</v>
      </c>
      <c r="DU68" s="1199">
        <f t="shared" si="189"/>
        <v>0</v>
      </c>
      <c r="DV68" s="1199">
        <f t="shared" si="190"/>
        <v>0</v>
      </c>
      <c r="DW68" s="1199">
        <f t="shared" si="191"/>
        <v>0</v>
      </c>
      <c r="DX68" s="1199">
        <f t="shared" si="192"/>
        <v>0</v>
      </c>
      <c r="DY68" s="1199">
        <f t="shared" si="193"/>
        <v>0</v>
      </c>
      <c r="DZ68" s="1199">
        <f t="shared" si="194"/>
        <v>0</v>
      </c>
      <c r="EA68" s="1199">
        <f t="shared" si="195"/>
        <v>0</v>
      </c>
      <c r="EB68" s="1199">
        <f t="shared" si="196"/>
        <v>0</v>
      </c>
      <c r="EC68" s="1199">
        <f t="shared" si="197"/>
        <v>0</v>
      </c>
      <c r="ED68" s="1199">
        <f t="shared" si="198"/>
        <v>0</v>
      </c>
      <c r="EE68" s="1199">
        <f t="shared" si="199"/>
        <v>0</v>
      </c>
      <c r="EF68" s="1199">
        <f t="shared" si="200"/>
        <v>0</v>
      </c>
      <c r="EG68" s="1199">
        <f t="shared" si="201"/>
        <v>0</v>
      </c>
      <c r="EH68" s="1199">
        <f t="shared" si="202"/>
        <v>0</v>
      </c>
      <c r="EI68" s="1199">
        <f t="shared" si="203"/>
        <v>0</v>
      </c>
      <c r="EJ68" s="1199">
        <f t="shared" si="204"/>
        <v>0</v>
      </c>
      <c r="EK68" s="1199">
        <f t="shared" si="205"/>
        <v>0</v>
      </c>
      <c r="EL68" s="1199">
        <f t="shared" si="206"/>
        <v>0</v>
      </c>
      <c r="EM68" s="1199">
        <f t="shared" si="207"/>
        <v>0</v>
      </c>
      <c r="EN68" s="1199">
        <f t="shared" si="208"/>
        <v>0</v>
      </c>
      <c r="EO68" s="1199">
        <f t="shared" si="209"/>
        <v>0</v>
      </c>
      <c r="EP68" s="1199">
        <f t="shared" si="210"/>
        <v>0</v>
      </c>
      <c r="EQ68" s="1199">
        <f t="shared" si="211"/>
        <v>0</v>
      </c>
      <c r="ER68" s="1199">
        <f t="shared" si="212"/>
        <v>0</v>
      </c>
      <c r="ES68" s="1199">
        <f t="shared" si="213"/>
        <v>0</v>
      </c>
      <c r="ET68" s="1199">
        <f t="shared" si="214"/>
        <v>0</v>
      </c>
      <c r="EU68" s="1199">
        <f t="shared" si="215"/>
        <v>0</v>
      </c>
      <c r="EV68" s="1199">
        <f t="shared" si="216"/>
        <v>0</v>
      </c>
      <c r="EW68" s="1199">
        <f t="shared" si="217"/>
        <v>0</v>
      </c>
      <c r="EX68" s="1199">
        <f t="shared" si="218"/>
        <v>0</v>
      </c>
      <c r="EY68" s="1199">
        <f t="shared" si="219"/>
        <v>0</v>
      </c>
      <c r="EZ68" s="1175">
        <f t="shared" si="220"/>
        <v>0</v>
      </c>
      <c r="FA68" s="1177"/>
      <c r="FB68" s="1202">
        <f t="shared" si="221"/>
        <v>0</v>
      </c>
      <c r="FC68" s="1202">
        <f t="shared" si="222"/>
        <v>0</v>
      </c>
      <c r="FD68" s="1202">
        <f t="shared" si="223"/>
        <v>0</v>
      </c>
      <c r="FE68" s="1202">
        <f t="shared" si="224"/>
        <v>0</v>
      </c>
      <c r="FF68" s="1202">
        <f t="shared" si="225"/>
        <v>0</v>
      </c>
      <c r="FG68" s="1202">
        <f t="shared" si="226"/>
        <v>0</v>
      </c>
      <c r="FH68" s="1202">
        <f t="shared" si="227"/>
        <v>0</v>
      </c>
      <c r="FI68" s="1202">
        <f t="shared" si="228"/>
        <v>0</v>
      </c>
      <c r="FJ68" s="1202">
        <f t="shared" si="229"/>
        <v>0</v>
      </c>
      <c r="FK68" s="1202">
        <f t="shared" si="230"/>
        <v>0</v>
      </c>
      <c r="FL68" s="1202">
        <f t="shared" si="231"/>
        <v>0</v>
      </c>
      <c r="FM68" s="1202">
        <f t="shared" si="232"/>
        <v>0</v>
      </c>
      <c r="FN68" s="1202">
        <f t="shared" si="233"/>
        <v>0</v>
      </c>
      <c r="FO68" s="1202">
        <f t="shared" si="234"/>
        <v>0</v>
      </c>
      <c r="FP68" s="1202">
        <f t="shared" si="235"/>
        <v>0</v>
      </c>
      <c r="FQ68" s="1202">
        <f t="shared" si="236"/>
        <v>0</v>
      </c>
      <c r="FR68" s="1202">
        <f t="shared" si="237"/>
        <v>0</v>
      </c>
      <c r="FS68" s="1202">
        <f t="shared" si="238"/>
        <v>0</v>
      </c>
      <c r="FT68" s="1202">
        <f t="shared" si="239"/>
        <v>0</v>
      </c>
      <c r="FU68" s="1202">
        <f t="shared" si="240"/>
        <v>0</v>
      </c>
      <c r="FV68" s="1202">
        <f t="shared" si="241"/>
        <v>0</v>
      </c>
      <c r="FW68" s="1202">
        <f t="shared" si="242"/>
        <v>0</v>
      </c>
      <c r="FX68" s="1202">
        <f t="shared" si="243"/>
        <v>0</v>
      </c>
      <c r="FY68" s="1202">
        <f t="shared" si="244"/>
        <v>0</v>
      </c>
      <c r="FZ68" s="1202">
        <f t="shared" si="245"/>
        <v>0</v>
      </c>
      <c r="GA68" s="1202">
        <f t="shared" si="246"/>
        <v>0</v>
      </c>
      <c r="GB68" s="1202">
        <f t="shared" si="247"/>
        <v>0</v>
      </c>
      <c r="GC68" s="1202">
        <f t="shared" si="248"/>
        <v>0</v>
      </c>
      <c r="GD68" s="1202">
        <f t="shared" si="249"/>
        <v>0</v>
      </c>
      <c r="GE68" s="1202">
        <f t="shared" si="250"/>
        <v>0</v>
      </c>
      <c r="GF68" s="1202">
        <f t="shared" si="251"/>
        <v>0</v>
      </c>
      <c r="GG68" s="1202">
        <f t="shared" si="252"/>
        <v>0</v>
      </c>
      <c r="GH68" s="1202">
        <f t="shared" si="253"/>
        <v>0</v>
      </c>
      <c r="GI68" s="1202">
        <f t="shared" si="254"/>
        <v>0</v>
      </c>
      <c r="GJ68" s="1202">
        <f t="shared" si="255"/>
        <v>0</v>
      </c>
      <c r="GK68" s="1174">
        <f t="shared" si="256"/>
        <v>0</v>
      </c>
    </row>
    <row r="69" spans="1:193" s="1015" customFormat="1">
      <c r="A69" s="1003"/>
      <c r="B69" s="1149"/>
      <c r="C69" s="1149" t="s">
        <v>914</v>
      </c>
      <c r="D69" s="1603" t="s">
        <v>914</v>
      </c>
      <c r="E69" s="1204" t="s">
        <v>765</v>
      </c>
      <c r="F69" s="1204" t="s">
        <v>770</v>
      </c>
      <c r="G69" s="1204" t="s">
        <v>789</v>
      </c>
      <c r="H69" s="1204" t="s">
        <v>821</v>
      </c>
      <c r="I69" s="1149" t="s">
        <v>744</v>
      </c>
      <c r="J69" s="1176"/>
      <c r="K69" s="1176"/>
      <c r="L69" s="1233">
        <v>1.105</v>
      </c>
      <c r="M69" s="1037"/>
      <c r="N69" s="1037"/>
      <c r="O69" s="1037"/>
      <c r="P69" s="1037"/>
      <c r="Q69" s="1037"/>
      <c r="R69" s="1004"/>
      <c r="S69" s="1004"/>
      <c r="T69" s="1004"/>
      <c r="U69" s="1004"/>
      <c r="V69" s="1004"/>
      <c r="W69" s="1004"/>
      <c r="X69" s="1004"/>
      <c r="Y69" s="1004"/>
      <c r="Z69" s="1004"/>
      <c r="AA69" s="1011"/>
      <c r="AB69" s="1004"/>
      <c r="AC69" s="1004"/>
      <c r="AD69" s="1004"/>
      <c r="AE69" s="1004"/>
      <c r="AF69" s="1004"/>
      <c r="AG69" s="1013"/>
      <c r="AH69" s="1004"/>
      <c r="AI69" s="1224">
        <v>2.8320965190146714E-2</v>
      </c>
      <c r="AJ69" s="1035"/>
      <c r="AK69" s="1005"/>
      <c r="AL69" s="1005"/>
      <c r="AM69" s="1005"/>
      <c r="AN69" s="1005"/>
      <c r="AO69" s="1005"/>
      <c r="AP69" s="1004"/>
      <c r="AQ69" s="1004"/>
      <c r="AR69" s="1004"/>
      <c r="AS69" s="1005"/>
      <c r="AT69" s="1005"/>
      <c r="AU69" s="1176"/>
      <c r="AV69" s="1176"/>
      <c r="AW69" s="1231">
        <v>1.1000000000000001</v>
      </c>
      <c r="AX69" s="1011"/>
      <c r="AY69" s="1011"/>
      <c r="AZ69" s="1011"/>
      <c r="BA69" s="1011"/>
      <c r="BB69" s="1011"/>
      <c r="BC69" s="1004"/>
      <c r="BD69" s="1004"/>
      <c r="BE69" s="1004"/>
      <c r="BF69" s="1011"/>
      <c r="BG69" s="1011"/>
      <c r="BH69" s="1004"/>
      <c r="BI69" s="1004"/>
      <c r="BJ69" s="1004"/>
      <c r="BK69" s="1004"/>
      <c r="BL69" s="1011"/>
      <c r="BM69" s="1011"/>
      <c r="BN69" s="1011"/>
      <c r="BO69" s="1011"/>
      <c r="BP69" s="1011"/>
      <c r="BQ69" s="1004"/>
      <c r="BR69" s="1035"/>
      <c r="BS69" s="1005"/>
      <c r="BT69" s="1230">
        <v>2.7736633267619135E-2</v>
      </c>
      <c r="BU69" s="1005"/>
      <c r="BV69" s="1005"/>
      <c r="BW69" s="1005"/>
      <c r="BX69" s="1005"/>
      <c r="BY69" s="1005"/>
      <c r="BZ69" s="1005"/>
      <c r="CA69" s="1005"/>
      <c r="CB69" s="1005"/>
      <c r="CC69" s="1005"/>
      <c r="CD69" s="1005"/>
      <c r="CE69" s="1005"/>
      <c r="CF69" s="1176"/>
      <c r="CG69" s="1236">
        <v>783.7700000000001</v>
      </c>
      <c r="CH69" s="1004"/>
      <c r="CI69" s="1004"/>
      <c r="CJ69" s="1004"/>
      <c r="CK69" s="1004"/>
      <c r="CL69" s="1004"/>
      <c r="CM69" s="1004"/>
      <c r="CN69" s="1004"/>
      <c r="CO69" s="1008"/>
      <c r="CP69" s="1004"/>
      <c r="CQ69" s="1004"/>
      <c r="CR69" s="1004"/>
      <c r="CS69" s="1004"/>
      <c r="CT69" s="1004"/>
      <c r="CU69" s="1008"/>
      <c r="CV69" s="1011"/>
      <c r="CW69" s="1011"/>
      <c r="CX69" s="1004"/>
      <c r="CY69" s="1004"/>
      <c r="CZ69" s="1004"/>
      <c r="DA69" s="1004"/>
      <c r="DB69" s="1013"/>
      <c r="DC69" s="1004"/>
      <c r="DD69" s="1236">
        <v>10726472.780000001</v>
      </c>
      <c r="DE69" s="1036"/>
      <c r="DF69" s="1008"/>
      <c r="DG69" s="1008"/>
      <c r="DH69" s="1014"/>
      <c r="DI69" s="1008"/>
      <c r="DJ69" s="1008"/>
      <c r="DK69" s="1004"/>
      <c r="DL69" s="1004"/>
      <c r="DM69" s="1004"/>
      <c r="DN69" s="1008"/>
      <c r="DO69" s="1008"/>
      <c r="DP69" s="1176"/>
      <c r="DQ69" s="1199">
        <f t="shared" si="185"/>
        <v>316114.03525000002</v>
      </c>
      <c r="DR69" s="1199">
        <f t="shared" si="186"/>
        <v>0</v>
      </c>
      <c r="DS69" s="1199">
        <f t="shared" si="187"/>
        <v>0</v>
      </c>
      <c r="DT69" s="1199">
        <f t="shared" si="188"/>
        <v>0</v>
      </c>
      <c r="DU69" s="1199">
        <f t="shared" si="189"/>
        <v>0</v>
      </c>
      <c r="DV69" s="1199">
        <f t="shared" si="190"/>
        <v>0</v>
      </c>
      <c r="DW69" s="1199">
        <f t="shared" si="191"/>
        <v>0</v>
      </c>
      <c r="DX69" s="1199">
        <f t="shared" si="192"/>
        <v>0</v>
      </c>
      <c r="DY69" s="1199">
        <f t="shared" si="193"/>
        <v>0</v>
      </c>
      <c r="DZ69" s="1199">
        <f t="shared" si="194"/>
        <v>0</v>
      </c>
      <c r="EA69" s="1199">
        <f t="shared" si="195"/>
        <v>0</v>
      </c>
      <c r="EB69" s="1199">
        <f t="shared" si="196"/>
        <v>0</v>
      </c>
      <c r="EC69" s="1199">
        <f t="shared" si="197"/>
        <v>0</v>
      </c>
      <c r="ED69" s="1199">
        <f t="shared" si="198"/>
        <v>0</v>
      </c>
      <c r="EE69" s="1199">
        <f t="shared" si="199"/>
        <v>0</v>
      </c>
      <c r="EF69" s="1199">
        <f t="shared" si="200"/>
        <v>0</v>
      </c>
      <c r="EG69" s="1199">
        <f t="shared" si="201"/>
        <v>0</v>
      </c>
      <c r="EH69" s="1199">
        <f t="shared" si="202"/>
        <v>0</v>
      </c>
      <c r="EI69" s="1199">
        <f t="shared" si="203"/>
        <v>0</v>
      </c>
      <c r="EJ69" s="1199">
        <f t="shared" si="204"/>
        <v>0</v>
      </c>
      <c r="EK69" s="1199">
        <f t="shared" si="205"/>
        <v>0</v>
      </c>
      <c r="EL69" s="1199">
        <f t="shared" si="206"/>
        <v>0</v>
      </c>
      <c r="EM69" s="1199">
        <f t="shared" si="207"/>
        <v>0</v>
      </c>
      <c r="EN69" s="1199">
        <f t="shared" si="208"/>
        <v>303784.06221543631</v>
      </c>
      <c r="EO69" s="1199">
        <f t="shared" si="209"/>
        <v>0</v>
      </c>
      <c r="EP69" s="1199">
        <f t="shared" si="210"/>
        <v>0</v>
      </c>
      <c r="EQ69" s="1199">
        <f t="shared" si="211"/>
        <v>0</v>
      </c>
      <c r="ER69" s="1199">
        <f t="shared" si="212"/>
        <v>0</v>
      </c>
      <c r="ES69" s="1199">
        <f t="shared" si="213"/>
        <v>0</v>
      </c>
      <c r="ET69" s="1199">
        <f t="shared" si="214"/>
        <v>0</v>
      </c>
      <c r="EU69" s="1199">
        <f t="shared" si="215"/>
        <v>0</v>
      </c>
      <c r="EV69" s="1199">
        <f t="shared" si="216"/>
        <v>0</v>
      </c>
      <c r="EW69" s="1199">
        <f t="shared" si="217"/>
        <v>0</v>
      </c>
      <c r="EX69" s="1199">
        <f t="shared" si="218"/>
        <v>0</v>
      </c>
      <c r="EY69" s="1199">
        <f t="shared" si="219"/>
        <v>0</v>
      </c>
      <c r="EZ69" s="1175">
        <f t="shared" si="220"/>
        <v>619898.09746543632</v>
      </c>
      <c r="FA69" s="1177"/>
      <c r="FB69" s="1202">
        <f t="shared" si="221"/>
        <v>314683.65500000009</v>
      </c>
      <c r="FC69" s="1202">
        <f t="shared" si="222"/>
        <v>0</v>
      </c>
      <c r="FD69" s="1202">
        <f t="shared" si="223"/>
        <v>0</v>
      </c>
      <c r="FE69" s="1202">
        <f t="shared" si="224"/>
        <v>0</v>
      </c>
      <c r="FF69" s="1202">
        <f t="shared" si="225"/>
        <v>0</v>
      </c>
      <c r="FG69" s="1202">
        <f t="shared" si="226"/>
        <v>0</v>
      </c>
      <c r="FH69" s="1202">
        <f t="shared" si="227"/>
        <v>0</v>
      </c>
      <c r="FI69" s="1202">
        <f t="shared" si="228"/>
        <v>0</v>
      </c>
      <c r="FJ69" s="1202">
        <f t="shared" si="229"/>
        <v>0</v>
      </c>
      <c r="FK69" s="1202">
        <f t="shared" si="230"/>
        <v>0</v>
      </c>
      <c r="FL69" s="1202">
        <f t="shared" si="231"/>
        <v>0</v>
      </c>
      <c r="FM69" s="1202">
        <f t="shared" si="232"/>
        <v>0</v>
      </c>
      <c r="FN69" s="1202">
        <f t="shared" si="233"/>
        <v>0</v>
      </c>
      <c r="FO69" s="1202">
        <f t="shared" si="234"/>
        <v>0</v>
      </c>
      <c r="FP69" s="1202">
        <f t="shared" si="235"/>
        <v>0</v>
      </c>
      <c r="FQ69" s="1202">
        <f t="shared" si="236"/>
        <v>0</v>
      </c>
      <c r="FR69" s="1202">
        <f t="shared" si="237"/>
        <v>0</v>
      </c>
      <c r="FS69" s="1202">
        <f t="shared" si="238"/>
        <v>0</v>
      </c>
      <c r="FT69" s="1202">
        <f t="shared" si="239"/>
        <v>0</v>
      </c>
      <c r="FU69" s="1202">
        <f t="shared" si="240"/>
        <v>0</v>
      </c>
      <c r="FV69" s="1202">
        <f t="shared" si="241"/>
        <v>0</v>
      </c>
      <c r="FW69" s="1202">
        <f t="shared" si="242"/>
        <v>0</v>
      </c>
      <c r="FX69" s="1202">
        <f t="shared" si="243"/>
        <v>0</v>
      </c>
      <c r="FY69" s="1202">
        <f t="shared" si="244"/>
        <v>297516.24175395916</v>
      </c>
      <c r="FZ69" s="1202">
        <f t="shared" si="245"/>
        <v>0</v>
      </c>
      <c r="GA69" s="1202">
        <f t="shared" si="246"/>
        <v>0</v>
      </c>
      <c r="GB69" s="1202">
        <f t="shared" si="247"/>
        <v>0</v>
      </c>
      <c r="GC69" s="1202">
        <f t="shared" si="248"/>
        <v>0</v>
      </c>
      <c r="GD69" s="1202">
        <f t="shared" si="249"/>
        <v>0</v>
      </c>
      <c r="GE69" s="1202">
        <f t="shared" si="250"/>
        <v>0</v>
      </c>
      <c r="GF69" s="1202">
        <f t="shared" si="251"/>
        <v>0</v>
      </c>
      <c r="GG69" s="1202">
        <f t="shared" si="252"/>
        <v>0</v>
      </c>
      <c r="GH69" s="1202">
        <f t="shared" si="253"/>
        <v>0</v>
      </c>
      <c r="GI69" s="1202">
        <f t="shared" si="254"/>
        <v>0</v>
      </c>
      <c r="GJ69" s="1202">
        <f t="shared" si="255"/>
        <v>0</v>
      </c>
      <c r="GK69" s="1174">
        <f t="shared" si="256"/>
        <v>612199.89675395924</v>
      </c>
    </row>
    <row r="70" spans="1:193" s="1015" customFormat="1">
      <c r="A70" s="1003"/>
      <c r="B70" s="1149"/>
      <c r="C70" s="1149" t="s">
        <v>915</v>
      </c>
      <c r="D70" s="1603" t="s">
        <v>915</v>
      </c>
      <c r="E70" s="1204" t="s">
        <v>765</v>
      </c>
      <c r="F70" s="1204" t="s">
        <v>770</v>
      </c>
      <c r="G70" s="1204" t="s">
        <v>790</v>
      </c>
      <c r="H70" s="1204" t="s">
        <v>829</v>
      </c>
      <c r="I70" s="1149" t="s">
        <v>744</v>
      </c>
      <c r="J70" s="1176"/>
      <c r="K70" s="1176"/>
      <c r="L70" s="1233">
        <v>1.7669999999999999</v>
      </c>
      <c r="M70" s="1037"/>
      <c r="N70" s="1037"/>
      <c r="O70" s="1037"/>
      <c r="P70" s="1037"/>
      <c r="Q70" s="1037"/>
      <c r="R70" s="1004"/>
      <c r="S70" s="1004"/>
      <c r="T70" s="1004"/>
      <c r="U70" s="1004"/>
      <c r="V70" s="1004"/>
      <c r="W70" s="1004"/>
      <c r="X70" s="1004"/>
      <c r="Y70" s="1004"/>
      <c r="Z70" s="1004"/>
      <c r="AA70" s="1011"/>
      <c r="AB70" s="1004"/>
      <c r="AC70" s="1004"/>
      <c r="AD70" s="1004"/>
      <c r="AE70" s="1004"/>
      <c r="AF70" s="1004"/>
      <c r="AG70" s="1013"/>
      <c r="AH70" s="1004"/>
      <c r="AI70" s="1224">
        <v>6.2301328836840718E-2</v>
      </c>
      <c r="AJ70" s="1035"/>
      <c r="AK70" s="1005"/>
      <c r="AL70" s="1005"/>
      <c r="AM70" s="1005"/>
      <c r="AN70" s="1005"/>
      <c r="AO70" s="1005"/>
      <c r="AP70" s="1004"/>
      <c r="AQ70" s="1004"/>
      <c r="AR70" s="1004"/>
      <c r="AS70" s="1005"/>
      <c r="AT70" s="1005"/>
      <c r="AU70" s="1176"/>
      <c r="AV70" s="1176"/>
      <c r="AW70" s="1231">
        <v>1.76</v>
      </c>
      <c r="AX70" s="1011"/>
      <c r="AY70" s="1011"/>
      <c r="AZ70" s="1011"/>
      <c r="BA70" s="1011"/>
      <c r="BB70" s="1011"/>
      <c r="BC70" s="1004"/>
      <c r="BD70" s="1004"/>
      <c r="BE70" s="1004"/>
      <c r="BF70" s="1011"/>
      <c r="BG70" s="1011"/>
      <c r="BH70" s="1004"/>
      <c r="BI70" s="1004"/>
      <c r="BJ70" s="1004"/>
      <c r="BK70" s="1004"/>
      <c r="BL70" s="1011"/>
      <c r="BM70" s="1011"/>
      <c r="BN70" s="1011"/>
      <c r="BO70" s="1011"/>
      <c r="BP70" s="1011"/>
      <c r="BQ70" s="1004"/>
      <c r="BR70" s="1035"/>
      <c r="BS70" s="1005"/>
      <c r="BT70" s="1230">
        <v>6.1547609020413334E-2</v>
      </c>
      <c r="BU70" s="1005"/>
      <c r="BV70" s="1005"/>
      <c r="BW70" s="1005"/>
      <c r="BX70" s="1005"/>
      <c r="BY70" s="1005"/>
      <c r="BZ70" s="1005"/>
      <c r="CA70" s="1005"/>
      <c r="CB70" s="1005"/>
      <c r="CC70" s="1005"/>
      <c r="CD70" s="1005"/>
      <c r="CE70" s="1005"/>
      <c r="CF70" s="1176"/>
      <c r="CG70" s="1236">
        <v>127.31</v>
      </c>
      <c r="CH70" s="1004"/>
      <c r="CI70" s="1004"/>
      <c r="CJ70" s="1004"/>
      <c r="CK70" s="1004"/>
      <c r="CL70" s="1004"/>
      <c r="CM70" s="1004"/>
      <c r="CN70" s="1004"/>
      <c r="CO70" s="1008"/>
      <c r="CP70" s="1004"/>
      <c r="CQ70" s="1004"/>
      <c r="CR70" s="1004"/>
      <c r="CS70" s="1004"/>
      <c r="CT70" s="1004"/>
      <c r="CU70" s="1008"/>
      <c r="CV70" s="1011"/>
      <c r="CW70" s="1011"/>
      <c r="CX70" s="1004"/>
      <c r="CY70" s="1004"/>
      <c r="CZ70" s="1004"/>
      <c r="DA70" s="1004"/>
      <c r="DB70" s="1013"/>
      <c r="DC70" s="1004"/>
      <c r="DD70" s="1236">
        <v>1447644.99</v>
      </c>
      <c r="DE70" s="1036"/>
      <c r="DF70" s="1008"/>
      <c r="DG70" s="1008"/>
      <c r="DH70" s="1014"/>
      <c r="DI70" s="1008"/>
      <c r="DJ70" s="1008"/>
      <c r="DK70" s="1004"/>
      <c r="DL70" s="1004"/>
      <c r="DM70" s="1004"/>
      <c r="DN70" s="1008"/>
      <c r="DO70" s="1008"/>
      <c r="DP70" s="1176"/>
      <c r="DQ70" s="1199">
        <f t="shared" si="185"/>
        <v>82109.221050000007</v>
      </c>
      <c r="DR70" s="1199">
        <f t="shared" si="186"/>
        <v>0</v>
      </c>
      <c r="DS70" s="1199">
        <f t="shared" si="187"/>
        <v>0</v>
      </c>
      <c r="DT70" s="1199">
        <f t="shared" si="188"/>
        <v>0</v>
      </c>
      <c r="DU70" s="1199">
        <f t="shared" si="189"/>
        <v>0</v>
      </c>
      <c r="DV70" s="1199">
        <f t="shared" si="190"/>
        <v>0</v>
      </c>
      <c r="DW70" s="1199">
        <f t="shared" si="191"/>
        <v>0</v>
      </c>
      <c r="DX70" s="1199">
        <f t="shared" si="192"/>
        <v>0</v>
      </c>
      <c r="DY70" s="1199">
        <f t="shared" si="193"/>
        <v>0</v>
      </c>
      <c r="DZ70" s="1199">
        <f t="shared" si="194"/>
        <v>0</v>
      </c>
      <c r="EA70" s="1199">
        <f t="shared" si="195"/>
        <v>0</v>
      </c>
      <c r="EB70" s="1199">
        <f t="shared" si="196"/>
        <v>0</v>
      </c>
      <c r="EC70" s="1199">
        <f t="shared" si="197"/>
        <v>0</v>
      </c>
      <c r="ED70" s="1199">
        <f t="shared" si="198"/>
        <v>0</v>
      </c>
      <c r="EE70" s="1199">
        <f t="shared" si="199"/>
        <v>0</v>
      </c>
      <c r="EF70" s="1199">
        <f t="shared" si="200"/>
        <v>0</v>
      </c>
      <c r="EG70" s="1199">
        <f t="shared" si="201"/>
        <v>0</v>
      </c>
      <c r="EH70" s="1199">
        <f t="shared" si="202"/>
        <v>0</v>
      </c>
      <c r="EI70" s="1199">
        <f t="shared" si="203"/>
        <v>0</v>
      </c>
      <c r="EJ70" s="1199">
        <f t="shared" si="204"/>
        <v>0</v>
      </c>
      <c r="EK70" s="1199">
        <f t="shared" si="205"/>
        <v>0</v>
      </c>
      <c r="EL70" s="1199">
        <f t="shared" si="206"/>
        <v>0</v>
      </c>
      <c r="EM70" s="1199">
        <f t="shared" si="207"/>
        <v>0</v>
      </c>
      <c r="EN70" s="1199">
        <f t="shared" si="208"/>
        <v>90190.206560994993</v>
      </c>
      <c r="EO70" s="1199">
        <f t="shared" si="209"/>
        <v>0</v>
      </c>
      <c r="EP70" s="1199">
        <f t="shared" si="210"/>
        <v>0</v>
      </c>
      <c r="EQ70" s="1199">
        <f t="shared" si="211"/>
        <v>0</v>
      </c>
      <c r="ER70" s="1199">
        <f t="shared" si="212"/>
        <v>0</v>
      </c>
      <c r="ES70" s="1199">
        <f t="shared" si="213"/>
        <v>0</v>
      </c>
      <c r="ET70" s="1199">
        <f t="shared" si="214"/>
        <v>0</v>
      </c>
      <c r="EU70" s="1199">
        <f t="shared" si="215"/>
        <v>0</v>
      </c>
      <c r="EV70" s="1199">
        <f t="shared" si="216"/>
        <v>0</v>
      </c>
      <c r="EW70" s="1199">
        <f t="shared" si="217"/>
        <v>0</v>
      </c>
      <c r="EX70" s="1199">
        <f t="shared" si="218"/>
        <v>0</v>
      </c>
      <c r="EY70" s="1199">
        <f t="shared" si="219"/>
        <v>0</v>
      </c>
      <c r="EZ70" s="1175">
        <f t="shared" si="220"/>
        <v>172299.42761099502</v>
      </c>
      <c r="FA70" s="1177"/>
      <c r="FB70" s="1202">
        <f t="shared" si="221"/>
        <v>81783.944000000003</v>
      </c>
      <c r="FC70" s="1202">
        <f t="shared" si="222"/>
        <v>0</v>
      </c>
      <c r="FD70" s="1202">
        <f t="shared" si="223"/>
        <v>0</v>
      </c>
      <c r="FE70" s="1202">
        <f t="shared" si="224"/>
        <v>0</v>
      </c>
      <c r="FF70" s="1202">
        <f t="shared" si="225"/>
        <v>0</v>
      </c>
      <c r="FG70" s="1202">
        <f t="shared" si="226"/>
        <v>0</v>
      </c>
      <c r="FH70" s="1202">
        <f t="shared" si="227"/>
        <v>0</v>
      </c>
      <c r="FI70" s="1202">
        <f t="shared" si="228"/>
        <v>0</v>
      </c>
      <c r="FJ70" s="1202">
        <f t="shared" si="229"/>
        <v>0</v>
      </c>
      <c r="FK70" s="1202">
        <f t="shared" si="230"/>
        <v>0</v>
      </c>
      <c r="FL70" s="1202">
        <f t="shared" si="231"/>
        <v>0</v>
      </c>
      <c r="FM70" s="1202">
        <f t="shared" si="232"/>
        <v>0</v>
      </c>
      <c r="FN70" s="1202">
        <f t="shared" si="233"/>
        <v>0</v>
      </c>
      <c r="FO70" s="1202">
        <f t="shared" si="234"/>
        <v>0</v>
      </c>
      <c r="FP70" s="1202">
        <f t="shared" si="235"/>
        <v>0</v>
      </c>
      <c r="FQ70" s="1202">
        <f t="shared" si="236"/>
        <v>0</v>
      </c>
      <c r="FR70" s="1202">
        <f t="shared" si="237"/>
        <v>0</v>
      </c>
      <c r="FS70" s="1202">
        <f t="shared" si="238"/>
        <v>0</v>
      </c>
      <c r="FT70" s="1202">
        <f t="shared" si="239"/>
        <v>0</v>
      </c>
      <c r="FU70" s="1202">
        <f t="shared" si="240"/>
        <v>0</v>
      </c>
      <c r="FV70" s="1202">
        <f t="shared" si="241"/>
        <v>0</v>
      </c>
      <c r="FW70" s="1202">
        <f t="shared" si="242"/>
        <v>0</v>
      </c>
      <c r="FX70" s="1202">
        <f t="shared" si="243"/>
        <v>0</v>
      </c>
      <c r="FY70" s="1202">
        <f t="shared" si="244"/>
        <v>89099.087844880167</v>
      </c>
      <c r="FZ70" s="1202">
        <f t="shared" si="245"/>
        <v>0</v>
      </c>
      <c r="GA70" s="1202">
        <f t="shared" si="246"/>
        <v>0</v>
      </c>
      <c r="GB70" s="1202">
        <f t="shared" si="247"/>
        <v>0</v>
      </c>
      <c r="GC70" s="1202">
        <f t="shared" si="248"/>
        <v>0</v>
      </c>
      <c r="GD70" s="1202">
        <f t="shared" si="249"/>
        <v>0</v>
      </c>
      <c r="GE70" s="1202">
        <f t="shared" si="250"/>
        <v>0</v>
      </c>
      <c r="GF70" s="1202">
        <f t="shared" si="251"/>
        <v>0</v>
      </c>
      <c r="GG70" s="1202">
        <f t="shared" si="252"/>
        <v>0</v>
      </c>
      <c r="GH70" s="1202">
        <f t="shared" si="253"/>
        <v>0</v>
      </c>
      <c r="GI70" s="1202">
        <f t="shared" si="254"/>
        <v>0</v>
      </c>
      <c r="GJ70" s="1202">
        <f t="shared" si="255"/>
        <v>0</v>
      </c>
      <c r="GK70" s="1174">
        <f t="shared" si="256"/>
        <v>170883.03184488017</v>
      </c>
    </row>
    <row r="71" spans="1:193" s="1015" customFormat="1">
      <c r="A71" s="1003"/>
      <c r="B71" s="1149"/>
      <c r="C71" s="1149" t="s">
        <v>916</v>
      </c>
      <c r="D71" s="1603" t="s">
        <v>916</v>
      </c>
      <c r="E71" s="1204" t="s">
        <v>765</v>
      </c>
      <c r="F71" s="1204" t="s">
        <v>770</v>
      </c>
      <c r="G71" s="1204" t="s">
        <v>791</v>
      </c>
      <c r="H71" s="1204" t="s">
        <v>834</v>
      </c>
      <c r="I71" s="1149" t="s">
        <v>744</v>
      </c>
      <c r="J71" s="1176"/>
      <c r="K71" s="1176"/>
      <c r="L71" s="1233">
        <v>1.105</v>
      </c>
      <c r="M71" s="1037"/>
      <c r="N71" s="1037"/>
      <c r="O71" s="1037"/>
      <c r="P71" s="1037"/>
      <c r="Q71" s="1037"/>
      <c r="R71" s="1004"/>
      <c r="S71" s="1004"/>
      <c r="T71" s="1004"/>
      <c r="U71" s="1004"/>
      <c r="V71" s="1004"/>
      <c r="W71" s="1004"/>
      <c r="X71" s="1004"/>
      <c r="Y71" s="1004"/>
      <c r="Z71" s="1004"/>
      <c r="AA71" s="1011"/>
      <c r="AB71" s="1004"/>
      <c r="AC71" s="1004"/>
      <c r="AD71" s="1004"/>
      <c r="AE71" s="1004"/>
      <c r="AF71" s="1004"/>
      <c r="AG71" s="1013"/>
      <c r="AH71" s="1004"/>
      <c r="AI71" s="1224">
        <v>2.8850797997973372E-2</v>
      </c>
      <c r="AJ71" s="1035"/>
      <c r="AK71" s="1005"/>
      <c r="AL71" s="1005"/>
      <c r="AM71" s="1005"/>
      <c r="AN71" s="1005"/>
      <c r="AO71" s="1005"/>
      <c r="AP71" s="1004"/>
      <c r="AQ71" s="1004"/>
      <c r="AR71" s="1004"/>
      <c r="AS71" s="1005"/>
      <c r="AT71" s="1005"/>
      <c r="AU71" s="1176"/>
      <c r="AV71" s="1176"/>
      <c r="AW71" s="1231">
        <v>1.1000000000000001</v>
      </c>
      <c r="AX71" s="1011"/>
      <c r="AY71" s="1011"/>
      <c r="AZ71" s="1011"/>
      <c r="BA71" s="1011"/>
      <c r="BB71" s="1011"/>
      <c r="BC71" s="1004"/>
      <c r="BD71" s="1004"/>
      <c r="BE71" s="1004"/>
      <c r="BF71" s="1011"/>
      <c r="BG71" s="1011"/>
      <c r="BH71" s="1004"/>
      <c r="BI71" s="1004"/>
      <c r="BJ71" s="1004"/>
      <c r="BK71" s="1004"/>
      <c r="BL71" s="1011"/>
      <c r="BM71" s="1011"/>
      <c r="BN71" s="1011"/>
      <c r="BO71" s="1011"/>
      <c r="BP71" s="1011"/>
      <c r="BQ71" s="1004"/>
      <c r="BR71" s="1035"/>
      <c r="BS71" s="1005"/>
      <c r="BT71" s="1230">
        <v>2.8548648587796661E-2</v>
      </c>
      <c r="BU71" s="1005"/>
      <c r="BV71" s="1005"/>
      <c r="BW71" s="1005"/>
      <c r="BX71" s="1005"/>
      <c r="BY71" s="1005"/>
      <c r="BZ71" s="1005"/>
      <c r="CA71" s="1005"/>
      <c r="CB71" s="1005"/>
      <c r="CC71" s="1005"/>
      <c r="CD71" s="1005"/>
      <c r="CE71" s="1005"/>
      <c r="CF71" s="1176"/>
      <c r="CG71" s="1236">
        <v>26.65</v>
      </c>
      <c r="CH71" s="1004"/>
      <c r="CI71" s="1004"/>
      <c r="CJ71" s="1004"/>
      <c r="CK71" s="1004"/>
      <c r="CL71" s="1004"/>
      <c r="CM71" s="1004"/>
      <c r="CN71" s="1004"/>
      <c r="CO71" s="1008"/>
      <c r="CP71" s="1004"/>
      <c r="CQ71" s="1004"/>
      <c r="CR71" s="1004"/>
      <c r="CS71" s="1004"/>
      <c r="CT71" s="1004"/>
      <c r="CU71" s="1008"/>
      <c r="CV71" s="1011"/>
      <c r="CW71" s="1011"/>
      <c r="CX71" s="1004"/>
      <c r="CY71" s="1004"/>
      <c r="CZ71" s="1004"/>
      <c r="DA71" s="1004"/>
      <c r="DB71" s="1013"/>
      <c r="DC71" s="1004"/>
      <c r="DD71" s="1236">
        <v>459034.02</v>
      </c>
      <c r="DE71" s="1036"/>
      <c r="DF71" s="1008"/>
      <c r="DG71" s="1008"/>
      <c r="DH71" s="1014"/>
      <c r="DI71" s="1008"/>
      <c r="DJ71" s="1008"/>
      <c r="DK71" s="1004"/>
      <c r="DL71" s="1004"/>
      <c r="DM71" s="1004"/>
      <c r="DN71" s="1008"/>
      <c r="DO71" s="1008"/>
      <c r="DP71" s="1176"/>
      <c r="DQ71" s="1199">
        <f t="shared" si="185"/>
        <v>10748.61125</v>
      </c>
      <c r="DR71" s="1199">
        <f t="shared" si="186"/>
        <v>0</v>
      </c>
      <c r="DS71" s="1199">
        <f t="shared" si="187"/>
        <v>0</v>
      </c>
      <c r="DT71" s="1199">
        <f t="shared" si="188"/>
        <v>0</v>
      </c>
      <c r="DU71" s="1199">
        <f t="shared" si="189"/>
        <v>0</v>
      </c>
      <c r="DV71" s="1199">
        <f t="shared" si="190"/>
        <v>0</v>
      </c>
      <c r="DW71" s="1199">
        <f t="shared" si="191"/>
        <v>0</v>
      </c>
      <c r="DX71" s="1199">
        <f t="shared" si="192"/>
        <v>0</v>
      </c>
      <c r="DY71" s="1199">
        <f t="shared" si="193"/>
        <v>0</v>
      </c>
      <c r="DZ71" s="1199">
        <f t="shared" si="194"/>
        <v>0</v>
      </c>
      <c r="EA71" s="1199">
        <f t="shared" si="195"/>
        <v>0</v>
      </c>
      <c r="EB71" s="1199">
        <f t="shared" si="196"/>
        <v>0</v>
      </c>
      <c r="EC71" s="1199">
        <f t="shared" si="197"/>
        <v>0</v>
      </c>
      <c r="ED71" s="1199">
        <f t="shared" si="198"/>
        <v>0</v>
      </c>
      <c r="EE71" s="1199">
        <f t="shared" si="199"/>
        <v>0</v>
      </c>
      <c r="EF71" s="1199">
        <f t="shared" si="200"/>
        <v>0</v>
      </c>
      <c r="EG71" s="1199">
        <f t="shared" si="201"/>
        <v>0</v>
      </c>
      <c r="EH71" s="1199">
        <f t="shared" si="202"/>
        <v>0</v>
      </c>
      <c r="EI71" s="1199">
        <f t="shared" si="203"/>
        <v>0</v>
      </c>
      <c r="EJ71" s="1199">
        <f t="shared" si="204"/>
        <v>0</v>
      </c>
      <c r="EK71" s="1199">
        <f t="shared" si="205"/>
        <v>0</v>
      </c>
      <c r="EL71" s="1199">
        <f t="shared" si="206"/>
        <v>0</v>
      </c>
      <c r="EM71" s="1199">
        <f t="shared" si="207"/>
        <v>0</v>
      </c>
      <c r="EN71" s="1199">
        <f t="shared" si="208"/>
        <v>13243.497785217669</v>
      </c>
      <c r="EO71" s="1199">
        <f t="shared" si="209"/>
        <v>0</v>
      </c>
      <c r="EP71" s="1199">
        <f t="shared" si="210"/>
        <v>0</v>
      </c>
      <c r="EQ71" s="1199">
        <f t="shared" si="211"/>
        <v>0</v>
      </c>
      <c r="ER71" s="1199">
        <f t="shared" si="212"/>
        <v>0</v>
      </c>
      <c r="ES71" s="1199">
        <f t="shared" si="213"/>
        <v>0</v>
      </c>
      <c r="ET71" s="1199">
        <f t="shared" si="214"/>
        <v>0</v>
      </c>
      <c r="EU71" s="1199">
        <f t="shared" si="215"/>
        <v>0</v>
      </c>
      <c r="EV71" s="1199">
        <f t="shared" si="216"/>
        <v>0</v>
      </c>
      <c r="EW71" s="1199">
        <f t="shared" si="217"/>
        <v>0</v>
      </c>
      <c r="EX71" s="1199">
        <f t="shared" si="218"/>
        <v>0</v>
      </c>
      <c r="EY71" s="1199">
        <f t="shared" si="219"/>
        <v>0</v>
      </c>
      <c r="EZ71" s="1175">
        <f t="shared" si="220"/>
        <v>23992.109035217669</v>
      </c>
      <c r="FA71" s="1177"/>
      <c r="FB71" s="1202">
        <f t="shared" si="221"/>
        <v>10699.975</v>
      </c>
      <c r="FC71" s="1202">
        <f t="shared" si="222"/>
        <v>0</v>
      </c>
      <c r="FD71" s="1202">
        <f t="shared" si="223"/>
        <v>0</v>
      </c>
      <c r="FE71" s="1202">
        <f t="shared" si="224"/>
        <v>0</v>
      </c>
      <c r="FF71" s="1202">
        <f t="shared" si="225"/>
        <v>0</v>
      </c>
      <c r="FG71" s="1202">
        <f t="shared" si="226"/>
        <v>0</v>
      </c>
      <c r="FH71" s="1202">
        <f t="shared" si="227"/>
        <v>0</v>
      </c>
      <c r="FI71" s="1202">
        <f t="shared" si="228"/>
        <v>0</v>
      </c>
      <c r="FJ71" s="1202">
        <f t="shared" si="229"/>
        <v>0</v>
      </c>
      <c r="FK71" s="1202">
        <f t="shared" si="230"/>
        <v>0</v>
      </c>
      <c r="FL71" s="1202">
        <f t="shared" si="231"/>
        <v>0</v>
      </c>
      <c r="FM71" s="1202">
        <f t="shared" si="232"/>
        <v>0</v>
      </c>
      <c r="FN71" s="1202">
        <f t="shared" si="233"/>
        <v>0</v>
      </c>
      <c r="FO71" s="1202">
        <f t="shared" si="234"/>
        <v>0</v>
      </c>
      <c r="FP71" s="1202">
        <f t="shared" si="235"/>
        <v>0</v>
      </c>
      <c r="FQ71" s="1202">
        <f t="shared" si="236"/>
        <v>0</v>
      </c>
      <c r="FR71" s="1202">
        <f t="shared" si="237"/>
        <v>0</v>
      </c>
      <c r="FS71" s="1202">
        <f t="shared" si="238"/>
        <v>0</v>
      </c>
      <c r="FT71" s="1202">
        <f t="shared" si="239"/>
        <v>0</v>
      </c>
      <c r="FU71" s="1202">
        <f t="shared" si="240"/>
        <v>0</v>
      </c>
      <c r="FV71" s="1202">
        <f t="shared" si="241"/>
        <v>0</v>
      </c>
      <c r="FW71" s="1202">
        <f t="shared" si="242"/>
        <v>0</v>
      </c>
      <c r="FX71" s="1202">
        <f t="shared" si="243"/>
        <v>0</v>
      </c>
      <c r="FY71" s="1202">
        <f t="shared" si="244"/>
        <v>13104.800926823626</v>
      </c>
      <c r="FZ71" s="1202">
        <f t="shared" si="245"/>
        <v>0</v>
      </c>
      <c r="GA71" s="1202">
        <f t="shared" si="246"/>
        <v>0</v>
      </c>
      <c r="GB71" s="1202">
        <f t="shared" si="247"/>
        <v>0</v>
      </c>
      <c r="GC71" s="1202">
        <f t="shared" si="248"/>
        <v>0</v>
      </c>
      <c r="GD71" s="1202">
        <f t="shared" si="249"/>
        <v>0</v>
      </c>
      <c r="GE71" s="1202">
        <f t="shared" si="250"/>
        <v>0</v>
      </c>
      <c r="GF71" s="1202">
        <f t="shared" si="251"/>
        <v>0</v>
      </c>
      <c r="GG71" s="1202">
        <f t="shared" si="252"/>
        <v>0</v>
      </c>
      <c r="GH71" s="1202">
        <f t="shared" si="253"/>
        <v>0</v>
      </c>
      <c r="GI71" s="1202">
        <f t="shared" si="254"/>
        <v>0</v>
      </c>
      <c r="GJ71" s="1202">
        <f t="shared" si="255"/>
        <v>0</v>
      </c>
      <c r="GK71" s="1174">
        <f t="shared" si="256"/>
        <v>23804.775926823626</v>
      </c>
    </row>
    <row r="72" spans="1:193" ht="6" customHeight="1">
      <c r="A72" s="1184" t="s">
        <v>742</v>
      </c>
      <c r="B72" s="1184" t="s">
        <v>742</v>
      </c>
      <c r="C72" s="1184"/>
      <c r="D72" s="1184"/>
      <c r="E72" s="1184"/>
      <c r="F72" s="1184"/>
      <c r="G72" s="1184"/>
      <c r="H72" s="1184"/>
      <c r="I72" s="1184"/>
      <c r="J72" s="1234"/>
      <c r="K72" s="1234"/>
      <c r="L72" s="1185"/>
      <c r="M72" s="1185"/>
      <c r="N72" s="1185"/>
      <c r="O72" s="1185"/>
      <c r="P72" s="1185"/>
      <c r="Q72" s="1185"/>
      <c r="R72" s="1185"/>
      <c r="S72" s="1185"/>
      <c r="T72" s="1185"/>
      <c r="U72" s="1185"/>
      <c r="V72" s="1185"/>
      <c r="W72" s="1185"/>
      <c r="X72" s="1185"/>
      <c r="Y72" s="1185"/>
      <c r="Z72" s="1185"/>
      <c r="AA72" s="1185"/>
      <c r="AB72" s="1185"/>
      <c r="AC72" s="1185"/>
      <c r="AD72" s="1185"/>
      <c r="AE72" s="1185"/>
      <c r="AF72" s="1185"/>
      <c r="AG72" s="1185"/>
      <c r="AH72" s="1185"/>
      <c r="AI72" s="1186"/>
      <c r="AJ72" s="1186"/>
      <c r="AK72" s="1186"/>
      <c r="AL72" s="1186"/>
      <c r="AM72" s="1186"/>
      <c r="AN72" s="1186"/>
      <c r="AO72" s="1186"/>
      <c r="AP72" s="1185"/>
      <c r="AQ72" s="1185"/>
      <c r="AR72" s="1185"/>
      <c r="AS72" s="1186"/>
      <c r="AT72" s="1186"/>
      <c r="AU72" s="1184"/>
      <c r="AV72" s="1184"/>
      <c r="AW72" s="1185"/>
      <c r="AX72" s="1185"/>
      <c r="AY72" s="1185"/>
      <c r="AZ72" s="1185"/>
      <c r="BA72" s="1185"/>
      <c r="BB72" s="1185"/>
      <c r="BC72" s="1185"/>
      <c r="BD72" s="1185"/>
      <c r="BE72" s="1185"/>
      <c r="BF72" s="1185"/>
      <c r="BG72" s="1185"/>
      <c r="BH72" s="1185"/>
      <c r="BI72" s="1185"/>
      <c r="BJ72" s="1185"/>
      <c r="BK72" s="1185"/>
      <c r="BL72" s="1185"/>
      <c r="BM72" s="1185"/>
      <c r="BN72" s="1185"/>
      <c r="BO72" s="1185"/>
      <c r="BP72" s="1185"/>
      <c r="BQ72" s="1185"/>
      <c r="BR72" s="1186"/>
      <c r="BS72" s="1186"/>
      <c r="BT72" s="1301"/>
      <c r="BU72" s="1186"/>
      <c r="BV72" s="1186"/>
      <c r="BW72" s="1186"/>
      <c r="BX72" s="1186"/>
      <c r="BY72" s="1186"/>
      <c r="BZ72" s="1186"/>
      <c r="CA72" s="1185"/>
      <c r="CB72" s="1185"/>
      <c r="CC72" s="1185"/>
      <c r="CD72" s="1186"/>
      <c r="CE72" s="1186"/>
      <c r="CF72" s="1184"/>
      <c r="CG72" s="1189"/>
      <c r="CH72" s="1187"/>
      <c r="CI72" s="1187"/>
      <c r="CJ72" s="1187"/>
      <c r="CK72" s="1187"/>
      <c r="CL72" s="1187"/>
      <c r="CM72" s="1187"/>
      <c r="CN72" s="1188"/>
      <c r="CO72" s="1189"/>
      <c r="CP72" s="1187"/>
      <c r="CQ72" s="1187"/>
      <c r="CR72" s="1188"/>
      <c r="CS72" s="1187"/>
      <c r="CT72" s="1187"/>
      <c r="CU72" s="1189"/>
      <c r="CV72" s="1187"/>
      <c r="CW72" s="1187"/>
      <c r="CX72" s="1187"/>
      <c r="CY72" s="1187"/>
      <c r="CZ72" s="1187"/>
      <c r="DA72" s="1187"/>
      <c r="DB72" s="1187"/>
      <c r="DC72" s="1187"/>
      <c r="DD72" s="1189"/>
      <c r="DE72" s="1189"/>
      <c r="DF72" s="1189"/>
      <c r="DG72" s="1189"/>
      <c r="DH72" s="1190"/>
      <c r="DI72" s="1189"/>
      <c r="DJ72" s="1189"/>
      <c r="DK72" s="1187"/>
      <c r="DL72" s="1187"/>
      <c r="DM72" s="1187"/>
      <c r="DN72" s="1189"/>
      <c r="DO72" s="1189"/>
      <c r="DP72" s="1184"/>
      <c r="DQ72" s="1191"/>
      <c r="DR72" s="1191"/>
      <c r="DS72" s="1191"/>
      <c r="DT72" s="1191"/>
      <c r="DU72" s="1191"/>
      <c r="DV72" s="1191"/>
      <c r="DW72" s="1191"/>
      <c r="DX72" s="1191"/>
      <c r="DY72" s="1191"/>
      <c r="DZ72" s="1191"/>
      <c r="EA72" s="1191"/>
      <c r="EB72" s="1192"/>
      <c r="EC72" s="1191"/>
      <c r="ED72" s="1191"/>
      <c r="EE72" s="1191"/>
      <c r="EF72" s="1191"/>
      <c r="EG72" s="1191"/>
      <c r="EH72" s="1191"/>
      <c r="EI72" s="1191"/>
      <c r="EJ72" s="1191"/>
      <c r="EK72" s="1191"/>
      <c r="EL72" s="1191"/>
      <c r="EM72" s="1191"/>
      <c r="EN72" s="1191"/>
      <c r="EO72" s="1191"/>
      <c r="EP72" s="1191"/>
      <c r="EQ72" s="1191"/>
      <c r="ER72" s="1191"/>
      <c r="ES72" s="1191"/>
      <c r="ET72" s="1191"/>
      <c r="EU72" s="1191"/>
      <c r="EV72" s="1191"/>
      <c r="EW72" s="1191"/>
      <c r="EX72" s="1191"/>
      <c r="EY72" s="1191"/>
      <c r="EZ72" s="1193"/>
      <c r="FA72" s="1184"/>
      <c r="FB72" s="1191"/>
      <c r="FC72" s="1191"/>
      <c r="FD72" s="1191"/>
      <c r="FE72" s="1191"/>
      <c r="FF72" s="1191"/>
      <c r="FG72" s="1191"/>
      <c r="FH72" s="1192"/>
      <c r="FI72" s="1192"/>
      <c r="FJ72" s="1192"/>
      <c r="FK72" s="1192"/>
      <c r="FL72" s="1192"/>
      <c r="FM72" s="1191"/>
      <c r="FN72" s="1191"/>
      <c r="FO72" s="1191"/>
      <c r="FP72" s="1191"/>
      <c r="FQ72" s="1191"/>
      <c r="FR72" s="1191"/>
      <c r="FS72" s="1191"/>
      <c r="FT72" s="1191"/>
      <c r="FU72" s="1191"/>
      <c r="FV72" s="1191"/>
      <c r="FW72" s="1191"/>
      <c r="FX72" s="1191"/>
      <c r="FY72" s="1194"/>
      <c r="FZ72" s="1191"/>
      <c r="GA72" s="1191"/>
      <c r="GB72" s="1191"/>
      <c r="GC72" s="1191"/>
      <c r="GD72" s="1191"/>
      <c r="GE72" s="1191"/>
      <c r="GF72" s="1191"/>
      <c r="GG72" s="1191"/>
      <c r="GH72" s="1191"/>
      <c r="GI72" s="1191"/>
      <c r="GJ72" s="1191"/>
      <c r="GK72" s="1193"/>
    </row>
    <row r="73" spans="1:193" s="1015" customFormat="1">
      <c r="A73" s="1003"/>
      <c r="B73" s="1149"/>
      <c r="C73" s="1149" t="s">
        <v>1615</v>
      </c>
      <c r="D73" s="1204" t="s">
        <v>742</v>
      </c>
      <c r="E73" s="1204" t="s">
        <v>765</v>
      </c>
      <c r="F73" s="1204" t="s">
        <v>770</v>
      </c>
      <c r="G73" s="1204" t="s">
        <v>789</v>
      </c>
      <c r="H73" s="1204" t="s">
        <v>1619</v>
      </c>
      <c r="I73" s="1149" t="s">
        <v>744</v>
      </c>
      <c r="J73" s="1176"/>
      <c r="K73" s="1176"/>
      <c r="L73" s="1233">
        <v>0.31737117082284905</v>
      </c>
      <c r="M73" s="1037"/>
      <c r="N73" s="1037"/>
      <c r="O73" s="1037"/>
      <c r="P73" s="1037"/>
      <c r="Q73" s="1037"/>
      <c r="R73" s="1004"/>
      <c r="S73" s="1004"/>
      <c r="T73" s="1004"/>
      <c r="U73" s="1004"/>
      <c r="V73" s="1004"/>
      <c r="W73" s="1004"/>
      <c r="X73" s="1004"/>
      <c r="Y73" s="1004"/>
      <c r="Z73" s="1004"/>
      <c r="AA73" s="1004"/>
      <c r="AB73" s="1004"/>
      <c r="AC73" s="1013"/>
      <c r="AD73" s="1004"/>
      <c r="AE73" s="1013"/>
      <c r="AF73" s="1004"/>
      <c r="AG73" s="1013"/>
      <c r="AH73" s="1004"/>
      <c r="AI73" s="1035"/>
      <c r="AJ73" s="1035"/>
      <c r="AK73" s="1005"/>
      <c r="AL73" s="1016"/>
      <c r="AM73" s="1005"/>
      <c r="AN73" s="1005"/>
      <c r="AO73" s="1005"/>
      <c r="AP73" s="1224">
        <v>3.68166658816362E-2</v>
      </c>
      <c r="AQ73" s="1224">
        <v>0.34194600000000003</v>
      </c>
      <c r="AR73" s="1224">
        <v>0.26908200000000004</v>
      </c>
      <c r="AS73" s="1005"/>
      <c r="AT73" s="1005"/>
      <c r="AU73" s="1176"/>
      <c r="AV73" s="1176"/>
      <c r="AW73" s="1004"/>
      <c r="AX73" s="1011"/>
      <c r="AY73" s="1011"/>
      <c r="AZ73" s="1011"/>
      <c r="BA73" s="1011"/>
      <c r="BB73" s="1011"/>
      <c r="BC73" s="1004"/>
      <c r="BD73" s="1004"/>
      <c r="BE73" s="1004"/>
      <c r="BF73" s="1004"/>
      <c r="BG73" s="1004"/>
      <c r="BH73" s="1004"/>
      <c r="BI73" s="1004"/>
      <c r="BJ73" s="1004"/>
      <c r="BK73" s="1004"/>
      <c r="BL73" s="1004"/>
      <c r="BM73" s="1004"/>
      <c r="BN73" s="1004"/>
      <c r="BO73" s="1004"/>
      <c r="BP73" s="1004"/>
      <c r="BQ73" s="1004"/>
      <c r="BR73" s="1035"/>
      <c r="BS73" s="1005"/>
      <c r="BT73" s="1038"/>
      <c r="BU73" s="1005"/>
      <c r="BV73" s="1005"/>
      <c r="BW73" s="1016"/>
      <c r="BX73" s="1005"/>
      <c r="BY73" s="1005"/>
      <c r="BZ73" s="1035"/>
      <c r="CA73" s="1004"/>
      <c r="CB73" s="1004"/>
      <c r="CC73" s="1004"/>
      <c r="CD73" s="1035"/>
      <c r="CE73" s="1035"/>
      <c r="CF73" s="1176"/>
      <c r="CG73" s="1236">
        <v>0</v>
      </c>
      <c r="CH73" s="1011"/>
      <c r="CI73" s="1011"/>
      <c r="CJ73" s="1011"/>
      <c r="CK73" s="1011"/>
      <c r="CL73" s="1004"/>
      <c r="CM73" s="1004"/>
      <c r="CN73" s="1004"/>
      <c r="CO73" s="1008"/>
      <c r="CP73" s="1236">
        <v>0</v>
      </c>
      <c r="CQ73" s="1236">
        <v>0</v>
      </c>
      <c r="CR73" s="1004"/>
      <c r="CS73" s="1004"/>
      <c r="CT73" s="1004"/>
      <c r="CU73" s="1008"/>
      <c r="CV73" s="1004"/>
      <c r="CW73" s="1004"/>
      <c r="CX73" s="1013"/>
      <c r="CY73" s="1013"/>
      <c r="CZ73" s="1013"/>
      <c r="DA73" s="1004"/>
      <c r="DB73" s="1013"/>
      <c r="DC73" s="1004"/>
      <c r="DD73" s="1036"/>
      <c r="DE73" s="1036"/>
      <c r="DF73" s="1008"/>
      <c r="DG73" s="1010"/>
      <c r="DH73" s="1014"/>
      <c r="DI73" s="1008"/>
      <c r="DJ73" s="1008"/>
      <c r="DK73" s="1236">
        <v>0</v>
      </c>
      <c r="DL73" s="1236">
        <v>0</v>
      </c>
      <c r="DM73" s="1236">
        <v>0</v>
      </c>
      <c r="DN73" s="1008"/>
      <c r="DO73" s="1008"/>
      <c r="DP73" s="1176"/>
      <c r="DQ73" s="1199">
        <f>IFERROR(L73*CG73*DQ$107,0)</f>
        <v>0</v>
      </c>
      <c r="DR73" s="1199">
        <f t="shared" ref="DR73:DY75" si="257">M73*CH73*DR$107</f>
        <v>0</v>
      </c>
      <c r="DS73" s="1199">
        <f t="shared" si="257"/>
        <v>0</v>
      </c>
      <c r="DT73" s="1199">
        <f t="shared" si="257"/>
        <v>0</v>
      </c>
      <c r="DU73" s="1199">
        <f t="shared" si="257"/>
        <v>0</v>
      </c>
      <c r="DV73" s="1199">
        <f t="shared" si="257"/>
        <v>0</v>
      </c>
      <c r="DW73" s="1199">
        <f t="shared" si="257"/>
        <v>0</v>
      </c>
      <c r="DX73" s="1199">
        <f t="shared" si="257"/>
        <v>0</v>
      </c>
      <c r="DY73" s="1199">
        <f t="shared" si="257"/>
        <v>0</v>
      </c>
      <c r="DZ73" s="1199">
        <f t="shared" ref="DZ73:EA75" si="258">IFERROR(U73*CP73*DZ$107,0)</f>
        <v>0</v>
      </c>
      <c r="EA73" s="1199">
        <f t="shared" si="258"/>
        <v>0</v>
      </c>
      <c r="EB73" s="1199">
        <f t="shared" ref="EB73:EK75" si="259">W73*CR73*EB$107</f>
        <v>0</v>
      </c>
      <c r="EC73" s="1199">
        <f t="shared" si="259"/>
        <v>0</v>
      </c>
      <c r="ED73" s="1199">
        <f t="shared" si="259"/>
        <v>0</v>
      </c>
      <c r="EE73" s="1199">
        <f t="shared" si="259"/>
        <v>0</v>
      </c>
      <c r="EF73" s="1199">
        <f t="shared" si="259"/>
        <v>0</v>
      </c>
      <c r="EG73" s="1199">
        <f t="shared" si="259"/>
        <v>0</v>
      </c>
      <c r="EH73" s="1199">
        <f t="shared" si="259"/>
        <v>0</v>
      </c>
      <c r="EI73" s="1199">
        <f t="shared" si="259"/>
        <v>0</v>
      </c>
      <c r="EJ73" s="1199">
        <f t="shared" si="259"/>
        <v>0</v>
      </c>
      <c r="EK73" s="1199">
        <f t="shared" si="259"/>
        <v>0</v>
      </c>
      <c r="EL73" s="1199">
        <f t="shared" ref="EL73:ET75" si="260">AG73*DB73*EL$107</f>
        <v>0</v>
      </c>
      <c r="EM73" s="1199">
        <f t="shared" si="260"/>
        <v>0</v>
      </c>
      <c r="EN73" s="1199">
        <f t="shared" si="260"/>
        <v>0</v>
      </c>
      <c r="EO73" s="1199">
        <f t="shared" si="260"/>
        <v>0</v>
      </c>
      <c r="EP73" s="1199">
        <f t="shared" si="260"/>
        <v>0</v>
      </c>
      <c r="EQ73" s="1199">
        <f t="shared" si="260"/>
        <v>0</v>
      </c>
      <c r="ER73" s="1199">
        <f t="shared" si="260"/>
        <v>0</v>
      </c>
      <c r="ES73" s="1199">
        <f t="shared" si="260"/>
        <v>0</v>
      </c>
      <c r="ET73" s="1199">
        <f t="shared" si="260"/>
        <v>0</v>
      </c>
      <c r="EU73" s="1199">
        <f t="shared" ref="EU73:EW75" si="261">IFERROR(AP73*DK73*EU$107,0)</f>
        <v>0</v>
      </c>
      <c r="EV73" s="1199">
        <f t="shared" si="261"/>
        <v>0</v>
      </c>
      <c r="EW73" s="1199">
        <f t="shared" si="261"/>
        <v>0</v>
      </c>
      <c r="EX73" s="1199">
        <f t="shared" ref="EX73:EY75" si="262">AS73*DN73*EX$107</f>
        <v>0</v>
      </c>
      <c r="EY73" s="1199">
        <f t="shared" si="262"/>
        <v>0</v>
      </c>
      <c r="EZ73" s="1175">
        <f t="shared" ref="EZ73:EZ74" si="263">SUM(DQ73:EY73)</f>
        <v>0</v>
      </c>
      <c r="FA73" s="1177"/>
      <c r="FB73" s="1202">
        <f>IFERROR(AW73*CG73*FB$107,0)</f>
        <v>0</v>
      </c>
      <c r="FC73" s="1202">
        <f t="shared" ref="FC73:FJ75" si="264">AX73*CH73*FC$107</f>
        <v>0</v>
      </c>
      <c r="FD73" s="1202">
        <f t="shared" si="264"/>
        <v>0</v>
      </c>
      <c r="FE73" s="1202">
        <f t="shared" si="264"/>
        <v>0</v>
      </c>
      <c r="FF73" s="1202">
        <f t="shared" si="264"/>
        <v>0</v>
      </c>
      <c r="FG73" s="1202">
        <f t="shared" si="264"/>
        <v>0</v>
      </c>
      <c r="FH73" s="1202">
        <f t="shared" si="264"/>
        <v>0</v>
      </c>
      <c r="FI73" s="1202">
        <f t="shared" si="264"/>
        <v>0</v>
      </c>
      <c r="FJ73" s="1202">
        <f t="shared" si="264"/>
        <v>0</v>
      </c>
      <c r="FK73" s="1202">
        <f t="shared" ref="FK73:FL75" si="265">IFERROR(BF73*CP73*FK$107,0)</f>
        <v>0</v>
      </c>
      <c r="FL73" s="1202">
        <f t="shared" si="265"/>
        <v>0</v>
      </c>
      <c r="FM73" s="1202">
        <f t="shared" ref="FM73:FV75" si="266">BH73*CR73*FM$107</f>
        <v>0</v>
      </c>
      <c r="FN73" s="1202">
        <f t="shared" si="266"/>
        <v>0</v>
      </c>
      <c r="FO73" s="1202">
        <f t="shared" si="266"/>
        <v>0</v>
      </c>
      <c r="FP73" s="1202">
        <f t="shared" si="266"/>
        <v>0</v>
      </c>
      <c r="FQ73" s="1202">
        <f t="shared" si="266"/>
        <v>0</v>
      </c>
      <c r="FR73" s="1202">
        <f t="shared" si="266"/>
        <v>0</v>
      </c>
      <c r="FS73" s="1202">
        <f t="shared" si="266"/>
        <v>0</v>
      </c>
      <c r="FT73" s="1202">
        <f t="shared" si="266"/>
        <v>0</v>
      </c>
      <c r="FU73" s="1202">
        <f t="shared" si="266"/>
        <v>0</v>
      </c>
      <c r="FV73" s="1202">
        <f t="shared" si="266"/>
        <v>0</v>
      </c>
      <c r="FW73" s="1202">
        <f t="shared" ref="FW73:GE75" si="267">BR73*DB73*FW$107</f>
        <v>0</v>
      </c>
      <c r="FX73" s="1202">
        <f t="shared" si="267"/>
        <v>0</v>
      </c>
      <c r="FY73" s="1202">
        <f t="shared" si="267"/>
        <v>0</v>
      </c>
      <c r="FZ73" s="1202">
        <f t="shared" si="267"/>
        <v>0</v>
      </c>
      <c r="GA73" s="1202">
        <f t="shared" si="267"/>
        <v>0</v>
      </c>
      <c r="GB73" s="1202">
        <f t="shared" si="267"/>
        <v>0</v>
      </c>
      <c r="GC73" s="1202">
        <f t="shared" si="267"/>
        <v>0</v>
      </c>
      <c r="GD73" s="1202">
        <f t="shared" si="267"/>
        <v>0</v>
      </c>
      <c r="GE73" s="1202">
        <f t="shared" si="267"/>
        <v>0</v>
      </c>
      <c r="GF73" s="1202">
        <f t="shared" ref="GF73:GH75" si="268">IFERROR(CA73*DK73*GF$107,0)</f>
        <v>0</v>
      </c>
      <c r="GG73" s="1202">
        <f t="shared" si="268"/>
        <v>0</v>
      </c>
      <c r="GH73" s="1202">
        <f t="shared" si="268"/>
        <v>0</v>
      </c>
      <c r="GI73" s="1202">
        <f t="shared" ref="GI73:GJ75" si="269">CD73*DN73*GI$107</f>
        <v>0</v>
      </c>
      <c r="GJ73" s="1202">
        <f t="shared" si="269"/>
        <v>0</v>
      </c>
      <c r="GK73" s="1174">
        <f t="shared" ref="GK73:GK74" si="270">SUM(FB73:GJ73)</f>
        <v>0</v>
      </c>
    </row>
    <row r="74" spans="1:193" s="1015" customFormat="1">
      <c r="A74" s="1003"/>
      <c r="B74" s="1149"/>
      <c r="C74" s="1149" t="s">
        <v>1616</v>
      </c>
      <c r="D74" s="1204" t="s">
        <v>742</v>
      </c>
      <c r="E74" s="1204" t="s">
        <v>765</v>
      </c>
      <c r="F74" s="1204" t="s">
        <v>770</v>
      </c>
      <c r="G74" s="1204" t="s">
        <v>789</v>
      </c>
      <c r="H74" s="1204" t="s">
        <v>1618</v>
      </c>
      <c r="I74" s="1149" t="s">
        <v>744</v>
      </c>
      <c r="J74" s="1176"/>
      <c r="K74" s="1176"/>
      <c r="L74" s="1233">
        <v>0.31457345076323984</v>
      </c>
      <c r="M74" s="1037"/>
      <c r="N74" s="1037"/>
      <c r="O74" s="1037"/>
      <c r="P74" s="1037"/>
      <c r="Q74" s="1037"/>
      <c r="R74" s="1004"/>
      <c r="S74" s="1004"/>
      <c r="T74" s="1004"/>
      <c r="U74" s="1004"/>
      <c r="V74" s="1004"/>
      <c r="W74" s="1004"/>
      <c r="X74" s="1004"/>
      <c r="Y74" s="1004"/>
      <c r="Z74" s="1004"/>
      <c r="AA74" s="1004"/>
      <c r="AB74" s="1004"/>
      <c r="AC74" s="1013"/>
      <c r="AD74" s="1004"/>
      <c r="AE74" s="1013"/>
      <c r="AF74" s="1004"/>
      <c r="AG74" s="1013"/>
      <c r="AH74" s="1004"/>
      <c r="AI74" s="1035"/>
      <c r="AJ74" s="1035"/>
      <c r="AK74" s="1005"/>
      <c r="AL74" s="1016"/>
      <c r="AM74" s="1005"/>
      <c r="AN74" s="1005"/>
      <c r="AO74" s="1005"/>
      <c r="AP74" s="1224">
        <v>7.6659000000000005E-2</v>
      </c>
      <c r="AQ74" s="1224">
        <v>0.24528081138639651</v>
      </c>
      <c r="AR74" s="1004"/>
      <c r="AS74" s="1005"/>
      <c r="AT74" s="1005"/>
      <c r="AU74" s="1176"/>
      <c r="AV74" s="1176"/>
      <c r="AW74" s="1004"/>
      <c r="AX74" s="1011"/>
      <c r="AY74" s="1011"/>
      <c r="AZ74" s="1011"/>
      <c r="BA74" s="1011"/>
      <c r="BB74" s="1011"/>
      <c r="BC74" s="1004"/>
      <c r="BD74" s="1004"/>
      <c r="BE74" s="1004"/>
      <c r="BF74" s="1004"/>
      <c r="BG74" s="1004"/>
      <c r="BH74" s="1004"/>
      <c r="BI74" s="1004"/>
      <c r="BJ74" s="1004"/>
      <c r="BK74" s="1004"/>
      <c r="BL74" s="1004"/>
      <c r="BM74" s="1004"/>
      <c r="BN74" s="1004"/>
      <c r="BO74" s="1004"/>
      <c r="BP74" s="1004"/>
      <c r="BQ74" s="1004"/>
      <c r="BR74" s="1035"/>
      <c r="BS74" s="1005"/>
      <c r="BT74" s="1038"/>
      <c r="BU74" s="1005"/>
      <c r="BV74" s="1005"/>
      <c r="BW74" s="1016"/>
      <c r="BX74" s="1005"/>
      <c r="BY74" s="1005"/>
      <c r="BZ74" s="1035"/>
      <c r="CA74" s="1004"/>
      <c r="CB74" s="1004"/>
      <c r="CC74" s="1004"/>
      <c r="CD74" s="1035"/>
      <c r="CE74" s="1035"/>
      <c r="CF74" s="1176"/>
      <c r="CG74" s="1236">
        <v>0</v>
      </c>
      <c r="CH74" s="1011"/>
      <c r="CI74" s="1011"/>
      <c r="CJ74" s="1011"/>
      <c r="CK74" s="1011"/>
      <c r="CL74" s="1004"/>
      <c r="CM74" s="1004"/>
      <c r="CN74" s="1004"/>
      <c r="CO74" s="1008"/>
      <c r="CP74" s="1236">
        <v>0</v>
      </c>
      <c r="CQ74" s="1236">
        <v>0</v>
      </c>
      <c r="CR74" s="1004"/>
      <c r="CS74" s="1004"/>
      <c r="CT74" s="1004"/>
      <c r="CU74" s="1008"/>
      <c r="CV74" s="1004"/>
      <c r="CW74" s="1004"/>
      <c r="CX74" s="1013"/>
      <c r="CY74" s="1013"/>
      <c r="CZ74" s="1013"/>
      <c r="DA74" s="1004"/>
      <c r="DB74" s="1013"/>
      <c r="DC74" s="1004"/>
      <c r="DD74" s="1036"/>
      <c r="DE74" s="1036"/>
      <c r="DF74" s="1008"/>
      <c r="DG74" s="1010"/>
      <c r="DH74" s="1014"/>
      <c r="DI74" s="1008"/>
      <c r="DJ74" s="1008"/>
      <c r="DK74" s="1236">
        <v>0</v>
      </c>
      <c r="DL74" s="1236">
        <v>0</v>
      </c>
      <c r="DM74" s="1236">
        <v>0</v>
      </c>
      <c r="DN74" s="1008"/>
      <c r="DO74" s="1008"/>
      <c r="DP74" s="1176"/>
      <c r="DQ74" s="1199">
        <f>IFERROR(L74*CG74*DQ$107,0)</f>
        <v>0</v>
      </c>
      <c r="DR74" s="1199">
        <f t="shared" si="257"/>
        <v>0</v>
      </c>
      <c r="DS74" s="1199">
        <f t="shared" si="257"/>
        <v>0</v>
      </c>
      <c r="DT74" s="1199">
        <f t="shared" si="257"/>
        <v>0</v>
      </c>
      <c r="DU74" s="1199">
        <f t="shared" si="257"/>
        <v>0</v>
      </c>
      <c r="DV74" s="1199">
        <f t="shared" si="257"/>
        <v>0</v>
      </c>
      <c r="DW74" s="1199">
        <f t="shared" si="257"/>
        <v>0</v>
      </c>
      <c r="DX74" s="1199">
        <f t="shared" si="257"/>
        <v>0</v>
      </c>
      <c r="DY74" s="1199">
        <f t="shared" si="257"/>
        <v>0</v>
      </c>
      <c r="DZ74" s="1199">
        <f t="shared" si="258"/>
        <v>0</v>
      </c>
      <c r="EA74" s="1199">
        <f t="shared" si="258"/>
        <v>0</v>
      </c>
      <c r="EB74" s="1199">
        <f t="shared" si="259"/>
        <v>0</v>
      </c>
      <c r="EC74" s="1199">
        <f t="shared" si="259"/>
        <v>0</v>
      </c>
      <c r="ED74" s="1199">
        <f t="shared" si="259"/>
        <v>0</v>
      </c>
      <c r="EE74" s="1199">
        <f t="shared" si="259"/>
        <v>0</v>
      </c>
      <c r="EF74" s="1199">
        <f t="shared" si="259"/>
        <v>0</v>
      </c>
      <c r="EG74" s="1199">
        <f t="shared" si="259"/>
        <v>0</v>
      </c>
      <c r="EH74" s="1199">
        <f t="shared" si="259"/>
        <v>0</v>
      </c>
      <c r="EI74" s="1199">
        <f t="shared" si="259"/>
        <v>0</v>
      </c>
      <c r="EJ74" s="1199">
        <f t="shared" si="259"/>
        <v>0</v>
      </c>
      <c r="EK74" s="1199">
        <f t="shared" si="259"/>
        <v>0</v>
      </c>
      <c r="EL74" s="1199">
        <f t="shared" si="260"/>
        <v>0</v>
      </c>
      <c r="EM74" s="1199">
        <f t="shared" si="260"/>
        <v>0</v>
      </c>
      <c r="EN74" s="1199">
        <f t="shared" si="260"/>
        <v>0</v>
      </c>
      <c r="EO74" s="1199">
        <f t="shared" si="260"/>
        <v>0</v>
      </c>
      <c r="EP74" s="1199">
        <f t="shared" si="260"/>
        <v>0</v>
      </c>
      <c r="EQ74" s="1199">
        <f t="shared" si="260"/>
        <v>0</v>
      </c>
      <c r="ER74" s="1199">
        <f t="shared" si="260"/>
        <v>0</v>
      </c>
      <c r="ES74" s="1199">
        <f t="shared" si="260"/>
        <v>0</v>
      </c>
      <c r="ET74" s="1199">
        <f t="shared" si="260"/>
        <v>0</v>
      </c>
      <c r="EU74" s="1199">
        <f t="shared" si="261"/>
        <v>0</v>
      </c>
      <c r="EV74" s="1199">
        <f t="shared" si="261"/>
        <v>0</v>
      </c>
      <c r="EW74" s="1199">
        <f t="shared" si="261"/>
        <v>0</v>
      </c>
      <c r="EX74" s="1199">
        <f t="shared" si="262"/>
        <v>0</v>
      </c>
      <c r="EY74" s="1199">
        <f t="shared" si="262"/>
        <v>0</v>
      </c>
      <c r="EZ74" s="1175">
        <f t="shared" si="263"/>
        <v>0</v>
      </c>
      <c r="FA74" s="1177"/>
      <c r="FB74" s="1202">
        <f>IFERROR(AW74*CG74*FB$107,0)</f>
        <v>0</v>
      </c>
      <c r="FC74" s="1202">
        <f t="shared" si="264"/>
        <v>0</v>
      </c>
      <c r="FD74" s="1202">
        <f t="shared" si="264"/>
        <v>0</v>
      </c>
      <c r="FE74" s="1202">
        <f t="shared" si="264"/>
        <v>0</v>
      </c>
      <c r="FF74" s="1202">
        <f t="shared" si="264"/>
        <v>0</v>
      </c>
      <c r="FG74" s="1202">
        <f t="shared" si="264"/>
        <v>0</v>
      </c>
      <c r="FH74" s="1202">
        <f t="shared" si="264"/>
        <v>0</v>
      </c>
      <c r="FI74" s="1202">
        <f t="shared" si="264"/>
        <v>0</v>
      </c>
      <c r="FJ74" s="1202">
        <f t="shared" si="264"/>
        <v>0</v>
      </c>
      <c r="FK74" s="1202">
        <f t="shared" si="265"/>
        <v>0</v>
      </c>
      <c r="FL74" s="1202">
        <f t="shared" si="265"/>
        <v>0</v>
      </c>
      <c r="FM74" s="1202">
        <f t="shared" si="266"/>
        <v>0</v>
      </c>
      <c r="FN74" s="1202">
        <f t="shared" si="266"/>
        <v>0</v>
      </c>
      <c r="FO74" s="1202">
        <f t="shared" si="266"/>
        <v>0</v>
      </c>
      <c r="FP74" s="1202">
        <f t="shared" si="266"/>
        <v>0</v>
      </c>
      <c r="FQ74" s="1202">
        <f t="shared" si="266"/>
        <v>0</v>
      </c>
      <c r="FR74" s="1202">
        <f t="shared" si="266"/>
        <v>0</v>
      </c>
      <c r="FS74" s="1202">
        <f t="shared" si="266"/>
        <v>0</v>
      </c>
      <c r="FT74" s="1202">
        <f t="shared" si="266"/>
        <v>0</v>
      </c>
      <c r="FU74" s="1202">
        <f t="shared" si="266"/>
        <v>0</v>
      </c>
      <c r="FV74" s="1202">
        <f t="shared" si="266"/>
        <v>0</v>
      </c>
      <c r="FW74" s="1202">
        <f t="shared" si="267"/>
        <v>0</v>
      </c>
      <c r="FX74" s="1202">
        <f t="shared" si="267"/>
        <v>0</v>
      </c>
      <c r="FY74" s="1202">
        <f t="shared" si="267"/>
        <v>0</v>
      </c>
      <c r="FZ74" s="1202">
        <f t="shared" si="267"/>
        <v>0</v>
      </c>
      <c r="GA74" s="1202">
        <f t="shared" si="267"/>
        <v>0</v>
      </c>
      <c r="GB74" s="1202">
        <f t="shared" si="267"/>
        <v>0</v>
      </c>
      <c r="GC74" s="1202">
        <f t="shared" si="267"/>
        <v>0</v>
      </c>
      <c r="GD74" s="1202">
        <f t="shared" si="267"/>
        <v>0</v>
      </c>
      <c r="GE74" s="1202">
        <f t="shared" si="267"/>
        <v>0</v>
      </c>
      <c r="GF74" s="1202">
        <f t="shared" si="268"/>
        <v>0</v>
      </c>
      <c r="GG74" s="1202">
        <f t="shared" si="268"/>
        <v>0</v>
      </c>
      <c r="GH74" s="1202">
        <f t="shared" si="268"/>
        <v>0</v>
      </c>
      <c r="GI74" s="1202">
        <f t="shared" si="269"/>
        <v>0</v>
      </c>
      <c r="GJ74" s="1202">
        <f t="shared" si="269"/>
        <v>0</v>
      </c>
      <c r="GK74" s="1174">
        <f t="shared" si="270"/>
        <v>0</v>
      </c>
    </row>
    <row r="75" spans="1:193" s="1015" customFormat="1">
      <c r="A75" s="1003"/>
      <c r="B75" s="1149"/>
      <c r="C75" s="1149" t="s">
        <v>1614</v>
      </c>
      <c r="D75" s="1204" t="s">
        <v>742</v>
      </c>
      <c r="E75" s="1204" t="s">
        <v>765</v>
      </c>
      <c r="F75" s="1204" t="s">
        <v>770</v>
      </c>
      <c r="G75" s="1204" t="s">
        <v>789</v>
      </c>
      <c r="H75" s="1204" t="s">
        <v>1617</v>
      </c>
      <c r="I75" s="1149" t="s">
        <v>744</v>
      </c>
      <c r="J75" s="1176"/>
      <c r="K75" s="1176"/>
      <c r="L75" s="1233">
        <v>1.388614489326548</v>
      </c>
      <c r="M75" s="1037"/>
      <c r="N75" s="1037"/>
      <c r="O75" s="1037"/>
      <c r="P75" s="1037"/>
      <c r="Q75" s="1037"/>
      <c r="R75" s="1004"/>
      <c r="S75" s="1004"/>
      <c r="T75" s="1004"/>
      <c r="U75" s="1233">
        <v>3.1537000000000002</v>
      </c>
      <c r="V75" s="1233">
        <v>9.5216000000000012</v>
      </c>
      <c r="W75" s="1004"/>
      <c r="X75" s="1004"/>
      <c r="Y75" s="1004"/>
      <c r="Z75" s="1004"/>
      <c r="AA75" s="1004"/>
      <c r="AB75" s="1004"/>
      <c r="AC75" s="1013"/>
      <c r="AD75" s="1004"/>
      <c r="AE75" s="1013"/>
      <c r="AF75" s="1004"/>
      <c r="AG75" s="1013"/>
      <c r="AH75" s="1004"/>
      <c r="AI75" s="1224">
        <v>6.6275000000000001E-2</v>
      </c>
      <c r="AJ75" s="1035"/>
      <c r="AK75" s="1005"/>
      <c r="AL75" s="1016"/>
      <c r="AM75" s="1005"/>
      <c r="AN75" s="1005"/>
      <c r="AO75" s="1005"/>
      <c r="AP75" s="1004"/>
      <c r="AQ75" s="1004"/>
      <c r="AR75" s="1004"/>
      <c r="AS75" s="1005"/>
      <c r="AT75" s="1005"/>
      <c r="AU75" s="1176"/>
      <c r="AV75" s="1176"/>
      <c r="AW75" s="1004"/>
      <c r="AX75" s="1011"/>
      <c r="AY75" s="1011"/>
      <c r="AZ75" s="1011"/>
      <c r="BA75" s="1011"/>
      <c r="BB75" s="1011"/>
      <c r="BC75" s="1004"/>
      <c r="BD75" s="1004"/>
      <c r="BE75" s="1004"/>
      <c r="BF75" s="1004"/>
      <c r="BG75" s="1004"/>
      <c r="BH75" s="1004"/>
      <c r="BI75" s="1004"/>
      <c r="BJ75" s="1004"/>
      <c r="BK75" s="1004"/>
      <c r="BL75" s="1004"/>
      <c r="BM75" s="1004"/>
      <c r="BN75" s="1004"/>
      <c r="BO75" s="1004"/>
      <c r="BP75" s="1004"/>
      <c r="BQ75" s="1004"/>
      <c r="BR75" s="1035"/>
      <c r="BS75" s="1005"/>
      <c r="BT75" s="1038"/>
      <c r="BU75" s="1005"/>
      <c r="BV75" s="1005"/>
      <c r="BW75" s="1016"/>
      <c r="BX75" s="1005"/>
      <c r="BY75" s="1005"/>
      <c r="BZ75" s="1035"/>
      <c r="CA75" s="1004"/>
      <c r="CB75" s="1004"/>
      <c r="CC75" s="1004"/>
      <c r="CD75" s="1035"/>
      <c r="CE75" s="1035"/>
      <c r="CF75" s="1176"/>
      <c r="CG75" s="1236">
        <v>0</v>
      </c>
      <c r="CH75" s="1011"/>
      <c r="CI75" s="1011"/>
      <c r="CJ75" s="1011"/>
      <c r="CK75" s="1011"/>
      <c r="CL75" s="1004"/>
      <c r="CM75" s="1004"/>
      <c r="CN75" s="1004"/>
      <c r="CO75" s="1008"/>
      <c r="CP75" s="1236">
        <v>0</v>
      </c>
      <c r="CQ75" s="1236">
        <v>0</v>
      </c>
      <c r="CR75" s="1004"/>
      <c r="CS75" s="1004"/>
      <c r="CT75" s="1004"/>
      <c r="CU75" s="1008"/>
      <c r="CV75" s="1004"/>
      <c r="CW75" s="1004"/>
      <c r="CX75" s="1013"/>
      <c r="CY75" s="1013"/>
      <c r="CZ75" s="1013"/>
      <c r="DA75" s="1004"/>
      <c r="DB75" s="1013"/>
      <c r="DC75" s="1004"/>
      <c r="DD75" s="1036"/>
      <c r="DE75" s="1036"/>
      <c r="DF75" s="1008"/>
      <c r="DG75" s="1010"/>
      <c r="DH75" s="1014"/>
      <c r="DI75" s="1008"/>
      <c r="DJ75" s="1008"/>
      <c r="DK75" s="1236">
        <v>0</v>
      </c>
      <c r="DL75" s="1236">
        <v>0</v>
      </c>
      <c r="DM75" s="1236">
        <v>0</v>
      </c>
      <c r="DN75" s="1008"/>
      <c r="DO75" s="1008"/>
      <c r="DP75" s="1176"/>
      <c r="DQ75" s="1199">
        <f>IFERROR(L75*CG75*DQ$107,0)</f>
        <v>0</v>
      </c>
      <c r="DR75" s="1199">
        <f t="shared" si="257"/>
        <v>0</v>
      </c>
      <c r="DS75" s="1199">
        <f t="shared" si="257"/>
        <v>0</v>
      </c>
      <c r="DT75" s="1199">
        <f t="shared" si="257"/>
        <v>0</v>
      </c>
      <c r="DU75" s="1199">
        <f t="shared" si="257"/>
        <v>0</v>
      </c>
      <c r="DV75" s="1199">
        <f t="shared" si="257"/>
        <v>0</v>
      </c>
      <c r="DW75" s="1199">
        <f t="shared" si="257"/>
        <v>0</v>
      </c>
      <c r="DX75" s="1199">
        <f t="shared" si="257"/>
        <v>0</v>
      </c>
      <c r="DY75" s="1199">
        <f t="shared" si="257"/>
        <v>0</v>
      </c>
      <c r="DZ75" s="1199">
        <f t="shared" si="258"/>
        <v>0</v>
      </c>
      <c r="EA75" s="1199">
        <f t="shared" si="258"/>
        <v>0</v>
      </c>
      <c r="EB75" s="1199">
        <f t="shared" si="259"/>
        <v>0</v>
      </c>
      <c r="EC75" s="1199">
        <f t="shared" si="259"/>
        <v>0</v>
      </c>
      <c r="ED75" s="1199">
        <f t="shared" si="259"/>
        <v>0</v>
      </c>
      <c r="EE75" s="1199">
        <f t="shared" si="259"/>
        <v>0</v>
      </c>
      <c r="EF75" s="1199">
        <f t="shared" si="259"/>
        <v>0</v>
      </c>
      <c r="EG75" s="1199">
        <f t="shared" si="259"/>
        <v>0</v>
      </c>
      <c r="EH75" s="1199">
        <f t="shared" si="259"/>
        <v>0</v>
      </c>
      <c r="EI75" s="1199">
        <f t="shared" si="259"/>
        <v>0</v>
      </c>
      <c r="EJ75" s="1199">
        <f t="shared" si="259"/>
        <v>0</v>
      </c>
      <c r="EK75" s="1199">
        <f t="shared" si="259"/>
        <v>0</v>
      </c>
      <c r="EL75" s="1199">
        <f t="shared" si="260"/>
        <v>0</v>
      </c>
      <c r="EM75" s="1199">
        <f t="shared" si="260"/>
        <v>0</v>
      </c>
      <c r="EN75" s="1199">
        <f t="shared" si="260"/>
        <v>0</v>
      </c>
      <c r="EO75" s="1199">
        <f t="shared" si="260"/>
        <v>0</v>
      </c>
      <c r="EP75" s="1199">
        <f t="shared" si="260"/>
        <v>0</v>
      </c>
      <c r="EQ75" s="1199">
        <f t="shared" si="260"/>
        <v>0</v>
      </c>
      <c r="ER75" s="1199">
        <f t="shared" si="260"/>
        <v>0</v>
      </c>
      <c r="ES75" s="1199">
        <f t="shared" si="260"/>
        <v>0</v>
      </c>
      <c r="ET75" s="1199">
        <f t="shared" si="260"/>
        <v>0</v>
      </c>
      <c r="EU75" s="1199">
        <f t="shared" si="261"/>
        <v>0</v>
      </c>
      <c r="EV75" s="1199">
        <f t="shared" si="261"/>
        <v>0</v>
      </c>
      <c r="EW75" s="1199">
        <f t="shared" si="261"/>
        <v>0</v>
      </c>
      <c r="EX75" s="1199">
        <f t="shared" si="262"/>
        <v>0</v>
      </c>
      <c r="EY75" s="1199">
        <f t="shared" si="262"/>
        <v>0</v>
      </c>
      <c r="EZ75" s="1175">
        <f>SUM(DQ75:EY75)</f>
        <v>0</v>
      </c>
      <c r="FA75" s="1177"/>
      <c r="FB75" s="1202">
        <f>IFERROR(AW75*CG75*FB$107,0)</f>
        <v>0</v>
      </c>
      <c r="FC75" s="1202">
        <f t="shared" si="264"/>
        <v>0</v>
      </c>
      <c r="FD75" s="1202">
        <f t="shared" si="264"/>
        <v>0</v>
      </c>
      <c r="FE75" s="1202">
        <f t="shared" si="264"/>
        <v>0</v>
      </c>
      <c r="FF75" s="1202">
        <f t="shared" si="264"/>
        <v>0</v>
      </c>
      <c r="FG75" s="1202">
        <f t="shared" si="264"/>
        <v>0</v>
      </c>
      <c r="FH75" s="1202">
        <f t="shared" si="264"/>
        <v>0</v>
      </c>
      <c r="FI75" s="1202">
        <f t="shared" si="264"/>
        <v>0</v>
      </c>
      <c r="FJ75" s="1202">
        <f t="shared" si="264"/>
        <v>0</v>
      </c>
      <c r="FK75" s="1202">
        <f t="shared" si="265"/>
        <v>0</v>
      </c>
      <c r="FL75" s="1202">
        <f t="shared" si="265"/>
        <v>0</v>
      </c>
      <c r="FM75" s="1202">
        <f t="shared" si="266"/>
        <v>0</v>
      </c>
      <c r="FN75" s="1202">
        <f t="shared" si="266"/>
        <v>0</v>
      </c>
      <c r="FO75" s="1202">
        <f t="shared" si="266"/>
        <v>0</v>
      </c>
      <c r="FP75" s="1202">
        <f t="shared" si="266"/>
        <v>0</v>
      </c>
      <c r="FQ75" s="1202">
        <f t="shared" si="266"/>
        <v>0</v>
      </c>
      <c r="FR75" s="1202">
        <f t="shared" si="266"/>
        <v>0</v>
      </c>
      <c r="FS75" s="1202">
        <f t="shared" si="266"/>
        <v>0</v>
      </c>
      <c r="FT75" s="1202">
        <f t="shared" si="266"/>
        <v>0</v>
      </c>
      <c r="FU75" s="1202">
        <f t="shared" si="266"/>
        <v>0</v>
      </c>
      <c r="FV75" s="1202">
        <f t="shared" si="266"/>
        <v>0</v>
      </c>
      <c r="FW75" s="1202">
        <f t="shared" si="267"/>
        <v>0</v>
      </c>
      <c r="FX75" s="1202">
        <f t="shared" si="267"/>
        <v>0</v>
      </c>
      <c r="FY75" s="1202">
        <f t="shared" si="267"/>
        <v>0</v>
      </c>
      <c r="FZ75" s="1202">
        <f t="shared" si="267"/>
        <v>0</v>
      </c>
      <c r="GA75" s="1202">
        <f t="shared" si="267"/>
        <v>0</v>
      </c>
      <c r="GB75" s="1202">
        <f t="shared" si="267"/>
        <v>0</v>
      </c>
      <c r="GC75" s="1202">
        <f t="shared" si="267"/>
        <v>0</v>
      </c>
      <c r="GD75" s="1202">
        <f t="shared" si="267"/>
        <v>0</v>
      </c>
      <c r="GE75" s="1202">
        <f t="shared" si="267"/>
        <v>0</v>
      </c>
      <c r="GF75" s="1202">
        <f t="shared" si="268"/>
        <v>0</v>
      </c>
      <c r="GG75" s="1202">
        <f t="shared" si="268"/>
        <v>0</v>
      </c>
      <c r="GH75" s="1202">
        <f t="shared" si="268"/>
        <v>0</v>
      </c>
      <c r="GI75" s="1202">
        <f t="shared" si="269"/>
        <v>0</v>
      </c>
      <c r="GJ75" s="1202">
        <f t="shared" si="269"/>
        <v>0</v>
      </c>
      <c r="GK75" s="1174">
        <f>SUM(FB75:GJ75)</f>
        <v>0</v>
      </c>
    </row>
    <row r="76" spans="1:193" ht="6" customHeight="1">
      <c r="A76" s="1184" t="s">
        <v>742</v>
      </c>
      <c r="B76" s="1184" t="s">
        <v>742</v>
      </c>
      <c r="C76" s="1184"/>
      <c r="D76" s="1184"/>
      <c r="E76" s="1184"/>
      <c r="F76" s="1184"/>
      <c r="G76" s="1184"/>
      <c r="H76" s="1184"/>
      <c r="I76" s="1184"/>
      <c r="J76" s="1234"/>
      <c r="K76" s="1234"/>
      <c r="L76" s="1185"/>
      <c r="M76" s="1185"/>
      <c r="N76" s="1185"/>
      <c r="O76" s="1185"/>
      <c r="P76" s="1185"/>
      <c r="Q76" s="1185"/>
      <c r="R76" s="1185"/>
      <c r="S76" s="1185"/>
      <c r="T76" s="1185"/>
      <c r="U76" s="1185"/>
      <c r="V76" s="1185"/>
      <c r="W76" s="1185"/>
      <c r="X76" s="1185"/>
      <c r="Y76" s="1185"/>
      <c r="Z76" s="1185"/>
      <c r="AA76" s="1185"/>
      <c r="AB76" s="1185"/>
      <c r="AC76" s="1185"/>
      <c r="AD76" s="1185"/>
      <c r="AE76" s="1185"/>
      <c r="AF76" s="1185"/>
      <c r="AG76" s="1185"/>
      <c r="AH76" s="1185"/>
      <c r="AI76" s="1186"/>
      <c r="AJ76" s="1186"/>
      <c r="AK76" s="1186"/>
      <c r="AL76" s="1186"/>
      <c r="AM76" s="1186"/>
      <c r="AN76" s="1186"/>
      <c r="AO76" s="1186"/>
      <c r="AP76" s="1185"/>
      <c r="AQ76" s="1185"/>
      <c r="AR76" s="1185"/>
      <c r="AS76" s="1186"/>
      <c r="AT76" s="1186"/>
      <c r="AU76" s="1184"/>
      <c r="AV76" s="1184"/>
      <c r="AW76" s="1185"/>
      <c r="AX76" s="1185"/>
      <c r="AY76" s="1185"/>
      <c r="AZ76" s="1185"/>
      <c r="BA76" s="1185"/>
      <c r="BB76" s="1185"/>
      <c r="BC76" s="1185"/>
      <c r="BD76" s="1185"/>
      <c r="BE76" s="1185"/>
      <c r="BF76" s="1185"/>
      <c r="BG76" s="1185"/>
      <c r="BH76" s="1185"/>
      <c r="BI76" s="1185"/>
      <c r="BJ76" s="1185"/>
      <c r="BK76" s="1185"/>
      <c r="BL76" s="1185"/>
      <c r="BM76" s="1185"/>
      <c r="BN76" s="1185"/>
      <c r="BO76" s="1185"/>
      <c r="BP76" s="1185"/>
      <c r="BQ76" s="1185"/>
      <c r="BR76" s="1186"/>
      <c r="BS76" s="1186"/>
      <c r="BT76" s="1301"/>
      <c r="BU76" s="1186"/>
      <c r="BV76" s="1186"/>
      <c r="BW76" s="1186"/>
      <c r="BX76" s="1186"/>
      <c r="BY76" s="1186"/>
      <c r="BZ76" s="1186"/>
      <c r="CA76" s="1185"/>
      <c r="CB76" s="1185"/>
      <c r="CC76" s="1185"/>
      <c r="CD76" s="1186"/>
      <c r="CE76" s="1186"/>
      <c r="CF76" s="1184"/>
      <c r="CG76" s="1189"/>
      <c r="CH76" s="1187"/>
      <c r="CI76" s="1187"/>
      <c r="CJ76" s="1187"/>
      <c r="CK76" s="1187"/>
      <c r="CL76" s="1187"/>
      <c r="CM76" s="1187"/>
      <c r="CN76" s="1188"/>
      <c r="CO76" s="1189"/>
      <c r="CP76" s="1187"/>
      <c r="CQ76" s="1187"/>
      <c r="CR76" s="1188"/>
      <c r="CS76" s="1187"/>
      <c r="CT76" s="1187"/>
      <c r="CU76" s="1189"/>
      <c r="CV76" s="1187"/>
      <c r="CW76" s="1187"/>
      <c r="CX76" s="1187"/>
      <c r="CY76" s="1187"/>
      <c r="CZ76" s="1187"/>
      <c r="DA76" s="1187"/>
      <c r="DB76" s="1187"/>
      <c r="DC76" s="1187"/>
      <c r="DD76" s="1189"/>
      <c r="DE76" s="1189"/>
      <c r="DF76" s="1189"/>
      <c r="DG76" s="1189"/>
      <c r="DH76" s="1190"/>
      <c r="DI76" s="1189"/>
      <c r="DJ76" s="1189"/>
      <c r="DK76" s="1187"/>
      <c r="DL76" s="1187"/>
      <c r="DM76" s="1187"/>
      <c r="DN76" s="1189"/>
      <c r="DO76" s="1189"/>
      <c r="DP76" s="1184"/>
      <c r="DQ76" s="1191"/>
      <c r="DR76" s="1191"/>
      <c r="DS76" s="1191"/>
      <c r="DT76" s="1191"/>
      <c r="DU76" s="1191"/>
      <c r="DV76" s="1191"/>
      <c r="DW76" s="1191"/>
      <c r="DX76" s="1191"/>
      <c r="DY76" s="1191"/>
      <c r="DZ76" s="1191"/>
      <c r="EA76" s="1191"/>
      <c r="EB76" s="1192"/>
      <c r="EC76" s="1191"/>
      <c r="ED76" s="1191"/>
      <c r="EE76" s="1191"/>
      <c r="EF76" s="1191"/>
      <c r="EG76" s="1191"/>
      <c r="EH76" s="1191"/>
      <c r="EI76" s="1191"/>
      <c r="EJ76" s="1191"/>
      <c r="EK76" s="1191"/>
      <c r="EL76" s="1191"/>
      <c r="EM76" s="1191"/>
      <c r="EN76" s="1191"/>
      <c r="EO76" s="1191"/>
      <c r="EP76" s="1191"/>
      <c r="EQ76" s="1191"/>
      <c r="ER76" s="1191"/>
      <c r="ES76" s="1191"/>
      <c r="ET76" s="1191"/>
      <c r="EU76" s="1191"/>
      <c r="EV76" s="1191"/>
      <c r="EW76" s="1191"/>
      <c r="EX76" s="1191"/>
      <c r="EY76" s="1191"/>
      <c r="EZ76" s="1193"/>
      <c r="FA76" s="1184"/>
      <c r="FB76" s="1191"/>
      <c r="FC76" s="1191"/>
      <c r="FD76" s="1191"/>
      <c r="FE76" s="1191"/>
      <c r="FF76" s="1191"/>
      <c r="FG76" s="1191"/>
      <c r="FH76" s="1192"/>
      <c r="FI76" s="1192"/>
      <c r="FJ76" s="1192"/>
      <c r="FK76" s="1192"/>
      <c r="FL76" s="1192"/>
      <c r="FM76" s="1191"/>
      <c r="FN76" s="1191"/>
      <c r="FO76" s="1191"/>
      <c r="FP76" s="1191"/>
      <c r="FQ76" s="1191"/>
      <c r="FR76" s="1191"/>
      <c r="FS76" s="1191"/>
      <c r="FT76" s="1191"/>
      <c r="FU76" s="1191"/>
      <c r="FV76" s="1191"/>
      <c r="FW76" s="1191"/>
      <c r="FX76" s="1191"/>
      <c r="FY76" s="1194"/>
      <c r="FZ76" s="1191"/>
      <c r="GA76" s="1191"/>
      <c r="GB76" s="1191"/>
      <c r="GC76" s="1191"/>
      <c r="GD76" s="1191"/>
      <c r="GE76" s="1191"/>
      <c r="GF76" s="1191"/>
      <c r="GG76" s="1191"/>
      <c r="GH76" s="1191"/>
      <c r="GI76" s="1191"/>
      <c r="GJ76" s="1191"/>
      <c r="GK76" s="1193"/>
    </row>
    <row r="77" spans="1:193" s="1015" customFormat="1">
      <c r="A77" s="1003"/>
      <c r="B77" s="1149"/>
      <c r="C77" s="1149" t="s">
        <v>283</v>
      </c>
      <c r="D77" s="1204" t="s">
        <v>283</v>
      </c>
      <c r="E77" s="1204" t="s">
        <v>765</v>
      </c>
      <c r="F77" s="1204" t="s">
        <v>784</v>
      </c>
      <c r="G77" s="1204" t="s">
        <v>789</v>
      </c>
      <c r="H77" s="1204" t="s">
        <v>193</v>
      </c>
      <c r="I77" s="1149" t="s">
        <v>744</v>
      </c>
      <c r="J77" s="1176"/>
      <c r="K77" s="1176"/>
      <c r="L77" s="1233">
        <v>1.105</v>
      </c>
      <c r="M77" s="1037"/>
      <c r="N77" s="1037"/>
      <c r="O77" s="1037"/>
      <c r="P77" s="1037"/>
      <c r="Q77" s="1037"/>
      <c r="R77" s="1004"/>
      <c r="S77" s="1004"/>
      <c r="T77" s="1004"/>
      <c r="U77" s="1013"/>
      <c r="V77" s="1013"/>
      <c r="W77" s="1004"/>
      <c r="X77" s="1004"/>
      <c r="Y77" s="1004"/>
      <c r="Z77" s="1004"/>
      <c r="AA77" s="1004"/>
      <c r="AB77" s="1004"/>
      <c r="AC77" s="1013"/>
      <c r="AD77" s="1004"/>
      <c r="AE77" s="1013"/>
      <c r="AF77" s="1004"/>
      <c r="AG77" s="1013"/>
      <c r="AH77" s="1004"/>
      <c r="AI77" s="1035"/>
      <c r="AJ77" s="1224">
        <v>2.2128812392426853E-2</v>
      </c>
      <c r="AK77" s="1224">
        <v>4.993090310510663E-2</v>
      </c>
      <c r="AL77" s="1224">
        <v>8.6155499999999996E-2</v>
      </c>
      <c r="AM77" s="1005"/>
      <c r="AN77" s="1005"/>
      <c r="AO77" s="1005"/>
      <c r="AP77" s="1013"/>
      <c r="AQ77" s="1013"/>
      <c r="AR77" s="1013"/>
      <c r="AS77" s="1005"/>
      <c r="AT77" s="1005"/>
      <c r="AU77" s="1176"/>
      <c r="AV77" s="1176"/>
      <c r="AW77" s="1182">
        <v>1.1000000000000001</v>
      </c>
      <c r="AX77" s="1011"/>
      <c r="AY77" s="1011"/>
      <c r="AZ77" s="1011"/>
      <c r="BA77" s="1011"/>
      <c r="BB77" s="1011"/>
      <c r="BC77" s="1004"/>
      <c r="BD77" s="1004"/>
      <c r="BE77" s="1004"/>
      <c r="BF77" s="1004"/>
      <c r="BG77" s="1004"/>
      <c r="BH77" s="1004"/>
      <c r="BI77" s="1004"/>
      <c r="BJ77" s="1004"/>
      <c r="BK77" s="1004"/>
      <c r="BL77" s="1004"/>
      <c r="BM77" s="1004"/>
      <c r="BN77" s="1004"/>
      <c r="BO77" s="1004"/>
      <c r="BP77" s="1004"/>
      <c r="BQ77" s="1004"/>
      <c r="BR77" s="1035"/>
      <c r="BS77" s="1005"/>
      <c r="BT77" s="1038"/>
      <c r="BU77" s="1183">
        <v>2.1940000000000001E-2</v>
      </c>
      <c r="BV77" s="1183">
        <v>4.4024331018695489E-2</v>
      </c>
      <c r="BW77" s="1183">
        <v>8.6155499999999996E-2</v>
      </c>
      <c r="BX77" s="1005"/>
      <c r="BY77" s="1005"/>
      <c r="BZ77" s="1035"/>
      <c r="CA77" s="1004"/>
      <c r="CB77" s="1004"/>
      <c r="CC77" s="1004"/>
      <c r="CD77" s="1035"/>
      <c r="CE77" s="1035"/>
      <c r="CF77" s="1176"/>
      <c r="CG77" s="1236">
        <v>477664.94999999995</v>
      </c>
      <c r="CH77" s="1011"/>
      <c r="CI77" s="1011"/>
      <c r="CJ77" s="1011"/>
      <c r="CK77" s="1011"/>
      <c r="CL77" s="1004"/>
      <c r="CM77" s="1004"/>
      <c r="CN77" s="1004"/>
      <c r="CO77" s="1008"/>
      <c r="CP77" s="1013"/>
      <c r="CQ77" s="1013"/>
      <c r="CR77" s="1004"/>
      <c r="CS77" s="1004"/>
      <c r="CT77" s="1004"/>
      <c r="CU77" s="1008"/>
      <c r="CV77" s="1004"/>
      <c r="CW77" s="1004"/>
      <c r="CX77" s="1013"/>
      <c r="CY77" s="1013"/>
      <c r="CZ77" s="1013"/>
      <c r="DA77" s="1004"/>
      <c r="DB77" s="1013"/>
      <c r="DC77" s="1004"/>
      <c r="DD77" s="1036"/>
      <c r="DE77" s="1236">
        <v>383771225.00999999</v>
      </c>
      <c r="DF77" s="1236">
        <v>1260261238.8299999</v>
      </c>
      <c r="DG77" s="1236">
        <v>501778924.73999995</v>
      </c>
      <c r="DH77" s="1014"/>
      <c r="DI77" s="1008"/>
      <c r="DJ77" s="1008"/>
      <c r="DK77" s="1013"/>
      <c r="DL77" s="1013"/>
      <c r="DM77" s="1013"/>
      <c r="DN77" s="1008"/>
      <c r="DO77" s="1008"/>
      <c r="DP77" s="1176"/>
      <c r="DQ77" s="1199">
        <f t="shared" ref="DQ77:DQ88" si="271">L77*CG77*DQ$107</f>
        <v>192654215.95874998</v>
      </c>
      <c r="DR77" s="1199">
        <f t="shared" ref="DR77:DR88" si="272">M77*CH77*DR$107</f>
        <v>0</v>
      </c>
      <c r="DS77" s="1199">
        <f t="shared" ref="DS77:DS88" si="273">N77*CI77*DS$107</f>
        <v>0</v>
      </c>
      <c r="DT77" s="1199">
        <f t="shared" ref="DT77:DT88" si="274">O77*CJ77*DT$107</f>
        <v>0</v>
      </c>
      <c r="DU77" s="1199">
        <f t="shared" ref="DU77:DU88" si="275">P77*CK77*DU$107</f>
        <v>0</v>
      </c>
      <c r="DV77" s="1199">
        <f t="shared" ref="DV77:DV88" si="276">Q77*CL77*DV$107</f>
        <v>0</v>
      </c>
      <c r="DW77" s="1199">
        <f t="shared" ref="DW77:DW88" si="277">R77*CM77*DW$107</f>
        <v>0</v>
      </c>
      <c r="DX77" s="1199">
        <f t="shared" ref="DX77:DX88" si="278">S77*CN77*DX$107</f>
        <v>0</v>
      </c>
      <c r="DY77" s="1199">
        <f t="shared" ref="DY77:DY88" si="279">T77*CO77*DY$107</f>
        <v>0</v>
      </c>
      <c r="DZ77" s="1199">
        <f t="shared" ref="DZ77:DZ88" si="280">U77*CP77*DZ$107</f>
        <v>0</v>
      </c>
      <c r="EA77" s="1199">
        <f t="shared" ref="EA77:EA88" si="281">V77*CQ77*EA$107</f>
        <v>0</v>
      </c>
      <c r="EB77" s="1199">
        <f t="shared" ref="EB77:EB88" si="282">W77*CR77*EB$107</f>
        <v>0</v>
      </c>
      <c r="EC77" s="1199">
        <f t="shared" ref="EC77:EC88" si="283">X77*CS77*EC$107</f>
        <v>0</v>
      </c>
      <c r="ED77" s="1199">
        <f t="shared" ref="ED77:ED88" si="284">Y77*CT77*ED$107</f>
        <v>0</v>
      </c>
      <c r="EE77" s="1199">
        <f t="shared" ref="EE77:EE88" si="285">Z77*CU77*EE$107</f>
        <v>0</v>
      </c>
      <c r="EF77" s="1199">
        <f t="shared" ref="EF77:EF88" si="286">AA77*CV77*EF$107</f>
        <v>0</v>
      </c>
      <c r="EG77" s="1199">
        <f t="shared" ref="EG77:EG88" si="287">AB77*CW77*EG$107</f>
        <v>0</v>
      </c>
      <c r="EH77" s="1199">
        <f t="shared" ref="EH77:EH88" si="288">AC77*CX77*EH$107</f>
        <v>0</v>
      </c>
      <c r="EI77" s="1199">
        <f t="shared" ref="EI77:EI88" si="289">AD77*CY77*EI$107</f>
        <v>0</v>
      </c>
      <c r="EJ77" s="1199">
        <f t="shared" ref="EJ77:EJ88" si="290">AE77*CZ77*EJ$107</f>
        <v>0</v>
      </c>
      <c r="EK77" s="1199">
        <f t="shared" ref="EK77:EK88" si="291">AF77*DA77*EK$107</f>
        <v>0</v>
      </c>
      <c r="EL77" s="1199">
        <f t="shared" ref="EL77:EL88" si="292">AG77*DB77*EL$107</f>
        <v>0</v>
      </c>
      <c r="EM77" s="1199">
        <f t="shared" ref="EM77:EM88" si="293">AH77*DC77*EM$107</f>
        <v>0</v>
      </c>
      <c r="EN77" s="1199">
        <f t="shared" ref="EN77:EN88" si="294">AI77*DD77*EN$107</f>
        <v>0</v>
      </c>
      <c r="EO77" s="1199">
        <f t="shared" ref="EO77:EO88" si="295">AJ77*DE77*EO$107</f>
        <v>8492401.4398581218</v>
      </c>
      <c r="EP77" s="1199">
        <f t="shared" ref="EP77:EP88" si="296">AK77*DF77*EP$107</f>
        <v>62925981.803142369</v>
      </c>
      <c r="EQ77" s="1199">
        <f t="shared" ref="EQ77:EQ88" si="297">AL77*DG77*EQ$107</f>
        <v>43231014.150437064</v>
      </c>
      <c r="ER77" s="1199">
        <f t="shared" ref="ER77:ER88" si="298">AM77*DH77*ER$107</f>
        <v>0</v>
      </c>
      <c r="ES77" s="1199">
        <f t="shared" ref="ES77:ES88" si="299">AN77*DI77*ES$107</f>
        <v>0</v>
      </c>
      <c r="ET77" s="1199">
        <f t="shared" ref="ET77:ET88" si="300">AO77*DJ77*ET$107</f>
        <v>0</v>
      </c>
      <c r="EU77" s="1199">
        <f t="shared" ref="EU77:EU88" si="301">AP77*DK77*EU$107</f>
        <v>0</v>
      </c>
      <c r="EV77" s="1199">
        <f t="shared" ref="EV77:EV88" si="302">AQ77*DL77*EV$107</f>
        <v>0</v>
      </c>
      <c r="EW77" s="1199">
        <f t="shared" ref="EW77:EW88" si="303">AR77*DM77*EW$107</f>
        <v>0</v>
      </c>
      <c r="EX77" s="1199">
        <f t="shared" ref="EX77:EX88" si="304">AS77*DN77*EX$107</f>
        <v>0</v>
      </c>
      <c r="EY77" s="1199">
        <f t="shared" ref="EY77:EY88" si="305">AT77*DO77*EY$107</f>
        <v>0</v>
      </c>
      <c r="EZ77" s="1175">
        <f t="shared" ref="EZ77:EZ98" si="306">SUM(DQ77:EY77)</f>
        <v>307303613.35218751</v>
      </c>
      <c r="FA77" s="1177"/>
      <c r="FB77" s="1202">
        <f t="shared" ref="FB77:FB88" si="307">AW77*CG77*FB$107</f>
        <v>191782477.42499998</v>
      </c>
      <c r="FC77" s="1202">
        <f t="shared" ref="FC77:FC88" si="308">AX77*CH77*FC$107</f>
        <v>0</v>
      </c>
      <c r="FD77" s="1202">
        <f t="shared" ref="FD77:FD88" si="309">AY77*CI77*FD$107</f>
        <v>0</v>
      </c>
      <c r="FE77" s="1202">
        <f t="shared" ref="FE77:FE88" si="310">AZ77*CJ77*FE$107</f>
        <v>0</v>
      </c>
      <c r="FF77" s="1202">
        <f t="shared" ref="FF77:FF88" si="311">BA77*CK77*FF$107</f>
        <v>0</v>
      </c>
      <c r="FG77" s="1202">
        <f t="shared" ref="FG77:FG88" si="312">BB77*CL77*FG$107</f>
        <v>0</v>
      </c>
      <c r="FH77" s="1202">
        <f t="shared" ref="FH77:FH88" si="313">BC77*CM77*FH$107</f>
        <v>0</v>
      </c>
      <c r="FI77" s="1202">
        <f t="shared" ref="FI77:FI88" si="314">BD77*CN77*FI$107</f>
        <v>0</v>
      </c>
      <c r="FJ77" s="1202">
        <f t="shared" ref="FJ77:FJ88" si="315">BE77*CO77*FJ$107</f>
        <v>0</v>
      </c>
      <c r="FK77" s="1202">
        <f t="shared" ref="FK77:FK88" si="316">BF77*CP77*FK$107</f>
        <v>0</v>
      </c>
      <c r="FL77" s="1202">
        <f t="shared" ref="FL77:FL88" si="317">BG77*CQ77*FL$107</f>
        <v>0</v>
      </c>
      <c r="FM77" s="1202">
        <f t="shared" ref="FM77:FM88" si="318">BH77*CR77*FM$107</f>
        <v>0</v>
      </c>
      <c r="FN77" s="1202">
        <f t="shared" ref="FN77:FN88" si="319">BI77*CS77*FN$107</f>
        <v>0</v>
      </c>
      <c r="FO77" s="1202">
        <f t="shared" ref="FO77:FO88" si="320">BJ77*CT77*FO$107</f>
        <v>0</v>
      </c>
      <c r="FP77" s="1202">
        <f t="shared" ref="FP77:FP88" si="321">BK77*CU77*FP$107</f>
        <v>0</v>
      </c>
      <c r="FQ77" s="1202">
        <f t="shared" ref="FQ77:FQ88" si="322">BL77*CV77*FQ$107</f>
        <v>0</v>
      </c>
      <c r="FR77" s="1202">
        <f t="shared" ref="FR77:FR88" si="323">BM77*CW77*FR$107</f>
        <v>0</v>
      </c>
      <c r="FS77" s="1202">
        <f t="shared" ref="FS77:FS88" si="324">BN77*CX77*FS$107</f>
        <v>0</v>
      </c>
      <c r="FT77" s="1202">
        <f t="shared" ref="FT77:FT88" si="325">BO77*CY77*FT$107</f>
        <v>0</v>
      </c>
      <c r="FU77" s="1202">
        <f t="shared" ref="FU77:FU88" si="326">BP77*CZ77*FU$107</f>
        <v>0</v>
      </c>
      <c r="FV77" s="1202">
        <f t="shared" ref="FV77:FV88" si="327">BQ77*DA77*FV$107</f>
        <v>0</v>
      </c>
      <c r="FW77" s="1202">
        <f t="shared" ref="FW77:FW88" si="328">BR77*DB77*FW$107</f>
        <v>0</v>
      </c>
      <c r="FX77" s="1202">
        <f t="shared" ref="FX77:FX88" si="329">BS77*DC77*FX$107</f>
        <v>0</v>
      </c>
      <c r="FY77" s="1202">
        <f t="shared" ref="FY77:FY88" si="330">BT77*DD77*FY$107</f>
        <v>0</v>
      </c>
      <c r="FZ77" s="1202">
        <f t="shared" ref="FZ77:FZ88" si="331">BU77*DE77*FZ$107</f>
        <v>8419940.676719401</v>
      </c>
      <c r="GA77" s="1202">
        <f t="shared" ref="GA77:GA88" si="332">BV77*DF77*GA$107</f>
        <v>55482157.948283173</v>
      </c>
      <c r="GB77" s="1202">
        <f t="shared" ref="GB77:GB88" si="333">BW77*DG77*GB$107</f>
        <v>43231014.150437064</v>
      </c>
      <c r="GC77" s="1202">
        <f t="shared" ref="GC77:GC88" si="334">BX77*DH77*GC$107</f>
        <v>0</v>
      </c>
      <c r="GD77" s="1202">
        <f t="shared" ref="GD77:GD88" si="335">BY77*DI77*GD$107</f>
        <v>0</v>
      </c>
      <c r="GE77" s="1202">
        <f t="shared" ref="GE77:GE88" si="336">BZ77*DJ77*GE$107</f>
        <v>0</v>
      </c>
      <c r="GF77" s="1202">
        <f t="shared" ref="GF77:GF88" si="337">CA77*DK77*GF$107</f>
        <v>0</v>
      </c>
      <c r="GG77" s="1202">
        <f t="shared" ref="GG77:GG88" si="338">CB77*DL77*GG$107</f>
        <v>0</v>
      </c>
      <c r="GH77" s="1202">
        <f t="shared" ref="GH77:GH88" si="339">CC77*DM77*GH$107</f>
        <v>0</v>
      </c>
      <c r="GI77" s="1202">
        <f t="shared" ref="GI77:GI88" si="340">CD77*DN77*GI$107</f>
        <v>0</v>
      </c>
      <c r="GJ77" s="1202">
        <f t="shared" ref="GJ77:GJ88" si="341">CE77*DO77*GJ$107</f>
        <v>0</v>
      </c>
      <c r="GK77" s="1174">
        <f t="shared" ref="GK77:GK98" si="342">SUM(FB77:GJ77)</f>
        <v>298915590.20043963</v>
      </c>
    </row>
    <row r="78" spans="1:193" s="1015" customFormat="1">
      <c r="A78" s="1003"/>
      <c r="B78" s="1149"/>
      <c r="C78" s="1149" t="s">
        <v>246</v>
      </c>
      <c r="D78" s="1204" t="s">
        <v>246</v>
      </c>
      <c r="E78" s="1204" t="s">
        <v>765</v>
      </c>
      <c r="F78" s="1204" t="s">
        <v>784</v>
      </c>
      <c r="G78" s="1204" t="s">
        <v>790</v>
      </c>
      <c r="H78" s="1204" t="s">
        <v>194</v>
      </c>
      <c r="I78" s="1149" t="s">
        <v>744</v>
      </c>
      <c r="J78" s="1176"/>
      <c r="K78" s="1176"/>
      <c r="L78" s="1233">
        <v>1.7669999999999999</v>
      </c>
      <c r="M78" s="1037"/>
      <c r="N78" s="1037"/>
      <c r="O78" s="1037"/>
      <c r="P78" s="1037"/>
      <c r="Q78" s="1037"/>
      <c r="R78" s="1004"/>
      <c r="S78" s="1004"/>
      <c r="T78" s="1004"/>
      <c r="U78" s="1013"/>
      <c r="V78" s="1013"/>
      <c r="W78" s="1004"/>
      <c r="X78" s="1004"/>
      <c r="Y78" s="1004"/>
      <c r="Z78" s="1004"/>
      <c r="AA78" s="1004"/>
      <c r="AB78" s="1004"/>
      <c r="AC78" s="1013"/>
      <c r="AD78" s="1004"/>
      <c r="AE78" s="1013"/>
      <c r="AF78" s="1004"/>
      <c r="AG78" s="1013"/>
      <c r="AH78" s="1004"/>
      <c r="AI78" s="1035"/>
      <c r="AJ78" s="1224">
        <v>7.3053321858864026E-2</v>
      </c>
      <c r="AK78" s="1224">
        <v>0.23393656823773487</v>
      </c>
      <c r="AL78" s="1224">
        <v>0.35548999999999997</v>
      </c>
      <c r="AM78" s="1005"/>
      <c r="AN78" s="1005"/>
      <c r="AO78" s="1005"/>
      <c r="AP78" s="1013"/>
      <c r="AQ78" s="1013"/>
      <c r="AR78" s="1013"/>
      <c r="AS78" s="1005"/>
      <c r="AT78" s="1005"/>
      <c r="AU78" s="1176"/>
      <c r="AV78" s="1176"/>
      <c r="AW78" s="1182">
        <v>1.76</v>
      </c>
      <c r="AX78" s="1011"/>
      <c r="AY78" s="1011"/>
      <c r="AZ78" s="1011"/>
      <c r="BA78" s="1011"/>
      <c r="BB78" s="1011"/>
      <c r="BC78" s="1004"/>
      <c r="BD78" s="1004"/>
      <c r="BE78" s="1004"/>
      <c r="BF78" s="1004"/>
      <c r="BG78" s="1004"/>
      <c r="BH78" s="1004"/>
      <c r="BI78" s="1004"/>
      <c r="BJ78" s="1004"/>
      <c r="BK78" s="1004"/>
      <c r="BL78" s="1004"/>
      <c r="BM78" s="1004"/>
      <c r="BN78" s="1004"/>
      <c r="BO78" s="1004"/>
      <c r="BP78" s="1004"/>
      <c r="BQ78" s="1004"/>
      <c r="BR78" s="1035"/>
      <c r="BS78" s="1005"/>
      <c r="BT78" s="1038"/>
      <c r="BU78" s="1183">
        <v>7.2429999999999994E-2</v>
      </c>
      <c r="BV78" s="1183">
        <v>0.22307137897442206</v>
      </c>
      <c r="BW78" s="1183">
        <v>0.35548999999999997</v>
      </c>
      <c r="BX78" s="1005"/>
      <c r="BY78" s="1005"/>
      <c r="BZ78" s="1035"/>
      <c r="CA78" s="1004"/>
      <c r="CB78" s="1004"/>
      <c r="CC78" s="1004"/>
      <c r="CD78" s="1035"/>
      <c r="CE78" s="1035"/>
      <c r="CF78" s="1176"/>
      <c r="CG78" s="1236">
        <v>41398.94999999999</v>
      </c>
      <c r="CH78" s="1004"/>
      <c r="CI78" s="1004"/>
      <c r="CJ78" s="1004"/>
      <c r="CK78" s="1004"/>
      <c r="CL78" s="1004"/>
      <c r="CM78" s="1004"/>
      <c r="CN78" s="1004"/>
      <c r="CO78" s="1008"/>
      <c r="CP78" s="1013"/>
      <c r="CQ78" s="1013"/>
      <c r="CR78" s="1004"/>
      <c r="CS78" s="1004"/>
      <c r="CT78" s="1004"/>
      <c r="CU78" s="1008"/>
      <c r="CV78" s="1004"/>
      <c r="CW78" s="1004"/>
      <c r="CX78" s="1013"/>
      <c r="CY78" s="1013"/>
      <c r="CZ78" s="1013"/>
      <c r="DA78" s="1004"/>
      <c r="DB78" s="1013"/>
      <c r="DC78" s="1004"/>
      <c r="DD78" s="1036"/>
      <c r="DE78" s="1236">
        <v>37171468.119999997</v>
      </c>
      <c r="DF78" s="1236">
        <v>125158221.61999999</v>
      </c>
      <c r="DG78" s="1236">
        <v>74490208.879999995</v>
      </c>
      <c r="DH78" s="1014"/>
      <c r="DI78" s="1008"/>
      <c r="DJ78" s="1008"/>
      <c r="DK78" s="1013"/>
      <c r="DL78" s="1013"/>
      <c r="DM78" s="1013"/>
      <c r="DN78" s="1008"/>
      <c r="DO78" s="1008"/>
      <c r="DP78" s="1176"/>
      <c r="DQ78" s="1199">
        <f t="shared" si="271"/>
        <v>26700459.797249991</v>
      </c>
      <c r="DR78" s="1199">
        <f t="shared" si="272"/>
        <v>0</v>
      </c>
      <c r="DS78" s="1199">
        <f t="shared" si="273"/>
        <v>0</v>
      </c>
      <c r="DT78" s="1199">
        <f t="shared" si="274"/>
        <v>0</v>
      </c>
      <c r="DU78" s="1199">
        <f t="shared" si="275"/>
        <v>0</v>
      </c>
      <c r="DV78" s="1199">
        <f t="shared" si="276"/>
        <v>0</v>
      </c>
      <c r="DW78" s="1199">
        <f t="shared" si="277"/>
        <v>0</v>
      </c>
      <c r="DX78" s="1199">
        <f t="shared" si="278"/>
        <v>0</v>
      </c>
      <c r="DY78" s="1199">
        <f t="shared" si="279"/>
        <v>0</v>
      </c>
      <c r="DZ78" s="1199">
        <f t="shared" si="280"/>
        <v>0</v>
      </c>
      <c r="EA78" s="1199">
        <f t="shared" si="281"/>
        <v>0</v>
      </c>
      <c r="EB78" s="1199">
        <f t="shared" si="282"/>
        <v>0</v>
      </c>
      <c r="EC78" s="1199">
        <f t="shared" si="283"/>
        <v>0</v>
      </c>
      <c r="ED78" s="1199">
        <f t="shared" si="284"/>
        <v>0</v>
      </c>
      <c r="EE78" s="1199">
        <f t="shared" si="285"/>
        <v>0</v>
      </c>
      <c r="EF78" s="1199">
        <f t="shared" si="286"/>
        <v>0</v>
      </c>
      <c r="EG78" s="1199">
        <f t="shared" si="287"/>
        <v>0</v>
      </c>
      <c r="EH78" s="1199">
        <f t="shared" si="288"/>
        <v>0</v>
      </c>
      <c r="EI78" s="1199">
        <f t="shared" si="289"/>
        <v>0</v>
      </c>
      <c r="EJ78" s="1199">
        <f t="shared" si="290"/>
        <v>0</v>
      </c>
      <c r="EK78" s="1199">
        <f t="shared" si="291"/>
        <v>0</v>
      </c>
      <c r="EL78" s="1199">
        <f t="shared" si="292"/>
        <v>0</v>
      </c>
      <c r="EM78" s="1199">
        <f t="shared" si="293"/>
        <v>0</v>
      </c>
      <c r="EN78" s="1199">
        <f t="shared" si="294"/>
        <v>0</v>
      </c>
      <c r="EO78" s="1199">
        <f t="shared" si="295"/>
        <v>2715499.2245368632</v>
      </c>
      <c r="EP78" s="1199">
        <f t="shared" si="296"/>
        <v>29279084.852520671</v>
      </c>
      <c r="EQ78" s="1199">
        <f t="shared" si="297"/>
        <v>26480524.354751196</v>
      </c>
      <c r="ER78" s="1199">
        <f t="shared" si="298"/>
        <v>0</v>
      </c>
      <c r="ES78" s="1199">
        <f t="shared" si="299"/>
        <v>0</v>
      </c>
      <c r="ET78" s="1199">
        <f t="shared" si="300"/>
        <v>0</v>
      </c>
      <c r="EU78" s="1199">
        <f t="shared" si="301"/>
        <v>0</v>
      </c>
      <c r="EV78" s="1199">
        <f t="shared" si="302"/>
        <v>0</v>
      </c>
      <c r="EW78" s="1199">
        <f t="shared" si="303"/>
        <v>0</v>
      </c>
      <c r="EX78" s="1199">
        <f t="shared" si="304"/>
        <v>0</v>
      </c>
      <c r="EY78" s="1199">
        <f t="shared" si="305"/>
        <v>0</v>
      </c>
      <c r="EZ78" s="1175">
        <f t="shared" si="306"/>
        <v>85175568.229058728</v>
      </c>
      <c r="FA78" s="1177"/>
      <c r="FB78" s="1202">
        <f t="shared" si="307"/>
        <v>26594685.479999997</v>
      </c>
      <c r="FC78" s="1202">
        <f t="shared" si="308"/>
        <v>0</v>
      </c>
      <c r="FD78" s="1202">
        <f t="shared" si="309"/>
        <v>0</v>
      </c>
      <c r="FE78" s="1202">
        <f t="shared" si="310"/>
        <v>0</v>
      </c>
      <c r="FF78" s="1202">
        <f t="shared" si="311"/>
        <v>0</v>
      </c>
      <c r="FG78" s="1202">
        <f t="shared" si="312"/>
        <v>0</v>
      </c>
      <c r="FH78" s="1202">
        <f t="shared" si="313"/>
        <v>0</v>
      </c>
      <c r="FI78" s="1202">
        <f t="shared" si="314"/>
        <v>0</v>
      </c>
      <c r="FJ78" s="1202">
        <f t="shared" si="315"/>
        <v>0</v>
      </c>
      <c r="FK78" s="1202">
        <f t="shared" si="316"/>
        <v>0</v>
      </c>
      <c r="FL78" s="1202">
        <f t="shared" si="317"/>
        <v>0</v>
      </c>
      <c r="FM78" s="1202">
        <f t="shared" si="318"/>
        <v>0</v>
      </c>
      <c r="FN78" s="1202">
        <f t="shared" si="319"/>
        <v>0</v>
      </c>
      <c r="FO78" s="1202">
        <f t="shared" si="320"/>
        <v>0</v>
      </c>
      <c r="FP78" s="1202">
        <f t="shared" si="321"/>
        <v>0</v>
      </c>
      <c r="FQ78" s="1202">
        <f t="shared" si="322"/>
        <v>0</v>
      </c>
      <c r="FR78" s="1202">
        <f t="shared" si="323"/>
        <v>0</v>
      </c>
      <c r="FS78" s="1202">
        <f t="shared" si="324"/>
        <v>0</v>
      </c>
      <c r="FT78" s="1202">
        <f t="shared" si="325"/>
        <v>0</v>
      </c>
      <c r="FU78" s="1202">
        <f t="shared" si="326"/>
        <v>0</v>
      </c>
      <c r="FV78" s="1202">
        <f t="shared" si="327"/>
        <v>0</v>
      </c>
      <c r="FW78" s="1202">
        <f t="shared" si="328"/>
        <v>0</v>
      </c>
      <c r="FX78" s="1202">
        <f t="shared" si="329"/>
        <v>0</v>
      </c>
      <c r="FY78" s="1202">
        <f t="shared" si="330"/>
        <v>0</v>
      </c>
      <c r="FZ78" s="1202">
        <f t="shared" si="331"/>
        <v>2692329.4359315997</v>
      </c>
      <c r="GA78" s="1202">
        <f t="shared" si="332"/>
        <v>27919217.086759724</v>
      </c>
      <c r="GB78" s="1202">
        <f t="shared" si="333"/>
        <v>26480524.354751196</v>
      </c>
      <c r="GC78" s="1202">
        <f t="shared" si="334"/>
        <v>0</v>
      </c>
      <c r="GD78" s="1202">
        <f t="shared" si="335"/>
        <v>0</v>
      </c>
      <c r="GE78" s="1202">
        <f t="shared" si="336"/>
        <v>0</v>
      </c>
      <c r="GF78" s="1202">
        <f t="shared" si="337"/>
        <v>0</v>
      </c>
      <c r="GG78" s="1202">
        <f t="shared" si="338"/>
        <v>0</v>
      </c>
      <c r="GH78" s="1202">
        <f t="shared" si="339"/>
        <v>0</v>
      </c>
      <c r="GI78" s="1202">
        <f t="shared" si="340"/>
        <v>0</v>
      </c>
      <c r="GJ78" s="1202">
        <f t="shared" si="341"/>
        <v>0</v>
      </c>
      <c r="GK78" s="1174">
        <f t="shared" si="342"/>
        <v>83686756.357442513</v>
      </c>
    </row>
    <row r="79" spans="1:193" s="1015" customFormat="1">
      <c r="A79" s="1003"/>
      <c r="B79" s="1149"/>
      <c r="C79" s="1149" t="s">
        <v>247</v>
      </c>
      <c r="D79" s="1204" t="s">
        <v>247</v>
      </c>
      <c r="E79" s="1204" t="s">
        <v>765</v>
      </c>
      <c r="F79" s="1204" t="s">
        <v>784</v>
      </c>
      <c r="G79" s="1204" t="s">
        <v>791</v>
      </c>
      <c r="H79" s="1204" t="s">
        <v>195</v>
      </c>
      <c r="I79" s="1149" t="s">
        <v>744</v>
      </c>
      <c r="J79" s="1176"/>
      <c r="K79" s="1176"/>
      <c r="L79" s="1233">
        <v>1.105</v>
      </c>
      <c r="M79" s="1037"/>
      <c r="N79" s="1037"/>
      <c r="O79" s="1037"/>
      <c r="P79" s="1037"/>
      <c r="Q79" s="1037"/>
      <c r="R79" s="1004"/>
      <c r="S79" s="1004"/>
      <c r="T79" s="1004"/>
      <c r="U79" s="1013"/>
      <c r="V79" s="1013"/>
      <c r="W79" s="1004"/>
      <c r="X79" s="1004"/>
      <c r="Y79" s="1004"/>
      <c r="Z79" s="1004"/>
      <c r="AA79" s="1004"/>
      <c r="AB79" s="1004"/>
      <c r="AC79" s="1013"/>
      <c r="AD79" s="1004"/>
      <c r="AE79" s="1013"/>
      <c r="AF79" s="1004"/>
      <c r="AG79" s="1013"/>
      <c r="AH79" s="1004"/>
      <c r="AI79" s="1035"/>
      <c r="AJ79" s="1224">
        <v>2.2128812392426853E-2</v>
      </c>
      <c r="AK79" s="1224">
        <v>3.195165208835167E-2</v>
      </c>
      <c r="AL79" s="1224">
        <v>4.9922499999999995E-2</v>
      </c>
      <c r="AM79" s="1005"/>
      <c r="AN79" s="1005"/>
      <c r="AO79" s="1005"/>
      <c r="AP79" s="1013"/>
      <c r="AQ79" s="1013"/>
      <c r="AR79" s="1013"/>
      <c r="AS79" s="1005"/>
      <c r="AT79" s="1005"/>
      <c r="AU79" s="1176"/>
      <c r="AV79" s="1176"/>
      <c r="AW79" s="1182">
        <v>1.1000000000000001</v>
      </c>
      <c r="AX79" s="1011"/>
      <c r="AY79" s="1011"/>
      <c r="AZ79" s="1011"/>
      <c r="BA79" s="1011"/>
      <c r="BB79" s="1011"/>
      <c r="BC79" s="1004"/>
      <c r="BD79" s="1004"/>
      <c r="BE79" s="1004"/>
      <c r="BF79" s="1013"/>
      <c r="BG79" s="1013"/>
      <c r="BH79" s="1004"/>
      <c r="BI79" s="1004"/>
      <c r="BJ79" s="1004"/>
      <c r="BK79" s="1004"/>
      <c r="BL79" s="1004"/>
      <c r="BM79" s="1004"/>
      <c r="BN79" s="1013"/>
      <c r="BO79" s="1013"/>
      <c r="BP79" s="1013"/>
      <c r="BQ79" s="1004"/>
      <c r="BR79" s="1035"/>
      <c r="BS79" s="1005"/>
      <c r="BT79" s="1038"/>
      <c r="BU79" s="1183">
        <v>2.1940000000000001E-2</v>
      </c>
      <c r="BV79" s="1183">
        <v>2.9608628336582357E-2</v>
      </c>
      <c r="BW79" s="1183">
        <v>4.9922499999999995E-2</v>
      </c>
      <c r="BX79" s="1005"/>
      <c r="BY79" s="1005"/>
      <c r="BZ79" s="1035"/>
      <c r="CA79" s="1013"/>
      <c r="CB79" s="1013"/>
      <c r="CC79" s="1013"/>
      <c r="CD79" s="1035"/>
      <c r="CE79" s="1035"/>
      <c r="CF79" s="1176"/>
      <c r="CG79" s="1236">
        <v>8874.9</v>
      </c>
      <c r="CH79" s="1004"/>
      <c r="CI79" s="1004"/>
      <c r="CJ79" s="1004"/>
      <c r="CK79" s="1004"/>
      <c r="CL79" s="1004"/>
      <c r="CM79" s="1004"/>
      <c r="CN79" s="1004"/>
      <c r="CO79" s="1008"/>
      <c r="CP79" s="1013"/>
      <c r="CQ79" s="1013"/>
      <c r="CR79" s="1004"/>
      <c r="CS79" s="1004"/>
      <c r="CT79" s="1004"/>
      <c r="CU79" s="1008"/>
      <c r="CV79" s="1004"/>
      <c r="CW79" s="1004"/>
      <c r="CX79" s="1013"/>
      <c r="CY79" s="1013"/>
      <c r="CZ79" s="1013"/>
      <c r="DA79" s="1004"/>
      <c r="DB79" s="1013"/>
      <c r="DC79" s="1004"/>
      <c r="DD79" s="1036"/>
      <c r="DE79" s="1236">
        <v>8577636.0999999996</v>
      </c>
      <c r="DF79" s="1236">
        <v>31885181.449999999</v>
      </c>
      <c r="DG79" s="1236">
        <v>22048009.34</v>
      </c>
      <c r="DH79" s="1014"/>
      <c r="DI79" s="1008"/>
      <c r="DJ79" s="1008"/>
      <c r="DK79" s="1013"/>
      <c r="DL79" s="1013"/>
      <c r="DM79" s="1013"/>
      <c r="DN79" s="1008"/>
      <c r="DO79" s="1008"/>
      <c r="DP79" s="1176"/>
      <c r="DQ79" s="1199">
        <f t="shared" si="271"/>
        <v>3579469.0425</v>
      </c>
      <c r="DR79" s="1199">
        <f t="shared" si="272"/>
        <v>0</v>
      </c>
      <c r="DS79" s="1199">
        <f t="shared" si="273"/>
        <v>0</v>
      </c>
      <c r="DT79" s="1199">
        <f t="shared" si="274"/>
        <v>0</v>
      </c>
      <c r="DU79" s="1199">
        <f t="shared" si="275"/>
        <v>0</v>
      </c>
      <c r="DV79" s="1199">
        <f t="shared" si="276"/>
        <v>0</v>
      </c>
      <c r="DW79" s="1199">
        <f t="shared" si="277"/>
        <v>0</v>
      </c>
      <c r="DX79" s="1199">
        <f t="shared" si="278"/>
        <v>0</v>
      </c>
      <c r="DY79" s="1199">
        <f t="shared" si="279"/>
        <v>0</v>
      </c>
      <c r="DZ79" s="1199">
        <f t="shared" si="280"/>
        <v>0</v>
      </c>
      <c r="EA79" s="1199">
        <f t="shared" si="281"/>
        <v>0</v>
      </c>
      <c r="EB79" s="1199">
        <f t="shared" si="282"/>
        <v>0</v>
      </c>
      <c r="EC79" s="1199">
        <f t="shared" si="283"/>
        <v>0</v>
      </c>
      <c r="ED79" s="1199">
        <f t="shared" si="284"/>
        <v>0</v>
      </c>
      <c r="EE79" s="1199">
        <f t="shared" si="285"/>
        <v>0</v>
      </c>
      <c r="EF79" s="1199">
        <f t="shared" si="286"/>
        <v>0</v>
      </c>
      <c r="EG79" s="1199">
        <f t="shared" si="287"/>
        <v>0</v>
      </c>
      <c r="EH79" s="1199">
        <f t="shared" si="288"/>
        <v>0</v>
      </c>
      <c r="EI79" s="1199">
        <f t="shared" si="289"/>
        <v>0</v>
      </c>
      <c r="EJ79" s="1199">
        <f t="shared" si="290"/>
        <v>0</v>
      </c>
      <c r="EK79" s="1199">
        <f t="shared" si="291"/>
        <v>0</v>
      </c>
      <c r="EL79" s="1199">
        <f t="shared" si="292"/>
        <v>0</v>
      </c>
      <c r="EM79" s="1199">
        <f t="shared" si="293"/>
        <v>0</v>
      </c>
      <c r="EN79" s="1199">
        <f t="shared" si="294"/>
        <v>0</v>
      </c>
      <c r="EO79" s="1199">
        <f t="shared" si="295"/>
        <v>189812.90002740792</v>
      </c>
      <c r="EP79" s="1199">
        <f t="shared" si="296"/>
        <v>1018784.2244643645</v>
      </c>
      <c r="EQ79" s="1199">
        <f t="shared" si="297"/>
        <v>1100691.7462761498</v>
      </c>
      <c r="ER79" s="1199">
        <f t="shared" si="298"/>
        <v>0</v>
      </c>
      <c r="ES79" s="1199">
        <f t="shared" si="299"/>
        <v>0</v>
      </c>
      <c r="ET79" s="1199">
        <f t="shared" si="300"/>
        <v>0</v>
      </c>
      <c r="EU79" s="1199">
        <f t="shared" si="301"/>
        <v>0</v>
      </c>
      <c r="EV79" s="1199">
        <f t="shared" si="302"/>
        <v>0</v>
      </c>
      <c r="EW79" s="1199">
        <f t="shared" si="303"/>
        <v>0</v>
      </c>
      <c r="EX79" s="1199">
        <f t="shared" si="304"/>
        <v>0</v>
      </c>
      <c r="EY79" s="1199">
        <f t="shared" si="305"/>
        <v>0</v>
      </c>
      <c r="EZ79" s="1175">
        <f t="shared" si="306"/>
        <v>5888757.9132679217</v>
      </c>
      <c r="FA79" s="1177"/>
      <c r="FB79" s="1202">
        <f t="shared" si="307"/>
        <v>3563272.3500000006</v>
      </c>
      <c r="FC79" s="1202">
        <f t="shared" si="308"/>
        <v>0</v>
      </c>
      <c r="FD79" s="1202">
        <f t="shared" si="309"/>
        <v>0</v>
      </c>
      <c r="FE79" s="1202">
        <f t="shared" si="310"/>
        <v>0</v>
      </c>
      <c r="FF79" s="1202">
        <f t="shared" si="311"/>
        <v>0</v>
      </c>
      <c r="FG79" s="1202">
        <f t="shared" si="312"/>
        <v>0</v>
      </c>
      <c r="FH79" s="1202">
        <f t="shared" si="313"/>
        <v>0</v>
      </c>
      <c r="FI79" s="1202">
        <f t="shared" si="314"/>
        <v>0</v>
      </c>
      <c r="FJ79" s="1202">
        <f t="shared" si="315"/>
        <v>0</v>
      </c>
      <c r="FK79" s="1202">
        <f t="shared" si="316"/>
        <v>0</v>
      </c>
      <c r="FL79" s="1202">
        <f t="shared" si="317"/>
        <v>0</v>
      </c>
      <c r="FM79" s="1202">
        <f t="shared" si="318"/>
        <v>0</v>
      </c>
      <c r="FN79" s="1202">
        <f t="shared" si="319"/>
        <v>0</v>
      </c>
      <c r="FO79" s="1202">
        <f t="shared" si="320"/>
        <v>0</v>
      </c>
      <c r="FP79" s="1202">
        <f t="shared" si="321"/>
        <v>0</v>
      </c>
      <c r="FQ79" s="1202">
        <f t="shared" si="322"/>
        <v>0</v>
      </c>
      <c r="FR79" s="1202">
        <f t="shared" si="323"/>
        <v>0</v>
      </c>
      <c r="FS79" s="1202">
        <f t="shared" si="324"/>
        <v>0</v>
      </c>
      <c r="FT79" s="1202">
        <f t="shared" si="325"/>
        <v>0</v>
      </c>
      <c r="FU79" s="1202">
        <f t="shared" si="326"/>
        <v>0</v>
      </c>
      <c r="FV79" s="1202">
        <f t="shared" si="327"/>
        <v>0</v>
      </c>
      <c r="FW79" s="1202">
        <f t="shared" si="328"/>
        <v>0</v>
      </c>
      <c r="FX79" s="1202">
        <f t="shared" si="329"/>
        <v>0</v>
      </c>
      <c r="FY79" s="1202">
        <f t="shared" si="330"/>
        <v>0</v>
      </c>
      <c r="FZ79" s="1202">
        <f t="shared" si="331"/>
        <v>188193.33603400001</v>
      </c>
      <c r="GA79" s="1202">
        <f t="shared" si="332"/>
        <v>944076.48699754011</v>
      </c>
      <c r="GB79" s="1202">
        <f t="shared" si="333"/>
        <v>1100691.7462761498</v>
      </c>
      <c r="GC79" s="1202">
        <f t="shared" si="334"/>
        <v>0</v>
      </c>
      <c r="GD79" s="1202">
        <f t="shared" si="335"/>
        <v>0</v>
      </c>
      <c r="GE79" s="1202">
        <f t="shared" si="336"/>
        <v>0</v>
      </c>
      <c r="GF79" s="1202">
        <f t="shared" si="337"/>
        <v>0</v>
      </c>
      <c r="GG79" s="1202">
        <f t="shared" si="338"/>
        <v>0</v>
      </c>
      <c r="GH79" s="1202">
        <f t="shared" si="339"/>
        <v>0</v>
      </c>
      <c r="GI79" s="1202">
        <f t="shared" si="340"/>
        <v>0</v>
      </c>
      <c r="GJ79" s="1202">
        <f t="shared" si="341"/>
        <v>0</v>
      </c>
      <c r="GK79" s="1174">
        <f t="shared" si="342"/>
        <v>5796233.9193076901</v>
      </c>
    </row>
    <row r="80" spans="1:193" s="1015" customFormat="1">
      <c r="A80" s="1003"/>
      <c r="B80" s="1149"/>
      <c r="C80" s="1149" t="s">
        <v>248</v>
      </c>
      <c r="D80" s="1204" t="s">
        <v>248</v>
      </c>
      <c r="E80" s="1204" t="s">
        <v>765</v>
      </c>
      <c r="F80" s="1204" t="s">
        <v>784</v>
      </c>
      <c r="G80" s="1204" t="s">
        <v>789</v>
      </c>
      <c r="H80" s="1204" t="s">
        <v>835</v>
      </c>
      <c r="I80" s="1149" t="s">
        <v>744</v>
      </c>
      <c r="J80" s="1176"/>
      <c r="K80" s="1176"/>
      <c r="L80" s="1233">
        <v>1</v>
      </c>
      <c r="M80" s="1037"/>
      <c r="N80" s="1037"/>
      <c r="O80" s="1037"/>
      <c r="P80" s="1037"/>
      <c r="Q80" s="1037"/>
      <c r="R80" s="1004"/>
      <c r="S80" s="1004"/>
      <c r="T80" s="1004"/>
      <c r="U80" s="1013"/>
      <c r="V80" s="1013"/>
      <c r="W80" s="1004"/>
      <c r="X80" s="1004"/>
      <c r="Y80" s="1004"/>
      <c r="Z80" s="1004"/>
      <c r="AA80" s="1004"/>
      <c r="AB80" s="1004"/>
      <c r="AC80" s="1013"/>
      <c r="AD80" s="1004"/>
      <c r="AE80" s="1013"/>
      <c r="AF80" s="1004"/>
      <c r="AG80" s="1013"/>
      <c r="AH80" s="1004"/>
      <c r="AI80" s="1035"/>
      <c r="AJ80" s="1035"/>
      <c r="AK80" s="1005"/>
      <c r="AL80" s="1016"/>
      <c r="AM80" s="1224">
        <v>0.12665043640001636</v>
      </c>
      <c r="AN80" s="1224">
        <v>2.486673236373612E-2</v>
      </c>
      <c r="AO80" s="1224">
        <v>1.8320965190146712E-2</v>
      </c>
      <c r="AP80" s="1013"/>
      <c r="AQ80" s="1013"/>
      <c r="AR80" s="1013"/>
      <c r="AS80" s="1005"/>
      <c r="AT80" s="1005"/>
      <c r="AU80" s="1176"/>
      <c r="AV80" s="1176"/>
      <c r="AW80" s="1231">
        <v>1</v>
      </c>
      <c r="AX80" s="1011"/>
      <c r="AY80" s="1011"/>
      <c r="AZ80" s="1011"/>
      <c r="BA80" s="1011"/>
      <c r="BB80" s="1011"/>
      <c r="BC80" s="1004"/>
      <c r="BD80" s="1004"/>
      <c r="BE80" s="1004"/>
      <c r="BF80" s="1013"/>
      <c r="BG80" s="1013"/>
      <c r="BH80" s="1004"/>
      <c r="BI80" s="1004"/>
      <c r="BJ80" s="1004"/>
      <c r="BK80" s="1004"/>
      <c r="BL80" s="1004"/>
      <c r="BM80" s="1004"/>
      <c r="BN80" s="1013"/>
      <c r="BO80" s="1013"/>
      <c r="BP80" s="1013"/>
      <c r="BQ80" s="1004"/>
      <c r="BR80" s="1035"/>
      <c r="BS80" s="1005"/>
      <c r="BT80" s="1038"/>
      <c r="BU80" s="1005"/>
      <c r="BV80" s="1005"/>
      <c r="BW80" s="1016"/>
      <c r="BX80" s="1183">
        <v>0.12041499999999999</v>
      </c>
      <c r="BY80" s="1183">
        <v>2.3018163730441538E-2</v>
      </c>
      <c r="BZ80" s="1228">
        <v>1.7736633267619137E-2</v>
      </c>
      <c r="CA80" s="1013"/>
      <c r="CB80" s="1013"/>
      <c r="CC80" s="1013"/>
      <c r="CD80" s="1035"/>
      <c r="CE80" s="1035"/>
      <c r="CF80" s="1176"/>
      <c r="CG80" s="1236">
        <v>313.58999999999992</v>
      </c>
      <c r="CH80" s="1004"/>
      <c r="CI80" s="1004"/>
      <c r="CJ80" s="1004"/>
      <c r="CK80" s="1004"/>
      <c r="CL80" s="1004"/>
      <c r="CM80" s="1004"/>
      <c r="CN80" s="1004"/>
      <c r="CO80" s="1008"/>
      <c r="CP80" s="1013"/>
      <c r="CQ80" s="1013"/>
      <c r="CR80" s="1004"/>
      <c r="CS80" s="1004"/>
      <c r="CT80" s="1004"/>
      <c r="CU80" s="1008"/>
      <c r="CV80" s="1004"/>
      <c r="CW80" s="1004"/>
      <c r="CX80" s="1013"/>
      <c r="CY80" s="1013"/>
      <c r="CZ80" s="1013"/>
      <c r="DA80" s="1004"/>
      <c r="DB80" s="1013"/>
      <c r="DC80" s="1004"/>
      <c r="DD80" s="1036"/>
      <c r="DE80" s="1036"/>
      <c r="DF80" s="1008"/>
      <c r="DG80" s="1010"/>
      <c r="DH80" s="1236">
        <v>696716.83</v>
      </c>
      <c r="DI80" s="1236">
        <v>971832.5199999999</v>
      </c>
      <c r="DJ80" s="1236">
        <v>612514.5</v>
      </c>
      <c r="DK80" s="1013"/>
      <c r="DL80" s="1013"/>
      <c r="DM80" s="1013"/>
      <c r="DN80" s="1008"/>
      <c r="DO80" s="1008"/>
      <c r="DP80" s="1176"/>
      <c r="DQ80" s="1199">
        <f t="shared" si="271"/>
        <v>114460.34999999998</v>
      </c>
      <c r="DR80" s="1199">
        <f t="shared" si="272"/>
        <v>0</v>
      </c>
      <c r="DS80" s="1199">
        <f t="shared" si="273"/>
        <v>0</v>
      </c>
      <c r="DT80" s="1199">
        <f t="shared" si="274"/>
        <v>0</v>
      </c>
      <c r="DU80" s="1199">
        <f t="shared" si="275"/>
        <v>0</v>
      </c>
      <c r="DV80" s="1199">
        <f t="shared" si="276"/>
        <v>0</v>
      </c>
      <c r="DW80" s="1199">
        <f t="shared" si="277"/>
        <v>0</v>
      </c>
      <c r="DX80" s="1199">
        <f t="shared" si="278"/>
        <v>0</v>
      </c>
      <c r="DY80" s="1199">
        <f t="shared" si="279"/>
        <v>0</v>
      </c>
      <c r="DZ80" s="1199">
        <f t="shared" si="280"/>
        <v>0</v>
      </c>
      <c r="EA80" s="1199">
        <f t="shared" si="281"/>
        <v>0</v>
      </c>
      <c r="EB80" s="1199">
        <f t="shared" si="282"/>
        <v>0</v>
      </c>
      <c r="EC80" s="1199">
        <f t="shared" si="283"/>
        <v>0</v>
      </c>
      <c r="ED80" s="1199">
        <f t="shared" si="284"/>
        <v>0</v>
      </c>
      <c r="EE80" s="1199">
        <f t="shared" si="285"/>
        <v>0</v>
      </c>
      <c r="EF80" s="1199">
        <f t="shared" si="286"/>
        <v>0</v>
      </c>
      <c r="EG80" s="1199">
        <f t="shared" si="287"/>
        <v>0</v>
      </c>
      <c r="EH80" s="1199">
        <f t="shared" si="288"/>
        <v>0</v>
      </c>
      <c r="EI80" s="1199">
        <f t="shared" si="289"/>
        <v>0</v>
      </c>
      <c r="EJ80" s="1199">
        <f t="shared" si="290"/>
        <v>0</v>
      </c>
      <c r="EK80" s="1199">
        <f t="shared" si="291"/>
        <v>0</v>
      </c>
      <c r="EL80" s="1199">
        <f t="shared" si="292"/>
        <v>0</v>
      </c>
      <c r="EM80" s="1199">
        <f t="shared" si="293"/>
        <v>0</v>
      </c>
      <c r="EN80" s="1199">
        <f t="shared" si="294"/>
        <v>0</v>
      </c>
      <c r="EO80" s="1199">
        <f t="shared" si="295"/>
        <v>0</v>
      </c>
      <c r="EP80" s="1199">
        <f t="shared" si="296"/>
        <v>0</v>
      </c>
      <c r="EQ80" s="1199">
        <f t="shared" si="297"/>
        <v>0</v>
      </c>
      <c r="ER80" s="1199">
        <f t="shared" si="298"/>
        <v>88239.490566736</v>
      </c>
      <c r="ES80" s="1199">
        <f t="shared" si="299"/>
        <v>24166.299177215227</v>
      </c>
      <c r="ET80" s="1199">
        <f t="shared" si="300"/>
        <v>11221.856832960118</v>
      </c>
      <c r="EU80" s="1199">
        <f t="shared" si="301"/>
        <v>0</v>
      </c>
      <c r="EV80" s="1199">
        <f t="shared" si="302"/>
        <v>0</v>
      </c>
      <c r="EW80" s="1199">
        <f t="shared" si="303"/>
        <v>0</v>
      </c>
      <c r="EX80" s="1199">
        <f t="shared" si="304"/>
        <v>0</v>
      </c>
      <c r="EY80" s="1199">
        <f t="shared" si="305"/>
        <v>0</v>
      </c>
      <c r="EZ80" s="1175">
        <f t="shared" si="306"/>
        <v>238087.99657691133</v>
      </c>
      <c r="FA80" s="1177"/>
      <c r="FB80" s="1202">
        <f t="shared" si="307"/>
        <v>114460.34999999998</v>
      </c>
      <c r="FC80" s="1202">
        <f t="shared" si="308"/>
        <v>0</v>
      </c>
      <c r="FD80" s="1202">
        <f t="shared" si="309"/>
        <v>0</v>
      </c>
      <c r="FE80" s="1202">
        <f t="shared" si="310"/>
        <v>0</v>
      </c>
      <c r="FF80" s="1202">
        <f t="shared" si="311"/>
        <v>0</v>
      </c>
      <c r="FG80" s="1202">
        <f t="shared" si="312"/>
        <v>0</v>
      </c>
      <c r="FH80" s="1202">
        <f t="shared" si="313"/>
        <v>0</v>
      </c>
      <c r="FI80" s="1202">
        <f t="shared" si="314"/>
        <v>0</v>
      </c>
      <c r="FJ80" s="1202">
        <f t="shared" si="315"/>
        <v>0</v>
      </c>
      <c r="FK80" s="1202">
        <f t="shared" si="316"/>
        <v>0</v>
      </c>
      <c r="FL80" s="1202">
        <f t="shared" si="317"/>
        <v>0</v>
      </c>
      <c r="FM80" s="1202">
        <f t="shared" si="318"/>
        <v>0</v>
      </c>
      <c r="FN80" s="1202">
        <f t="shared" si="319"/>
        <v>0</v>
      </c>
      <c r="FO80" s="1202">
        <f t="shared" si="320"/>
        <v>0</v>
      </c>
      <c r="FP80" s="1202">
        <f t="shared" si="321"/>
        <v>0</v>
      </c>
      <c r="FQ80" s="1202">
        <f t="shared" si="322"/>
        <v>0</v>
      </c>
      <c r="FR80" s="1202">
        <f t="shared" si="323"/>
        <v>0</v>
      </c>
      <c r="FS80" s="1202">
        <f t="shared" si="324"/>
        <v>0</v>
      </c>
      <c r="FT80" s="1202">
        <f t="shared" si="325"/>
        <v>0</v>
      </c>
      <c r="FU80" s="1202">
        <f t="shared" si="326"/>
        <v>0</v>
      </c>
      <c r="FV80" s="1202">
        <f t="shared" si="327"/>
        <v>0</v>
      </c>
      <c r="FW80" s="1202">
        <f t="shared" si="328"/>
        <v>0</v>
      </c>
      <c r="FX80" s="1202">
        <f t="shared" si="329"/>
        <v>0</v>
      </c>
      <c r="FY80" s="1202">
        <f t="shared" si="330"/>
        <v>0</v>
      </c>
      <c r="FZ80" s="1202">
        <f t="shared" si="331"/>
        <v>0</v>
      </c>
      <c r="GA80" s="1202">
        <f t="shared" si="332"/>
        <v>0</v>
      </c>
      <c r="GB80" s="1202">
        <f t="shared" si="333"/>
        <v>0</v>
      </c>
      <c r="GC80" s="1202">
        <f t="shared" si="334"/>
        <v>83895.157084449995</v>
      </c>
      <c r="GD80" s="1202">
        <f t="shared" si="335"/>
        <v>22369.8000639276</v>
      </c>
      <c r="GE80" s="1202">
        <f t="shared" si="336"/>
        <v>10863.945057599101</v>
      </c>
      <c r="GF80" s="1202">
        <f t="shared" si="337"/>
        <v>0</v>
      </c>
      <c r="GG80" s="1202">
        <f t="shared" si="338"/>
        <v>0</v>
      </c>
      <c r="GH80" s="1202">
        <f t="shared" si="339"/>
        <v>0</v>
      </c>
      <c r="GI80" s="1202">
        <f t="shared" si="340"/>
        <v>0</v>
      </c>
      <c r="GJ80" s="1202">
        <f t="shared" si="341"/>
        <v>0</v>
      </c>
      <c r="GK80" s="1174">
        <f t="shared" si="342"/>
        <v>231589.25220597669</v>
      </c>
    </row>
    <row r="81" spans="1:193" s="1015" customFormat="1">
      <c r="A81" s="1003"/>
      <c r="B81" s="1149"/>
      <c r="C81" s="1149" t="s">
        <v>249</v>
      </c>
      <c r="D81" s="1204" t="s">
        <v>249</v>
      </c>
      <c r="E81" s="1204" t="s">
        <v>765</v>
      </c>
      <c r="F81" s="1204" t="s">
        <v>784</v>
      </c>
      <c r="G81" s="1204" t="s">
        <v>790</v>
      </c>
      <c r="H81" s="1204" t="s">
        <v>838</v>
      </c>
      <c r="I81" s="1149" t="s">
        <v>744</v>
      </c>
      <c r="J81" s="1176"/>
      <c r="K81" s="1176"/>
      <c r="L81" s="1233">
        <v>1.5</v>
      </c>
      <c r="M81" s="1037"/>
      <c r="N81" s="1037"/>
      <c r="O81" s="1037"/>
      <c r="P81" s="1037"/>
      <c r="Q81" s="1037"/>
      <c r="R81" s="1004"/>
      <c r="S81" s="1004"/>
      <c r="T81" s="1004"/>
      <c r="U81" s="1013"/>
      <c r="V81" s="1013"/>
      <c r="W81" s="1004"/>
      <c r="X81" s="1004"/>
      <c r="Y81" s="1004"/>
      <c r="Z81" s="1004"/>
      <c r="AA81" s="1004"/>
      <c r="AB81" s="1004"/>
      <c r="AC81" s="1013"/>
      <c r="AD81" s="1004"/>
      <c r="AE81" s="1013"/>
      <c r="AF81" s="1004"/>
      <c r="AG81" s="1013"/>
      <c r="AH81" s="1004"/>
      <c r="AI81" s="1035"/>
      <c r="AJ81" s="1035"/>
      <c r="AK81" s="1005"/>
      <c r="AL81" s="1016"/>
      <c r="AM81" s="1224">
        <v>0.50244975880182885</v>
      </c>
      <c r="AN81" s="1224">
        <v>0.13320967952416535</v>
      </c>
      <c r="AO81" s="1224">
        <v>5.2301328836840716E-2</v>
      </c>
      <c r="AP81" s="1013"/>
      <c r="AQ81" s="1013"/>
      <c r="AR81" s="1013"/>
      <c r="AS81" s="1005"/>
      <c r="AT81" s="1005"/>
      <c r="AU81" s="1176"/>
      <c r="AV81" s="1176"/>
      <c r="AW81" s="1231">
        <v>1.5</v>
      </c>
      <c r="AX81" s="1011"/>
      <c r="AY81" s="1011"/>
      <c r="AZ81" s="1011"/>
      <c r="BA81" s="1011"/>
      <c r="BB81" s="1011"/>
      <c r="BC81" s="1004"/>
      <c r="BD81" s="1004"/>
      <c r="BE81" s="1004"/>
      <c r="BF81" s="1013"/>
      <c r="BG81" s="1013"/>
      <c r="BH81" s="1004"/>
      <c r="BI81" s="1004"/>
      <c r="BJ81" s="1004"/>
      <c r="BK81" s="1004"/>
      <c r="BL81" s="1004"/>
      <c r="BM81" s="1004"/>
      <c r="BN81" s="1013"/>
      <c r="BO81" s="1013"/>
      <c r="BP81" s="1013"/>
      <c r="BQ81" s="1004"/>
      <c r="BR81" s="1035"/>
      <c r="BS81" s="1005"/>
      <c r="BT81" s="1038"/>
      <c r="BU81" s="1005"/>
      <c r="BV81" s="1005"/>
      <c r="BW81" s="1016"/>
      <c r="BX81" s="1183">
        <v>0.47771612671981756</v>
      </c>
      <c r="BY81" s="1183">
        <v>0.14051678279313368</v>
      </c>
      <c r="BZ81" s="1228">
        <v>5.1547609020413332E-2</v>
      </c>
      <c r="CA81" s="1013"/>
      <c r="CB81" s="1013"/>
      <c r="CC81" s="1013"/>
      <c r="CD81" s="1035"/>
      <c r="CE81" s="1035"/>
      <c r="CF81" s="1176"/>
      <c r="CG81" s="1236">
        <v>21.55</v>
      </c>
      <c r="CH81" s="1004"/>
      <c r="CI81" s="1004"/>
      <c r="CJ81" s="1004"/>
      <c r="CK81" s="1004"/>
      <c r="CL81" s="1004"/>
      <c r="CM81" s="1004"/>
      <c r="CN81" s="1004"/>
      <c r="CO81" s="1008"/>
      <c r="CP81" s="1013"/>
      <c r="CQ81" s="1013"/>
      <c r="CR81" s="1004"/>
      <c r="CS81" s="1004"/>
      <c r="CT81" s="1004"/>
      <c r="CU81" s="1008"/>
      <c r="CV81" s="1004"/>
      <c r="CW81" s="1004"/>
      <c r="CX81" s="1013"/>
      <c r="CY81" s="1013"/>
      <c r="CZ81" s="1013"/>
      <c r="DA81" s="1004"/>
      <c r="DB81" s="1013"/>
      <c r="DC81" s="1004"/>
      <c r="DD81" s="1036"/>
      <c r="DE81" s="1036"/>
      <c r="DF81" s="1008"/>
      <c r="DG81" s="1010"/>
      <c r="DH81" s="1236">
        <v>69777.309999999983</v>
      </c>
      <c r="DI81" s="1236">
        <v>93150.909999999989</v>
      </c>
      <c r="DJ81" s="1236">
        <v>57571.759999999995</v>
      </c>
      <c r="DK81" s="1013"/>
      <c r="DL81" s="1013"/>
      <c r="DM81" s="1013"/>
      <c r="DN81" s="1008"/>
      <c r="DO81" s="1008"/>
      <c r="DP81" s="1176"/>
      <c r="DQ81" s="1199">
        <f t="shared" si="271"/>
        <v>11798.625000000002</v>
      </c>
      <c r="DR81" s="1199">
        <f t="shared" si="272"/>
        <v>0</v>
      </c>
      <c r="DS81" s="1199">
        <f t="shared" si="273"/>
        <v>0</v>
      </c>
      <c r="DT81" s="1199">
        <f t="shared" si="274"/>
        <v>0</v>
      </c>
      <c r="DU81" s="1199">
        <f t="shared" si="275"/>
        <v>0</v>
      </c>
      <c r="DV81" s="1199">
        <f t="shared" si="276"/>
        <v>0</v>
      </c>
      <c r="DW81" s="1199">
        <f t="shared" si="277"/>
        <v>0</v>
      </c>
      <c r="DX81" s="1199">
        <f t="shared" si="278"/>
        <v>0</v>
      </c>
      <c r="DY81" s="1199">
        <f t="shared" si="279"/>
        <v>0</v>
      </c>
      <c r="DZ81" s="1199">
        <f t="shared" si="280"/>
        <v>0</v>
      </c>
      <c r="EA81" s="1199">
        <f t="shared" si="281"/>
        <v>0</v>
      </c>
      <c r="EB81" s="1199">
        <f t="shared" si="282"/>
        <v>0</v>
      </c>
      <c r="EC81" s="1199">
        <f t="shared" si="283"/>
        <v>0</v>
      </c>
      <c r="ED81" s="1199">
        <f t="shared" si="284"/>
        <v>0</v>
      </c>
      <c r="EE81" s="1199">
        <f t="shared" si="285"/>
        <v>0</v>
      </c>
      <c r="EF81" s="1199">
        <f t="shared" si="286"/>
        <v>0</v>
      </c>
      <c r="EG81" s="1199">
        <f t="shared" si="287"/>
        <v>0</v>
      </c>
      <c r="EH81" s="1199">
        <f t="shared" si="288"/>
        <v>0</v>
      </c>
      <c r="EI81" s="1199">
        <f t="shared" si="289"/>
        <v>0</v>
      </c>
      <c r="EJ81" s="1199">
        <f t="shared" si="290"/>
        <v>0</v>
      </c>
      <c r="EK81" s="1199">
        <f t="shared" si="291"/>
        <v>0</v>
      </c>
      <c r="EL81" s="1199">
        <f t="shared" si="292"/>
        <v>0</v>
      </c>
      <c r="EM81" s="1199">
        <f t="shared" si="293"/>
        <v>0</v>
      </c>
      <c r="EN81" s="1199">
        <f t="shared" si="294"/>
        <v>0</v>
      </c>
      <c r="EO81" s="1199">
        <f t="shared" si="295"/>
        <v>0</v>
      </c>
      <c r="EP81" s="1199">
        <f t="shared" si="296"/>
        <v>0</v>
      </c>
      <c r="EQ81" s="1199">
        <f t="shared" si="297"/>
        <v>0</v>
      </c>
      <c r="ER81" s="1199">
        <f t="shared" si="298"/>
        <v>35059.592579340431</v>
      </c>
      <c r="ES81" s="1199">
        <f t="shared" si="299"/>
        <v>12408.602868484368</v>
      </c>
      <c r="ET81" s="1199">
        <f t="shared" si="300"/>
        <v>3011.0795514756724</v>
      </c>
      <c r="EU81" s="1199">
        <f t="shared" si="301"/>
        <v>0</v>
      </c>
      <c r="EV81" s="1199">
        <f t="shared" si="302"/>
        <v>0</v>
      </c>
      <c r="EW81" s="1199">
        <f t="shared" si="303"/>
        <v>0</v>
      </c>
      <c r="EX81" s="1199">
        <f t="shared" si="304"/>
        <v>0</v>
      </c>
      <c r="EY81" s="1199">
        <f t="shared" si="305"/>
        <v>0</v>
      </c>
      <c r="EZ81" s="1175">
        <f t="shared" si="306"/>
        <v>62277.899999300476</v>
      </c>
      <c r="FA81" s="1177"/>
      <c r="FB81" s="1202">
        <f t="shared" si="307"/>
        <v>11798.625000000002</v>
      </c>
      <c r="FC81" s="1202">
        <f t="shared" si="308"/>
        <v>0</v>
      </c>
      <c r="FD81" s="1202">
        <f t="shared" si="309"/>
        <v>0</v>
      </c>
      <c r="FE81" s="1202">
        <f t="shared" si="310"/>
        <v>0</v>
      </c>
      <c r="FF81" s="1202">
        <f t="shared" si="311"/>
        <v>0</v>
      </c>
      <c r="FG81" s="1202">
        <f t="shared" si="312"/>
        <v>0</v>
      </c>
      <c r="FH81" s="1202">
        <f t="shared" si="313"/>
        <v>0</v>
      </c>
      <c r="FI81" s="1202">
        <f t="shared" si="314"/>
        <v>0</v>
      </c>
      <c r="FJ81" s="1202">
        <f t="shared" si="315"/>
        <v>0</v>
      </c>
      <c r="FK81" s="1202">
        <f t="shared" si="316"/>
        <v>0</v>
      </c>
      <c r="FL81" s="1202">
        <f t="shared" si="317"/>
        <v>0</v>
      </c>
      <c r="FM81" s="1202">
        <f t="shared" si="318"/>
        <v>0</v>
      </c>
      <c r="FN81" s="1202">
        <f t="shared" si="319"/>
        <v>0</v>
      </c>
      <c r="FO81" s="1202">
        <f t="shared" si="320"/>
        <v>0</v>
      </c>
      <c r="FP81" s="1202">
        <f t="shared" si="321"/>
        <v>0</v>
      </c>
      <c r="FQ81" s="1202">
        <f t="shared" si="322"/>
        <v>0</v>
      </c>
      <c r="FR81" s="1202">
        <f t="shared" si="323"/>
        <v>0</v>
      </c>
      <c r="FS81" s="1202">
        <f t="shared" si="324"/>
        <v>0</v>
      </c>
      <c r="FT81" s="1202">
        <f t="shared" si="325"/>
        <v>0</v>
      </c>
      <c r="FU81" s="1202">
        <f t="shared" si="326"/>
        <v>0</v>
      </c>
      <c r="FV81" s="1202">
        <f t="shared" si="327"/>
        <v>0</v>
      </c>
      <c r="FW81" s="1202">
        <f t="shared" si="328"/>
        <v>0</v>
      </c>
      <c r="FX81" s="1202">
        <f t="shared" si="329"/>
        <v>0</v>
      </c>
      <c r="FY81" s="1202">
        <f t="shared" si="330"/>
        <v>0</v>
      </c>
      <c r="FZ81" s="1202">
        <f t="shared" si="331"/>
        <v>0</v>
      </c>
      <c r="GA81" s="1202">
        <f t="shared" si="332"/>
        <v>0</v>
      </c>
      <c r="GB81" s="1202">
        <f t="shared" si="333"/>
        <v>0</v>
      </c>
      <c r="GC81" s="1202">
        <f t="shared" si="334"/>
        <v>33333.746266127986</v>
      </c>
      <c r="GD81" s="1202">
        <f t="shared" si="335"/>
        <v>13089.266187452742</v>
      </c>
      <c r="GE81" s="1202">
        <f t="shared" si="336"/>
        <v>2967.686575097071</v>
      </c>
      <c r="GF81" s="1202">
        <f t="shared" si="337"/>
        <v>0</v>
      </c>
      <c r="GG81" s="1202">
        <f t="shared" si="338"/>
        <v>0</v>
      </c>
      <c r="GH81" s="1202">
        <f t="shared" si="339"/>
        <v>0</v>
      </c>
      <c r="GI81" s="1202">
        <f t="shared" si="340"/>
        <v>0</v>
      </c>
      <c r="GJ81" s="1202">
        <f t="shared" si="341"/>
        <v>0</v>
      </c>
      <c r="GK81" s="1174">
        <f t="shared" si="342"/>
        <v>61189.324028677795</v>
      </c>
    </row>
    <row r="82" spans="1:193" s="1015" customFormat="1">
      <c r="A82" s="1003"/>
      <c r="B82" s="1149"/>
      <c r="C82" s="1149" t="s">
        <v>250</v>
      </c>
      <c r="D82" s="1204" t="s">
        <v>250</v>
      </c>
      <c r="E82" s="1204" t="s">
        <v>765</v>
      </c>
      <c r="F82" s="1204" t="s">
        <v>784</v>
      </c>
      <c r="G82" s="1204" t="s">
        <v>791</v>
      </c>
      <c r="H82" s="1204" t="s">
        <v>841</v>
      </c>
      <c r="I82" s="1149" t="s">
        <v>744</v>
      </c>
      <c r="J82" s="1176"/>
      <c r="K82" s="1176"/>
      <c r="L82" s="1233">
        <v>1</v>
      </c>
      <c r="M82" s="1037"/>
      <c r="N82" s="1037"/>
      <c r="O82" s="1037"/>
      <c r="P82" s="1037"/>
      <c r="Q82" s="1037"/>
      <c r="R82" s="1004"/>
      <c r="S82" s="1004"/>
      <c r="T82" s="1004"/>
      <c r="U82" s="1013"/>
      <c r="V82" s="1013"/>
      <c r="W82" s="1004"/>
      <c r="X82" s="1004"/>
      <c r="Y82" s="1004"/>
      <c r="Z82" s="1004"/>
      <c r="AA82" s="1004"/>
      <c r="AB82" s="1004"/>
      <c r="AC82" s="1013"/>
      <c r="AD82" s="1004"/>
      <c r="AE82" s="1013"/>
      <c r="AF82" s="1004"/>
      <c r="AG82" s="1013"/>
      <c r="AH82" s="1004"/>
      <c r="AI82" s="1035"/>
      <c r="AJ82" s="1035"/>
      <c r="AK82" s="1005"/>
      <c r="AL82" s="1016"/>
      <c r="AM82" s="1224">
        <v>7.7649017951038221E-2</v>
      </c>
      <c r="AN82" s="1224">
        <v>2.1988799999999999E-2</v>
      </c>
      <c r="AO82" s="1224">
        <v>1.8850797997973373E-2</v>
      </c>
      <c r="AP82" s="1013"/>
      <c r="AQ82" s="1013"/>
      <c r="AR82" s="1013"/>
      <c r="AS82" s="1005"/>
      <c r="AT82" s="1005"/>
      <c r="AU82" s="1176"/>
      <c r="AV82" s="1176"/>
      <c r="AW82" s="1231">
        <v>1</v>
      </c>
      <c r="AX82" s="1011"/>
      <c r="AY82" s="1011"/>
      <c r="AZ82" s="1011"/>
      <c r="BA82" s="1011"/>
      <c r="BB82" s="1011"/>
      <c r="BC82" s="1004"/>
      <c r="BD82" s="1004"/>
      <c r="BE82" s="1004"/>
      <c r="BF82" s="1013"/>
      <c r="BG82" s="1013"/>
      <c r="BH82" s="1004"/>
      <c r="BI82" s="1004"/>
      <c r="BJ82" s="1004"/>
      <c r="BK82" s="1004"/>
      <c r="BL82" s="1004"/>
      <c r="BM82" s="1004"/>
      <c r="BN82" s="1013"/>
      <c r="BO82" s="1013"/>
      <c r="BP82" s="1013"/>
      <c r="BQ82" s="1004"/>
      <c r="BR82" s="1035"/>
      <c r="BS82" s="1005"/>
      <c r="BT82" s="1038"/>
      <c r="BU82" s="1005"/>
      <c r="BV82" s="1005"/>
      <c r="BW82" s="1016"/>
      <c r="BX82" s="1183">
        <v>7.383000306466575E-2</v>
      </c>
      <c r="BY82" s="1183">
        <v>2.1599999999999998E-2</v>
      </c>
      <c r="BZ82" s="1228">
        <v>1.8548648587796659E-2</v>
      </c>
      <c r="CA82" s="1013"/>
      <c r="CB82" s="1013"/>
      <c r="CC82" s="1013"/>
      <c r="CD82" s="1035"/>
      <c r="CE82" s="1035"/>
      <c r="CF82" s="1176"/>
      <c r="CG82" s="1236">
        <v>0</v>
      </c>
      <c r="CH82" s="1004"/>
      <c r="CI82" s="1004"/>
      <c r="CJ82" s="1004"/>
      <c r="CK82" s="1004"/>
      <c r="CL82" s="1004"/>
      <c r="CM82" s="1004"/>
      <c r="CN82" s="1004"/>
      <c r="CO82" s="1008"/>
      <c r="CP82" s="1013"/>
      <c r="CQ82" s="1013"/>
      <c r="CR82" s="1004"/>
      <c r="CS82" s="1004"/>
      <c r="CT82" s="1004"/>
      <c r="CU82" s="1008"/>
      <c r="CV82" s="1004"/>
      <c r="CW82" s="1004"/>
      <c r="CX82" s="1013"/>
      <c r="CY82" s="1013"/>
      <c r="CZ82" s="1013"/>
      <c r="DA82" s="1004"/>
      <c r="DB82" s="1013"/>
      <c r="DC82" s="1004"/>
      <c r="DD82" s="1036"/>
      <c r="DE82" s="1036"/>
      <c r="DF82" s="1008"/>
      <c r="DG82" s="1010"/>
      <c r="DH82" s="1236">
        <v>0</v>
      </c>
      <c r="DI82" s="1236">
        <v>0</v>
      </c>
      <c r="DJ82" s="1236">
        <v>0</v>
      </c>
      <c r="DK82" s="1013"/>
      <c r="DL82" s="1013"/>
      <c r="DM82" s="1013"/>
      <c r="DN82" s="1008"/>
      <c r="DO82" s="1008"/>
      <c r="DP82" s="1176"/>
      <c r="DQ82" s="1199">
        <f t="shared" si="271"/>
        <v>0</v>
      </c>
      <c r="DR82" s="1199">
        <f t="shared" si="272"/>
        <v>0</v>
      </c>
      <c r="DS82" s="1199">
        <f t="shared" si="273"/>
        <v>0</v>
      </c>
      <c r="DT82" s="1199">
        <f t="shared" si="274"/>
        <v>0</v>
      </c>
      <c r="DU82" s="1199">
        <f t="shared" si="275"/>
        <v>0</v>
      </c>
      <c r="DV82" s="1199">
        <f t="shared" si="276"/>
        <v>0</v>
      </c>
      <c r="DW82" s="1199">
        <f t="shared" si="277"/>
        <v>0</v>
      </c>
      <c r="DX82" s="1199">
        <f t="shared" si="278"/>
        <v>0</v>
      </c>
      <c r="DY82" s="1199">
        <f t="shared" si="279"/>
        <v>0</v>
      </c>
      <c r="DZ82" s="1199">
        <f t="shared" si="280"/>
        <v>0</v>
      </c>
      <c r="EA82" s="1199">
        <f t="shared" si="281"/>
        <v>0</v>
      </c>
      <c r="EB82" s="1199">
        <f t="shared" si="282"/>
        <v>0</v>
      </c>
      <c r="EC82" s="1199">
        <f t="shared" si="283"/>
        <v>0</v>
      </c>
      <c r="ED82" s="1199">
        <f t="shared" si="284"/>
        <v>0</v>
      </c>
      <c r="EE82" s="1199">
        <f t="shared" si="285"/>
        <v>0</v>
      </c>
      <c r="EF82" s="1199">
        <f t="shared" si="286"/>
        <v>0</v>
      </c>
      <c r="EG82" s="1199">
        <f t="shared" si="287"/>
        <v>0</v>
      </c>
      <c r="EH82" s="1199">
        <f t="shared" si="288"/>
        <v>0</v>
      </c>
      <c r="EI82" s="1199">
        <f t="shared" si="289"/>
        <v>0</v>
      </c>
      <c r="EJ82" s="1199">
        <f t="shared" si="290"/>
        <v>0</v>
      </c>
      <c r="EK82" s="1199">
        <f t="shared" si="291"/>
        <v>0</v>
      </c>
      <c r="EL82" s="1199">
        <f t="shared" si="292"/>
        <v>0</v>
      </c>
      <c r="EM82" s="1199">
        <f t="shared" si="293"/>
        <v>0</v>
      </c>
      <c r="EN82" s="1199">
        <f t="shared" si="294"/>
        <v>0</v>
      </c>
      <c r="EO82" s="1199">
        <f t="shared" si="295"/>
        <v>0</v>
      </c>
      <c r="EP82" s="1199">
        <f t="shared" si="296"/>
        <v>0</v>
      </c>
      <c r="EQ82" s="1199">
        <f t="shared" si="297"/>
        <v>0</v>
      </c>
      <c r="ER82" s="1199">
        <f t="shared" si="298"/>
        <v>0</v>
      </c>
      <c r="ES82" s="1199">
        <f t="shared" si="299"/>
        <v>0</v>
      </c>
      <c r="ET82" s="1199">
        <f t="shared" si="300"/>
        <v>0</v>
      </c>
      <c r="EU82" s="1199">
        <f t="shared" si="301"/>
        <v>0</v>
      </c>
      <c r="EV82" s="1199">
        <f t="shared" si="302"/>
        <v>0</v>
      </c>
      <c r="EW82" s="1199">
        <f t="shared" si="303"/>
        <v>0</v>
      </c>
      <c r="EX82" s="1199">
        <f t="shared" si="304"/>
        <v>0</v>
      </c>
      <c r="EY82" s="1199">
        <f t="shared" si="305"/>
        <v>0</v>
      </c>
      <c r="EZ82" s="1175">
        <f t="shared" si="306"/>
        <v>0</v>
      </c>
      <c r="FA82" s="1177"/>
      <c r="FB82" s="1202">
        <f t="shared" si="307"/>
        <v>0</v>
      </c>
      <c r="FC82" s="1202">
        <f t="shared" si="308"/>
        <v>0</v>
      </c>
      <c r="FD82" s="1202">
        <f t="shared" si="309"/>
        <v>0</v>
      </c>
      <c r="FE82" s="1202">
        <f t="shared" si="310"/>
        <v>0</v>
      </c>
      <c r="FF82" s="1202">
        <f t="shared" si="311"/>
        <v>0</v>
      </c>
      <c r="FG82" s="1202">
        <f t="shared" si="312"/>
        <v>0</v>
      </c>
      <c r="FH82" s="1202">
        <f t="shared" si="313"/>
        <v>0</v>
      </c>
      <c r="FI82" s="1202">
        <f t="shared" si="314"/>
        <v>0</v>
      </c>
      <c r="FJ82" s="1202">
        <f t="shared" si="315"/>
        <v>0</v>
      </c>
      <c r="FK82" s="1202">
        <f t="shared" si="316"/>
        <v>0</v>
      </c>
      <c r="FL82" s="1202">
        <f t="shared" si="317"/>
        <v>0</v>
      </c>
      <c r="FM82" s="1202">
        <f t="shared" si="318"/>
        <v>0</v>
      </c>
      <c r="FN82" s="1202">
        <f t="shared" si="319"/>
        <v>0</v>
      </c>
      <c r="FO82" s="1202">
        <f t="shared" si="320"/>
        <v>0</v>
      </c>
      <c r="FP82" s="1202">
        <f t="shared" si="321"/>
        <v>0</v>
      </c>
      <c r="FQ82" s="1202">
        <f t="shared" si="322"/>
        <v>0</v>
      </c>
      <c r="FR82" s="1202">
        <f t="shared" si="323"/>
        <v>0</v>
      </c>
      <c r="FS82" s="1202">
        <f t="shared" si="324"/>
        <v>0</v>
      </c>
      <c r="FT82" s="1202">
        <f t="shared" si="325"/>
        <v>0</v>
      </c>
      <c r="FU82" s="1202">
        <f t="shared" si="326"/>
        <v>0</v>
      </c>
      <c r="FV82" s="1202">
        <f t="shared" si="327"/>
        <v>0</v>
      </c>
      <c r="FW82" s="1202">
        <f t="shared" si="328"/>
        <v>0</v>
      </c>
      <c r="FX82" s="1202">
        <f t="shared" si="329"/>
        <v>0</v>
      </c>
      <c r="FY82" s="1202">
        <f t="shared" si="330"/>
        <v>0</v>
      </c>
      <c r="FZ82" s="1202">
        <f t="shared" si="331"/>
        <v>0</v>
      </c>
      <c r="GA82" s="1202">
        <f t="shared" si="332"/>
        <v>0</v>
      </c>
      <c r="GB82" s="1202">
        <f t="shared" si="333"/>
        <v>0</v>
      </c>
      <c r="GC82" s="1202">
        <f t="shared" si="334"/>
        <v>0</v>
      </c>
      <c r="GD82" s="1202">
        <f t="shared" si="335"/>
        <v>0</v>
      </c>
      <c r="GE82" s="1202">
        <f t="shared" si="336"/>
        <v>0</v>
      </c>
      <c r="GF82" s="1202">
        <f t="shared" si="337"/>
        <v>0</v>
      </c>
      <c r="GG82" s="1202">
        <f t="shared" si="338"/>
        <v>0</v>
      </c>
      <c r="GH82" s="1202">
        <f t="shared" si="339"/>
        <v>0</v>
      </c>
      <c r="GI82" s="1202">
        <f t="shared" si="340"/>
        <v>0</v>
      </c>
      <c r="GJ82" s="1202">
        <f t="shared" si="341"/>
        <v>0</v>
      </c>
      <c r="GK82" s="1174">
        <f t="shared" si="342"/>
        <v>0</v>
      </c>
    </row>
    <row r="83" spans="1:193" s="1015" customFormat="1">
      <c r="A83" s="1003"/>
      <c r="B83" s="1149"/>
      <c r="C83" s="1149" t="s">
        <v>890</v>
      </c>
      <c r="D83" s="1204" t="s">
        <v>890</v>
      </c>
      <c r="E83" s="1204" t="s">
        <v>765</v>
      </c>
      <c r="F83" s="1204" t="s">
        <v>784</v>
      </c>
      <c r="G83" s="1204" t="s">
        <v>789</v>
      </c>
      <c r="H83" s="1204" t="s">
        <v>836</v>
      </c>
      <c r="I83" s="1149" t="s">
        <v>744</v>
      </c>
      <c r="J83" s="1176"/>
      <c r="K83" s="1176"/>
      <c r="L83" s="1233">
        <v>1</v>
      </c>
      <c r="M83" s="1037"/>
      <c r="N83" s="1037"/>
      <c r="O83" s="1037"/>
      <c r="P83" s="1037"/>
      <c r="Q83" s="1037"/>
      <c r="R83" s="1004"/>
      <c r="S83" s="1004"/>
      <c r="T83" s="1004"/>
      <c r="U83" s="1004"/>
      <c r="V83" s="1004"/>
      <c r="W83" s="1004"/>
      <c r="X83" s="1004"/>
      <c r="Y83" s="1004"/>
      <c r="Z83" s="1004"/>
      <c r="AA83" s="1011"/>
      <c r="AB83" s="1233">
        <v>0.88046293574513146</v>
      </c>
      <c r="AC83" s="1004"/>
      <c r="AD83" s="1004"/>
      <c r="AE83" s="1004"/>
      <c r="AF83" s="1004"/>
      <c r="AG83" s="1013"/>
      <c r="AH83" s="1004"/>
      <c r="AI83" s="1224">
        <v>4.5223550958016015E-2</v>
      </c>
      <c r="AJ83" s="1035"/>
      <c r="AK83" s="1005"/>
      <c r="AL83" s="1005"/>
      <c r="AM83" s="1005"/>
      <c r="AN83" s="1005"/>
      <c r="AO83" s="1005"/>
      <c r="AP83" s="1004"/>
      <c r="AQ83" s="1004"/>
      <c r="AR83" s="1004"/>
      <c r="AS83" s="1005"/>
      <c r="AT83" s="1005"/>
      <c r="AU83" s="1176"/>
      <c r="AV83" s="1176"/>
      <c r="AW83" s="1231">
        <v>1</v>
      </c>
      <c r="AX83" s="1011"/>
      <c r="AY83" s="1011"/>
      <c r="AZ83" s="1011"/>
      <c r="BA83" s="1011"/>
      <c r="BB83" s="1011"/>
      <c r="BC83" s="1004"/>
      <c r="BD83" s="1004"/>
      <c r="BE83" s="1004"/>
      <c r="BF83" s="1011"/>
      <c r="BG83" s="1011"/>
      <c r="BH83" s="1004"/>
      <c r="BI83" s="1004"/>
      <c r="BJ83" s="1004"/>
      <c r="BK83" s="1004"/>
      <c r="BL83" s="1011"/>
      <c r="BM83" s="1227">
        <v>0.83699999999999997</v>
      </c>
      <c r="BN83" s="1011"/>
      <c r="BO83" s="1011"/>
      <c r="BP83" s="1011"/>
      <c r="BQ83" s="1004"/>
      <c r="BR83" s="1011"/>
      <c r="BS83" s="1005"/>
      <c r="BT83" s="1230">
        <v>4.2325392479351617E-2</v>
      </c>
      <c r="BU83" s="1005"/>
      <c r="BV83" s="1005"/>
      <c r="BW83" s="1005"/>
      <c r="BX83" s="1005"/>
      <c r="BY83" s="1005"/>
      <c r="BZ83" s="1005"/>
      <c r="CA83" s="1005"/>
      <c r="CB83" s="1005"/>
      <c r="CC83" s="1005"/>
      <c r="CD83" s="1005"/>
      <c r="CE83" s="1005"/>
      <c r="CF83" s="1176"/>
      <c r="CG83" s="1236">
        <v>120985.30999999998</v>
      </c>
      <c r="CH83" s="1004"/>
      <c r="CI83" s="1004"/>
      <c r="CJ83" s="1004"/>
      <c r="CK83" s="1004"/>
      <c r="CL83" s="1004"/>
      <c r="CM83" s="1004"/>
      <c r="CN83" s="1004"/>
      <c r="CO83" s="1008"/>
      <c r="CP83" s="1004"/>
      <c r="CQ83" s="1004"/>
      <c r="CR83" s="1004"/>
      <c r="CS83" s="1004"/>
      <c r="CT83" s="1004"/>
      <c r="CU83" s="1008"/>
      <c r="CV83" s="1011"/>
      <c r="CW83" s="1236">
        <v>5988323.2151399991</v>
      </c>
      <c r="CX83" s="1004"/>
      <c r="CY83" s="1004"/>
      <c r="CZ83" s="1004"/>
      <c r="DA83" s="1004"/>
      <c r="DB83" s="1013"/>
      <c r="DC83" s="1004"/>
      <c r="DD83" s="1236">
        <v>446932674.98000002</v>
      </c>
      <c r="DE83" s="1036"/>
      <c r="DF83" s="1008"/>
      <c r="DG83" s="1008"/>
      <c r="DH83" s="1014"/>
      <c r="DI83" s="1008"/>
      <c r="DJ83" s="1008"/>
      <c r="DK83" s="1004"/>
      <c r="DL83" s="1004"/>
      <c r="DM83" s="1004"/>
      <c r="DN83" s="1008"/>
      <c r="DO83" s="1008"/>
      <c r="DP83" s="1176"/>
      <c r="DQ83" s="1199">
        <f t="shared" si="271"/>
        <v>44159638.149999991</v>
      </c>
      <c r="DR83" s="1199">
        <f t="shared" si="272"/>
        <v>0</v>
      </c>
      <c r="DS83" s="1199">
        <f t="shared" si="273"/>
        <v>0</v>
      </c>
      <c r="DT83" s="1199">
        <f t="shared" si="274"/>
        <v>0</v>
      </c>
      <c r="DU83" s="1199">
        <f t="shared" si="275"/>
        <v>0</v>
      </c>
      <c r="DV83" s="1199">
        <f t="shared" si="276"/>
        <v>0</v>
      </c>
      <c r="DW83" s="1199">
        <f t="shared" si="277"/>
        <v>0</v>
      </c>
      <c r="DX83" s="1199">
        <f t="shared" si="278"/>
        <v>0</v>
      </c>
      <c r="DY83" s="1199">
        <f t="shared" si="279"/>
        <v>0</v>
      </c>
      <c r="DZ83" s="1199">
        <f t="shared" si="280"/>
        <v>0</v>
      </c>
      <c r="EA83" s="1199">
        <f t="shared" si="281"/>
        <v>0</v>
      </c>
      <c r="EB83" s="1199">
        <f t="shared" si="282"/>
        <v>0</v>
      </c>
      <c r="EC83" s="1199">
        <f t="shared" si="283"/>
        <v>0</v>
      </c>
      <c r="ED83" s="1199">
        <f t="shared" si="284"/>
        <v>0</v>
      </c>
      <c r="EE83" s="1199">
        <f t="shared" si="285"/>
        <v>0</v>
      </c>
      <c r="EF83" s="1199">
        <f t="shared" si="286"/>
        <v>0</v>
      </c>
      <c r="EG83" s="1199">
        <f t="shared" si="287"/>
        <v>5272496.6381928883</v>
      </c>
      <c r="EH83" s="1199">
        <f t="shared" si="288"/>
        <v>0</v>
      </c>
      <c r="EI83" s="1199">
        <f t="shared" si="289"/>
        <v>0</v>
      </c>
      <c r="EJ83" s="1199">
        <f t="shared" si="290"/>
        <v>0</v>
      </c>
      <c r="EK83" s="1199">
        <f t="shared" si="291"/>
        <v>0</v>
      </c>
      <c r="EL83" s="1199">
        <f t="shared" si="292"/>
        <v>0</v>
      </c>
      <c r="EM83" s="1199">
        <f t="shared" si="293"/>
        <v>0</v>
      </c>
      <c r="EN83" s="1199">
        <f t="shared" si="294"/>
        <v>20211882.60176044</v>
      </c>
      <c r="EO83" s="1199">
        <f t="shared" si="295"/>
        <v>0</v>
      </c>
      <c r="EP83" s="1199">
        <f t="shared" si="296"/>
        <v>0</v>
      </c>
      <c r="EQ83" s="1199">
        <f t="shared" si="297"/>
        <v>0</v>
      </c>
      <c r="ER83" s="1199">
        <f t="shared" si="298"/>
        <v>0</v>
      </c>
      <c r="ES83" s="1199">
        <f t="shared" si="299"/>
        <v>0</v>
      </c>
      <c r="ET83" s="1199">
        <f t="shared" si="300"/>
        <v>0</v>
      </c>
      <c r="EU83" s="1199">
        <f t="shared" si="301"/>
        <v>0</v>
      </c>
      <c r="EV83" s="1199">
        <f t="shared" si="302"/>
        <v>0</v>
      </c>
      <c r="EW83" s="1199">
        <f t="shared" si="303"/>
        <v>0</v>
      </c>
      <c r="EX83" s="1199">
        <f t="shared" si="304"/>
        <v>0</v>
      </c>
      <c r="EY83" s="1199">
        <f t="shared" si="305"/>
        <v>0</v>
      </c>
      <c r="EZ83" s="1175">
        <f t="shared" si="306"/>
        <v>69644017.389953315</v>
      </c>
      <c r="FA83" s="1177"/>
      <c r="FB83" s="1202">
        <f t="shared" si="307"/>
        <v>44159638.149999991</v>
      </c>
      <c r="FC83" s="1202">
        <f t="shared" si="308"/>
        <v>0</v>
      </c>
      <c r="FD83" s="1202">
        <f t="shared" si="309"/>
        <v>0</v>
      </c>
      <c r="FE83" s="1202">
        <f t="shared" si="310"/>
        <v>0</v>
      </c>
      <c r="FF83" s="1202">
        <f t="shared" si="311"/>
        <v>0</v>
      </c>
      <c r="FG83" s="1202">
        <f t="shared" si="312"/>
        <v>0</v>
      </c>
      <c r="FH83" s="1202">
        <f t="shared" si="313"/>
        <v>0</v>
      </c>
      <c r="FI83" s="1202">
        <f t="shared" si="314"/>
        <v>0</v>
      </c>
      <c r="FJ83" s="1202">
        <f t="shared" si="315"/>
        <v>0</v>
      </c>
      <c r="FK83" s="1202">
        <f t="shared" si="316"/>
        <v>0</v>
      </c>
      <c r="FL83" s="1202">
        <f t="shared" si="317"/>
        <v>0</v>
      </c>
      <c r="FM83" s="1202">
        <f t="shared" si="318"/>
        <v>0</v>
      </c>
      <c r="FN83" s="1202">
        <f t="shared" si="319"/>
        <v>0</v>
      </c>
      <c r="FO83" s="1202">
        <f t="shared" si="320"/>
        <v>0</v>
      </c>
      <c r="FP83" s="1202">
        <f t="shared" si="321"/>
        <v>0</v>
      </c>
      <c r="FQ83" s="1202">
        <f t="shared" si="322"/>
        <v>0</v>
      </c>
      <c r="FR83" s="1202">
        <f t="shared" si="323"/>
        <v>5012226.5310721789</v>
      </c>
      <c r="FS83" s="1202">
        <f t="shared" si="324"/>
        <v>0</v>
      </c>
      <c r="FT83" s="1202">
        <f t="shared" si="325"/>
        <v>0</v>
      </c>
      <c r="FU83" s="1202">
        <f t="shared" si="326"/>
        <v>0</v>
      </c>
      <c r="FV83" s="1202">
        <f t="shared" si="327"/>
        <v>0</v>
      </c>
      <c r="FW83" s="1202">
        <f t="shared" si="328"/>
        <v>0</v>
      </c>
      <c r="FX83" s="1202">
        <f t="shared" si="329"/>
        <v>0</v>
      </c>
      <c r="FY83" s="1202">
        <f t="shared" si="330"/>
        <v>18916600.880374994</v>
      </c>
      <c r="FZ83" s="1202">
        <f t="shared" si="331"/>
        <v>0</v>
      </c>
      <c r="GA83" s="1202">
        <f t="shared" si="332"/>
        <v>0</v>
      </c>
      <c r="GB83" s="1202">
        <f t="shared" si="333"/>
        <v>0</v>
      </c>
      <c r="GC83" s="1202">
        <f t="shared" si="334"/>
        <v>0</v>
      </c>
      <c r="GD83" s="1202">
        <f t="shared" si="335"/>
        <v>0</v>
      </c>
      <c r="GE83" s="1202">
        <f t="shared" si="336"/>
        <v>0</v>
      </c>
      <c r="GF83" s="1202">
        <f t="shared" si="337"/>
        <v>0</v>
      </c>
      <c r="GG83" s="1202">
        <f t="shared" si="338"/>
        <v>0</v>
      </c>
      <c r="GH83" s="1202">
        <f t="shared" si="339"/>
        <v>0</v>
      </c>
      <c r="GI83" s="1202">
        <f t="shared" si="340"/>
        <v>0</v>
      </c>
      <c r="GJ83" s="1202">
        <f t="shared" si="341"/>
        <v>0</v>
      </c>
      <c r="GK83" s="1174">
        <f t="shared" si="342"/>
        <v>68088465.561447158</v>
      </c>
    </row>
    <row r="84" spans="1:193" s="1015" customFormat="1">
      <c r="A84" s="1003"/>
      <c r="B84" s="1149"/>
      <c r="C84" s="1149" t="s">
        <v>891</v>
      </c>
      <c r="D84" s="1204" t="s">
        <v>891</v>
      </c>
      <c r="E84" s="1204" t="s">
        <v>765</v>
      </c>
      <c r="F84" s="1204" t="s">
        <v>784</v>
      </c>
      <c r="G84" s="1204" t="s">
        <v>790</v>
      </c>
      <c r="H84" s="1204" t="s">
        <v>839</v>
      </c>
      <c r="I84" s="1149" t="s">
        <v>744</v>
      </c>
      <c r="J84" s="1176"/>
      <c r="K84" s="1176"/>
      <c r="L84" s="1233">
        <v>1.5</v>
      </c>
      <c r="M84" s="1037"/>
      <c r="N84" s="1037"/>
      <c r="O84" s="1037"/>
      <c r="P84" s="1037"/>
      <c r="Q84" s="1037"/>
      <c r="R84" s="1004"/>
      <c r="S84" s="1004"/>
      <c r="T84" s="1004"/>
      <c r="U84" s="1004"/>
      <c r="V84" s="1004"/>
      <c r="W84" s="1004"/>
      <c r="X84" s="1004"/>
      <c r="Y84" s="1004"/>
      <c r="Z84" s="1004"/>
      <c r="AA84" s="1011"/>
      <c r="AB84" s="1233">
        <v>1.702829341031538</v>
      </c>
      <c r="AC84" s="1004"/>
      <c r="AD84" s="1004"/>
      <c r="AE84" s="1004"/>
      <c r="AF84" s="1004"/>
      <c r="AG84" s="1013"/>
      <c r="AH84" s="1004"/>
      <c r="AI84" s="1224">
        <v>0.22118209825686858</v>
      </c>
      <c r="AJ84" s="1035"/>
      <c r="AK84" s="1005"/>
      <c r="AL84" s="1005"/>
      <c r="AM84" s="1005"/>
      <c r="AN84" s="1005"/>
      <c r="AO84" s="1005"/>
      <c r="AP84" s="1004"/>
      <c r="AQ84" s="1004"/>
      <c r="AR84" s="1004"/>
      <c r="AS84" s="1005"/>
      <c r="AT84" s="1005"/>
      <c r="AU84" s="1176"/>
      <c r="AV84" s="1176"/>
      <c r="AW84" s="1231">
        <v>1.5</v>
      </c>
      <c r="AX84" s="1011"/>
      <c r="AY84" s="1011"/>
      <c r="AZ84" s="1011"/>
      <c r="BA84" s="1011"/>
      <c r="BB84" s="1011"/>
      <c r="BC84" s="1004"/>
      <c r="BD84" s="1004"/>
      <c r="BE84" s="1004"/>
      <c r="BF84" s="1011"/>
      <c r="BG84" s="1011"/>
      <c r="BH84" s="1004"/>
      <c r="BI84" s="1004"/>
      <c r="BJ84" s="1004"/>
      <c r="BK84" s="1004"/>
      <c r="BL84" s="1011"/>
      <c r="BM84" s="1227">
        <v>1.6194500000000003</v>
      </c>
      <c r="BN84" s="1011"/>
      <c r="BO84" s="1011"/>
      <c r="BP84" s="1011"/>
      <c r="BQ84" s="1011"/>
      <c r="BR84" s="1011"/>
      <c r="BS84" s="1005"/>
      <c r="BT84" s="1230">
        <v>0.2176684932997911</v>
      </c>
      <c r="BU84" s="1005"/>
      <c r="BV84" s="1005"/>
      <c r="BW84" s="1005"/>
      <c r="BX84" s="1005"/>
      <c r="BY84" s="1005"/>
      <c r="BZ84" s="1005"/>
      <c r="CA84" s="1005"/>
      <c r="CB84" s="1005"/>
      <c r="CC84" s="1005"/>
      <c r="CD84" s="1005"/>
      <c r="CE84" s="1005"/>
      <c r="CF84" s="1176"/>
      <c r="CG84" s="1236">
        <v>5034.0599999999995</v>
      </c>
      <c r="CH84" s="1004"/>
      <c r="CI84" s="1004"/>
      <c r="CJ84" s="1004"/>
      <c r="CK84" s="1004"/>
      <c r="CL84" s="1004"/>
      <c r="CM84" s="1004"/>
      <c r="CN84" s="1004"/>
      <c r="CO84" s="1008"/>
      <c r="CP84" s="1004"/>
      <c r="CQ84" s="1004"/>
      <c r="CR84" s="1004"/>
      <c r="CS84" s="1004"/>
      <c r="CT84" s="1004"/>
      <c r="CU84" s="1008"/>
      <c r="CV84" s="1011"/>
      <c r="CW84" s="1236">
        <v>271197.68354</v>
      </c>
      <c r="CX84" s="1004"/>
      <c r="CY84" s="1004"/>
      <c r="CZ84" s="1004"/>
      <c r="DA84" s="1004"/>
      <c r="DB84" s="1013"/>
      <c r="DC84" s="1004"/>
      <c r="DD84" s="1236">
        <v>23179401.140000001</v>
      </c>
      <c r="DE84" s="1036"/>
      <c r="DF84" s="1008"/>
      <c r="DG84" s="1008"/>
      <c r="DH84" s="1014"/>
      <c r="DI84" s="1008"/>
      <c r="DJ84" s="1008"/>
      <c r="DK84" s="1004"/>
      <c r="DL84" s="1004"/>
      <c r="DM84" s="1004"/>
      <c r="DN84" s="1008"/>
      <c r="DO84" s="1008"/>
      <c r="DP84" s="1176"/>
      <c r="DQ84" s="1199">
        <f t="shared" si="271"/>
        <v>2756147.8499999996</v>
      </c>
      <c r="DR84" s="1199">
        <f t="shared" si="272"/>
        <v>0</v>
      </c>
      <c r="DS84" s="1199">
        <f t="shared" si="273"/>
        <v>0</v>
      </c>
      <c r="DT84" s="1199">
        <f t="shared" si="274"/>
        <v>0</v>
      </c>
      <c r="DU84" s="1199">
        <f t="shared" si="275"/>
        <v>0</v>
      </c>
      <c r="DV84" s="1199">
        <f t="shared" si="276"/>
        <v>0</v>
      </c>
      <c r="DW84" s="1199">
        <f t="shared" si="277"/>
        <v>0</v>
      </c>
      <c r="DX84" s="1199">
        <f t="shared" si="278"/>
        <v>0</v>
      </c>
      <c r="DY84" s="1199">
        <f t="shared" si="279"/>
        <v>0</v>
      </c>
      <c r="DZ84" s="1199">
        <f t="shared" si="280"/>
        <v>0</v>
      </c>
      <c r="EA84" s="1199">
        <f t="shared" si="281"/>
        <v>0</v>
      </c>
      <c r="EB84" s="1199">
        <f t="shared" si="282"/>
        <v>0</v>
      </c>
      <c r="EC84" s="1199">
        <f t="shared" si="283"/>
        <v>0</v>
      </c>
      <c r="ED84" s="1199">
        <f t="shared" si="284"/>
        <v>0</v>
      </c>
      <c r="EE84" s="1199">
        <f t="shared" si="285"/>
        <v>0</v>
      </c>
      <c r="EF84" s="1199">
        <f t="shared" si="286"/>
        <v>0</v>
      </c>
      <c r="EG84" s="1199">
        <f t="shared" si="287"/>
        <v>461803.37275169778</v>
      </c>
      <c r="EH84" s="1199">
        <f t="shared" si="288"/>
        <v>0</v>
      </c>
      <c r="EI84" s="1199">
        <f t="shared" si="289"/>
        <v>0</v>
      </c>
      <c r="EJ84" s="1199">
        <f t="shared" si="290"/>
        <v>0</v>
      </c>
      <c r="EK84" s="1199">
        <f t="shared" si="291"/>
        <v>0</v>
      </c>
      <c r="EL84" s="1199">
        <f t="shared" si="292"/>
        <v>0</v>
      </c>
      <c r="EM84" s="1199">
        <f t="shared" si="293"/>
        <v>0</v>
      </c>
      <c r="EN84" s="1199">
        <f t="shared" si="294"/>
        <v>5126868.5804828517</v>
      </c>
      <c r="EO84" s="1199">
        <f t="shared" si="295"/>
        <v>0</v>
      </c>
      <c r="EP84" s="1199">
        <f t="shared" si="296"/>
        <v>0</v>
      </c>
      <c r="EQ84" s="1199">
        <f t="shared" si="297"/>
        <v>0</v>
      </c>
      <c r="ER84" s="1199">
        <f t="shared" si="298"/>
        <v>0</v>
      </c>
      <c r="ES84" s="1199">
        <f t="shared" si="299"/>
        <v>0</v>
      </c>
      <c r="ET84" s="1199">
        <f t="shared" si="300"/>
        <v>0</v>
      </c>
      <c r="EU84" s="1199">
        <f t="shared" si="301"/>
        <v>0</v>
      </c>
      <c r="EV84" s="1199">
        <f t="shared" si="302"/>
        <v>0</v>
      </c>
      <c r="EW84" s="1199">
        <f t="shared" si="303"/>
        <v>0</v>
      </c>
      <c r="EX84" s="1199">
        <f t="shared" si="304"/>
        <v>0</v>
      </c>
      <c r="EY84" s="1199">
        <f t="shared" si="305"/>
        <v>0</v>
      </c>
      <c r="EZ84" s="1175">
        <f t="shared" si="306"/>
        <v>8344819.8032345492</v>
      </c>
      <c r="FA84" s="1177"/>
      <c r="FB84" s="1202">
        <f t="shared" si="307"/>
        <v>2756147.8499999996</v>
      </c>
      <c r="FC84" s="1202">
        <f t="shared" si="308"/>
        <v>0</v>
      </c>
      <c r="FD84" s="1202">
        <f t="shared" si="309"/>
        <v>0</v>
      </c>
      <c r="FE84" s="1202">
        <f t="shared" si="310"/>
        <v>0</v>
      </c>
      <c r="FF84" s="1202">
        <f t="shared" si="311"/>
        <v>0</v>
      </c>
      <c r="FG84" s="1202">
        <f t="shared" si="312"/>
        <v>0</v>
      </c>
      <c r="FH84" s="1202">
        <f t="shared" si="313"/>
        <v>0</v>
      </c>
      <c r="FI84" s="1202">
        <f t="shared" si="314"/>
        <v>0</v>
      </c>
      <c r="FJ84" s="1202">
        <f t="shared" si="315"/>
        <v>0</v>
      </c>
      <c r="FK84" s="1202">
        <f t="shared" si="316"/>
        <v>0</v>
      </c>
      <c r="FL84" s="1202">
        <f t="shared" si="317"/>
        <v>0</v>
      </c>
      <c r="FM84" s="1202">
        <f t="shared" si="318"/>
        <v>0</v>
      </c>
      <c r="FN84" s="1202">
        <f t="shared" si="319"/>
        <v>0</v>
      </c>
      <c r="FO84" s="1202">
        <f t="shared" si="320"/>
        <v>0</v>
      </c>
      <c r="FP84" s="1202">
        <f t="shared" si="321"/>
        <v>0</v>
      </c>
      <c r="FQ84" s="1202">
        <f t="shared" si="322"/>
        <v>0</v>
      </c>
      <c r="FR84" s="1202">
        <f t="shared" si="323"/>
        <v>439191.08860885305</v>
      </c>
      <c r="FS84" s="1202">
        <f t="shared" si="324"/>
        <v>0</v>
      </c>
      <c r="FT84" s="1202">
        <f t="shared" si="325"/>
        <v>0</v>
      </c>
      <c r="FU84" s="1202">
        <f t="shared" si="326"/>
        <v>0</v>
      </c>
      <c r="FV84" s="1202">
        <f t="shared" si="327"/>
        <v>0</v>
      </c>
      <c r="FW84" s="1202">
        <f t="shared" si="328"/>
        <v>0</v>
      </c>
      <c r="FX84" s="1202">
        <f t="shared" si="329"/>
        <v>0</v>
      </c>
      <c r="FY84" s="1202">
        <f t="shared" si="330"/>
        <v>5045425.3217352601</v>
      </c>
      <c r="FZ84" s="1202">
        <f t="shared" si="331"/>
        <v>0</v>
      </c>
      <c r="GA84" s="1202">
        <f t="shared" si="332"/>
        <v>0</v>
      </c>
      <c r="GB84" s="1202">
        <f t="shared" si="333"/>
        <v>0</v>
      </c>
      <c r="GC84" s="1202">
        <f t="shared" si="334"/>
        <v>0</v>
      </c>
      <c r="GD84" s="1202">
        <f t="shared" si="335"/>
        <v>0</v>
      </c>
      <c r="GE84" s="1202">
        <f t="shared" si="336"/>
        <v>0</v>
      </c>
      <c r="GF84" s="1202">
        <f t="shared" si="337"/>
        <v>0</v>
      </c>
      <c r="GG84" s="1202">
        <f t="shared" si="338"/>
        <v>0</v>
      </c>
      <c r="GH84" s="1202">
        <f t="shared" si="339"/>
        <v>0</v>
      </c>
      <c r="GI84" s="1202">
        <f t="shared" si="340"/>
        <v>0</v>
      </c>
      <c r="GJ84" s="1202">
        <f t="shared" si="341"/>
        <v>0</v>
      </c>
      <c r="GK84" s="1174">
        <f t="shared" si="342"/>
        <v>8240764.2603441123</v>
      </c>
    </row>
    <row r="85" spans="1:193" s="1015" customFormat="1">
      <c r="A85" s="1003"/>
      <c r="B85" s="1149"/>
      <c r="C85" s="1149" t="s">
        <v>892</v>
      </c>
      <c r="D85" s="1204" t="s">
        <v>892</v>
      </c>
      <c r="E85" s="1204" t="s">
        <v>765</v>
      </c>
      <c r="F85" s="1204" t="s">
        <v>784</v>
      </c>
      <c r="G85" s="1204" t="s">
        <v>791</v>
      </c>
      <c r="H85" s="1204" t="s">
        <v>842</v>
      </c>
      <c r="I85" s="1149" t="s">
        <v>744</v>
      </c>
      <c r="J85" s="1176"/>
      <c r="K85" s="1176"/>
      <c r="L85" s="1233">
        <v>1</v>
      </c>
      <c r="M85" s="1037"/>
      <c r="N85" s="1037"/>
      <c r="O85" s="1037"/>
      <c r="P85" s="1037"/>
      <c r="Q85" s="1037"/>
      <c r="R85" s="1004"/>
      <c r="S85" s="1004"/>
      <c r="T85" s="1004"/>
      <c r="U85" s="1004"/>
      <c r="V85" s="1004"/>
      <c r="W85" s="1004"/>
      <c r="X85" s="1004"/>
      <c r="Y85" s="1004"/>
      <c r="Z85" s="1004"/>
      <c r="AA85" s="1011"/>
      <c r="AB85" s="1233">
        <v>1.1669389307657316</v>
      </c>
      <c r="AC85" s="1004"/>
      <c r="AD85" s="1004"/>
      <c r="AE85" s="1004"/>
      <c r="AF85" s="1004"/>
      <c r="AG85" s="1013"/>
      <c r="AH85" s="1004"/>
      <c r="AI85" s="1224">
        <v>2.6632280618934554E-2</v>
      </c>
      <c r="AJ85" s="1035"/>
      <c r="AK85" s="1005"/>
      <c r="AL85" s="1005"/>
      <c r="AM85" s="1005"/>
      <c r="AN85" s="1005"/>
      <c r="AO85" s="1005"/>
      <c r="AP85" s="1004"/>
      <c r="AQ85" s="1004"/>
      <c r="AR85" s="1004"/>
      <c r="AS85" s="1005"/>
      <c r="AT85" s="1005"/>
      <c r="AU85" s="1176"/>
      <c r="AV85" s="1176"/>
      <c r="AW85" s="1231">
        <v>1</v>
      </c>
      <c r="AX85" s="1011"/>
      <c r="AY85" s="1011"/>
      <c r="AZ85" s="1011"/>
      <c r="BA85" s="1011"/>
      <c r="BB85" s="1011"/>
      <c r="BC85" s="1004"/>
      <c r="BD85" s="1004"/>
      <c r="BE85" s="1004"/>
      <c r="BF85" s="1011"/>
      <c r="BG85" s="1011"/>
      <c r="BH85" s="1004"/>
      <c r="BI85" s="1004"/>
      <c r="BJ85" s="1004"/>
      <c r="BK85" s="1004"/>
      <c r="BL85" s="1011"/>
      <c r="BM85" s="1227">
        <v>1.1091</v>
      </c>
      <c r="BN85" s="1011"/>
      <c r="BO85" s="1011"/>
      <c r="BP85" s="1011"/>
      <c r="BQ85" s="1011"/>
      <c r="BR85" s="1011"/>
      <c r="BS85" s="1005"/>
      <c r="BT85" s="1230">
        <v>2.6003999999999999E-2</v>
      </c>
      <c r="BU85" s="1005"/>
      <c r="BV85" s="1005"/>
      <c r="BW85" s="1005"/>
      <c r="BX85" s="1005"/>
      <c r="BY85" s="1005"/>
      <c r="BZ85" s="1005"/>
      <c r="CA85" s="1005"/>
      <c r="CB85" s="1005"/>
      <c r="CC85" s="1005"/>
      <c r="CD85" s="1005"/>
      <c r="CE85" s="1005"/>
      <c r="CF85" s="1176"/>
      <c r="CG85" s="1236">
        <v>153</v>
      </c>
      <c r="CH85" s="1004"/>
      <c r="CI85" s="1004"/>
      <c r="CJ85" s="1004"/>
      <c r="CK85" s="1004"/>
      <c r="CL85" s="1004"/>
      <c r="CM85" s="1004"/>
      <c r="CN85" s="1004"/>
      <c r="CO85" s="1008"/>
      <c r="CP85" s="1004"/>
      <c r="CQ85" s="1004"/>
      <c r="CR85" s="1004"/>
      <c r="CS85" s="1004"/>
      <c r="CT85" s="1004"/>
      <c r="CU85" s="1008"/>
      <c r="CV85" s="1011"/>
      <c r="CW85" s="1236">
        <v>8815.2000000000007</v>
      </c>
      <c r="CX85" s="1004"/>
      <c r="CY85" s="1004"/>
      <c r="CZ85" s="1004"/>
      <c r="DA85" s="1004"/>
      <c r="DB85" s="1013"/>
      <c r="DC85" s="1004"/>
      <c r="DD85" s="1236">
        <v>574362</v>
      </c>
      <c r="DE85" s="1036"/>
      <c r="DF85" s="1008"/>
      <c r="DG85" s="1008"/>
      <c r="DH85" s="1014"/>
      <c r="DI85" s="1008"/>
      <c r="DJ85" s="1008"/>
      <c r="DK85" s="1004"/>
      <c r="DL85" s="1004"/>
      <c r="DM85" s="1004"/>
      <c r="DN85" s="1008"/>
      <c r="DO85" s="1008"/>
      <c r="DP85" s="1176"/>
      <c r="DQ85" s="1199">
        <f t="shared" si="271"/>
        <v>55845</v>
      </c>
      <c r="DR85" s="1199">
        <f t="shared" si="272"/>
        <v>0</v>
      </c>
      <c r="DS85" s="1199">
        <f t="shared" si="273"/>
        <v>0</v>
      </c>
      <c r="DT85" s="1199">
        <f t="shared" si="274"/>
        <v>0</v>
      </c>
      <c r="DU85" s="1199">
        <f t="shared" si="275"/>
        <v>0</v>
      </c>
      <c r="DV85" s="1199">
        <f t="shared" si="276"/>
        <v>0</v>
      </c>
      <c r="DW85" s="1199">
        <f t="shared" si="277"/>
        <v>0</v>
      </c>
      <c r="DX85" s="1199">
        <f t="shared" si="278"/>
        <v>0</v>
      </c>
      <c r="DY85" s="1199">
        <f t="shared" si="279"/>
        <v>0</v>
      </c>
      <c r="DZ85" s="1199">
        <f t="shared" si="280"/>
        <v>0</v>
      </c>
      <c r="EA85" s="1199">
        <f t="shared" si="281"/>
        <v>0</v>
      </c>
      <c r="EB85" s="1199">
        <f t="shared" si="282"/>
        <v>0</v>
      </c>
      <c r="EC85" s="1199">
        <f t="shared" si="283"/>
        <v>0</v>
      </c>
      <c r="ED85" s="1199">
        <f t="shared" si="284"/>
        <v>0</v>
      </c>
      <c r="EE85" s="1199">
        <f t="shared" si="285"/>
        <v>0</v>
      </c>
      <c r="EF85" s="1199">
        <f t="shared" si="286"/>
        <v>0</v>
      </c>
      <c r="EG85" s="1199">
        <f t="shared" si="287"/>
        <v>10286.800062486078</v>
      </c>
      <c r="EH85" s="1199">
        <f t="shared" si="288"/>
        <v>0</v>
      </c>
      <c r="EI85" s="1199">
        <f t="shared" si="289"/>
        <v>0</v>
      </c>
      <c r="EJ85" s="1199">
        <f t="shared" si="290"/>
        <v>0</v>
      </c>
      <c r="EK85" s="1199">
        <f t="shared" si="291"/>
        <v>0</v>
      </c>
      <c r="EL85" s="1199">
        <f t="shared" si="292"/>
        <v>0</v>
      </c>
      <c r="EM85" s="1199">
        <f t="shared" si="293"/>
        <v>0</v>
      </c>
      <c r="EN85" s="1199">
        <f t="shared" si="294"/>
        <v>15296.569960852488</v>
      </c>
      <c r="EO85" s="1199">
        <f t="shared" si="295"/>
        <v>0</v>
      </c>
      <c r="EP85" s="1199">
        <f t="shared" si="296"/>
        <v>0</v>
      </c>
      <c r="EQ85" s="1199">
        <f t="shared" si="297"/>
        <v>0</v>
      </c>
      <c r="ER85" s="1199">
        <f t="shared" si="298"/>
        <v>0</v>
      </c>
      <c r="ES85" s="1199">
        <f t="shared" si="299"/>
        <v>0</v>
      </c>
      <c r="ET85" s="1199">
        <f t="shared" si="300"/>
        <v>0</v>
      </c>
      <c r="EU85" s="1199">
        <f t="shared" si="301"/>
        <v>0</v>
      </c>
      <c r="EV85" s="1199">
        <f t="shared" si="302"/>
        <v>0</v>
      </c>
      <c r="EW85" s="1199">
        <f t="shared" si="303"/>
        <v>0</v>
      </c>
      <c r="EX85" s="1199">
        <f t="shared" si="304"/>
        <v>0</v>
      </c>
      <c r="EY85" s="1199">
        <f t="shared" si="305"/>
        <v>0</v>
      </c>
      <c r="EZ85" s="1175">
        <f t="shared" si="306"/>
        <v>81428.370023338561</v>
      </c>
      <c r="FA85" s="1177"/>
      <c r="FB85" s="1202">
        <f t="shared" si="307"/>
        <v>55845</v>
      </c>
      <c r="FC85" s="1202">
        <f t="shared" si="308"/>
        <v>0</v>
      </c>
      <c r="FD85" s="1202">
        <f t="shared" si="309"/>
        <v>0</v>
      </c>
      <c r="FE85" s="1202">
        <f t="shared" si="310"/>
        <v>0</v>
      </c>
      <c r="FF85" s="1202">
        <f t="shared" si="311"/>
        <v>0</v>
      </c>
      <c r="FG85" s="1202">
        <f t="shared" si="312"/>
        <v>0</v>
      </c>
      <c r="FH85" s="1202">
        <f t="shared" si="313"/>
        <v>0</v>
      </c>
      <c r="FI85" s="1202">
        <f t="shared" si="314"/>
        <v>0</v>
      </c>
      <c r="FJ85" s="1202">
        <f t="shared" si="315"/>
        <v>0</v>
      </c>
      <c r="FK85" s="1202">
        <f t="shared" si="316"/>
        <v>0</v>
      </c>
      <c r="FL85" s="1202">
        <f t="shared" si="317"/>
        <v>0</v>
      </c>
      <c r="FM85" s="1202">
        <f t="shared" si="318"/>
        <v>0</v>
      </c>
      <c r="FN85" s="1202">
        <f t="shared" si="319"/>
        <v>0</v>
      </c>
      <c r="FO85" s="1202">
        <f t="shared" si="320"/>
        <v>0</v>
      </c>
      <c r="FP85" s="1202">
        <f t="shared" si="321"/>
        <v>0</v>
      </c>
      <c r="FQ85" s="1202">
        <f t="shared" si="322"/>
        <v>0</v>
      </c>
      <c r="FR85" s="1202">
        <f t="shared" si="323"/>
        <v>9776.9383200000011</v>
      </c>
      <c r="FS85" s="1202">
        <f t="shared" si="324"/>
        <v>0</v>
      </c>
      <c r="FT85" s="1202">
        <f t="shared" si="325"/>
        <v>0</v>
      </c>
      <c r="FU85" s="1202">
        <f t="shared" si="326"/>
        <v>0</v>
      </c>
      <c r="FV85" s="1202">
        <f t="shared" si="327"/>
        <v>0</v>
      </c>
      <c r="FW85" s="1202">
        <f t="shared" si="328"/>
        <v>0</v>
      </c>
      <c r="FX85" s="1202">
        <f t="shared" si="329"/>
        <v>0</v>
      </c>
      <c r="FY85" s="1202">
        <f t="shared" si="330"/>
        <v>14935.709448</v>
      </c>
      <c r="FZ85" s="1202">
        <f t="shared" si="331"/>
        <v>0</v>
      </c>
      <c r="GA85" s="1202">
        <f t="shared" si="332"/>
        <v>0</v>
      </c>
      <c r="GB85" s="1202">
        <f t="shared" si="333"/>
        <v>0</v>
      </c>
      <c r="GC85" s="1202">
        <f t="shared" si="334"/>
        <v>0</v>
      </c>
      <c r="GD85" s="1202">
        <f t="shared" si="335"/>
        <v>0</v>
      </c>
      <c r="GE85" s="1202">
        <f t="shared" si="336"/>
        <v>0</v>
      </c>
      <c r="GF85" s="1202">
        <f t="shared" si="337"/>
        <v>0</v>
      </c>
      <c r="GG85" s="1202">
        <f t="shared" si="338"/>
        <v>0</v>
      </c>
      <c r="GH85" s="1202">
        <f t="shared" si="339"/>
        <v>0</v>
      </c>
      <c r="GI85" s="1202">
        <f t="shared" si="340"/>
        <v>0</v>
      </c>
      <c r="GJ85" s="1202">
        <f t="shared" si="341"/>
        <v>0</v>
      </c>
      <c r="GK85" s="1174">
        <f t="shared" si="342"/>
        <v>80557.647767999995</v>
      </c>
    </row>
    <row r="86" spans="1:193" s="1015" customFormat="1">
      <c r="A86" s="1003"/>
      <c r="B86" s="1149"/>
      <c r="C86" s="1149" t="s">
        <v>254</v>
      </c>
      <c r="D86" s="1204" t="s">
        <v>254</v>
      </c>
      <c r="E86" s="1204" t="s">
        <v>765</v>
      </c>
      <c r="F86" s="1204" t="s">
        <v>784</v>
      </c>
      <c r="G86" s="1204" t="s">
        <v>789</v>
      </c>
      <c r="H86" s="1204" t="s">
        <v>837</v>
      </c>
      <c r="I86" s="1149" t="s">
        <v>744</v>
      </c>
      <c r="J86" s="1176"/>
      <c r="K86" s="1176"/>
      <c r="L86" s="1233">
        <v>1</v>
      </c>
      <c r="M86" s="1037"/>
      <c r="N86" s="1037"/>
      <c r="O86" s="1037"/>
      <c r="P86" s="1037"/>
      <c r="Q86" s="1037"/>
      <c r="R86" s="1004"/>
      <c r="S86" s="1004"/>
      <c r="T86" s="1004"/>
      <c r="U86" s="1004"/>
      <c r="V86" s="1004"/>
      <c r="W86" s="1004"/>
      <c r="X86" s="1004"/>
      <c r="Y86" s="1004"/>
      <c r="Z86" s="1004"/>
      <c r="AA86" s="1011"/>
      <c r="AB86" s="1233">
        <v>4.2971399253090024</v>
      </c>
      <c r="AC86" s="1004"/>
      <c r="AD86" s="1004"/>
      <c r="AE86" s="1004"/>
      <c r="AF86" s="1004"/>
      <c r="AG86" s="1013"/>
      <c r="AH86" s="1004"/>
      <c r="AI86" s="1224">
        <v>2.1948907291267739E-2</v>
      </c>
      <c r="AJ86" s="1035"/>
      <c r="AK86" s="1005"/>
      <c r="AL86" s="1005"/>
      <c r="AM86" s="1005"/>
      <c r="AN86" s="1005"/>
      <c r="AO86" s="1005"/>
      <c r="AP86" s="1004"/>
      <c r="AQ86" s="1004"/>
      <c r="AR86" s="1004"/>
      <c r="AS86" s="1005"/>
      <c r="AT86" s="1005"/>
      <c r="AU86" s="1176"/>
      <c r="AV86" s="1176"/>
      <c r="AW86" s="1231">
        <v>1</v>
      </c>
      <c r="AX86" s="1011"/>
      <c r="AY86" s="1011"/>
      <c r="AZ86" s="1011"/>
      <c r="BA86" s="1011"/>
      <c r="BB86" s="1011"/>
      <c r="BC86" s="1004"/>
      <c r="BD86" s="1004"/>
      <c r="BE86" s="1004"/>
      <c r="BF86" s="1011"/>
      <c r="BG86" s="1011"/>
      <c r="BH86" s="1004"/>
      <c r="BI86" s="1004"/>
      <c r="BJ86" s="1004"/>
      <c r="BK86" s="1004"/>
      <c r="BL86" s="1011"/>
      <c r="BM86" s="1227">
        <v>4.1849999999999996</v>
      </c>
      <c r="BN86" s="1011"/>
      <c r="BO86" s="1011"/>
      <c r="BP86" s="1011"/>
      <c r="BQ86" s="1011"/>
      <c r="BR86" s="1011"/>
      <c r="BS86" s="1005"/>
      <c r="BT86" s="1230">
        <v>2.0941484164125331E-2</v>
      </c>
      <c r="BU86" s="1005"/>
      <c r="BV86" s="1005"/>
      <c r="BW86" s="1005"/>
      <c r="BX86" s="1005"/>
      <c r="BY86" s="1005"/>
      <c r="BZ86" s="1005"/>
      <c r="CA86" s="1005"/>
      <c r="CB86" s="1005"/>
      <c r="CC86" s="1005"/>
      <c r="CD86" s="1005"/>
      <c r="CE86" s="1005"/>
      <c r="CF86" s="1176"/>
      <c r="CG86" s="1236">
        <v>267.07999999999993</v>
      </c>
      <c r="CH86" s="1004"/>
      <c r="CI86" s="1004"/>
      <c r="CJ86" s="1004"/>
      <c r="CK86" s="1004"/>
      <c r="CL86" s="1004"/>
      <c r="CM86" s="1004"/>
      <c r="CN86" s="1004"/>
      <c r="CO86" s="1008"/>
      <c r="CP86" s="1004"/>
      <c r="CQ86" s="1004"/>
      <c r="CR86" s="1004"/>
      <c r="CS86" s="1004"/>
      <c r="CT86" s="1004"/>
      <c r="CU86" s="1008"/>
      <c r="CV86" s="1011"/>
      <c r="CW86" s="1236">
        <v>12822.059999999998</v>
      </c>
      <c r="CX86" s="1004"/>
      <c r="CY86" s="1004"/>
      <c r="CZ86" s="1004"/>
      <c r="DA86" s="1004"/>
      <c r="DB86" s="1013"/>
      <c r="DC86" s="1004"/>
      <c r="DD86" s="1236">
        <v>1922398.0899999999</v>
      </c>
      <c r="DE86" s="1036"/>
      <c r="DF86" s="1008"/>
      <c r="DG86" s="1008"/>
      <c r="DH86" s="1014"/>
      <c r="DI86" s="1008"/>
      <c r="DJ86" s="1008"/>
      <c r="DK86" s="1004"/>
      <c r="DL86" s="1004"/>
      <c r="DM86" s="1004"/>
      <c r="DN86" s="1008"/>
      <c r="DO86" s="1008"/>
      <c r="DP86" s="1176"/>
      <c r="DQ86" s="1199">
        <f t="shared" si="271"/>
        <v>97484.199999999968</v>
      </c>
      <c r="DR86" s="1199">
        <f t="shared" si="272"/>
        <v>0</v>
      </c>
      <c r="DS86" s="1199">
        <f t="shared" si="273"/>
        <v>0</v>
      </c>
      <c r="DT86" s="1199">
        <f t="shared" si="274"/>
        <v>0</v>
      </c>
      <c r="DU86" s="1199">
        <f t="shared" si="275"/>
        <v>0</v>
      </c>
      <c r="DV86" s="1199">
        <f t="shared" si="276"/>
        <v>0</v>
      </c>
      <c r="DW86" s="1199">
        <f t="shared" si="277"/>
        <v>0</v>
      </c>
      <c r="DX86" s="1199">
        <f t="shared" si="278"/>
        <v>0</v>
      </c>
      <c r="DY86" s="1199">
        <f t="shared" si="279"/>
        <v>0</v>
      </c>
      <c r="DZ86" s="1199">
        <f t="shared" si="280"/>
        <v>0</v>
      </c>
      <c r="EA86" s="1199">
        <f t="shared" si="281"/>
        <v>0</v>
      </c>
      <c r="EB86" s="1199">
        <f t="shared" si="282"/>
        <v>0</v>
      </c>
      <c r="EC86" s="1199">
        <f t="shared" si="283"/>
        <v>0</v>
      </c>
      <c r="ED86" s="1199">
        <f t="shared" si="284"/>
        <v>0</v>
      </c>
      <c r="EE86" s="1199">
        <f t="shared" si="285"/>
        <v>0</v>
      </c>
      <c r="EF86" s="1199">
        <f t="shared" si="286"/>
        <v>0</v>
      </c>
      <c r="EG86" s="1199">
        <f t="shared" si="287"/>
        <v>55098.185950707535</v>
      </c>
      <c r="EH86" s="1199">
        <f t="shared" si="288"/>
        <v>0</v>
      </c>
      <c r="EI86" s="1199">
        <f t="shared" si="289"/>
        <v>0</v>
      </c>
      <c r="EJ86" s="1199">
        <f t="shared" si="290"/>
        <v>0</v>
      </c>
      <c r="EK86" s="1199">
        <f t="shared" si="291"/>
        <v>0</v>
      </c>
      <c r="EL86" s="1199">
        <f t="shared" si="292"/>
        <v>0</v>
      </c>
      <c r="EM86" s="1199">
        <f t="shared" si="293"/>
        <v>0</v>
      </c>
      <c r="EN86" s="1199">
        <f t="shared" si="294"/>
        <v>42194.537454320169</v>
      </c>
      <c r="EO86" s="1199">
        <f t="shared" si="295"/>
        <v>0</v>
      </c>
      <c r="EP86" s="1199">
        <f t="shared" si="296"/>
        <v>0</v>
      </c>
      <c r="EQ86" s="1199">
        <f t="shared" si="297"/>
        <v>0</v>
      </c>
      <c r="ER86" s="1199">
        <f t="shared" si="298"/>
        <v>0</v>
      </c>
      <c r="ES86" s="1199">
        <f t="shared" si="299"/>
        <v>0</v>
      </c>
      <c r="ET86" s="1199">
        <f t="shared" si="300"/>
        <v>0</v>
      </c>
      <c r="EU86" s="1199">
        <f t="shared" si="301"/>
        <v>0</v>
      </c>
      <c r="EV86" s="1199">
        <f t="shared" si="302"/>
        <v>0</v>
      </c>
      <c r="EW86" s="1199">
        <f t="shared" si="303"/>
        <v>0</v>
      </c>
      <c r="EX86" s="1199">
        <f t="shared" si="304"/>
        <v>0</v>
      </c>
      <c r="EY86" s="1199">
        <f t="shared" si="305"/>
        <v>0</v>
      </c>
      <c r="EZ86" s="1175">
        <f t="shared" si="306"/>
        <v>194776.92340502769</v>
      </c>
      <c r="FA86" s="1177"/>
      <c r="FB86" s="1202">
        <f t="shared" si="307"/>
        <v>97484.199999999968</v>
      </c>
      <c r="FC86" s="1202">
        <f t="shared" si="308"/>
        <v>0</v>
      </c>
      <c r="FD86" s="1202">
        <f t="shared" si="309"/>
        <v>0</v>
      </c>
      <c r="FE86" s="1202">
        <f t="shared" si="310"/>
        <v>0</v>
      </c>
      <c r="FF86" s="1202">
        <f t="shared" si="311"/>
        <v>0</v>
      </c>
      <c r="FG86" s="1202">
        <f t="shared" si="312"/>
        <v>0</v>
      </c>
      <c r="FH86" s="1202">
        <f t="shared" si="313"/>
        <v>0</v>
      </c>
      <c r="FI86" s="1202">
        <f t="shared" si="314"/>
        <v>0</v>
      </c>
      <c r="FJ86" s="1202">
        <f t="shared" si="315"/>
        <v>0</v>
      </c>
      <c r="FK86" s="1202">
        <f t="shared" si="316"/>
        <v>0</v>
      </c>
      <c r="FL86" s="1202">
        <f t="shared" si="317"/>
        <v>0</v>
      </c>
      <c r="FM86" s="1202">
        <f t="shared" si="318"/>
        <v>0</v>
      </c>
      <c r="FN86" s="1202">
        <f t="shared" si="319"/>
        <v>0</v>
      </c>
      <c r="FO86" s="1202">
        <f t="shared" si="320"/>
        <v>0</v>
      </c>
      <c r="FP86" s="1202">
        <f t="shared" si="321"/>
        <v>0</v>
      </c>
      <c r="FQ86" s="1202">
        <f t="shared" si="322"/>
        <v>0</v>
      </c>
      <c r="FR86" s="1202">
        <f t="shared" si="323"/>
        <v>53660.321099999986</v>
      </c>
      <c r="FS86" s="1202">
        <f t="shared" si="324"/>
        <v>0</v>
      </c>
      <c r="FT86" s="1202">
        <f t="shared" si="325"/>
        <v>0</v>
      </c>
      <c r="FU86" s="1202">
        <f t="shared" si="326"/>
        <v>0</v>
      </c>
      <c r="FV86" s="1202">
        <f t="shared" si="327"/>
        <v>0</v>
      </c>
      <c r="FW86" s="1202">
        <f t="shared" si="328"/>
        <v>0</v>
      </c>
      <c r="FX86" s="1202">
        <f t="shared" si="329"/>
        <v>0</v>
      </c>
      <c r="FY86" s="1202">
        <f t="shared" si="330"/>
        <v>40257.869158879781</v>
      </c>
      <c r="FZ86" s="1202">
        <f t="shared" si="331"/>
        <v>0</v>
      </c>
      <c r="GA86" s="1202">
        <f t="shared" si="332"/>
        <v>0</v>
      </c>
      <c r="GB86" s="1202">
        <f t="shared" si="333"/>
        <v>0</v>
      </c>
      <c r="GC86" s="1202">
        <f t="shared" si="334"/>
        <v>0</v>
      </c>
      <c r="GD86" s="1202">
        <f t="shared" si="335"/>
        <v>0</v>
      </c>
      <c r="GE86" s="1202">
        <f t="shared" si="336"/>
        <v>0</v>
      </c>
      <c r="GF86" s="1202">
        <f t="shared" si="337"/>
        <v>0</v>
      </c>
      <c r="GG86" s="1202">
        <f t="shared" si="338"/>
        <v>0</v>
      </c>
      <c r="GH86" s="1202">
        <f t="shared" si="339"/>
        <v>0</v>
      </c>
      <c r="GI86" s="1202">
        <f t="shared" si="340"/>
        <v>0</v>
      </c>
      <c r="GJ86" s="1202">
        <f t="shared" si="341"/>
        <v>0</v>
      </c>
      <c r="GK86" s="1174">
        <f t="shared" si="342"/>
        <v>191402.39025887975</v>
      </c>
    </row>
    <row r="87" spans="1:193" s="1015" customFormat="1">
      <c r="A87" s="1003"/>
      <c r="B87" s="1149"/>
      <c r="C87" s="1149" t="s">
        <v>255</v>
      </c>
      <c r="D87" s="1204" t="s">
        <v>255</v>
      </c>
      <c r="E87" s="1204" t="s">
        <v>765</v>
      </c>
      <c r="F87" s="1204" t="s">
        <v>784</v>
      </c>
      <c r="G87" s="1204" t="s">
        <v>790</v>
      </c>
      <c r="H87" s="1204" t="s">
        <v>840</v>
      </c>
      <c r="I87" s="1149" t="s">
        <v>744</v>
      </c>
      <c r="J87" s="1176"/>
      <c r="K87" s="1176"/>
      <c r="L87" s="1233">
        <v>1.5</v>
      </c>
      <c r="M87" s="1037"/>
      <c r="N87" s="1037"/>
      <c r="O87" s="1037"/>
      <c r="P87" s="1037"/>
      <c r="Q87" s="1037"/>
      <c r="R87" s="1004"/>
      <c r="S87" s="1004"/>
      <c r="T87" s="1004"/>
      <c r="U87" s="1004"/>
      <c r="V87" s="1004"/>
      <c r="W87" s="1004"/>
      <c r="X87" s="1004"/>
      <c r="Y87" s="1004"/>
      <c r="Z87" s="1004"/>
      <c r="AA87" s="1011"/>
      <c r="AB87" s="1233">
        <v>17.032300067588412</v>
      </c>
      <c r="AC87" s="1004"/>
      <c r="AD87" s="1004"/>
      <c r="AE87" s="1004"/>
      <c r="AF87" s="1004"/>
      <c r="AG87" s="1013"/>
      <c r="AH87" s="1004"/>
      <c r="AI87" s="1224">
        <v>0.1023647910760397</v>
      </c>
      <c r="AJ87" s="1035"/>
      <c r="AK87" s="1005"/>
      <c r="AL87" s="1005"/>
      <c r="AM87" s="1005"/>
      <c r="AN87" s="1005"/>
      <c r="AO87" s="1005"/>
      <c r="AP87" s="1004"/>
      <c r="AQ87" s="1004"/>
      <c r="AR87" s="1004"/>
      <c r="AS87" s="1005"/>
      <c r="AT87" s="1005"/>
      <c r="AU87" s="1176"/>
      <c r="AV87" s="1176"/>
      <c r="AW87" s="1231">
        <v>1.5</v>
      </c>
      <c r="AX87" s="1011"/>
      <c r="AY87" s="1011"/>
      <c r="AZ87" s="1011"/>
      <c r="BA87" s="1011"/>
      <c r="BB87" s="1011"/>
      <c r="BC87" s="1004"/>
      <c r="BD87" s="1004"/>
      <c r="BE87" s="1004"/>
      <c r="BF87" s="1011"/>
      <c r="BG87" s="1011"/>
      <c r="BH87" s="1004"/>
      <c r="BI87" s="1004"/>
      <c r="BJ87" s="1004"/>
      <c r="BK87" s="1004"/>
      <c r="BL87" s="1011"/>
      <c r="BM87" s="1227">
        <v>16.194500000000001</v>
      </c>
      <c r="BN87" s="1011"/>
      <c r="BO87" s="1011"/>
      <c r="BP87" s="1011"/>
      <c r="BQ87" s="1011"/>
      <c r="BR87" s="1011"/>
      <c r="BS87" s="1005"/>
      <c r="BT87" s="1230">
        <v>0.1050144501628355</v>
      </c>
      <c r="BU87" s="1005"/>
      <c r="BV87" s="1005"/>
      <c r="BW87" s="1005"/>
      <c r="BX87" s="1005"/>
      <c r="BY87" s="1005"/>
      <c r="BZ87" s="1005"/>
      <c r="CA87" s="1005"/>
      <c r="CB87" s="1005"/>
      <c r="CC87" s="1005"/>
      <c r="CD87" s="1005"/>
      <c r="CE87" s="1005"/>
      <c r="CF87" s="1176"/>
      <c r="CG87" s="1236">
        <v>73.819999999999979</v>
      </c>
      <c r="CH87" s="1004"/>
      <c r="CI87" s="1004"/>
      <c r="CJ87" s="1004"/>
      <c r="CK87" s="1004"/>
      <c r="CL87" s="1004"/>
      <c r="CM87" s="1004"/>
      <c r="CN87" s="1004"/>
      <c r="CO87" s="1008"/>
      <c r="CP87" s="1004"/>
      <c r="CQ87" s="1004"/>
      <c r="CR87" s="1004"/>
      <c r="CS87" s="1004"/>
      <c r="CT87" s="1004"/>
      <c r="CU87" s="1008"/>
      <c r="CV87" s="1011"/>
      <c r="CW87" s="1236">
        <v>3857.2199999999993</v>
      </c>
      <c r="CX87" s="1004"/>
      <c r="CY87" s="1004"/>
      <c r="CZ87" s="1004"/>
      <c r="DA87" s="1004"/>
      <c r="DB87" s="1013"/>
      <c r="DC87" s="1004"/>
      <c r="DD87" s="1236">
        <v>717563.23</v>
      </c>
      <c r="DE87" s="1036"/>
      <c r="DF87" s="1008"/>
      <c r="DG87" s="1008"/>
      <c r="DH87" s="1014"/>
      <c r="DI87" s="1008"/>
      <c r="DJ87" s="1008"/>
      <c r="DK87" s="1004"/>
      <c r="DL87" s="1004"/>
      <c r="DM87" s="1004"/>
      <c r="DN87" s="1008"/>
      <c r="DO87" s="1008"/>
      <c r="DP87" s="1176"/>
      <c r="DQ87" s="1199">
        <f t="shared" si="271"/>
        <v>40416.449999999983</v>
      </c>
      <c r="DR87" s="1199">
        <f t="shared" si="272"/>
        <v>0</v>
      </c>
      <c r="DS87" s="1199">
        <f t="shared" si="273"/>
        <v>0</v>
      </c>
      <c r="DT87" s="1199">
        <f t="shared" si="274"/>
        <v>0</v>
      </c>
      <c r="DU87" s="1199">
        <f t="shared" si="275"/>
        <v>0</v>
      </c>
      <c r="DV87" s="1199">
        <f t="shared" si="276"/>
        <v>0</v>
      </c>
      <c r="DW87" s="1199">
        <f t="shared" si="277"/>
        <v>0</v>
      </c>
      <c r="DX87" s="1199">
        <f t="shared" si="278"/>
        <v>0</v>
      </c>
      <c r="DY87" s="1199">
        <f t="shared" si="279"/>
        <v>0</v>
      </c>
      <c r="DZ87" s="1199">
        <f t="shared" si="280"/>
        <v>0</v>
      </c>
      <c r="EA87" s="1199">
        <f t="shared" si="281"/>
        <v>0</v>
      </c>
      <c r="EB87" s="1199">
        <f t="shared" si="282"/>
        <v>0</v>
      </c>
      <c r="EC87" s="1199">
        <f t="shared" si="283"/>
        <v>0</v>
      </c>
      <c r="ED87" s="1199">
        <f t="shared" si="284"/>
        <v>0</v>
      </c>
      <c r="EE87" s="1199">
        <f t="shared" si="285"/>
        <v>0</v>
      </c>
      <c r="EF87" s="1199">
        <f t="shared" si="286"/>
        <v>0</v>
      </c>
      <c r="EG87" s="1199">
        <f t="shared" si="287"/>
        <v>65697.328466703359</v>
      </c>
      <c r="EH87" s="1199">
        <f t="shared" si="288"/>
        <v>0</v>
      </c>
      <c r="EI87" s="1199">
        <f t="shared" si="289"/>
        <v>0</v>
      </c>
      <c r="EJ87" s="1199">
        <f t="shared" si="290"/>
        <v>0</v>
      </c>
      <c r="EK87" s="1199">
        <f t="shared" si="291"/>
        <v>0</v>
      </c>
      <c r="EL87" s="1199">
        <f t="shared" si="292"/>
        <v>0</v>
      </c>
      <c r="EM87" s="1199">
        <f t="shared" si="293"/>
        <v>0</v>
      </c>
      <c r="EN87" s="1199">
        <f t="shared" si="294"/>
        <v>73453.21012279822</v>
      </c>
      <c r="EO87" s="1199">
        <f t="shared" si="295"/>
        <v>0</v>
      </c>
      <c r="EP87" s="1199">
        <f t="shared" si="296"/>
        <v>0</v>
      </c>
      <c r="EQ87" s="1199">
        <f t="shared" si="297"/>
        <v>0</v>
      </c>
      <c r="ER87" s="1199">
        <f t="shared" si="298"/>
        <v>0</v>
      </c>
      <c r="ES87" s="1199">
        <f t="shared" si="299"/>
        <v>0</v>
      </c>
      <c r="ET87" s="1199">
        <f t="shared" si="300"/>
        <v>0</v>
      </c>
      <c r="EU87" s="1199">
        <f t="shared" si="301"/>
        <v>0</v>
      </c>
      <c r="EV87" s="1199">
        <f t="shared" si="302"/>
        <v>0</v>
      </c>
      <c r="EW87" s="1199">
        <f t="shared" si="303"/>
        <v>0</v>
      </c>
      <c r="EX87" s="1199">
        <f t="shared" si="304"/>
        <v>0</v>
      </c>
      <c r="EY87" s="1199">
        <f t="shared" si="305"/>
        <v>0</v>
      </c>
      <c r="EZ87" s="1175">
        <f t="shared" si="306"/>
        <v>179566.98858950156</v>
      </c>
      <c r="FA87" s="1177"/>
      <c r="FB87" s="1202">
        <f t="shared" si="307"/>
        <v>40416.449999999983</v>
      </c>
      <c r="FC87" s="1202">
        <f t="shared" si="308"/>
        <v>0</v>
      </c>
      <c r="FD87" s="1202">
        <f t="shared" si="309"/>
        <v>0</v>
      </c>
      <c r="FE87" s="1202">
        <f t="shared" si="310"/>
        <v>0</v>
      </c>
      <c r="FF87" s="1202">
        <f t="shared" si="311"/>
        <v>0</v>
      </c>
      <c r="FG87" s="1202">
        <f t="shared" si="312"/>
        <v>0</v>
      </c>
      <c r="FH87" s="1202">
        <f t="shared" si="313"/>
        <v>0</v>
      </c>
      <c r="FI87" s="1202">
        <f t="shared" si="314"/>
        <v>0</v>
      </c>
      <c r="FJ87" s="1202">
        <f t="shared" si="315"/>
        <v>0</v>
      </c>
      <c r="FK87" s="1202">
        <f t="shared" si="316"/>
        <v>0</v>
      </c>
      <c r="FL87" s="1202">
        <f t="shared" si="317"/>
        <v>0</v>
      </c>
      <c r="FM87" s="1202">
        <f t="shared" si="318"/>
        <v>0</v>
      </c>
      <c r="FN87" s="1202">
        <f t="shared" si="319"/>
        <v>0</v>
      </c>
      <c r="FO87" s="1202">
        <f t="shared" si="320"/>
        <v>0</v>
      </c>
      <c r="FP87" s="1202">
        <f t="shared" si="321"/>
        <v>0</v>
      </c>
      <c r="FQ87" s="1202">
        <f t="shared" si="322"/>
        <v>0</v>
      </c>
      <c r="FR87" s="1202">
        <f t="shared" si="323"/>
        <v>62465.749289999992</v>
      </c>
      <c r="FS87" s="1202">
        <f t="shared" si="324"/>
        <v>0</v>
      </c>
      <c r="FT87" s="1202">
        <f t="shared" si="325"/>
        <v>0</v>
      </c>
      <c r="FU87" s="1202">
        <f t="shared" si="326"/>
        <v>0</v>
      </c>
      <c r="FV87" s="1202">
        <f t="shared" si="327"/>
        <v>0</v>
      </c>
      <c r="FW87" s="1202">
        <f t="shared" si="328"/>
        <v>0</v>
      </c>
      <c r="FX87" s="1202">
        <f t="shared" si="329"/>
        <v>0</v>
      </c>
      <c r="FY87" s="1202">
        <f t="shared" si="330"/>
        <v>75354.508055518265</v>
      </c>
      <c r="FZ87" s="1202">
        <f t="shared" si="331"/>
        <v>0</v>
      </c>
      <c r="GA87" s="1202">
        <f t="shared" si="332"/>
        <v>0</v>
      </c>
      <c r="GB87" s="1202">
        <f t="shared" si="333"/>
        <v>0</v>
      </c>
      <c r="GC87" s="1202">
        <f t="shared" si="334"/>
        <v>0</v>
      </c>
      <c r="GD87" s="1202">
        <f t="shared" si="335"/>
        <v>0</v>
      </c>
      <c r="GE87" s="1202">
        <f t="shared" si="336"/>
        <v>0</v>
      </c>
      <c r="GF87" s="1202">
        <f t="shared" si="337"/>
        <v>0</v>
      </c>
      <c r="GG87" s="1202">
        <f t="shared" si="338"/>
        <v>0</v>
      </c>
      <c r="GH87" s="1202">
        <f t="shared" si="339"/>
        <v>0</v>
      </c>
      <c r="GI87" s="1202">
        <f t="shared" si="340"/>
        <v>0</v>
      </c>
      <c r="GJ87" s="1202">
        <f t="shared" si="341"/>
        <v>0</v>
      </c>
      <c r="GK87" s="1174">
        <f t="shared" si="342"/>
        <v>178236.70734551823</v>
      </c>
    </row>
    <row r="88" spans="1:193" s="1015" customFormat="1">
      <c r="A88" s="1003"/>
      <c r="B88" s="1149"/>
      <c r="C88" s="1149" t="s">
        <v>256</v>
      </c>
      <c r="D88" s="1204" t="s">
        <v>256</v>
      </c>
      <c r="E88" s="1204" t="s">
        <v>765</v>
      </c>
      <c r="F88" s="1204" t="s">
        <v>784</v>
      </c>
      <c r="G88" s="1204" t="s">
        <v>791</v>
      </c>
      <c r="H88" s="1204" t="s">
        <v>843</v>
      </c>
      <c r="I88" s="1149" t="s">
        <v>744</v>
      </c>
      <c r="J88" s="1176"/>
      <c r="K88" s="1176"/>
      <c r="L88" s="1233">
        <v>1</v>
      </c>
      <c r="M88" s="1037"/>
      <c r="N88" s="1037"/>
      <c r="O88" s="1037"/>
      <c r="P88" s="1037"/>
      <c r="Q88" s="1037"/>
      <c r="R88" s="1004"/>
      <c r="S88" s="1004"/>
      <c r="T88" s="1004"/>
      <c r="U88" s="1004"/>
      <c r="V88" s="1004"/>
      <c r="W88" s="1004"/>
      <c r="X88" s="1004"/>
      <c r="Y88" s="1004"/>
      <c r="Z88" s="1004"/>
      <c r="AA88" s="1011"/>
      <c r="AB88" s="1233">
        <v>3.6160081888963873</v>
      </c>
      <c r="AC88" s="1004"/>
      <c r="AD88" s="1004"/>
      <c r="AE88" s="1004"/>
      <c r="AF88" s="1004"/>
      <c r="AG88" s="1013"/>
      <c r="AH88" s="1004"/>
      <c r="AI88" s="1224">
        <v>1.3236036E-2</v>
      </c>
      <c r="AJ88" s="1035"/>
      <c r="AK88" s="1005"/>
      <c r="AL88" s="1005"/>
      <c r="AM88" s="1005"/>
      <c r="AN88" s="1005"/>
      <c r="AO88" s="1005"/>
      <c r="AP88" s="1004"/>
      <c r="AQ88" s="1004"/>
      <c r="AR88" s="1004"/>
      <c r="AS88" s="1005"/>
      <c r="AT88" s="1005"/>
      <c r="AU88" s="1176"/>
      <c r="AV88" s="1176"/>
      <c r="AW88" s="1231">
        <v>1</v>
      </c>
      <c r="AX88" s="1011"/>
      <c r="AY88" s="1011"/>
      <c r="AZ88" s="1011"/>
      <c r="BA88" s="1011"/>
      <c r="BB88" s="1011"/>
      <c r="BC88" s="1004"/>
      <c r="BD88" s="1004"/>
      <c r="BE88" s="1004"/>
      <c r="BF88" s="1011"/>
      <c r="BG88" s="1011"/>
      <c r="BH88" s="1004"/>
      <c r="BI88" s="1004"/>
      <c r="BJ88" s="1004"/>
      <c r="BK88" s="1004"/>
      <c r="BL88" s="1011"/>
      <c r="BM88" s="1227">
        <v>3.4382099999999998</v>
      </c>
      <c r="BN88" s="1011"/>
      <c r="BO88" s="1011"/>
      <c r="BP88" s="1011"/>
      <c r="BQ88" s="1011"/>
      <c r="BR88" s="1011"/>
      <c r="BS88" s="1005"/>
      <c r="BT88" s="1230">
        <v>1.3002E-2</v>
      </c>
      <c r="BU88" s="1005"/>
      <c r="BV88" s="1005"/>
      <c r="BW88" s="1005"/>
      <c r="BX88" s="1005"/>
      <c r="BY88" s="1005"/>
      <c r="BZ88" s="1005"/>
      <c r="CA88" s="1005"/>
      <c r="CB88" s="1005"/>
      <c r="CC88" s="1005"/>
      <c r="CD88" s="1005"/>
      <c r="CE88" s="1005"/>
      <c r="CF88" s="1176"/>
      <c r="CG88" s="1236">
        <v>0</v>
      </c>
      <c r="CH88" s="1004"/>
      <c r="CI88" s="1004"/>
      <c r="CJ88" s="1004"/>
      <c r="CK88" s="1004"/>
      <c r="CL88" s="1004"/>
      <c r="CM88" s="1004"/>
      <c r="CN88" s="1004"/>
      <c r="CO88" s="1008"/>
      <c r="CP88" s="1004"/>
      <c r="CQ88" s="1004"/>
      <c r="CR88" s="1004"/>
      <c r="CS88" s="1004"/>
      <c r="CT88" s="1004"/>
      <c r="CU88" s="1008"/>
      <c r="CV88" s="1011"/>
      <c r="CW88" s="1236">
        <v>0</v>
      </c>
      <c r="CX88" s="1004"/>
      <c r="CY88" s="1004"/>
      <c r="CZ88" s="1004"/>
      <c r="DA88" s="1004"/>
      <c r="DB88" s="1013"/>
      <c r="DC88" s="1004"/>
      <c r="DD88" s="1236">
        <v>0</v>
      </c>
      <c r="DE88" s="1036"/>
      <c r="DF88" s="1008"/>
      <c r="DG88" s="1008"/>
      <c r="DH88" s="1014"/>
      <c r="DI88" s="1008"/>
      <c r="DJ88" s="1008"/>
      <c r="DK88" s="1004"/>
      <c r="DL88" s="1004"/>
      <c r="DM88" s="1004"/>
      <c r="DN88" s="1008"/>
      <c r="DO88" s="1008"/>
      <c r="DP88" s="1176"/>
      <c r="DQ88" s="1199">
        <f t="shared" si="271"/>
        <v>0</v>
      </c>
      <c r="DR88" s="1199">
        <f t="shared" si="272"/>
        <v>0</v>
      </c>
      <c r="DS88" s="1199">
        <f t="shared" si="273"/>
        <v>0</v>
      </c>
      <c r="DT88" s="1199">
        <f t="shared" si="274"/>
        <v>0</v>
      </c>
      <c r="DU88" s="1199">
        <f t="shared" si="275"/>
        <v>0</v>
      </c>
      <c r="DV88" s="1199">
        <f t="shared" si="276"/>
        <v>0</v>
      </c>
      <c r="DW88" s="1199">
        <f t="shared" si="277"/>
        <v>0</v>
      </c>
      <c r="DX88" s="1199">
        <f t="shared" si="278"/>
        <v>0</v>
      </c>
      <c r="DY88" s="1199">
        <f t="shared" si="279"/>
        <v>0</v>
      </c>
      <c r="DZ88" s="1199">
        <f t="shared" si="280"/>
        <v>0</v>
      </c>
      <c r="EA88" s="1199">
        <f t="shared" si="281"/>
        <v>0</v>
      </c>
      <c r="EB88" s="1199">
        <f t="shared" si="282"/>
        <v>0</v>
      </c>
      <c r="EC88" s="1199">
        <f t="shared" si="283"/>
        <v>0</v>
      </c>
      <c r="ED88" s="1199">
        <f t="shared" si="284"/>
        <v>0</v>
      </c>
      <c r="EE88" s="1199">
        <f t="shared" si="285"/>
        <v>0</v>
      </c>
      <c r="EF88" s="1199">
        <f t="shared" si="286"/>
        <v>0</v>
      </c>
      <c r="EG88" s="1199">
        <f t="shared" si="287"/>
        <v>0</v>
      </c>
      <c r="EH88" s="1199">
        <f t="shared" si="288"/>
        <v>0</v>
      </c>
      <c r="EI88" s="1199">
        <f t="shared" si="289"/>
        <v>0</v>
      </c>
      <c r="EJ88" s="1199">
        <f t="shared" si="290"/>
        <v>0</v>
      </c>
      <c r="EK88" s="1199">
        <f t="shared" si="291"/>
        <v>0</v>
      </c>
      <c r="EL88" s="1199">
        <f t="shared" si="292"/>
        <v>0</v>
      </c>
      <c r="EM88" s="1199">
        <f t="shared" si="293"/>
        <v>0</v>
      </c>
      <c r="EN88" s="1199">
        <f t="shared" si="294"/>
        <v>0</v>
      </c>
      <c r="EO88" s="1199">
        <f t="shared" si="295"/>
        <v>0</v>
      </c>
      <c r="EP88" s="1199">
        <f t="shared" si="296"/>
        <v>0</v>
      </c>
      <c r="EQ88" s="1199">
        <f t="shared" si="297"/>
        <v>0</v>
      </c>
      <c r="ER88" s="1199">
        <f t="shared" si="298"/>
        <v>0</v>
      </c>
      <c r="ES88" s="1199">
        <f t="shared" si="299"/>
        <v>0</v>
      </c>
      <c r="ET88" s="1199">
        <f t="shared" si="300"/>
        <v>0</v>
      </c>
      <c r="EU88" s="1199">
        <f t="shared" si="301"/>
        <v>0</v>
      </c>
      <c r="EV88" s="1199">
        <f t="shared" si="302"/>
        <v>0</v>
      </c>
      <c r="EW88" s="1199">
        <f t="shared" si="303"/>
        <v>0</v>
      </c>
      <c r="EX88" s="1199">
        <f t="shared" si="304"/>
        <v>0</v>
      </c>
      <c r="EY88" s="1199">
        <f t="shared" si="305"/>
        <v>0</v>
      </c>
      <c r="EZ88" s="1175">
        <f t="shared" si="306"/>
        <v>0</v>
      </c>
      <c r="FA88" s="1177"/>
      <c r="FB88" s="1202">
        <f t="shared" si="307"/>
        <v>0</v>
      </c>
      <c r="FC88" s="1202">
        <f t="shared" si="308"/>
        <v>0</v>
      </c>
      <c r="FD88" s="1202">
        <f t="shared" si="309"/>
        <v>0</v>
      </c>
      <c r="FE88" s="1202">
        <f t="shared" si="310"/>
        <v>0</v>
      </c>
      <c r="FF88" s="1202">
        <f t="shared" si="311"/>
        <v>0</v>
      </c>
      <c r="FG88" s="1202">
        <f t="shared" si="312"/>
        <v>0</v>
      </c>
      <c r="FH88" s="1202">
        <f t="shared" si="313"/>
        <v>0</v>
      </c>
      <c r="FI88" s="1202">
        <f t="shared" si="314"/>
        <v>0</v>
      </c>
      <c r="FJ88" s="1202">
        <f t="shared" si="315"/>
        <v>0</v>
      </c>
      <c r="FK88" s="1202">
        <f t="shared" si="316"/>
        <v>0</v>
      </c>
      <c r="FL88" s="1202">
        <f t="shared" si="317"/>
        <v>0</v>
      </c>
      <c r="FM88" s="1202">
        <f t="shared" si="318"/>
        <v>0</v>
      </c>
      <c r="FN88" s="1202">
        <f t="shared" si="319"/>
        <v>0</v>
      </c>
      <c r="FO88" s="1202">
        <f t="shared" si="320"/>
        <v>0</v>
      </c>
      <c r="FP88" s="1202">
        <f t="shared" si="321"/>
        <v>0</v>
      </c>
      <c r="FQ88" s="1202">
        <f t="shared" si="322"/>
        <v>0</v>
      </c>
      <c r="FR88" s="1202">
        <f t="shared" si="323"/>
        <v>0</v>
      </c>
      <c r="FS88" s="1202">
        <f t="shared" si="324"/>
        <v>0</v>
      </c>
      <c r="FT88" s="1202">
        <f t="shared" si="325"/>
        <v>0</v>
      </c>
      <c r="FU88" s="1202">
        <f t="shared" si="326"/>
        <v>0</v>
      </c>
      <c r="FV88" s="1202">
        <f t="shared" si="327"/>
        <v>0</v>
      </c>
      <c r="FW88" s="1202">
        <f t="shared" si="328"/>
        <v>0</v>
      </c>
      <c r="FX88" s="1202">
        <f t="shared" si="329"/>
        <v>0</v>
      </c>
      <c r="FY88" s="1202">
        <f t="shared" si="330"/>
        <v>0</v>
      </c>
      <c r="FZ88" s="1202">
        <f t="shared" si="331"/>
        <v>0</v>
      </c>
      <c r="GA88" s="1202">
        <f t="shared" si="332"/>
        <v>0</v>
      </c>
      <c r="GB88" s="1202">
        <f t="shared" si="333"/>
        <v>0</v>
      </c>
      <c r="GC88" s="1202">
        <f t="shared" si="334"/>
        <v>0</v>
      </c>
      <c r="GD88" s="1202">
        <f t="shared" si="335"/>
        <v>0</v>
      </c>
      <c r="GE88" s="1202">
        <f t="shared" si="336"/>
        <v>0</v>
      </c>
      <c r="GF88" s="1202">
        <f t="shared" si="337"/>
        <v>0</v>
      </c>
      <c r="GG88" s="1202">
        <f t="shared" si="338"/>
        <v>0</v>
      </c>
      <c r="GH88" s="1202">
        <f t="shared" si="339"/>
        <v>0</v>
      </c>
      <c r="GI88" s="1202">
        <f t="shared" si="340"/>
        <v>0</v>
      </c>
      <c r="GJ88" s="1202">
        <f t="shared" si="341"/>
        <v>0</v>
      </c>
      <c r="GK88" s="1174">
        <f t="shared" si="342"/>
        <v>0</v>
      </c>
    </row>
    <row r="89" spans="1:193" ht="6" customHeight="1">
      <c r="A89" s="1184" t="s">
        <v>742</v>
      </c>
      <c r="B89" s="1184" t="s">
        <v>742</v>
      </c>
      <c r="C89" s="1184"/>
      <c r="D89" s="1184"/>
      <c r="E89" s="1184"/>
      <c r="F89" s="1184"/>
      <c r="G89" s="1184"/>
      <c r="H89" s="1184"/>
      <c r="I89" s="1184"/>
      <c r="J89" s="1234"/>
      <c r="K89" s="1234"/>
      <c r="L89" s="1185"/>
      <c r="M89" s="1185"/>
      <c r="N89" s="1185"/>
      <c r="O89" s="1185"/>
      <c r="P89" s="1185"/>
      <c r="Q89" s="1185"/>
      <c r="R89" s="1185"/>
      <c r="S89" s="1185"/>
      <c r="T89" s="1185"/>
      <c r="U89" s="1185"/>
      <c r="V89" s="1185"/>
      <c r="W89" s="1185"/>
      <c r="X89" s="1185"/>
      <c r="Y89" s="1185"/>
      <c r="Z89" s="1185"/>
      <c r="AA89" s="1185"/>
      <c r="AB89" s="1185"/>
      <c r="AC89" s="1185"/>
      <c r="AD89" s="1185"/>
      <c r="AE89" s="1185"/>
      <c r="AF89" s="1185"/>
      <c r="AG89" s="1185"/>
      <c r="AH89" s="1185"/>
      <c r="AI89" s="1186"/>
      <c r="AJ89" s="1186"/>
      <c r="AK89" s="1186"/>
      <c r="AL89" s="1186"/>
      <c r="AM89" s="1186"/>
      <c r="AN89" s="1186"/>
      <c r="AO89" s="1186"/>
      <c r="AP89" s="1185"/>
      <c r="AQ89" s="1185"/>
      <c r="AR89" s="1185"/>
      <c r="AS89" s="1186"/>
      <c r="AT89" s="1186"/>
      <c r="AU89" s="1184"/>
      <c r="AV89" s="1184"/>
      <c r="AW89" s="1185"/>
      <c r="AX89" s="1185"/>
      <c r="AY89" s="1185"/>
      <c r="AZ89" s="1185"/>
      <c r="BA89" s="1185"/>
      <c r="BB89" s="1185"/>
      <c r="BC89" s="1185"/>
      <c r="BD89" s="1185"/>
      <c r="BE89" s="1185"/>
      <c r="BF89" s="1185"/>
      <c r="BG89" s="1185"/>
      <c r="BH89" s="1185"/>
      <c r="BI89" s="1185"/>
      <c r="BJ89" s="1185"/>
      <c r="BK89" s="1185"/>
      <c r="BL89" s="1185"/>
      <c r="BM89" s="1185"/>
      <c r="BN89" s="1185"/>
      <c r="BO89" s="1185"/>
      <c r="BP89" s="1185"/>
      <c r="BQ89" s="1185"/>
      <c r="BR89" s="1186"/>
      <c r="BS89" s="1186"/>
      <c r="BT89" s="1301"/>
      <c r="BU89" s="1186"/>
      <c r="BV89" s="1186"/>
      <c r="BW89" s="1186"/>
      <c r="BX89" s="1186"/>
      <c r="BY89" s="1186"/>
      <c r="BZ89" s="1186"/>
      <c r="CA89" s="1185"/>
      <c r="CB89" s="1185"/>
      <c r="CC89" s="1185"/>
      <c r="CD89" s="1186"/>
      <c r="CE89" s="1186"/>
      <c r="CF89" s="1184"/>
      <c r="CG89" s="1189"/>
      <c r="CH89" s="1187"/>
      <c r="CI89" s="1187"/>
      <c r="CJ89" s="1187"/>
      <c r="CK89" s="1187"/>
      <c r="CL89" s="1187"/>
      <c r="CM89" s="1187"/>
      <c r="CN89" s="1188"/>
      <c r="CO89" s="1189"/>
      <c r="CP89" s="1187"/>
      <c r="CQ89" s="1187"/>
      <c r="CR89" s="1188"/>
      <c r="CS89" s="1187"/>
      <c r="CT89" s="1187"/>
      <c r="CU89" s="1189"/>
      <c r="CV89" s="1187"/>
      <c r="CW89" s="1187"/>
      <c r="CX89" s="1187"/>
      <c r="CY89" s="1187"/>
      <c r="CZ89" s="1187"/>
      <c r="DA89" s="1187"/>
      <c r="DB89" s="1187"/>
      <c r="DC89" s="1187"/>
      <c r="DD89" s="1189"/>
      <c r="DE89" s="1189"/>
      <c r="DF89" s="1189"/>
      <c r="DG89" s="1189"/>
      <c r="DH89" s="1190"/>
      <c r="DI89" s="1189"/>
      <c r="DJ89" s="1189"/>
      <c r="DK89" s="1187"/>
      <c r="DL89" s="1187"/>
      <c r="DM89" s="1187"/>
      <c r="DN89" s="1189"/>
      <c r="DO89" s="1189"/>
      <c r="DP89" s="1184"/>
      <c r="DQ89" s="1191"/>
      <c r="DR89" s="1191"/>
      <c r="DS89" s="1191"/>
      <c r="DT89" s="1191"/>
      <c r="DU89" s="1191"/>
      <c r="DV89" s="1191"/>
      <c r="DW89" s="1191"/>
      <c r="DX89" s="1191"/>
      <c r="DY89" s="1191"/>
      <c r="DZ89" s="1191"/>
      <c r="EA89" s="1191"/>
      <c r="EB89" s="1192"/>
      <c r="EC89" s="1191"/>
      <c r="ED89" s="1191"/>
      <c r="EE89" s="1191"/>
      <c r="EF89" s="1191"/>
      <c r="EG89" s="1191"/>
      <c r="EH89" s="1191"/>
      <c r="EI89" s="1191"/>
      <c r="EJ89" s="1191"/>
      <c r="EK89" s="1191"/>
      <c r="EL89" s="1191"/>
      <c r="EM89" s="1191"/>
      <c r="EN89" s="1191"/>
      <c r="EO89" s="1191"/>
      <c r="EP89" s="1191"/>
      <c r="EQ89" s="1191"/>
      <c r="ER89" s="1191"/>
      <c r="ES89" s="1191"/>
      <c r="ET89" s="1191"/>
      <c r="EU89" s="1191"/>
      <c r="EV89" s="1191"/>
      <c r="EW89" s="1191"/>
      <c r="EX89" s="1191"/>
      <c r="EY89" s="1191"/>
      <c r="EZ89" s="1193"/>
      <c r="FA89" s="1184"/>
      <c r="FB89" s="1191"/>
      <c r="FC89" s="1191"/>
      <c r="FD89" s="1191"/>
      <c r="FE89" s="1191"/>
      <c r="FF89" s="1191"/>
      <c r="FG89" s="1191"/>
      <c r="FH89" s="1192"/>
      <c r="FI89" s="1192"/>
      <c r="FJ89" s="1192"/>
      <c r="FK89" s="1192"/>
      <c r="FL89" s="1192"/>
      <c r="FM89" s="1191"/>
      <c r="FN89" s="1191"/>
      <c r="FO89" s="1191"/>
      <c r="FP89" s="1191"/>
      <c r="FQ89" s="1191"/>
      <c r="FR89" s="1191"/>
      <c r="FS89" s="1191"/>
      <c r="FT89" s="1191"/>
      <c r="FU89" s="1191"/>
      <c r="FV89" s="1191"/>
      <c r="FW89" s="1191"/>
      <c r="FX89" s="1191"/>
      <c r="FY89" s="1194"/>
      <c r="FZ89" s="1191"/>
      <c r="GA89" s="1191"/>
      <c r="GB89" s="1191"/>
      <c r="GC89" s="1191"/>
      <c r="GD89" s="1191"/>
      <c r="GE89" s="1191"/>
      <c r="GF89" s="1191"/>
      <c r="GG89" s="1191"/>
      <c r="GH89" s="1191"/>
      <c r="GI89" s="1191"/>
      <c r="GJ89" s="1191"/>
      <c r="GK89" s="1193"/>
    </row>
    <row r="90" spans="1:193" s="1015" customFormat="1">
      <c r="A90" s="1003"/>
      <c r="B90" s="1149"/>
      <c r="C90" s="1149" t="s">
        <v>260</v>
      </c>
      <c r="D90" s="1204" t="s">
        <v>260</v>
      </c>
      <c r="E90" s="1204" t="s">
        <v>765</v>
      </c>
      <c r="F90" s="1204" t="s">
        <v>788</v>
      </c>
      <c r="G90" s="1204" t="s">
        <v>789</v>
      </c>
      <c r="H90" s="1204" t="s">
        <v>199</v>
      </c>
      <c r="I90" s="1149" t="s">
        <v>744</v>
      </c>
      <c r="J90" s="1176"/>
      <c r="K90" s="1176"/>
      <c r="L90" s="1004"/>
      <c r="M90" s="1013"/>
      <c r="N90" s="1013"/>
      <c r="O90" s="1013"/>
      <c r="P90" s="1013"/>
      <c r="Q90" s="1013"/>
      <c r="R90" s="1004"/>
      <c r="S90" s="1004"/>
      <c r="T90" s="1004"/>
      <c r="U90" s="1013"/>
      <c r="V90" s="1013"/>
      <c r="W90" s="1004"/>
      <c r="X90" s="1004"/>
      <c r="Y90" s="1004"/>
      <c r="Z90" s="1004"/>
      <c r="AA90" s="1004"/>
      <c r="AB90" s="1004"/>
      <c r="AC90" s="1013"/>
      <c r="AD90" s="1004"/>
      <c r="AE90" s="1013"/>
      <c r="AF90" s="1004"/>
      <c r="AG90" s="1013"/>
      <c r="AH90" s="1004"/>
      <c r="AI90" s="1224">
        <v>1.8320965190146712E-2</v>
      </c>
      <c r="AJ90" s="1035"/>
      <c r="AK90" s="1005"/>
      <c r="AL90" s="1005"/>
      <c r="AM90" s="1005"/>
      <c r="AN90" s="1005"/>
      <c r="AO90" s="1005"/>
      <c r="AP90" s="1013"/>
      <c r="AQ90" s="1013"/>
      <c r="AR90" s="1013"/>
      <c r="AS90" s="1005"/>
      <c r="AT90" s="1005"/>
      <c r="AU90" s="1176"/>
      <c r="AV90" s="1176"/>
      <c r="AW90" s="1004"/>
      <c r="AX90" s="1011"/>
      <c r="AY90" s="1011"/>
      <c r="AZ90" s="1011"/>
      <c r="BA90" s="1011"/>
      <c r="BB90" s="1011"/>
      <c r="BC90" s="1004"/>
      <c r="BD90" s="1004"/>
      <c r="BE90" s="1004"/>
      <c r="BF90" s="1013"/>
      <c r="BG90" s="1013"/>
      <c r="BH90" s="1004"/>
      <c r="BI90" s="1004"/>
      <c r="BJ90" s="1004"/>
      <c r="BK90" s="1004"/>
      <c r="BL90" s="1004"/>
      <c r="BM90" s="1004"/>
      <c r="BN90" s="1013"/>
      <c r="BO90" s="1013"/>
      <c r="BP90" s="1013"/>
      <c r="BQ90" s="1004"/>
      <c r="BR90" s="1035"/>
      <c r="BS90" s="1005"/>
      <c r="BT90" s="1230">
        <v>1.7736633267619137E-2</v>
      </c>
      <c r="BU90" s="1005"/>
      <c r="BV90" s="1005"/>
      <c r="BW90" s="1005"/>
      <c r="BX90" s="1005"/>
      <c r="BY90" s="1005"/>
      <c r="BZ90" s="1005"/>
      <c r="CA90" s="1005"/>
      <c r="CB90" s="1005"/>
      <c r="CC90" s="1005"/>
      <c r="CD90" s="1005"/>
      <c r="CE90" s="1005"/>
      <c r="CF90" s="1176"/>
      <c r="CG90" s="1196"/>
      <c r="CH90" s="1004"/>
      <c r="CI90" s="1004"/>
      <c r="CJ90" s="1004"/>
      <c r="CK90" s="1004"/>
      <c r="CL90" s="1004"/>
      <c r="CM90" s="1004"/>
      <c r="CN90" s="1004"/>
      <c r="CO90" s="1008"/>
      <c r="CP90" s="1013"/>
      <c r="CQ90" s="1013"/>
      <c r="CR90" s="1004"/>
      <c r="CS90" s="1004"/>
      <c r="CT90" s="1004"/>
      <c r="CU90" s="1008"/>
      <c r="CV90" s="1004"/>
      <c r="CW90" s="1004"/>
      <c r="CX90" s="1013"/>
      <c r="CY90" s="1013"/>
      <c r="CZ90" s="1013"/>
      <c r="DA90" s="1004"/>
      <c r="DB90" s="1013"/>
      <c r="DC90" s="1004"/>
      <c r="DD90" s="1236">
        <v>152565173.53999999</v>
      </c>
      <c r="DE90" s="1036"/>
      <c r="DF90" s="1008"/>
      <c r="DG90" s="1008"/>
      <c r="DH90" s="1014"/>
      <c r="DI90" s="1008"/>
      <c r="DJ90" s="1008"/>
      <c r="DK90" s="1013"/>
      <c r="DL90" s="1013"/>
      <c r="DM90" s="1013"/>
      <c r="DN90" s="1008"/>
      <c r="DO90" s="1008"/>
      <c r="DP90" s="1176"/>
      <c r="DQ90" s="1199">
        <f t="shared" ref="DQ90:EY90" si="343">L90*CG90*DQ$107</f>
        <v>0</v>
      </c>
      <c r="DR90" s="1199">
        <f t="shared" si="343"/>
        <v>0</v>
      </c>
      <c r="DS90" s="1199">
        <f t="shared" si="343"/>
        <v>0</v>
      </c>
      <c r="DT90" s="1199">
        <f t="shared" si="343"/>
        <v>0</v>
      </c>
      <c r="DU90" s="1199">
        <f t="shared" si="343"/>
        <v>0</v>
      </c>
      <c r="DV90" s="1199">
        <f t="shared" si="343"/>
        <v>0</v>
      </c>
      <c r="DW90" s="1199">
        <f t="shared" si="343"/>
        <v>0</v>
      </c>
      <c r="DX90" s="1199">
        <f t="shared" si="343"/>
        <v>0</v>
      </c>
      <c r="DY90" s="1199">
        <f t="shared" si="343"/>
        <v>0</v>
      </c>
      <c r="DZ90" s="1199">
        <f t="shared" si="343"/>
        <v>0</v>
      </c>
      <c r="EA90" s="1199">
        <f t="shared" si="343"/>
        <v>0</v>
      </c>
      <c r="EB90" s="1199">
        <f t="shared" si="343"/>
        <v>0</v>
      </c>
      <c r="EC90" s="1199">
        <f t="shared" si="343"/>
        <v>0</v>
      </c>
      <c r="ED90" s="1199">
        <f t="shared" si="343"/>
        <v>0</v>
      </c>
      <c r="EE90" s="1199">
        <f t="shared" si="343"/>
        <v>0</v>
      </c>
      <c r="EF90" s="1199">
        <f t="shared" si="343"/>
        <v>0</v>
      </c>
      <c r="EG90" s="1199">
        <f t="shared" si="343"/>
        <v>0</v>
      </c>
      <c r="EH90" s="1199">
        <f t="shared" si="343"/>
        <v>0</v>
      </c>
      <c r="EI90" s="1199">
        <f t="shared" si="343"/>
        <v>0</v>
      </c>
      <c r="EJ90" s="1199">
        <f t="shared" si="343"/>
        <v>0</v>
      </c>
      <c r="EK90" s="1199">
        <f t="shared" si="343"/>
        <v>0</v>
      </c>
      <c r="EL90" s="1199">
        <f t="shared" si="343"/>
        <v>0</v>
      </c>
      <c r="EM90" s="1199">
        <f t="shared" si="343"/>
        <v>0</v>
      </c>
      <c r="EN90" s="1199">
        <f t="shared" si="343"/>
        <v>2795141.2336550322</v>
      </c>
      <c r="EO90" s="1199">
        <f t="shared" si="343"/>
        <v>0</v>
      </c>
      <c r="EP90" s="1199">
        <f t="shared" si="343"/>
        <v>0</v>
      </c>
      <c r="EQ90" s="1199">
        <f t="shared" si="343"/>
        <v>0</v>
      </c>
      <c r="ER90" s="1199">
        <f t="shared" si="343"/>
        <v>0</v>
      </c>
      <c r="ES90" s="1199">
        <f t="shared" si="343"/>
        <v>0</v>
      </c>
      <c r="ET90" s="1199">
        <f t="shared" si="343"/>
        <v>0</v>
      </c>
      <c r="EU90" s="1199">
        <f t="shared" si="343"/>
        <v>0</v>
      </c>
      <c r="EV90" s="1199">
        <f t="shared" si="343"/>
        <v>0</v>
      </c>
      <c r="EW90" s="1199">
        <f t="shared" si="343"/>
        <v>0</v>
      </c>
      <c r="EX90" s="1199">
        <f t="shared" si="343"/>
        <v>0</v>
      </c>
      <c r="EY90" s="1199">
        <f t="shared" si="343"/>
        <v>0</v>
      </c>
      <c r="EZ90" s="1175">
        <f t="shared" si="306"/>
        <v>2795141.2336550322</v>
      </c>
      <c r="FA90" s="1177"/>
      <c r="FB90" s="1202">
        <f t="shared" ref="FB90:GJ90" si="344">AW90*CG90*FB$107</f>
        <v>0</v>
      </c>
      <c r="FC90" s="1202">
        <f t="shared" si="344"/>
        <v>0</v>
      </c>
      <c r="FD90" s="1202">
        <f t="shared" si="344"/>
        <v>0</v>
      </c>
      <c r="FE90" s="1202">
        <f t="shared" si="344"/>
        <v>0</v>
      </c>
      <c r="FF90" s="1202">
        <f t="shared" si="344"/>
        <v>0</v>
      </c>
      <c r="FG90" s="1202">
        <f t="shared" si="344"/>
        <v>0</v>
      </c>
      <c r="FH90" s="1202">
        <f t="shared" si="344"/>
        <v>0</v>
      </c>
      <c r="FI90" s="1202">
        <f t="shared" si="344"/>
        <v>0</v>
      </c>
      <c r="FJ90" s="1202">
        <f t="shared" si="344"/>
        <v>0</v>
      </c>
      <c r="FK90" s="1202">
        <f t="shared" si="344"/>
        <v>0</v>
      </c>
      <c r="FL90" s="1202">
        <f t="shared" si="344"/>
        <v>0</v>
      </c>
      <c r="FM90" s="1202">
        <f t="shared" si="344"/>
        <v>0</v>
      </c>
      <c r="FN90" s="1202">
        <f t="shared" si="344"/>
        <v>0</v>
      </c>
      <c r="FO90" s="1202">
        <f t="shared" si="344"/>
        <v>0</v>
      </c>
      <c r="FP90" s="1202">
        <f t="shared" si="344"/>
        <v>0</v>
      </c>
      <c r="FQ90" s="1202">
        <f t="shared" si="344"/>
        <v>0</v>
      </c>
      <c r="FR90" s="1202">
        <f t="shared" si="344"/>
        <v>0</v>
      </c>
      <c r="FS90" s="1202">
        <f t="shared" si="344"/>
        <v>0</v>
      </c>
      <c r="FT90" s="1202">
        <f t="shared" si="344"/>
        <v>0</v>
      </c>
      <c r="FU90" s="1202">
        <f t="shared" si="344"/>
        <v>0</v>
      </c>
      <c r="FV90" s="1202">
        <f t="shared" si="344"/>
        <v>0</v>
      </c>
      <c r="FW90" s="1202">
        <f t="shared" si="344"/>
        <v>0</v>
      </c>
      <c r="FX90" s="1202">
        <f t="shared" si="344"/>
        <v>0</v>
      </c>
      <c r="FY90" s="1202">
        <f t="shared" si="344"/>
        <v>2705992.5324896509</v>
      </c>
      <c r="FZ90" s="1202">
        <f t="shared" si="344"/>
        <v>0</v>
      </c>
      <c r="GA90" s="1202">
        <f t="shared" si="344"/>
        <v>0</v>
      </c>
      <c r="GB90" s="1202">
        <f t="shared" si="344"/>
        <v>0</v>
      </c>
      <c r="GC90" s="1202">
        <f t="shared" si="344"/>
        <v>0</v>
      </c>
      <c r="GD90" s="1202">
        <f t="shared" si="344"/>
        <v>0</v>
      </c>
      <c r="GE90" s="1202">
        <f t="shared" si="344"/>
        <v>0</v>
      </c>
      <c r="GF90" s="1202">
        <f t="shared" si="344"/>
        <v>0</v>
      </c>
      <c r="GG90" s="1202">
        <f t="shared" si="344"/>
        <v>0</v>
      </c>
      <c r="GH90" s="1202">
        <f t="shared" si="344"/>
        <v>0</v>
      </c>
      <c r="GI90" s="1202">
        <f t="shared" si="344"/>
        <v>0</v>
      </c>
      <c r="GJ90" s="1202">
        <f t="shared" si="344"/>
        <v>0</v>
      </c>
      <c r="GK90" s="1174">
        <f t="shared" si="342"/>
        <v>2705992.5324896509</v>
      </c>
    </row>
    <row r="91" spans="1:193" s="1015" customFormat="1">
      <c r="A91" s="1003"/>
      <c r="B91" s="1149"/>
      <c r="C91" s="1149" t="s">
        <v>261</v>
      </c>
      <c r="D91" s="1204" t="s">
        <v>261</v>
      </c>
      <c r="E91" s="1204" t="s">
        <v>765</v>
      </c>
      <c r="F91" s="1204" t="s">
        <v>788</v>
      </c>
      <c r="G91" s="1204" t="s">
        <v>790</v>
      </c>
      <c r="H91" s="1204" t="s">
        <v>200</v>
      </c>
      <c r="I91" s="1149" t="s">
        <v>744</v>
      </c>
      <c r="J91" s="1176"/>
      <c r="K91" s="1176"/>
      <c r="L91" s="1004"/>
      <c r="M91" s="1013"/>
      <c r="N91" s="1013"/>
      <c r="O91" s="1013"/>
      <c r="P91" s="1013"/>
      <c r="Q91" s="1013"/>
      <c r="R91" s="1004"/>
      <c r="S91" s="1004"/>
      <c r="T91" s="1004"/>
      <c r="U91" s="1013"/>
      <c r="V91" s="1013"/>
      <c r="W91" s="1004"/>
      <c r="X91" s="1004"/>
      <c r="Y91" s="1004"/>
      <c r="Z91" s="1004"/>
      <c r="AA91" s="1004"/>
      <c r="AB91" s="1004"/>
      <c r="AC91" s="1013"/>
      <c r="AD91" s="1004"/>
      <c r="AE91" s="1013"/>
      <c r="AF91" s="1004"/>
      <c r="AG91" s="1013"/>
      <c r="AH91" s="1004"/>
      <c r="AI91" s="1224">
        <v>5.2301328836840716E-2</v>
      </c>
      <c r="AJ91" s="1035"/>
      <c r="AK91" s="1005"/>
      <c r="AL91" s="1005"/>
      <c r="AM91" s="1005"/>
      <c r="AN91" s="1005"/>
      <c r="AO91" s="1005"/>
      <c r="AP91" s="1013"/>
      <c r="AQ91" s="1013"/>
      <c r="AR91" s="1013"/>
      <c r="AS91" s="1005"/>
      <c r="AT91" s="1005"/>
      <c r="AU91" s="1176"/>
      <c r="AV91" s="1176"/>
      <c r="AW91" s="1004"/>
      <c r="AX91" s="1011"/>
      <c r="AY91" s="1011"/>
      <c r="AZ91" s="1011"/>
      <c r="BA91" s="1011"/>
      <c r="BB91" s="1011"/>
      <c r="BC91" s="1004"/>
      <c r="BD91" s="1004"/>
      <c r="BE91" s="1004"/>
      <c r="BF91" s="1013"/>
      <c r="BG91" s="1013"/>
      <c r="BH91" s="1004"/>
      <c r="BI91" s="1004"/>
      <c r="BJ91" s="1004"/>
      <c r="BK91" s="1004"/>
      <c r="BL91" s="1004"/>
      <c r="BM91" s="1004"/>
      <c r="BN91" s="1013"/>
      <c r="BO91" s="1013"/>
      <c r="BP91" s="1013"/>
      <c r="BQ91" s="1004"/>
      <c r="BR91" s="1035"/>
      <c r="BS91" s="1005"/>
      <c r="BT91" s="1230">
        <v>5.1547609020413332E-2</v>
      </c>
      <c r="BU91" s="1005"/>
      <c r="BV91" s="1005"/>
      <c r="BW91" s="1005"/>
      <c r="BX91" s="1005"/>
      <c r="BY91" s="1005"/>
      <c r="BZ91" s="1005"/>
      <c r="CA91" s="1005"/>
      <c r="CB91" s="1005"/>
      <c r="CC91" s="1005"/>
      <c r="CD91" s="1005"/>
      <c r="CE91" s="1005"/>
      <c r="CF91" s="1176"/>
      <c r="CG91" s="1196"/>
      <c r="CH91" s="1004"/>
      <c r="CI91" s="1004"/>
      <c r="CJ91" s="1004"/>
      <c r="CK91" s="1004"/>
      <c r="CL91" s="1004"/>
      <c r="CM91" s="1004"/>
      <c r="CN91" s="1004"/>
      <c r="CO91" s="1008"/>
      <c r="CP91" s="1013"/>
      <c r="CQ91" s="1013"/>
      <c r="CR91" s="1004"/>
      <c r="CS91" s="1004"/>
      <c r="CT91" s="1004"/>
      <c r="CU91" s="1008"/>
      <c r="CV91" s="1004"/>
      <c r="CW91" s="1004"/>
      <c r="CX91" s="1013"/>
      <c r="CY91" s="1013"/>
      <c r="CZ91" s="1013"/>
      <c r="DA91" s="1004"/>
      <c r="DB91" s="1013"/>
      <c r="DC91" s="1004"/>
      <c r="DD91" s="1236">
        <v>7384153.8900000015</v>
      </c>
      <c r="DE91" s="1036"/>
      <c r="DF91" s="1008"/>
      <c r="DG91" s="1008"/>
      <c r="DH91" s="1014"/>
      <c r="DI91" s="1008"/>
      <c r="DJ91" s="1008"/>
      <c r="DK91" s="1013"/>
      <c r="DL91" s="1013"/>
      <c r="DM91" s="1013"/>
      <c r="DN91" s="1008"/>
      <c r="DO91" s="1008"/>
      <c r="DP91" s="1176"/>
      <c r="DQ91" s="1199">
        <f t="shared" ref="DQ91:DY98" si="345">L91*CG91*DQ$107</f>
        <v>0</v>
      </c>
      <c r="DR91" s="1199">
        <f t="shared" si="345"/>
        <v>0</v>
      </c>
      <c r="DS91" s="1199">
        <f t="shared" si="345"/>
        <v>0</v>
      </c>
      <c r="DT91" s="1199">
        <f t="shared" si="345"/>
        <v>0</v>
      </c>
      <c r="DU91" s="1199">
        <f t="shared" si="345"/>
        <v>0</v>
      </c>
      <c r="DV91" s="1199">
        <f t="shared" si="345"/>
        <v>0</v>
      </c>
      <c r="DW91" s="1199">
        <f t="shared" si="345"/>
        <v>0</v>
      </c>
      <c r="DX91" s="1199">
        <f t="shared" si="345"/>
        <v>0</v>
      </c>
      <c r="DY91" s="1199">
        <f t="shared" si="345"/>
        <v>0</v>
      </c>
      <c r="DZ91" s="1199">
        <f t="shared" ref="DZ91:EA98" si="346">U91*CP91*DZ$107</f>
        <v>0</v>
      </c>
      <c r="EA91" s="1199">
        <f t="shared" si="346"/>
        <v>0</v>
      </c>
      <c r="EB91" s="1199">
        <f t="shared" ref="EB91:EK98" si="347">W91*CR91*EB$107</f>
        <v>0</v>
      </c>
      <c r="EC91" s="1199">
        <f t="shared" si="347"/>
        <v>0</v>
      </c>
      <c r="ED91" s="1199">
        <f t="shared" si="347"/>
        <v>0</v>
      </c>
      <c r="EE91" s="1199">
        <f t="shared" si="347"/>
        <v>0</v>
      </c>
      <c r="EF91" s="1199">
        <f t="shared" si="347"/>
        <v>0</v>
      </c>
      <c r="EG91" s="1199">
        <f t="shared" si="347"/>
        <v>0</v>
      </c>
      <c r="EH91" s="1199">
        <f t="shared" si="347"/>
        <v>0</v>
      </c>
      <c r="EI91" s="1199">
        <f t="shared" si="347"/>
        <v>0</v>
      </c>
      <c r="EJ91" s="1199">
        <f t="shared" si="347"/>
        <v>0</v>
      </c>
      <c r="EK91" s="1199">
        <f t="shared" si="347"/>
        <v>0</v>
      </c>
      <c r="EL91" s="1199">
        <f t="shared" ref="EL91:ET98" si="348">AG91*DB91*EL$107</f>
        <v>0</v>
      </c>
      <c r="EM91" s="1199">
        <f t="shared" si="348"/>
        <v>0</v>
      </c>
      <c r="EN91" s="1199">
        <f t="shared" si="348"/>
        <v>386201.06078272662</v>
      </c>
      <c r="EO91" s="1199">
        <f t="shared" si="348"/>
        <v>0</v>
      </c>
      <c r="EP91" s="1199">
        <f t="shared" si="348"/>
        <v>0</v>
      </c>
      <c r="EQ91" s="1199">
        <f t="shared" si="348"/>
        <v>0</v>
      </c>
      <c r="ER91" s="1199">
        <f t="shared" si="348"/>
        <v>0</v>
      </c>
      <c r="ES91" s="1199">
        <f t="shared" si="348"/>
        <v>0</v>
      </c>
      <c r="ET91" s="1199">
        <f t="shared" si="348"/>
        <v>0</v>
      </c>
      <c r="EU91" s="1199">
        <f t="shared" ref="EU91:EW98" si="349">AP91*DK91*EU$107</f>
        <v>0</v>
      </c>
      <c r="EV91" s="1199">
        <f t="shared" si="349"/>
        <v>0</v>
      </c>
      <c r="EW91" s="1199">
        <f t="shared" si="349"/>
        <v>0</v>
      </c>
      <c r="EX91" s="1199">
        <f t="shared" ref="EX91:EY98" si="350">AS91*DN91*EX$107</f>
        <v>0</v>
      </c>
      <c r="EY91" s="1199">
        <f t="shared" si="350"/>
        <v>0</v>
      </c>
      <c r="EZ91" s="1175">
        <f t="shared" si="306"/>
        <v>386201.06078272662</v>
      </c>
      <c r="FA91" s="1177"/>
      <c r="FB91" s="1202">
        <f t="shared" ref="FB91:FJ98" si="351">AW91*CG91*FB$107</f>
        <v>0</v>
      </c>
      <c r="FC91" s="1202">
        <f t="shared" si="351"/>
        <v>0</v>
      </c>
      <c r="FD91" s="1202">
        <f t="shared" si="351"/>
        <v>0</v>
      </c>
      <c r="FE91" s="1202">
        <f t="shared" si="351"/>
        <v>0</v>
      </c>
      <c r="FF91" s="1202">
        <f t="shared" si="351"/>
        <v>0</v>
      </c>
      <c r="FG91" s="1202">
        <f t="shared" si="351"/>
        <v>0</v>
      </c>
      <c r="FH91" s="1202">
        <f t="shared" si="351"/>
        <v>0</v>
      </c>
      <c r="FI91" s="1202">
        <f t="shared" si="351"/>
        <v>0</v>
      </c>
      <c r="FJ91" s="1202">
        <f t="shared" si="351"/>
        <v>0</v>
      </c>
      <c r="FK91" s="1202">
        <f t="shared" ref="FK91:FL98" si="352">BF91*CP91*FK$107</f>
        <v>0</v>
      </c>
      <c r="FL91" s="1202">
        <f t="shared" si="352"/>
        <v>0</v>
      </c>
      <c r="FM91" s="1202">
        <f t="shared" ref="FM91:FV98" si="353">BH91*CR91*FM$107</f>
        <v>0</v>
      </c>
      <c r="FN91" s="1202">
        <f t="shared" si="353"/>
        <v>0</v>
      </c>
      <c r="FO91" s="1202">
        <f t="shared" si="353"/>
        <v>0</v>
      </c>
      <c r="FP91" s="1202">
        <f t="shared" si="353"/>
        <v>0</v>
      </c>
      <c r="FQ91" s="1202">
        <f t="shared" si="353"/>
        <v>0</v>
      </c>
      <c r="FR91" s="1202">
        <f t="shared" si="353"/>
        <v>0</v>
      </c>
      <c r="FS91" s="1202">
        <f t="shared" si="353"/>
        <v>0</v>
      </c>
      <c r="FT91" s="1202">
        <f t="shared" si="353"/>
        <v>0</v>
      </c>
      <c r="FU91" s="1202">
        <f t="shared" si="353"/>
        <v>0</v>
      </c>
      <c r="FV91" s="1202">
        <f t="shared" si="353"/>
        <v>0</v>
      </c>
      <c r="FW91" s="1202">
        <f t="shared" ref="FW91:GE98" si="354">BR91*DB91*FW$107</f>
        <v>0</v>
      </c>
      <c r="FX91" s="1202">
        <f t="shared" si="354"/>
        <v>0</v>
      </c>
      <c r="FY91" s="1202">
        <f t="shared" si="354"/>
        <v>380635.47766828426</v>
      </c>
      <c r="FZ91" s="1202">
        <f t="shared" si="354"/>
        <v>0</v>
      </c>
      <c r="GA91" s="1202">
        <f t="shared" si="354"/>
        <v>0</v>
      </c>
      <c r="GB91" s="1202">
        <f t="shared" si="354"/>
        <v>0</v>
      </c>
      <c r="GC91" s="1202">
        <f t="shared" si="354"/>
        <v>0</v>
      </c>
      <c r="GD91" s="1202">
        <f t="shared" si="354"/>
        <v>0</v>
      </c>
      <c r="GE91" s="1202">
        <f t="shared" si="354"/>
        <v>0</v>
      </c>
      <c r="GF91" s="1202">
        <f t="shared" ref="GF91:GH98" si="355">CA91*DK91*GF$107</f>
        <v>0</v>
      </c>
      <c r="GG91" s="1202">
        <f t="shared" si="355"/>
        <v>0</v>
      </c>
      <c r="GH91" s="1202">
        <f t="shared" si="355"/>
        <v>0</v>
      </c>
      <c r="GI91" s="1202">
        <f t="shared" ref="GI91:GJ98" si="356">CD91*DN91*GI$107</f>
        <v>0</v>
      </c>
      <c r="GJ91" s="1202">
        <f t="shared" si="356"/>
        <v>0</v>
      </c>
      <c r="GK91" s="1174">
        <f t="shared" si="342"/>
        <v>380635.47766828426</v>
      </c>
    </row>
    <row r="92" spans="1:193" s="1015" customFormat="1">
      <c r="A92" s="1003"/>
      <c r="B92" s="1149"/>
      <c r="C92" s="1149" t="s">
        <v>262</v>
      </c>
      <c r="D92" s="1204" t="s">
        <v>262</v>
      </c>
      <c r="E92" s="1204" t="s">
        <v>765</v>
      </c>
      <c r="F92" s="1204" t="s">
        <v>788</v>
      </c>
      <c r="G92" s="1204" t="s">
        <v>791</v>
      </c>
      <c r="H92" s="1204" t="s">
        <v>201</v>
      </c>
      <c r="I92" s="1149" t="s">
        <v>744</v>
      </c>
      <c r="J92" s="1176"/>
      <c r="K92" s="1176"/>
      <c r="L92" s="1004"/>
      <c r="M92" s="1013"/>
      <c r="N92" s="1013"/>
      <c r="O92" s="1013"/>
      <c r="P92" s="1013"/>
      <c r="Q92" s="1013"/>
      <c r="R92" s="1004"/>
      <c r="S92" s="1004"/>
      <c r="T92" s="1004"/>
      <c r="U92" s="1013"/>
      <c r="V92" s="1013"/>
      <c r="W92" s="1004"/>
      <c r="X92" s="1004"/>
      <c r="Y92" s="1004"/>
      <c r="Z92" s="1004"/>
      <c r="AA92" s="1004"/>
      <c r="AB92" s="1004"/>
      <c r="AC92" s="1013"/>
      <c r="AD92" s="1004"/>
      <c r="AE92" s="1013"/>
      <c r="AF92" s="1004"/>
      <c r="AG92" s="1013"/>
      <c r="AH92" s="1004"/>
      <c r="AI92" s="1224">
        <v>1.8850797997973373E-2</v>
      </c>
      <c r="AJ92" s="1035"/>
      <c r="AK92" s="1005"/>
      <c r="AL92" s="1005"/>
      <c r="AM92" s="1005"/>
      <c r="AN92" s="1005"/>
      <c r="AO92" s="1005"/>
      <c r="AP92" s="1013"/>
      <c r="AQ92" s="1013"/>
      <c r="AR92" s="1013"/>
      <c r="AS92" s="1005"/>
      <c r="AT92" s="1005"/>
      <c r="AU92" s="1176"/>
      <c r="AV92" s="1176"/>
      <c r="AW92" s="1004"/>
      <c r="AX92" s="1011"/>
      <c r="AY92" s="1011"/>
      <c r="AZ92" s="1011"/>
      <c r="BA92" s="1011"/>
      <c r="BB92" s="1011"/>
      <c r="BC92" s="1004"/>
      <c r="BD92" s="1004"/>
      <c r="BE92" s="1004"/>
      <c r="BF92" s="1013"/>
      <c r="BG92" s="1013"/>
      <c r="BH92" s="1004"/>
      <c r="BI92" s="1004"/>
      <c r="BJ92" s="1004"/>
      <c r="BK92" s="1004"/>
      <c r="BL92" s="1004"/>
      <c r="BM92" s="1004"/>
      <c r="BN92" s="1013"/>
      <c r="BO92" s="1013"/>
      <c r="BP92" s="1013"/>
      <c r="BQ92" s="1004"/>
      <c r="BR92" s="1035"/>
      <c r="BS92" s="1005"/>
      <c r="BT92" s="1230">
        <v>1.8548648587796659E-2</v>
      </c>
      <c r="BU92" s="1005"/>
      <c r="BV92" s="1005"/>
      <c r="BW92" s="1005"/>
      <c r="BX92" s="1005"/>
      <c r="BY92" s="1005"/>
      <c r="BZ92" s="1005"/>
      <c r="CA92" s="1005"/>
      <c r="CB92" s="1005"/>
      <c r="CC92" s="1005"/>
      <c r="CD92" s="1005"/>
      <c r="CE92" s="1005"/>
      <c r="CF92" s="1176"/>
      <c r="CG92" s="1196"/>
      <c r="CH92" s="1004"/>
      <c r="CI92" s="1004"/>
      <c r="CJ92" s="1004"/>
      <c r="CK92" s="1004"/>
      <c r="CL92" s="1004"/>
      <c r="CM92" s="1004"/>
      <c r="CN92" s="1004"/>
      <c r="CO92" s="1008"/>
      <c r="CP92" s="1013"/>
      <c r="CQ92" s="1013"/>
      <c r="CR92" s="1004"/>
      <c r="CS92" s="1004"/>
      <c r="CT92" s="1004"/>
      <c r="CU92" s="1008"/>
      <c r="CV92" s="1004"/>
      <c r="CW92" s="1004"/>
      <c r="CX92" s="1013"/>
      <c r="CY92" s="1013"/>
      <c r="CZ92" s="1013"/>
      <c r="DA92" s="1004"/>
      <c r="DB92" s="1013"/>
      <c r="DC92" s="1004"/>
      <c r="DD92" s="1236">
        <v>592639.99</v>
      </c>
      <c r="DE92" s="1036"/>
      <c r="DF92" s="1008"/>
      <c r="DG92" s="1008"/>
      <c r="DH92" s="1014"/>
      <c r="DI92" s="1008"/>
      <c r="DJ92" s="1008"/>
      <c r="DK92" s="1013"/>
      <c r="DL92" s="1013"/>
      <c r="DM92" s="1013"/>
      <c r="DN92" s="1008"/>
      <c r="DO92" s="1008"/>
      <c r="DP92" s="1176"/>
      <c r="DQ92" s="1199">
        <f t="shared" si="345"/>
        <v>0</v>
      </c>
      <c r="DR92" s="1199">
        <f t="shared" si="345"/>
        <v>0</v>
      </c>
      <c r="DS92" s="1199">
        <f t="shared" si="345"/>
        <v>0</v>
      </c>
      <c r="DT92" s="1199">
        <f t="shared" si="345"/>
        <v>0</v>
      </c>
      <c r="DU92" s="1199">
        <f t="shared" si="345"/>
        <v>0</v>
      </c>
      <c r="DV92" s="1199">
        <f t="shared" si="345"/>
        <v>0</v>
      </c>
      <c r="DW92" s="1199">
        <f t="shared" si="345"/>
        <v>0</v>
      </c>
      <c r="DX92" s="1199">
        <f t="shared" si="345"/>
        <v>0</v>
      </c>
      <c r="DY92" s="1199">
        <f t="shared" si="345"/>
        <v>0</v>
      </c>
      <c r="DZ92" s="1199">
        <f t="shared" si="346"/>
        <v>0</v>
      </c>
      <c r="EA92" s="1199">
        <f t="shared" si="346"/>
        <v>0</v>
      </c>
      <c r="EB92" s="1199">
        <f t="shared" si="347"/>
        <v>0</v>
      </c>
      <c r="EC92" s="1199">
        <f t="shared" si="347"/>
        <v>0</v>
      </c>
      <c r="ED92" s="1199">
        <f t="shared" si="347"/>
        <v>0</v>
      </c>
      <c r="EE92" s="1199">
        <f t="shared" si="347"/>
        <v>0</v>
      </c>
      <c r="EF92" s="1199">
        <f t="shared" si="347"/>
        <v>0</v>
      </c>
      <c r="EG92" s="1199">
        <f t="shared" si="347"/>
        <v>0</v>
      </c>
      <c r="EH92" s="1199">
        <f t="shared" si="347"/>
        <v>0</v>
      </c>
      <c r="EI92" s="1199">
        <f t="shared" si="347"/>
        <v>0</v>
      </c>
      <c r="EJ92" s="1199">
        <f t="shared" si="347"/>
        <v>0</v>
      </c>
      <c r="EK92" s="1199">
        <f t="shared" si="347"/>
        <v>0</v>
      </c>
      <c r="EL92" s="1199">
        <f t="shared" si="348"/>
        <v>0</v>
      </c>
      <c r="EM92" s="1199">
        <f t="shared" si="348"/>
        <v>0</v>
      </c>
      <c r="EN92" s="1199">
        <f t="shared" si="348"/>
        <v>11171.73673701096</v>
      </c>
      <c r="EO92" s="1199">
        <f t="shared" si="348"/>
        <v>0</v>
      </c>
      <c r="EP92" s="1199">
        <f t="shared" si="348"/>
        <v>0</v>
      </c>
      <c r="EQ92" s="1199">
        <f t="shared" si="348"/>
        <v>0</v>
      </c>
      <c r="ER92" s="1199">
        <f t="shared" si="348"/>
        <v>0</v>
      </c>
      <c r="ES92" s="1199">
        <f t="shared" si="348"/>
        <v>0</v>
      </c>
      <c r="ET92" s="1199">
        <f t="shared" si="348"/>
        <v>0</v>
      </c>
      <c r="EU92" s="1199">
        <f t="shared" si="349"/>
        <v>0</v>
      </c>
      <c r="EV92" s="1199">
        <f t="shared" si="349"/>
        <v>0</v>
      </c>
      <c r="EW92" s="1199">
        <f t="shared" si="349"/>
        <v>0</v>
      </c>
      <c r="EX92" s="1199">
        <f t="shared" si="350"/>
        <v>0</v>
      </c>
      <c r="EY92" s="1199">
        <f t="shared" si="350"/>
        <v>0</v>
      </c>
      <c r="EZ92" s="1175">
        <f t="shared" si="306"/>
        <v>11171.73673701096</v>
      </c>
      <c r="FA92" s="1177"/>
      <c r="FB92" s="1202">
        <f t="shared" si="351"/>
        <v>0</v>
      </c>
      <c r="FC92" s="1202">
        <f t="shared" si="351"/>
        <v>0</v>
      </c>
      <c r="FD92" s="1202">
        <f t="shared" si="351"/>
        <v>0</v>
      </c>
      <c r="FE92" s="1202">
        <f t="shared" si="351"/>
        <v>0</v>
      </c>
      <c r="FF92" s="1202">
        <f t="shared" si="351"/>
        <v>0</v>
      </c>
      <c r="FG92" s="1202">
        <f t="shared" si="351"/>
        <v>0</v>
      </c>
      <c r="FH92" s="1202">
        <f t="shared" si="351"/>
        <v>0</v>
      </c>
      <c r="FI92" s="1202">
        <f t="shared" si="351"/>
        <v>0</v>
      </c>
      <c r="FJ92" s="1202">
        <f t="shared" si="351"/>
        <v>0</v>
      </c>
      <c r="FK92" s="1202">
        <f t="shared" si="352"/>
        <v>0</v>
      </c>
      <c r="FL92" s="1202">
        <f t="shared" si="352"/>
        <v>0</v>
      </c>
      <c r="FM92" s="1202">
        <f t="shared" si="353"/>
        <v>0</v>
      </c>
      <c r="FN92" s="1202">
        <f t="shared" si="353"/>
        <v>0</v>
      </c>
      <c r="FO92" s="1202">
        <f t="shared" si="353"/>
        <v>0</v>
      </c>
      <c r="FP92" s="1202">
        <f t="shared" si="353"/>
        <v>0</v>
      </c>
      <c r="FQ92" s="1202">
        <f t="shared" si="353"/>
        <v>0</v>
      </c>
      <c r="FR92" s="1202">
        <f t="shared" si="353"/>
        <v>0</v>
      </c>
      <c r="FS92" s="1202">
        <f t="shared" si="353"/>
        <v>0</v>
      </c>
      <c r="FT92" s="1202">
        <f t="shared" si="353"/>
        <v>0</v>
      </c>
      <c r="FU92" s="1202">
        <f t="shared" si="353"/>
        <v>0</v>
      </c>
      <c r="FV92" s="1202">
        <f t="shared" si="353"/>
        <v>0</v>
      </c>
      <c r="FW92" s="1202">
        <f t="shared" si="354"/>
        <v>0</v>
      </c>
      <c r="FX92" s="1202">
        <f t="shared" si="354"/>
        <v>0</v>
      </c>
      <c r="FY92" s="1202">
        <f t="shared" si="354"/>
        <v>10992.670913585327</v>
      </c>
      <c r="FZ92" s="1202">
        <f t="shared" si="354"/>
        <v>0</v>
      </c>
      <c r="GA92" s="1202">
        <f t="shared" si="354"/>
        <v>0</v>
      </c>
      <c r="GB92" s="1202">
        <f t="shared" si="354"/>
        <v>0</v>
      </c>
      <c r="GC92" s="1202">
        <f t="shared" si="354"/>
        <v>0</v>
      </c>
      <c r="GD92" s="1202">
        <f t="shared" si="354"/>
        <v>0</v>
      </c>
      <c r="GE92" s="1202">
        <f t="shared" si="354"/>
        <v>0</v>
      </c>
      <c r="GF92" s="1202">
        <f t="shared" si="355"/>
        <v>0</v>
      </c>
      <c r="GG92" s="1202">
        <f t="shared" si="355"/>
        <v>0</v>
      </c>
      <c r="GH92" s="1202">
        <f t="shared" si="355"/>
        <v>0</v>
      </c>
      <c r="GI92" s="1202">
        <f t="shared" si="356"/>
        <v>0</v>
      </c>
      <c r="GJ92" s="1202">
        <f t="shared" si="356"/>
        <v>0</v>
      </c>
      <c r="GK92" s="1174">
        <f t="shared" si="342"/>
        <v>10992.670913585327</v>
      </c>
    </row>
    <row r="93" spans="1:193" s="1015" customFormat="1">
      <c r="A93" s="1003"/>
      <c r="B93" s="1149"/>
      <c r="C93" s="1149" t="s">
        <v>263</v>
      </c>
      <c r="D93" s="1204" t="s">
        <v>263</v>
      </c>
      <c r="E93" s="1204" t="s">
        <v>765</v>
      </c>
      <c r="F93" s="1204" t="s">
        <v>788</v>
      </c>
      <c r="G93" s="1204" t="s">
        <v>789</v>
      </c>
      <c r="H93" s="1204" t="s">
        <v>202</v>
      </c>
      <c r="I93" s="1149" t="s">
        <v>744</v>
      </c>
      <c r="J93" s="1176"/>
      <c r="K93" s="1176"/>
      <c r="L93" s="1004"/>
      <c r="M93" s="1013"/>
      <c r="N93" s="1013"/>
      <c r="O93" s="1013"/>
      <c r="P93" s="1013"/>
      <c r="Q93" s="1013"/>
      <c r="R93" s="1004"/>
      <c r="S93" s="1004"/>
      <c r="T93" s="1004"/>
      <c r="U93" s="1013"/>
      <c r="V93" s="1013"/>
      <c r="W93" s="1004"/>
      <c r="X93" s="1004"/>
      <c r="Y93" s="1004"/>
      <c r="Z93" s="1004"/>
      <c r="AA93" s="1004"/>
      <c r="AB93" s="1004"/>
      <c r="AC93" s="1013"/>
      <c r="AD93" s="1004"/>
      <c r="AE93" s="1013"/>
      <c r="AF93" s="1004"/>
      <c r="AG93" s="1013"/>
      <c r="AH93" s="1004"/>
      <c r="AI93" s="1224">
        <v>2.8320965190146714E-2</v>
      </c>
      <c r="AJ93" s="1035"/>
      <c r="AK93" s="1005"/>
      <c r="AL93" s="1005"/>
      <c r="AM93" s="1005"/>
      <c r="AN93" s="1005"/>
      <c r="AO93" s="1005"/>
      <c r="AP93" s="1013"/>
      <c r="AQ93" s="1013"/>
      <c r="AR93" s="1013"/>
      <c r="AS93" s="1005"/>
      <c r="AT93" s="1005"/>
      <c r="AU93" s="1176"/>
      <c r="AV93" s="1176"/>
      <c r="AW93" s="1004"/>
      <c r="AX93" s="1011"/>
      <c r="AY93" s="1011"/>
      <c r="AZ93" s="1011"/>
      <c r="BA93" s="1011"/>
      <c r="BB93" s="1011"/>
      <c r="BC93" s="1004"/>
      <c r="BD93" s="1004"/>
      <c r="BE93" s="1004"/>
      <c r="BF93" s="1013"/>
      <c r="BG93" s="1013"/>
      <c r="BH93" s="1004"/>
      <c r="BI93" s="1004"/>
      <c r="BJ93" s="1004"/>
      <c r="BK93" s="1004"/>
      <c r="BL93" s="1004"/>
      <c r="BM93" s="1004"/>
      <c r="BN93" s="1013"/>
      <c r="BO93" s="1013"/>
      <c r="BP93" s="1013"/>
      <c r="BQ93" s="1004"/>
      <c r="BR93" s="1035"/>
      <c r="BS93" s="1005"/>
      <c r="BT93" s="1230">
        <v>2.7736633267619135E-2</v>
      </c>
      <c r="BU93" s="1005"/>
      <c r="BV93" s="1005"/>
      <c r="BW93" s="1005"/>
      <c r="BX93" s="1005"/>
      <c r="BY93" s="1005"/>
      <c r="BZ93" s="1005"/>
      <c r="CA93" s="1005"/>
      <c r="CB93" s="1005"/>
      <c r="CC93" s="1005"/>
      <c r="CD93" s="1005"/>
      <c r="CE93" s="1005"/>
      <c r="CF93" s="1176"/>
      <c r="CG93" s="1196"/>
      <c r="CH93" s="1004"/>
      <c r="CI93" s="1004"/>
      <c r="CJ93" s="1004"/>
      <c r="CK93" s="1004"/>
      <c r="CL93" s="1004"/>
      <c r="CM93" s="1004"/>
      <c r="CN93" s="1004"/>
      <c r="CO93" s="1008"/>
      <c r="CP93" s="1013"/>
      <c r="CQ93" s="1013"/>
      <c r="CR93" s="1004"/>
      <c r="CS93" s="1004"/>
      <c r="CT93" s="1004"/>
      <c r="CU93" s="1008"/>
      <c r="CV93" s="1004"/>
      <c r="CW93" s="1004"/>
      <c r="CX93" s="1013"/>
      <c r="CY93" s="1013"/>
      <c r="CZ93" s="1013"/>
      <c r="DA93" s="1004"/>
      <c r="DB93" s="1013"/>
      <c r="DC93" s="1004"/>
      <c r="DD93" s="1236">
        <v>553857114.12</v>
      </c>
      <c r="DE93" s="1036"/>
      <c r="DF93" s="1008"/>
      <c r="DG93" s="1008"/>
      <c r="DH93" s="1014"/>
      <c r="DI93" s="1008"/>
      <c r="DJ93" s="1008"/>
      <c r="DK93" s="1013"/>
      <c r="DL93" s="1013"/>
      <c r="DM93" s="1013"/>
      <c r="DN93" s="1008"/>
      <c r="DO93" s="1008"/>
      <c r="DP93" s="1176"/>
      <c r="DQ93" s="1199">
        <f t="shared" si="345"/>
        <v>0</v>
      </c>
      <c r="DR93" s="1199">
        <f t="shared" si="345"/>
        <v>0</v>
      </c>
      <c r="DS93" s="1199">
        <f t="shared" si="345"/>
        <v>0</v>
      </c>
      <c r="DT93" s="1199">
        <f t="shared" si="345"/>
        <v>0</v>
      </c>
      <c r="DU93" s="1199">
        <f t="shared" si="345"/>
        <v>0</v>
      </c>
      <c r="DV93" s="1199">
        <f t="shared" si="345"/>
        <v>0</v>
      </c>
      <c r="DW93" s="1199">
        <f t="shared" si="345"/>
        <v>0</v>
      </c>
      <c r="DX93" s="1199">
        <f t="shared" si="345"/>
        <v>0</v>
      </c>
      <c r="DY93" s="1199">
        <f t="shared" si="345"/>
        <v>0</v>
      </c>
      <c r="DZ93" s="1199">
        <f t="shared" si="346"/>
        <v>0</v>
      </c>
      <c r="EA93" s="1199">
        <f t="shared" si="346"/>
        <v>0</v>
      </c>
      <c r="EB93" s="1199">
        <f t="shared" si="347"/>
        <v>0</v>
      </c>
      <c r="EC93" s="1199">
        <f t="shared" si="347"/>
        <v>0</v>
      </c>
      <c r="ED93" s="1199">
        <f t="shared" si="347"/>
        <v>0</v>
      </c>
      <c r="EE93" s="1199">
        <f t="shared" si="347"/>
        <v>0</v>
      </c>
      <c r="EF93" s="1199">
        <f t="shared" si="347"/>
        <v>0</v>
      </c>
      <c r="EG93" s="1199">
        <f t="shared" si="347"/>
        <v>0</v>
      </c>
      <c r="EH93" s="1199">
        <f t="shared" si="347"/>
        <v>0</v>
      </c>
      <c r="EI93" s="1199">
        <f t="shared" si="347"/>
        <v>0</v>
      </c>
      <c r="EJ93" s="1199">
        <f t="shared" si="347"/>
        <v>0</v>
      </c>
      <c r="EK93" s="1199">
        <f t="shared" si="347"/>
        <v>0</v>
      </c>
      <c r="EL93" s="1199">
        <f t="shared" si="348"/>
        <v>0</v>
      </c>
      <c r="EM93" s="1199">
        <f t="shared" si="348"/>
        <v>0</v>
      </c>
      <c r="EN93" s="1199">
        <f t="shared" si="348"/>
        <v>15685768.049307637</v>
      </c>
      <c r="EO93" s="1199">
        <f t="shared" si="348"/>
        <v>0</v>
      </c>
      <c r="EP93" s="1199">
        <f t="shared" si="348"/>
        <v>0</v>
      </c>
      <c r="EQ93" s="1199">
        <f t="shared" si="348"/>
        <v>0</v>
      </c>
      <c r="ER93" s="1199">
        <f t="shared" si="348"/>
        <v>0</v>
      </c>
      <c r="ES93" s="1199">
        <f t="shared" si="348"/>
        <v>0</v>
      </c>
      <c r="ET93" s="1199">
        <f t="shared" si="348"/>
        <v>0</v>
      </c>
      <c r="EU93" s="1199">
        <f t="shared" si="349"/>
        <v>0</v>
      </c>
      <c r="EV93" s="1199">
        <f t="shared" si="349"/>
        <v>0</v>
      </c>
      <c r="EW93" s="1199">
        <f t="shared" si="349"/>
        <v>0</v>
      </c>
      <c r="EX93" s="1199">
        <f t="shared" si="350"/>
        <v>0</v>
      </c>
      <c r="EY93" s="1199">
        <f t="shared" si="350"/>
        <v>0</v>
      </c>
      <c r="EZ93" s="1175">
        <f t="shared" si="306"/>
        <v>15685768.049307637</v>
      </c>
      <c r="FA93" s="1177"/>
      <c r="FB93" s="1202">
        <f t="shared" si="351"/>
        <v>0</v>
      </c>
      <c r="FC93" s="1202">
        <f t="shared" si="351"/>
        <v>0</v>
      </c>
      <c r="FD93" s="1202">
        <f t="shared" si="351"/>
        <v>0</v>
      </c>
      <c r="FE93" s="1202">
        <f t="shared" si="351"/>
        <v>0</v>
      </c>
      <c r="FF93" s="1202">
        <f t="shared" si="351"/>
        <v>0</v>
      </c>
      <c r="FG93" s="1202">
        <f t="shared" si="351"/>
        <v>0</v>
      </c>
      <c r="FH93" s="1202">
        <f t="shared" si="351"/>
        <v>0</v>
      </c>
      <c r="FI93" s="1202">
        <f t="shared" si="351"/>
        <v>0</v>
      </c>
      <c r="FJ93" s="1202">
        <f t="shared" si="351"/>
        <v>0</v>
      </c>
      <c r="FK93" s="1202">
        <f t="shared" si="352"/>
        <v>0</v>
      </c>
      <c r="FL93" s="1202">
        <f t="shared" si="352"/>
        <v>0</v>
      </c>
      <c r="FM93" s="1202">
        <f t="shared" si="353"/>
        <v>0</v>
      </c>
      <c r="FN93" s="1202">
        <f t="shared" si="353"/>
        <v>0</v>
      </c>
      <c r="FO93" s="1202">
        <f t="shared" si="353"/>
        <v>0</v>
      </c>
      <c r="FP93" s="1202">
        <f t="shared" si="353"/>
        <v>0</v>
      </c>
      <c r="FQ93" s="1202">
        <f t="shared" si="353"/>
        <v>0</v>
      </c>
      <c r="FR93" s="1202">
        <f t="shared" si="353"/>
        <v>0</v>
      </c>
      <c r="FS93" s="1202">
        <f t="shared" si="353"/>
        <v>0</v>
      </c>
      <c r="FT93" s="1202">
        <f t="shared" si="353"/>
        <v>0</v>
      </c>
      <c r="FU93" s="1202">
        <f t="shared" si="353"/>
        <v>0</v>
      </c>
      <c r="FV93" s="1202">
        <f t="shared" si="353"/>
        <v>0</v>
      </c>
      <c r="FW93" s="1202">
        <f t="shared" si="354"/>
        <v>0</v>
      </c>
      <c r="FX93" s="1202">
        <f t="shared" si="354"/>
        <v>0</v>
      </c>
      <c r="FY93" s="1202">
        <f t="shared" si="354"/>
        <v>15362131.65700832</v>
      </c>
      <c r="FZ93" s="1202">
        <f t="shared" si="354"/>
        <v>0</v>
      </c>
      <c r="GA93" s="1202">
        <f t="shared" si="354"/>
        <v>0</v>
      </c>
      <c r="GB93" s="1202">
        <f t="shared" si="354"/>
        <v>0</v>
      </c>
      <c r="GC93" s="1202">
        <f t="shared" si="354"/>
        <v>0</v>
      </c>
      <c r="GD93" s="1202">
        <f t="shared" si="354"/>
        <v>0</v>
      </c>
      <c r="GE93" s="1202">
        <f t="shared" si="354"/>
        <v>0</v>
      </c>
      <c r="GF93" s="1202">
        <f t="shared" si="355"/>
        <v>0</v>
      </c>
      <c r="GG93" s="1202">
        <f t="shared" si="355"/>
        <v>0</v>
      </c>
      <c r="GH93" s="1202">
        <f t="shared" si="355"/>
        <v>0</v>
      </c>
      <c r="GI93" s="1202">
        <f t="shared" si="356"/>
        <v>0</v>
      </c>
      <c r="GJ93" s="1202">
        <f t="shared" si="356"/>
        <v>0</v>
      </c>
      <c r="GK93" s="1174">
        <f t="shared" si="342"/>
        <v>15362131.65700832</v>
      </c>
    </row>
    <row r="94" spans="1:193" s="1015" customFormat="1">
      <c r="A94" s="1003"/>
      <c r="B94" s="1149"/>
      <c r="C94" s="1149" t="s">
        <v>264</v>
      </c>
      <c r="D94" s="1204" t="s">
        <v>264</v>
      </c>
      <c r="E94" s="1204" t="s">
        <v>765</v>
      </c>
      <c r="F94" s="1204" t="s">
        <v>788</v>
      </c>
      <c r="G94" s="1204" t="s">
        <v>790</v>
      </c>
      <c r="H94" s="1204" t="s">
        <v>203</v>
      </c>
      <c r="I94" s="1149" t="s">
        <v>744</v>
      </c>
      <c r="J94" s="1176"/>
      <c r="K94" s="1176"/>
      <c r="L94" s="1004"/>
      <c r="M94" s="1013"/>
      <c r="N94" s="1013"/>
      <c r="O94" s="1013"/>
      <c r="P94" s="1013"/>
      <c r="Q94" s="1013"/>
      <c r="R94" s="1004"/>
      <c r="S94" s="1004"/>
      <c r="T94" s="1004"/>
      <c r="U94" s="1013"/>
      <c r="V94" s="1013"/>
      <c r="W94" s="1004"/>
      <c r="X94" s="1004"/>
      <c r="Y94" s="1004"/>
      <c r="Z94" s="1004"/>
      <c r="AA94" s="1004"/>
      <c r="AB94" s="1004"/>
      <c r="AC94" s="1013"/>
      <c r="AD94" s="1004"/>
      <c r="AE94" s="1013"/>
      <c r="AF94" s="1004"/>
      <c r="AG94" s="1013"/>
      <c r="AH94" s="1004"/>
      <c r="AI94" s="1224">
        <v>6.2301328836840718E-2</v>
      </c>
      <c r="AJ94" s="1035"/>
      <c r="AK94" s="1005"/>
      <c r="AL94" s="1005"/>
      <c r="AM94" s="1005"/>
      <c r="AN94" s="1005"/>
      <c r="AO94" s="1005"/>
      <c r="AP94" s="1013"/>
      <c r="AQ94" s="1013"/>
      <c r="AR94" s="1013"/>
      <c r="AS94" s="1005"/>
      <c r="AT94" s="1005"/>
      <c r="AU94" s="1176"/>
      <c r="AV94" s="1176"/>
      <c r="AW94" s="1004"/>
      <c r="AX94" s="1011"/>
      <c r="AY94" s="1011"/>
      <c r="AZ94" s="1011"/>
      <c r="BA94" s="1011"/>
      <c r="BB94" s="1011"/>
      <c r="BC94" s="1004"/>
      <c r="BD94" s="1004"/>
      <c r="BE94" s="1004"/>
      <c r="BF94" s="1013"/>
      <c r="BG94" s="1013"/>
      <c r="BH94" s="1004"/>
      <c r="BI94" s="1004"/>
      <c r="BJ94" s="1004"/>
      <c r="BK94" s="1004"/>
      <c r="BL94" s="1004"/>
      <c r="BM94" s="1004"/>
      <c r="BN94" s="1013"/>
      <c r="BO94" s="1013"/>
      <c r="BP94" s="1013"/>
      <c r="BQ94" s="1004"/>
      <c r="BR94" s="1035"/>
      <c r="BS94" s="1005"/>
      <c r="BT94" s="1230">
        <v>6.1547609020413334E-2</v>
      </c>
      <c r="BU94" s="1005"/>
      <c r="BV94" s="1005"/>
      <c r="BW94" s="1005"/>
      <c r="BX94" s="1005"/>
      <c r="BY94" s="1005"/>
      <c r="BZ94" s="1005"/>
      <c r="CA94" s="1005"/>
      <c r="CB94" s="1005"/>
      <c r="CC94" s="1005"/>
      <c r="CD94" s="1005"/>
      <c r="CE94" s="1005"/>
      <c r="CF94" s="1176"/>
      <c r="CG94" s="1196"/>
      <c r="CH94" s="1004"/>
      <c r="CI94" s="1004"/>
      <c r="CJ94" s="1004"/>
      <c r="CK94" s="1004"/>
      <c r="CL94" s="1004"/>
      <c r="CM94" s="1004"/>
      <c r="CN94" s="1004"/>
      <c r="CO94" s="1008"/>
      <c r="CP94" s="1013"/>
      <c r="CQ94" s="1013"/>
      <c r="CR94" s="1004"/>
      <c r="CS94" s="1004"/>
      <c r="CT94" s="1004"/>
      <c r="CU94" s="1008"/>
      <c r="CV94" s="1004"/>
      <c r="CW94" s="1004"/>
      <c r="CX94" s="1013"/>
      <c r="CY94" s="1013"/>
      <c r="CZ94" s="1013"/>
      <c r="DA94" s="1004"/>
      <c r="DB94" s="1013"/>
      <c r="DC94" s="1004"/>
      <c r="DD94" s="1236">
        <v>32397974.020000007</v>
      </c>
      <c r="DE94" s="1036"/>
      <c r="DF94" s="1008"/>
      <c r="DG94" s="1008"/>
      <c r="DH94" s="1014"/>
      <c r="DI94" s="1008"/>
      <c r="DJ94" s="1008"/>
      <c r="DK94" s="1013"/>
      <c r="DL94" s="1013"/>
      <c r="DM94" s="1013"/>
      <c r="DN94" s="1008"/>
      <c r="DO94" s="1008"/>
      <c r="DP94" s="1176"/>
      <c r="DQ94" s="1199">
        <f t="shared" si="345"/>
        <v>0</v>
      </c>
      <c r="DR94" s="1199">
        <f t="shared" si="345"/>
        <v>0</v>
      </c>
      <c r="DS94" s="1199">
        <f t="shared" si="345"/>
        <v>0</v>
      </c>
      <c r="DT94" s="1199">
        <f t="shared" si="345"/>
        <v>0</v>
      </c>
      <c r="DU94" s="1199">
        <f t="shared" si="345"/>
        <v>0</v>
      </c>
      <c r="DV94" s="1199">
        <f t="shared" si="345"/>
        <v>0</v>
      </c>
      <c r="DW94" s="1199">
        <f t="shared" si="345"/>
        <v>0</v>
      </c>
      <c r="DX94" s="1199">
        <f t="shared" si="345"/>
        <v>0</v>
      </c>
      <c r="DY94" s="1199">
        <f t="shared" si="345"/>
        <v>0</v>
      </c>
      <c r="DZ94" s="1199">
        <f t="shared" si="346"/>
        <v>0</v>
      </c>
      <c r="EA94" s="1199">
        <f t="shared" si="346"/>
        <v>0</v>
      </c>
      <c r="EB94" s="1199">
        <f t="shared" si="347"/>
        <v>0</v>
      </c>
      <c r="EC94" s="1199">
        <f t="shared" si="347"/>
        <v>0</v>
      </c>
      <c r="ED94" s="1199">
        <f t="shared" si="347"/>
        <v>0</v>
      </c>
      <c r="EE94" s="1199">
        <f t="shared" si="347"/>
        <v>0</v>
      </c>
      <c r="EF94" s="1199">
        <f t="shared" si="347"/>
        <v>0</v>
      </c>
      <c r="EG94" s="1199">
        <f t="shared" si="347"/>
        <v>0</v>
      </c>
      <c r="EH94" s="1199">
        <f t="shared" si="347"/>
        <v>0</v>
      </c>
      <c r="EI94" s="1199">
        <f t="shared" si="347"/>
        <v>0</v>
      </c>
      <c r="EJ94" s="1199">
        <f t="shared" si="347"/>
        <v>0</v>
      </c>
      <c r="EK94" s="1199">
        <f t="shared" si="347"/>
        <v>0</v>
      </c>
      <c r="EL94" s="1199">
        <f t="shared" si="348"/>
        <v>0</v>
      </c>
      <c r="EM94" s="1199">
        <f t="shared" si="348"/>
        <v>0</v>
      </c>
      <c r="EN94" s="1199">
        <f t="shared" si="348"/>
        <v>2018436.8330674428</v>
      </c>
      <c r="EO94" s="1199">
        <f t="shared" si="348"/>
        <v>0</v>
      </c>
      <c r="EP94" s="1199">
        <f t="shared" si="348"/>
        <v>0</v>
      </c>
      <c r="EQ94" s="1199">
        <f t="shared" si="348"/>
        <v>0</v>
      </c>
      <c r="ER94" s="1199">
        <f t="shared" si="348"/>
        <v>0</v>
      </c>
      <c r="ES94" s="1199">
        <f t="shared" si="348"/>
        <v>0</v>
      </c>
      <c r="ET94" s="1199">
        <f t="shared" si="348"/>
        <v>0</v>
      </c>
      <c r="EU94" s="1199">
        <f t="shared" si="349"/>
        <v>0</v>
      </c>
      <c r="EV94" s="1199">
        <f t="shared" si="349"/>
        <v>0</v>
      </c>
      <c r="EW94" s="1199">
        <f t="shared" si="349"/>
        <v>0</v>
      </c>
      <c r="EX94" s="1199">
        <f t="shared" si="350"/>
        <v>0</v>
      </c>
      <c r="EY94" s="1199">
        <f t="shared" si="350"/>
        <v>0</v>
      </c>
      <c r="EZ94" s="1175">
        <f t="shared" si="306"/>
        <v>2018436.8330674428</v>
      </c>
      <c r="FA94" s="1177"/>
      <c r="FB94" s="1202">
        <f t="shared" si="351"/>
        <v>0</v>
      </c>
      <c r="FC94" s="1202">
        <f t="shared" si="351"/>
        <v>0</v>
      </c>
      <c r="FD94" s="1202">
        <f t="shared" si="351"/>
        <v>0</v>
      </c>
      <c r="FE94" s="1202">
        <f t="shared" si="351"/>
        <v>0</v>
      </c>
      <c r="FF94" s="1202">
        <f t="shared" si="351"/>
        <v>0</v>
      </c>
      <c r="FG94" s="1202">
        <f t="shared" si="351"/>
        <v>0</v>
      </c>
      <c r="FH94" s="1202">
        <f t="shared" si="351"/>
        <v>0</v>
      </c>
      <c r="FI94" s="1202">
        <f t="shared" si="351"/>
        <v>0</v>
      </c>
      <c r="FJ94" s="1202">
        <f t="shared" si="351"/>
        <v>0</v>
      </c>
      <c r="FK94" s="1202">
        <f t="shared" si="352"/>
        <v>0</v>
      </c>
      <c r="FL94" s="1202">
        <f t="shared" si="352"/>
        <v>0</v>
      </c>
      <c r="FM94" s="1202">
        <f t="shared" si="353"/>
        <v>0</v>
      </c>
      <c r="FN94" s="1202">
        <f t="shared" si="353"/>
        <v>0</v>
      </c>
      <c r="FO94" s="1202">
        <f t="shared" si="353"/>
        <v>0</v>
      </c>
      <c r="FP94" s="1202">
        <f t="shared" si="353"/>
        <v>0</v>
      </c>
      <c r="FQ94" s="1202">
        <f t="shared" si="353"/>
        <v>0</v>
      </c>
      <c r="FR94" s="1202">
        <f t="shared" si="353"/>
        <v>0</v>
      </c>
      <c r="FS94" s="1202">
        <f t="shared" si="353"/>
        <v>0</v>
      </c>
      <c r="FT94" s="1202">
        <f t="shared" si="353"/>
        <v>0</v>
      </c>
      <c r="FU94" s="1202">
        <f t="shared" si="353"/>
        <v>0</v>
      </c>
      <c r="FV94" s="1202">
        <f t="shared" si="353"/>
        <v>0</v>
      </c>
      <c r="FW94" s="1202">
        <f t="shared" si="354"/>
        <v>0</v>
      </c>
      <c r="FX94" s="1202">
        <f t="shared" si="354"/>
        <v>0</v>
      </c>
      <c r="FY94" s="1202">
        <f t="shared" si="354"/>
        <v>1994017.8380364692</v>
      </c>
      <c r="FZ94" s="1202">
        <f t="shared" si="354"/>
        <v>0</v>
      </c>
      <c r="GA94" s="1202">
        <f t="shared" si="354"/>
        <v>0</v>
      </c>
      <c r="GB94" s="1202">
        <f t="shared" si="354"/>
        <v>0</v>
      </c>
      <c r="GC94" s="1202">
        <f t="shared" si="354"/>
        <v>0</v>
      </c>
      <c r="GD94" s="1202">
        <f t="shared" si="354"/>
        <v>0</v>
      </c>
      <c r="GE94" s="1202">
        <f t="shared" si="354"/>
        <v>0</v>
      </c>
      <c r="GF94" s="1202">
        <f t="shared" si="355"/>
        <v>0</v>
      </c>
      <c r="GG94" s="1202">
        <f t="shared" si="355"/>
        <v>0</v>
      </c>
      <c r="GH94" s="1202">
        <f t="shared" si="355"/>
        <v>0</v>
      </c>
      <c r="GI94" s="1202">
        <f t="shared" si="356"/>
        <v>0</v>
      </c>
      <c r="GJ94" s="1202">
        <f t="shared" si="356"/>
        <v>0</v>
      </c>
      <c r="GK94" s="1174">
        <f t="shared" si="342"/>
        <v>1994017.8380364692</v>
      </c>
    </row>
    <row r="95" spans="1:193" s="1015" customFormat="1">
      <c r="A95" s="1003"/>
      <c r="B95" s="1149"/>
      <c r="C95" s="1149" t="s">
        <v>265</v>
      </c>
      <c r="D95" s="1204" t="s">
        <v>265</v>
      </c>
      <c r="E95" s="1204" t="s">
        <v>765</v>
      </c>
      <c r="F95" s="1204" t="s">
        <v>788</v>
      </c>
      <c r="G95" s="1204" t="s">
        <v>791</v>
      </c>
      <c r="H95" s="1204" t="s">
        <v>204</v>
      </c>
      <c r="I95" s="1149" t="s">
        <v>744</v>
      </c>
      <c r="J95" s="1176"/>
      <c r="K95" s="1176"/>
      <c r="L95" s="1004"/>
      <c r="M95" s="1013"/>
      <c r="N95" s="1013"/>
      <c r="O95" s="1013"/>
      <c r="P95" s="1013"/>
      <c r="Q95" s="1013"/>
      <c r="R95" s="1004"/>
      <c r="S95" s="1004"/>
      <c r="T95" s="1004"/>
      <c r="U95" s="1013"/>
      <c r="V95" s="1013"/>
      <c r="W95" s="1004"/>
      <c r="X95" s="1004"/>
      <c r="Y95" s="1004"/>
      <c r="Z95" s="1004"/>
      <c r="AA95" s="1004"/>
      <c r="AB95" s="1004"/>
      <c r="AC95" s="1013"/>
      <c r="AD95" s="1004"/>
      <c r="AE95" s="1013"/>
      <c r="AF95" s="1004"/>
      <c r="AG95" s="1013"/>
      <c r="AH95" s="1004"/>
      <c r="AI95" s="1224">
        <v>2.8850797997973372E-2</v>
      </c>
      <c r="AJ95" s="1035"/>
      <c r="AK95" s="1005"/>
      <c r="AL95" s="1005"/>
      <c r="AM95" s="1005"/>
      <c r="AN95" s="1005"/>
      <c r="AO95" s="1005"/>
      <c r="AP95" s="1013"/>
      <c r="AQ95" s="1013"/>
      <c r="AR95" s="1013"/>
      <c r="AS95" s="1005"/>
      <c r="AT95" s="1005"/>
      <c r="AU95" s="1176"/>
      <c r="AV95" s="1176"/>
      <c r="AW95" s="1004"/>
      <c r="AX95" s="1011"/>
      <c r="AY95" s="1011"/>
      <c r="AZ95" s="1011"/>
      <c r="BA95" s="1011"/>
      <c r="BB95" s="1011"/>
      <c r="BC95" s="1004"/>
      <c r="BD95" s="1004"/>
      <c r="BE95" s="1004"/>
      <c r="BF95" s="1013"/>
      <c r="BG95" s="1013"/>
      <c r="BH95" s="1004"/>
      <c r="BI95" s="1004"/>
      <c r="BJ95" s="1004"/>
      <c r="BK95" s="1004"/>
      <c r="BL95" s="1004"/>
      <c r="BM95" s="1004"/>
      <c r="BN95" s="1013"/>
      <c r="BO95" s="1013"/>
      <c r="BP95" s="1013"/>
      <c r="BQ95" s="1004"/>
      <c r="BR95" s="1035"/>
      <c r="BS95" s="1005"/>
      <c r="BT95" s="1230">
        <v>2.8548648587796661E-2</v>
      </c>
      <c r="BU95" s="1005"/>
      <c r="BV95" s="1005"/>
      <c r="BW95" s="1005"/>
      <c r="BX95" s="1005"/>
      <c r="BY95" s="1005"/>
      <c r="BZ95" s="1005"/>
      <c r="CA95" s="1005"/>
      <c r="CB95" s="1005"/>
      <c r="CC95" s="1005"/>
      <c r="CD95" s="1005"/>
      <c r="CE95" s="1005"/>
      <c r="CF95" s="1176"/>
      <c r="CG95" s="1196"/>
      <c r="CH95" s="1004"/>
      <c r="CI95" s="1004"/>
      <c r="CJ95" s="1004"/>
      <c r="CK95" s="1004"/>
      <c r="CL95" s="1004"/>
      <c r="CM95" s="1004"/>
      <c r="CN95" s="1004"/>
      <c r="CO95" s="1008"/>
      <c r="CP95" s="1013"/>
      <c r="CQ95" s="1013"/>
      <c r="CR95" s="1004"/>
      <c r="CS95" s="1004"/>
      <c r="CT95" s="1004"/>
      <c r="CU95" s="1008"/>
      <c r="CV95" s="1004"/>
      <c r="CW95" s="1004"/>
      <c r="CX95" s="1013"/>
      <c r="CY95" s="1013"/>
      <c r="CZ95" s="1013"/>
      <c r="DA95" s="1004"/>
      <c r="DB95" s="1013"/>
      <c r="DC95" s="1004"/>
      <c r="DD95" s="1236">
        <v>9378894.2300000004</v>
      </c>
      <c r="DE95" s="1036"/>
      <c r="DF95" s="1008"/>
      <c r="DG95" s="1008"/>
      <c r="DH95" s="1014"/>
      <c r="DI95" s="1008"/>
      <c r="DJ95" s="1008"/>
      <c r="DK95" s="1013"/>
      <c r="DL95" s="1013"/>
      <c r="DM95" s="1013"/>
      <c r="DN95" s="1008"/>
      <c r="DO95" s="1008"/>
      <c r="DP95" s="1176"/>
      <c r="DQ95" s="1199">
        <f t="shared" si="345"/>
        <v>0</v>
      </c>
      <c r="DR95" s="1199">
        <f t="shared" si="345"/>
        <v>0</v>
      </c>
      <c r="DS95" s="1199">
        <f t="shared" si="345"/>
        <v>0</v>
      </c>
      <c r="DT95" s="1199">
        <f t="shared" si="345"/>
        <v>0</v>
      </c>
      <c r="DU95" s="1199">
        <f t="shared" si="345"/>
        <v>0</v>
      </c>
      <c r="DV95" s="1199">
        <f t="shared" si="345"/>
        <v>0</v>
      </c>
      <c r="DW95" s="1199">
        <f t="shared" si="345"/>
        <v>0</v>
      </c>
      <c r="DX95" s="1199">
        <f t="shared" si="345"/>
        <v>0</v>
      </c>
      <c r="DY95" s="1199">
        <f t="shared" si="345"/>
        <v>0</v>
      </c>
      <c r="DZ95" s="1199">
        <f t="shared" si="346"/>
        <v>0</v>
      </c>
      <c r="EA95" s="1199">
        <f t="shared" si="346"/>
        <v>0</v>
      </c>
      <c r="EB95" s="1199">
        <f t="shared" si="347"/>
        <v>0</v>
      </c>
      <c r="EC95" s="1199">
        <f t="shared" si="347"/>
        <v>0</v>
      </c>
      <c r="ED95" s="1199">
        <f t="shared" si="347"/>
        <v>0</v>
      </c>
      <c r="EE95" s="1199">
        <f t="shared" si="347"/>
        <v>0</v>
      </c>
      <c r="EF95" s="1199">
        <f t="shared" si="347"/>
        <v>0</v>
      </c>
      <c r="EG95" s="1199">
        <f t="shared" si="347"/>
        <v>0</v>
      </c>
      <c r="EH95" s="1199">
        <f t="shared" si="347"/>
        <v>0</v>
      </c>
      <c r="EI95" s="1199">
        <f t="shared" si="347"/>
        <v>0</v>
      </c>
      <c r="EJ95" s="1199">
        <f t="shared" si="347"/>
        <v>0</v>
      </c>
      <c r="EK95" s="1199">
        <f t="shared" si="347"/>
        <v>0</v>
      </c>
      <c r="EL95" s="1199">
        <f t="shared" si="348"/>
        <v>0</v>
      </c>
      <c r="EM95" s="1199">
        <f t="shared" si="348"/>
        <v>0</v>
      </c>
      <c r="EN95" s="1199">
        <f t="shared" si="348"/>
        <v>270588.58287408802</v>
      </c>
      <c r="EO95" s="1199">
        <f t="shared" si="348"/>
        <v>0</v>
      </c>
      <c r="EP95" s="1199">
        <f t="shared" si="348"/>
        <v>0</v>
      </c>
      <c r="EQ95" s="1199">
        <f t="shared" si="348"/>
        <v>0</v>
      </c>
      <c r="ER95" s="1199">
        <f t="shared" si="348"/>
        <v>0</v>
      </c>
      <c r="ES95" s="1199">
        <f t="shared" si="348"/>
        <v>0</v>
      </c>
      <c r="ET95" s="1199">
        <f t="shared" si="348"/>
        <v>0</v>
      </c>
      <c r="EU95" s="1199">
        <f t="shared" si="349"/>
        <v>0</v>
      </c>
      <c r="EV95" s="1199">
        <f t="shared" si="349"/>
        <v>0</v>
      </c>
      <c r="EW95" s="1199">
        <f t="shared" si="349"/>
        <v>0</v>
      </c>
      <c r="EX95" s="1199">
        <f t="shared" si="350"/>
        <v>0</v>
      </c>
      <c r="EY95" s="1199">
        <f t="shared" si="350"/>
        <v>0</v>
      </c>
      <c r="EZ95" s="1175">
        <f t="shared" si="306"/>
        <v>270588.58287408802</v>
      </c>
      <c r="FA95" s="1177"/>
      <c r="FB95" s="1202">
        <f t="shared" si="351"/>
        <v>0</v>
      </c>
      <c r="FC95" s="1202">
        <f t="shared" si="351"/>
        <v>0</v>
      </c>
      <c r="FD95" s="1202">
        <f t="shared" si="351"/>
        <v>0</v>
      </c>
      <c r="FE95" s="1202">
        <f t="shared" si="351"/>
        <v>0</v>
      </c>
      <c r="FF95" s="1202">
        <f t="shared" si="351"/>
        <v>0</v>
      </c>
      <c r="FG95" s="1202">
        <f t="shared" si="351"/>
        <v>0</v>
      </c>
      <c r="FH95" s="1202">
        <f t="shared" si="351"/>
        <v>0</v>
      </c>
      <c r="FI95" s="1202">
        <f t="shared" si="351"/>
        <v>0</v>
      </c>
      <c r="FJ95" s="1202">
        <f t="shared" si="351"/>
        <v>0</v>
      </c>
      <c r="FK95" s="1202">
        <f t="shared" si="352"/>
        <v>0</v>
      </c>
      <c r="FL95" s="1202">
        <f t="shared" si="352"/>
        <v>0</v>
      </c>
      <c r="FM95" s="1202">
        <f t="shared" si="353"/>
        <v>0</v>
      </c>
      <c r="FN95" s="1202">
        <f t="shared" si="353"/>
        <v>0</v>
      </c>
      <c r="FO95" s="1202">
        <f t="shared" si="353"/>
        <v>0</v>
      </c>
      <c r="FP95" s="1202">
        <f t="shared" si="353"/>
        <v>0</v>
      </c>
      <c r="FQ95" s="1202">
        <f t="shared" si="353"/>
        <v>0</v>
      </c>
      <c r="FR95" s="1202">
        <f t="shared" si="353"/>
        <v>0</v>
      </c>
      <c r="FS95" s="1202">
        <f t="shared" si="353"/>
        <v>0</v>
      </c>
      <c r="FT95" s="1202">
        <f t="shared" si="353"/>
        <v>0</v>
      </c>
      <c r="FU95" s="1202">
        <f t="shared" si="353"/>
        <v>0</v>
      </c>
      <c r="FV95" s="1202">
        <f t="shared" si="353"/>
        <v>0</v>
      </c>
      <c r="FW95" s="1202">
        <f t="shared" si="354"/>
        <v>0</v>
      </c>
      <c r="FX95" s="1202">
        <f t="shared" si="354"/>
        <v>0</v>
      </c>
      <c r="FY95" s="1202">
        <f t="shared" si="354"/>
        <v>267754.75551438378</v>
      </c>
      <c r="FZ95" s="1202">
        <f t="shared" si="354"/>
        <v>0</v>
      </c>
      <c r="GA95" s="1202">
        <f t="shared" si="354"/>
        <v>0</v>
      </c>
      <c r="GB95" s="1202">
        <f t="shared" si="354"/>
        <v>0</v>
      </c>
      <c r="GC95" s="1202">
        <f t="shared" si="354"/>
        <v>0</v>
      </c>
      <c r="GD95" s="1202">
        <f t="shared" si="354"/>
        <v>0</v>
      </c>
      <c r="GE95" s="1202">
        <f t="shared" si="354"/>
        <v>0</v>
      </c>
      <c r="GF95" s="1202">
        <f t="shared" si="355"/>
        <v>0</v>
      </c>
      <c r="GG95" s="1202">
        <f t="shared" si="355"/>
        <v>0</v>
      </c>
      <c r="GH95" s="1202">
        <f t="shared" si="355"/>
        <v>0</v>
      </c>
      <c r="GI95" s="1202">
        <f t="shared" si="356"/>
        <v>0</v>
      </c>
      <c r="GJ95" s="1202">
        <f t="shared" si="356"/>
        <v>0</v>
      </c>
      <c r="GK95" s="1174">
        <f t="shared" si="342"/>
        <v>267754.75551438378</v>
      </c>
    </row>
    <row r="96" spans="1:193" s="1015" customFormat="1">
      <c r="A96" s="1003"/>
      <c r="B96" s="1149"/>
      <c r="C96" s="1149" t="s">
        <v>266</v>
      </c>
      <c r="D96" s="1204" t="s">
        <v>266</v>
      </c>
      <c r="E96" s="1204" t="s">
        <v>765</v>
      </c>
      <c r="F96" s="1204" t="s">
        <v>913</v>
      </c>
      <c r="G96" s="1204" t="s">
        <v>789</v>
      </c>
      <c r="H96" s="1204" t="s">
        <v>205</v>
      </c>
      <c r="I96" s="1149" t="s">
        <v>744</v>
      </c>
      <c r="J96" s="1176"/>
      <c r="K96" s="1176"/>
      <c r="L96" s="1004"/>
      <c r="M96" s="1013"/>
      <c r="N96" s="1013"/>
      <c r="O96" s="1013"/>
      <c r="P96" s="1013"/>
      <c r="Q96" s="1013"/>
      <c r="R96" s="1004"/>
      <c r="S96" s="1004"/>
      <c r="T96" s="1004"/>
      <c r="U96" s="1013"/>
      <c r="V96" s="1013"/>
      <c r="W96" s="1004"/>
      <c r="X96" s="1004"/>
      <c r="Y96" s="1004"/>
      <c r="Z96" s="1004"/>
      <c r="AA96" s="1004"/>
      <c r="AB96" s="1004"/>
      <c r="AC96" s="1013"/>
      <c r="AD96" s="1004"/>
      <c r="AE96" s="1013"/>
      <c r="AF96" s="1004"/>
      <c r="AG96" s="1013"/>
      <c r="AH96" s="1004"/>
      <c r="AI96" s="1224">
        <v>0.12583084117939783</v>
      </c>
      <c r="AJ96" s="1035"/>
      <c r="AK96" s="1005"/>
      <c r="AL96" s="1005"/>
      <c r="AM96" s="1005"/>
      <c r="AN96" s="1005"/>
      <c r="AO96" s="1005"/>
      <c r="AP96" s="1013"/>
      <c r="AQ96" s="1013"/>
      <c r="AR96" s="1013"/>
      <c r="AS96" s="1005"/>
      <c r="AT96" s="1005"/>
      <c r="AU96" s="1176"/>
      <c r="AV96" s="1176"/>
      <c r="AW96" s="1004"/>
      <c r="AX96" s="1011"/>
      <c r="AY96" s="1011"/>
      <c r="AZ96" s="1011"/>
      <c r="BA96" s="1011"/>
      <c r="BB96" s="1011"/>
      <c r="BC96" s="1004"/>
      <c r="BD96" s="1004"/>
      <c r="BE96" s="1004"/>
      <c r="BF96" s="1013"/>
      <c r="BG96" s="1013"/>
      <c r="BH96" s="1004"/>
      <c r="BI96" s="1004"/>
      <c r="BJ96" s="1004"/>
      <c r="BK96" s="1004"/>
      <c r="BL96" s="1004"/>
      <c r="BM96" s="1004"/>
      <c r="BN96" s="1013"/>
      <c r="BO96" s="1013"/>
      <c r="BP96" s="1013"/>
      <c r="BQ96" s="1004"/>
      <c r="BR96" s="1035"/>
      <c r="BS96" s="1005"/>
      <c r="BT96" s="1230">
        <v>0.12302031412460276</v>
      </c>
      <c r="BU96" s="1005"/>
      <c r="BV96" s="1005"/>
      <c r="BW96" s="1005"/>
      <c r="BX96" s="1005"/>
      <c r="BY96" s="1005"/>
      <c r="BZ96" s="1005"/>
      <c r="CA96" s="1005"/>
      <c r="CB96" s="1005"/>
      <c r="CC96" s="1005"/>
      <c r="CD96" s="1005"/>
      <c r="CE96" s="1005"/>
      <c r="CF96" s="1176"/>
      <c r="CG96" s="1196"/>
      <c r="CH96" s="1004"/>
      <c r="CI96" s="1004"/>
      <c r="CJ96" s="1004"/>
      <c r="CK96" s="1004"/>
      <c r="CL96" s="1004"/>
      <c r="CM96" s="1004"/>
      <c r="CN96" s="1004"/>
      <c r="CO96" s="1008"/>
      <c r="CP96" s="1013"/>
      <c r="CQ96" s="1013"/>
      <c r="CR96" s="1004"/>
      <c r="CS96" s="1004"/>
      <c r="CT96" s="1004"/>
      <c r="CU96" s="1008"/>
      <c r="CV96" s="1004"/>
      <c r="CW96" s="1004"/>
      <c r="CX96" s="1013"/>
      <c r="CY96" s="1013"/>
      <c r="CZ96" s="1013"/>
      <c r="DA96" s="1004"/>
      <c r="DB96" s="1013"/>
      <c r="DC96" s="1004"/>
      <c r="DD96" s="1236">
        <v>121679878.94</v>
      </c>
      <c r="DE96" s="1036"/>
      <c r="DF96" s="1008"/>
      <c r="DG96" s="1008"/>
      <c r="DH96" s="1014"/>
      <c r="DI96" s="1008"/>
      <c r="DJ96" s="1008"/>
      <c r="DK96" s="1013"/>
      <c r="DL96" s="1013"/>
      <c r="DM96" s="1013"/>
      <c r="DN96" s="1008"/>
      <c r="DO96" s="1008"/>
      <c r="DP96" s="1176"/>
      <c r="DQ96" s="1199">
        <f t="shared" si="345"/>
        <v>0</v>
      </c>
      <c r="DR96" s="1199">
        <f t="shared" si="345"/>
        <v>0</v>
      </c>
      <c r="DS96" s="1199">
        <f t="shared" si="345"/>
        <v>0</v>
      </c>
      <c r="DT96" s="1199">
        <f t="shared" si="345"/>
        <v>0</v>
      </c>
      <c r="DU96" s="1199">
        <f t="shared" si="345"/>
        <v>0</v>
      </c>
      <c r="DV96" s="1199">
        <f t="shared" si="345"/>
        <v>0</v>
      </c>
      <c r="DW96" s="1199">
        <f t="shared" si="345"/>
        <v>0</v>
      </c>
      <c r="DX96" s="1199">
        <f t="shared" si="345"/>
        <v>0</v>
      </c>
      <c r="DY96" s="1199">
        <f t="shared" si="345"/>
        <v>0</v>
      </c>
      <c r="DZ96" s="1199">
        <f t="shared" si="346"/>
        <v>0</v>
      </c>
      <c r="EA96" s="1199">
        <f t="shared" si="346"/>
        <v>0</v>
      </c>
      <c r="EB96" s="1199">
        <f t="shared" si="347"/>
        <v>0</v>
      </c>
      <c r="EC96" s="1199">
        <f t="shared" si="347"/>
        <v>0</v>
      </c>
      <c r="ED96" s="1199">
        <f t="shared" si="347"/>
        <v>0</v>
      </c>
      <c r="EE96" s="1199">
        <f t="shared" si="347"/>
        <v>0</v>
      </c>
      <c r="EF96" s="1199">
        <f t="shared" si="347"/>
        <v>0</v>
      </c>
      <c r="EG96" s="1199">
        <f t="shared" si="347"/>
        <v>0</v>
      </c>
      <c r="EH96" s="1199">
        <f t="shared" si="347"/>
        <v>0</v>
      </c>
      <c r="EI96" s="1199">
        <f t="shared" si="347"/>
        <v>0</v>
      </c>
      <c r="EJ96" s="1199">
        <f t="shared" si="347"/>
        <v>0</v>
      </c>
      <c r="EK96" s="1199">
        <f t="shared" si="347"/>
        <v>0</v>
      </c>
      <c r="EL96" s="1199">
        <f t="shared" si="348"/>
        <v>0</v>
      </c>
      <c r="EM96" s="1199">
        <f t="shared" si="348"/>
        <v>0</v>
      </c>
      <c r="EN96" s="1199">
        <f t="shared" si="348"/>
        <v>15311081.521627495</v>
      </c>
      <c r="EO96" s="1199">
        <f t="shared" si="348"/>
        <v>0</v>
      </c>
      <c r="EP96" s="1199">
        <f t="shared" si="348"/>
        <v>0</v>
      </c>
      <c r="EQ96" s="1199">
        <f t="shared" si="348"/>
        <v>0</v>
      </c>
      <c r="ER96" s="1199">
        <f t="shared" si="348"/>
        <v>0</v>
      </c>
      <c r="ES96" s="1199">
        <f t="shared" si="348"/>
        <v>0</v>
      </c>
      <c r="ET96" s="1199">
        <f t="shared" si="348"/>
        <v>0</v>
      </c>
      <c r="EU96" s="1199">
        <f t="shared" si="349"/>
        <v>0</v>
      </c>
      <c r="EV96" s="1199">
        <f t="shared" si="349"/>
        <v>0</v>
      </c>
      <c r="EW96" s="1199">
        <f t="shared" si="349"/>
        <v>0</v>
      </c>
      <c r="EX96" s="1199">
        <f t="shared" si="350"/>
        <v>0</v>
      </c>
      <c r="EY96" s="1199">
        <f t="shared" si="350"/>
        <v>0</v>
      </c>
      <c r="EZ96" s="1175">
        <f t="shared" si="306"/>
        <v>15311081.521627495</v>
      </c>
      <c r="FA96" s="1177"/>
      <c r="FB96" s="1202">
        <f t="shared" si="351"/>
        <v>0</v>
      </c>
      <c r="FC96" s="1202">
        <f t="shared" si="351"/>
        <v>0</v>
      </c>
      <c r="FD96" s="1202">
        <f t="shared" si="351"/>
        <v>0</v>
      </c>
      <c r="FE96" s="1202">
        <f t="shared" si="351"/>
        <v>0</v>
      </c>
      <c r="FF96" s="1202">
        <f t="shared" si="351"/>
        <v>0</v>
      </c>
      <c r="FG96" s="1202">
        <f t="shared" si="351"/>
        <v>0</v>
      </c>
      <c r="FH96" s="1202">
        <f t="shared" si="351"/>
        <v>0</v>
      </c>
      <c r="FI96" s="1202">
        <f t="shared" si="351"/>
        <v>0</v>
      </c>
      <c r="FJ96" s="1202">
        <f t="shared" si="351"/>
        <v>0</v>
      </c>
      <c r="FK96" s="1202">
        <f t="shared" si="352"/>
        <v>0</v>
      </c>
      <c r="FL96" s="1202">
        <f t="shared" si="352"/>
        <v>0</v>
      </c>
      <c r="FM96" s="1202">
        <f t="shared" si="353"/>
        <v>0</v>
      </c>
      <c r="FN96" s="1202">
        <f t="shared" si="353"/>
        <v>0</v>
      </c>
      <c r="FO96" s="1202">
        <f t="shared" si="353"/>
        <v>0</v>
      </c>
      <c r="FP96" s="1202">
        <f t="shared" si="353"/>
        <v>0</v>
      </c>
      <c r="FQ96" s="1202">
        <f t="shared" si="353"/>
        <v>0</v>
      </c>
      <c r="FR96" s="1202">
        <f t="shared" si="353"/>
        <v>0</v>
      </c>
      <c r="FS96" s="1202">
        <f t="shared" si="353"/>
        <v>0</v>
      </c>
      <c r="FT96" s="1202">
        <f t="shared" si="353"/>
        <v>0</v>
      </c>
      <c r="FU96" s="1202">
        <f t="shared" si="353"/>
        <v>0</v>
      </c>
      <c r="FV96" s="1202">
        <f t="shared" si="353"/>
        <v>0</v>
      </c>
      <c r="FW96" s="1202">
        <f t="shared" si="354"/>
        <v>0</v>
      </c>
      <c r="FX96" s="1202">
        <f t="shared" si="354"/>
        <v>0</v>
      </c>
      <c r="FY96" s="1202">
        <f t="shared" si="354"/>
        <v>14969096.929842437</v>
      </c>
      <c r="FZ96" s="1202">
        <f t="shared" si="354"/>
        <v>0</v>
      </c>
      <c r="GA96" s="1202">
        <f t="shared" si="354"/>
        <v>0</v>
      </c>
      <c r="GB96" s="1202">
        <f t="shared" si="354"/>
        <v>0</v>
      </c>
      <c r="GC96" s="1202">
        <f t="shared" si="354"/>
        <v>0</v>
      </c>
      <c r="GD96" s="1202">
        <f t="shared" si="354"/>
        <v>0</v>
      </c>
      <c r="GE96" s="1202">
        <f t="shared" si="354"/>
        <v>0</v>
      </c>
      <c r="GF96" s="1202">
        <f t="shared" si="355"/>
        <v>0</v>
      </c>
      <c r="GG96" s="1202">
        <f t="shared" si="355"/>
        <v>0</v>
      </c>
      <c r="GH96" s="1202">
        <f t="shared" si="355"/>
        <v>0</v>
      </c>
      <c r="GI96" s="1202">
        <f t="shared" si="356"/>
        <v>0</v>
      </c>
      <c r="GJ96" s="1202">
        <f t="shared" si="356"/>
        <v>0</v>
      </c>
      <c r="GK96" s="1174">
        <f t="shared" si="342"/>
        <v>14969096.929842437</v>
      </c>
    </row>
    <row r="97" spans="1:193" s="1015" customFormat="1">
      <c r="A97" s="1003"/>
      <c r="B97" s="1149"/>
      <c r="C97" s="1149" t="s">
        <v>267</v>
      </c>
      <c r="D97" s="1204" t="s">
        <v>267</v>
      </c>
      <c r="E97" s="1204" t="s">
        <v>765</v>
      </c>
      <c r="F97" s="1204" t="s">
        <v>913</v>
      </c>
      <c r="G97" s="1204" t="s">
        <v>790</v>
      </c>
      <c r="H97" s="1204" t="s">
        <v>206</v>
      </c>
      <c r="I97" s="1149" t="s">
        <v>744</v>
      </c>
      <c r="J97" s="1176"/>
      <c r="K97" s="1176"/>
      <c r="L97" s="1004"/>
      <c r="M97" s="1013"/>
      <c r="N97" s="1013"/>
      <c r="O97" s="1013"/>
      <c r="P97" s="1013"/>
      <c r="Q97" s="1013"/>
      <c r="R97" s="1004"/>
      <c r="S97" s="1004"/>
      <c r="T97" s="1004"/>
      <c r="U97" s="1013"/>
      <c r="V97" s="1013"/>
      <c r="W97" s="1004"/>
      <c r="X97" s="1004"/>
      <c r="Y97" s="1004"/>
      <c r="Z97" s="1004"/>
      <c r="AA97" s="1004"/>
      <c r="AB97" s="1004"/>
      <c r="AC97" s="1013"/>
      <c r="AD97" s="1004"/>
      <c r="AE97" s="1013"/>
      <c r="AF97" s="1004"/>
      <c r="AG97" s="1013"/>
      <c r="AH97" s="1004"/>
      <c r="AI97" s="1224">
        <v>0.14489737464266658</v>
      </c>
      <c r="AJ97" s="1035"/>
      <c r="AK97" s="1005"/>
      <c r="AL97" s="1005"/>
      <c r="AM97" s="1005"/>
      <c r="AN97" s="1005"/>
      <c r="AO97" s="1005"/>
      <c r="AP97" s="1013"/>
      <c r="AQ97" s="1013"/>
      <c r="AR97" s="1013"/>
      <c r="AS97" s="1005"/>
      <c r="AT97" s="1005"/>
      <c r="AU97" s="1176"/>
      <c r="AV97" s="1176"/>
      <c r="AW97" s="1004"/>
      <c r="AX97" s="1011"/>
      <c r="AY97" s="1011"/>
      <c r="AZ97" s="1011"/>
      <c r="BA97" s="1011"/>
      <c r="BB97" s="1011"/>
      <c r="BC97" s="1004"/>
      <c r="BD97" s="1004"/>
      <c r="BE97" s="1004"/>
      <c r="BF97" s="1013"/>
      <c r="BG97" s="1013"/>
      <c r="BH97" s="1004"/>
      <c r="BI97" s="1004"/>
      <c r="BJ97" s="1004"/>
      <c r="BK97" s="1004"/>
      <c r="BL97" s="1004"/>
      <c r="BM97" s="1004"/>
      <c r="BN97" s="1013"/>
      <c r="BO97" s="1013"/>
      <c r="BP97" s="1013"/>
      <c r="BQ97" s="1004"/>
      <c r="BR97" s="1035"/>
      <c r="BS97" s="1005"/>
      <c r="BT97" s="1230">
        <v>0.14309058008779826</v>
      </c>
      <c r="BU97" s="1005"/>
      <c r="BV97" s="1005"/>
      <c r="BW97" s="1005"/>
      <c r="BX97" s="1005"/>
      <c r="BY97" s="1005"/>
      <c r="BZ97" s="1005"/>
      <c r="CA97" s="1005"/>
      <c r="CB97" s="1005"/>
      <c r="CC97" s="1005"/>
      <c r="CD97" s="1005"/>
      <c r="CE97" s="1005"/>
      <c r="CF97" s="1176"/>
      <c r="CG97" s="1196"/>
      <c r="CH97" s="1004"/>
      <c r="CI97" s="1004"/>
      <c r="CJ97" s="1004"/>
      <c r="CK97" s="1004"/>
      <c r="CL97" s="1004"/>
      <c r="CM97" s="1004"/>
      <c r="CN97" s="1004"/>
      <c r="CO97" s="1008"/>
      <c r="CP97" s="1013"/>
      <c r="CQ97" s="1013"/>
      <c r="CR97" s="1004"/>
      <c r="CS97" s="1004"/>
      <c r="CT97" s="1004"/>
      <c r="CU97" s="1008"/>
      <c r="CV97" s="1004"/>
      <c r="CW97" s="1004"/>
      <c r="CX97" s="1013"/>
      <c r="CY97" s="1013"/>
      <c r="CZ97" s="1013"/>
      <c r="DA97" s="1004"/>
      <c r="DB97" s="1013"/>
      <c r="DC97" s="1004"/>
      <c r="DD97" s="1236">
        <v>9308348.5600000005</v>
      </c>
      <c r="DE97" s="1036"/>
      <c r="DF97" s="1008"/>
      <c r="DG97" s="1008"/>
      <c r="DH97" s="1014"/>
      <c r="DI97" s="1008"/>
      <c r="DJ97" s="1008"/>
      <c r="DK97" s="1013"/>
      <c r="DL97" s="1013"/>
      <c r="DM97" s="1013"/>
      <c r="DN97" s="1008"/>
      <c r="DO97" s="1008"/>
      <c r="DP97" s="1176"/>
      <c r="DQ97" s="1199">
        <f t="shared" si="345"/>
        <v>0</v>
      </c>
      <c r="DR97" s="1199">
        <f t="shared" si="345"/>
        <v>0</v>
      </c>
      <c r="DS97" s="1199">
        <f t="shared" si="345"/>
        <v>0</v>
      </c>
      <c r="DT97" s="1199">
        <f t="shared" si="345"/>
        <v>0</v>
      </c>
      <c r="DU97" s="1199">
        <f t="shared" si="345"/>
        <v>0</v>
      </c>
      <c r="DV97" s="1199">
        <f t="shared" si="345"/>
        <v>0</v>
      </c>
      <c r="DW97" s="1199">
        <f t="shared" si="345"/>
        <v>0</v>
      </c>
      <c r="DX97" s="1199">
        <f t="shared" si="345"/>
        <v>0</v>
      </c>
      <c r="DY97" s="1199">
        <f t="shared" si="345"/>
        <v>0</v>
      </c>
      <c r="DZ97" s="1199">
        <f t="shared" si="346"/>
        <v>0</v>
      </c>
      <c r="EA97" s="1199">
        <f t="shared" si="346"/>
        <v>0</v>
      </c>
      <c r="EB97" s="1199">
        <f t="shared" si="347"/>
        <v>0</v>
      </c>
      <c r="EC97" s="1199">
        <f t="shared" si="347"/>
        <v>0</v>
      </c>
      <c r="ED97" s="1199">
        <f t="shared" si="347"/>
        <v>0</v>
      </c>
      <c r="EE97" s="1199">
        <f t="shared" si="347"/>
        <v>0</v>
      </c>
      <c r="EF97" s="1199">
        <f t="shared" si="347"/>
        <v>0</v>
      </c>
      <c r="EG97" s="1199">
        <f t="shared" si="347"/>
        <v>0</v>
      </c>
      <c r="EH97" s="1199">
        <f t="shared" si="347"/>
        <v>0</v>
      </c>
      <c r="EI97" s="1199">
        <f t="shared" si="347"/>
        <v>0</v>
      </c>
      <c r="EJ97" s="1199">
        <f t="shared" si="347"/>
        <v>0</v>
      </c>
      <c r="EK97" s="1199">
        <f t="shared" si="347"/>
        <v>0</v>
      </c>
      <c r="EL97" s="1199">
        <f t="shared" si="348"/>
        <v>0</v>
      </c>
      <c r="EM97" s="1199">
        <f t="shared" si="348"/>
        <v>0</v>
      </c>
      <c r="EN97" s="1199">
        <f t="shared" si="348"/>
        <v>1348755.268602846</v>
      </c>
      <c r="EO97" s="1199">
        <f t="shared" si="348"/>
        <v>0</v>
      </c>
      <c r="EP97" s="1199">
        <f t="shared" si="348"/>
        <v>0</v>
      </c>
      <c r="EQ97" s="1199">
        <f t="shared" si="348"/>
        <v>0</v>
      </c>
      <c r="ER97" s="1199">
        <f t="shared" si="348"/>
        <v>0</v>
      </c>
      <c r="ES97" s="1199">
        <f t="shared" si="348"/>
        <v>0</v>
      </c>
      <c r="ET97" s="1199">
        <f t="shared" si="348"/>
        <v>0</v>
      </c>
      <c r="EU97" s="1199">
        <f t="shared" si="349"/>
        <v>0</v>
      </c>
      <c r="EV97" s="1199">
        <f t="shared" si="349"/>
        <v>0</v>
      </c>
      <c r="EW97" s="1199">
        <f t="shared" si="349"/>
        <v>0</v>
      </c>
      <c r="EX97" s="1199">
        <f t="shared" si="350"/>
        <v>0</v>
      </c>
      <c r="EY97" s="1199">
        <f t="shared" si="350"/>
        <v>0</v>
      </c>
      <c r="EZ97" s="1175">
        <f t="shared" si="306"/>
        <v>1348755.268602846</v>
      </c>
      <c r="FA97" s="1177"/>
      <c r="FB97" s="1202">
        <f t="shared" si="351"/>
        <v>0</v>
      </c>
      <c r="FC97" s="1202">
        <f t="shared" si="351"/>
        <v>0</v>
      </c>
      <c r="FD97" s="1202">
        <f t="shared" si="351"/>
        <v>0</v>
      </c>
      <c r="FE97" s="1202">
        <f t="shared" si="351"/>
        <v>0</v>
      </c>
      <c r="FF97" s="1202">
        <f t="shared" si="351"/>
        <v>0</v>
      </c>
      <c r="FG97" s="1202">
        <f t="shared" si="351"/>
        <v>0</v>
      </c>
      <c r="FH97" s="1202">
        <f t="shared" si="351"/>
        <v>0</v>
      </c>
      <c r="FI97" s="1202">
        <f t="shared" si="351"/>
        <v>0</v>
      </c>
      <c r="FJ97" s="1202">
        <f t="shared" si="351"/>
        <v>0</v>
      </c>
      <c r="FK97" s="1202">
        <f t="shared" si="352"/>
        <v>0</v>
      </c>
      <c r="FL97" s="1202">
        <f t="shared" si="352"/>
        <v>0</v>
      </c>
      <c r="FM97" s="1202">
        <f t="shared" si="353"/>
        <v>0</v>
      </c>
      <c r="FN97" s="1202">
        <f t="shared" si="353"/>
        <v>0</v>
      </c>
      <c r="FO97" s="1202">
        <f t="shared" si="353"/>
        <v>0</v>
      </c>
      <c r="FP97" s="1202">
        <f t="shared" si="353"/>
        <v>0</v>
      </c>
      <c r="FQ97" s="1202">
        <f t="shared" si="353"/>
        <v>0</v>
      </c>
      <c r="FR97" s="1202">
        <f t="shared" si="353"/>
        <v>0</v>
      </c>
      <c r="FS97" s="1202">
        <f t="shared" si="353"/>
        <v>0</v>
      </c>
      <c r="FT97" s="1202">
        <f t="shared" si="353"/>
        <v>0</v>
      </c>
      <c r="FU97" s="1202">
        <f t="shared" si="353"/>
        <v>0</v>
      </c>
      <c r="FV97" s="1202">
        <f t="shared" si="353"/>
        <v>0</v>
      </c>
      <c r="FW97" s="1202">
        <f t="shared" si="354"/>
        <v>0</v>
      </c>
      <c r="FX97" s="1202">
        <f t="shared" si="354"/>
        <v>0</v>
      </c>
      <c r="FY97" s="1202">
        <f t="shared" si="354"/>
        <v>1331936.9951098217</v>
      </c>
      <c r="FZ97" s="1202">
        <f t="shared" si="354"/>
        <v>0</v>
      </c>
      <c r="GA97" s="1202">
        <f t="shared" si="354"/>
        <v>0</v>
      </c>
      <c r="GB97" s="1202">
        <f t="shared" si="354"/>
        <v>0</v>
      </c>
      <c r="GC97" s="1202">
        <f t="shared" si="354"/>
        <v>0</v>
      </c>
      <c r="GD97" s="1202">
        <f t="shared" si="354"/>
        <v>0</v>
      </c>
      <c r="GE97" s="1202">
        <f t="shared" si="354"/>
        <v>0</v>
      </c>
      <c r="GF97" s="1202">
        <f t="shared" si="355"/>
        <v>0</v>
      </c>
      <c r="GG97" s="1202">
        <f t="shared" si="355"/>
        <v>0</v>
      </c>
      <c r="GH97" s="1202">
        <f t="shared" si="355"/>
        <v>0</v>
      </c>
      <c r="GI97" s="1202">
        <f t="shared" si="356"/>
        <v>0</v>
      </c>
      <c r="GJ97" s="1202">
        <f t="shared" si="356"/>
        <v>0</v>
      </c>
      <c r="GK97" s="1174">
        <f t="shared" si="342"/>
        <v>1331936.9951098217</v>
      </c>
    </row>
    <row r="98" spans="1:193" s="1015" customFormat="1">
      <c r="A98" s="1003"/>
      <c r="B98" s="1149"/>
      <c r="C98" s="1149" t="s">
        <v>268</v>
      </c>
      <c r="D98" s="1204" t="s">
        <v>268</v>
      </c>
      <c r="E98" s="1204" t="s">
        <v>765</v>
      </c>
      <c r="F98" s="1204" t="s">
        <v>913</v>
      </c>
      <c r="G98" s="1204" t="s">
        <v>791</v>
      </c>
      <c r="H98" s="1204" t="s">
        <v>207</v>
      </c>
      <c r="I98" s="1149" t="s">
        <v>744</v>
      </c>
      <c r="J98" s="1176"/>
      <c r="K98" s="1176"/>
      <c r="L98" s="1004"/>
      <c r="M98" s="1013"/>
      <c r="N98" s="1013"/>
      <c r="O98" s="1013"/>
      <c r="P98" s="1013"/>
      <c r="Q98" s="1013"/>
      <c r="R98" s="1004"/>
      <c r="S98" s="1004"/>
      <c r="T98" s="1004"/>
      <c r="U98" s="1013"/>
      <c r="V98" s="1013"/>
      <c r="W98" s="1004"/>
      <c r="X98" s="1004"/>
      <c r="Y98" s="1004"/>
      <c r="Z98" s="1004"/>
      <c r="AA98" s="1004"/>
      <c r="AB98" s="1004"/>
      <c r="AC98" s="1013"/>
      <c r="AD98" s="1004"/>
      <c r="AE98" s="1013"/>
      <c r="AF98" s="1004"/>
      <c r="AG98" s="1013"/>
      <c r="AH98" s="1004"/>
      <c r="AI98" s="1224">
        <v>1.1646693769689723E-2</v>
      </c>
      <c r="AJ98" s="1035"/>
      <c r="AK98" s="1005"/>
      <c r="AL98" s="1005"/>
      <c r="AM98" s="1005"/>
      <c r="AN98" s="1005"/>
      <c r="AO98" s="1005"/>
      <c r="AP98" s="1013"/>
      <c r="AQ98" s="1013"/>
      <c r="AR98" s="1013"/>
      <c r="AS98" s="1005"/>
      <c r="AT98" s="1005"/>
      <c r="AU98" s="1176"/>
      <c r="AV98" s="1176"/>
      <c r="AW98" s="1004"/>
      <c r="AX98" s="1011"/>
      <c r="AY98" s="1011"/>
      <c r="AZ98" s="1011"/>
      <c r="BA98" s="1011"/>
      <c r="BB98" s="1011"/>
      <c r="BC98" s="1004"/>
      <c r="BD98" s="1004"/>
      <c r="BE98" s="1004"/>
      <c r="BF98" s="1013"/>
      <c r="BG98" s="1013"/>
      <c r="BH98" s="1004"/>
      <c r="BI98" s="1004"/>
      <c r="BJ98" s="1004"/>
      <c r="BK98" s="1004"/>
      <c r="BL98" s="1004"/>
      <c r="BM98" s="1004"/>
      <c r="BN98" s="1013"/>
      <c r="BO98" s="1013"/>
      <c r="BP98" s="1013"/>
      <c r="BQ98" s="1004"/>
      <c r="BR98" s="1035"/>
      <c r="BS98" s="1005"/>
      <c r="BT98" s="1230">
        <v>1.1522154429611133E-2</v>
      </c>
      <c r="BU98" s="1005"/>
      <c r="BV98" s="1005"/>
      <c r="BW98" s="1005"/>
      <c r="BX98" s="1005"/>
      <c r="BY98" s="1005"/>
      <c r="BZ98" s="1005"/>
      <c r="CA98" s="1005"/>
      <c r="CB98" s="1005"/>
      <c r="CC98" s="1005"/>
      <c r="CD98" s="1005"/>
      <c r="CE98" s="1005"/>
      <c r="CF98" s="1176"/>
      <c r="CG98" s="1196"/>
      <c r="CH98" s="1004"/>
      <c r="CI98" s="1004"/>
      <c r="CJ98" s="1004"/>
      <c r="CK98" s="1004"/>
      <c r="CL98" s="1004"/>
      <c r="CM98" s="1004"/>
      <c r="CN98" s="1004"/>
      <c r="CO98" s="1008"/>
      <c r="CP98" s="1013"/>
      <c r="CQ98" s="1013"/>
      <c r="CR98" s="1004"/>
      <c r="CS98" s="1004"/>
      <c r="CT98" s="1004"/>
      <c r="CU98" s="1008"/>
      <c r="CV98" s="1004"/>
      <c r="CW98" s="1004"/>
      <c r="CX98" s="1013"/>
      <c r="CY98" s="1013"/>
      <c r="CZ98" s="1013"/>
      <c r="DA98" s="1004"/>
      <c r="DB98" s="1013"/>
      <c r="DC98" s="1004"/>
      <c r="DD98" s="1236">
        <v>2746366</v>
      </c>
      <c r="DE98" s="1036"/>
      <c r="DF98" s="1008"/>
      <c r="DG98" s="1008"/>
      <c r="DH98" s="1014"/>
      <c r="DI98" s="1008"/>
      <c r="DJ98" s="1008"/>
      <c r="DK98" s="1013"/>
      <c r="DL98" s="1013"/>
      <c r="DM98" s="1013"/>
      <c r="DN98" s="1008"/>
      <c r="DO98" s="1008"/>
      <c r="DP98" s="1176"/>
      <c r="DQ98" s="1199">
        <f t="shared" si="345"/>
        <v>0</v>
      </c>
      <c r="DR98" s="1199">
        <f t="shared" si="345"/>
        <v>0</v>
      </c>
      <c r="DS98" s="1199">
        <f t="shared" si="345"/>
        <v>0</v>
      </c>
      <c r="DT98" s="1199">
        <f t="shared" si="345"/>
        <v>0</v>
      </c>
      <c r="DU98" s="1199">
        <f t="shared" si="345"/>
        <v>0</v>
      </c>
      <c r="DV98" s="1199">
        <f t="shared" si="345"/>
        <v>0</v>
      </c>
      <c r="DW98" s="1199">
        <f t="shared" si="345"/>
        <v>0</v>
      </c>
      <c r="DX98" s="1199">
        <f t="shared" si="345"/>
        <v>0</v>
      </c>
      <c r="DY98" s="1199">
        <f t="shared" si="345"/>
        <v>0</v>
      </c>
      <c r="DZ98" s="1199">
        <f t="shared" si="346"/>
        <v>0</v>
      </c>
      <c r="EA98" s="1199">
        <f t="shared" si="346"/>
        <v>0</v>
      </c>
      <c r="EB98" s="1199">
        <f t="shared" si="347"/>
        <v>0</v>
      </c>
      <c r="EC98" s="1199">
        <f t="shared" si="347"/>
        <v>0</v>
      </c>
      <c r="ED98" s="1199">
        <f t="shared" si="347"/>
        <v>0</v>
      </c>
      <c r="EE98" s="1199">
        <f t="shared" si="347"/>
        <v>0</v>
      </c>
      <c r="EF98" s="1199">
        <f t="shared" si="347"/>
        <v>0</v>
      </c>
      <c r="EG98" s="1199">
        <f t="shared" si="347"/>
        <v>0</v>
      </c>
      <c r="EH98" s="1199">
        <f t="shared" si="347"/>
        <v>0</v>
      </c>
      <c r="EI98" s="1199">
        <f t="shared" si="347"/>
        <v>0</v>
      </c>
      <c r="EJ98" s="1199">
        <f t="shared" si="347"/>
        <v>0</v>
      </c>
      <c r="EK98" s="1199">
        <f t="shared" si="347"/>
        <v>0</v>
      </c>
      <c r="EL98" s="1199">
        <f t="shared" si="348"/>
        <v>0</v>
      </c>
      <c r="EM98" s="1199">
        <f t="shared" si="348"/>
        <v>0</v>
      </c>
      <c r="EN98" s="1199">
        <f t="shared" si="348"/>
        <v>31986.083781487687</v>
      </c>
      <c r="EO98" s="1199">
        <f t="shared" si="348"/>
        <v>0</v>
      </c>
      <c r="EP98" s="1199">
        <f t="shared" si="348"/>
        <v>0</v>
      </c>
      <c r="EQ98" s="1199">
        <f t="shared" si="348"/>
        <v>0</v>
      </c>
      <c r="ER98" s="1199">
        <f t="shared" si="348"/>
        <v>0</v>
      </c>
      <c r="ES98" s="1199">
        <f t="shared" si="348"/>
        <v>0</v>
      </c>
      <c r="ET98" s="1199">
        <f t="shared" si="348"/>
        <v>0</v>
      </c>
      <c r="EU98" s="1199">
        <f t="shared" si="349"/>
        <v>0</v>
      </c>
      <c r="EV98" s="1199">
        <f t="shared" si="349"/>
        <v>0</v>
      </c>
      <c r="EW98" s="1199">
        <f t="shared" si="349"/>
        <v>0</v>
      </c>
      <c r="EX98" s="1199">
        <f t="shared" si="350"/>
        <v>0</v>
      </c>
      <c r="EY98" s="1199">
        <f t="shared" si="350"/>
        <v>0</v>
      </c>
      <c r="EZ98" s="1175">
        <f t="shared" si="306"/>
        <v>31986.083781487687</v>
      </c>
      <c r="FA98" s="1176"/>
      <c r="FB98" s="1202">
        <f t="shared" si="351"/>
        <v>0</v>
      </c>
      <c r="FC98" s="1202">
        <f t="shared" si="351"/>
        <v>0</v>
      </c>
      <c r="FD98" s="1202">
        <f t="shared" si="351"/>
        <v>0</v>
      </c>
      <c r="FE98" s="1202">
        <f t="shared" si="351"/>
        <v>0</v>
      </c>
      <c r="FF98" s="1202">
        <f t="shared" si="351"/>
        <v>0</v>
      </c>
      <c r="FG98" s="1202">
        <f t="shared" si="351"/>
        <v>0</v>
      </c>
      <c r="FH98" s="1202">
        <f t="shared" si="351"/>
        <v>0</v>
      </c>
      <c r="FI98" s="1202">
        <f t="shared" si="351"/>
        <v>0</v>
      </c>
      <c r="FJ98" s="1202">
        <f t="shared" si="351"/>
        <v>0</v>
      </c>
      <c r="FK98" s="1202">
        <f t="shared" si="352"/>
        <v>0</v>
      </c>
      <c r="FL98" s="1202">
        <f t="shared" si="352"/>
        <v>0</v>
      </c>
      <c r="FM98" s="1202">
        <f t="shared" si="353"/>
        <v>0</v>
      </c>
      <c r="FN98" s="1202">
        <f t="shared" si="353"/>
        <v>0</v>
      </c>
      <c r="FO98" s="1202">
        <f t="shared" si="353"/>
        <v>0</v>
      </c>
      <c r="FP98" s="1202">
        <f t="shared" si="353"/>
        <v>0</v>
      </c>
      <c r="FQ98" s="1202">
        <f t="shared" si="353"/>
        <v>0</v>
      </c>
      <c r="FR98" s="1202">
        <f t="shared" si="353"/>
        <v>0</v>
      </c>
      <c r="FS98" s="1202">
        <f t="shared" si="353"/>
        <v>0</v>
      </c>
      <c r="FT98" s="1202">
        <f t="shared" si="353"/>
        <v>0</v>
      </c>
      <c r="FU98" s="1202">
        <f t="shared" si="353"/>
        <v>0</v>
      </c>
      <c r="FV98" s="1202">
        <f t="shared" si="353"/>
        <v>0</v>
      </c>
      <c r="FW98" s="1202">
        <f t="shared" si="354"/>
        <v>0</v>
      </c>
      <c r="FX98" s="1202">
        <f t="shared" si="354"/>
        <v>0</v>
      </c>
      <c r="FY98" s="1202">
        <f t="shared" si="354"/>
        <v>31644.053172233409</v>
      </c>
      <c r="FZ98" s="1202">
        <f t="shared" si="354"/>
        <v>0</v>
      </c>
      <c r="GA98" s="1202">
        <f t="shared" si="354"/>
        <v>0</v>
      </c>
      <c r="GB98" s="1202">
        <f t="shared" si="354"/>
        <v>0</v>
      </c>
      <c r="GC98" s="1202">
        <f t="shared" si="354"/>
        <v>0</v>
      </c>
      <c r="GD98" s="1202">
        <f t="shared" si="354"/>
        <v>0</v>
      </c>
      <c r="GE98" s="1202">
        <f t="shared" si="354"/>
        <v>0</v>
      </c>
      <c r="GF98" s="1202">
        <f t="shared" si="355"/>
        <v>0</v>
      </c>
      <c r="GG98" s="1202">
        <f t="shared" si="355"/>
        <v>0</v>
      </c>
      <c r="GH98" s="1202">
        <f t="shared" si="355"/>
        <v>0</v>
      </c>
      <c r="GI98" s="1202">
        <f t="shared" si="356"/>
        <v>0</v>
      </c>
      <c r="GJ98" s="1202">
        <f t="shared" si="356"/>
        <v>0</v>
      </c>
      <c r="GK98" s="1174">
        <f t="shared" si="342"/>
        <v>31644.053172233409</v>
      </c>
    </row>
    <row r="99" spans="1:193" s="1015" customFormat="1" ht="6" customHeight="1">
      <c r="A99" s="1003"/>
      <c r="B99" s="1303"/>
      <c r="C99" s="1303"/>
      <c r="D99" s="1303"/>
      <c r="E99" s="1303"/>
      <c r="F99" s="1303"/>
      <c r="G99" s="1303"/>
      <c r="H99" s="1303"/>
      <c r="I99" s="1303"/>
      <c r="J99" s="1303"/>
      <c r="K99" s="1303"/>
      <c r="L99" s="1303"/>
      <c r="M99" s="1303"/>
      <c r="N99" s="1303"/>
      <c r="O99" s="1303"/>
      <c r="P99" s="1303"/>
      <c r="Q99" s="1303"/>
      <c r="R99" s="1303"/>
      <c r="S99" s="1303"/>
      <c r="T99" s="1303"/>
      <c r="U99" s="1303"/>
      <c r="V99" s="1303"/>
      <c r="W99" s="1303"/>
      <c r="X99" s="1303"/>
      <c r="Y99" s="1303"/>
      <c r="Z99" s="1303"/>
      <c r="AA99" s="1303"/>
      <c r="AB99" s="1303"/>
      <c r="AC99" s="1303"/>
      <c r="AD99" s="1303"/>
      <c r="AE99" s="1303"/>
      <c r="AF99" s="1303"/>
      <c r="AG99" s="1303"/>
      <c r="AH99" s="1303"/>
      <c r="AI99" s="1303"/>
      <c r="AJ99" s="1303"/>
      <c r="AK99" s="1303"/>
      <c r="AL99" s="1303"/>
      <c r="AM99" s="1303"/>
      <c r="AN99" s="1303"/>
      <c r="AO99" s="1303"/>
      <c r="AP99" s="1303"/>
      <c r="AQ99" s="1303"/>
      <c r="AR99" s="1303"/>
      <c r="AS99" s="1303"/>
      <c r="AT99" s="1303"/>
      <c r="AU99" s="1303"/>
      <c r="AV99" s="1303"/>
      <c r="AW99" s="1303"/>
      <c r="AX99" s="1303"/>
      <c r="AY99" s="1303"/>
      <c r="AZ99" s="1303"/>
      <c r="BA99" s="1303"/>
      <c r="BB99" s="1303"/>
      <c r="BC99" s="1303"/>
      <c r="BD99" s="1303"/>
      <c r="BE99" s="1303"/>
      <c r="BF99" s="1303"/>
      <c r="BG99" s="1303"/>
      <c r="BH99" s="1303"/>
      <c r="BI99" s="1303"/>
      <c r="BJ99" s="1303"/>
      <c r="BK99" s="1303"/>
      <c r="BL99" s="1303"/>
      <c r="BM99" s="1303"/>
      <c r="BN99" s="1303"/>
      <c r="BO99" s="1303"/>
      <c r="BP99" s="1303"/>
      <c r="BQ99" s="1303"/>
      <c r="BR99" s="1303"/>
      <c r="BS99" s="1303"/>
      <c r="BT99" s="1303"/>
      <c r="BU99" s="1303"/>
      <c r="BV99" s="1303"/>
      <c r="BW99" s="1303"/>
      <c r="BX99" s="1303"/>
      <c r="BY99" s="1303"/>
      <c r="BZ99" s="1303"/>
      <c r="CA99" s="1303"/>
      <c r="CB99" s="1303"/>
      <c r="CC99" s="1303"/>
      <c r="CD99" s="1303"/>
      <c r="CE99" s="1303"/>
      <c r="CF99" s="1303"/>
      <c r="CG99" s="1303"/>
      <c r="CH99" s="1303"/>
      <c r="CI99" s="1303"/>
      <c r="CJ99" s="1303"/>
      <c r="CK99" s="1303"/>
      <c r="CL99" s="1303"/>
      <c r="CM99" s="1303"/>
      <c r="CN99" s="1303"/>
      <c r="CO99" s="1303"/>
      <c r="CP99" s="1303"/>
      <c r="CQ99" s="1303"/>
      <c r="CR99" s="1303"/>
      <c r="CS99" s="1303"/>
      <c r="CT99" s="1303"/>
      <c r="CU99" s="1303"/>
      <c r="CV99" s="1303"/>
      <c r="CW99" s="1303"/>
      <c r="CX99" s="1303"/>
      <c r="CY99" s="1303"/>
      <c r="CZ99" s="1303"/>
      <c r="DA99" s="1303"/>
      <c r="DB99" s="1303"/>
      <c r="DC99" s="1303"/>
      <c r="DD99" s="1303"/>
      <c r="DE99" s="1303"/>
      <c r="DF99" s="1303"/>
      <c r="DG99" s="1303"/>
      <c r="DH99" s="1303"/>
      <c r="DI99" s="1303"/>
      <c r="DJ99" s="1303"/>
      <c r="DK99" s="1303"/>
      <c r="DL99" s="1303"/>
      <c r="DM99" s="1303"/>
      <c r="DN99" s="1303"/>
      <c r="DO99" s="1303"/>
      <c r="DP99" s="1303"/>
      <c r="DQ99" s="1303"/>
      <c r="DR99" s="1303"/>
      <c r="DS99" s="1303"/>
      <c r="DT99" s="1303"/>
      <c r="DU99" s="1303"/>
      <c r="DV99" s="1303"/>
      <c r="DW99" s="1303"/>
      <c r="DX99" s="1303"/>
      <c r="DY99" s="1303"/>
      <c r="DZ99" s="1303"/>
      <c r="EA99" s="1303"/>
      <c r="EB99" s="1303"/>
      <c r="EC99" s="1303"/>
      <c r="ED99" s="1303"/>
      <c r="EE99" s="1303"/>
      <c r="EF99" s="1303"/>
      <c r="EG99" s="1303"/>
      <c r="EH99" s="1303"/>
      <c r="EI99" s="1303"/>
      <c r="EJ99" s="1303"/>
      <c r="EK99" s="1303"/>
      <c r="EL99" s="1303"/>
      <c r="EM99" s="1303"/>
      <c r="EN99" s="1303"/>
      <c r="EO99" s="1303"/>
      <c r="EP99" s="1303"/>
      <c r="EQ99" s="1303"/>
      <c r="ER99" s="1303"/>
      <c r="ES99" s="1303"/>
      <c r="ET99" s="1303"/>
      <c r="EU99" s="1303"/>
      <c r="EV99" s="1303"/>
      <c r="EW99" s="1303"/>
      <c r="EX99" s="1303"/>
      <c r="EY99" s="1303"/>
      <c r="EZ99" s="1303"/>
      <c r="FA99" s="1303"/>
      <c r="FB99" s="1303"/>
      <c r="FC99" s="1303"/>
      <c r="FD99" s="1303"/>
      <c r="FE99" s="1303"/>
      <c r="FF99" s="1303"/>
      <c r="FG99" s="1303"/>
      <c r="FH99" s="1303"/>
      <c r="FI99" s="1303"/>
      <c r="FJ99" s="1303"/>
      <c r="FK99" s="1303"/>
      <c r="FL99" s="1303"/>
      <c r="FM99" s="1303"/>
      <c r="FN99" s="1303"/>
      <c r="FO99" s="1303"/>
      <c r="FP99" s="1303"/>
      <c r="FQ99" s="1303"/>
      <c r="FR99" s="1303"/>
      <c r="FS99" s="1303"/>
      <c r="FT99" s="1303"/>
      <c r="FU99" s="1303"/>
      <c r="FV99" s="1303"/>
      <c r="FW99" s="1303"/>
      <c r="FX99" s="1303"/>
      <c r="FY99" s="1303"/>
      <c r="FZ99" s="1303"/>
      <c r="GA99" s="1303"/>
      <c r="GB99" s="1303"/>
      <c r="GC99" s="1303"/>
      <c r="GD99" s="1303"/>
      <c r="GE99" s="1303"/>
      <c r="GF99" s="1303"/>
      <c r="GG99" s="1303"/>
      <c r="GH99" s="1303"/>
      <c r="GI99" s="1303"/>
      <c r="GJ99" s="1303"/>
      <c r="GK99" s="1303"/>
    </row>
    <row r="100" spans="1:193" s="1015" customFormat="1" ht="18" customHeight="1">
      <c r="J100" s="1176"/>
      <c r="K100" s="1176"/>
      <c r="L100" s="1039"/>
      <c r="M100" s="1039"/>
      <c r="N100" s="1039"/>
      <c r="O100" s="1039"/>
      <c r="P100" s="1039"/>
      <c r="Q100" s="1039"/>
      <c r="R100" s="1041"/>
      <c r="S100" s="1041"/>
      <c r="T100" s="1041"/>
      <c r="U100" s="1041"/>
      <c r="V100" s="1041"/>
      <c r="W100" s="1041"/>
      <c r="X100" s="1041"/>
      <c r="Y100" s="1041"/>
      <c r="Z100" s="1041"/>
      <c r="AA100" s="1041"/>
      <c r="AB100" s="1041"/>
      <c r="AC100" s="1041"/>
      <c r="AD100" s="1041"/>
      <c r="AE100" s="1041"/>
      <c r="AF100" s="1040"/>
      <c r="AG100" s="1040"/>
      <c r="AH100" s="1040"/>
      <c r="AI100" s="1042"/>
      <c r="AJ100" s="1042"/>
      <c r="AK100" s="1042"/>
      <c r="AL100" s="1042"/>
      <c r="AM100" s="1042"/>
      <c r="AN100" s="1042"/>
      <c r="AO100" s="1042"/>
      <c r="AP100" s="1041"/>
      <c r="AQ100" s="1041"/>
      <c r="AR100" s="1041"/>
      <c r="AS100" s="1042"/>
      <c r="AT100" s="1042"/>
      <c r="AU100" s="1176"/>
      <c r="AV100" s="1176"/>
      <c r="CF100" s="1176"/>
      <c r="CG100" s="1043"/>
      <c r="CH100" s="1043"/>
      <c r="CI100" s="1043"/>
      <c r="CJ100" s="1043"/>
      <c r="CK100" s="1043"/>
      <c r="CL100" s="1043"/>
      <c r="CM100" s="1043"/>
      <c r="CN100" s="1043"/>
      <c r="CO100" s="1044"/>
      <c r="CP100" s="1043"/>
      <c r="CQ100" s="1043"/>
      <c r="CR100" s="1043"/>
      <c r="CS100" s="1043"/>
      <c r="CT100" s="1043"/>
      <c r="CU100" s="1044"/>
      <c r="CV100" s="1043"/>
      <c r="CW100" s="1043"/>
      <c r="CX100" s="1043"/>
      <c r="CY100" s="1043"/>
      <c r="CZ100" s="1043"/>
      <c r="DA100" s="1043"/>
      <c r="DB100" s="1043"/>
      <c r="DC100" s="1043"/>
      <c r="DD100" s="1313">
        <f t="shared" ref="DD100:DJ100" si="357">SUM(DD8:DD98)</f>
        <v>6109428240.5199986</v>
      </c>
      <c r="DE100" s="1313">
        <f t="shared" si="357"/>
        <v>466492290.74000001</v>
      </c>
      <c r="DF100" s="1313">
        <f t="shared" si="357"/>
        <v>1579287437.5261855</v>
      </c>
      <c r="DG100" s="1313">
        <f t="shared" si="357"/>
        <v>709720790.10000002</v>
      </c>
      <c r="DH100" s="1313">
        <f t="shared" si="357"/>
        <v>2639173.4499999997</v>
      </c>
      <c r="DI100" s="1313">
        <f t="shared" si="357"/>
        <v>5977619.4900000002</v>
      </c>
      <c r="DJ100" s="1313">
        <f t="shared" si="357"/>
        <v>5182991.8100000005</v>
      </c>
      <c r="DK100" s="1043"/>
      <c r="DL100" s="1043"/>
      <c r="DM100" s="1043"/>
      <c r="DN100" s="1313">
        <f>SUM(DN8:DN98)</f>
        <v>316743283.69466907</v>
      </c>
      <c r="DO100" s="1313">
        <f>SUM(DO8:DO98)</f>
        <v>117517185.30533089</v>
      </c>
      <c r="DP100" s="1176"/>
      <c r="DQ100" s="1314">
        <f t="shared" ref="DQ100:EZ100" si="358">SUM(DQ8:DQ98)</f>
        <v>526370162.8535161</v>
      </c>
      <c r="DR100" s="1315">
        <f t="shared" si="358"/>
        <v>188790.77500000002</v>
      </c>
      <c r="DS100" s="1315">
        <f t="shared" si="358"/>
        <v>635283.54755000013</v>
      </c>
      <c r="DT100" s="1315">
        <f t="shared" si="358"/>
        <v>769557.52835000004</v>
      </c>
      <c r="DU100" s="1315">
        <f t="shared" si="358"/>
        <v>1823951.0483999997</v>
      </c>
      <c r="DV100" s="1315">
        <f t="shared" si="358"/>
        <v>3894883.9020000002</v>
      </c>
      <c r="DW100" s="1315">
        <f t="shared" si="358"/>
        <v>3992229.0845780973</v>
      </c>
      <c r="DX100" s="1315">
        <f t="shared" si="358"/>
        <v>41477070.051932268</v>
      </c>
      <c r="DY100" s="1315">
        <f t="shared" si="358"/>
        <v>241919.6868</v>
      </c>
      <c r="DZ100" s="1315">
        <f t="shared" si="358"/>
        <v>0</v>
      </c>
      <c r="EA100" s="1315">
        <f t="shared" si="358"/>
        <v>0</v>
      </c>
      <c r="EB100" s="1315">
        <f t="shared" si="358"/>
        <v>23937882.034366395</v>
      </c>
      <c r="EC100" s="1315">
        <f t="shared" si="358"/>
        <v>2626268.9105241452</v>
      </c>
      <c r="ED100" s="1315">
        <f t="shared" si="358"/>
        <v>183787.80460377396</v>
      </c>
      <c r="EE100" s="1315">
        <f t="shared" si="358"/>
        <v>216699.24638526895</v>
      </c>
      <c r="EF100" s="1315">
        <f t="shared" si="358"/>
        <v>87873991.795395494</v>
      </c>
      <c r="EG100" s="1315">
        <f t="shared" si="358"/>
        <v>6599661.9345695209</v>
      </c>
      <c r="EH100" s="1315">
        <f t="shared" si="358"/>
        <v>0</v>
      </c>
      <c r="EI100" s="1315">
        <f t="shared" si="358"/>
        <v>9687630.6680035144</v>
      </c>
      <c r="EJ100" s="1315">
        <f t="shared" si="358"/>
        <v>27818920.534022976</v>
      </c>
      <c r="EK100" s="1315">
        <f t="shared" si="358"/>
        <v>0</v>
      </c>
      <c r="EL100" s="1315">
        <f t="shared" si="358"/>
        <v>0</v>
      </c>
      <c r="EM100" s="1315">
        <f t="shared" si="358"/>
        <v>0</v>
      </c>
      <c r="EN100" s="1315">
        <f t="shared" si="358"/>
        <v>197875345.48923635</v>
      </c>
      <c r="EO100" s="1315">
        <f t="shared" si="358"/>
        <v>12044039.067187997</v>
      </c>
      <c r="EP100" s="1315">
        <f t="shared" si="358"/>
        <v>110735158.19766507</v>
      </c>
      <c r="EQ100" s="1315">
        <f t="shared" si="358"/>
        <v>87393532.668368533</v>
      </c>
      <c r="ER100" s="1315">
        <f t="shared" si="358"/>
        <v>635212.88290373783</v>
      </c>
      <c r="ES100" s="1315">
        <f t="shared" si="358"/>
        <v>330678.47505137866</v>
      </c>
      <c r="ET100" s="1315">
        <f t="shared" si="358"/>
        <v>108163.20567328748</v>
      </c>
      <c r="EU100" s="1315">
        <f t="shared" si="358"/>
        <v>0</v>
      </c>
      <c r="EV100" s="1315">
        <f t="shared" si="358"/>
        <v>0</v>
      </c>
      <c r="EW100" s="1315">
        <f t="shared" si="358"/>
        <v>0</v>
      </c>
      <c r="EX100" s="1315">
        <f t="shared" si="358"/>
        <v>6729320.1876595058</v>
      </c>
      <c r="EY100" s="1315">
        <f t="shared" si="358"/>
        <v>0</v>
      </c>
      <c r="EZ100" s="1315">
        <f t="shared" si="358"/>
        <v>1154190141.5936508</v>
      </c>
      <c r="FA100" s="1176"/>
      <c r="FB100" s="1315">
        <f t="shared" ref="FB100:GK100" si="359">SUM(FB8:FB98)</f>
        <v>525357885.93104708</v>
      </c>
      <c r="FC100" s="1315">
        <f t="shared" si="359"/>
        <v>188790.77500000002</v>
      </c>
      <c r="FD100" s="1315">
        <f t="shared" si="359"/>
        <v>632989.93500000006</v>
      </c>
      <c r="FE100" s="1315">
        <f t="shared" si="359"/>
        <v>767919.12</v>
      </c>
      <c r="FF100" s="1315">
        <f t="shared" si="359"/>
        <v>1820559.9574999998</v>
      </c>
      <c r="FG100" s="1315">
        <f t="shared" si="359"/>
        <v>3888897.4275000007</v>
      </c>
      <c r="FH100" s="1315">
        <f t="shared" si="359"/>
        <v>4021512.8985677976</v>
      </c>
      <c r="FI100" s="1315">
        <f t="shared" si="359"/>
        <v>43993674.716097094</v>
      </c>
      <c r="FJ100" s="1315">
        <f t="shared" si="359"/>
        <v>244363.32</v>
      </c>
      <c r="FK100" s="1315">
        <f t="shared" si="359"/>
        <v>0</v>
      </c>
      <c r="FL100" s="1315">
        <f t="shared" si="359"/>
        <v>0</v>
      </c>
      <c r="FM100" s="1315">
        <f t="shared" si="359"/>
        <v>24736830.671528168</v>
      </c>
      <c r="FN100" s="1315">
        <f t="shared" si="359"/>
        <v>2573166.0274874493</v>
      </c>
      <c r="FO100" s="1315">
        <f t="shared" si="359"/>
        <v>180051.18218800004</v>
      </c>
      <c r="FP100" s="1315">
        <f t="shared" si="359"/>
        <v>210820.62546787705</v>
      </c>
      <c r="FQ100" s="1315">
        <f t="shared" si="359"/>
        <v>89797812.402597144</v>
      </c>
      <c r="FR100" s="1315">
        <f t="shared" si="359"/>
        <v>6274820.3661509743</v>
      </c>
      <c r="FS100" s="1315">
        <f t="shared" si="359"/>
        <v>0</v>
      </c>
      <c r="FT100" s="1315">
        <f t="shared" si="359"/>
        <v>9720926.096256908</v>
      </c>
      <c r="FU100" s="1315">
        <f t="shared" si="359"/>
        <v>27218377.720601287</v>
      </c>
      <c r="FV100" s="1315">
        <f t="shared" si="359"/>
        <v>0</v>
      </c>
      <c r="FW100" s="1315">
        <f t="shared" si="359"/>
        <v>0</v>
      </c>
      <c r="FX100" s="1315">
        <f t="shared" si="359"/>
        <v>0</v>
      </c>
      <c r="FY100" s="1315">
        <f t="shared" si="359"/>
        <v>187654343.99057373</v>
      </c>
      <c r="FZ100" s="1315">
        <f t="shared" si="359"/>
        <v>11904535.047948662</v>
      </c>
      <c r="GA100" s="1315">
        <f t="shared" si="359"/>
        <v>98727537.995266795</v>
      </c>
      <c r="GB100" s="1315">
        <f t="shared" si="359"/>
        <v>87393532.668368533</v>
      </c>
      <c r="GC100" s="1315">
        <f t="shared" si="359"/>
        <v>619060.35940447799</v>
      </c>
      <c r="GD100" s="1315">
        <f t="shared" si="359"/>
        <v>312043.80895159004</v>
      </c>
      <c r="GE100" s="1315">
        <f t="shared" si="359"/>
        <v>105068.7888652788</v>
      </c>
      <c r="GF100" s="1315">
        <f t="shared" si="359"/>
        <v>0</v>
      </c>
      <c r="GG100" s="1315">
        <f t="shared" si="359"/>
        <v>0</v>
      </c>
      <c r="GH100" s="1315">
        <f t="shared" si="359"/>
        <v>0</v>
      </c>
      <c r="GI100" s="1315">
        <f t="shared" si="359"/>
        <v>5917770.5979761155</v>
      </c>
      <c r="GJ100" s="1315">
        <f t="shared" si="359"/>
        <v>0</v>
      </c>
      <c r="GK100" s="1315">
        <f t="shared" si="359"/>
        <v>1134263292.4303448</v>
      </c>
    </row>
    <row r="101" spans="1:193" s="1015" customFormat="1" ht="18" customHeight="1">
      <c r="AI101" s="1045"/>
      <c r="AJ101" s="1045"/>
      <c r="AK101" s="1045"/>
      <c r="AL101" s="1045"/>
      <c r="AM101" s="1045"/>
      <c r="AN101" s="1045"/>
      <c r="AO101" s="1045"/>
      <c r="AS101" s="1045"/>
      <c r="AT101" s="1045"/>
      <c r="DD101" s="1044"/>
      <c r="DH101" s="1046"/>
    </row>
    <row r="102" spans="1:193" s="1015" customFormat="1">
      <c r="AI102" s="1045"/>
      <c r="AJ102" s="1045"/>
      <c r="AK102" s="1045"/>
      <c r="AL102" s="1045"/>
      <c r="AM102" s="1045"/>
      <c r="AN102" s="1045"/>
      <c r="AO102" s="1045"/>
      <c r="AS102" s="1045"/>
      <c r="AT102" s="1045"/>
      <c r="DH102" s="1046"/>
    </row>
    <row r="103" spans="1:193" s="1015" customFormat="1"/>
    <row r="104" spans="1:193" s="1015" customFormat="1">
      <c r="DH104" s="1046"/>
    </row>
    <row r="105" spans="1:193" s="1015" customFormat="1">
      <c r="DH105" s="1046"/>
    </row>
    <row r="106" spans="1:193" s="1015" customFormat="1">
      <c r="DH106" s="1046"/>
    </row>
    <row r="107" spans="1:193" s="1015" customFormat="1">
      <c r="DH107" s="1046"/>
      <c r="DQ107" s="1198">
        <f>VLOOKUP('Model update'!$B$6,'Model update'!$I$16:$J$20,2,FALSE)</f>
        <v>365</v>
      </c>
      <c r="DR107" s="1015">
        <f t="shared" ref="DR107:DW107" si="360">$DQ107</f>
        <v>365</v>
      </c>
      <c r="DS107" s="1015">
        <f t="shared" si="360"/>
        <v>365</v>
      </c>
      <c r="DT107" s="1015">
        <f t="shared" si="360"/>
        <v>365</v>
      </c>
      <c r="DU107" s="1015">
        <f t="shared" si="360"/>
        <v>365</v>
      </c>
      <c r="DV107" s="1015">
        <f t="shared" si="360"/>
        <v>365</v>
      </c>
      <c r="DW107" s="1015">
        <f t="shared" si="360"/>
        <v>365</v>
      </c>
      <c r="DX107" s="1200">
        <v>12</v>
      </c>
      <c r="DY107" s="1200">
        <v>9</v>
      </c>
      <c r="DZ107" s="1200">
        <v>9</v>
      </c>
      <c r="EA107" s="1200">
        <v>9</v>
      </c>
      <c r="EB107" s="1200">
        <v>1</v>
      </c>
      <c r="EC107" s="1200">
        <v>1</v>
      </c>
      <c r="ED107" s="1200">
        <v>1</v>
      </c>
      <c r="EE107" s="1200">
        <v>1</v>
      </c>
      <c r="EF107" s="1200">
        <v>1</v>
      </c>
      <c r="EG107" s="1200">
        <v>1</v>
      </c>
      <c r="EH107" s="1200">
        <v>1</v>
      </c>
      <c r="EI107" s="1200">
        <v>1</v>
      </c>
      <c r="EJ107" s="1200">
        <v>1</v>
      </c>
      <c r="EK107" s="1200">
        <v>1</v>
      </c>
      <c r="EL107" s="1200">
        <v>1</v>
      </c>
      <c r="EM107" s="1200">
        <v>1</v>
      </c>
      <c r="EN107" s="1200">
        <v>1</v>
      </c>
      <c r="EO107" s="1200">
        <v>1</v>
      </c>
      <c r="EP107" s="1200">
        <v>1</v>
      </c>
      <c r="EQ107" s="1200">
        <v>1</v>
      </c>
      <c r="ER107" s="1200">
        <v>1</v>
      </c>
      <c r="ES107" s="1200">
        <v>1</v>
      </c>
      <c r="ET107" s="1200">
        <v>1</v>
      </c>
      <c r="EU107" s="1200">
        <v>1</v>
      </c>
      <c r="EV107" s="1200">
        <v>1</v>
      </c>
      <c r="EW107" s="1200">
        <v>1</v>
      </c>
      <c r="EX107" s="1200">
        <v>1</v>
      </c>
      <c r="EY107" s="1200">
        <v>1</v>
      </c>
      <c r="FB107" s="1201">
        <f t="shared" ref="FB107:FJ107" si="361">DQ107</f>
        <v>365</v>
      </c>
      <c r="FC107" s="1201">
        <f t="shared" si="361"/>
        <v>365</v>
      </c>
      <c r="FD107" s="1201">
        <f t="shared" si="361"/>
        <v>365</v>
      </c>
      <c r="FE107" s="1201">
        <f t="shared" si="361"/>
        <v>365</v>
      </c>
      <c r="FF107" s="1201">
        <f t="shared" si="361"/>
        <v>365</v>
      </c>
      <c r="FG107" s="1201">
        <f t="shared" si="361"/>
        <v>365</v>
      </c>
      <c r="FH107" s="1201">
        <f t="shared" si="361"/>
        <v>365</v>
      </c>
      <c r="FI107" s="1201">
        <f t="shared" si="361"/>
        <v>12</v>
      </c>
      <c r="FJ107" s="1201">
        <f t="shared" si="361"/>
        <v>9</v>
      </c>
      <c r="FK107" s="1201">
        <f t="shared" ref="FK107:FL107" si="362">DZ107</f>
        <v>9</v>
      </c>
      <c r="FL107" s="1201">
        <f t="shared" si="362"/>
        <v>9</v>
      </c>
      <c r="FM107" s="1201">
        <f t="shared" ref="FM107:GE107" si="363">EB107</f>
        <v>1</v>
      </c>
      <c r="FN107" s="1201">
        <f t="shared" si="363"/>
        <v>1</v>
      </c>
      <c r="FO107" s="1201">
        <f t="shared" si="363"/>
        <v>1</v>
      </c>
      <c r="FP107" s="1201">
        <f t="shared" si="363"/>
        <v>1</v>
      </c>
      <c r="FQ107" s="1201">
        <f t="shared" si="363"/>
        <v>1</v>
      </c>
      <c r="FR107" s="1201">
        <f t="shared" si="363"/>
        <v>1</v>
      </c>
      <c r="FS107" s="1201">
        <f t="shared" si="363"/>
        <v>1</v>
      </c>
      <c r="FT107" s="1201">
        <f t="shared" si="363"/>
        <v>1</v>
      </c>
      <c r="FU107" s="1201">
        <f t="shared" si="363"/>
        <v>1</v>
      </c>
      <c r="FV107" s="1201">
        <f t="shared" si="363"/>
        <v>1</v>
      </c>
      <c r="FW107" s="1201">
        <f t="shared" si="363"/>
        <v>1</v>
      </c>
      <c r="FX107" s="1201">
        <f t="shared" si="363"/>
        <v>1</v>
      </c>
      <c r="FY107" s="1201">
        <f t="shared" si="363"/>
        <v>1</v>
      </c>
      <c r="FZ107" s="1201">
        <f t="shared" si="363"/>
        <v>1</v>
      </c>
      <c r="GA107" s="1201">
        <f t="shared" si="363"/>
        <v>1</v>
      </c>
      <c r="GB107" s="1201">
        <f t="shared" si="363"/>
        <v>1</v>
      </c>
      <c r="GC107" s="1201">
        <f t="shared" si="363"/>
        <v>1</v>
      </c>
      <c r="GD107" s="1201">
        <f t="shared" si="363"/>
        <v>1</v>
      </c>
      <c r="GE107" s="1201">
        <f t="shared" si="363"/>
        <v>1</v>
      </c>
      <c r="GF107" s="1201">
        <f t="shared" ref="GF107:GH107" si="364">EU107</f>
        <v>1</v>
      </c>
      <c r="GG107" s="1201">
        <f t="shared" si="364"/>
        <v>1</v>
      </c>
      <c r="GH107" s="1201">
        <f t="shared" si="364"/>
        <v>1</v>
      </c>
      <c r="GI107" s="1201">
        <f t="shared" ref="GI107" si="365">EX107</f>
        <v>1</v>
      </c>
      <c r="GJ107" s="1201">
        <f t="shared" ref="GJ107" si="366">EY107</f>
        <v>1</v>
      </c>
    </row>
    <row r="108" spans="1:193" s="1015" customFormat="1">
      <c r="DH108" s="1046"/>
    </row>
    <row r="109" spans="1:193" s="1015" customFormat="1">
      <c r="DH109" s="1046"/>
    </row>
    <row r="110" spans="1:193" s="1015" customFormat="1" ht="13.8">
      <c r="L110" s="1232"/>
      <c r="S110" s="1232"/>
      <c r="T110" s="1232"/>
      <c r="W110" s="1232"/>
      <c r="Z110" s="1232"/>
      <c r="AI110" s="1232"/>
      <c r="CN110" s="1232"/>
      <c r="CR110" s="1232"/>
      <c r="DD110" s="1232"/>
      <c r="DH110" s="1046"/>
    </row>
    <row r="111" spans="1:193" s="1015" customFormat="1" ht="13.8">
      <c r="L111" s="1232"/>
    </row>
    <row r="112" spans="1:193" s="1015" customFormat="1">
      <c r="DH112" s="1046"/>
    </row>
    <row r="113" spans="13:112" s="1015" customFormat="1">
      <c r="DH113" s="1046"/>
    </row>
    <row r="114" spans="13:112" s="1015" customFormat="1">
      <c r="DH114" s="1046"/>
    </row>
    <row r="115" spans="13:112" s="1015" customFormat="1">
      <c r="M115" s="1235"/>
      <c r="N115" s="1235"/>
      <c r="O115" s="1235"/>
      <c r="P115" s="1235"/>
      <c r="Q115" s="1235"/>
      <c r="CH115" s="1235"/>
      <c r="CI115" s="1235"/>
      <c r="CJ115" s="1235"/>
      <c r="CK115" s="1235"/>
      <c r="CL115" s="1235"/>
      <c r="DH115" s="1046"/>
    </row>
  </sheetData>
  <autoFilter ref="A5:GK98" xr:uid="{DFB4019F-E084-4011-90A9-EF61EE240A9F}"/>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131" max="1048575" man="1"/>
    <brk id="193"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pageSetUpPr fitToPage="1"/>
  </sheetPr>
  <dimension ref="A1:AC76"/>
  <sheetViews>
    <sheetView zoomScale="90" zoomScaleNormal="90" workbookViewId="0">
      <selection activeCell="F20" sqref="F20"/>
    </sheetView>
  </sheetViews>
  <sheetFormatPr defaultRowHeight="13.2"/>
  <cols>
    <col min="1" max="1" width="5.44140625" style="139" customWidth="1"/>
    <col min="2" max="2" width="71.44140625" style="176" customWidth="1"/>
    <col min="3" max="4" width="18.6640625" style="141" customWidth="1"/>
    <col min="5" max="5" width="18.6640625" style="143" customWidth="1"/>
    <col min="6" max="6" width="14.88671875" style="143" customWidth="1"/>
    <col min="7" max="7" width="23.33203125" style="143" bestFit="1" customWidth="1"/>
    <col min="8" max="8" width="16.5546875" style="143" customWidth="1"/>
    <col min="9" max="9" width="14.33203125" style="143" customWidth="1"/>
    <col min="10" max="10" width="15.33203125" style="144" customWidth="1"/>
    <col min="11" max="11" width="14.6640625" style="144" customWidth="1"/>
    <col min="12" max="12" width="15.6640625" style="143" customWidth="1"/>
    <col min="13" max="13" width="12" style="143" bestFit="1" customWidth="1"/>
    <col min="14" max="17" width="9.109375" style="143" customWidth="1"/>
    <col min="18" max="21" width="9.109375" style="143"/>
    <col min="22" max="22" width="9.109375" style="143" customWidth="1"/>
    <col min="23" max="256" width="9.109375" style="143"/>
    <col min="257" max="257" width="2.6640625" style="143" customWidth="1"/>
    <col min="258" max="258" width="114.44140625" style="143" customWidth="1"/>
    <col min="259" max="259" width="0" style="143" hidden="1" customWidth="1"/>
    <col min="260" max="260" width="27.5546875" style="143" customWidth="1"/>
    <col min="261" max="261" width="20" style="143" customWidth="1"/>
    <col min="262" max="262" width="18.33203125" style="143" customWidth="1"/>
    <col min="263" max="263" width="20.109375" style="143" customWidth="1"/>
    <col min="264" max="264" width="10.6640625" style="143" customWidth="1"/>
    <col min="265" max="265" width="14.44140625" style="143" bestFit="1" customWidth="1"/>
    <col min="266" max="266" width="10.6640625" style="143" customWidth="1"/>
    <col min="267" max="267" width="12.6640625" style="143" bestFit="1" customWidth="1"/>
    <col min="268" max="270" width="8.44140625" style="143" customWidth="1"/>
    <col min="271" max="273" width="13" style="143" customWidth="1"/>
    <col min="274" max="277" width="9.109375" style="143"/>
    <col min="278" max="278" width="8.6640625" style="143" customWidth="1"/>
    <col min="279" max="512" width="9.109375" style="143"/>
    <col min="513" max="513" width="2.6640625" style="143" customWidth="1"/>
    <col min="514" max="514" width="114.44140625" style="143" customWidth="1"/>
    <col min="515" max="515" width="0" style="143" hidden="1" customWidth="1"/>
    <col min="516" max="516" width="27.5546875" style="143" customWidth="1"/>
    <col min="517" max="517" width="20" style="143" customWidth="1"/>
    <col min="518" max="518" width="18.33203125" style="143" customWidth="1"/>
    <col min="519" max="519" width="20.109375" style="143" customWidth="1"/>
    <col min="520" max="520" width="10.6640625" style="143" customWidth="1"/>
    <col min="521" max="521" width="14.44140625" style="143" bestFit="1" customWidth="1"/>
    <col min="522" max="522" width="10.6640625" style="143" customWidth="1"/>
    <col min="523" max="523" width="12.6640625" style="143" bestFit="1" customWidth="1"/>
    <col min="524" max="526" width="8.44140625" style="143" customWidth="1"/>
    <col min="527" max="529" width="13" style="143" customWidth="1"/>
    <col min="530" max="533" width="9.109375" style="143"/>
    <col min="534" max="534" width="8.6640625" style="143" customWidth="1"/>
    <col min="535" max="768" width="9.109375" style="143"/>
    <col min="769" max="769" width="2.6640625" style="143" customWidth="1"/>
    <col min="770" max="770" width="114.44140625" style="143" customWidth="1"/>
    <col min="771" max="771" width="0" style="143" hidden="1" customWidth="1"/>
    <col min="772" max="772" width="27.5546875" style="143" customWidth="1"/>
    <col min="773" max="773" width="20" style="143" customWidth="1"/>
    <col min="774" max="774" width="18.33203125" style="143" customWidth="1"/>
    <col min="775" max="775" width="20.109375" style="143" customWidth="1"/>
    <col min="776" max="776" width="10.6640625" style="143" customWidth="1"/>
    <col min="777" max="777" width="14.44140625" style="143" bestFit="1" customWidth="1"/>
    <col min="778" max="778" width="10.6640625" style="143" customWidth="1"/>
    <col min="779" max="779" width="12.6640625" style="143" bestFit="1" customWidth="1"/>
    <col min="780" max="782" width="8.44140625" style="143" customWidth="1"/>
    <col min="783" max="785" width="13" style="143" customWidth="1"/>
    <col min="786" max="789" width="9.109375" style="143"/>
    <col min="790" max="790" width="8.6640625" style="143" customWidth="1"/>
    <col min="791" max="1024" width="9.109375" style="143"/>
    <col min="1025" max="1025" width="2.6640625" style="143" customWidth="1"/>
    <col min="1026" max="1026" width="114.44140625" style="143" customWidth="1"/>
    <col min="1027" max="1027" width="0" style="143" hidden="1" customWidth="1"/>
    <col min="1028" max="1028" width="27.5546875" style="143" customWidth="1"/>
    <col min="1029" max="1029" width="20" style="143" customWidth="1"/>
    <col min="1030" max="1030" width="18.33203125" style="143" customWidth="1"/>
    <col min="1031" max="1031" width="20.109375" style="143" customWidth="1"/>
    <col min="1032" max="1032" width="10.6640625" style="143" customWidth="1"/>
    <col min="1033" max="1033" width="14.44140625" style="143" bestFit="1" customWidth="1"/>
    <col min="1034" max="1034" width="10.6640625" style="143" customWidth="1"/>
    <col min="1035" max="1035" width="12.6640625" style="143" bestFit="1" customWidth="1"/>
    <col min="1036" max="1038" width="8.44140625" style="143" customWidth="1"/>
    <col min="1039" max="1041" width="13" style="143" customWidth="1"/>
    <col min="1042" max="1045" width="9.109375" style="143"/>
    <col min="1046" max="1046" width="8.6640625" style="143" customWidth="1"/>
    <col min="1047" max="1280" width="9.109375" style="143"/>
    <col min="1281" max="1281" width="2.6640625" style="143" customWidth="1"/>
    <col min="1282" max="1282" width="114.44140625" style="143" customWidth="1"/>
    <col min="1283" max="1283" width="0" style="143" hidden="1" customWidth="1"/>
    <col min="1284" max="1284" width="27.5546875" style="143" customWidth="1"/>
    <col min="1285" max="1285" width="20" style="143" customWidth="1"/>
    <col min="1286" max="1286" width="18.33203125" style="143" customWidth="1"/>
    <col min="1287" max="1287" width="20.109375" style="143" customWidth="1"/>
    <col min="1288" max="1288" width="10.6640625" style="143" customWidth="1"/>
    <col min="1289" max="1289" width="14.44140625" style="143" bestFit="1" customWidth="1"/>
    <col min="1290" max="1290" width="10.6640625" style="143" customWidth="1"/>
    <col min="1291" max="1291" width="12.6640625" style="143" bestFit="1" customWidth="1"/>
    <col min="1292" max="1294" width="8.44140625" style="143" customWidth="1"/>
    <col min="1295" max="1297" width="13" style="143" customWidth="1"/>
    <col min="1298" max="1301" width="9.109375" style="143"/>
    <col min="1302" max="1302" width="8.6640625" style="143" customWidth="1"/>
    <col min="1303" max="1536" width="9.109375" style="143"/>
    <col min="1537" max="1537" width="2.6640625" style="143" customWidth="1"/>
    <col min="1538" max="1538" width="114.44140625" style="143" customWidth="1"/>
    <col min="1539" max="1539" width="0" style="143" hidden="1" customWidth="1"/>
    <col min="1540" max="1540" width="27.5546875" style="143" customWidth="1"/>
    <col min="1541" max="1541" width="20" style="143" customWidth="1"/>
    <col min="1542" max="1542" width="18.33203125" style="143" customWidth="1"/>
    <col min="1543" max="1543" width="20.109375" style="143" customWidth="1"/>
    <col min="1544" max="1544" width="10.6640625" style="143" customWidth="1"/>
    <col min="1545" max="1545" width="14.44140625" style="143" bestFit="1" customWidth="1"/>
    <col min="1546" max="1546" width="10.6640625" style="143" customWidth="1"/>
    <col min="1547" max="1547" width="12.6640625" style="143" bestFit="1" customWidth="1"/>
    <col min="1548" max="1550" width="8.44140625" style="143" customWidth="1"/>
    <col min="1551" max="1553" width="13" style="143" customWidth="1"/>
    <col min="1554" max="1557" width="9.109375" style="143"/>
    <col min="1558" max="1558" width="8.6640625" style="143" customWidth="1"/>
    <col min="1559" max="1792" width="9.109375" style="143"/>
    <col min="1793" max="1793" width="2.6640625" style="143" customWidth="1"/>
    <col min="1794" max="1794" width="114.44140625" style="143" customWidth="1"/>
    <col min="1795" max="1795" width="0" style="143" hidden="1" customWidth="1"/>
    <col min="1796" max="1796" width="27.5546875" style="143" customWidth="1"/>
    <col min="1797" max="1797" width="20" style="143" customWidth="1"/>
    <col min="1798" max="1798" width="18.33203125" style="143" customWidth="1"/>
    <col min="1799" max="1799" width="20.109375" style="143" customWidth="1"/>
    <col min="1800" max="1800" width="10.6640625" style="143" customWidth="1"/>
    <col min="1801" max="1801" width="14.44140625" style="143" bestFit="1" customWidth="1"/>
    <col min="1802" max="1802" width="10.6640625" style="143" customWidth="1"/>
    <col min="1803" max="1803" width="12.6640625" style="143" bestFit="1" customWidth="1"/>
    <col min="1804" max="1806" width="8.44140625" style="143" customWidth="1"/>
    <col min="1807" max="1809" width="13" style="143" customWidth="1"/>
    <col min="1810" max="1813" width="9.109375" style="143"/>
    <col min="1814" max="1814" width="8.6640625" style="143" customWidth="1"/>
    <col min="1815" max="2048" width="9.109375" style="143"/>
    <col min="2049" max="2049" width="2.6640625" style="143" customWidth="1"/>
    <col min="2050" max="2050" width="114.44140625" style="143" customWidth="1"/>
    <col min="2051" max="2051" width="0" style="143" hidden="1" customWidth="1"/>
    <col min="2052" max="2052" width="27.5546875" style="143" customWidth="1"/>
    <col min="2053" max="2053" width="20" style="143" customWidth="1"/>
    <col min="2054" max="2054" width="18.33203125" style="143" customWidth="1"/>
    <col min="2055" max="2055" width="20.109375" style="143" customWidth="1"/>
    <col min="2056" max="2056" width="10.6640625" style="143" customWidth="1"/>
    <col min="2057" max="2057" width="14.44140625" style="143" bestFit="1" customWidth="1"/>
    <col min="2058" max="2058" width="10.6640625" style="143" customWidth="1"/>
    <col min="2059" max="2059" width="12.6640625" style="143" bestFit="1" customWidth="1"/>
    <col min="2060" max="2062" width="8.44140625" style="143" customWidth="1"/>
    <col min="2063" max="2065" width="13" style="143" customWidth="1"/>
    <col min="2066" max="2069" width="9.109375" style="143"/>
    <col min="2070" max="2070" width="8.6640625" style="143" customWidth="1"/>
    <col min="2071" max="2304" width="9.109375" style="143"/>
    <col min="2305" max="2305" width="2.6640625" style="143" customWidth="1"/>
    <col min="2306" max="2306" width="114.44140625" style="143" customWidth="1"/>
    <col min="2307" max="2307" width="0" style="143" hidden="1" customWidth="1"/>
    <col min="2308" max="2308" width="27.5546875" style="143" customWidth="1"/>
    <col min="2309" max="2309" width="20" style="143" customWidth="1"/>
    <col min="2310" max="2310" width="18.33203125" style="143" customWidth="1"/>
    <col min="2311" max="2311" width="20.109375" style="143" customWidth="1"/>
    <col min="2312" max="2312" width="10.6640625" style="143" customWidth="1"/>
    <col min="2313" max="2313" width="14.44140625" style="143" bestFit="1" customWidth="1"/>
    <col min="2314" max="2314" width="10.6640625" style="143" customWidth="1"/>
    <col min="2315" max="2315" width="12.6640625" style="143" bestFit="1" customWidth="1"/>
    <col min="2316" max="2318" width="8.44140625" style="143" customWidth="1"/>
    <col min="2319" max="2321" width="13" style="143" customWidth="1"/>
    <col min="2322" max="2325" width="9.109375" style="143"/>
    <col min="2326" max="2326" width="8.6640625" style="143" customWidth="1"/>
    <col min="2327" max="2560" width="9.109375" style="143"/>
    <col min="2561" max="2561" width="2.6640625" style="143" customWidth="1"/>
    <col min="2562" max="2562" width="114.44140625" style="143" customWidth="1"/>
    <col min="2563" max="2563" width="0" style="143" hidden="1" customWidth="1"/>
    <col min="2564" max="2564" width="27.5546875" style="143" customWidth="1"/>
    <col min="2565" max="2565" width="20" style="143" customWidth="1"/>
    <col min="2566" max="2566" width="18.33203125" style="143" customWidth="1"/>
    <col min="2567" max="2567" width="20.109375" style="143" customWidth="1"/>
    <col min="2568" max="2568" width="10.6640625" style="143" customWidth="1"/>
    <col min="2569" max="2569" width="14.44140625" style="143" bestFit="1" customWidth="1"/>
    <col min="2570" max="2570" width="10.6640625" style="143" customWidth="1"/>
    <col min="2571" max="2571" width="12.6640625" style="143" bestFit="1" customWidth="1"/>
    <col min="2572" max="2574" width="8.44140625" style="143" customWidth="1"/>
    <col min="2575" max="2577" width="13" style="143" customWidth="1"/>
    <col min="2578" max="2581" width="9.109375" style="143"/>
    <col min="2582" max="2582" width="8.6640625" style="143" customWidth="1"/>
    <col min="2583" max="2816" width="9.109375" style="143"/>
    <col min="2817" max="2817" width="2.6640625" style="143" customWidth="1"/>
    <col min="2818" max="2818" width="114.44140625" style="143" customWidth="1"/>
    <col min="2819" max="2819" width="0" style="143" hidden="1" customWidth="1"/>
    <col min="2820" max="2820" width="27.5546875" style="143" customWidth="1"/>
    <col min="2821" max="2821" width="20" style="143" customWidth="1"/>
    <col min="2822" max="2822" width="18.33203125" style="143" customWidth="1"/>
    <col min="2823" max="2823" width="20.109375" style="143" customWidth="1"/>
    <col min="2824" max="2824" width="10.6640625" style="143" customWidth="1"/>
    <col min="2825" max="2825" width="14.44140625" style="143" bestFit="1" customWidth="1"/>
    <col min="2826" max="2826" width="10.6640625" style="143" customWidth="1"/>
    <col min="2827" max="2827" width="12.6640625" style="143" bestFit="1" customWidth="1"/>
    <col min="2828" max="2830" width="8.44140625" style="143" customWidth="1"/>
    <col min="2831" max="2833" width="13" style="143" customWidth="1"/>
    <col min="2834" max="2837" width="9.109375" style="143"/>
    <col min="2838" max="2838" width="8.6640625" style="143" customWidth="1"/>
    <col min="2839" max="3072" width="9.109375" style="143"/>
    <col min="3073" max="3073" width="2.6640625" style="143" customWidth="1"/>
    <col min="3074" max="3074" width="114.44140625" style="143" customWidth="1"/>
    <col min="3075" max="3075" width="0" style="143" hidden="1" customWidth="1"/>
    <col min="3076" max="3076" width="27.5546875" style="143" customWidth="1"/>
    <col min="3077" max="3077" width="20" style="143" customWidth="1"/>
    <col min="3078" max="3078" width="18.33203125" style="143" customWidth="1"/>
    <col min="3079" max="3079" width="20.109375" style="143" customWidth="1"/>
    <col min="3080" max="3080" width="10.6640625" style="143" customWidth="1"/>
    <col min="3081" max="3081" width="14.44140625" style="143" bestFit="1" customWidth="1"/>
    <col min="3082" max="3082" width="10.6640625" style="143" customWidth="1"/>
    <col min="3083" max="3083" width="12.6640625" style="143" bestFit="1" customWidth="1"/>
    <col min="3084" max="3086" width="8.44140625" style="143" customWidth="1"/>
    <col min="3087" max="3089" width="13" style="143" customWidth="1"/>
    <col min="3090" max="3093" width="9.109375" style="143"/>
    <col min="3094" max="3094" width="8.6640625" style="143" customWidth="1"/>
    <col min="3095" max="3328" width="9.109375" style="143"/>
    <col min="3329" max="3329" width="2.6640625" style="143" customWidth="1"/>
    <col min="3330" max="3330" width="114.44140625" style="143" customWidth="1"/>
    <col min="3331" max="3331" width="0" style="143" hidden="1" customWidth="1"/>
    <col min="3332" max="3332" width="27.5546875" style="143" customWidth="1"/>
    <col min="3333" max="3333" width="20" style="143" customWidth="1"/>
    <col min="3334" max="3334" width="18.33203125" style="143" customWidth="1"/>
    <col min="3335" max="3335" width="20.109375" style="143" customWidth="1"/>
    <col min="3336" max="3336" width="10.6640625" style="143" customWidth="1"/>
    <col min="3337" max="3337" width="14.44140625" style="143" bestFit="1" customWidth="1"/>
    <col min="3338" max="3338" width="10.6640625" style="143" customWidth="1"/>
    <col min="3339" max="3339" width="12.6640625" style="143" bestFit="1" customWidth="1"/>
    <col min="3340" max="3342" width="8.44140625" style="143" customWidth="1"/>
    <col min="3343" max="3345" width="13" style="143" customWidth="1"/>
    <col min="3346" max="3349" width="9.109375" style="143"/>
    <col min="3350" max="3350" width="8.6640625" style="143" customWidth="1"/>
    <col min="3351" max="3584" width="9.109375" style="143"/>
    <col min="3585" max="3585" width="2.6640625" style="143" customWidth="1"/>
    <col min="3586" max="3586" width="114.44140625" style="143" customWidth="1"/>
    <col min="3587" max="3587" width="0" style="143" hidden="1" customWidth="1"/>
    <col min="3588" max="3588" width="27.5546875" style="143" customWidth="1"/>
    <col min="3589" max="3589" width="20" style="143" customWidth="1"/>
    <col min="3590" max="3590" width="18.33203125" style="143" customWidth="1"/>
    <col min="3591" max="3591" width="20.109375" style="143" customWidth="1"/>
    <col min="3592" max="3592" width="10.6640625" style="143" customWidth="1"/>
    <col min="3593" max="3593" width="14.44140625" style="143" bestFit="1" customWidth="1"/>
    <col min="3594" max="3594" width="10.6640625" style="143" customWidth="1"/>
    <col min="3595" max="3595" width="12.6640625" style="143" bestFit="1" customWidth="1"/>
    <col min="3596" max="3598" width="8.44140625" style="143" customWidth="1"/>
    <col min="3599" max="3601" width="13" style="143" customWidth="1"/>
    <col min="3602" max="3605" width="9.109375" style="143"/>
    <col min="3606" max="3606" width="8.6640625" style="143" customWidth="1"/>
    <col min="3607" max="3840" width="9.109375" style="143"/>
    <col min="3841" max="3841" width="2.6640625" style="143" customWidth="1"/>
    <col min="3842" max="3842" width="114.44140625" style="143" customWidth="1"/>
    <col min="3843" max="3843" width="0" style="143" hidden="1" customWidth="1"/>
    <col min="3844" max="3844" width="27.5546875" style="143" customWidth="1"/>
    <col min="3845" max="3845" width="20" style="143" customWidth="1"/>
    <col min="3846" max="3846" width="18.33203125" style="143" customWidth="1"/>
    <col min="3847" max="3847" width="20.109375" style="143" customWidth="1"/>
    <col min="3848" max="3848" width="10.6640625" style="143" customWidth="1"/>
    <col min="3849" max="3849" width="14.44140625" style="143" bestFit="1" customWidth="1"/>
    <col min="3850" max="3850" width="10.6640625" style="143" customWidth="1"/>
    <col min="3851" max="3851" width="12.6640625" style="143" bestFit="1" customWidth="1"/>
    <col min="3852" max="3854" width="8.44140625" style="143" customWidth="1"/>
    <col min="3855" max="3857" width="13" style="143" customWidth="1"/>
    <col min="3858" max="3861" width="9.109375" style="143"/>
    <col min="3862" max="3862" width="8.6640625" style="143" customWidth="1"/>
    <col min="3863" max="4096" width="9.109375" style="143"/>
    <col min="4097" max="4097" width="2.6640625" style="143" customWidth="1"/>
    <col min="4098" max="4098" width="114.44140625" style="143" customWidth="1"/>
    <col min="4099" max="4099" width="0" style="143" hidden="1" customWidth="1"/>
    <col min="4100" max="4100" width="27.5546875" style="143" customWidth="1"/>
    <col min="4101" max="4101" width="20" style="143" customWidth="1"/>
    <col min="4102" max="4102" width="18.33203125" style="143" customWidth="1"/>
    <col min="4103" max="4103" width="20.109375" style="143" customWidth="1"/>
    <col min="4104" max="4104" width="10.6640625" style="143" customWidth="1"/>
    <col min="4105" max="4105" width="14.44140625" style="143" bestFit="1" customWidth="1"/>
    <col min="4106" max="4106" width="10.6640625" style="143" customWidth="1"/>
    <col min="4107" max="4107" width="12.6640625" style="143" bestFit="1" customWidth="1"/>
    <col min="4108" max="4110" width="8.44140625" style="143" customWidth="1"/>
    <col min="4111" max="4113" width="13" style="143" customWidth="1"/>
    <col min="4114" max="4117" width="9.109375" style="143"/>
    <col min="4118" max="4118" width="8.6640625" style="143" customWidth="1"/>
    <col min="4119" max="4352" width="9.109375" style="143"/>
    <col min="4353" max="4353" width="2.6640625" style="143" customWidth="1"/>
    <col min="4354" max="4354" width="114.44140625" style="143" customWidth="1"/>
    <col min="4355" max="4355" width="0" style="143" hidden="1" customWidth="1"/>
    <col min="4356" max="4356" width="27.5546875" style="143" customWidth="1"/>
    <col min="4357" max="4357" width="20" style="143" customWidth="1"/>
    <col min="4358" max="4358" width="18.33203125" style="143" customWidth="1"/>
    <col min="4359" max="4359" width="20.109375" style="143" customWidth="1"/>
    <col min="4360" max="4360" width="10.6640625" style="143" customWidth="1"/>
    <col min="4361" max="4361" width="14.44140625" style="143" bestFit="1" customWidth="1"/>
    <col min="4362" max="4362" width="10.6640625" style="143" customWidth="1"/>
    <col min="4363" max="4363" width="12.6640625" style="143" bestFit="1" customWidth="1"/>
    <col min="4364" max="4366" width="8.44140625" style="143" customWidth="1"/>
    <col min="4367" max="4369" width="13" style="143" customWidth="1"/>
    <col min="4370" max="4373" width="9.109375" style="143"/>
    <col min="4374" max="4374" width="8.6640625" style="143" customWidth="1"/>
    <col min="4375" max="4608" width="9.109375" style="143"/>
    <col min="4609" max="4609" width="2.6640625" style="143" customWidth="1"/>
    <col min="4610" max="4610" width="114.44140625" style="143" customWidth="1"/>
    <col min="4611" max="4611" width="0" style="143" hidden="1" customWidth="1"/>
    <col min="4612" max="4612" width="27.5546875" style="143" customWidth="1"/>
    <col min="4613" max="4613" width="20" style="143" customWidth="1"/>
    <col min="4614" max="4614" width="18.33203125" style="143" customWidth="1"/>
    <col min="4615" max="4615" width="20.109375" style="143" customWidth="1"/>
    <col min="4616" max="4616" width="10.6640625" style="143" customWidth="1"/>
    <col min="4617" max="4617" width="14.44140625" style="143" bestFit="1" customWidth="1"/>
    <col min="4618" max="4618" width="10.6640625" style="143" customWidth="1"/>
    <col min="4619" max="4619" width="12.6640625" style="143" bestFit="1" customWidth="1"/>
    <col min="4620" max="4622" width="8.44140625" style="143" customWidth="1"/>
    <col min="4623" max="4625" width="13" style="143" customWidth="1"/>
    <col min="4626" max="4629" width="9.109375" style="143"/>
    <col min="4630" max="4630" width="8.6640625" style="143" customWidth="1"/>
    <col min="4631" max="4864" width="9.109375" style="143"/>
    <col min="4865" max="4865" width="2.6640625" style="143" customWidth="1"/>
    <col min="4866" max="4866" width="114.44140625" style="143" customWidth="1"/>
    <col min="4867" max="4867" width="0" style="143" hidden="1" customWidth="1"/>
    <col min="4868" max="4868" width="27.5546875" style="143" customWidth="1"/>
    <col min="4869" max="4869" width="20" style="143" customWidth="1"/>
    <col min="4870" max="4870" width="18.33203125" style="143" customWidth="1"/>
    <col min="4871" max="4871" width="20.109375" style="143" customWidth="1"/>
    <col min="4872" max="4872" width="10.6640625" style="143" customWidth="1"/>
    <col min="4873" max="4873" width="14.44140625" style="143" bestFit="1" customWidth="1"/>
    <col min="4874" max="4874" width="10.6640625" style="143" customWidth="1"/>
    <col min="4875" max="4875" width="12.6640625" style="143" bestFit="1" customWidth="1"/>
    <col min="4876" max="4878" width="8.44140625" style="143" customWidth="1"/>
    <col min="4879" max="4881" width="13" style="143" customWidth="1"/>
    <col min="4882" max="4885" width="9.109375" style="143"/>
    <col min="4886" max="4886" width="8.6640625" style="143" customWidth="1"/>
    <col min="4887" max="5120" width="9.109375" style="143"/>
    <col min="5121" max="5121" width="2.6640625" style="143" customWidth="1"/>
    <col min="5122" max="5122" width="114.44140625" style="143" customWidth="1"/>
    <col min="5123" max="5123" width="0" style="143" hidden="1" customWidth="1"/>
    <col min="5124" max="5124" width="27.5546875" style="143" customWidth="1"/>
    <col min="5125" max="5125" width="20" style="143" customWidth="1"/>
    <col min="5126" max="5126" width="18.33203125" style="143" customWidth="1"/>
    <col min="5127" max="5127" width="20.109375" style="143" customWidth="1"/>
    <col min="5128" max="5128" width="10.6640625" style="143" customWidth="1"/>
    <col min="5129" max="5129" width="14.44140625" style="143" bestFit="1" customWidth="1"/>
    <col min="5130" max="5130" width="10.6640625" style="143" customWidth="1"/>
    <col min="5131" max="5131" width="12.6640625" style="143" bestFit="1" customWidth="1"/>
    <col min="5132" max="5134" width="8.44140625" style="143" customWidth="1"/>
    <col min="5135" max="5137" width="13" style="143" customWidth="1"/>
    <col min="5138" max="5141" width="9.109375" style="143"/>
    <col min="5142" max="5142" width="8.6640625" style="143" customWidth="1"/>
    <col min="5143" max="5376" width="9.109375" style="143"/>
    <col min="5377" max="5377" width="2.6640625" style="143" customWidth="1"/>
    <col min="5378" max="5378" width="114.44140625" style="143" customWidth="1"/>
    <col min="5379" max="5379" width="0" style="143" hidden="1" customWidth="1"/>
    <col min="5380" max="5380" width="27.5546875" style="143" customWidth="1"/>
    <col min="5381" max="5381" width="20" style="143" customWidth="1"/>
    <col min="5382" max="5382" width="18.33203125" style="143" customWidth="1"/>
    <col min="5383" max="5383" width="20.109375" style="143" customWidth="1"/>
    <col min="5384" max="5384" width="10.6640625" style="143" customWidth="1"/>
    <col min="5385" max="5385" width="14.44140625" style="143" bestFit="1" customWidth="1"/>
    <col min="5386" max="5386" width="10.6640625" style="143" customWidth="1"/>
    <col min="5387" max="5387" width="12.6640625" style="143" bestFit="1" customWidth="1"/>
    <col min="5388" max="5390" width="8.44140625" style="143" customWidth="1"/>
    <col min="5391" max="5393" width="13" style="143" customWidth="1"/>
    <col min="5394" max="5397" width="9.109375" style="143"/>
    <col min="5398" max="5398" width="8.6640625" style="143" customWidth="1"/>
    <col min="5399" max="5632" width="9.109375" style="143"/>
    <col min="5633" max="5633" width="2.6640625" style="143" customWidth="1"/>
    <col min="5634" max="5634" width="114.44140625" style="143" customWidth="1"/>
    <col min="5635" max="5635" width="0" style="143" hidden="1" customWidth="1"/>
    <col min="5636" max="5636" width="27.5546875" style="143" customWidth="1"/>
    <col min="5637" max="5637" width="20" style="143" customWidth="1"/>
    <col min="5638" max="5638" width="18.33203125" style="143" customWidth="1"/>
    <col min="5639" max="5639" width="20.109375" style="143" customWidth="1"/>
    <col min="5640" max="5640" width="10.6640625" style="143" customWidth="1"/>
    <col min="5641" max="5641" width="14.44140625" style="143" bestFit="1" customWidth="1"/>
    <col min="5642" max="5642" width="10.6640625" style="143" customWidth="1"/>
    <col min="5643" max="5643" width="12.6640625" style="143" bestFit="1" customWidth="1"/>
    <col min="5644" max="5646" width="8.44140625" style="143" customWidth="1"/>
    <col min="5647" max="5649" width="13" style="143" customWidth="1"/>
    <col min="5650" max="5653" width="9.109375" style="143"/>
    <col min="5654" max="5654" width="8.6640625" style="143" customWidth="1"/>
    <col min="5655" max="5888" width="9.109375" style="143"/>
    <col min="5889" max="5889" width="2.6640625" style="143" customWidth="1"/>
    <col min="5890" max="5890" width="114.44140625" style="143" customWidth="1"/>
    <col min="5891" max="5891" width="0" style="143" hidden="1" customWidth="1"/>
    <col min="5892" max="5892" width="27.5546875" style="143" customWidth="1"/>
    <col min="5893" max="5893" width="20" style="143" customWidth="1"/>
    <col min="5894" max="5894" width="18.33203125" style="143" customWidth="1"/>
    <col min="5895" max="5895" width="20.109375" style="143" customWidth="1"/>
    <col min="5896" max="5896" width="10.6640625" style="143" customWidth="1"/>
    <col min="5897" max="5897" width="14.44140625" style="143" bestFit="1" customWidth="1"/>
    <col min="5898" max="5898" width="10.6640625" style="143" customWidth="1"/>
    <col min="5899" max="5899" width="12.6640625" style="143" bestFit="1" customWidth="1"/>
    <col min="5900" max="5902" width="8.44140625" style="143" customWidth="1"/>
    <col min="5903" max="5905" width="13" style="143" customWidth="1"/>
    <col min="5906" max="5909" width="9.109375" style="143"/>
    <col min="5910" max="5910" width="8.6640625" style="143" customWidth="1"/>
    <col min="5911" max="6144" width="9.109375" style="143"/>
    <col min="6145" max="6145" width="2.6640625" style="143" customWidth="1"/>
    <col min="6146" max="6146" width="114.44140625" style="143" customWidth="1"/>
    <col min="6147" max="6147" width="0" style="143" hidden="1" customWidth="1"/>
    <col min="6148" max="6148" width="27.5546875" style="143" customWidth="1"/>
    <col min="6149" max="6149" width="20" style="143" customWidth="1"/>
    <col min="6150" max="6150" width="18.33203125" style="143" customWidth="1"/>
    <col min="6151" max="6151" width="20.109375" style="143" customWidth="1"/>
    <col min="6152" max="6152" width="10.6640625" style="143" customWidth="1"/>
    <col min="6153" max="6153" width="14.44140625" style="143" bestFit="1" customWidth="1"/>
    <col min="6154" max="6154" width="10.6640625" style="143" customWidth="1"/>
    <col min="6155" max="6155" width="12.6640625" style="143" bestFit="1" customWidth="1"/>
    <col min="6156" max="6158" width="8.44140625" style="143" customWidth="1"/>
    <col min="6159" max="6161" width="13" style="143" customWidth="1"/>
    <col min="6162" max="6165" width="9.109375" style="143"/>
    <col min="6166" max="6166" width="8.6640625" style="143" customWidth="1"/>
    <col min="6167" max="6400" width="9.109375" style="143"/>
    <col min="6401" max="6401" width="2.6640625" style="143" customWidth="1"/>
    <col min="6402" max="6402" width="114.44140625" style="143" customWidth="1"/>
    <col min="6403" max="6403" width="0" style="143" hidden="1" customWidth="1"/>
    <col min="6404" max="6404" width="27.5546875" style="143" customWidth="1"/>
    <col min="6405" max="6405" width="20" style="143" customWidth="1"/>
    <col min="6406" max="6406" width="18.33203125" style="143" customWidth="1"/>
    <col min="6407" max="6407" width="20.109375" style="143" customWidth="1"/>
    <col min="6408" max="6408" width="10.6640625" style="143" customWidth="1"/>
    <col min="6409" max="6409" width="14.44140625" style="143" bestFit="1" customWidth="1"/>
    <col min="6410" max="6410" width="10.6640625" style="143" customWidth="1"/>
    <col min="6411" max="6411" width="12.6640625" style="143" bestFit="1" customWidth="1"/>
    <col min="6412" max="6414" width="8.44140625" style="143" customWidth="1"/>
    <col min="6415" max="6417" width="13" style="143" customWidth="1"/>
    <col min="6418" max="6421" width="9.109375" style="143"/>
    <col min="6422" max="6422" width="8.6640625" style="143" customWidth="1"/>
    <col min="6423" max="6656" width="9.109375" style="143"/>
    <col min="6657" max="6657" width="2.6640625" style="143" customWidth="1"/>
    <col min="6658" max="6658" width="114.44140625" style="143" customWidth="1"/>
    <col min="6659" max="6659" width="0" style="143" hidden="1" customWidth="1"/>
    <col min="6660" max="6660" width="27.5546875" style="143" customWidth="1"/>
    <col min="6661" max="6661" width="20" style="143" customWidth="1"/>
    <col min="6662" max="6662" width="18.33203125" style="143" customWidth="1"/>
    <col min="6663" max="6663" width="20.109375" style="143" customWidth="1"/>
    <col min="6664" max="6664" width="10.6640625" style="143" customWidth="1"/>
    <col min="6665" max="6665" width="14.44140625" style="143" bestFit="1" customWidth="1"/>
    <col min="6666" max="6666" width="10.6640625" style="143" customWidth="1"/>
    <col min="6667" max="6667" width="12.6640625" style="143" bestFit="1" customWidth="1"/>
    <col min="6668" max="6670" width="8.44140625" style="143" customWidth="1"/>
    <col min="6671" max="6673" width="13" style="143" customWidth="1"/>
    <col min="6674" max="6677" width="9.109375" style="143"/>
    <col min="6678" max="6678" width="8.6640625" style="143" customWidth="1"/>
    <col min="6679" max="6912" width="9.109375" style="143"/>
    <col min="6913" max="6913" width="2.6640625" style="143" customWidth="1"/>
    <col min="6914" max="6914" width="114.44140625" style="143" customWidth="1"/>
    <col min="6915" max="6915" width="0" style="143" hidden="1" customWidth="1"/>
    <col min="6916" max="6916" width="27.5546875" style="143" customWidth="1"/>
    <col min="6917" max="6917" width="20" style="143" customWidth="1"/>
    <col min="6918" max="6918" width="18.33203125" style="143" customWidth="1"/>
    <col min="6919" max="6919" width="20.109375" style="143" customWidth="1"/>
    <col min="6920" max="6920" width="10.6640625" style="143" customWidth="1"/>
    <col min="6921" max="6921" width="14.44140625" style="143" bestFit="1" customWidth="1"/>
    <col min="6922" max="6922" width="10.6640625" style="143" customWidth="1"/>
    <col min="6923" max="6923" width="12.6640625" style="143" bestFit="1" customWidth="1"/>
    <col min="6924" max="6926" width="8.44140625" style="143" customWidth="1"/>
    <col min="6927" max="6929" width="13" style="143" customWidth="1"/>
    <col min="6930" max="6933" width="9.109375" style="143"/>
    <col min="6934" max="6934" width="8.6640625" style="143" customWidth="1"/>
    <col min="6935" max="7168" width="9.109375" style="143"/>
    <col min="7169" max="7169" width="2.6640625" style="143" customWidth="1"/>
    <col min="7170" max="7170" width="114.44140625" style="143" customWidth="1"/>
    <col min="7171" max="7171" width="0" style="143" hidden="1" customWidth="1"/>
    <col min="7172" max="7172" width="27.5546875" style="143" customWidth="1"/>
    <col min="7173" max="7173" width="20" style="143" customWidth="1"/>
    <col min="7174" max="7174" width="18.33203125" style="143" customWidth="1"/>
    <col min="7175" max="7175" width="20.109375" style="143" customWidth="1"/>
    <col min="7176" max="7176" width="10.6640625" style="143" customWidth="1"/>
    <col min="7177" max="7177" width="14.44140625" style="143" bestFit="1" customWidth="1"/>
    <col min="7178" max="7178" width="10.6640625" style="143" customWidth="1"/>
    <col min="7179" max="7179" width="12.6640625" style="143" bestFit="1" customWidth="1"/>
    <col min="7180" max="7182" width="8.44140625" style="143" customWidth="1"/>
    <col min="7183" max="7185" width="13" style="143" customWidth="1"/>
    <col min="7186" max="7189" width="9.109375" style="143"/>
    <col min="7190" max="7190" width="8.6640625" style="143" customWidth="1"/>
    <col min="7191" max="7424" width="9.109375" style="143"/>
    <col min="7425" max="7425" width="2.6640625" style="143" customWidth="1"/>
    <col min="7426" max="7426" width="114.44140625" style="143" customWidth="1"/>
    <col min="7427" max="7427" width="0" style="143" hidden="1" customWidth="1"/>
    <col min="7428" max="7428" width="27.5546875" style="143" customWidth="1"/>
    <col min="7429" max="7429" width="20" style="143" customWidth="1"/>
    <col min="7430" max="7430" width="18.33203125" style="143" customWidth="1"/>
    <col min="7431" max="7431" width="20.109375" style="143" customWidth="1"/>
    <col min="7432" max="7432" width="10.6640625" style="143" customWidth="1"/>
    <col min="7433" max="7433" width="14.44140625" style="143" bestFit="1" customWidth="1"/>
    <col min="7434" max="7434" width="10.6640625" style="143" customWidth="1"/>
    <col min="7435" max="7435" width="12.6640625" style="143" bestFit="1" customWidth="1"/>
    <col min="7436" max="7438" width="8.44140625" style="143" customWidth="1"/>
    <col min="7439" max="7441" width="13" style="143" customWidth="1"/>
    <col min="7442" max="7445" width="9.109375" style="143"/>
    <col min="7446" max="7446" width="8.6640625" style="143" customWidth="1"/>
    <col min="7447" max="7680" width="9.109375" style="143"/>
    <col min="7681" max="7681" width="2.6640625" style="143" customWidth="1"/>
    <col min="7682" max="7682" width="114.44140625" style="143" customWidth="1"/>
    <col min="7683" max="7683" width="0" style="143" hidden="1" customWidth="1"/>
    <col min="7684" max="7684" width="27.5546875" style="143" customWidth="1"/>
    <col min="7685" max="7685" width="20" style="143" customWidth="1"/>
    <col min="7686" max="7686" width="18.33203125" style="143" customWidth="1"/>
    <col min="7687" max="7687" width="20.109375" style="143" customWidth="1"/>
    <col min="7688" max="7688" width="10.6640625" style="143" customWidth="1"/>
    <col min="7689" max="7689" width="14.44140625" style="143" bestFit="1" customWidth="1"/>
    <col min="7690" max="7690" width="10.6640625" style="143" customWidth="1"/>
    <col min="7691" max="7691" width="12.6640625" style="143" bestFit="1" customWidth="1"/>
    <col min="7692" max="7694" width="8.44140625" style="143" customWidth="1"/>
    <col min="7695" max="7697" width="13" style="143" customWidth="1"/>
    <col min="7698" max="7701" width="9.109375" style="143"/>
    <col min="7702" max="7702" width="8.6640625" style="143" customWidth="1"/>
    <col min="7703" max="7936" width="9.109375" style="143"/>
    <col min="7937" max="7937" width="2.6640625" style="143" customWidth="1"/>
    <col min="7938" max="7938" width="114.44140625" style="143" customWidth="1"/>
    <col min="7939" max="7939" width="0" style="143" hidden="1" customWidth="1"/>
    <col min="7940" max="7940" width="27.5546875" style="143" customWidth="1"/>
    <col min="7941" max="7941" width="20" style="143" customWidth="1"/>
    <col min="7942" max="7942" width="18.33203125" style="143" customWidth="1"/>
    <col min="7943" max="7943" width="20.109375" style="143" customWidth="1"/>
    <col min="7944" max="7944" width="10.6640625" style="143" customWidth="1"/>
    <col min="7945" max="7945" width="14.44140625" style="143" bestFit="1" customWidth="1"/>
    <col min="7946" max="7946" width="10.6640625" style="143" customWidth="1"/>
    <col min="7947" max="7947" width="12.6640625" style="143" bestFit="1" customWidth="1"/>
    <col min="7948" max="7950" width="8.44140625" style="143" customWidth="1"/>
    <col min="7951" max="7953" width="13" style="143" customWidth="1"/>
    <col min="7954" max="7957" width="9.109375" style="143"/>
    <col min="7958" max="7958" width="8.6640625" style="143" customWidth="1"/>
    <col min="7959" max="8192" width="9.109375" style="143"/>
    <col min="8193" max="8193" width="2.6640625" style="143" customWidth="1"/>
    <col min="8194" max="8194" width="114.44140625" style="143" customWidth="1"/>
    <col min="8195" max="8195" width="0" style="143" hidden="1" customWidth="1"/>
    <col min="8196" max="8196" width="27.5546875" style="143" customWidth="1"/>
    <col min="8197" max="8197" width="20" style="143" customWidth="1"/>
    <col min="8198" max="8198" width="18.33203125" style="143" customWidth="1"/>
    <col min="8199" max="8199" width="20.109375" style="143" customWidth="1"/>
    <col min="8200" max="8200" width="10.6640625" style="143" customWidth="1"/>
    <col min="8201" max="8201" width="14.44140625" style="143" bestFit="1" customWidth="1"/>
    <col min="8202" max="8202" width="10.6640625" style="143" customWidth="1"/>
    <col min="8203" max="8203" width="12.6640625" style="143" bestFit="1" customWidth="1"/>
    <col min="8204" max="8206" width="8.44140625" style="143" customWidth="1"/>
    <col min="8207" max="8209" width="13" style="143" customWidth="1"/>
    <col min="8210" max="8213" width="9.109375" style="143"/>
    <col min="8214" max="8214" width="8.6640625" style="143" customWidth="1"/>
    <col min="8215" max="8448" width="9.109375" style="143"/>
    <col min="8449" max="8449" width="2.6640625" style="143" customWidth="1"/>
    <col min="8450" max="8450" width="114.44140625" style="143" customWidth="1"/>
    <col min="8451" max="8451" width="0" style="143" hidden="1" customWidth="1"/>
    <col min="8452" max="8452" width="27.5546875" style="143" customWidth="1"/>
    <col min="8453" max="8453" width="20" style="143" customWidth="1"/>
    <col min="8454" max="8454" width="18.33203125" style="143" customWidth="1"/>
    <col min="8455" max="8455" width="20.109375" style="143" customWidth="1"/>
    <col min="8456" max="8456" width="10.6640625" style="143" customWidth="1"/>
    <col min="8457" max="8457" width="14.44140625" style="143" bestFit="1" customWidth="1"/>
    <col min="8458" max="8458" width="10.6640625" style="143" customWidth="1"/>
    <col min="8459" max="8459" width="12.6640625" style="143" bestFit="1" customWidth="1"/>
    <col min="8460" max="8462" width="8.44140625" style="143" customWidth="1"/>
    <col min="8463" max="8465" width="13" style="143" customWidth="1"/>
    <col min="8466" max="8469" width="9.109375" style="143"/>
    <col min="8470" max="8470" width="8.6640625" style="143" customWidth="1"/>
    <col min="8471" max="8704" width="9.109375" style="143"/>
    <col min="8705" max="8705" width="2.6640625" style="143" customWidth="1"/>
    <col min="8706" max="8706" width="114.44140625" style="143" customWidth="1"/>
    <col min="8707" max="8707" width="0" style="143" hidden="1" customWidth="1"/>
    <col min="8708" max="8708" width="27.5546875" style="143" customWidth="1"/>
    <col min="8709" max="8709" width="20" style="143" customWidth="1"/>
    <col min="8710" max="8710" width="18.33203125" style="143" customWidth="1"/>
    <col min="8711" max="8711" width="20.109375" style="143" customWidth="1"/>
    <col min="8712" max="8712" width="10.6640625" style="143" customWidth="1"/>
    <col min="8713" max="8713" width="14.44140625" style="143" bestFit="1" customWidth="1"/>
    <col min="8714" max="8714" width="10.6640625" style="143" customWidth="1"/>
    <col min="8715" max="8715" width="12.6640625" style="143" bestFit="1" customWidth="1"/>
    <col min="8716" max="8718" width="8.44140625" style="143" customWidth="1"/>
    <col min="8719" max="8721" width="13" style="143" customWidth="1"/>
    <col min="8722" max="8725" width="9.109375" style="143"/>
    <col min="8726" max="8726" width="8.6640625" style="143" customWidth="1"/>
    <col min="8727" max="8960" width="9.109375" style="143"/>
    <col min="8961" max="8961" width="2.6640625" style="143" customWidth="1"/>
    <col min="8962" max="8962" width="114.44140625" style="143" customWidth="1"/>
    <col min="8963" max="8963" width="0" style="143" hidden="1" customWidth="1"/>
    <col min="8964" max="8964" width="27.5546875" style="143" customWidth="1"/>
    <col min="8965" max="8965" width="20" style="143" customWidth="1"/>
    <col min="8966" max="8966" width="18.33203125" style="143" customWidth="1"/>
    <col min="8967" max="8967" width="20.109375" style="143" customWidth="1"/>
    <col min="8968" max="8968" width="10.6640625" style="143" customWidth="1"/>
    <col min="8969" max="8969" width="14.44140625" style="143" bestFit="1" customWidth="1"/>
    <col min="8970" max="8970" width="10.6640625" style="143" customWidth="1"/>
    <col min="8971" max="8971" width="12.6640625" style="143" bestFit="1" customWidth="1"/>
    <col min="8972" max="8974" width="8.44140625" style="143" customWidth="1"/>
    <col min="8975" max="8977" width="13" style="143" customWidth="1"/>
    <col min="8978" max="8981" width="9.109375" style="143"/>
    <col min="8982" max="8982" width="8.6640625" style="143" customWidth="1"/>
    <col min="8983" max="9216" width="9.109375" style="143"/>
    <col min="9217" max="9217" width="2.6640625" style="143" customWidth="1"/>
    <col min="9218" max="9218" width="114.44140625" style="143" customWidth="1"/>
    <col min="9219" max="9219" width="0" style="143" hidden="1" customWidth="1"/>
    <col min="9220" max="9220" width="27.5546875" style="143" customWidth="1"/>
    <col min="9221" max="9221" width="20" style="143" customWidth="1"/>
    <col min="9222" max="9222" width="18.33203125" style="143" customWidth="1"/>
    <col min="9223" max="9223" width="20.109375" style="143" customWidth="1"/>
    <col min="9224" max="9224" width="10.6640625" style="143" customWidth="1"/>
    <col min="9225" max="9225" width="14.44140625" style="143" bestFit="1" customWidth="1"/>
    <col min="9226" max="9226" width="10.6640625" style="143" customWidth="1"/>
    <col min="9227" max="9227" width="12.6640625" style="143" bestFit="1" customWidth="1"/>
    <col min="9228" max="9230" width="8.44140625" style="143" customWidth="1"/>
    <col min="9231" max="9233" width="13" style="143" customWidth="1"/>
    <col min="9234" max="9237" width="9.109375" style="143"/>
    <col min="9238" max="9238" width="8.6640625" style="143" customWidth="1"/>
    <col min="9239" max="9472" width="9.109375" style="143"/>
    <col min="9473" max="9473" width="2.6640625" style="143" customWidth="1"/>
    <col min="9474" max="9474" width="114.44140625" style="143" customWidth="1"/>
    <col min="9475" max="9475" width="0" style="143" hidden="1" customWidth="1"/>
    <col min="9476" max="9476" width="27.5546875" style="143" customWidth="1"/>
    <col min="9477" max="9477" width="20" style="143" customWidth="1"/>
    <col min="9478" max="9478" width="18.33203125" style="143" customWidth="1"/>
    <col min="9479" max="9479" width="20.109375" style="143" customWidth="1"/>
    <col min="9480" max="9480" width="10.6640625" style="143" customWidth="1"/>
    <col min="9481" max="9481" width="14.44140625" style="143" bestFit="1" customWidth="1"/>
    <col min="9482" max="9482" width="10.6640625" style="143" customWidth="1"/>
    <col min="9483" max="9483" width="12.6640625" style="143" bestFit="1" customWidth="1"/>
    <col min="9484" max="9486" width="8.44140625" style="143" customWidth="1"/>
    <col min="9487" max="9489" width="13" style="143" customWidth="1"/>
    <col min="9490" max="9493" width="9.109375" style="143"/>
    <col min="9494" max="9494" width="8.6640625" style="143" customWidth="1"/>
    <col min="9495" max="9728" width="9.109375" style="143"/>
    <col min="9729" max="9729" width="2.6640625" style="143" customWidth="1"/>
    <col min="9730" max="9730" width="114.44140625" style="143" customWidth="1"/>
    <col min="9731" max="9731" width="0" style="143" hidden="1" customWidth="1"/>
    <col min="9732" max="9732" width="27.5546875" style="143" customWidth="1"/>
    <col min="9733" max="9733" width="20" style="143" customWidth="1"/>
    <col min="9734" max="9734" width="18.33203125" style="143" customWidth="1"/>
    <col min="9735" max="9735" width="20.109375" style="143" customWidth="1"/>
    <col min="9736" max="9736" width="10.6640625" style="143" customWidth="1"/>
    <col min="9737" max="9737" width="14.44140625" style="143" bestFit="1" customWidth="1"/>
    <col min="9738" max="9738" width="10.6640625" style="143" customWidth="1"/>
    <col min="9739" max="9739" width="12.6640625" style="143" bestFit="1" customWidth="1"/>
    <col min="9740" max="9742" width="8.44140625" style="143" customWidth="1"/>
    <col min="9743" max="9745" width="13" style="143" customWidth="1"/>
    <col min="9746" max="9749" width="9.109375" style="143"/>
    <col min="9750" max="9750" width="8.6640625" style="143" customWidth="1"/>
    <col min="9751" max="9984" width="9.109375" style="143"/>
    <col min="9985" max="9985" width="2.6640625" style="143" customWidth="1"/>
    <col min="9986" max="9986" width="114.44140625" style="143" customWidth="1"/>
    <col min="9987" max="9987" width="0" style="143" hidden="1" customWidth="1"/>
    <col min="9988" max="9988" width="27.5546875" style="143" customWidth="1"/>
    <col min="9989" max="9989" width="20" style="143" customWidth="1"/>
    <col min="9990" max="9990" width="18.33203125" style="143" customWidth="1"/>
    <col min="9991" max="9991" width="20.109375" style="143" customWidth="1"/>
    <col min="9992" max="9992" width="10.6640625" style="143" customWidth="1"/>
    <col min="9993" max="9993" width="14.44140625" style="143" bestFit="1" customWidth="1"/>
    <col min="9994" max="9994" width="10.6640625" style="143" customWidth="1"/>
    <col min="9995" max="9995" width="12.6640625" style="143" bestFit="1" customWidth="1"/>
    <col min="9996" max="9998" width="8.44140625" style="143" customWidth="1"/>
    <col min="9999" max="10001" width="13" style="143" customWidth="1"/>
    <col min="10002" max="10005" width="9.109375" style="143"/>
    <col min="10006" max="10006" width="8.6640625" style="143" customWidth="1"/>
    <col min="10007" max="10240" width="9.109375" style="143"/>
    <col min="10241" max="10241" width="2.6640625" style="143" customWidth="1"/>
    <col min="10242" max="10242" width="114.44140625" style="143" customWidth="1"/>
    <col min="10243" max="10243" width="0" style="143" hidden="1" customWidth="1"/>
    <col min="10244" max="10244" width="27.5546875" style="143" customWidth="1"/>
    <col min="10245" max="10245" width="20" style="143" customWidth="1"/>
    <col min="10246" max="10246" width="18.33203125" style="143" customWidth="1"/>
    <col min="10247" max="10247" width="20.109375" style="143" customWidth="1"/>
    <col min="10248" max="10248" width="10.6640625" style="143" customWidth="1"/>
    <col min="10249" max="10249" width="14.44140625" style="143" bestFit="1" customWidth="1"/>
    <col min="10250" max="10250" width="10.6640625" style="143" customWidth="1"/>
    <col min="10251" max="10251" width="12.6640625" style="143" bestFit="1" customWidth="1"/>
    <col min="10252" max="10254" width="8.44140625" style="143" customWidth="1"/>
    <col min="10255" max="10257" width="13" style="143" customWidth="1"/>
    <col min="10258" max="10261" width="9.109375" style="143"/>
    <col min="10262" max="10262" width="8.6640625" style="143" customWidth="1"/>
    <col min="10263" max="10496" width="9.109375" style="143"/>
    <col min="10497" max="10497" width="2.6640625" style="143" customWidth="1"/>
    <col min="10498" max="10498" width="114.44140625" style="143" customWidth="1"/>
    <col min="10499" max="10499" width="0" style="143" hidden="1" customWidth="1"/>
    <col min="10500" max="10500" width="27.5546875" style="143" customWidth="1"/>
    <col min="10501" max="10501" width="20" style="143" customWidth="1"/>
    <col min="10502" max="10502" width="18.33203125" style="143" customWidth="1"/>
    <col min="10503" max="10503" width="20.109375" style="143" customWidth="1"/>
    <col min="10504" max="10504" width="10.6640625" style="143" customWidth="1"/>
    <col min="10505" max="10505" width="14.44140625" style="143" bestFit="1" customWidth="1"/>
    <col min="10506" max="10506" width="10.6640625" style="143" customWidth="1"/>
    <col min="10507" max="10507" width="12.6640625" style="143" bestFit="1" customWidth="1"/>
    <col min="10508" max="10510" width="8.44140625" style="143" customWidth="1"/>
    <col min="10511" max="10513" width="13" style="143" customWidth="1"/>
    <col min="10514" max="10517" width="9.109375" style="143"/>
    <col min="10518" max="10518" width="8.6640625" style="143" customWidth="1"/>
    <col min="10519" max="10752" width="9.109375" style="143"/>
    <col min="10753" max="10753" width="2.6640625" style="143" customWidth="1"/>
    <col min="10754" max="10754" width="114.44140625" style="143" customWidth="1"/>
    <col min="10755" max="10755" width="0" style="143" hidden="1" customWidth="1"/>
    <col min="10756" max="10756" width="27.5546875" style="143" customWidth="1"/>
    <col min="10757" max="10757" width="20" style="143" customWidth="1"/>
    <col min="10758" max="10758" width="18.33203125" style="143" customWidth="1"/>
    <col min="10759" max="10759" width="20.109375" style="143" customWidth="1"/>
    <col min="10760" max="10760" width="10.6640625" style="143" customWidth="1"/>
    <col min="10761" max="10761" width="14.44140625" style="143" bestFit="1" customWidth="1"/>
    <col min="10762" max="10762" width="10.6640625" style="143" customWidth="1"/>
    <col min="10763" max="10763" width="12.6640625" style="143" bestFit="1" customWidth="1"/>
    <col min="10764" max="10766" width="8.44140625" style="143" customWidth="1"/>
    <col min="10767" max="10769" width="13" style="143" customWidth="1"/>
    <col min="10770" max="10773" width="9.109375" style="143"/>
    <col min="10774" max="10774" width="8.6640625" style="143" customWidth="1"/>
    <col min="10775" max="11008" width="9.109375" style="143"/>
    <col min="11009" max="11009" width="2.6640625" style="143" customWidth="1"/>
    <col min="11010" max="11010" width="114.44140625" style="143" customWidth="1"/>
    <col min="11011" max="11011" width="0" style="143" hidden="1" customWidth="1"/>
    <col min="11012" max="11012" width="27.5546875" style="143" customWidth="1"/>
    <col min="11013" max="11013" width="20" style="143" customWidth="1"/>
    <col min="11014" max="11014" width="18.33203125" style="143" customWidth="1"/>
    <col min="11015" max="11015" width="20.109375" style="143" customWidth="1"/>
    <col min="11016" max="11016" width="10.6640625" style="143" customWidth="1"/>
    <col min="11017" max="11017" width="14.44140625" style="143" bestFit="1" customWidth="1"/>
    <col min="11018" max="11018" width="10.6640625" style="143" customWidth="1"/>
    <col min="11019" max="11019" width="12.6640625" style="143" bestFit="1" customWidth="1"/>
    <col min="11020" max="11022" width="8.44140625" style="143" customWidth="1"/>
    <col min="11023" max="11025" width="13" style="143" customWidth="1"/>
    <col min="11026" max="11029" width="9.109375" style="143"/>
    <col min="11030" max="11030" width="8.6640625" style="143" customWidth="1"/>
    <col min="11031" max="11264" width="9.109375" style="143"/>
    <col min="11265" max="11265" width="2.6640625" style="143" customWidth="1"/>
    <col min="11266" max="11266" width="114.44140625" style="143" customWidth="1"/>
    <col min="11267" max="11267" width="0" style="143" hidden="1" customWidth="1"/>
    <col min="11268" max="11268" width="27.5546875" style="143" customWidth="1"/>
    <col min="11269" max="11269" width="20" style="143" customWidth="1"/>
    <col min="11270" max="11270" width="18.33203125" style="143" customWidth="1"/>
    <col min="11271" max="11271" width="20.109375" style="143" customWidth="1"/>
    <col min="11272" max="11272" width="10.6640625" style="143" customWidth="1"/>
    <col min="11273" max="11273" width="14.44140625" style="143" bestFit="1" customWidth="1"/>
    <col min="11274" max="11274" width="10.6640625" style="143" customWidth="1"/>
    <col min="11275" max="11275" width="12.6640625" style="143" bestFit="1" customWidth="1"/>
    <col min="11276" max="11278" width="8.44140625" style="143" customWidth="1"/>
    <col min="11279" max="11281" width="13" style="143" customWidth="1"/>
    <col min="11282" max="11285" width="9.109375" style="143"/>
    <col min="11286" max="11286" width="8.6640625" style="143" customWidth="1"/>
    <col min="11287" max="11520" width="9.109375" style="143"/>
    <col min="11521" max="11521" width="2.6640625" style="143" customWidth="1"/>
    <col min="11522" max="11522" width="114.44140625" style="143" customWidth="1"/>
    <col min="11523" max="11523" width="0" style="143" hidden="1" customWidth="1"/>
    <col min="11524" max="11524" width="27.5546875" style="143" customWidth="1"/>
    <col min="11525" max="11525" width="20" style="143" customWidth="1"/>
    <col min="11526" max="11526" width="18.33203125" style="143" customWidth="1"/>
    <col min="11527" max="11527" width="20.109375" style="143" customWidth="1"/>
    <col min="11528" max="11528" width="10.6640625" style="143" customWidth="1"/>
    <col min="11529" max="11529" width="14.44140625" style="143" bestFit="1" customWidth="1"/>
    <col min="11530" max="11530" width="10.6640625" style="143" customWidth="1"/>
    <col min="11531" max="11531" width="12.6640625" style="143" bestFit="1" customWidth="1"/>
    <col min="11532" max="11534" width="8.44140625" style="143" customWidth="1"/>
    <col min="11535" max="11537" width="13" style="143" customWidth="1"/>
    <col min="11538" max="11541" width="9.109375" style="143"/>
    <col min="11542" max="11542" width="8.6640625" style="143" customWidth="1"/>
    <col min="11543" max="11776" width="9.109375" style="143"/>
    <col min="11777" max="11777" width="2.6640625" style="143" customWidth="1"/>
    <col min="11778" max="11778" width="114.44140625" style="143" customWidth="1"/>
    <col min="11779" max="11779" width="0" style="143" hidden="1" customWidth="1"/>
    <col min="11780" max="11780" width="27.5546875" style="143" customWidth="1"/>
    <col min="11781" max="11781" width="20" style="143" customWidth="1"/>
    <col min="11782" max="11782" width="18.33203125" style="143" customWidth="1"/>
    <col min="11783" max="11783" width="20.109375" style="143" customWidth="1"/>
    <col min="11784" max="11784" width="10.6640625" style="143" customWidth="1"/>
    <col min="11785" max="11785" width="14.44140625" style="143" bestFit="1" customWidth="1"/>
    <col min="11786" max="11786" width="10.6640625" style="143" customWidth="1"/>
    <col min="11787" max="11787" width="12.6640625" style="143" bestFit="1" customWidth="1"/>
    <col min="11788" max="11790" width="8.44140625" style="143" customWidth="1"/>
    <col min="11791" max="11793" width="13" style="143" customWidth="1"/>
    <col min="11794" max="11797" width="9.109375" style="143"/>
    <col min="11798" max="11798" width="8.6640625" style="143" customWidth="1"/>
    <col min="11799" max="12032" width="9.109375" style="143"/>
    <col min="12033" max="12033" width="2.6640625" style="143" customWidth="1"/>
    <col min="12034" max="12034" width="114.44140625" style="143" customWidth="1"/>
    <col min="12035" max="12035" width="0" style="143" hidden="1" customWidth="1"/>
    <col min="12036" max="12036" width="27.5546875" style="143" customWidth="1"/>
    <col min="12037" max="12037" width="20" style="143" customWidth="1"/>
    <col min="12038" max="12038" width="18.33203125" style="143" customWidth="1"/>
    <col min="12039" max="12039" width="20.109375" style="143" customWidth="1"/>
    <col min="12040" max="12040" width="10.6640625" style="143" customWidth="1"/>
    <col min="12041" max="12041" width="14.44140625" style="143" bestFit="1" customWidth="1"/>
    <col min="12042" max="12042" width="10.6640625" style="143" customWidth="1"/>
    <col min="12043" max="12043" width="12.6640625" style="143" bestFit="1" customWidth="1"/>
    <col min="12044" max="12046" width="8.44140625" style="143" customWidth="1"/>
    <col min="12047" max="12049" width="13" style="143" customWidth="1"/>
    <col min="12050" max="12053" width="9.109375" style="143"/>
    <col min="12054" max="12054" width="8.6640625" style="143" customWidth="1"/>
    <col min="12055" max="12288" width="9.109375" style="143"/>
    <col min="12289" max="12289" width="2.6640625" style="143" customWidth="1"/>
    <col min="12290" max="12290" width="114.44140625" style="143" customWidth="1"/>
    <col min="12291" max="12291" width="0" style="143" hidden="1" customWidth="1"/>
    <col min="12292" max="12292" width="27.5546875" style="143" customWidth="1"/>
    <col min="12293" max="12293" width="20" style="143" customWidth="1"/>
    <col min="12294" max="12294" width="18.33203125" style="143" customWidth="1"/>
    <col min="12295" max="12295" width="20.109375" style="143" customWidth="1"/>
    <col min="12296" max="12296" width="10.6640625" style="143" customWidth="1"/>
    <col min="12297" max="12297" width="14.44140625" style="143" bestFit="1" customWidth="1"/>
    <col min="12298" max="12298" width="10.6640625" style="143" customWidth="1"/>
    <col min="12299" max="12299" width="12.6640625" style="143" bestFit="1" customWidth="1"/>
    <col min="12300" max="12302" width="8.44140625" style="143" customWidth="1"/>
    <col min="12303" max="12305" width="13" style="143" customWidth="1"/>
    <col min="12306" max="12309" width="9.109375" style="143"/>
    <col min="12310" max="12310" width="8.6640625" style="143" customWidth="1"/>
    <col min="12311" max="12544" width="9.109375" style="143"/>
    <col min="12545" max="12545" width="2.6640625" style="143" customWidth="1"/>
    <col min="12546" max="12546" width="114.44140625" style="143" customWidth="1"/>
    <col min="12547" max="12547" width="0" style="143" hidden="1" customWidth="1"/>
    <col min="12548" max="12548" width="27.5546875" style="143" customWidth="1"/>
    <col min="12549" max="12549" width="20" style="143" customWidth="1"/>
    <col min="12550" max="12550" width="18.33203125" style="143" customWidth="1"/>
    <col min="12551" max="12551" width="20.109375" style="143" customWidth="1"/>
    <col min="12552" max="12552" width="10.6640625" style="143" customWidth="1"/>
    <col min="12553" max="12553" width="14.44140625" style="143" bestFit="1" customWidth="1"/>
    <col min="12554" max="12554" width="10.6640625" style="143" customWidth="1"/>
    <col min="12555" max="12555" width="12.6640625" style="143" bestFit="1" customWidth="1"/>
    <col min="12556" max="12558" width="8.44140625" style="143" customWidth="1"/>
    <col min="12559" max="12561" width="13" style="143" customWidth="1"/>
    <col min="12562" max="12565" width="9.109375" style="143"/>
    <col min="12566" max="12566" width="8.6640625" style="143" customWidth="1"/>
    <col min="12567" max="12800" width="9.109375" style="143"/>
    <col min="12801" max="12801" width="2.6640625" style="143" customWidth="1"/>
    <col min="12802" max="12802" width="114.44140625" style="143" customWidth="1"/>
    <col min="12803" max="12803" width="0" style="143" hidden="1" customWidth="1"/>
    <col min="12804" max="12804" width="27.5546875" style="143" customWidth="1"/>
    <col min="12805" max="12805" width="20" style="143" customWidth="1"/>
    <col min="12806" max="12806" width="18.33203125" style="143" customWidth="1"/>
    <col min="12807" max="12807" width="20.109375" style="143" customWidth="1"/>
    <col min="12808" max="12808" width="10.6640625" style="143" customWidth="1"/>
    <col min="12809" max="12809" width="14.44140625" style="143" bestFit="1" customWidth="1"/>
    <col min="12810" max="12810" width="10.6640625" style="143" customWidth="1"/>
    <col min="12811" max="12811" width="12.6640625" style="143" bestFit="1" customWidth="1"/>
    <col min="12812" max="12814" width="8.44140625" style="143" customWidth="1"/>
    <col min="12815" max="12817" width="13" style="143" customWidth="1"/>
    <col min="12818" max="12821" width="9.109375" style="143"/>
    <col min="12822" max="12822" width="8.6640625" style="143" customWidth="1"/>
    <col min="12823" max="13056" width="9.109375" style="143"/>
    <col min="13057" max="13057" width="2.6640625" style="143" customWidth="1"/>
    <col min="13058" max="13058" width="114.44140625" style="143" customWidth="1"/>
    <col min="13059" max="13059" width="0" style="143" hidden="1" customWidth="1"/>
    <col min="13060" max="13060" width="27.5546875" style="143" customWidth="1"/>
    <col min="13061" max="13061" width="20" style="143" customWidth="1"/>
    <col min="13062" max="13062" width="18.33203125" style="143" customWidth="1"/>
    <col min="13063" max="13063" width="20.109375" style="143" customWidth="1"/>
    <col min="13064" max="13064" width="10.6640625" style="143" customWidth="1"/>
    <col min="13065" max="13065" width="14.44140625" style="143" bestFit="1" customWidth="1"/>
    <col min="13066" max="13066" width="10.6640625" style="143" customWidth="1"/>
    <col min="13067" max="13067" width="12.6640625" style="143" bestFit="1" customWidth="1"/>
    <col min="13068" max="13070" width="8.44140625" style="143" customWidth="1"/>
    <col min="13071" max="13073" width="13" style="143" customWidth="1"/>
    <col min="13074" max="13077" width="9.109375" style="143"/>
    <col min="13078" max="13078" width="8.6640625" style="143" customWidth="1"/>
    <col min="13079" max="13312" width="9.109375" style="143"/>
    <col min="13313" max="13313" width="2.6640625" style="143" customWidth="1"/>
    <col min="13314" max="13314" width="114.44140625" style="143" customWidth="1"/>
    <col min="13315" max="13315" width="0" style="143" hidden="1" customWidth="1"/>
    <col min="13316" max="13316" width="27.5546875" style="143" customWidth="1"/>
    <col min="13317" max="13317" width="20" style="143" customWidth="1"/>
    <col min="13318" max="13318" width="18.33203125" style="143" customWidth="1"/>
    <col min="13319" max="13319" width="20.109375" style="143" customWidth="1"/>
    <col min="13320" max="13320" width="10.6640625" style="143" customWidth="1"/>
    <col min="13321" max="13321" width="14.44140625" style="143" bestFit="1" customWidth="1"/>
    <col min="13322" max="13322" width="10.6640625" style="143" customWidth="1"/>
    <col min="13323" max="13323" width="12.6640625" style="143" bestFit="1" customWidth="1"/>
    <col min="13324" max="13326" width="8.44140625" style="143" customWidth="1"/>
    <col min="13327" max="13329" width="13" style="143" customWidth="1"/>
    <col min="13330" max="13333" width="9.109375" style="143"/>
    <col min="13334" max="13334" width="8.6640625" style="143" customWidth="1"/>
    <col min="13335" max="13568" width="9.109375" style="143"/>
    <col min="13569" max="13569" width="2.6640625" style="143" customWidth="1"/>
    <col min="13570" max="13570" width="114.44140625" style="143" customWidth="1"/>
    <col min="13571" max="13571" width="0" style="143" hidden="1" customWidth="1"/>
    <col min="13572" max="13572" width="27.5546875" style="143" customWidth="1"/>
    <col min="13573" max="13573" width="20" style="143" customWidth="1"/>
    <col min="13574" max="13574" width="18.33203125" style="143" customWidth="1"/>
    <col min="13575" max="13575" width="20.109375" style="143" customWidth="1"/>
    <col min="13576" max="13576" width="10.6640625" style="143" customWidth="1"/>
    <col min="13577" max="13577" width="14.44140625" style="143" bestFit="1" customWidth="1"/>
    <col min="13578" max="13578" width="10.6640625" style="143" customWidth="1"/>
    <col min="13579" max="13579" width="12.6640625" style="143" bestFit="1" customWidth="1"/>
    <col min="13580" max="13582" width="8.44140625" style="143" customWidth="1"/>
    <col min="13583" max="13585" width="13" style="143" customWidth="1"/>
    <col min="13586" max="13589" width="9.109375" style="143"/>
    <col min="13590" max="13590" width="8.6640625" style="143" customWidth="1"/>
    <col min="13591" max="13824" width="9.109375" style="143"/>
    <col min="13825" max="13825" width="2.6640625" style="143" customWidth="1"/>
    <col min="13826" max="13826" width="114.44140625" style="143" customWidth="1"/>
    <col min="13827" max="13827" width="0" style="143" hidden="1" customWidth="1"/>
    <col min="13828" max="13828" width="27.5546875" style="143" customWidth="1"/>
    <col min="13829" max="13829" width="20" style="143" customWidth="1"/>
    <col min="13830" max="13830" width="18.33203125" style="143" customWidth="1"/>
    <col min="13831" max="13831" width="20.109375" style="143" customWidth="1"/>
    <col min="13832" max="13832" width="10.6640625" style="143" customWidth="1"/>
    <col min="13833" max="13833" width="14.44140625" style="143" bestFit="1" customWidth="1"/>
    <col min="13834" max="13834" width="10.6640625" style="143" customWidth="1"/>
    <col min="13835" max="13835" width="12.6640625" style="143" bestFit="1" customWidth="1"/>
    <col min="13836" max="13838" width="8.44140625" style="143" customWidth="1"/>
    <col min="13839" max="13841" width="13" style="143" customWidth="1"/>
    <col min="13842" max="13845" width="9.109375" style="143"/>
    <col min="13846" max="13846" width="8.6640625" style="143" customWidth="1"/>
    <col min="13847" max="14080" width="9.109375" style="143"/>
    <col min="14081" max="14081" width="2.6640625" style="143" customWidth="1"/>
    <col min="14082" max="14082" width="114.44140625" style="143" customWidth="1"/>
    <col min="14083" max="14083" width="0" style="143" hidden="1" customWidth="1"/>
    <col min="14084" max="14084" width="27.5546875" style="143" customWidth="1"/>
    <col min="14085" max="14085" width="20" style="143" customWidth="1"/>
    <col min="14086" max="14086" width="18.33203125" style="143" customWidth="1"/>
    <col min="14087" max="14087" width="20.109375" style="143" customWidth="1"/>
    <col min="14088" max="14088" width="10.6640625" style="143" customWidth="1"/>
    <col min="14089" max="14089" width="14.44140625" style="143" bestFit="1" customWidth="1"/>
    <col min="14090" max="14090" width="10.6640625" style="143" customWidth="1"/>
    <col min="14091" max="14091" width="12.6640625" style="143" bestFit="1" customWidth="1"/>
    <col min="14092" max="14094" width="8.44140625" style="143" customWidth="1"/>
    <col min="14095" max="14097" width="13" style="143" customWidth="1"/>
    <col min="14098" max="14101" width="9.109375" style="143"/>
    <col min="14102" max="14102" width="8.6640625" style="143" customWidth="1"/>
    <col min="14103" max="14336" width="9.109375" style="143"/>
    <col min="14337" max="14337" width="2.6640625" style="143" customWidth="1"/>
    <col min="14338" max="14338" width="114.44140625" style="143" customWidth="1"/>
    <col min="14339" max="14339" width="0" style="143" hidden="1" customWidth="1"/>
    <col min="14340" max="14340" width="27.5546875" style="143" customWidth="1"/>
    <col min="14341" max="14341" width="20" style="143" customWidth="1"/>
    <col min="14342" max="14342" width="18.33203125" style="143" customWidth="1"/>
    <col min="14343" max="14343" width="20.109375" style="143" customWidth="1"/>
    <col min="14344" max="14344" width="10.6640625" style="143" customWidth="1"/>
    <col min="14345" max="14345" width="14.44140625" style="143" bestFit="1" customWidth="1"/>
    <col min="14346" max="14346" width="10.6640625" style="143" customWidth="1"/>
    <col min="14347" max="14347" width="12.6640625" style="143" bestFit="1" customWidth="1"/>
    <col min="14348" max="14350" width="8.44140625" style="143" customWidth="1"/>
    <col min="14351" max="14353" width="13" style="143" customWidth="1"/>
    <col min="14354" max="14357" width="9.109375" style="143"/>
    <col min="14358" max="14358" width="8.6640625" style="143" customWidth="1"/>
    <col min="14359" max="14592" width="9.109375" style="143"/>
    <col min="14593" max="14593" width="2.6640625" style="143" customWidth="1"/>
    <col min="14594" max="14594" width="114.44140625" style="143" customWidth="1"/>
    <col min="14595" max="14595" width="0" style="143" hidden="1" customWidth="1"/>
    <col min="14596" max="14596" width="27.5546875" style="143" customWidth="1"/>
    <col min="14597" max="14597" width="20" style="143" customWidth="1"/>
    <col min="14598" max="14598" width="18.33203125" style="143" customWidth="1"/>
    <col min="14599" max="14599" width="20.109375" style="143" customWidth="1"/>
    <col min="14600" max="14600" width="10.6640625" style="143" customWidth="1"/>
    <col min="14601" max="14601" width="14.44140625" style="143" bestFit="1" customWidth="1"/>
    <col min="14602" max="14602" width="10.6640625" style="143" customWidth="1"/>
    <col min="14603" max="14603" width="12.6640625" style="143" bestFit="1" customWidth="1"/>
    <col min="14604" max="14606" width="8.44140625" style="143" customWidth="1"/>
    <col min="14607" max="14609" width="13" style="143" customWidth="1"/>
    <col min="14610" max="14613" width="9.109375" style="143"/>
    <col min="14614" max="14614" width="8.6640625" style="143" customWidth="1"/>
    <col min="14615" max="14848" width="9.109375" style="143"/>
    <col min="14849" max="14849" width="2.6640625" style="143" customWidth="1"/>
    <col min="14850" max="14850" width="114.44140625" style="143" customWidth="1"/>
    <col min="14851" max="14851" width="0" style="143" hidden="1" customWidth="1"/>
    <col min="14852" max="14852" width="27.5546875" style="143" customWidth="1"/>
    <col min="14853" max="14853" width="20" style="143" customWidth="1"/>
    <col min="14854" max="14854" width="18.33203125" style="143" customWidth="1"/>
    <col min="14855" max="14855" width="20.109375" style="143" customWidth="1"/>
    <col min="14856" max="14856" width="10.6640625" style="143" customWidth="1"/>
    <col min="14857" max="14857" width="14.44140625" style="143" bestFit="1" customWidth="1"/>
    <col min="14858" max="14858" width="10.6640625" style="143" customWidth="1"/>
    <col min="14859" max="14859" width="12.6640625" style="143" bestFit="1" customWidth="1"/>
    <col min="14860" max="14862" width="8.44140625" style="143" customWidth="1"/>
    <col min="14863" max="14865" width="13" style="143" customWidth="1"/>
    <col min="14866" max="14869" width="9.109375" style="143"/>
    <col min="14870" max="14870" width="8.6640625" style="143" customWidth="1"/>
    <col min="14871" max="15104" width="9.109375" style="143"/>
    <col min="15105" max="15105" width="2.6640625" style="143" customWidth="1"/>
    <col min="15106" max="15106" width="114.44140625" style="143" customWidth="1"/>
    <col min="15107" max="15107" width="0" style="143" hidden="1" customWidth="1"/>
    <col min="15108" max="15108" width="27.5546875" style="143" customWidth="1"/>
    <col min="15109" max="15109" width="20" style="143" customWidth="1"/>
    <col min="15110" max="15110" width="18.33203125" style="143" customWidth="1"/>
    <col min="15111" max="15111" width="20.109375" style="143" customWidth="1"/>
    <col min="15112" max="15112" width="10.6640625" style="143" customWidth="1"/>
    <col min="15113" max="15113" width="14.44140625" style="143" bestFit="1" customWidth="1"/>
    <col min="15114" max="15114" width="10.6640625" style="143" customWidth="1"/>
    <col min="15115" max="15115" width="12.6640625" style="143" bestFit="1" customWidth="1"/>
    <col min="15116" max="15118" width="8.44140625" style="143" customWidth="1"/>
    <col min="15119" max="15121" width="13" style="143" customWidth="1"/>
    <col min="15122" max="15125" width="9.109375" style="143"/>
    <col min="15126" max="15126" width="8.6640625" style="143" customWidth="1"/>
    <col min="15127" max="15360" width="9.109375" style="143"/>
    <col min="15361" max="15361" width="2.6640625" style="143" customWidth="1"/>
    <col min="15362" max="15362" width="114.44140625" style="143" customWidth="1"/>
    <col min="15363" max="15363" width="0" style="143" hidden="1" customWidth="1"/>
    <col min="15364" max="15364" width="27.5546875" style="143" customWidth="1"/>
    <col min="15365" max="15365" width="20" style="143" customWidth="1"/>
    <col min="15366" max="15366" width="18.33203125" style="143" customWidth="1"/>
    <col min="15367" max="15367" width="20.109375" style="143" customWidth="1"/>
    <col min="15368" max="15368" width="10.6640625" style="143" customWidth="1"/>
    <col min="15369" max="15369" width="14.44140625" style="143" bestFit="1" customWidth="1"/>
    <col min="15370" max="15370" width="10.6640625" style="143" customWidth="1"/>
    <col min="15371" max="15371" width="12.6640625" style="143" bestFit="1" customWidth="1"/>
    <col min="15372" max="15374" width="8.44140625" style="143" customWidth="1"/>
    <col min="15375" max="15377" width="13" style="143" customWidth="1"/>
    <col min="15378" max="15381" width="9.109375" style="143"/>
    <col min="15382" max="15382" width="8.6640625" style="143" customWidth="1"/>
    <col min="15383" max="15616" width="9.109375" style="143"/>
    <col min="15617" max="15617" width="2.6640625" style="143" customWidth="1"/>
    <col min="15618" max="15618" width="114.44140625" style="143" customWidth="1"/>
    <col min="15619" max="15619" width="0" style="143" hidden="1" customWidth="1"/>
    <col min="15620" max="15620" width="27.5546875" style="143" customWidth="1"/>
    <col min="15621" max="15621" width="20" style="143" customWidth="1"/>
    <col min="15622" max="15622" width="18.33203125" style="143" customWidth="1"/>
    <col min="15623" max="15623" width="20.109375" style="143" customWidth="1"/>
    <col min="15624" max="15624" width="10.6640625" style="143" customWidth="1"/>
    <col min="15625" max="15625" width="14.44140625" style="143" bestFit="1" customWidth="1"/>
    <col min="15626" max="15626" width="10.6640625" style="143" customWidth="1"/>
    <col min="15627" max="15627" width="12.6640625" style="143" bestFit="1" customWidth="1"/>
    <col min="15628" max="15630" width="8.44140625" style="143" customWidth="1"/>
    <col min="15631" max="15633" width="13" style="143" customWidth="1"/>
    <col min="15634" max="15637" width="9.109375" style="143"/>
    <col min="15638" max="15638" width="8.6640625" style="143" customWidth="1"/>
    <col min="15639" max="15872" width="9.109375" style="143"/>
    <col min="15873" max="15873" width="2.6640625" style="143" customWidth="1"/>
    <col min="15874" max="15874" width="114.44140625" style="143" customWidth="1"/>
    <col min="15875" max="15875" width="0" style="143" hidden="1" customWidth="1"/>
    <col min="15876" max="15876" width="27.5546875" style="143" customWidth="1"/>
    <col min="15877" max="15877" width="20" style="143" customWidth="1"/>
    <col min="15878" max="15878" width="18.33203125" style="143" customWidth="1"/>
    <col min="15879" max="15879" width="20.109375" style="143" customWidth="1"/>
    <col min="15880" max="15880" width="10.6640625" style="143" customWidth="1"/>
    <col min="15881" max="15881" width="14.44140625" style="143" bestFit="1" customWidth="1"/>
    <col min="15882" max="15882" width="10.6640625" style="143" customWidth="1"/>
    <col min="15883" max="15883" width="12.6640625" style="143" bestFit="1" customWidth="1"/>
    <col min="15884" max="15886" width="8.44140625" style="143" customWidth="1"/>
    <col min="15887" max="15889" width="13" style="143" customWidth="1"/>
    <col min="15890" max="15893" width="9.109375" style="143"/>
    <col min="15894" max="15894" width="8.6640625" style="143" customWidth="1"/>
    <col min="15895" max="16128" width="9.109375" style="143"/>
    <col min="16129" max="16129" width="2.6640625" style="143" customWidth="1"/>
    <col min="16130" max="16130" width="114.44140625" style="143" customWidth="1"/>
    <col min="16131" max="16131" width="0" style="143" hidden="1" customWidth="1"/>
    <col min="16132" max="16132" width="27.5546875" style="143" customWidth="1"/>
    <col min="16133" max="16133" width="20" style="143" customWidth="1"/>
    <col min="16134" max="16134" width="18.33203125" style="143" customWidth="1"/>
    <col min="16135" max="16135" width="20.109375" style="143" customWidth="1"/>
    <col min="16136" max="16136" width="10.6640625" style="143" customWidth="1"/>
    <col min="16137" max="16137" width="14.44140625" style="143" bestFit="1" customWidth="1"/>
    <col min="16138" max="16138" width="10.6640625" style="143" customWidth="1"/>
    <col min="16139" max="16139" width="12.6640625" style="143" bestFit="1" customWidth="1"/>
    <col min="16140" max="16142" width="8.44140625" style="143" customWidth="1"/>
    <col min="16143" max="16145" width="13" style="143" customWidth="1"/>
    <col min="16146" max="16149" width="9.109375" style="143"/>
    <col min="16150" max="16150" width="8.6640625" style="143" customWidth="1"/>
    <col min="16151" max="16384" width="9.109375" style="143"/>
  </cols>
  <sheetData>
    <row r="1" spans="1:25">
      <c r="B1" s="146"/>
      <c r="D1" s="372"/>
      <c r="E1" s="142"/>
      <c r="N1" s="145"/>
      <c r="O1" s="145"/>
      <c r="P1" s="145"/>
      <c r="Q1" s="145"/>
      <c r="R1" s="145"/>
      <c r="S1" s="145"/>
    </row>
    <row r="2" spans="1:25" ht="17.399999999999999">
      <c r="B2" s="1692" t="s">
        <v>1887</v>
      </c>
      <c r="C2" s="372"/>
      <c r="D2" s="372"/>
      <c r="E2" s="142"/>
      <c r="N2" s="145"/>
      <c r="O2" s="145"/>
      <c r="P2" s="145"/>
      <c r="Q2" s="145"/>
      <c r="R2" s="145"/>
      <c r="S2" s="145"/>
    </row>
    <row r="3" spans="1:25">
      <c r="B3" s="148"/>
      <c r="D3" s="372"/>
      <c r="E3" s="142"/>
      <c r="N3" s="145"/>
      <c r="O3" s="145"/>
      <c r="P3" s="145"/>
      <c r="Q3" s="145"/>
      <c r="R3" s="145"/>
      <c r="S3" s="145"/>
    </row>
    <row r="4" spans="1:25">
      <c r="B4" s="201" t="s">
        <v>58</v>
      </c>
      <c r="C4" s="202" t="str">
        <f>'Model update'!$B$6</f>
        <v>2021-22</v>
      </c>
      <c r="D4" s="202"/>
      <c r="F4" s="203"/>
      <c r="G4" s="144"/>
      <c r="H4" s="144"/>
      <c r="J4" s="143"/>
      <c r="K4" s="145"/>
      <c r="L4" s="145"/>
      <c r="M4" s="145"/>
      <c r="N4" s="145"/>
      <c r="O4" s="145"/>
      <c r="P4" s="145"/>
    </row>
    <row r="5" spans="1:25">
      <c r="B5" s="201" t="s">
        <v>158</v>
      </c>
      <c r="C5" s="202" t="str">
        <f>'Model update'!$B$8</f>
        <v>2020-21</v>
      </c>
      <c r="D5" s="202"/>
      <c r="F5" s="203"/>
      <c r="G5" s="144"/>
      <c r="H5" s="144"/>
      <c r="J5" s="143"/>
      <c r="K5" s="145"/>
      <c r="L5" s="145"/>
      <c r="M5" s="145"/>
      <c r="N5" s="145"/>
      <c r="O5" s="145"/>
      <c r="P5" s="145"/>
    </row>
    <row r="6" spans="1:25">
      <c r="B6" s="201" t="s">
        <v>161</v>
      </c>
      <c r="C6" s="202" t="str">
        <f>'Model update'!B9</f>
        <v>2019-20</v>
      </c>
      <c r="D6" s="202"/>
      <c r="F6" s="203"/>
      <c r="G6" s="144"/>
      <c r="H6" s="144"/>
      <c r="J6" s="143"/>
      <c r="K6" s="145"/>
      <c r="L6" s="145"/>
      <c r="M6" s="145"/>
      <c r="N6" s="145"/>
      <c r="O6" s="145"/>
      <c r="P6" s="145"/>
    </row>
    <row r="7" spans="1:25">
      <c r="B7" s="149"/>
      <c r="C7" s="150"/>
      <c r="D7" s="150"/>
      <c r="E7" s="142"/>
      <c r="F7" s="139"/>
      <c r="G7" s="139"/>
      <c r="H7" s="139"/>
      <c r="I7" s="139"/>
      <c r="J7" s="151"/>
      <c r="K7" s="151"/>
      <c r="L7" s="139"/>
      <c r="M7" s="139"/>
      <c r="N7" s="152"/>
      <c r="O7" s="152"/>
      <c r="P7" s="152"/>
      <c r="Q7" s="152"/>
      <c r="R7" s="152"/>
      <c r="S7" s="152"/>
      <c r="T7" s="139"/>
    </row>
    <row r="8" spans="1:25" ht="18" customHeight="1">
      <c r="A8" s="153"/>
      <c r="B8" s="154" t="s">
        <v>27</v>
      </c>
      <c r="C8" s="259" t="str">
        <f>$C$4</f>
        <v>2021-22</v>
      </c>
      <c r="D8" s="360"/>
      <c r="E8" s="155"/>
      <c r="N8" s="145"/>
      <c r="O8" s="145"/>
      <c r="P8" s="145"/>
      <c r="Q8" s="145"/>
      <c r="R8" s="145"/>
      <c r="S8" s="145"/>
    </row>
    <row r="9" spans="1:25" ht="18" customHeight="1">
      <c r="A9" s="153"/>
      <c r="B9" s="156" t="s">
        <v>34</v>
      </c>
      <c r="C9" s="1715">
        <f>Prop2021DUOSTariffs!EZ100</f>
        <v>1154190141.5936508</v>
      </c>
      <c r="D9" s="361"/>
      <c r="E9" s="1771"/>
      <c r="F9" s="144"/>
      <c r="I9" s="144"/>
      <c r="J9" s="143"/>
      <c r="K9" s="143"/>
      <c r="N9" s="145"/>
      <c r="O9" s="145"/>
      <c r="P9" s="145"/>
      <c r="Q9" s="145"/>
      <c r="R9" s="145"/>
      <c r="S9" s="145"/>
    </row>
    <row r="10" spans="1:25" ht="18" customHeight="1">
      <c r="A10" s="153"/>
      <c r="B10" s="157" t="s">
        <v>35</v>
      </c>
      <c r="C10" s="1716">
        <f>C18</f>
        <v>1154190141.4760413</v>
      </c>
      <c r="D10" s="361"/>
      <c r="E10" s="598"/>
      <c r="F10" s="144"/>
      <c r="I10" s="144"/>
      <c r="J10" s="143"/>
      <c r="K10" s="143"/>
      <c r="N10" s="145"/>
      <c r="O10" s="145"/>
      <c r="P10" s="145"/>
      <c r="Q10" s="145"/>
      <c r="R10" s="145"/>
      <c r="S10" s="145"/>
    </row>
    <row r="11" spans="1:25" ht="18" customHeight="1">
      <c r="A11" s="153"/>
      <c r="B11" s="158"/>
      <c r="C11" s="159" t="str">
        <f>IF(C9="","",IF(ABS(C10-C9)&lt;0.5,"DUoS REVENUE CAP FORMULA COMPLIANT",IF(C9&lt;=C10,"DUoS REVENUE CAP FORMULA COMPLIANT","DUoS REVENUE CAP FORMULA BREACHED")))</f>
        <v>DUoS REVENUE CAP FORMULA COMPLIANT</v>
      </c>
      <c r="D11" s="366"/>
      <c r="E11" s="160"/>
      <c r="G11" s="161"/>
      <c r="H11" s="162"/>
      <c r="I11" s="144"/>
      <c r="J11" s="272"/>
      <c r="K11" s="162"/>
      <c r="L11" s="162"/>
      <c r="M11" s="162"/>
      <c r="N11" s="145"/>
      <c r="O11" s="145"/>
      <c r="P11" s="145"/>
      <c r="Q11" s="145"/>
      <c r="R11" s="145"/>
      <c r="S11" s="145"/>
      <c r="W11" s="163"/>
      <c r="X11" s="163"/>
      <c r="Y11" s="163"/>
    </row>
    <row r="12" spans="1:25" ht="18" customHeight="1">
      <c r="A12" s="153"/>
      <c r="B12" s="160"/>
      <c r="C12" s="160"/>
      <c r="D12" s="160"/>
      <c r="E12" s="160"/>
      <c r="F12" s="161"/>
      <c r="G12" s="162"/>
      <c r="H12" s="162"/>
      <c r="I12" s="162"/>
      <c r="J12" s="162"/>
      <c r="K12" s="162"/>
      <c r="L12" s="162"/>
      <c r="M12" s="145"/>
      <c r="N12" s="145"/>
      <c r="O12" s="145"/>
      <c r="P12" s="145"/>
      <c r="Q12" s="145"/>
      <c r="R12" s="145"/>
      <c r="V12" s="163"/>
      <c r="W12" s="163"/>
      <c r="X12" s="163"/>
    </row>
    <row r="13" spans="1:25" ht="18" customHeight="1">
      <c r="A13" s="153"/>
      <c r="B13" s="154" t="s">
        <v>33</v>
      </c>
      <c r="C13" s="257" t="str">
        <f>$C$4</f>
        <v>2021-22</v>
      </c>
      <c r="D13" s="362"/>
      <c r="E13" s="160"/>
      <c r="F13" s="261"/>
      <c r="G13" s="261"/>
      <c r="H13" s="261"/>
      <c r="I13" s="261"/>
      <c r="J13" s="261"/>
      <c r="K13" s="261"/>
      <c r="L13" s="162"/>
      <c r="M13" s="145"/>
      <c r="N13" s="145"/>
      <c r="O13" s="145"/>
      <c r="P13" s="145"/>
      <c r="Q13" s="145"/>
      <c r="R13" s="145"/>
      <c r="V13" s="163"/>
      <c r="W13" s="163"/>
      <c r="X13" s="163"/>
    </row>
    <row r="14" spans="1:25" ht="18" customHeight="1">
      <c r="A14" s="153"/>
      <c r="B14" s="164" t="s">
        <v>36</v>
      </c>
      <c r="C14" s="1717">
        <f>C25</f>
        <v>1164549680.2948508</v>
      </c>
      <c r="D14" s="363"/>
      <c r="E14" s="160"/>
      <c r="F14" s="161"/>
      <c r="G14" s="162"/>
      <c r="H14" s="162"/>
      <c r="I14" s="162"/>
      <c r="J14" s="162"/>
      <c r="K14" s="162"/>
      <c r="L14" s="162"/>
      <c r="M14" s="145"/>
      <c r="N14" s="145"/>
      <c r="O14" s="145"/>
      <c r="P14" s="145"/>
      <c r="Q14" s="145"/>
      <c r="R14" s="145"/>
      <c r="V14" s="163"/>
      <c r="W14" s="163"/>
      <c r="X14" s="163"/>
    </row>
    <row r="15" spans="1:25" ht="18" customHeight="1">
      <c r="A15" s="153"/>
      <c r="B15" s="165" t="s">
        <v>1768</v>
      </c>
      <c r="C15" s="1717">
        <f>'Model update'!J70</f>
        <v>-1046714.3600000001</v>
      </c>
      <c r="D15" s="363"/>
      <c r="E15" s="160"/>
      <c r="F15" s="161"/>
      <c r="G15" s="162"/>
      <c r="H15" s="162"/>
      <c r="I15" s="162"/>
      <c r="J15" s="162"/>
      <c r="K15" s="162"/>
      <c r="L15" s="162"/>
      <c r="M15" s="145"/>
      <c r="N15" s="145"/>
      <c r="O15" s="145"/>
      <c r="P15" s="145"/>
      <c r="Q15" s="145"/>
      <c r="R15" s="145"/>
      <c r="V15" s="163"/>
      <c r="W15" s="163"/>
      <c r="X15" s="163"/>
    </row>
    <row r="16" spans="1:25" ht="18" customHeight="1">
      <c r="A16" s="153"/>
      <c r="B16" s="165" t="s">
        <v>1769</v>
      </c>
      <c r="C16" s="1718">
        <f>'Model update'!J66</f>
        <v>0</v>
      </c>
      <c r="D16" s="363"/>
      <c r="E16" s="160"/>
      <c r="F16" s="161"/>
      <c r="G16" s="162"/>
      <c r="H16" s="162"/>
      <c r="I16" s="162"/>
      <c r="J16" s="162"/>
      <c r="K16" s="162"/>
      <c r="L16" s="162"/>
      <c r="M16" s="145"/>
      <c r="N16" s="145"/>
      <c r="O16" s="145"/>
      <c r="P16" s="145"/>
      <c r="Q16" s="145"/>
      <c r="R16" s="145"/>
      <c r="V16" s="163"/>
      <c r="W16" s="163"/>
      <c r="X16" s="163"/>
    </row>
    <row r="17" spans="1:29" ht="18" customHeight="1">
      <c r="A17" s="153"/>
      <c r="B17" s="165" t="s">
        <v>183</v>
      </c>
      <c r="C17" s="1718">
        <f>C29</f>
        <v>-9312824.4588096142</v>
      </c>
      <c r="D17" s="363"/>
      <c r="E17" s="160"/>
      <c r="F17" s="161"/>
      <c r="G17" s="162"/>
      <c r="H17" s="162"/>
      <c r="I17" s="162"/>
      <c r="J17" s="162"/>
      <c r="K17" s="162"/>
      <c r="L17" s="162"/>
      <c r="M17" s="145"/>
      <c r="N17" s="145"/>
      <c r="O17" s="145"/>
      <c r="P17" s="145"/>
      <c r="Q17" s="145"/>
      <c r="R17" s="145"/>
      <c r="V17" s="163"/>
      <c r="W17" s="163"/>
      <c r="X17" s="163"/>
    </row>
    <row r="18" spans="1:29" ht="18" customHeight="1">
      <c r="A18" s="153"/>
      <c r="B18" s="199" t="s">
        <v>35</v>
      </c>
      <c r="C18" s="1719">
        <f>C14+C15+C16+C17</f>
        <v>1154190141.4760413</v>
      </c>
      <c r="D18" s="348"/>
      <c r="E18" s="160"/>
      <c r="F18" s="235"/>
      <c r="G18" s="162"/>
      <c r="H18" s="162"/>
      <c r="I18" s="162"/>
      <c r="J18" s="162"/>
      <c r="K18" s="162"/>
      <c r="L18" s="162"/>
      <c r="M18" s="145"/>
      <c r="N18" s="145"/>
      <c r="O18" s="145"/>
      <c r="P18" s="145"/>
      <c r="Q18" s="145"/>
      <c r="R18" s="145"/>
      <c r="V18" s="163"/>
      <c r="W18" s="163"/>
      <c r="X18" s="163"/>
    </row>
    <row r="19" spans="1:29" ht="17.399999999999999" customHeight="1">
      <c r="A19" s="153"/>
      <c r="B19" s="167"/>
      <c r="C19" s="168"/>
      <c r="D19" s="169"/>
      <c r="E19" s="160"/>
      <c r="F19" s="345"/>
      <c r="G19" s="345"/>
      <c r="H19" s="345"/>
      <c r="I19" s="345"/>
      <c r="J19" s="345"/>
      <c r="K19" s="346"/>
      <c r="L19" s="162"/>
      <c r="M19" s="145"/>
      <c r="N19" s="145"/>
      <c r="O19" s="145"/>
      <c r="P19" s="145"/>
      <c r="Q19" s="145"/>
      <c r="R19" s="145"/>
      <c r="V19" s="163"/>
      <c r="W19" s="163"/>
      <c r="X19" s="163"/>
    </row>
    <row r="20" spans="1:29" ht="18" customHeight="1">
      <c r="A20" s="153"/>
      <c r="B20" s="154" t="s">
        <v>32</v>
      </c>
      <c r="C20" s="258" t="str">
        <f>$C$4</f>
        <v>2021-22</v>
      </c>
      <c r="D20" s="169"/>
      <c r="E20" s="160"/>
      <c r="F20" s="345"/>
      <c r="G20" s="345"/>
      <c r="H20" s="345"/>
      <c r="I20" s="345"/>
      <c r="J20" s="345"/>
      <c r="K20" s="345"/>
      <c r="L20" s="162"/>
      <c r="M20" s="260"/>
      <c r="N20" s="145"/>
      <c r="O20" s="145"/>
      <c r="P20" s="145"/>
      <c r="Q20" s="145"/>
      <c r="R20" s="145"/>
      <c r="V20" s="163"/>
      <c r="W20" s="163"/>
      <c r="X20" s="163"/>
    </row>
    <row r="21" spans="1:29" ht="18" customHeight="1">
      <c r="A21" s="153"/>
      <c r="B21" s="156" t="s">
        <v>162</v>
      </c>
      <c r="C21" s="1720">
        <f>'Model update'!I43</f>
        <v>1205053524.3024337</v>
      </c>
      <c r="D21" s="1401"/>
      <c r="E21" s="160"/>
      <c r="F21" s="345"/>
      <c r="G21" s="345"/>
      <c r="H21" s="345"/>
      <c r="I21" s="345"/>
      <c r="J21" s="345"/>
      <c r="K21" s="345"/>
      <c r="L21" s="155"/>
      <c r="M21" s="145"/>
      <c r="N21" s="145"/>
      <c r="O21" s="145"/>
      <c r="S21" s="163"/>
      <c r="T21" s="163"/>
      <c r="U21" s="163"/>
    </row>
    <row r="22" spans="1:29" ht="18" customHeight="1">
      <c r="A22" s="153"/>
      <c r="B22" s="164" t="s">
        <v>29</v>
      </c>
      <c r="C22" s="1316">
        <f>'Model update'!B31</f>
        <v>8.6058519793459354E-3</v>
      </c>
      <c r="D22" s="160"/>
      <c r="F22" s="347"/>
      <c r="G22" s="348"/>
      <c r="H22" s="348"/>
      <c r="I22" s="348"/>
      <c r="J22" s="348"/>
      <c r="K22" s="348"/>
      <c r="L22" s="155"/>
      <c r="M22" s="145"/>
      <c r="N22" s="145"/>
      <c r="O22" s="145"/>
      <c r="S22" s="163"/>
      <c r="T22" s="163"/>
      <c r="U22" s="163"/>
    </row>
    <row r="23" spans="1:29" ht="18" customHeight="1">
      <c r="A23" s="153"/>
      <c r="B23" s="164" t="s">
        <v>30</v>
      </c>
      <c r="C23" s="1317">
        <f>'Model update'!J47</f>
        <v>2.0350825128281194E-2</v>
      </c>
      <c r="D23" s="160"/>
      <c r="F23" s="347"/>
      <c r="G23" s="347"/>
      <c r="H23" s="347"/>
      <c r="I23" s="347"/>
      <c r="J23" s="347"/>
      <c r="K23" s="347"/>
      <c r="L23" s="155"/>
      <c r="M23" s="145"/>
      <c r="N23" s="145"/>
      <c r="O23" s="145"/>
      <c r="S23" s="163"/>
      <c r="T23" s="163"/>
      <c r="U23" s="163"/>
    </row>
    <row r="24" spans="1:29" ht="18" customHeight="1">
      <c r="A24" s="153"/>
      <c r="B24" s="164" t="s">
        <v>940</v>
      </c>
      <c r="C24" s="1317">
        <f>'Model update'!J61</f>
        <v>-2.1953231152414987E-2</v>
      </c>
      <c r="D24" s="438"/>
      <c r="G24" s="347"/>
      <c r="H24" s="347"/>
      <c r="I24" s="347"/>
      <c r="J24" s="347"/>
      <c r="K24" s="347"/>
      <c r="L24" s="155"/>
      <c r="M24" s="145"/>
      <c r="N24" s="145"/>
      <c r="O24" s="145"/>
      <c r="S24" s="163"/>
      <c r="T24" s="163"/>
      <c r="U24" s="163"/>
    </row>
    <row r="25" spans="1:29" ht="18" customHeight="1">
      <c r="A25" s="153"/>
      <c r="B25" s="200" t="s">
        <v>36</v>
      </c>
      <c r="C25" s="1719">
        <f>C21*(1+C22)*(1-C23)*(1+C24)</f>
        <v>1164549680.2948508</v>
      </c>
      <c r="D25" s="348"/>
      <c r="E25" s="160"/>
      <c r="J25" s="143"/>
      <c r="K25" s="143"/>
      <c r="L25" s="260"/>
      <c r="M25" s="145"/>
      <c r="N25" s="145"/>
      <c r="O25" s="145"/>
      <c r="S25" s="163"/>
      <c r="T25" s="163"/>
      <c r="U25" s="163"/>
    </row>
    <row r="26" spans="1:29" ht="18" customHeight="1">
      <c r="A26" s="153"/>
      <c r="B26" s="171"/>
      <c r="C26" s="172"/>
      <c r="D26" s="172"/>
      <c r="E26" s="160"/>
      <c r="F26" s="162"/>
      <c r="G26" s="162"/>
      <c r="H26" s="162"/>
      <c r="I26" s="162"/>
      <c r="J26" s="162"/>
      <c r="K26" s="162"/>
      <c r="L26" s="162"/>
      <c r="M26" s="145"/>
      <c r="N26" s="145"/>
      <c r="O26" s="145"/>
      <c r="P26" s="145"/>
      <c r="Q26" s="145"/>
      <c r="R26" s="145"/>
      <c r="V26" s="163"/>
      <c r="W26" s="163"/>
      <c r="X26" s="163"/>
    </row>
    <row r="27" spans="1:29" ht="18" customHeight="1">
      <c r="A27" s="171"/>
      <c r="B27" s="173" t="s">
        <v>93</v>
      </c>
      <c r="C27" s="257" t="str">
        <f>C4</f>
        <v>2021-22</v>
      </c>
      <c r="D27" s="362"/>
      <c r="E27" s="160"/>
      <c r="H27" s="262"/>
      <c r="I27" s="262"/>
      <c r="L27" s="162"/>
      <c r="M27" s="145"/>
      <c r="N27" s="145"/>
      <c r="O27" s="145"/>
      <c r="P27" s="145"/>
      <c r="Q27" s="145"/>
      <c r="R27" s="145"/>
      <c r="V27" s="163"/>
      <c r="W27" s="163"/>
      <c r="X27" s="163"/>
    </row>
    <row r="28" spans="1:29" ht="18" customHeight="1">
      <c r="A28" s="153"/>
      <c r="B28" s="174" t="s">
        <v>31</v>
      </c>
      <c r="C28" s="1721">
        <f>(-E58*(1+E55)^0.5)</f>
        <v>-9312824.4588096142</v>
      </c>
      <c r="D28" s="364"/>
      <c r="E28" s="160"/>
      <c r="F28" s="161"/>
      <c r="G28" s="162"/>
      <c r="H28" s="162"/>
      <c r="I28" s="162"/>
      <c r="J28" s="162"/>
      <c r="K28" s="162"/>
      <c r="L28" s="162"/>
      <c r="M28" s="145"/>
      <c r="N28" s="145"/>
      <c r="O28" s="145"/>
      <c r="P28" s="145"/>
      <c r="Q28" s="145"/>
      <c r="R28" s="145"/>
      <c r="V28" s="163"/>
      <c r="W28" s="163"/>
      <c r="X28" s="163"/>
    </row>
    <row r="29" spans="1:29" ht="18" customHeight="1">
      <c r="A29" s="153"/>
      <c r="B29" s="175" t="s">
        <v>28</v>
      </c>
      <c r="C29" s="1719">
        <f>SUM(C28:C28)</f>
        <v>-9312824.4588096142</v>
      </c>
      <c r="D29" s="348"/>
      <c r="E29" s="160"/>
      <c r="F29" s="161"/>
      <c r="G29" s="162"/>
      <c r="H29" s="161"/>
      <c r="I29" s="161"/>
      <c r="J29" s="161"/>
      <c r="K29" s="162"/>
      <c r="L29" s="162"/>
      <c r="M29" s="162"/>
      <c r="N29" s="162"/>
      <c r="O29" s="162"/>
      <c r="P29" s="162"/>
      <c r="Q29" s="162"/>
      <c r="R29" s="145"/>
      <c r="AA29" s="163"/>
      <c r="AB29" s="163"/>
      <c r="AC29" s="163"/>
    </row>
    <row r="30" spans="1:29" ht="18" customHeight="1">
      <c r="A30" s="153"/>
      <c r="B30" s="154"/>
      <c r="C30" s="169"/>
      <c r="D30" s="169"/>
      <c r="E30" s="160"/>
      <c r="F30" s="162"/>
      <c r="G30" s="162"/>
      <c r="H30" s="263"/>
      <c r="I30" s="161"/>
      <c r="J30" s="161"/>
      <c r="K30" s="162"/>
      <c r="L30" s="162"/>
      <c r="M30" s="162"/>
      <c r="N30" s="162"/>
      <c r="O30" s="162"/>
      <c r="P30" s="162"/>
      <c r="Q30" s="162"/>
      <c r="R30" s="145"/>
      <c r="AA30" s="163"/>
      <c r="AB30" s="163"/>
      <c r="AC30" s="163"/>
    </row>
    <row r="31" spans="1:29" ht="18" customHeight="1">
      <c r="A31" s="153"/>
      <c r="E31" s="160"/>
      <c r="F31" s="162"/>
      <c r="G31" s="162"/>
      <c r="H31" s="162"/>
      <c r="I31" s="161"/>
      <c r="J31" s="162"/>
      <c r="K31" s="162"/>
      <c r="L31" s="162"/>
      <c r="M31" s="162"/>
      <c r="N31" s="162"/>
      <c r="O31" s="162"/>
      <c r="P31" s="162"/>
      <c r="Q31" s="145"/>
      <c r="R31" s="145"/>
      <c r="Z31" s="163"/>
      <c r="AA31" s="163"/>
      <c r="AB31" s="163"/>
    </row>
    <row r="32" spans="1:29" ht="18" customHeight="1">
      <c r="B32" s="177" t="s">
        <v>112</v>
      </c>
      <c r="I32" s="161"/>
      <c r="J32" s="162"/>
      <c r="K32" s="162"/>
      <c r="L32" s="162"/>
      <c r="M32" s="162"/>
      <c r="N32" s="162"/>
      <c r="O32" s="162"/>
      <c r="P32" s="162"/>
      <c r="Q32" s="145"/>
      <c r="R32" s="145"/>
      <c r="Z32" s="163"/>
      <c r="AA32" s="163"/>
      <c r="AB32" s="163"/>
    </row>
    <row r="33" spans="1:11">
      <c r="B33" s="178"/>
      <c r="C33" s="179" t="s">
        <v>57</v>
      </c>
      <c r="D33" s="365" t="s">
        <v>946</v>
      </c>
      <c r="E33" s="179" t="s">
        <v>7</v>
      </c>
      <c r="I33" s="144"/>
      <c r="K33" s="143"/>
    </row>
    <row r="34" spans="1:11">
      <c r="B34" s="180"/>
      <c r="C34" s="181" t="s">
        <v>6</v>
      </c>
      <c r="D34" s="181" t="s">
        <v>947</v>
      </c>
      <c r="E34" s="181" t="s">
        <v>8</v>
      </c>
      <c r="J34" s="143"/>
      <c r="K34" s="143"/>
    </row>
    <row r="35" spans="1:11">
      <c r="B35" s="182"/>
      <c r="C35" s="183" t="str">
        <f>'Model update'!B9</f>
        <v>2019-20</v>
      </c>
      <c r="D35" s="183" t="str">
        <f>'Model update'!B8</f>
        <v>2020-21</v>
      </c>
      <c r="E35" s="183" t="str">
        <f>'Model update'!B7</f>
        <v>2021-22</v>
      </c>
      <c r="J35" s="143"/>
      <c r="K35" s="143"/>
    </row>
    <row r="36" spans="1:11" ht="14.25" customHeight="1">
      <c r="B36" s="442"/>
      <c r="C36" s="180"/>
      <c r="D36" s="180"/>
      <c r="E36" s="184"/>
      <c r="J36" s="143"/>
      <c r="K36" s="143"/>
    </row>
    <row r="37" spans="1:11" ht="15" customHeight="1">
      <c r="B37" s="185" t="s">
        <v>56</v>
      </c>
      <c r="C37" s="1722">
        <f>SUM(C38:C39)</f>
        <v>1317370915.1000001</v>
      </c>
      <c r="D37" s="1722">
        <f>SUM(D38:D39)</f>
        <v>1157803000.0999999</v>
      </c>
      <c r="E37" s="1723">
        <f>C10</f>
        <v>1154190141.4760413</v>
      </c>
      <c r="F37" s="256"/>
      <c r="J37" s="143"/>
      <c r="K37" s="143"/>
    </row>
    <row r="38" spans="1:11" ht="15" customHeight="1">
      <c r="B38" s="512" t="s">
        <v>970</v>
      </c>
      <c r="C38" s="1724">
        <f>'Model update'!G84</f>
        <v>1314823133.6600001</v>
      </c>
      <c r="D38" s="1724">
        <f>'Model update'!I84</f>
        <v>1155346277.7570159</v>
      </c>
      <c r="E38" s="1725"/>
      <c r="J38" s="143"/>
      <c r="K38" s="143"/>
    </row>
    <row r="39" spans="1:11" ht="14.25" customHeight="1">
      <c r="B39" s="512" t="s">
        <v>971</v>
      </c>
      <c r="C39" s="1724">
        <f>'Model update'!G85</f>
        <v>2547781.4400000004</v>
      </c>
      <c r="D39" s="1724">
        <f>'Model update'!I85</f>
        <v>2456722.3429840002</v>
      </c>
      <c r="E39" s="1726"/>
      <c r="J39" s="143"/>
      <c r="K39" s="143"/>
    </row>
    <row r="40" spans="1:11" ht="15" customHeight="1">
      <c r="B40" s="187" t="s">
        <v>68</v>
      </c>
      <c r="C40" s="1723">
        <f>SUM(C41:C45)</f>
        <v>1293364812.8654008</v>
      </c>
      <c r="D40" s="1723">
        <f>SUM(D41:D45)</f>
        <v>1205053524.3024337</v>
      </c>
      <c r="E40" s="1727">
        <f>SUM(E41:E44)</f>
        <v>1163502965.9348509</v>
      </c>
      <c r="J40" s="143"/>
      <c r="K40" s="143"/>
    </row>
    <row r="41" spans="1:11" ht="14.25" customHeight="1">
      <c r="A41" s="143"/>
      <c r="B41" s="188" t="s">
        <v>1686</v>
      </c>
      <c r="C41" s="1728">
        <f>'Model update'!G42+'Model update'!G62</f>
        <v>1325455729.0110989</v>
      </c>
      <c r="D41" s="1728">
        <f>'Model update'!I42+'Model update'!I62</f>
        <v>1205053524.3024337</v>
      </c>
      <c r="E41" s="1726">
        <f>'Model update'!J42+'Model update'!J62</f>
        <v>1164549680.2948508</v>
      </c>
      <c r="G41" s="1400"/>
      <c r="H41" s="1768"/>
      <c r="J41" s="143"/>
      <c r="K41" s="143"/>
    </row>
    <row r="42" spans="1:11" ht="14.25" customHeight="1">
      <c r="A42" s="143"/>
      <c r="B42" s="188" t="s">
        <v>1403</v>
      </c>
      <c r="C42" s="1726"/>
      <c r="D42" s="1726"/>
      <c r="E42" s="1726">
        <f>'Model update'!J70</f>
        <v>-1046714.3600000001</v>
      </c>
      <c r="G42" s="439"/>
      <c r="H42" s="1768"/>
      <c r="J42" s="143"/>
      <c r="K42" s="143"/>
    </row>
    <row r="43" spans="1:11" ht="14.25" customHeight="1">
      <c r="A43" s="143"/>
      <c r="B43" s="188" t="s">
        <v>1402</v>
      </c>
      <c r="C43" s="1726">
        <f>'Model update'!G90</f>
        <v>-32090916.1456981</v>
      </c>
      <c r="D43" s="1728">
        <v>0</v>
      </c>
      <c r="E43" s="1726">
        <v>0</v>
      </c>
      <c r="G43" s="439"/>
      <c r="H43" s="1769"/>
      <c r="J43" s="143"/>
      <c r="K43" s="143"/>
    </row>
    <row r="44" spans="1:11" ht="14.25" customHeight="1">
      <c r="A44" s="143"/>
      <c r="B44" s="188" t="s">
        <v>973</v>
      </c>
      <c r="C44" s="1726">
        <f>'Model update'!G66</f>
        <v>0</v>
      </c>
      <c r="D44" s="1726">
        <f>'Model update'!G66</f>
        <v>0</v>
      </c>
      <c r="E44" s="1726">
        <f>C16</f>
        <v>0</v>
      </c>
      <c r="J44" s="143"/>
      <c r="K44" s="143"/>
    </row>
    <row r="45" spans="1:11" ht="14.25" customHeight="1">
      <c r="A45" s="143"/>
      <c r="B45" s="188"/>
      <c r="C45" s="1729"/>
      <c r="D45" s="1729"/>
      <c r="E45" s="1730"/>
      <c r="J45" s="143"/>
      <c r="K45" s="143"/>
    </row>
    <row r="46" spans="1:11">
      <c r="A46" s="143"/>
      <c r="B46" s="190" t="s">
        <v>956</v>
      </c>
      <c r="C46" s="1731">
        <v>0</v>
      </c>
      <c r="D46" s="1732">
        <v>0</v>
      </c>
      <c r="E46" s="1731">
        <v>0</v>
      </c>
      <c r="J46" s="143"/>
      <c r="K46" s="143"/>
    </row>
    <row r="47" spans="1:11" ht="15" customHeight="1">
      <c r="A47" s="143"/>
      <c r="B47" s="191" t="s">
        <v>958</v>
      </c>
      <c r="C47" s="1727">
        <f>C37-C40+C46</f>
        <v>24006102.234599352</v>
      </c>
      <c r="D47" s="1727">
        <f>D37-D40+D46</f>
        <v>-47250524.202433825</v>
      </c>
      <c r="E47" s="1727">
        <f>E37-E40+E46</f>
        <v>-9312824.4588096142</v>
      </c>
      <c r="F47" s="256"/>
      <c r="J47" s="143"/>
      <c r="K47" s="143"/>
    </row>
    <row r="48" spans="1:11">
      <c r="A48" s="143"/>
      <c r="B48" s="192"/>
      <c r="J48" s="143"/>
      <c r="K48" s="143"/>
    </row>
    <row r="49" spans="1:11" ht="14.25" customHeight="1">
      <c r="A49" s="143"/>
      <c r="B49" s="192"/>
      <c r="E49" s="141"/>
      <c r="J49" s="143"/>
      <c r="K49" s="143"/>
    </row>
    <row r="50" spans="1:11" ht="14.25" customHeight="1">
      <c r="A50" s="143"/>
      <c r="B50" s="192"/>
      <c r="E50" s="141"/>
      <c r="J50" s="143"/>
      <c r="K50" s="143"/>
    </row>
    <row r="51" spans="1:11" ht="14.25" customHeight="1">
      <c r="A51" s="143"/>
      <c r="B51" s="177" t="s">
        <v>114</v>
      </c>
      <c r="E51" s="141"/>
      <c r="J51" s="143"/>
      <c r="K51" s="143"/>
    </row>
    <row r="52" spans="1:11">
      <c r="A52" s="143"/>
      <c r="B52" s="193"/>
      <c r="C52" s="365" t="s">
        <v>57</v>
      </c>
      <c r="D52" s="365" t="s">
        <v>948</v>
      </c>
      <c r="E52" s="365" t="s">
        <v>7</v>
      </c>
      <c r="J52" s="143"/>
      <c r="K52" s="143"/>
    </row>
    <row r="53" spans="1:11" ht="14.25" customHeight="1">
      <c r="A53" s="143"/>
      <c r="B53" s="194"/>
      <c r="C53" s="181" t="s">
        <v>6</v>
      </c>
      <c r="D53" s="181" t="s">
        <v>6</v>
      </c>
      <c r="E53" s="181" t="s">
        <v>8</v>
      </c>
      <c r="J53" s="143"/>
      <c r="K53" s="143"/>
    </row>
    <row r="54" spans="1:11" ht="15.75" customHeight="1">
      <c r="A54" s="143"/>
      <c r="B54" s="195" t="s">
        <v>115</v>
      </c>
      <c r="C54" s="183" t="str">
        <f>C35</f>
        <v>2019-20</v>
      </c>
      <c r="D54" s="183" t="str">
        <f>D35</f>
        <v>2020-21</v>
      </c>
      <c r="E54" s="183" t="str">
        <f>E35</f>
        <v>2021-22</v>
      </c>
      <c r="J54" s="143"/>
      <c r="K54" s="143"/>
    </row>
    <row r="55" spans="1:11">
      <c r="A55" s="143"/>
      <c r="B55" s="194" t="s">
        <v>157</v>
      </c>
      <c r="C55" s="374">
        <f>'Model update'!G51</f>
        <v>5.9824761261038563E-2</v>
      </c>
      <c r="D55" s="374">
        <f>'Model update'!I51</f>
        <v>4.2845042391632671E-2</v>
      </c>
      <c r="E55" s="374">
        <f>(1+E56)*(1+E57)-1</f>
        <v>3.1228392305169494E-2</v>
      </c>
      <c r="J55" s="143"/>
      <c r="K55" s="143"/>
    </row>
    <row r="56" spans="1:11">
      <c r="A56" s="143"/>
      <c r="B56" s="194" t="s">
        <v>954</v>
      </c>
      <c r="C56" s="374"/>
      <c r="D56" s="374"/>
      <c r="E56" s="374">
        <f>'Model update'!J52</f>
        <v>2.2429515237719279E-2</v>
      </c>
      <c r="G56" s="376"/>
      <c r="J56" s="143"/>
      <c r="K56" s="143"/>
    </row>
    <row r="57" spans="1:11">
      <c r="A57" s="143"/>
      <c r="B57" s="194" t="s">
        <v>955</v>
      </c>
      <c r="C57" s="377"/>
      <c r="D57" s="377"/>
      <c r="E57" s="377">
        <f>'Model update'!B31</f>
        <v>8.6058519793459354E-3</v>
      </c>
      <c r="J57" s="143"/>
      <c r="K57" s="143"/>
    </row>
    <row r="58" spans="1:11" ht="14.25" customHeight="1">
      <c r="A58" s="143"/>
      <c r="B58" s="194" t="s">
        <v>11</v>
      </c>
      <c r="C58" s="1733">
        <f>'TAM 20-21 DUOS unders_overs'!C66</f>
        <v>28636723.350344006</v>
      </c>
      <c r="D58" s="1733">
        <f>C62</f>
        <v>55063660.374810822</v>
      </c>
      <c r="E58" s="1734">
        <f>D62</f>
        <v>9170731.6601986419</v>
      </c>
      <c r="J58" s="143"/>
      <c r="K58" s="143"/>
    </row>
    <row r="59" spans="1:11" ht="14.25" customHeight="1">
      <c r="A59" s="143"/>
      <c r="B59" s="194" t="s">
        <v>949</v>
      </c>
      <c r="C59" s="1733">
        <f>C58*C55</f>
        <v>1713185.1377327386</v>
      </c>
      <c r="D59" s="1733">
        <f>D58*D55</f>
        <v>2359204.8629972339</v>
      </c>
      <c r="E59" s="1733">
        <f>(E58*(1+E55)-E58)</f>
        <v>286387.20601012185</v>
      </c>
      <c r="J59" s="143"/>
      <c r="K59" s="143"/>
    </row>
    <row r="60" spans="1:11" ht="14.25" customHeight="1">
      <c r="A60" s="143"/>
      <c r="B60" s="194" t="s">
        <v>12</v>
      </c>
      <c r="C60" s="1734">
        <f>C47</f>
        <v>24006102.234599352</v>
      </c>
      <c r="D60" s="1734">
        <f>D47</f>
        <v>-47250524.202433825</v>
      </c>
      <c r="E60" s="1735">
        <f>E47</f>
        <v>-9312824.4588096142</v>
      </c>
      <c r="F60" s="256"/>
      <c r="J60" s="143"/>
      <c r="K60" s="143"/>
    </row>
    <row r="61" spans="1:11" ht="14.25" customHeight="1">
      <c r="A61" s="143"/>
      <c r="B61" s="194" t="s">
        <v>95</v>
      </c>
      <c r="C61" s="1736">
        <f>C60*((1+C55)^0.5-1)</f>
        <v>707649.65213472047</v>
      </c>
      <c r="D61" s="1736">
        <f>D60*((1+D55)^0.5-1)</f>
        <v>-1001609.37517559</v>
      </c>
      <c r="E61" s="1736">
        <f>E60*((1+E55)^0.5-1)</f>
        <v>-144294.40739914816</v>
      </c>
      <c r="J61" s="143"/>
      <c r="K61" s="143"/>
    </row>
    <row r="62" spans="1:11" ht="14.25" customHeight="1">
      <c r="A62" s="143"/>
      <c r="B62" s="191" t="s">
        <v>60</v>
      </c>
      <c r="C62" s="1727">
        <f>SUM(C58:C61)</f>
        <v>55063660.374810822</v>
      </c>
      <c r="D62" s="1727">
        <f>SUM(D58:D61)</f>
        <v>9170731.6601986419</v>
      </c>
      <c r="E62" s="1790">
        <f>SUM(E58:E61)</f>
        <v>1.4551915228366852E-9</v>
      </c>
      <c r="J62" s="143"/>
      <c r="K62" s="143"/>
    </row>
    <row r="63" spans="1:11" ht="14.25" customHeight="1">
      <c r="A63" s="143"/>
      <c r="J63" s="143"/>
      <c r="K63" s="143"/>
    </row>
    <row r="64" spans="1:11" ht="14.25" customHeight="1">
      <c r="A64" s="143"/>
      <c r="B64" s="93"/>
      <c r="J64" s="143"/>
      <c r="K64" s="143"/>
    </row>
    <row r="65" spans="1:11" ht="14.25" customHeight="1">
      <c r="A65" s="143"/>
      <c r="J65" s="143"/>
      <c r="K65" s="143"/>
    </row>
    <row r="66" spans="1:11" ht="15" customHeight="1">
      <c r="A66" s="143"/>
      <c r="C66" s="196"/>
      <c r="D66" s="196"/>
      <c r="J66" s="143"/>
      <c r="K66" s="143"/>
    </row>
    <row r="67" spans="1:11" ht="14.25" customHeight="1">
      <c r="C67" s="196"/>
      <c r="D67" s="196"/>
      <c r="E67" s="445"/>
      <c r="F67" s="197"/>
      <c r="J67" s="143"/>
      <c r="K67" s="143"/>
    </row>
    <row r="69" spans="1:11" ht="14.25" customHeight="1"/>
    <row r="71" spans="1:11" ht="14.25" customHeight="1"/>
    <row r="72" spans="1:11" ht="14.25" customHeight="1"/>
    <row r="73" spans="1:11" ht="14.25" customHeight="1"/>
    <row r="75" spans="1:11" ht="14.25" customHeight="1"/>
    <row r="76" spans="1:11" ht="14.25" customHeight="1"/>
  </sheetData>
  <conditionalFormatting sqref="C28:D28">
    <cfRule type="cellIs" dxfId="44" priority="1" stopIfTrue="1" operator="equal">
      <formula>"YES"</formula>
    </cfRule>
    <cfRule type="cellIs" dxfId="43" priority="2" stopIfTrue="1" operator="equal">
      <formula>"NO"</formula>
    </cfRule>
  </conditionalFormatting>
  <pageMargins left="0.31496062992125984" right="0.31496062992125984" top="0.74803149606299213" bottom="0.35433070866141736" header="0.31496062992125984" footer="0.31496062992125984"/>
  <pageSetup paperSize="9" scale="7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pageSetUpPr autoPageBreaks="0" fitToPage="1"/>
  </sheetPr>
  <dimension ref="A1:O123"/>
  <sheetViews>
    <sheetView topLeftCell="A2" zoomScale="85" zoomScaleNormal="85" workbookViewId="0">
      <selection activeCell="K29" sqref="K29"/>
    </sheetView>
  </sheetViews>
  <sheetFormatPr defaultColWidth="9.109375" defaultRowHeight="13.2"/>
  <cols>
    <col min="1" max="1" width="11.5546875" style="1047" customWidth="1"/>
    <col min="2" max="2" width="22.33203125" style="1049" customWidth="1"/>
    <col min="3" max="3" width="21.6640625" style="1049" customWidth="1"/>
    <col min="4" max="5" width="40.6640625" style="1049" customWidth="1"/>
    <col min="6" max="6" width="21.109375" style="1049" customWidth="1"/>
    <col min="7" max="7" width="17.6640625" style="1049" customWidth="1"/>
    <col min="8" max="8" width="22.5546875" style="1049" customWidth="1"/>
    <col min="9" max="9" width="19.6640625" style="1552" customWidth="1"/>
    <col min="10" max="10" width="12.44140625" style="1049" customWidth="1"/>
    <col min="11" max="11" width="12.5546875" style="1049" customWidth="1"/>
    <col min="12" max="13" width="10" style="1049" bestFit="1" customWidth="1"/>
    <col min="14" max="14" width="9.6640625" style="1049" customWidth="1"/>
    <col min="15" max="15" width="10.88671875" style="1049" customWidth="1"/>
    <col min="16" max="16" width="11" style="1049" customWidth="1"/>
    <col min="17" max="18" width="10.6640625" style="1049" bestFit="1" customWidth="1"/>
    <col min="19" max="19" width="11.33203125" style="1049" customWidth="1"/>
    <col min="20" max="22" width="10.5546875" style="1049" customWidth="1"/>
    <col min="23" max="23" width="11.109375" style="1049" customWidth="1"/>
    <col min="24" max="26" width="10.5546875" style="1049" customWidth="1"/>
    <col min="27" max="27" width="1.88671875" style="1049" customWidth="1"/>
    <col min="28" max="28" width="14.44140625" style="1049" customWidth="1"/>
    <col min="29" max="32" width="12" style="1049" customWidth="1"/>
    <col min="33" max="36" width="10.5546875" style="1049" customWidth="1"/>
    <col min="37" max="37" width="11.88671875" style="1049" customWidth="1"/>
    <col min="38" max="40" width="10.5546875" style="1049" customWidth="1"/>
    <col min="41" max="41" width="11.33203125" style="1049" bestFit="1" customWidth="1"/>
    <col min="42" max="44" width="10.5546875" style="1049" customWidth="1"/>
    <col min="45" max="45" width="11.33203125" style="1049" bestFit="1" customWidth="1"/>
    <col min="46" max="48" width="10.5546875" style="1049" customWidth="1"/>
    <col min="49" max="49" width="1.88671875" style="1049" customWidth="1"/>
    <col min="50" max="50" width="15.6640625" style="1049" bestFit="1" customWidth="1"/>
    <col min="51" max="51" width="19.109375" style="1049" bestFit="1" customWidth="1"/>
    <col min="52" max="52" width="17.88671875" style="1049" bestFit="1" customWidth="1"/>
    <col min="53" max="53" width="15.6640625" style="1049" customWidth="1"/>
    <col min="54" max="54" width="17.88671875" style="1049" bestFit="1" customWidth="1"/>
    <col min="55" max="55" width="19.109375" style="1049" bestFit="1" customWidth="1"/>
    <col min="56" max="57" width="17.88671875" style="1049" bestFit="1" customWidth="1"/>
    <col min="58" max="58" width="10" style="1049" bestFit="1" customWidth="1"/>
    <col min="59" max="60" width="15.6640625" style="1049" bestFit="1" customWidth="1"/>
    <col min="61" max="61" width="16.33203125" style="1049" customWidth="1"/>
    <col min="62" max="62" width="10.6640625" style="1049" bestFit="1" customWidth="1"/>
    <col min="63" max="65" width="15.6640625" style="1049" bestFit="1" customWidth="1"/>
    <col min="66" max="66" width="9.109375" style="1049"/>
    <col min="67" max="67" width="14.5546875" style="1049" customWidth="1"/>
    <col min="68" max="69" width="14.88671875" style="1049" bestFit="1" customWidth="1"/>
    <col min="70" max="70" width="10.6640625" style="1049" customWidth="1"/>
    <col min="71" max="71" width="1.88671875" style="1049" customWidth="1"/>
    <col min="72" max="72" width="14.44140625" style="1049" bestFit="1" customWidth="1"/>
    <col min="73" max="74" width="15.6640625" style="1049" bestFit="1" customWidth="1"/>
    <col min="75" max="79" width="14.44140625" style="1049" bestFit="1" customWidth="1"/>
    <col min="80" max="80" width="9.88671875" style="1049" bestFit="1" customWidth="1"/>
    <col min="81" max="82" width="14.44140625" style="1049" bestFit="1" customWidth="1"/>
    <col min="83" max="84" width="10.5546875" style="1049" bestFit="1" customWidth="1"/>
    <col min="85" max="86" width="14.44140625" style="1049" bestFit="1" customWidth="1"/>
    <col min="87" max="87" width="13.109375" style="1049" bestFit="1" customWidth="1"/>
    <col min="88" max="88" width="9.109375" style="1049"/>
    <col min="89" max="89" width="13.5546875" style="1049" customWidth="1"/>
    <col min="90" max="90" width="13.88671875" style="1049" customWidth="1"/>
    <col min="91" max="91" width="12.6640625" style="1049" customWidth="1"/>
    <col min="92" max="92" width="10.5546875" style="1049" customWidth="1"/>
    <col min="93" max="93" width="15.6640625" style="1049" bestFit="1" customWidth="1"/>
    <col min="94" max="94" width="1.88671875" style="1049" customWidth="1"/>
    <col min="95" max="95" width="14.44140625" style="1049" customWidth="1"/>
    <col min="96" max="96" width="15.6640625" style="1049" bestFit="1" customWidth="1"/>
    <col min="97" max="102" width="14.44140625" style="1049" bestFit="1" customWidth="1"/>
    <col min="103" max="103" width="10" style="1049" bestFit="1" customWidth="1"/>
    <col min="104" max="105" width="14.44140625" style="1049" bestFit="1" customWidth="1"/>
    <col min="106" max="107" width="10.5546875" style="1049" bestFit="1" customWidth="1"/>
    <col min="108" max="110" width="14.44140625" style="1049" bestFit="1" customWidth="1"/>
    <col min="111" max="111" width="9.109375" style="1049"/>
    <col min="112" max="114" width="13.5546875" style="1049" customWidth="1"/>
    <col min="115" max="115" width="10.5546875" style="1049" customWidth="1"/>
    <col min="116" max="116" width="15.6640625" style="1049" bestFit="1" customWidth="1"/>
    <col min="117" max="16384" width="9.109375" style="1049"/>
  </cols>
  <sheetData>
    <row r="1" spans="2:10" ht="13.8">
      <c r="B1" s="1048" t="str">
        <f>"Tariff Approval - "&amp;'Model update'!B3</f>
        <v>Tariff Approval - Ergon Energy</v>
      </c>
      <c r="C1" s="1048"/>
    </row>
    <row r="3" spans="2:10">
      <c r="B3" s="1050" t="str">
        <f>'Model update'!B6&amp;" DISTRIBUTION TARIFF REBALANCING CONTROL"</f>
        <v>2021-22 DISTRIBUTION TARIFF REBALANCING CONTROL</v>
      </c>
      <c r="C3" s="1050"/>
    </row>
    <row r="4" spans="2:10" ht="6" customHeight="1" thickBot="1">
      <c r="B4" s="1050"/>
      <c r="C4" s="1050"/>
    </row>
    <row r="5" spans="2:10" ht="6" customHeight="1">
      <c r="B5" s="1051"/>
      <c r="C5" s="1052"/>
      <c r="D5" s="1052"/>
      <c r="E5" s="1053"/>
    </row>
    <row r="6" spans="2:10">
      <c r="B6" s="1054" t="s">
        <v>48</v>
      </c>
      <c r="C6" s="1055"/>
      <c r="D6" s="1056"/>
      <c r="E6" s="1057"/>
    </row>
    <row r="7" spans="2:10" ht="6" customHeight="1">
      <c r="B7" s="1058"/>
      <c r="C7" s="1056"/>
      <c r="D7" s="1056"/>
      <c r="E7" s="1057"/>
    </row>
    <row r="8" spans="2:10">
      <c r="B8" s="1058" t="str">
        <f>"CPI "&amp;'Model update'!$B$6</f>
        <v>CPI 2021-22</v>
      </c>
      <c r="C8" s="1304">
        <f>'Model update'!$B$31</f>
        <v>8.6058519793459354E-3</v>
      </c>
      <c r="D8" s="1059"/>
      <c r="E8" s="1060"/>
      <c r="J8" s="1061"/>
    </row>
    <row r="9" spans="2:10">
      <c r="B9" s="1058" t="str">
        <f>"X "&amp; 'Model update'!$B$6</f>
        <v>X 2021-22</v>
      </c>
      <c r="C9" s="1305">
        <f>MIN('Model update'!J47,0)</f>
        <v>0</v>
      </c>
      <c r="D9" s="1059" t="s">
        <v>930</v>
      </c>
      <c r="E9" s="1060"/>
      <c r="J9" s="1061"/>
    </row>
    <row r="10" spans="2:10">
      <c r="B10" s="1058" t="str">
        <f>"S "&amp; 'Model update'!$B$6</f>
        <v>S 2021-22</v>
      </c>
      <c r="C10" s="1305">
        <f>'Model update'!J61</f>
        <v>-2.1953231152414987E-2</v>
      </c>
      <c r="D10" s="1059"/>
      <c r="E10" s="1060"/>
      <c r="J10" s="1061"/>
    </row>
    <row r="11" spans="2:10">
      <c r="B11" s="1058" t="str">
        <f>"I "&amp; 'Model update'!$B$6</f>
        <v>I 2021-22</v>
      </c>
      <c r="C11" s="1305">
        <f>('Model update'!J70-'Model update'!I70)/Prop2021DUOSTariffs!GK100</f>
        <v>-9.22814276883847E-4</v>
      </c>
      <c r="D11" s="1059"/>
      <c r="E11" s="1060"/>
      <c r="J11" s="1061"/>
    </row>
    <row r="12" spans="2:10">
      <c r="B12" s="1058" t="str">
        <f>"B "&amp;'Model update'!$B$6</f>
        <v>B 2021-22</v>
      </c>
      <c r="C12" s="1306">
        <f>('Model update'!J90-'Model update'!I90)/Prop2021DUOSTariffs!GK100</f>
        <v>1.6488561828123555E-2</v>
      </c>
      <c r="D12" s="1890"/>
      <c r="E12" s="1891"/>
      <c r="F12" s="1063"/>
      <c r="G12" s="1475"/>
    </row>
    <row r="13" spans="2:10" ht="13.95" customHeight="1">
      <c r="B13" s="1058" t="str">
        <f>"C "&amp;'Model update'!$B$6</f>
        <v>C 2021-22</v>
      </c>
      <c r="C13" s="1307">
        <f>'Model update'!J66</f>
        <v>0</v>
      </c>
      <c r="D13" s="1059"/>
      <c r="E13" s="1060"/>
    </row>
    <row r="14" spans="2:10" ht="6" customHeight="1">
      <c r="B14" s="1058"/>
      <c r="C14" s="1056"/>
      <c r="D14" s="1059"/>
      <c r="E14" s="1060"/>
    </row>
    <row r="15" spans="2:10">
      <c r="B15" s="1064"/>
      <c r="C15" s="1476">
        <f>((1+C8)*(1-C9)*(1+0.02)*(1+C10)+(C11+C12+C13))-1</f>
        <v>2.1758716011787804E-2</v>
      </c>
      <c r="D15" s="1059"/>
      <c r="E15" s="1065"/>
      <c r="J15" s="1066"/>
    </row>
    <row r="16" spans="2:10" ht="6" customHeight="1" thickBot="1">
      <c r="B16" s="1067"/>
      <c r="C16" s="1068"/>
      <c r="D16" s="1068"/>
      <c r="E16" s="1069"/>
    </row>
    <row r="17" spans="1:15" ht="6" customHeight="1" thickBot="1">
      <c r="B17" s="1070"/>
      <c r="C17" s="1070"/>
      <c r="D17" s="1070"/>
      <c r="E17" s="1070"/>
    </row>
    <row r="18" spans="1:15" s="1072" customFormat="1">
      <c r="A18" s="1071"/>
      <c r="B18" s="1051"/>
      <c r="C18" s="1052"/>
      <c r="D18" s="1052"/>
      <c r="E18" s="1052"/>
      <c r="F18" s="1052"/>
      <c r="G18" s="1053"/>
      <c r="I18" s="1553"/>
    </row>
    <row r="19" spans="1:15" s="1072" customFormat="1">
      <c r="A19" s="1071"/>
      <c r="B19" s="1054" t="s">
        <v>49</v>
      </c>
      <c r="C19" s="1055"/>
      <c r="D19" s="1073" t="str">
        <f>"Pt-1*(Qt " &amp;'Model update'!$B$8&amp;")"</f>
        <v>Pt-1*(Qt 2020-21)</v>
      </c>
      <c r="E19" s="1073" t="str">
        <f>"Pt*(Qt " &amp;'Model update'!$B$6&amp;")"</f>
        <v>Pt*(Qt 2021-22)</v>
      </c>
      <c r="F19" s="1056"/>
      <c r="G19" s="1057"/>
      <c r="I19" s="1553"/>
    </row>
    <row r="20" spans="1:15" s="1072" customFormat="1">
      <c r="A20" s="1071"/>
      <c r="B20" s="1563" t="s">
        <v>50</v>
      </c>
      <c r="C20" s="1563" t="s">
        <v>903</v>
      </c>
      <c r="D20" s="1564" t="s">
        <v>51</v>
      </c>
      <c r="E20" s="1564" t="s">
        <v>52</v>
      </c>
      <c r="F20" s="1564" t="s">
        <v>53</v>
      </c>
      <c r="G20" s="1074"/>
      <c r="I20" s="1553"/>
    </row>
    <row r="21" spans="1:15" s="1072" customFormat="1" ht="12.75" customHeight="1">
      <c r="A21" s="1071"/>
      <c r="B21" s="1075" t="s">
        <v>743</v>
      </c>
      <c r="C21" s="1076" t="s">
        <v>1696</v>
      </c>
      <c r="D21" s="1078">
        <f>SUMIFS($H$30:$H$120,$B$30:$B$120,$B21)</f>
        <v>53756320.906186804</v>
      </c>
      <c r="E21" s="1078">
        <f>SUMIFS($F$30:$F$120,$B$30:$B$120,$B21)</f>
        <v>50787090.714867875</v>
      </c>
      <c r="F21" s="1062">
        <f>IFERROR(((E21-D21)/D21),"")</f>
        <v>-5.5234996392344277E-2</v>
      </c>
      <c r="G21" s="1074" t="str">
        <f t="shared" ref="G21:G22" si="0">IF(F21="","",IF(F21&lt;$C$15,"COMPLIANT","BREACHED"))</f>
        <v>COMPLIANT</v>
      </c>
      <c r="I21" s="1553"/>
      <c r="J21" s="1077"/>
    </row>
    <row r="22" spans="1:15" s="1072" customFormat="1" ht="12.75" customHeight="1">
      <c r="A22" s="1071"/>
      <c r="B22" s="1075" t="s">
        <v>762</v>
      </c>
      <c r="C22" s="1076" t="s">
        <v>1696</v>
      </c>
      <c r="D22" s="1078">
        <f>SUMIFS($H$30:$H$120,$B$30:$B$120,$B22)</f>
        <v>60093676.71494361</v>
      </c>
      <c r="E22" s="1078">
        <f>SUMIFS($F$30:$F$120,$B$30:$B$120,$B22)</f>
        <v>61039862.889439188</v>
      </c>
      <c r="F22" s="1062">
        <f t="shared" ref="F22:F23" si="1">IFERROR(((E22-D22)/D22),"")</f>
        <v>1.5745186951762729E-2</v>
      </c>
      <c r="G22" s="1074" t="str">
        <f t="shared" si="0"/>
        <v>COMPLIANT</v>
      </c>
      <c r="I22" s="1553"/>
    </row>
    <row r="23" spans="1:15" s="1072" customFormat="1">
      <c r="A23" s="1071"/>
      <c r="B23" s="1075" t="s">
        <v>765</v>
      </c>
      <c r="C23" s="1076" t="s">
        <v>1696</v>
      </c>
      <c r="D23" s="1078">
        <f>SUMIFS($H$30:$H$120,$B$30:$B$120,$B23)</f>
        <v>1020413294.8092142</v>
      </c>
      <c r="E23" s="1078">
        <f>SUMIFS($F$30:$F$120,$B$30:$B$120,$B23)</f>
        <v>1042363187.989344</v>
      </c>
      <c r="F23" s="1062">
        <f t="shared" si="1"/>
        <v>2.1510787140649437E-2</v>
      </c>
      <c r="G23" s="1074" t="str">
        <f>IF(F23="","",IF(F23&lt;$C$15,"COMPLIANT","BREACHED"))</f>
        <v>COMPLIANT</v>
      </c>
      <c r="H23" s="1562"/>
      <c r="I23" s="1553"/>
    </row>
    <row r="24" spans="1:15" s="1072" customFormat="1" ht="13.8" thickBot="1">
      <c r="A24" s="1071"/>
      <c r="B24" s="1079"/>
      <c r="C24" s="1080"/>
      <c r="D24" s="1081" t="str">
        <f>IF(B24="","",SUMIF($B$30:$B$120,$B24,$H$30:$H$120))</f>
        <v/>
      </c>
      <c r="E24" s="1081" t="str">
        <f>IF(B24="","",SUMIF($B$30:$B$120,$B24,$F$30:$F$120))</f>
        <v/>
      </c>
      <c r="F24" s="1082" t="str">
        <f t="shared" ref="F24" si="2">IF(B24="","",E24/D24)</f>
        <v/>
      </c>
      <c r="G24" s="1083" t="str">
        <f>IFERROR(IF(B24="","",IF(F24&lt;$C$15,"COMPLIANT","BREACHED")),"")</f>
        <v/>
      </c>
      <c r="I24" s="1553"/>
    </row>
    <row r="25" spans="1:15" s="1072" customFormat="1">
      <c r="A25" s="1071"/>
      <c r="B25" s="1084" t="s">
        <v>54</v>
      </c>
      <c r="C25" s="1085"/>
      <c r="D25" s="1086" t="str">
        <f>IF(ABS(SUM(D21:D24)-H122)&lt;0.01,"Ok","Error")</f>
        <v>Ok</v>
      </c>
      <c r="E25" s="1087" t="str">
        <f>IF(ABS(SUM(E21:E24)-F122)&lt;0.01,"Ok","Error")</f>
        <v>Ok</v>
      </c>
      <c r="F25" s="1050"/>
      <c r="G25" s="1049"/>
      <c r="I25" s="1553"/>
    </row>
    <row r="26" spans="1:15" s="1072" customFormat="1">
      <c r="A26" s="1071"/>
      <c r="B26" s="1088"/>
      <c r="C26" s="1089"/>
      <c r="D26" s="1090" t="str">
        <f>IF(ABS(SUM(D21:D24)-Prop2021DUOSTariffs!GK100)&lt;0.01,"Ok","Error")</f>
        <v>Ok</v>
      </c>
      <c r="E26" s="1090" t="str">
        <f>IF(ABS(SUM(E21:E24)-Prop2021DUOSTariffs!EZ100)&lt;0.01,"Ok","Error")</f>
        <v>Ok</v>
      </c>
      <c r="F26" s="1050"/>
      <c r="G26" s="1049"/>
      <c r="I26" s="1553"/>
    </row>
    <row r="27" spans="1:15" s="1072" customFormat="1">
      <c r="A27" s="1071"/>
      <c r="B27" s="1091"/>
      <c r="C27" s="1091"/>
      <c r="D27" s="1091"/>
      <c r="E27" s="1091"/>
      <c r="F27" s="1091"/>
      <c r="I27" s="1553"/>
    </row>
    <row r="28" spans="1:15" s="1072" customFormat="1" ht="27" thickBot="1">
      <c r="A28" s="1071"/>
      <c r="F28" s="1600" t="str">
        <f>"Revenue (Pt "&amp;'Model update'!$B$6&amp;")*(Qt " &amp;'Model update'!$B$6&amp;")"</f>
        <v>Revenue (Pt 2021-22)*(Qt 2021-22)</v>
      </c>
      <c r="H28" s="1600" t="str">
        <f>"Revenue (Pt-1 "&amp;'Model update'!$B$8&amp;")*(Qt " &amp;'Model update'!$B$6&amp;")"</f>
        <v>Revenue (Pt-1 2020-21)*(Qt 2021-22)</v>
      </c>
      <c r="I28" s="1553"/>
      <c r="O28" s="1092"/>
    </row>
    <row r="29" spans="1:15" s="1072" customFormat="1" ht="47.25" customHeight="1" thickBot="1">
      <c r="A29" s="1093" t="s">
        <v>55</v>
      </c>
      <c r="B29" s="1094" t="str">
        <f>Prop2021DUOSTariffs!E5</f>
        <v>Tariff class</v>
      </c>
      <c r="C29" s="1094" t="s">
        <v>903</v>
      </c>
      <c r="D29" s="1094" t="s">
        <v>38</v>
      </c>
      <c r="E29" s="1095" t="s">
        <v>39</v>
      </c>
      <c r="F29" s="1096" t="s">
        <v>40</v>
      </c>
      <c r="G29" s="1049"/>
      <c r="H29" s="1096" t="s">
        <v>41</v>
      </c>
      <c r="I29" s="1553"/>
    </row>
    <row r="30" spans="1:15" s="1072" customFormat="1">
      <c r="A30" s="1097"/>
      <c r="B30" s="1098" t="s">
        <v>743</v>
      </c>
      <c r="C30" s="1098"/>
      <c r="D30" s="1058" t="s">
        <v>1907</v>
      </c>
      <c r="E30" s="1058" t="s">
        <v>1907</v>
      </c>
      <c r="F30" s="1099">
        <f>Prop2021DUOSTariffs!EZ8</f>
        <v>50787090.714867875</v>
      </c>
      <c r="G30" s="1049"/>
      <c r="H30" s="1099">
        <f>Prop2021DUOSTariffs!GK8</f>
        <v>53756320.906186804</v>
      </c>
      <c r="I30" s="1554">
        <f t="shared" ref="I30:I45" si="3">IFERROR(IF(AND(H30=0,F30&gt;0),"XXXX",F30/H30-1),"--")</f>
        <v>-5.5234996392344304E-2</v>
      </c>
    </row>
    <row r="31" spans="1:15" s="1072" customFormat="1" ht="6" customHeight="1">
      <c r="A31" s="1242" t="s">
        <v>742</v>
      </c>
      <c r="B31" s="1242"/>
      <c r="C31" s="1242"/>
      <c r="D31" s="1243"/>
      <c r="E31" s="1243"/>
      <c r="F31" s="1244"/>
      <c r="G31" s="1245"/>
      <c r="H31" s="1244"/>
      <c r="I31" s="1555"/>
    </row>
    <row r="32" spans="1:15" s="1072" customFormat="1">
      <c r="A32" s="1097" t="b">
        <f t="shared" ref="A32:A45" si="4">OR(EXACT(D32,$E$30:$E$120))</f>
        <v>1</v>
      </c>
      <c r="B32" s="1098" t="str">
        <f>IF(Prop2021DUOSTariffs!E10="","",Prop2021DUOSTariffs!E10)</f>
        <v>CAC</v>
      </c>
      <c r="C32" s="1098" t="str">
        <f>IF(Prop2021DUOSTariffs!G10="","",Prop2021DUOSTariffs!G10)</f>
        <v>East</v>
      </c>
      <c r="D32" s="1058" t="str">
        <f>IF(Prop2021DUOSTariffs!C10="","",Prop2021DUOSTariffs!C10)</f>
        <v>East CAC66kV Anytime</v>
      </c>
      <c r="E32" s="1058" t="str">
        <f>IF(Prop2021DUOSTariffs!D10="","",Prop2021DUOSTariffs!D10)</f>
        <v>East CAC66kV Anytime</v>
      </c>
      <c r="F32" s="1099">
        <f>Prop2021DUOSTariffs!EZ10</f>
        <v>9785833.6752529982</v>
      </c>
      <c r="G32" s="1049"/>
      <c r="H32" s="1099">
        <f>Prop2021DUOSTariffs!GK10</f>
        <v>9616165.1109847538</v>
      </c>
      <c r="I32" s="1554">
        <f t="shared" si="3"/>
        <v>1.764409848520887E-2</v>
      </c>
    </row>
    <row r="33" spans="1:9" s="1072" customFormat="1">
      <c r="A33" s="1097" t="b">
        <f t="shared" si="4"/>
        <v>1</v>
      </c>
      <c r="B33" s="1098" t="str">
        <f>IF(Prop2021DUOSTariffs!E11="","",Prop2021DUOSTariffs!E11)</f>
        <v>CAC</v>
      </c>
      <c r="C33" s="1098" t="str">
        <f>IF(Prop2021DUOSTariffs!G11="","",Prop2021DUOSTariffs!G11)</f>
        <v>East</v>
      </c>
      <c r="D33" s="1058" t="str">
        <f>IF(Prop2021DUOSTariffs!C11="","",Prop2021DUOSTariffs!C11)</f>
        <v>East CAC33kV Anytime</v>
      </c>
      <c r="E33" s="1058" t="str">
        <f>IF(Prop2021DUOSTariffs!D11="","",Prop2021DUOSTariffs!D11)</f>
        <v>East CAC33kV Anytime</v>
      </c>
      <c r="F33" s="1099">
        <f>Prop2021DUOSTariffs!EZ11</f>
        <v>3656702.4022939238</v>
      </c>
      <c r="G33" s="1049"/>
      <c r="H33" s="1099">
        <f>Prop2021DUOSTariffs!GK11</f>
        <v>3607612.1930205836</v>
      </c>
      <c r="I33" s="1554">
        <f t="shared" si="3"/>
        <v>1.3607396429225815E-2</v>
      </c>
    </row>
    <row r="34" spans="1:9" s="1072" customFormat="1">
      <c r="A34" s="1097" t="b">
        <f t="shared" si="4"/>
        <v>1</v>
      </c>
      <c r="B34" s="1098" t="str">
        <f>IF(Prop2021DUOSTariffs!E12="","",Prop2021DUOSTariffs!E12)</f>
        <v>CAC</v>
      </c>
      <c r="C34" s="1098" t="str">
        <f>IF(Prop2021DUOSTariffs!G12="","",Prop2021DUOSTariffs!G12)</f>
        <v>East</v>
      </c>
      <c r="D34" s="1058" t="str">
        <f>IF(Prop2021DUOSTariffs!C12="","",Prop2021DUOSTariffs!C12)</f>
        <v>East CAC22/11kVBus Anytime</v>
      </c>
      <c r="E34" s="1058" t="str">
        <f>IF(Prop2021DUOSTariffs!D12="","",Prop2021DUOSTariffs!D12)</f>
        <v>East CAC22/11kVBus Anytime</v>
      </c>
      <c r="F34" s="1099">
        <f>Prop2021DUOSTariffs!EZ12</f>
        <v>8948394.0245567858</v>
      </c>
      <c r="G34" s="1049"/>
      <c r="H34" s="1099">
        <f>Prop2021DUOSTariffs!GK12</f>
        <v>8734971.8917466179</v>
      </c>
      <c r="I34" s="1554">
        <f t="shared" si="3"/>
        <v>2.4433064634337587E-2</v>
      </c>
    </row>
    <row r="35" spans="1:9" s="1072" customFormat="1">
      <c r="A35" s="1097" t="b">
        <f t="shared" si="4"/>
        <v>1</v>
      </c>
      <c r="B35" s="1098" t="str">
        <f>IF(Prop2021DUOSTariffs!E13="","",Prop2021DUOSTariffs!E13)</f>
        <v>CAC</v>
      </c>
      <c r="C35" s="1098" t="str">
        <f>IF(Prop2021DUOSTariffs!G13="","",Prop2021DUOSTariffs!G13)</f>
        <v>East</v>
      </c>
      <c r="D35" s="1058" t="str">
        <f>IF(Prop2021DUOSTariffs!C13="","",Prop2021DUOSTariffs!C13)</f>
        <v>East CAC22/11kVLine Anytime</v>
      </c>
      <c r="E35" s="1058" t="str">
        <f>IF(Prop2021DUOSTariffs!D13="","",Prop2021DUOSTariffs!D13)</f>
        <v>East CAC22/11kVLine Anytime</v>
      </c>
      <c r="F35" s="1099">
        <f>Prop2021DUOSTariffs!EZ13</f>
        <v>33487129.165565901</v>
      </c>
      <c r="G35" s="1049"/>
      <c r="H35" s="1099">
        <f>Prop2021DUOSTariffs!GK13</f>
        <v>33022887.784676034</v>
      </c>
      <c r="I35" s="1554">
        <f t="shared" si="3"/>
        <v>1.405817031862644E-2</v>
      </c>
    </row>
    <row r="36" spans="1:9" s="1072" customFormat="1">
      <c r="A36" s="1097" t="b">
        <f t="shared" si="4"/>
        <v>1</v>
      </c>
      <c r="B36" s="1098" t="str">
        <f>IF(Prop2021DUOSTariffs!E14="","",Prop2021DUOSTariffs!E14)</f>
        <v>CAC</v>
      </c>
      <c r="C36" s="1098" t="str">
        <f>IF(Prop2021DUOSTariffs!G14="","",Prop2021DUOSTariffs!G14)</f>
        <v>East</v>
      </c>
      <c r="D36" s="1058" t="str">
        <f>IF(Prop2021DUOSTariffs!C14="","",Prop2021DUOSTariffs!C14)</f>
        <v>East CACHigherVoltage STOUD</v>
      </c>
      <c r="E36" s="1058" t="str">
        <f>IF(Prop2021DUOSTariffs!D14="","",Prop2021DUOSTariffs!D14)</f>
        <v>East CACHigherVoltage STOUD</v>
      </c>
      <c r="F36" s="1099">
        <f>Prop2021DUOSTariffs!EZ14</f>
        <v>494909.34036977857</v>
      </c>
      <c r="G36" s="1049"/>
      <c r="H36" s="1099">
        <f>Prop2021DUOSTariffs!GK14</f>
        <v>485788.38406171801</v>
      </c>
      <c r="I36" s="1554">
        <f t="shared" si="3"/>
        <v>1.8775575141998013E-2</v>
      </c>
    </row>
    <row r="37" spans="1:9" s="1072" customFormat="1">
      <c r="A37" s="1097" t="b">
        <f t="shared" si="4"/>
        <v>1</v>
      </c>
      <c r="B37" s="1098" t="str">
        <f>IF(Prop2021DUOSTariffs!E15="","",Prop2021DUOSTariffs!E15)</f>
        <v>CAC</v>
      </c>
      <c r="C37" s="1098" t="str">
        <f>IF(Prop2021DUOSTariffs!G15="","",Prop2021DUOSTariffs!G15)</f>
        <v>East</v>
      </c>
      <c r="D37" s="1058" t="str">
        <f>IF(Prop2021DUOSTariffs!C15="","",Prop2021DUOSTariffs!C15)</f>
        <v>East CAC22/11kVBus STOUD</v>
      </c>
      <c r="E37" s="1058" t="str">
        <f>IF(Prop2021DUOSTariffs!D15="","",Prop2021DUOSTariffs!D15)</f>
        <v>East CAC22/11kVBus STOUD</v>
      </c>
      <c r="F37" s="1099">
        <f>Prop2021DUOSTariffs!EZ15</f>
        <v>0</v>
      </c>
      <c r="G37" s="1049"/>
      <c r="H37" s="1099">
        <f>Prop2021DUOSTariffs!GK15</f>
        <v>0</v>
      </c>
      <c r="I37" s="1554" t="str">
        <f t="shared" si="3"/>
        <v>--</v>
      </c>
    </row>
    <row r="38" spans="1:9" s="1072" customFormat="1">
      <c r="A38" s="1097" t="b">
        <f t="shared" si="4"/>
        <v>1</v>
      </c>
      <c r="B38" s="1098" t="str">
        <f>IF(Prop2021DUOSTariffs!E16="","",Prop2021DUOSTariffs!E16)</f>
        <v>CAC</v>
      </c>
      <c r="C38" s="1098" t="str">
        <f>IF(Prop2021DUOSTariffs!G16="","",Prop2021DUOSTariffs!G16)</f>
        <v>East</v>
      </c>
      <c r="D38" s="1058" t="str">
        <f>IF(Prop2021DUOSTariffs!C16="","",Prop2021DUOSTariffs!C16)</f>
        <v>East CAC22/11kVLine STOUD</v>
      </c>
      <c r="E38" s="1058" t="str">
        <f>IF(Prop2021DUOSTariffs!D16="","",Prop2021DUOSTariffs!D16)</f>
        <v>East CAC22/11kVLine STOUD</v>
      </c>
      <c r="F38" s="1099">
        <f>Prop2021DUOSTariffs!EZ16</f>
        <v>107196.83242590142</v>
      </c>
      <c r="G38" s="1049"/>
      <c r="H38" s="1099">
        <f>Prop2021DUOSTariffs!GK16</f>
        <v>108558.77136447054</v>
      </c>
      <c r="I38" s="1554">
        <f t="shared" si="3"/>
        <v>-1.2545636998751553E-2</v>
      </c>
    </row>
    <row r="39" spans="1:9" s="1072" customFormat="1">
      <c r="A39" s="1097" t="b">
        <f t="shared" si="4"/>
        <v>1</v>
      </c>
      <c r="B39" s="1098" t="str">
        <f>IF(Prop2021DUOSTariffs!E17="","",Prop2021DUOSTariffs!E17)</f>
        <v>CAC</v>
      </c>
      <c r="C39" s="1098" t="str">
        <f>IF(Prop2021DUOSTariffs!G17="","",Prop2021DUOSTariffs!G17)</f>
        <v>West</v>
      </c>
      <c r="D39" s="1058" t="str">
        <f>IF(Prop2021DUOSTariffs!C17="","",Prop2021DUOSTariffs!C17)</f>
        <v>West CAC66kV Anytime</v>
      </c>
      <c r="E39" s="1058" t="str">
        <f>IF(Prop2021DUOSTariffs!D17="","",Prop2021DUOSTariffs!D17)</f>
        <v>West CAC66kV Anytime</v>
      </c>
      <c r="F39" s="1099">
        <f>Prop2021DUOSTariffs!EZ17</f>
        <v>980038.48212806298</v>
      </c>
      <c r="G39" s="1049"/>
      <c r="H39" s="1099">
        <f>Prop2021DUOSTariffs!GK17</f>
        <v>974014.8849359022</v>
      </c>
      <c r="I39" s="1554">
        <f t="shared" si="3"/>
        <v>6.1842968575960278E-3</v>
      </c>
    </row>
    <row r="40" spans="1:9" s="1072" customFormat="1">
      <c r="A40" s="1097" t="b">
        <f t="shared" si="4"/>
        <v>1</v>
      </c>
      <c r="B40" s="1098" t="str">
        <f>IF(Prop2021DUOSTariffs!E18="","",Prop2021DUOSTariffs!E18)</f>
        <v>CAC</v>
      </c>
      <c r="C40" s="1098" t="str">
        <f>IF(Prop2021DUOSTariffs!G18="","",Prop2021DUOSTariffs!G18)</f>
        <v>West</v>
      </c>
      <c r="D40" s="1058" t="str">
        <f>IF(Prop2021DUOSTariffs!C18="","",Prop2021DUOSTariffs!C18)</f>
        <v>West CAC33kV Anytime</v>
      </c>
      <c r="E40" s="1058" t="str">
        <f>IF(Prop2021DUOSTariffs!D18="","",Prop2021DUOSTariffs!D18)</f>
        <v>West CAC33kV Anytime</v>
      </c>
      <c r="F40" s="1099">
        <f>Prop2021DUOSTariffs!EZ18</f>
        <v>1576511.2725250288</v>
      </c>
      <c r="G40" s="1049"/>
      <c r="H40" s="1099">
        <f>Prop2021DUOSTariffs!GK18</f>
        <v>1576125.9938669158</v>
      </c>
      <c r="I40" s="1554">
        <f t="shared" si="3"/>
        <v>2.4444661125588851E-4</v>
      </c>
    </row>
    <row r="41" spans="1:9" s="1072" customFormat="1">
      <c r="A41" s="1097" t="b">
        <f t="shared" si="4"/>
        <v>1</v>
      </c>
      <c r="B41" s="1098" t="str">
        <f>IF(Prop2021DUOSTariffs!E19="","",Prop2021DUOSTariffs!E19)</f>
        <v>CAC</v>
      </c>
      <c r="C41" s="1098" t="str">
        <f>IF(Prop2021DUOSTariffs!G19="","",Prop2021DUOSTariffs!G19)</f>
        <v>West</v>
      </c>
      <c r="D41" s="1058" t="str">
        <f>IF(Prop2021DUOSTariffs!C19="","",Prop2021DUOSTariffs!C19)</f>
        <v>West CAC22/11kVBus Anytime</v>
      </c>
      <c r="E41" s="1058" t="str">
        <f>IF(Prop2021DUOSTariffs!D19="","",Prop2021DUOSTariffs!D19)</f>
        <v>West CAC22/11kVBus Anytime</v>
      </c>
      <c r="F41" s="1099">
        <f>Prop2021DUOSTariffs!EZ19</f>
        <v>0</v>
      </c>
      <c r="G41" s="1049"/>
      <c r="H41" s="1099">
        <f>Prop2021DUOSTariffs!GK19</f>
        <v>0</v>
      </c>
      <c r="I41" s="1554" t="str">
        <f t="shared" si="3"/>
        <v>--</v>
      </c>
    </row>
    <row r="42" spans="1:9" s="1072" customFormat="1">
      <c r="A42" s="1097" t="b">
        <f t="shared" si="4"/>
        <v>1</v>
      </c>
      <c r="B42" s="1098" t="str">
        <f>IF(Prop2021DUOSTariffs!E20="","",Prop2021DUOSTariffs!E20)</f>
        <v>CAC</v>
      </c>
      <c r="C42" s="1098" t="str">
        <f>IF(Prop2021DUOSTariffs!G20="","",Prop2021DUOSTariffs!G20)</f>
        <v>West</v>
      </c>
      <c r="D42" s="1058" t="str">
        <f>IF(Prop2021DUOSTariffs!C20="","",Prop2021DUOSTariffs!C20)</f>
        <v>West CAC22/11kVLine Anytime</v>
      </c>
      <c r="E42" s="1058" t="str">
        <f>IF(Prop2021DUOSTariffs!D20="","",Prop2021DUOSTariffs!D20)</f>
        <v>West CAC22/11kVLine Anytime</v>
      </c>
      <c r="F42" s="1099">
        <f>Prop2021DUOSTariffs!EZ20</f>
        <v>2003147.694320814</v>
      </c>
      <c r="G42" s="1049"/>
      <c r="H42" s="1099">
        <f>Prop2021DUOSTariffs!GK20</f>
        <v>1967551.7002866126</v>
      </c>
      <c r="I42" s="1554">
        <f t="shared" si="3"/>
        <v>1.8091516491798521E-2</v>
      </c>
    </row>
    <row r="43" spans="1:9" s="1072" customFormat="1">
      <c r="A43" s="1097" t="b">
        <f t="shared" si="4"/>
        <v>1</v>
      </c>
      <c r="B43" s="1098" t="str">
        <f>IF(Prop2021DUOSTariffs!E21="","",Prop2021DUOSTariffs!E21)</f>
        <v>CAC</v>
      </c>
      <c r="C43" s="1098" t="str">
        <f>IF(Prop2021DUOSTariffs!G21="","",Prop2021DUOSTariffs!G21)</f>
        <v>West</v>
      </c>
      <c r="D43" s="1058" t="str">
        <f>IF(Prop2021DUOSTariffs!C21="","",Prop2021DUOSTariffs!C21)</f>
        <v>West CACHigherVoltage STOUD</v>
      </c>
      <c r="E43" s="1058" t="str">
        <f>IF(Prop2021DUOSTariffs!D21="","",Prop2021DUOSTariffs!D21)</f>
        <v>West CACHigherVoltage STOUD</v>
      </c>
      <c r="F43" s="1099">
        <f>Prop2021DUOSTariffs!EZ21</f>
        <v>0</v>
      </c>
      <c r="G43" s="1049"/>
      <c r="H43" s="1099">
        <f>Prop2021DUOSTariffs!GK21</f>
        <v>0</v>
      </c>
      <c r="I43" s="1554" t="str">
        <f t="shared" si="3"/>
        <v>--</v>
      </c>
    </row>
    <row r="44" spans="1:9" s="1072" customFormat="1">
      <c r="A44" s="1097" t="b">
        <f t="shared" si="4"/>
        <v>1</v>
      </c>
      <c r="B44" s="1098" t="str">
        <f>IF(Prop2021DUOSTariffs!E22="","",Prop2021DUOSTariffs!E22)</f>
        <v>CAC</v>
      </c>
      <c r="C44" s="1098" t="str">
        <f>IF(Prop2021DUOSTariffs!G22="","",Prop2021DUOSTariffs!G22)</f>
        <v>West</v>
      </c>
      <c r="D44" s="1058" t="str">
        <f>IF(Prop2021DUOSTariffs!C22="","",Prop2021DUOSTariffs!C22)</f>
        <v>West CAC22/11kVBus STOUD</v>
      </c>
      <c r="E44" s="1058" t="str">
        <f>IF(Prop2021DUOSTariffs!D22="","",Prop2021DUOSTariffs!D22)</f>
        <v>West CAC22/11kVBus STOUD</v>
      </c>
      <c r="F44" s="1099">
        <f>Prop2021DUOSTariffs!EZ22</f>
        <v>0</v>
      </c>
      <c r="G44" s="1049"/>
      <c r="H44" s="1099">
        <f>Prop2021DUOSTariffs!GK22</f>
        <v>0</v>
      </c>
      <c r="I44" s="1554" t="str">
        <f t="shared" si="3"/>
        <v>--</v>
      </c>
    </row>
    <row r="45" spans="1:9" s="1072" customFormat="1">
      <c r="A45" s="1097" t="b">
        <f t="shared" si="4"/>
        <v>1</v>
      </c>
      <c r="B45" s="1098" t="str">
        <f>IF(Prop2021DUOSTariffs!E23="","",Prop2021DUOSTariffs!E23)</f>
        <v>CAC</v>
      </c>
      <c r="C45" s="1098" t="str">
        <f>IF(Prop2021DUOSTariffs!G23="","",Prop2021DUOSTariffs!G23)</f>
        <v>West</v>
      </c>
      <c r="D45" s="1058" t="str">
        <f>IF(Prop2021DUOSTariffs!C23="","",Prop2021DUOSTariffs!C23)</f>
        <v>West CAC22/11kVLine STOUD</v>
      </c>
      <c r="E45" s="1058" t="str">
        <f>IF(Prop2021DUOSTariffs!D23="","",Prop2021DUOSTariffs!D23)</f>
        <v>West CAC22/11kVLine STOUD</v>
      </c>
      <c r="F45" s="1099">
        <f>Prop2021DUOSTariffs!EZ23</f>
        <v>0</v>
      </c>
      <c r="G45" s="1049"/>
      <c r="H45" s="1099">
        <f>Prop2021DUOSTariffs!GK23</f>
        <v>0</v>
      </c>
      <c r="I45" s="1554" t="str">
        <f t="shared" si="3"/>
        <v>--</v>
      </c>
    </row>
    <row r="46" spans="1:9" s="1072" customFormat="1" ht="6" customHeight="1">
      <c r="A46" s="1242" t="s">
        <v>742</v>
      </c>
      <c r="B46" s="1242"/>
      <c r="C46" s="1242"/>
      <c r="D46" s="1243"/>
      <c r="E46" s="1243"/>
      <c r="F46" s="1244"/>
      <c r="G46" s="1245"/>
      <c r="H46" s="1244"/>
      <c r="I46" s="1555"/>
    </row>
    <row r="47" spans="1:9" s="1072" customFormat="1">
      <c r="A47" s="1097" t="b">
        <f t="shared" ref="A47:A67" si="5">OR(EXACT(D47,$E$30:$E$120))</f>
        <v>1</v>
      </c>
      <c r="B47" s="1098" t="str">
        <f>IF(Prop2021DUOSTariffs!E25="","",Prop2021DUOSTariffs!E25)</f>
        <v>SAC</v>
      </c>
      <c r="C47" s="1098" t="str">
        <f>IF(Prop2021DUOSTariffs!G25="","",Prop2021DUOSTariffs!G25)</f>
        <v>East</v>
      </c>
      <c r="D47" s="1058" t="str">
        <f>IF(Prop2021DUOSTariffs!C25="","",Prop2021DUOSTariffs!C25)</f>
        <v>East SAC&gt;100MWhpa DemandLarge</v>
      </c>
      <c r="E47" s="1058" t="str">
        <f>IF(Prop2021DUOSTariffs!D25="","",Prop2021DUOSTariffs!D25)</f>
        <v>East SAC&gt;100MWhpa DemandLarge</v>
      </c>
      <c r="F47" s="1099">
        <f>Prop2021DUOSTariffs!EZ25</f>
        <v>34070830.360753864</v>
      </c>
      <c r="G47" s="1049"/>
      <c r="H47" s="1099">
        <f>Prop2021DUOSTariffs!GK25</f>
        <v>33411033.414915673</v>
      </c>
      <c r="I47" s="1554">
        <f t="shared" ref="I47:I67" si="6">IFERROR(IF(AND(H47=0,F47&gt;0),"XXXX",F47/H47-1),"--")</f>
        <v>1.9747876027792488E-2</v>
      </c>
    </row>
    <row r="48" spans="1:9" s="1072" customFormat="1">
      <c r="A48" s="1097" t="b">
        <f t="shared" si="5"/>
        <v>1</v>
      </c>
      <c r="B48" s="1098" t="str">
        <f>IF(Prop2021DUOSTariffs!E26="","",Prop2021DUOSTariffs!E26)</f>
        <v>SAC</v>
      </c>
      <c r="C48" s="1098" t="str">
        <f>IF(Prop2021DUOSTariffs!G26="","",Prop2021DUOSTariffs!G26)</f>
        <v>East</v>
      </c>
      <c r="D48" s="1058" t="str">
        <f>IF(Prop2021DUOSTariffs!C26="","",Prop2021DUOSTariffs!C26)</f>
        <v>East SAC&gt;100MWhpa DemandMedium</v>
      </c>
      <c r="E48" s="1058" t="str">
        <f>IF(Prop2021DUOSTariffs!D26="","",Prop2021DUOSTariffs!D26)</f>
        <v>East SAC&gt;100MWhpa DemandMedium</v>
      </c>
      <c r="F48" s="1099">
        <f>Prop2021DUOSTariffs!EZ26</f>
        <v>85205771.827382281</v>
      </c>
      <c r="G48" s="1049"/>
      <c r="H48" s="1099">
        <f>Prop2021DUOSTariffs!GK26</f>
        <v>83279577.164841965</v>
      </c>
      <c r="I48" s="1554">
        <f t="shared" si="6"/>
        <v>2.3129256032696333E-2</v>
      </c>
    </row>
    <row r="49" spans="1:9" s="1072" customFormat="1">
      <c r="A49" s="1097" t="b">
        <f t="shared" si="5"/>
        <v>1</v>
      </c>
      <c r="B49" s="1098" t="str">
        <f>IF(Prop2021DUOSTariffs!E27="","",Prop2021DUOSTariffs!E27)</f>
        <v>SAC</v>
      </c>
      <c r="C49" s="1098" t="str">
        <f>IF(Prop2021DUOSTariffs!G27="","",Prop2021DUOSTariffs!G27)</f>
        <v>East</v>
      </c>
      <c r="D49" s="1058" t="str">
        <f>IF(Prop2021DUOSTariffs!C27="","",Prop2021DUOSTariffs!C27)</f>
        <v>East SAC&gt;100MWhpa DemandSmall</v>
      </c>
      <c r="E49" s="1058" t="str">
        <f>IF(Prop2021DUOSTariffs!D27="","",Prop2021DUOSTariffs!D27)</f>
        <v>East SAC&gt;100MWhpa DemandSmall</v>
      </c>
      <c r="F49" s="1099">
        <f>Prop2021DUOSTariffs!EZ27</f>
        <v>86074861.774030805</v>
      </c>
      <c r="G49" s="1049"/>
      <c r="H49" s="1099">
        <f>Prop2021DUOSTariffs!GK27</f>
        <v>85083645.566116929</v>
      </c>
      <c r="I49" s="1554">
        <f t="shared" si="6"/>
        <v>1.164990288461043E-2</v>
      </c>
    </row>
    <row r="50" spans="1:9" s="1072" customFormat="1">
      <c r="A50" s="1097" t="b">
        <f t="shared" si="5"/>
        <v>1</v>
      </c>
      <c r="B50" s="1098" t="str">
        <f>IF(Prop2021DUOSTariffs!E28="","",Prop2021DUOSTariffs!E28)</f>
        <v>SAC</v>
      </c>
      <c r="C50" s="1098" t="str">
        <f>IF(Prop2021DUOSTariffs!G28="","",Prop2021DUOSTariffs!G28)</f>
        <v>West</v>
      </c>
      <c r="D50" s="1058" t="str">
        <f>IF(Prop2021DUOSTariffs!C28="","",Prop2021DUOSTariffs!C28)</f>
        <v>West SAC&gt;100MWhpa DemandLarge</v>
      </c>
      <c r="E50" s="1058" t="str">
        <f>IF(Prop2021DUOSTariffs!D28="","",Prop2021DUOSTariffs!D28)</f>
        <v>West SAC&gt;100MWhpa DemandLarge</v>
      </c>
      <c r="F50" s="1099">
        <f>Prop2021DUOSTariffs!EZ28</f>
        <v>10883763.43902833</v>
      </c>
      <c r="G50" s="1049"/>
      <c r="H50" s="1099">
        <f>Prop2021DUOSTariffs!GK28</f>
        <v>10809350.333776221</v>
      </c>
      <c r="I50" s="1554">
        <f t="shared" si="6"/>
        <v>6.884142242997715E-3</v>
      </c>
    </row>
    <row r="51" spans="1:9" s="1072" customFormat="1">
      <c r="A51" s="1097" t="b">
        <f t="shared" si="5"/>
        <v>1</v>
      </c>
      <c r="B51" s="1098" t="str">
        <f>IF(Prop2021DUOSTariffs!E29="","",Prop2021DUOSTariffs!E29)</f>
        <v>SAC</v>
      </c>
      <c r="C51" s="1098" t="str">
        <f>IF(Prop2021DUOSTariffs!G29="","",Prop2021DUOSTariffs!G29)</f>
        <v>West</v>
      </c>
      <c r="D51" s="1058" t="str">
        <f>IF(Prop2021DUOSTariffs!C29="","",Prop2021DUOSTariffs!C29)</f>
        <v>West SAC&gt;100MWhpa DemandMedium</v>
      </c>
      <c r="E51" s="1058" t="str">
        <f>IF(Prop2021DUOSTariffs!D29="","",Prop2021DUOSTariffs!D29)</f>
        <v>West SAC&gt;100MWhpa DemandMedium</v>
      </c>
      <c r="F51" s="1099">
        <f>Prop2021DUOSTariffs!EZ29</f>
        <v>23302144.88494781</v>
      </c>
      <c r="G51" s="1049"/>
      <c r="H51" s="1099">
        <f>Prop2021DUOSTariffs!GK29</f>
        <v>23164746.52291213</v>
      </c>
      <c r="I51" s="1554">
        <f t="shared" si="6"/>
        <v>5.9313561622520439E-3</v>
      </c>
    </row>
    <row r="52" spans="1:9" s="1072" customFormat="1">
      <c r="A52" s="1097" t="b">
        <f t="shared" si="5"/>
        <v>1</v>
      </c>
      <c r="B52" s="1098" t="str">
        <f>IF(Prop2021DUOSTariffs!E30="","",Prop2021DUOSTariffs!E30)</f>
        <v>SAC</v>
      </c>
      <c r="C52" s="1098" t="str">
        <f>IF(Prop2021DUOSTariffs!G30="","",Prop2021DUOSTariffs!G30)</f>
        <v>West</v>
      </c>
      <c r="D52" s="1058" t="str">
        <f>IF(Prop2021DUOSTariffs!C30="","",Prop2021DUOSTariffs!C30)</f>
        <v>West SAC&gt;100MWhpa DemandSmall</v>
      </c>
      <c r="E52" s="1058" t="str">
        <f>IF(Prop2021DUOSTariffs!D30="","",Prop2021DUOSTariffs!D30)</f>
        <v>West SAC&gt;100MWhpa DemandSmall</v>
      </c>
      <c r="F52" s="1099">
        <f>Prop2021DUOSTariffs!EZ30</f>
        <v>29001031.293433957</v>
      </c>
      <c r="G52" s="1049"/>
      <c r="H52" s="1099">
        <f>Prop2021DUOSTariffs!GK30</f>
        <v>28749549.37185736</v>
      </c>
      <c r="I52" s="1554">
        <f t="shared" si="6"/>
        <v>8.7473343781441226E-3</v>
      </c>
    </row>
    <row r="53" spans="1:9" s="1072" customFormat="1">
      <c r="A53" s="1097" t="b">
        <f t="shared" si="5"/>
        <v>1</v>
      </c>
      <c r="B53" s="1098" t="str">
        <f>IF(Prop2021DUOSTariffs!E31="","",Prop2021DUOSTariffs!E31)</f>
        <v>SAC</v>
      </c>
      <c r="C53" s="1098" t="str">
        <f>IF(Prop2021DUOSTariffs!G31="","",Prop2021DUOSTariffs!G31)</f>
        <v>Mt Isa</v>
      </c>
      <c r="D53" s="1058" t="str">
        <f>IF(Prop2021DUOSTariffs!C31="","",Prop2021DUOSTariffs!C31)</f>
        <v>MtIsa SAC&gt;100MWhpa DemandLarge</v>
      </c>
      <c r="E53" s="1058" t="str">
        <f>IF(Prop2021DUOSTariffs!D31="","",Prop2021DUOSTariffs!D31)</f>
        <v>MtIsa SAC&gt;100MWhpa DemandLarge</v>
      </c>
      <c r="F53" s="1099">
        <f>Prop2021DUOSTariffs!EZ31</f>
        <v>577553.66443379014</v>
      </c>
      <c r="G53" s="1049"/>
      <c r="H53" s="1099">
        <f>Prop2021DUOSTariffs!GK31</f>
        <v>570927.62882954744</v>
      </c>
      <c r="I53" s="1554">
        <f t="shared" si="6"/>
        <v>1.160573647105978E-2</v>
      </c>
    </row>
    <row r="54" spans="1:9" s="1072" customFormat="1">
      <c r="A54" s="1097" t="b">
        <f t="shared" si="5"/>
        <v>1</v>
      </c>
      <c r="B54" s="1098" t="str">
        <f>IF(Prop2021DUOSTariffs!E32="","",Prop2021DUOSTariffs!E32)</f>
        <v>SAC</v>
      </c>
      <c r="C54" s="1098" t="str">
        <f>IF(Prop2021DUOSTariffs!G32="","",Prop2021DUOSTariffs!G32)</f>
        <v>Mt Isa</v>
      </c>
      <c r="D54" s="1058" t="str">
        <f>IF(Prop2021DUOSTariffs!C32="","",Prop2021DUOSTariffs!C32)</f>
        <v>MtIsa SAC&gt;100MWhpa DemandMedium</v>
      </c>
      <c r="E54" s="1058" t="str">
        <f>IF(Prop2021DUOSTariffs!D32="","",Prop2021DUOSTariffs!D32)</f>
        <v>MtIsa SAC&gt;100MWhpa DemandMedium</v>
      </c>
      <c r="F54" s="1099">
        <f>Prop2021DUOSTariffs!EZ32</f>
        <v>1405771.5181872009</v>
      </c>
      <c r="G54" s="1049"/>
      <c r="H54" s="1099">
        <f>Prop2021DUOSTariffs!GK32</f>
        <v>1399288.2676683308</v>
      </c>
      <c r="I54" s="1554">
        <f t="shared" si="6"/>
        <v>4.63324867982573E-3</v>
      </c>
    </row>
    <row r="55" spans="1:9" s="1072" customFormat="1">
      <c r="A55" s="1097" t="b">
        <f t="shared" si="5"/>
        <v>1</v>
      </c>
      <c r="B55" s="1098" t="str">
        <f>IF(Prop2021DUOSTariffs!E33="","",Prop2021DUOSTariffs!E33)</f>
        <v>SAC</v>
      </c>
      <c r="C55" s="1098" t="str">
        <f>IF(Prop2021DUOSTariffs!G33="","",Prop2021DUOSTariffs!G33)</f>
        <v>Mt Isa</v>
      </c>
      <c r="D55" s="1058" t="str">
        <f>IF(Prop2021DUOSTariffs!C33="","",Prop2021DUOSTariffs!C33)</f>
        <v>MtIsa SAC&gt;100MWhpa DemandSmall</v>
      </c>
      <c r="E55" s="1058" t="str">
        <f>IF(Prop2021DUOSTariffs!D33="","",Prop2021DUOSTariffs!D33)</f>
        <v>MtIsa SAC&gt;100MWhpa DemandSmall</v>
      </c>
      <c r="F55" s="1099">
        <f>Prop2021DUOSTariffs!EZ33</f>
        <v>1188999.4050070583</v>
      </c>
      <c r="G55" s="1049"/>
      <c r="H55" s="1099">
        <f>Prop2021DUOSTariffs!GK33</f>
        <v>1184237.7647218036</v>
      </c>
      <c r="I55" s="1554">
        <f t="shared" si="6"/>
        <v>4.0208482005075208E-3</v>
      </c>
    </row>
    <row r="56" spans="1:9" s="1072" customFormat="1">
      <c r="A56" s="1097" t="b">
        <f t="shared" si="5"/>
        <v>1</v>
      </c>
      <c r="B56" s="1098" t="str">
        <f>IF(Prop2021DUOSTariffs!E34="","",Prop2021DUOSTariffs!E34)</f>
        <v>SAC</v>
      </c>
      <c r="C56" s="1098" t="str">
        <f>IF(Prop2021DUOSTariffs!G34="","",Prop2021DUOSTariffs!G34)</f>
        <v>East</v>
      </c>
      <c r="D56" s="1058" t="str">
        <f>IF(Prop2021DUOSTariffs!C34="","",Prop2021DUOSTariffs!C34)</f>
        <v>East SAC&gt;100MWhpa STOUD</v>
      </c>
      <c r="E56" s="1058" t="str">
        <f>IF(Prop2021DUOSTariffs!D34="","",Prop2021DUOSTariffs!D34)</f>
        <v>East SAC&gt;100MWhpa STOUD</v>
      </c>
      <c r="F56" s="1099">
        <f>Prop2021DUOSTariffs!EZ34</f>
        <v>47816439.639798522</v>
      </c>
      <c r="G56" s="1049"/>
      <c r="H56" s="1099">
        <f>Prop2021DUOSTariffs!GK34</f>
        <v>46511263.308294989</v>
      </c>
      <c r="I56" s="1554">
        <f t="shared" si="6"/>
        <v>2.8061511097909886E-2</v>
      </c>
    </row>
    <row r="57" spans="1:9" s="1072" customFormat="1">
      <c r="A57" s="1097" t="b">
        <f t="shared" si="5"/>
        <v>1</v>
      </c>
      <c r="B57" s="1098" t="str">
        <f>IF(Prop2021DUOSTariffs!E35="","",Prop2021DUOSTariffs!E35)</f>
        <v>SAC</v>
      </c>
      <c r="C57" s="1098" t="str">
        <f>IF(Prop2021DUOSTariffs!G35="","",Prop2021DUOSTariffs!G35)</f>
        <v>West</v>
      </c>
      <c r="D57" s="1058" t="str">
        <f>IF(Prop2021DUOSTariffs!C35="","",Prop2021DUOSTariffs!C35)</f>
        <v>West SAC&gt;100MWhpa STOUD</v>
      </c>
      <c r="E57" s="1058" t="str">
        <f>IF(Prop2021DUOSTariffs!D35="","",Prop2021DUOSTariffs!D35)</f>
        <v>West SAC&gt;100MWhpa STOUD</v>
      </c>
      <c r="F57" s="1099">
        <f>Prop2021DUOSTariffs!EZ35</f>
        <v>3814792.2012390075</v>
      </c>
      <c r="G57" s="1049"/>
      <c r="H57" s="1099">
        <f>Prop2021DUOSTariffs!GK35</f>
        <v>3748112.1891763941</v>
      </c>
      <c r="I57" s="1554">
        <f t="shared" si="6"/>
        <v>1.7790292471812519E-2</v>
      </c>
    </row>
    <row r="58" spans="1:9" s="1072" customFormat="1">
      <c r="A58" s="1097" t="b">
        <f t="shared" si="5"/>
        <v>1</v>
      </c>
      <c r="B58" s="1098" t="str">
        <f>IF(Prop2021DUOSTariffs!E36="","",Prop2021DUOSTariffs!E36)</f>
        <v>SAC</v>
      </c>
      <c r="C58" s="1098" t="str">
        <f>IF(Prop2021DUOSTariffs!G36="","",Prop2021DUOSTariffs!G36)</f>
        <v>Mt Isa</v>
      </c>
      <c r="D58" s="1058" t="str">
        <f>IF(Prop2021DUOSTariffs!C36="","",Prop2021DUOSTariffs!C36)</f>
        <v>MtIsa SAC&gt;100MWhpa STOUD</v>
      </c>
      <c r="E58" s="1058" t="str">
        <f>IF(Prop2021DUOSTariffs!D36="","",Prop2021DUOSTariffs!D36)</f>
        <v>MtIsa SAC&gt;100MWhpa STOUD</v>
      </c>
      <c r="F58" s="1099">
        <f>Prop2021DUOSTariffs!EZ36</f>
        <v>125097.05972094528</v>
      </c>
      <c r="G58" s="1049"/>
      <c r="H58" s="1099">
        <f>Prop2021DUOSTariffs!GK36</f>
        <v>123131.5383379071</v>
      </c>
      <c r="I58" s="1554">
        <f t="shared" si="6"/>
        <v>1.5962777770584191E-2</v>
      </c>
    </row>
    <row r="59" spans="1:9" s="1072" customFormat="1">
      <c r="A59" s="1097" t="b">
        <f t="shared" si="5"/>
        <v>1</v>
      </c>
      <c r="B59" s="1098" t="str">
        <f>IF(Prop2021DUOSTariffs!E37="","",Prop2021DUOSTariffs!E37)</f>
        <v>SAC</v>
      </c>
      <c r="C59" s="1098" t="str">
        <f>IF(Prop2021DUOSTariffs!G37="","",Prop2021DUOSTariffs!G37)</f>
        <v>East</v>
      </c>
      <c r="D59" s="1058" t="str">
        <f>IF(Prop2021DUOSTariffs!C37="","",Prop2021DUOSTariffs!C37)</f>
        <v>East SAC&gt;100MWhpa TOUD</v>
      </c>
      <c r="E59" s="1058" t="str">
        <f>IF(Prop2021DUOSTariffs!D37="","",Prop2021DUOSTariffs!D37)</f>
        <v>East SAC&gt;100MWhpa TOUD</v>
      </c>
      <c r="F59" s="1099">
        <f>Prop2021DUOSTariffs!EZ37</f>
        <v>1789391.9025365135</v>
      </c>
      <c r="G59" s="1049"/>
      <c r="H59" s="1099">
        <f>Prop2021DUOSTariffs!GK37</f>
        <v>1731764.0225195435</v>
      </c>
      <c r="I59" s="1554">
        <f t="shared" si="6"/>
        <v>3.3276981891058766E-2</v>
      </c>
    </row>
    <row r="60" spans="1:9" s="1072" customFormat="1">
      <c r="A60" s="1097" t="b">
        <f t="shared" si="5"/>
        <v>1</v>
      </c>
      <c r="B60" s="1098" t="str">
        <f>IF(Prop2021DUOSTariffs!E38="","",Prop2021DUOSTariffs!E38)</f>
        <v>SAC</v>
      </c>
      <c r="C60" s="1098" t="str">
        <f>IF(Prop2021DUOSTariffs!G38="","",Prop2021DUOSTariffs!G38)</f>
        <v>West</v>
      </c>
      <c r="D60" s="1058" t="str">
        <f>IF(Prop2021DUOSTariffs!C38="","",Prop2021DUOSTariffs!C38)</f>
        <v>West SAC&gt;100MWhpa TOUD</v>
      </c>
      <c r="E60" s="1058" t="str">
        <f>IF(Prop2021DUOSTariffs!D38="","",Prop2021DUOSTariffs!D38)</f>
        <v>West SAC&gt;100MWhpa TOUD</v>
      </c>
      <c r="F60" s="1099">
        <f>Prop2021DUOSTariffs!EZ38</f>
        <v>8378096.7940048398</v>
      </c>
      <c r="G60" s="1049"/>
      <c r="H60" s="1099">
        <f>Prop2021DUOSTariffs!GK38</f>
        <v>8190103.9631752586</v>
      </c>
      <c r="I60" s="1554">
        <f t="shared" si="6"/>
        <v>2.2953656226446517E-2</v>
      </c>
    </row>
    <row r="61" spans="1:9" s="1072" customFormat="1">
      <c r="A61" s="1097" t="b">
        <f t="shared" si="5"/>
        <v>1</v>
      </c>
      <c r="B61" s="1098" t="str">
        <f>IF(Prop2021DUOSTariffs!E39="","",Prop2021DUOSTariffs!E39)</f>
        <v>SAC</v>
      </c>
      <c r="C61" s="1098" t="str">
        <f>IF(Prop2021DUOSTariffs!G39="","",Prop2021DUOSTariffs!G39)</f>
        <v>Mt Isa</v>
      </c>
      <c r="D61" s="1058" t="str">
        <f>IF(Prop2021DUOSTariffs!C39="","",Prop2021DUOSTariffs!C39)</f>
        <v>MtIsa SAC&gt;100MWhpa TOUD</v>
      </c>
      <c r="E61" s="1058" t="str">
        <f>IF(Prop2021DUOSTariffs!D39="","",Prop2021DUOSTariffs!D39)</f>
        <v>MtIsa SAC&gt;100MWhpa TOUD</v>
      </c>
      <c r="F61" s="1099">
        <f>Prop2021DUOSTariffs!EZ39</f>
        <v>378343.11535989103</v>
      </c>
      <c r="G61" s="1049"/>
      <c r="H61" s="1099">
        <f>Prop2021DUOSTariffs!GK39</f>
        <v>370518.91546383494</v>
      </c>
      <c r="I61" s="1554">
        <f t="shared" si="6"/>
        <v>2.111687033916021E-2</v>
      </c>
    </row>
    <row r="62" spans="1:9" s="1072" customFormat="1">
      <c r="A62" s="1097" t="b">
        <f t="shared" si="5"/>
        <v>1</v>
      </c>
      <c r="B62" s="1098" t="str">
        <f>IF(Prop2021DUOSTariffs!E40="","",Prop2021DUOSTariffs!E40)</f>
        <v>SAC</v>
      </c>
      <c r="C62" s="1098" t="str">
        <f>IF(Prop2021DUOSTariffs!G40="","",Prop2021DUOSTariffs!G40)</f>
        <v>East</v>
      </c>
      <c r="D62" s="1058" t="str">
        <f>IF(Prop2021DUOSTariffs!C40="","",Prop2021DUOSTariffs!C40)</f>
        <v>East SAC&gt;100MWhpa Business Primary LC</v>
      </c>
      <c r="E62" s="1058" t="str">
        <f>IF(Prop2021DUOSTariffs!D40="","",Prop2021DUOSTariffs!D40)</f>
        <v>East SAC&gt;100MWhpa Business Primary LC</v>
      </c>
      <c r="F62" s="1099">
        <f>Prop2021DUOSTariffs!EZ40</f>
        <v>1102534.8134216063</v>
      </c>
      <c r="G62" s="1049"/>
      <c r="H62" s="1099">
        <f>Prop2021DUOSTariffs!GK40</f>
        <v>1076591.1708584004</v>
      </c>
      <c r="I62" s="1554">
        <f t="shared" si="6"/>
        <v>2.4097952189706451E-2</v>
      </c>
    </row>
    <row r="63" spans="1:9" s="1072" customFormat="1">
      <c r="A63" s="1097" t="b">
        <f t="shared" si="5"/>
        <v>1</v>
      </c>
      <c r="B63" s="1098" t="str">
        <f>IF(Prop2021DUOSTariffs!E41="","",Prop2021DUOSTariffs!E41)</f>
        <v>SAC</v>
      </c>
      <c r="C63" s="1098" t="str">
        <f>IF(Prop2021DUOSTariffs!G41="","",Prop2021DUOSTariffs!G41)</f>
        <v>West</v>
      </c>
      <c r="D63" s="1058" t="str">
        <f>IF(Prop2021DUOSTariffs!C41="","",Prop2021DUOSTariffs!C41)</f>
        <v>West SAC&gt;100MWhpa Business Primary LC</v>
      </c>
      <c r="E63" s="1058" t="str">
        <f>IF(Prop2021DUOSTariffs!D41="","",Prop2021DUOSTariffs!D41)</f>
        <v>West SAC&gt;100MWhpa Business Primary LC</v>
      </c>
      <c r="F63" s="1099">
        <f>Prop2021DUOSTariffs!EZ41</f>
        <v>258272.14873039461</v>
      </c>
      <c r="G63" s="1049"/>
      <c r="H63" s="1099">
        <f>Prop2021DUOSTariffs!GK41</f>
        <v>254718.17218908266</v>
      </c>
      <c r="I63" s="1554">
        <f t="shared" si="6"/>
        <v>1.3952583401366958E-2</v>
      </c>
    </row>
    <row r="64" spans="1:9" s="1072" customFormat="1">
      <c r="A64" s="1097" t="b">
        <f t="shared" si="5"/>
        <v>1</v>
      </c>
      <c r="B64" s="1098" t="str">
        <f>IF(Prop2021DUOSTariffs!E42="","",Prop2021DUOSTariffs!E42)</f>
        <v>SAC</v>
      </c>
      <c r="C64" s="1098" t="str">
        <f>IF(Prop2021DUOSTariffs!G42="","",Prop2021DUOSTariffs!G42)</f>
        <v>Mt Isa</v>
      </c>
      <c r="D64" s="1058" t="str">
        <f>IF(Prop2021DUOSTariffs!C42="","",Prop2021DUOSTariffs!C42)</f>
        <v>MtIsa SAC&gt;100MWhpa Business Primary LC</v>
      </c>
      <c r="E64" s="1058" t="str">
        <f>IF(Prop2021DUOSTariffs!D42="","",Prop2021DUOSTariffs!D42)</f>
        <v>MtIsa SAC&gt;100MWhpa Business Primary LC</v>
      </c>
      <c r="F64" s="1099">
        <f>Prop2021DUOSTariffs!EZ42</f>
        <v>52094.305591018674</v>
      </c>
      <c r="G64" s="1049"/>
      <c r="H64" s="1099">
        <f>Prop2021DUOSTariffs!GK42</f>
        <v>51356.235287208394</v>
      </c>
      <c r="I64" s="1554">
        <f t="shared" si="6"/>
        <v>1.4371581165999459E-2</v>
      </c>
    </row>
    <row r="65" spans="1:9" s="1072" customFormat="1">
      <c r="A65" s="1097" t="b">
        <f t="shared" si="5"/>
        <v>1</v>
      </c>
      <c r="B65" s="1098" t="str">
        <f>IF(Prop2021DUOSTariffs!E43="","",Prop2021DUOSTariffs!E43)</f>
        <v>SAC</v>
      </c>
      <c r="C65" s="1098" t="str">
        <f>IF(Prop2021DUOSTariffs!G43="","",Prop2021DUOSTariffs!G43)</f>
        <v>East</v>
      </c>
      <c r="D65" s="1058" t="str">
        <f>IF(Prop2021DUOSTariffs!C43="","",Prop2021DUOSTariffs!C43)</f>
        <v>East SAC&gt;100MWhpa Business Secondary LC</v>
      </c>
      <c r="E65" s="1058" t="str">
        <f>IF(Prop2021DUOSTariffs!D43="","",Prop2021DUOSTariffs!D43)</f>
        <v>East SAC&gt;100MWhpa Business Secondary LC</v>
      </c>
      <c r="F65" s="1099">
        <f>Prop2021DUOSTariffs!EZ43</f>
        <v>551269.79144637298</v>
      </c>
      <c r="G65" s="1049"/>
      <c r="H65" s="1099">
        <f>Prop2021DUOSTariffs!GK43</f>
        <v>532071.91691911209</v>
      </c>
      <c r="I65" s="1554">
        <f t="shared" si="6"/>
        <v>3.6081352758520868E-2</v>
      </c>
    </row>
    <row r="66" spans="1:9" s="1072" customFormat="1">
      <c r="A66" s="1097" t="b">
        <f t="shared" si="5"/>
        <v>1</v>
      </c>
      <c r="B66" s="1098" t="str">
        <f>IF(Prop2021DUOSTariffs!E44="","",Prop2021DUOSTariffs!E44)</f>
        <v>SAC</v>
      </c>
      <c r="C66" s="1098" t="str">
        <f>IF(Prop2021DUOSTariffs!G44="","",Prop2021DUOSTariffs!G44)</f>
        <v>West</v>
      </c>
      <c r="D66" s="1058" t="str">
        <f>IF(Prop2021DUOSTariffs!C44="","",Prop2021DUOSTariffs!C44)</f>
        <v>West SAC&gt;100MWhpa Business Secondary LC</v>
      </c>
      <c r="E66" s="1058" t="str">
        <f>IF(Prop2021DUOSTariffs!D44="","",Prop2021DUOSTariffs!D44)</f>
        <v>West SAC&gt;100MWhpa Business Secondary LC</v>
      </c>
      <c r="F66" s="1099">
        <f>Prop2021DUOSTariffs!EZ44</f>
        <v>46388.633349378011</v>
      </c>
      <c r="G66" s="1049"/>
      <c r="H66" s="1099">
        <f>Prop2021DUOSTariffs!GK44</f>
        <v>44617.343519041657</v>
      </c>
      <c r="I66" s="1554">
        <f t="shared" si="6"/>
        <v>3.9699580715297555E-2</v>
      </c>
    </row>
    <row r="67" spans="1:9" s="1072" customFormat="1">
      <c r="A67" s="1097" t="b">
        <f t="shared" si="5"/>
        <v>1</v>
      </c>
      <c r="B67" s="1098" t="str">
        <f>IF(Prop2021DUOSTariffs!E45="","",Prop2021DUOSTariffs!E45)</f>
        <v>SAC</v>
      </c>
      <c r="C67" s="1098" t="str">
        <f>IF(Prop2021DUOSTariffs!G45="","",Prop2021DUOSTariffs!G45)</f>
        <v>Mt Isa</v>
      </c>
      <c r="D67" s="1058" t="str">
        <f>IF(Prop2021DUOSTariffs!C45="","",Prop2021DUOSTariffs!C45)</f>
        <v>MtIsa SAC&gt;100MWhpa Business Secondary LC</v>
      </c>
      <c r="E67" s="1058" t="str">
        <f>IF(Prop2021DUOSTariffs!D45="","",Prop2021DUOSTariffs!D45)</f>
        <v>MtIsa SAC&gt;100MWhpa Business Secondary LC</v>
      </c>
      <c r="F67" s="1099">
        <f>Prop2021DUOSTariffs!EZ45</f>
        <v>22305.397349500283</v>
      </c>
      <c r="G67" s="1049"/>
      <c r="H67" s="1099">
        <f>Prop2021DUOSTariffs!GK45</f>
        <v>21874.501673234896</v>
      </c>
      <c r="I67" s="1554">
        <f t="shared" si="6"/>
        <v>1.9698536803360422E-2</v>
      </c>
    </row>
    <row r="68" spans="1:9" s="1072" customFormat="1" ht="6" customHeight="1">
      <c r="A68" s="1242" t="s">
        <v>742</v>
      </c>
      <c r="B68" s="1242"/>
      <c r="C68" s="1242"/>
      <c r="D68" s="1243"/>
      <c r="E68" s="1243"/>
      <c r="F68" s="1244"/>
      <c r="G68" s="1245"/>
      <c r="H68" s="1244"/>
      <c r="I68" s="1555"/>
    </row>
    <row r="69" spans="1:9" s="1072" customFormat="1">
      <c r="A69" s="1097" t="b">
        <f t="shared" ref="A69:A74" si="7">OR(EXACT(D69,$E$30:$E$120))</f>
        <v>0</v>
      </c>
      <c r="B69" s="1098" t="str">
        <f>IF(Prop2021DUOSTariffs!E47="","",Prop2021DUOSTariffs!E47)</f>
        <v>SAC</v>
      </c>
      <c r="C69" s="1098" t="str">
        <f>IF(Prop2021DUOSTariffs!G47="","",Prop2021DUOSTariffs!G47)</f>
        <v>East</v>
      </c>
      <c r="D69" s="1058" t="str">
        <f>IF(Prop2021DUOSTariffs!C47="","",Prop2021DUOSTariffs!C47)</f>
        <v>East SAC&gt;100MWhpa Large Business Energy</v>
      </c>
      <c r="E69" s="1058" t="str">
        <f>IF(Prop2021DUOSTariffs!D47="","",Prop2021DUOSTariffs!D47)</f>
        <v>East SAC&gt;100MWhpa DemandSmall</v>
      </c>
      <c r="F69" s="1099">
        <f>Prop2021DUOSTariffs!EZ47</f>
        <v>3421973.8376855063</v>
      </c>
      <c r="G69" s="1049"/>
      <c r="H69" s="1099">
        <f>Prop2021DUOSTariffs!GK47</f>
        <v>3402201.6507239421</v>
      </c>
      <c r="I69" s="1554">
        <f t="shared" ref="I69:I74" si="8">IFERROR(IF(AND(H69=0,F69&gt;0),"XXXX",F69/H69-1),"--")</f>
        <v>5.8115858468756887E-3</v>
      </c>
    </row>
    <row r="70" spans="1:9" s="1072" customFormat="1">
      <c r="A70" s="1097" t="b">
        <f t="shared" si="7"/>
        <v>0</v>
      </c>
      <c r="B70" s="1098" t="str">
        <f>IF(Prop2021DUOSTariffs!E48="","",Prop2021DUOSTariffs!E48)</f>
        <v>SAC</v>
      </c>
      <c r="C70" s="1098" t="str">
        <f>IF(Prop2021DUOSTariffs!G48="","",Prop2021DUOSTariffs!G48)</f>
        <v>West</v>
      </c>
      <c r="D70" s="1058" t="str">
        <f>IF(Prop2021DUOSTariffs!C48="","",Prop2021DUOSTariffs!C48)</f>
        <v>West SAC&gt;100MWhpa Large Business Energy</v>
      </c>
      <c r="E70" s="1058" t="str">
        <f>IF(Prop2021DUOSTariffs!D48="","",Prop2021DUOSTariffs!D48)</f>
        <v>West SAC&gt;100MWhpa DemandSmall</v>
      </c>
      <c r="F70" s="1099">
        <f>Prop2021DUOSTariffs!EZ48</f>
        <v>1310643.506924717</v>
      </c>
      <c r="G70" s="1049"/>
      <c r="H70" s="1099">
        <f>Prop2021DUOSTariffs!GK48</f>
        <v>1484372.7241994771</v>
      </c>
      <c r="I70" s="1554">
        <f t="shared" si="8"/>
        <v>-0.1170388100255968</v>
      </c>
    </row>
    <row r="71" spans="1:9" s="1072" customFormat="1">
      <c r="A71" s="1097" t="b">
        <f t="shared" si="7"/>
        <v>0</v>
      </c>
      <c r="B71" s="1098" t="str">
        <f>IF(Prop2021DUOSTariffs!E49="","",Prop2021DUOSTariffs!E49)</f>
        <v>SAC</v>
      </c>
      <c r="C71" s="1098" t="str">
        <f>IF(Prop2021DUOSTariffs!G49="","",Prop2021DUOSTariffs!G49)</f>
        <v>Mt Isa</v>
      </c>
      <c r="D71" s="1058" t="str">
        <f>IF(Prop2021DUOSTariffs!C49="","",Prop2021DUOSTariffs!C49)</f>
        <v>MtIsa SAC&gt;100MWhpa Large Business Energy</v>
      </c>
      <c r="E71" s="1058" t="str">
        <f>IF(Prop2021DUOSTariffs!D49="","",Prop2021DUOSTariffs!D49)</f>
        <v>MtIsa SAC&gt;100MWhpa DemandSmall</v>
      </c>
      <c r="F71" s="1099">
        <f>Prop2021DUOSTariffs!EZ49</f>
        <v>110377.25859313883</v>
      </c>
      <c r="G71" s="1049"/>
      <c r="H71" s="1099">
        <f>Prop2021DUOSTariffs!GK49</f>
        <v>123484.0258137139</v>
      </c>
      <c r="I71" s="1554">
        <f t="shared" si="8"/>
        <v>-0.10614139872915818</v>
      </c>
    </row>
    <row r="72" spans="1:9" s="1072" customFormat="1">
      <c r="A72" s="1097" t="b">
        <f t="shared" si="7"/>
        <v>0</v>
      </c>
      <c r="B72" s="1098" t="str">
        <f>IF(Prop2021DUOSTariffs!E50="","",Prop2021DUOSTariffs!E50)</f>
        <v>SAC</v>
      </c>
      <c r="C72" s="1098" t="str">
        <f>IF(Prop2021DUOSTariffs!G50="","",Prop2021DUOSTariffs!G50)</f>
        <v>East</v>
      </c>
      <c r="D72" s="1058" t="str">
        <f>IF(Prop2021DUOSTariffs!C50="","",Prop2021DUOSTariffs!C50)</f>
        <v>East SAC&gt;100MWhpa Large Residential Energy</v>
      </c>
      <c r="E72" s="1058" t="str">
        <f>IF(Prop2021DUOSTariffs!D50="","",Prop2021DUOSTariffs!D50)</f>
        <v>East SAC&gt;100MWhpa DemandSmall</v>
      </c>
      <c r="F72" s="1099">
        <f>Prop2021DUOSTariffs!EZ50</f>
        <v>0</v>
      </c>
      <c r="G72" s="1049"/>
      <c r="H72" s="1099">
        <f>Prop2021DUOSTariffs!GK50</f>
        <v>0</v>
      </c>
      <c r="I72" s="1554" t="str">
        <f t="shared" si="8"/>
        <v>--</v>
      </c>
    </row>
    <row r="73" spans="1:9" s="1072" customFormat="1">
      <c r="A73" s="1097" t="b">
        <f t="shared" si="7"/>
        <v>0</v>
      </c>
      <c r="B73" s="1098" t="str">
        <f>IF(Prop2021DUOSTariffs!E51="","",Prop2021DUOSTariffs!E51)</f>
        <v>SAC</v>
      </c>
      <c r="C73" s="1098" t="str">
        <f>IF(Prop2021DUOSTariffs!G51="","",Prop2021DUOSTariffs!G51)</f>
        <v>West</v>
      </c>
      <c r="D73" s="1058" t="str">
        <f>IF(Prop2021DUOSTariffs!C51="","",Prop2021DUOSTariffs!C51)</f>
        <v>West SAC&gt;100MWhpa Large Residential Energy</v>
      </c>
      <c r="E73" s="1058" t="str">
        <f>IF(Prop2021DUOSTariffs!D51="","",Prop2021DUOSTariffs!D51)</f>
        <v>West SAC&gt;100MWhpa DemandSmall</v>
      </c>
      <c r="F73" s="1099">
        <f>Prop2021DUOSTariffs!EZ51</f>
        <v>0</v>
      </c>
      <c r="G73" s="1049"/>
      <c r="H73" s="1099">
        <f>Prop2021DUOSTariffs!GK51</f>
        <v>0</v>
      </c>
      <c r="I73" s="1554" t="str">
        <f t="shared" si="8"/>
        <v>--</v>
      </c>
    </row>
    <row r="74" spans="1:9" s="1072" customFormat="1">
      <c r="A74" s="1097" t="b">
        <f t="shared" si="7"/>
        <v>0</v>
      </c>
      <c r="B74" s="1098" t="str">
        <f>IF(Prop2021DUOSTariffs!E52="","",Prop2021DUOSTariffs!E52)</f>
        <v>SAC</v>
      </c>
      <c r="C74" s="1098" t="str">
        <f>IF(Prop2021DUOSTariffs!G52="","",Prop2021DUOSTariffs!G52)</f>
        <v>Mt Isa</v>
      </c>
      <c r="D74" s="1058" t="str">
        <f>IF(Prop2021DUOSTariffs!C52="","",Prop2021DUOSTariffs!C52)</f>
        <v>MtIsa SAC&gt;100MWhpa Large Residential Energy</v>
      </c>
      <c r="E74" s="1058" t="str">
        <f>IF(Prop2021DUOSTariffs!D52="","",Prop2021DUOSTariffs!D52)</f>
        <v>MtIsa SAC&gt;100MWhpa DemandSmall</v>
      </c>
      <c r="F74" s="1099">
        <f>Prop2021DUOSTariffs!EZ52</f>
        <v>0</v>
      </c>
      <c r="G74" s="1049"/>
      <c r="H74" s="1099">
        <f>Prop2021DUOSTariffs!GK52</f>
        <v>0</v>
      </c>
      <c r="I74" s="1554" t="str">
        <f t="shared" si="8"/>
        <v>--</v>
      </c>
    </row>
    <row r="75" spans="1:9" s="1072" customFormat="1" ht="6" customHeight="1">
      <c r="A75" s="1242" t="s">
        <v>742</v>
      </c>
      <c r="B75" s="1242"/>
      <c r="C75" s="1242"/>
      <c r="D75" s="1243"/>
      <c r="E75" s="1243"/>
      <c r="F75" s="1244"/>
      <c r="G75" s="1245"/>
      <c r="H75" s="1244"/>
      <c r="I75" s="1555"/>
    </row>
    <row r="76" spans="1:9" s="1072" customFormat="1">
      <c r="A76" s="1097" t="b">
        <f t="shared" ref="A76:A93" si="9">OR(EXACT(D76,$E$30:$E$120))</f>
        <v>1</v>
      </c>
      <c r="B76" s="1098" t="str">
        <f>IF(Prop2021DUOSTariffs!E54="","",Prop2021DUOSTariffs!E54)</f>
        <v>SAC</v>
      </c>
      <c r="C76" s="1098" t="str">
        <f>IF(Prop2021DUOSTariffs!G54="","",Prop2021DUOSTariffs!G54)</f>
        <v>East</v>
      </c>
      <c r="D76" s="1058" t="str">
        <f>IF(Prop2021DUOSTariffs!C54="","",Prop2021DUOSTariffs!C54)</f>
        <v>East SAC&lt;20MWhpa Business IBT</v>
      </c>
      <c r="E76" s="1058" t="str">
        <f>IF(Prop2021DUOSTariffs!D54="","",Prop2021DUOSTariffs!D54)</f>
        <v>East SAC&lt;20MWhpa Business IBT</v>
      </c>
      <c r="F76" s="1099">
        <f>Prop2021DUOSTariffs!EZ54</f>
        <v>41301112.320378512</v>
      </c>
      <c r="G76" s="1049"/>
      <c r="H76" s="1099">
        <f>Prop2021DUOSTariffs!GK54</f>
        <v>40167658.9696211</v>
      </c>
      <c r="I76" s="1554">
        <f t="shared" ref="I76:I93" si="10">IFERROR(IF(AND(H76=0,F76&gt;0),"XXXX",F76/H76-1),"--")</f>
        <v>2.8218058503599819E-2</v>
      </c>
    </row>
    <row r="77" spans="1:9" s="1072" customFormat="1">
      <c r="A77" s="1097" t="b">
        <f t="shared" si="9"/>
        <v>1</v>
      </c>
      <c r="B77" s="1098" t="str">
        <f>IF(Prop2021DUOSTariffs!E55="","",Prop2021DUOSTariffs!E55)</f>
        <v>SAC</v>
      </c>
      <c r="C77" s="1098" t="str">
        <f>IF(Prop2021DUOSTariffs!G55="","",Prop2021DUOSTariffs!G55)</f>
        <v>West</v>
      </c>
      <c r="D77" s="1058" t="str">
        <f>IF(Prop2021DUOSTariffs!C55="","",Prop2021DUOSTariffs!C55)</f>
        <v>West SAC&lt;20MWhpa Business IBT</v>
      </c>
      <c r="E77" s="1058" t="str">
        <f>IF(Prop2021DUOSTariffs!D55="","",Prop2021DUOSTariffs!D55)</f>
        <v>West SAC&lt;20MWhpa Business IBT</v>
      </c>
      <c r="F77" s="1099">
        <f>Prop2021DUOSTariffs!EZ55</f>
        <v>19670870.426646218</v>
      </c>
      <c r="G77" s="1049"/>
      <c r="H77" s="1099">
        <f>Prop2021DUOSTariffs!GK55</f>
        <v>19326308.415439144</v>
      </c>
      <c r="I77" s="1554">
        <f t="shared" si="10"/>
        <v>1.7828651173330989E-2</v>
      </c>
    </row>
    <row r="78" spans="1:9" s="1072" customFormat="1">
      <c r="A78" s="1097" t="b">
        <f t="shared" si="9"/>
        <v>1</v>
      </c>
      <c r="B78" s="1098" t="str">
        <f>IF(Prop2021DUOSTariffs!E56="","",Prop2021DUOSTariffs!E56)</f>
        <v>SAC</v>
      </c>
      <c r="C78" s="1098" t="str">
        <f>IF(Prop2021DUOSTariffs!G56="","",Prop2021DUOSTariffs!G56)</f>
        <v>Mt Isa</v>
      </c>
      <c r="D78" s="1058" t="str">
        <f>IF(Prop2021DUOSTariffs!C56="","",Prop2021DUOSTariffs!C56)</f>
        <v>MtIsa SAC&lt;20MWhpa Business IBT</v>
      </c>
      <c r="E78" s="1058" t="str">
        <f>IF(Prop2021DUOSTariffs!D56="","",Prop2021DUOSTariffs!D56)</f>
        <v>MtIsa SAC&lt;20MWhpa Business IBT</v>
      </c>
      <c r="F78" s="1099">
        <f>Prop2021DUOSTariffs!EZ56</f>
        <v>714897.86382928118</v>
      </c>
      <c r="G78" s="1049"/>
      <c r="H78" s="1099">
        <f>Prop2021DUOSTariffs!GK56</f>
        <v>703596.54334678175</v>
      </c>
      <c r="I78" s="1554">
        <f t="shared" si="10"/>
        <v>1.606221717455103E-2</v>
      </c>
    </row>
    <row r="79" spans="1:9" s="1072" customFormat="1">
      <c r="A79" s="1097" t="b">
        <f t="shared" si="9"/>
        <v>1</v>
      </c>
      <c r="B79" s="1098" t="str">
        <f>IF(Prop2021DUOSTariffs!E57="","",Prop2021DUOSTariffs!E57)</f>
        <v>SAC</v>
      </c>
      <c r="C79" s="1098" t="str">
        <f>IF(Prop2021DUOSTariffs!G57="","",Prop2021DUOSTariffs!G57)</f>
        <v>East</v>
      </c>
      <c r="D79" s="1058" t="str">
        <f>IF(Prop2021DUOSTariffs!C57="","",Prop2021DUOSTariffs!C57)</f>
        <v xml:space="preserve">East Wide Inclining Fixed </v>
      </c>
      <c r="E79" s="1058" t="str">
        <f>IF(Prop2021DUOSTariffs!D57="","",Prop2021DUOSTariffs!D57)</f>
        <v xml:space="preserve">East Wide Inclining Fixed </v>
      </c>
      <c r="F79" s="1099">
        <f>Prop2021DUOSTariffs!EZ57</f>
        <v>67059648.664326735</v>
      </c>
      <c r="G79" s="1049"/>
      <c r="H79" s="1099">
        <f>Prop2021DUOSTariffs!GK57</f>
        <v>65561820.666916832</v>
      </c>
      <c r="I79" s="1554">
        <f t="shared" si="10"/>
        <v>2.2846040304761228E-2</v>
      </c>
    </row>
    <row r="80" spans="1:9" s="1072" customFormat="1">
      <c r="A80" s="1097" t="b">
        <f t="shared" si="9"/>
        <v>1</v>
      </c>
      <c r="B80" s="1098" t="str">
        <f>IF(Prop2021DUOSTariffs!E58="","",Prop2021DUOSTariffs!E58)</f>
        <v>SAC</v>
      </c>
      <c r="C80" s="1098" t="str">
        <f>IF(Prop2021DUOSTariffs!G58="","",Prop2021DUOSTariffs!G58)</f>
        <v>West</v>
      </c>
      <c r="D80" s="1058" t="str">
        <f>IF(Prop2021DUOSTariffs!C58="","",Prop2021DUOSTariffs!C58)</f>
        <v>West Wide Inclining Fixed</v>
      </c>
      <c r="E80" s="1058" t="str">
        <f>IF(Prop2021DUOSTariffs!D58="","",Prop2021DUOSTariffs!D58)</f>
        <v>West Wide Inclining Fixed</v>
      </c>
      <c r="F80" s="1099">
        <f>Prop2021DUOSTariffs!EZ58</f>
        <v>28617150.661433861</v>
      </c>
      <c r="G80" s="1049"/>
      <c r="H80" s="1099">
        <f>Prop2021DUOSTariffs!GK58</f>
        <v>28260309.744761374</v>
      </c>
      <c r="I80" s="1554">
        <f t="shared" si="10"/>
        <v>1.2626928717178521E-2</v>
      </c>
    </row>
    <row r="81" spans="1:9" s="1072" customFormat="1">
      <c r="A81" s="1097" t="b">
        <f t="shared" si="9"/>
        <v>1</v>
      </c>
      <c r="B81" s="1098" t="str">
        <f>IF(Prop2021DUOSTariffs!E59="","",Prop2021DUOSTariffs!E59)</f>
        <v>SAC</v>
      </c>
      <c r="C81" s="1098" t="str">
        <f>IF(Prop2021DUOSTariffs!G59="","",Prop2021DUOSTariffs!G59)</f>
        <v>Mt Isa</v>
      </c>
      <c r="D81" s="1058" t="str">
        <f>IF(Prop2021DUOSTariffs!C59="","",Prop2021DUOSTariffs!C59)</f>
        <v>MtIsa Wide Inclining Fixed</v>
      </c>
      <c r="E81" s="1058" t="str">
        <f>IF(Prop2021DUOSTariffs!D59="","",Prop2021DUOSTariffs!D59)</f>
        <v>MtIsa Wide Inclining Fixed</v>
      </c>
      <c r="F81" s="1099">
        <f>Prop2021DUOSTariffs!EZ59</f>
        <v>1319851.6732489516</v>
      </c>
      <c r="G81" s="1049"/>
      <c r="H81" s="1099">
        <f>Prop2021DUOSTariffs!GK59</f>
        <v>1305738.3583770669</v>
      </c>
      <c r="I81" s="1554">
        <f t="shared" si="10"/>
        <v>1.0808685202008173E-2</v>
      </c>
    </row>
    <row r="82" spans="1:9" s="1072" customFormat="1">
      <c r="A82" s="1097" t="b">
        <f t="shared" si="9"/>
        <v>1</v>
      </c>
      <c r="B82" s="1098" t="str">
        <f>IF(Prop2021DUOSTariffs!E60="","",Prop2021DUOSTariffs!E60)</f>
        <v>SAC</v>
      </c>
      <c r="C82" s="1098" t="str">
        <f>IF(Prop2021DUOSTariffs!G60="","",Prop2021DUOSTariffs!G60)</f>
        <v>East</v>
      </c>
      <c r="D82" s="1058" t="str">
        <f>IF(Prop2021DUOSTariffs!C60="","",Prop2021DUOSTariffs!C60)</f>
        <v>East SAC&lt;100MWhpa Business TOU Energy</v>
      </c>
      <c r="E82" s="1058" t="str">
        <f>IF(Prop2021DUOSTariffs!D60="","",Prop2021DUOSTariffs!D60)</f>
        <v>East SAC&lt;100MWhpa Business TOU Energy</v>
      </c>
      <c r="F82" s="1099">
        <f>Prop2021DUOSTariffs!EZ60</f>
        <v>956621.15884049167</v>
      </c>
      <c r="G82" s="1049"/>
      <c r="H82" s="1099">
        <f>Prop2021DUOSTariffs!GK60</f>
        <v>930509.65191652405</v>
      </c>
      <c r="I82" s="1554">
        <f t="shared" si="10"/>
        <v>2.8061511097909664E-2</v>
      </c>
    </row>
    <row r="83" spans="1:9" s="1072" customFormat="1">
      <c r="A83" s="1097" t="b">
        <f t="shared" si="9"/>
        <v>1</v>
      </c>
      <c r="B83" s="1098" t="str">
        <f>IF(Prop2021DUOSTariffs!E61="","",Prop2021DUOSTariffs!E61)</f>
        <v>SAC</v>
      </c>
      <c r="C83" s="1098" t="str">
        <f>IF(Prop2021DUOSTariffs!G61="","",Prop2021DUOSTariffs!G61)</f>
        <v>West</v>
      </c>
      <c r="D83" s="1058" t="str">
        <f>IF(Prop2021DUOSTariffs!C61="","",Prop2021DUOSTariffs!C61)</f>
        <v>West SAC&lt;100MWhpa Business TOU Energy</v>
      </c>
      <c r="E83" s="1058" t="str">
        <f>IF(Prop2021DUOSTariffs!D61="","",Prop2021DUOSTariffs!D61)</f>
        <v>West SAC&lt;100MWhpa Business TOU Energy</v>
      </c>
      <c r="F83" s="1099">
        <f>Prop2021DUOSTariffs!EZ61</f>
        <v>239298.59571170047</v>
      </c>
      <c r="G83" s="1049"/>
      <c r="H83" s="1099">
        <f>Prop2021DUOSTariffs!GK61</f>
        <v>235115.81657016827</v>
      </c>
      <c r="I83" s="1554">
        <f t="shared" si="10"/>
        <v>1.7790292471812075E-2</v>
      </c>
    </row>
    <row r="84" spans="1:9" s="1072" customFormat="1">
      <c r="A84" s="1097" t="b">
        <f t="shared" si="9"/>
        <v>1</v>
      </c>
      <c r="B84" s="1098" t="str">
        <f>IF(Prop2021DUOSTariffs!E62="","",Prop2021DUOSTariffs!E62)</f>
        <v>SAC</v>
      </c>
      <c r="C84" s="1098" t="str">
        <f>IF(Prop2021DUOSTariffs!G62="","",Prop2021DUOSTariffs!G62)</f>
        <v>Mt Isa</v>
      </c>
      <c r="D84" s="1058" t="str">
        <f>IF(Prop2021DUOSTariffs!C62="","",Prop2021DUOSTariffs!C62)</f>
        <v>MtIsa SAC&lt;100MWhpa Business TOU Energy</v>
      </c>
      <c r="E84" s="1058" t="str">
        <f>IF(Prop2021DUOSTariffs!D62="","",Prop2021DUOSTariffs!D62)</f>
        <v>MtIsa SAC&lt;100MWhpa Business TOU Energy</v>
      </c>
      <c r="F84" s="1099">
        <f>Prop2021DUOSTariffs!EZ62</f>
        <v>0</v>
      </c>
      <c r="G84" s="1049"/>
      <c r="H84" s="1099">
        <f>Prop2021DUOSTariffs!GK62</f>
        <v>0</v>
      </c>
      <c r="I84" s="1554" t="str">
        <f t="shared" si="10"/>
        <v>--</v>
      </c>
    </row>
    <row r="85" spans="1:9" s="1072" customFormat="1">
      <c r="A85" s="1097" t="b">
        <f t="shared" si="9"/>
        <v>1</v>
      </c>
      <c r="B85" s="1098" t="str">
        <f>IF(Prop2021DUOSTariffs!E63="","",Prop2021DUOSTariffs!E63)</f>
        <v>SAC</v>
      </c>
      <c r="C85" s="1098" t="str">
        <f>IF(Prop2021DUOSTariffs!G63="","",Prop2021DUOSTariffs!G63)</f>
        <v>East</v>
      </c>
      <c r="D85" s="1058" t="str">
        <f>IF(Prop2021DUOSTariffs!C63="","",Prop2021DUOSTariffs!C63)</f>
        <v>East SAC&lt;100MWhpa Business TOU Transitional Demand</v>
      </c>
      <c r="E85" s="1058" t="str">
        <f>IF(Prop2021DUOSTariffs!D63="","",Prop2021DUOSTariffs!D63)</f>
        <v>East SAC&lt;100MWhpa Business TOU Transitional Demand</v>
      </c>
      <c r="F85" s="1099">
        <f>Prop2021DUOSTariffs!EZ63</f>
        <v>21576666.852821626</v>
      </c>
      <c r="G85" s="1049"/>
      <c r="H85" s="1099">
        <f>Prop2021DUOSTariffs!GK63</f>
        <v>21094735.671453319</v>
      </c>
      <c r="I85" s="1554">
        <f t="shared" si="10"/>
        <v>2.2846040304761228E-2</v>
      </c>
    </row>
    <row r="86" spans="1:9" s="1072" customFormat="1">
      <c r="A86" s="1097" t="b">
        <f t="shared" si="9"/>
        <v>1</v>
      </c>
      <c r="B86" s="1098" t="str">
        <f>IF(Prop2021DUOSTariffs!E64="","",Prop2021DUOSTariffs!E64)</f>
        <v>SAC</v>
      </c>
      <c r="C86" s="1098" t="str">
        <f>IF(Prop2021DUOSTariffs!G64="","",Prop2021DUOSTariffs!G64)</f>
        <v>West</v>
      </c>
      <c r="D86" s="1058" t="str">
        <f>IF(Prop2021DUOSTariffs!C64="","",Prop2021DUOSTariffs!C64)</f>
        <v>West SAC&lt;100MWhpa Business TOU Transitional Demand</v>
      </c>
      <c r="E86" s="1058" t="str">
        <f>IF(Prop2021DUOSTariffs!D64="","",Prop2021DUOSTariffs!D64)</f>
        <v>West SAC&lt;100MWhpa Business TOU Transitional Demand</v>
      </c>
      <c r="F86" s="1099">
        <f>Prop2021DUOSTariffs!EZ64</f>
        <v>4011387.7154235616</v>
      </c>
      <c r="G86" s="1049"/>
      <c r="H86" s="1099">
        <f>Prop2021DUOSTariffs!GK64</f>
        <v>3961367.8065082566</v>
      </c>
      <c r="I86" s="1554">
        <f t="shared" si="10"/>
        <v>1.2626928717178298E-2</v>
      </c>
    </row>
    <row r="87" spans="1:9" s="1072" customFormat="1">
      <c r="A87" s="1097" t="b">
        <f t="shared" si="9"/>
        <v>1</v>
      </c>
      <c r="B87" s="1098" t="str">
        <f>IF(Prop2021DUOSTariffs!E65="","",Prop2021DUOSTariffs!E65)</f>
        <v>SAC</v>
      </c>
      <c r="C87" s="1098" t="str">
        <f>IF(Prop2021DUOSTariffs!G65="","",Prop2021DUOSTariffs!G65)</f>
        <v>Mt Isa</v>
      </c>
      <c r="D87" s="1058" t="str">
        <f>IF(Prop2021DUOSTariffs!C65="","",Prop2021DUOSTariffs!C65)</f>
        <v>MtIsa SAC&lt;100MWhpa Business TOU Transitional Demand</v>
      </c>
      <c r="E87" s="1058" t="str">
        <f>IF(Prop2021DUOSTariffs!D65="","",Prop2021DUOSTariffs!D65)</f>
        <v>MtIsa SAC&lt;100MWhpa Business TOU Transitional Demand</v>
      </c>
      <c r="F87" s="1099">
        <f>Prop2021DUOSTariffs!EZ65</f>
        <v>57290.656466926623</v>
      </c>
      <c r="G87" s="1049"/>
      <c r="H87" s="1099">
        <f>Prop2021DUOSTariffs!GK65</f>
        <v>56678.041359999996</v>
      </c>
      <c r="I87" s="1554">
        <f t="shared" si="10"/>
        <v>1.080868520200795E-2</v>
      </c>
    </row>
    <row r="88" spans="1:9" s="1072" customFormat="1">
      <c r="A88" s="1097" t="b">
        <f t="shared" si="9"/>
        <v>1</v>
      </c>
      <c r="B88" s="1098" t="str">
        <f>IF(Prop2021DUOSTariffs!E66="","",Prop2021DUOSTariffs!E66)</f>
        <v>SAC</v>
      </c>
      <c r="C88" s="1098" t="str">
        <f>IF(Prop2021DUOSTariffs!G66="","",Prop2021DUOSTariffs!G66)</f>
        <v>East</v>
      </c>
      <c r="D88" s="1058" t="str">
        <f>IF(Prop2021DUOSTariffs!C66="","",Prop2021DUOSTariffs!C66)</f>
        <v>East SAC&lt;100MWhpa Business TOU Demand</v>
      </c>
      <c r="E88" s="1058" t="str">
        <f>IF(Prop2021DUOSTariffs!D66="","",Prop2021DUOSTariffs!D66)</f>
        <v>East SAC&lt;100MWhpa Business TOU Demand</v>
      </c>
      <c r="F88" s="1099">
        <f>Prop2021DUOSTariffs!EZ66</f>
        <v>118084.72909776725</v>
      </c>
      <c r="G88" s="1049"/>
      <c r="H88" s="1099">
        <f>Prop2021DUOSTariffs!GK66</f>
        <v>116038.89725368531</v>
      </c>
      <c r="I88" s="1554">
        <f t="shared" si="10"/>
        <v>1.7630569511612348E-2</v>
      </c>
    </row>
    <row r="89" spans="1:9" s="1072" customFormat="1">
      <c r="A89" s="1097" t="b">
        <f t="shared" si="9"/>
        <v>1</v>
      </c>
      <c r="B89" s="1098" t="str">
        <f>IF(Prop2021DUOSTariffs!E67="","",Prop2021DUOSTariffs!E67)</f>
        <v>SAC</v>
      </c>
      <c r="C89" s="1098" t="str">
        <f>IF(Prop2021DUOSTariffs!G67="","",Prop2021DUOSTariffs!G67)</f>
        <v>West</v>
      </c>
      <c r="D89" s="1058" t="str">
        <f>IF(Prop2021DUOSTariffs!C67="","",Prop2021DUOSTariffs!C67)</f>
        <v>West SAC&lt;100MWhpa Business TOU Demand</v>
      </c>
      <c r="E89" s="1058" t="str">
        <f>IF(Prop2021DUOSTariffs!D67="","",Prop2021DUOSTariffs!D67)</f>
        <v>West SAC&lt;100MWhpa Business TOU Demand</v>
      </c>
      <c r="F89" s="1099">
        <f>Prop2021DUOSTariffs!EZ67</f>
        <v>43323.227318372854</v>
      </c>
      <c r="G89" s="1049"/>
      <c r="H89" s="1099">
        <f>Prop2021DUOSTariffs!GK67</f>
        <v>43002.277030220459</v>
      </c>
      <c r="I89" s="1554">
        <f t="shared" si="10"/>
        <v>7.4635649625447442E-3</v>
      </c>
    </row>
    <row r="90" spans="1:9" s="1072" customFormat="1">
      <c r="A90" s="1097" t="b">
        <f t="shared" si="9"/>
        <v>1</v>
      </c>
      <c r="B90" s="1098" t="str">
        <f>IF(Prop2021DUOSTariffs!E68="","",Prop2021DUOSTariffs!E68)</f>
        <v>SAC</v>
      </c>
      <c r="C90" s="1098" t="str">
        <f>IF(Prop2021DUOSTariffs!G68="","",Prop2021DUOSTariffs!G68)</f>
        <v>Mt Isa</v>
      </c>
      <c r="D90" s="1058" t="str">
        <f>IF(Prop2021DUOSTariffs!C68="","",Prop2021DUOSTariffs!C68)</f>
        <v>MtIsa SAC&lt;100MWhpa Business TOU Demand</v>
      </c>
      <c r="E90" s="1058" t="str">
        <f>IF(Prop2021DUOSTariffs!D68="","",Prop2021DUOSTariffs!D68)</f>
        <v>MtIsa SAC&lt;100MWhpa Business TOU Demand</v>
      </c>
      <c r="F90" s="1099">
        <f>Prop2021DUOSTariffs!EZ68</f>
        <v>0</v>
      </c>
      <c r="G90" s="1049"/>
      <c r="H90" s="1099">
        <f>Prop2021DUOSTariffs!GK68</f>
        <v>0</v>
      </c>
      <c r="I90" s="1554" t="str">
        <f t="shared" si="10"/>
        <v>--</v>
      </c>
    </row>
    <row r="91" spans="1:9" s="1072" customFormat="1">
      <c r="A91" s="1097" t="b">
        <f t="shared" si="9"/>
        <v>1</v>
      </c>
      <c r="B91" s="1098" t="str">
        <f>IF(Prop2021DUOSTariffs!E69="","",Prop2021DUOSTariffs!E69)</f>
        <v>SAC</v>
      </c>
      <c r="C91" s="1098" t="str">
        <f>IF(Prop2021DUOSTariffs!G69="","",Prop2021DUOSTariffs!G69)</f>
        <v>East</v>
      </c>
      <c r="D91" s="1058" t="str">
        <f>IF(Prop2021DUOSTariffs!C69="","",Prop2021DUOSTariffs!C69)</f>
        <v xml:space="preserve">East SAC&lt;100MWhpa Small Business Primary Load Control </v>
      </c>
      <c r="E91" s="1058" t="str">
        <f>IF(Prop2021DUOSTariffs!D69="","",Prop2021DUOSTariffs!D69)</f>
        <v xml:space="preserve">East SAC&lt;100MWhpa Small Business Primary Load Control </v>
      </c>
      <c r="F91" s="1099">
        <f>Prop2021DUOSTariffs!EZ69</f>
        <v>619898.09746543632</v>
      </c>
      <c r="G91" s="1049"/>
      <c r="H91" s="1099">
        <f>Prop2021DUOSTariffs!GK69</f>
        <v>612199.89675395924</v>
      </c>
      <c r="I91" s="1554">
        <f t="shared" si="10"/>
        <v>1.2574652090428184E-2</v>
      </c>
    </row>
    <row r="92" spans="1:9" s="1072" customFormat="1">
      <c r="A92" s="1097" t="b">
        <f t="shared" si="9"/>
        <v>1</v>
      </c>
      <c r="B92" s="1098" t="str">
        <f>IF(Prop2021DUOSTariffs!E70="","",Prop2021DUOSTariffs!E70)</f>
        <v>SAC</v>
      </c>
      <c r="C92" s="1098" t="str">
        <f>IF(Prop2021DUOSTariffs!G70="","",Prop2021DUOSTariffs!G70)</f>
        <v>West</v>
      </c>
      <c r="D92" s="1058" t="str">
        <f>IF(Prop2021DUOSTariffs!C70="","",Prop2021DUOSTariffs!C70)</f>
        <v xml:space="preserve">West SAC&lt;100MWhpa Small Business Primary Load Control </v>
      </c>
      <c r="E92" s="1058" t="str">
        <f>IF(Prop2021DUOSTariffs!D70="","",Prop2021DUOSTariffs!D70)</f>
        <v xml:space="preserve">West SAC&lt;100MWhpa Small Business Primary Load Control </v>
      </c>
      <c r="F92" s="1099">
        <f>Prop2021DUOSTariffs!EZ70</f>
        <v>172299.42761099502</v>
      </c>
      <c r="G92" s="1049"/>
      <c r="H92" s="1099">
        <f>Prop2021DUOSTariffs!GK70</f>
        <v>170883.03184488017</v>
      </c>
      <c r="I92" s="1554">
        <f t="shared" si="10"/>
        <v>8.2886858386301832E-3</v>
      </c>
    </row>
    <row r="93" spans="1:9" s="1072" customFormat="1">
      <c r="A93" s="1097" t="b">
        <f t="shared" si="9"/>
        <v>1</v>
      </c>
      <c r="B93" s="1098" t="str">
        <f>IF(Prop2021DUOSTariffs!E71="","",Prop2021DUOSTariffs!E71)</f>
        <v>SAC</v>
      </c>
      <c r="C93" s="1098" t="str">
        <f>IF(Prop2021DUOSTariffs!G71="","",Prop2021DUOSTariffs!G71)</f>
        <v>Mt Isa</v>
      </c>
      <c r="D93" s="1058" t="str">
        <f>IF(Prop2021DUOSTariffs!C71="","",Prop2021DUOSTariffs!C71)</f>
        <v xml:space="preserve">Mt Isa SAC&lt;100MWhpa Small Business Primary Load Control </v>
      </c>
      <c r="E93" s="1058" t="str">
        <f>IF(Prop2021DUOSTariffs!D71="","",Prop2021DUOSTariffs!D71)</f>
        <v xml:space="preserve">Mt Isa SAC&lt;100MWhpa Small Business Primary Load Control </v>
      </c>
      <c r="F93" s="1099">
        <f>Prop2021DUOSTariffs!EZ71</f>
        <v>23992.109035217669</v>
      </c>
      <c r="G93" s="1049"/>
      <c r="H93" s="1099">
        <f>Prop2021DUOSTariffs!GK71</f>
        <v>23804.775926823626</v>
      </c>
      <c r="I93" s="1554">
        <f t="shared" si="10"/>
        <v>7.8695598299227676E-3</v>
      </c>
    </row>
    <row r="94" spans="1:9" s="1072" customFormat="1" ht="6" customHeight="1">
      <c r="A94" s="1242" t="s">
        <v>742</v>
      </c>
      <c r="B94" s="1242"/>
      <c r="C94" s="1242"/>
      <c r="D94" s="1243"/>
      <c r="E94" s="1243"/>
      <c r="F94" s="1244"/>
      <c r="G94" s="1245"/>
      <c r="H94" s="1244"/>
      <c r="I94" s="1555"/>
    </row>
    <row r="95" spans="1:9" s="1072" customFormat="1">
      <c r="A95" s="1097" t="b">
        <f>OR(EXACT(D95,$E$30:$E$120))</f>
        <v>0</v>
      </c>
      <c r="B95" s="1098" t="str">
        <f>IF(Prop2021DUOSTariffs!E73="","",Prop2021DUOSTariffs!E73)</f>
        <v>SAC</v>
      </c>
      <c r="C95" s="1098" t="str">
        <f>IF(Prop2021DUOSTariffs!G73="","",Prop2021DUOSTariffs!G73)</f>
        <v>East</v>
      </c>
      <c r="D95" s="1058" t="str">
        <f>IF(Prop2021DUOSTariffs!C73="","",Prop2021DUOSTariffs!C73)</f>
        <v>East Transitional Network ToU Energy Tariff 1</v>
      </c>
      <c r="E95" s="1058" t="str">
        <f>IF(Prop2021DUOSTariffs!D73="","",Prop2021DUOSTariffs!D73)</f>
        <v>-</v>
      </c>
      <c r="F95" s="1099">
        <f>Prop2021DUOSTariffs!EZ73</f>
        <v>0</v>
      </c>
      <c r="G95" s="1049"/>
      <c r="H95" s="1099">
        <f>Prop2021DUOSTariffs!GK73</f>
        <v>0</v>
      </c>
      <c r="I95" s="1554" t="str">
        <f>IFERROR(IF(AND(H95=0,F95&gt;0),"XXXX",F95/H95-1),"--")</f>
        <v>--</v>
      </c>
    </row>
    <row r="96" spans="1:9" s="1072" customFormat="1">
      <c r="A96" s="1097" t="b">
        <f>OR(EXACT(D96,$E$30:$E$120))</f>
        <v>0</v>
      </c>
      <c r="B96" s="1098" t="str">
        <f>IF(Prop2021DUOSTariffs!E74="","",Prop2021DUOSTariffs!E74)</f>
        <v>SAC</v>
      </c>
      <c r="C96" s="1098" t="str">
        <f>IF(Prop2021DUOSTariffs!G74="","",Prop2021DUOSTariffs!G74)</f>
        <v>East</v>
      </c>
      <c r="D96" s="1058" t="str">
        <f>IF(Prop2021DUOSTariffs!C74="","",Prop2021DUOSTariffs!C74)</f>
        <v>East Transitional Network ToU Energy Tariff 2</v>
      </c>
      <c r="E96" s="1058" t="str">
        <f>IF(Prop2021DUOSTariffs!D74="","",Prop2021DUOSTariffs!D74)</f>
        <v>-</v>
      </c>
      <c r="F96" s="1099">
        <f>Prop2021DUOSTariffs!EZ74</f>
        <v>0</v>
      </c>
      <c r="G96" s="1049"/>
      <c r="H96" s="1099">
        <f>Prop2021DUOSTariffs!GK74</f>
        <v>0</v>
      </c>
      <c r="I96" s="1554" t="str">
        <f>IFERROR(IF(AND(H96=0,F96&gt;0),"XXXX",F96/H96-1),"--")</f>
        <v>--</v>
      </c>
    </row>
    <row r="97" spans="1:9" s="1072" customFormat="1">
      <c r="A97" s="1097" t="b">
        <f>OR(EXACT(D97,$E$30:$E$120))</f>
        <v>0</v>
      </c>
      <c r="B97" s="1098" t="str">
        <f>IF(Prop2021DUOSTariffs!E75="","",Prop2021DUOSTariffs!E75)</f>
        <v>SAC</v>
      </c>
      <c r="C97" s="1098" t="str">
        <f>IF(Prop2021DUOSTariffs!G75="","",Prop2021DUOSTariffs!G75)</f>
        <v>East</v>
      </c>
      <c r="D97" s="1058" t="str">
        <f>IF(Prop2021DUOSTariffs!C75="","",Prop2021DUOSTariffs!C75)</f>
        <v>East Transitional Network Dual Rate Demand Tariff 3</v>
      </c>
      <c r="E97" s="1058" t="str">
        <f>IF(Prop2021DUOSTariffs!D75="","",Prop2021DUOSTariffs!D75)</f>
        <v>-</v>
      </c>
      <c r="F97" s="1099">
        <f>Prop2021DUOSTariffs!EZ75</f>
        <v>0</v>
      </c>
      <c r="G97" s="1049"/>
      <c r="H97" s="1099">
        <f>Prop2021DUOSTariffs!GK75</f>
        <v>0</v>
      </c>
      <c r="I97" s="1554" t="str">
        <f>IFERROR(IF(AND(H97=0,F97&gt;0),"XXXX",F97/H97-1),"--")</f>
        <v>--</v>
      </c>
    </row>
    <row r="98" spans="1:9" s="1072" customFormat="1" ht="6" customHeight="1">
      <c r="A98" s="1242" t="s">
        <v>742</v>
      </c>
      <c r="B98" s="1242"/>
      <c r="C98" s="1242"/>
      <c r="D98" s="1243"/>
      <c r="E98" s="1243"/>
      <c r="F98" s="1244"/>
      <c r="G98" s="1245"/>
      <c r="H98" s="1244"/>
      <c r="I98" s="1555"/>
    </row>
    <row r="99" spans="1:9" s="1072" customFormat="1">
      <c r="A99" s="1097" t="b">
        <f t="shared" ref="A99:A110" si="11">OR(EXACT(D99,$E$30:$E$120))</f>
        <v>1</v>
      </c>
      <c r="B99" s="1098" t="str">
        <f>IF(Prop2021DUOSTariffs!E77="","",Prop2021DUOSTariffs!E77)</f>
        <v>SAC</v>
      </c>
      <c r="C99" s="1098" t="str">
        <f>IF(Prop2021DUOSTariffs!G77="","",Prop2021DUOSTariffs!G77)</f>
        <v>East</v>
      </c>
      <c r="D99" s="1058" t="str">
        <f>IF(Prop2021DUOSTariffs!C77="","",Prop2021DUOSTariffs!C77)</f>
        <v>East SAC&lt;100MWhpa Residential IBT</v>
      </c>
      <c r="E99" s="1058" t="str">
        <f>IF(Prop2021DUOSTariffs!D77="","",Prop2021DUOSTariffs!D77)</f>
        <v>East SAC&lt;100MWhpa Residential IBT</v>
      </c>
      <c r="F99" s="1099">
        <f>Prop2021DUOSTariffs!EZ77</f>
        <v>307303613.35218751</v>
      </c>
      <c r="G99" s="1049"/>
      <c r="H99" s="1099">
        <f>Prop2021DUOSTariffs!GK77</f>
        <v>298915590.20043963</v>
      </c>
      <c r="I99" s="1554">
        <f t="shared" ref="I99:I110" si="12">IFERROR(IF(AND(H99=0,F99&gt;0),"XXXX",F99/H99-1),"--")</f>
        <v>2.8061511097909664E-2</v>
      </c>
    </row>
    <row r="100" spans="1:9" s="1072" customFormat="1">
      <c r="A100" s="1097" t="b">
        <f t="shared" si="11"/>
        <v>1</v>
      </c>
      <c r="B100" s="1098" t="str">
        <f>IF(Prop2021DUOSTariffs!E78="","",Prop2021DUOSTariffs!E78)</f>
        <v>SAC</v>
      </c>
      <c r="C100" s="1098" t="str">
        <f>IF(Prop2021DUOSTariffs!G78="","",Prop2021DUOSTariffs!G78)</f>
        <v>West</v>
      </c>
      <c r="D100" s="1058" t="str">
        <f>IF(Prop2021DUOSTariffs!C78="","",Prop2021DUOSTariffs!C78)</f>
        <v>West SAC&lt;100MWhpa Residential IBT</v>
      </c>
      <c r="E100" s="1058" t="str">
        <f>IF(Prop2021DUOSTariffs!D78="","",Prop2021DUOSTariffs!D78)</f>
        <v>West SAC&lt;100MWhpa Residential IBT</v>
      </c>
      <c r="F100" s="1099">
        <f>Prop2021DUOSTariffs!EZ78</f>
        <v>85175568.229058728</v>
      </c>
      <c r="G100" s="1049"/>
      <c r="H100" s="1099">
        <f>Prop2021DUOSTariffs!GK78</f>
        <v>83686756.357442513</v>
      </c>
      <c r="I100" s="1554">
        <f t="shared" si="12"/>
        <v>1.7790292471812519E-2</v>
      </c>
    </row>
    <row r="101" spans="1:9" s="1072" customFormat="1">
      <c r="A101" s="1097" t="b">
        <f t="shared" si="11"/>
        <v>1</v>
      </c>
      <c r="B101" s="1098" t="str">
        <f>IF(Prop2021DUOSTariffs!E79="","",Prop2021DUOSTariffs!E79)</f>
        <v>SAC</v>
      </c>
      <c r="C101" s="1098" t="str">
        <f>IF(Prop2021DUOSTariffs!G79="","",Prop2021DUOSTariffs!G79)</f>
        <v>Mt Isa</v>
      </c>
      <c r="D101" s="1058" t="str">
        <f>IF(Prop2021DUOSTariffs!C79="","",Prop2021DUOSTariffs!C79)</f>
        <v>MtIsa SAC&lt;100MWhpa Residential IBT</v>
      </c>
      <c r="E101" s="1058" t="str">
        <f>IF(Prop2021DUOSTariffs!D79="","",Prop2021DUOSTariffs!D79)</f>
        <v>MtIsa SAC&lt;100MWhpa Residential IBT</v>
      </c>
      <c r="F101" s="1099">
        <f>Prop2021DUOSTariffs!EZ79</f>
        <v>5888757.9132679217</v>
      </c>
      <c r="G101" s="1049"/>
      <c r="H101" s="1099">
        <f>Prop2021DUOSTariffs!GK79</f>
        <v>5796233.9193076901</v>
      </c>
      <c r="I101" s="1554">
        <f t="shared" si="12"/>
        <v>1.5962777770584413E-2</v>
      </c>
    </row>
    <row r="102" spans="1:9" s="1072" customFormat="1">
      <c r="A102" s="1097" t="b">
        <f t="shared" si="11"/>
        <v>1</v>
      </c>
      <c r="B102" s="1098" t="str">
        <f>IF(Prop2021DUOSTariffs!E80="","",Prop2021DUOSTariffs!E80)</f>
        <v>SAC</v>
      </c>
      <c r="C102" s="1098" t="str">
        <f>IF(Prop2021DUOSTariffs!G80="","",Prop2021DUOSTariffs!G80)</f>
        <v>East</v>
      </c>
      <c r="D102" s="1058" t="str">
        <f>IF(Prop2021DUOSTariffs!C80="","",Prop2021DUOSTariffs!C80)</f>
        <v>East SAC&lt;100MWhpa Residential TOU Energy</v>
      </c>
      <c r="E102" s="1058" t="str">
        <f>IF(Prop2021DUOSTariffs!D80="","",Prop2021DUOSTariffs!D80)</f>
        <v>East SAC&lt;100MWhpa Residential TOU Energy</v>
      </c>
      <c r="F102" s="1099">
        <f>Prop2021DUOSTariffs!EZ80</f>
        <v>238087.99657691133</v>
      </c>
      <c r="G102" s="1049"/>
      <c r="H102" s="1099">
        <f>Prop2021DUOSTariffs!GK80</f>
        <v>231589.25220597669</v>
      </c>
      <c r="I102" s="1554">
        <f t="shared" si="12"/>
        <v>2.8061511097909664E-2</v>
      </c>
    </row>
    <row r="103" spans="1:9" s="1072" customFormat="1">
      <c r="A103" s="1097" t="b">
        <f t="shared" si="11"/>
        <v>1</v>
      </c>
      <c r="B103" s="1098" t="str">
        <f>IF(Prop2021DUOSTariffs!E81="","",Prop2021DUOSTariffs!E81)</f>
        <v>SAC</v>
      </c>
      <c r="C103" s="1098" t="str">
        <f>IF(Prop2021DUOSTariffs!G81="","",Prop2021DUOSTariffs!G81)</f>
        <v>West</v>
      </c>
      <c r="D103" s="1058" t="str">
        <f>IF(Prop2021DUOSTariffs!C81="","",Prop2021DUOSTariffs!C81)</f>
        <v>West SAC&lt;100MWhpa Residential TOU Energy</v>
      </c>
      <c r="E103" s="1058" t="str">
        <f>IF(Prop2021DUOSTariffs!D81="","",Prop2021DUOSTariffs!D81)</f>
        <v>West SAC&lt;100MWhpa Residential TOU Energy</v>
      </c>
      <c r="F103" s="1099">
        <f>Prop2021DUOSTariffs!EZ81</f>
        <v>62277.899999300476</v>
      </c>
      <c r="G103" s="1049"/>
      <c r="H103" s="1099">
        <f>Prop2021DUOSTariffs!GK81</f>
        <v>61189.324028677795</v>
      </c>
      <c r="I103" s="1554">
        <f t="shared" si="12"/>
        <v>1.7790292471812519E-2</v>
      </c>
    </row>
    <row r="104" spans="1:9" s="1072" customFormat="1">
      <c r="A104" s="1097" t="b">
        <f t="shared" si="11"/>
        <v>1</v>
      </c>
      <c r="B104" s="1098" t="str">
        <f>IF(Prop2021DUOSTariffs!E82="","",Prop2021DUOSTariffs!E82)</f>
        <v>SAC</v>
      </c>
      <c r="C104" s="1098" t="str">
        <f>IF(Prop2021DUOSTariffs!G82="","",Prop2021DUOSTariffs!G82)</f>
        <v>Mt Isa</v>
      </c>
      <c r="D104" s="1058" t="str">
        <f>IF(Prop2021DUOSTariffs!C82="","",Prop2021DUOSTariffs!C82)</f>
        <v>MtIsa SAC&lt;100MWhpa Residential TOU Energy</v>
      </c>
      <c r="E104" s="1058" t="str">
        <f>IF(Prop2021DUOSTariffs!D82="","",Prop2021DUOSTariffs!D82)</f>
        <v>MtIsa SAC&lt;100MWhpa Residential TOU Energy</v>
      </c>
      <c r="F104" s="1099">
        <f>Prop2021DUOSTariffs!EZ82</f>
        <v>0</v>
      </c>
      <c r="G104" s="1049"/>
      <c r="H104" s="1099">
        <f>Prop2021DUOSTariffs!GK82</f>
        <v>0</v>
      </c>
      <c r="I104" s="1554" t="str">
        <f t="shared" si="12"/>
        <v>--</v>
      </c>
    </row>
    <row r="105" spans="1:9" s="1072" customFormat="1">
      <c r="A105" s="1097" t="b">
        <f t="shared" si="11"/>
        <v>1</v>
      </c>
      <c r="B105" s="1098" t="str">
        <f>IF(Prop2021DUOSTariffs!E83="","",Prop2021DUOSTariffs!E83)</f>
        <v>SAC</v>
      </c>
      <c r="C105" s="1098" t="str">
        <f>IF(Prop2021DUOSTariffs!G83="","",Prop2021DUOSTariffs!G83)</f>
        <v>East</v>
      </c>
      <c r="D105" s="1058" t="str">
        <f>IF(Prop2021DUOSTariffs!C83="","",Prop2021DUOSTariffs!C83)</f>
        <v>East SAC&lt;100MWhpa Residential TOU Transitional Demand</v>
      </c>
      <c r="E105" s="1058" t="str">
        <f>IF(Prop2021DUOSTariffs!D83="","",Prop2021DUOSTariffs!D83)</f>
        <v>East SAC&lt;100MWhpa Residential TOU Transitional Demand</v>
      </c>
      <c r="F105" s="1099">
        <f>Prop2021DUOSTariffs!EZ83</f>
        <v>69644017.389953315</v>
      </c>
      <c r="G105" s="1049"/>
      <c r="H105" s="1099">
        <f>Prop2021DUOSTariffs!GK83</f>
        <v>68088465.561447158</v>
      </c>
      <c r="I105" s="1554">
        <f t="shared" si="12"/>
        <v>2.2846040304761006E-2</v>
      </c>
    </row>
    <row r="106" spans="1:9" s="1072" customFormat="1">
      <c r="A106" s="1097" t="b">
        <f t="shared" si="11"/>
        <v>1</v>
      </c>
      <c r="B106" s="1098" t="str">
        <f>IF(Prop2021DUOSTariffs!E84="","",Prop2021DUOSTariffs!E84)</f>
        <v>SAC</v>
      </c>
      <c r="C106" s="1098" t="str">
        <f>IF(Prop2021DUOSTariffs!G84="","",Prop2021DUOSTariffs!G84)</f>
        <v>West</v>
      </c>
      <c r="D106" s="1058" t="str">
        <f>IF(Prop2021DUOSTariffs!C84="","",Prop2021DUOSTariffs!C84)</f>
        <v>West SAC&lt;100MWhpa Residential TOU Transitional Demand</v>
      </c>
      <c r="E106" s="1058" t="str">
        <f>IF(Prop2021DUOSTariffs!D84="","",Prop2021DUOSTariffs!D84)</f>
        <v>West SAC&lt;100MWhpa Residential TOU Transitional Demand</v>
      </c>
      <c r="F106" s="1099">
        <f>Prop2021DUOSTariffs!EZ84</f>
        <v>8344819.8032345492</v>
      </c>
      <c r="G106" s="1049"/>
      <c r="H106" s="1099">
        <f>Prop2021DUOSTariffs!GK84</f>
        <v>8240764.2603441123</v>
      </c>
      <c r="I106" s="1554">
        <f t="shared" si="12"/>
        <v>1.2626928717178521E-2</v>
      </c>
    </row>
    <row r="107" spans="1:9" s="1072" customFormat="1">
      <c r="A107" s="1097" t="b">
        <f t="shared" si="11"/>
        <v>1</v>
      </c>
      <c r="B107" s="1098" t="str">
        <f>IF(Prop2021DUOSTariffs!E85="","",Prop2021DUOSTariffs!E85)</f>
        <v>SAC</v>
      </c>
      <c r="C107" s="1098" t="str">
        <f>IF(Prop2021DUOSTariffs!G85="","",Prop2021DUOSTariffs!G85)</f>
        <v>Mt Isa</v>
      </c>
      <c r="D107" s="1058" t="str">
        <f>IF(Prop2021DUOSTariffs!C85="","",Prop2021DUOSTariffs!C85)</f>
        <v>MtIsa SAC&lt;100MWhpa Residential TOU Transitional Demand</v>
      </c>
      <c r="E107" s="1058" t="str">
        <f>IF(Prop2021DUOSTariffs!D85="","",Prop2021DUOSTariffs!D85)</f>
        <v>MtIsa SAC&lt;100MWhpa Residential TOU Transitional Demand</v>
      </c>
      <c r="F107" s="1099">
        <f>Prop2021DUOSTariffs!EZ85</f>
        <v>81428.370023338561</v>
      </c>
      <c r="G107" s="1049"/>
      <c r="H107" s="1099">
        <f>Prop2021DUOSTariffs!GK85</f>
        <v>80557.647767999995</v>
      </c>
      <c r="I107" s="1554">
        <f t="shared" si="12"/>
        <v>1.0808685202008173E-2</v>
      </c>
    </row>
    <row r="108" spans="1:9" s="1072" customFormat="1">
      <c r="A108" s="1097" t="b">
        <f t="shared" si="11"/>
        <v>1</v>
      </c>
      <c r="B108" s="1098" t="str">
        <f>IF(Prop2021DUOSTariffs!E86="","",Prop2021DUOSTariffs!E86)</f>
        <v>SAC</v>
      </c>
      <c r="C108" s="1098" t="str">
        <f>IF(Prop2021DUOSTariffs!G86="","",Prop2021DUOSTariffs!G86)</f>
        <v>East</v>
      </c>
      <c r="D108" s="1058" t="str">
        <f>IF(Prop2021DUOSTariffs!C86="","",Prop2021DUOSTariffs!C86)</f>
        <v>East SAC&lt;100MWhpa Residential TOU Demand</v>
      </c>
      <c r="E108" s="1058" t="str">
        <f>IF(Prop2021DUOSTariffs!D86="","",Prop2021DUOSTariffs!D86)</f>
        <v>East SAC&lt;100MWhpa Residential TOU Demand</v>
      </c>
      <c r="F108" s="1099">
        <f>Prop2021DUOSTariffs!EZ86</f>
        <v>194776.92340502769</v>
      </c>
      <c r="G108" s="1049"/>
      <c r="H108" s="1099">
        <f>Prop2021DUOSTariffs!GK86</f>
        <v>191402.39025887975</v>
      </c>
      <c r="I108" s="1554">
        <f t="shared" si="12"/>
        <v>1.7630569511612348E-2</v>
      </c>
    </row>
    <row r="109" spans="1:9" s="1072" customFormat="1">
      <c r="A109" s="1097" t="b">
        <f t="shared" si="11"/>
        <v>1</v>
      </c>
      <c r="B109" s="1098" t="str">
        <f>IF(Prop2021DUOSTariffs!E87="","",Prop2021DUOSTariffs!E87)</f>
        <v>SAC</v>
      </c>
      <c r="C109" s="1098" t="str">
        <f>IF(Prop2021DUOSTariffs!G87="","",Prop2021DUOSTariffs!G87)</f>
        <v>West</v>
      </c>
      <c r="D109" s="1058" t="str">
        <f>IF(Prop2021DUOSTariffs!C87="","",Prop2021DUOSTariffs!C87)</f>
        <v>West SAC&lt;100MWhpa Residential TOU Demand</v>
      </c>
      <c r="E109" s="1058" t="str">
        <f>IF(Prop2021DUOSTariffs!D87="","",Prop2021DUOSTariffs!D87)</f>
        <v>West SAC&lt;100MWhpa Residential TOU Demand</v>
      </c>
      <c r="F109" s="1099">
        <f>Prop2021DUOSTariffs!EZ87</f>
        <v>179566.98858950156</v>
      </c>
      <c r="G109" s="1049"/>
      <c r="H109" s="1099">
        <f>Prop2021DUOSTariffs!GK87</f>
        <v>178236.70734551823</v>
      </c>
      <c r="I109" s="1554">
        <f t="shared" si="12"/>
        <v>7.4635649625447442E-3</v>
      </c>
    </row>
    <row r="110" spans="1:9" s="1072" customFormat="1">
      <c r="A110" s="1097" t="b">
        <f t="shared" si="11"/>
        <v>1</v>
      </c>
      <c r="B110" s="1098" t="str">
        <f>IF(Prop2021DUOSTariffs!E88="","",Prop2021DUOSTariffs!E88)</f>
        <v>SAC</v>
      </c>
      <c r="C110" s="1098" t="str">
        <f>IF(Prop2021DUOSTariffs!G88="","",Prop2021DUOSTariffs!G88)</f>
        <v>Mt Isa</v>
      </c>
      <c r="D110" s="1058" t="str">
        <f>IF(Prop2021DUOSTariffs!C88="","",Prop2021DUOSTariffs!C88)</f>
        <v>MtIsa SAC&lt;100MWhpa Residential TOU Demand</v>
      </c>
      <c r="E110" s="1058" t="str">
        <f>IF(Prop2021DUOSTariffs!D88="","",Prop2021DUOSTariffs!D88)</f>
        <v>MtIsa SAC&lt;100MWhpa Residential TOU Demand</v>
      </c>
      <c r="F110" s="1099">
        <f>Prop2021DUOSTariffs!EZ88</f>
        <v>0</v>
      </c>
      <c r="G110" s="1049"/>
      <c r="H110" s="1099">
        <f>Prop2021DUOSTariffs!GK88</f>
        <v>0</v>
      </c>
      <c r="I110" s="1554" t="str">
        <f t="shared" si="12"/>
        <v>--</v>
      </c>
    </row>
    <row r="111" spans="1:9" s="1072" customFormat="1" ht="6" customHeight="1">
      <c r="A111" s="1242" t="s">
        <v>742</v>
      </c>
      <c r="B111" s="1242"/>
      <c r="C111" s="1242"/>
      <c r="D111" s="1243"/>
      <c r="E111" s="1243"/>
      <c r="F111" s="1244"/>
      <c r="G111" s="1245"/>
      <c r="H111" s="1244"/>
      <c r="I111" s="1555"/>
    </row>
    <row r="112" spans="1:9" s="1072" customFormat="1">
      <c r="A112" s="1097" t="b">
        <f t="shared" ref="A112:A120" si="13">OR(EXACT(D112,$E$30:$E$120))</f>
        <v>1</v>
      </c>
      <c r="B112" s="1098" t="str">
        <f>IF(Prop2021DUOSTariffs!E90="","",Prop2021DUOSTariffs!E90)</f>
        <v>SAC</v>
      </c>
      <c r="C112" s="1098" t="str">
        <f>IF(Prop2021DUOSTariffs!G90="","",Prop2021DUOSTariffs!G90)</f>
        <v>East</v>
      </c>
      <c r="D112" s="1058" t="str">
        <f>IF(Prop2021DUOSTariffs!C90="","",Prop2021DUOSTariffs!C90)</f>
        <v>East SAC&lt;100MWhpa Volume Night Controlled</v>
      </c>
      <c r="E112" s="1058" t="str">
        <f>IF(Prop2021DUOSTariffs!D90="","",Prop2021DUOSTariffs!D90)</f>
        <v>East SAC&lt;100MWhpa Volume Night Controlled</v>
      </c>
      <c r="F112" s="1099">
        <f>Prop2021DUOSTariffs!EZ90</f>
        <v>2795141.2336550322</v>
      </c>
      <c r="G112" s="1049"/>
      <c r="H112" s="1099">
        <f>Prop2021DUOSTariffs!GK90</f>
        <v>2705992.5324896509</v>
      </c>
      <c r="I112" s="1554">
        <f t="shared" ref="I112:I120" si="14">IFERROR(IF(AND(H112=0,F112&gt;0),"XXXX",F112/H112-1),"--")</f>
        <v>3.2944917657758754E-2</v>
      </c>
    </row>
    <row r="113" spans="1:9" s="1072" customFormat="1">
      <c r="A113" s="1097" t="b">
        <f t="shared" si="13"/>
        <v>1</v>
      </c>
      <c r="B113" s="1098" t="str">
        <f>IF(Prop2021DUOSTariffs!E91="","",Prop2021DUOSTariffs!E91)</f>
        <v>SAC</v>
      </c>
      <c r="C113" s="1098" t="str">
        <f>IF(Prop2021DUOSTariffs!G91="","",Prop2021DUOSTariffs!G91)</f>
        <v>West</v>
      </c>
      <c r="D113" s="1058" t="str">
        <f>IF(Prop2021DUOSTariffs!C91="","",Prop2021DUOSTariffs!C91)</f>
        <v>West SAC&lt;100MWhpa VolumeNightControlled</v>
      </c>
      <c r="E113" s="1058" t="str">
        <f>IF(Prop2021DUOSTariffs!D91="","",Prop2021DUOSTariffs!D91)</f>
        <v>West SAC&lt;100MWhpa VolumeNightControlled</v>
      </c>
      <c r="F113" s="1099">
        <f>Prop2021DUOSTariffs!EZ91</f>
        <v>386201.06078272662</v>
      </c>
      <c r="G113" s="1049"/>
      <c r="H113" s="1099">
        <f>Prop2021DUOSTariffs!GK91</f>
        <v>380635.47766828426</v>
      </c>
      <c r="I113" s="1554">
        <f t="shared" si="14"/>
        <v>1.4621819144490455E-2</v>
      </c>
    </row>
    <row r="114" spans="1:9" s="1072" customFormat="1">
      <c r="A114" s="1097" t="b">
        <f t="shared" si="13"/>
        <v>1</v>
      </c>
      <c r="B114" s="1098" t="str">
        <f>IF(Prop2021DUOSTariffs!E92="","",Prop2021DUOSTariffs!E92)</f>
        <v>SAC</v>
      </c>
      <c r="C114" s="1098" t="str">
        <f>IF(Prop2021DUOSTariffs!G92="","",Prop2021DUOSTariffs!G92)</f>
        <v>Mt Isa</v>
      </c>
      <c r="D114" s="1058" t="str">
        <f>IF(Prop2021DUOSTariffs!C92="","",Prop2021DUOSTariffs!C92)</f>
        <v>MtIsa SAC&lt;100MWhpa VolumeNightControlled</v>
      </c>
      <c r="E114" s="1058" t="str">
        <f>IF(Prop2021DUOSTariffs!D92="","",Prop2021DUOSTariffs!D92)</f>
        <v>MtIsa SAC&lt;100MWhpa VolumeNightControlled</v>
      </c>
      <c r="F114" s="1099">
        <f>Prop2021DUOSTariffs!EZ92</f>
        <v>11171.73673701096</v>
      </c>
      <c r="G114" s="1049"/>
      <c r="H114" s="1099">
        <f>Prop2021DUOSTariffs!GK92</f>
        <v>10992.670913585327</v>
      </c>
      <c r="I114" s="1554">
        <f t="shared" si="14"/>
        <v>1.6289564641140508E-2</v>
      </c>
    </row>
    <row r="115" spans="1:9" s="1072" customFormat="1">
      <c r="A115" s="1097" t="b">
        <f t="shared" si="13"/>
        <v>1</v>
      </c>
      <c r="B115" s="1098" t="str">
        <f>IF(Prop2021DUOSTariffs!E93="","",Prop2021DUOSTariffs!E93)</f>
        <v>SAC</v>
      </c>
      <c r="C115" s="1098" t="str">
        <f>IF(Prop2021DUOSTariffs!G93="","",Prop2021DUOSTariffs!G93)</f>
        <v>East</v>
      </c>
      <c r="D115" s="1058" t="str">
        <f>IF(Prop2021DUOSTariffs!C93="","",Prop2021DUOSTariffs!C93)</f>
        <v>East SAC&lt;100MWhpa VolumeControlled</v>
      </c>
      <c r="E115" s="1058" t="str">
        <f>IF(Prop2021DUOSTariffs!D93="","",Prop2021DUOSTariffs!D93)</f>
        <v>East SAC&lt;100MWhpa VolumeControlled</v>
      </c>
      <c r="F115" s="1099">
        <f>Prop2021DUOSTariffs!EZ93</f>
        <v>15685768.049307637</v>
      </c>
      <c r="G115" s="1049"/>
      <c r="H115" s="1099">
        <f>Prop2021DUOSTariffs!GK93</f>
        <v>15362131.65700832</v>
      </c>
      <c r="I115" s="1554">
        <f t="shared" si="14"/>
        <v>2.1067153929231752E-2</v>
      </c>
    </row>
    <row r="116" spans="1:9" s="1072" customFormat="1">
      <c r="A116" s="1097" t="b">
        <f t="shared" si="13"/>
        <v>1</v>
      </c>
      <c r="B116" s="1098" t="str">
        <f>IF(Prop2021DUOSTariffs!E94="","",Prop2021DUOSTariffs!E94)</f>
        <v>SAC</v>
      </c>
      <c r="C116" s="1098" t="str">
        <f>IF(Prop2021DUOSTariffs!G94="","",Prop2021DUOSTariffs!G94)</f>
        <v>West</v>
      </c>
      <c r="D116" s="1058" t="str">
        <f>IF(Prop2021DUOSTariffs!C94="","",Prop2021DUOSTariffs!C94)</f>
        <v>West SAC&lt;100MWhpa VolumeControlled</v>
      </c>
      <c r="E116" s="1058" t="str">
        <f>IF(Prop2021DUOSTariffs!D94="","",Prop2021DUOSTariffs!D94)</f>
        <v>West SAC&lt;100MWhpa VolumeControlled</v>
      </c>
      <c r="F116" s="1099">
        <f>Prop2021DUOSTariffs!EZ94</f>
        <v>2018436.8330674428</v>
      </c>
      <c r="G116" s="1049"/>
      <c r="H116" s="1099">
        <f>Prop2021DUOSTariffs!GK94</f>
        <v>1994017.8380364692</v>
      </c>
      <c r="I116" s="1554">
        <f t="shared" si="14"/>
        <v>1.2246126672075919E-2</v>
      </c>
    </row>
    <row r="117" spans="1:9" s="1072" customFormat="1">
      <c r="A117" s="1097" t="b">
        <f t="shared" si="13"/>
        <v>1</v>
      </c>
      <c r="B117" s="1098" t="str">
        <f>IF(Prop2021DUOSTariffs!E95="","",Prop2021DUOSTariffs!E95)</f>
        <v>SAC</v>
      </c>
      <c r="C117" s="1098" t="str">
        <f>IF(Prop2021DUOSTariffs!G95="","",Prop2021DUOSTariffs!G95)</f>
        <v>Mt Isa</v>
      </c>
      <c r="D117" s="1058" t="str">
        <f>IF(Prop2021DUOSTariffs!C95="","",Prop2021DUOSTariffs!C95)</f>
        <v>MtIsa SAC&lt;100MWhpa VolumeControlled</v>
      </c>
      <c r="E117" s="1058" t="str">
        <f>IF(Prop2021DUOSTariffs!D95="","",Prop2021DUOSTariffs!D95)</f>
        <v>MtIsa SAC&lt;100MWhpa VolumeControlled</v>
      </c>
      <c r="F117" s="1099">
        <f>Prop2021DUOSTariffs!EZ95</f>
        <v>270588.58287408802</v>
      </c>
      <c r="G117" s="1049"/>
      <c r="H117" s="1099">
        <f>Prop2021DUOSTariffs!GK95</f>
        <v>267754.75551438378</v>
      </c>
      <c r="I117" s="1554">
        <f t="shared" si="14"/>
        <v>1.058366770838548E-2</v>
      </c>
    </row>
    <row r="118" spans="1:9" s="1072" customFormat="1">
      <c r="A118" s="1097" t="b">
        <f t="shared" si="13"/>
        <v>1</v>
      </c>
      <c r="B118" s="1098" t="str">
        <f>IF(Prop2021DUOSTariffs!E96="","",Prop2021DUOSTariffs!E96)</f>
        <v>SAC</v>
      </c>
      <c r="C118" s="1098" t="str">
        <f>IF(Prop2021DUOSTariffs!G96="","",Prop2021DUOSTariffs!G96)</f>
        <v>East</v>
      </c>
      <c r="D118" s="1058" t="str">
        <f>IF(Prop2021DUOSTariffs!C96="","",Prop2021DUOSTariffs!C96)</f>
        <v>East SAC&lt;100MWhpa VolumeUnmetered</v>
      </c>
      <c r="E118" s="1058" t="str">
        <f>IF(Prop2021DUOSTariffs!D96="","",Prop2021DUOSTariffs!D96)</f>
        <v>East SAC&lt;100MWhpa VolumeUnmetered</v>
      </c>
      <c r="F118" s="1099">
        <f>Prop2021DUOSTariffs!EZ96</f>
        <v>15311081.521627495</v>
      </c>
      <c r="G118" s="1049"/>
      <c r="H118" s="1099">
        <f>Prop2021DUOSTariffs!GK96</f>
        <v>14969096.929842437</v>
      </c>
      <c r="I118" s="1554">
        <f t="shared" si="14"/>
        <v>2.2846040304761228E-2</v>
      </c>
    </row>
    <row r="119" spans="1:9" s="1072" customFormat="1">
      <c r="A119" s="1097" t="b">
        <f t="shared" si="13"/>
        <v>1</v>
      </c>
      <c r="B119" s="1098" t="str">
        <f>IF(Prop2021DUOSTariffs!E97="","",Prop2021DUOSTariffs!E97)</f>
        <v>SAC</v>
      </c>
      <c r="C119" s="1098" t="str">
        <f>IF(Prop2021DUOSTariffs!G97="","",Prop2021DUOSTariffs!G97)</f>
        <v>West</v>
      </c>
      <c r="D119" s="1058" t="str">
        <f>IF(Prop2021DUOSTariffs!C97="","",Prop2021DUOSTariffs!C97)</f>
        <v>West SAC&lt;100MWhpa VolumeUnmetered</v>
      </c>
      <c r="E119" s="1058" t="str">
        <f>IF(Prop2021DUOSTariffs!D97="","",Prop2021DUOSTariffs!D97)</f>
        <v>West SAC&lt;100MWhpa VolumeUnmetered</v>
      </c>
      <c r="F119" s="1099">
        <f>Prop2021DUOSTariffs!EZ97</f>
        <v>1348755.268602846</v>
      </c>
      <c r="G119" s="1049"/>
      <c r="H119" s="1099">
        <f>Prop2021DUOSTariffs!GK97</f>
        <v>1331936.9951098217</v>
      </c>
      <c r="I119" s="1554">
        <f t="shared" si="14"/>
        <v>1.2626928717178298E-2</v>
      </c>
    </row>
    <row r="120" spans="1:9" s="1072" customFormat="1">
      <c r="A120" s="1097" t="b">
        <f t="shared" si="13"/>
        <v>1</v>
      </c>
      <c r="B120" s="1098" t="str">
        <f>IF(Prop2021DUOSTariffs!E98="","",Prop2021DUOSTariffs!E98)</f>
        <v>SAC</v>
      </c>
      <c r="C120" s="1098" t="str">
        <f>IF(Prop2021DUOSTariffs!G98="","",Prop2021DUOSTariffs!G98)</f>
        <v>Mt Isa</v>
      </c>
      <c r="D120" s="1058" t="str">
        <f>IF(Prop2021DUOSTariffs!C98="","",Prop2021DUOSTariffs!C98)</f>
        <v>MtIsa SAC&lt;100MWhpa VolumeUnmetered</v>
      </c>
      <c r="E120" s="1058" t="str">
        <f>IF(Prop2021DUOSTariffs!D98="","",Prop2021DUOSTariffs!D98)</f>
        <v>MtIsa SAC&lt;100MWhpa VolumeUnmetered</v>
      </c>
      <c r="F120" s="1099">
        <f>Prop2021DUOSTariffs!EZ98</f>
        <v>31986.083781487687</v>
      </c>
      <c r="G120" s="1049"/>
      <c r="H120" s="1099">
        <f>Prop2021DUOSTariffs!GK98</f>
        <v>31644.053172233409</v>
      </c>
      <c r="I120" s="1554">
        <f t="shared" si="14"/>
        <v>1.0808685202008173E-2</v>
      </c>
    </row>
    <row r="121" spans="1:9" s="1072" customFormat="1" ht="6" customHeight="1" thickBot="1">
      <c r="A121" s="1556"/>
      <c r="B121" s="1556"/>
      <c r="C121" s="1556"/>
      <c r="D121" s="1557"/>
      <c r="E121" s="1557"/>
      <c r="F121" s="1558"/>
      <c r="G121" s="1559"/>
      <c r="H121" s="1558"/>
      <c r="I121" s="1560"/>
    </row>
    <row r="122" spans="1:9" ht="13.8" thickBot="1">
      <c r="A122" s="1049"/>
      <c r="F122" s="1100">
        <f>SUM(F30:F121)</f>
        <v>1154190141.5936508</v>
      </c>
      <c r="H122" s="1100">
        <f>SUM(H30:H121)</f>
        <v>1134263292.4303448</v>
      </c>
    </row>
    <row r="123" spans="1:9" ht="13.8" thickTop="1">
      <c r="F123" s="1561">
        <f>Prop2021DUOSTariffs!EZ100</f>
        <v>1154190141.5936508</v>
      </c>
      <c r="H123" s="1561">
        <f>Prop2021DUOSTariffs!GK100</f>
        <v>1134263292.4303448</v>
      </c>
    </row>
  </sheetData>
  <autoFilter ref="A29:I120" xr:uid="{9E4B44EA-090B-452E-88B0-79AC21F351FA}"/>
  <mergeCells count="1">
    <mergeCell ref="D12:E12"/>
  </mergeCells>
  <conditionalFormatting sqref="G21:G24">
    <cfRule type="cellIs" dxfId="42" priority="10" stopIfTrue="1" operator="equal">
      <formula>"BREACHED"</formula>
    </cfRule>
  </conditionalFormatting>
  <conditionalFormatting sqref="A32:A45 A47:A67 A112:A118 A76:A93 A30">
    <cfRule type="cellIs" dxfId="41" priority="11" stopIfTrue="1" operator="equal">
      <formula>FALSE</formula>
    </cfRule>
  </conditionalFormatting>
  <conditionalFormatting sqref="D25:E25 E26">
    <cfRule type="cellIs" dxfId="40" priority="12" stopIfTrue="1" operator="equal">
      <formula>"Error"</formula>
    </cfRule>
  </conditionalFormatting>
  <conditionalFormatting sqref="D26">
    <cfRule type="cellIs" dxfId="39" priority="9" stopIfTrue="1" operator="equal">
      <formula>"Error"</formula>
    </cfRule>
  </conditionalFormatting>
  <conditionalFormatting sqref="A119:A120">
    <cfRule type="cellIs" dxfId="38" priority="6" stopIfTrue="1" operator="equal">
      <formula>FALSE</formula>
    </cfRule>
  </conditionalFormatting>
  <conditionalFormatting sqref="A95:A97 A99:A110">
    <cfRule type="cellIs" dxfId="37" priority="4" stopIfTrue="1" operator="equal">
      <formula>FALSE</formula>
    </cfRule>
  </conditionalFormatting>
  <conditionalFormatting sqref="A69:A74">
    <cfRule type="cellIs" dxfId="36" priority="3" stopIfTrue="1" operator="equal">
      <formula>FALSE</formula>
    </cfRule>
  </conditionalFormatting>
  <printOptions horizontalCentered="1"/>
  <pageMargins left="0.15748031496062992" right="0.15748031496062992" top="0.39370078740157483" bottom="0.39370078740157483" header="0.11811023622047245" footer="0.11811023622047245"/>
  <pageSetup paperSize="9" scale="67" fitToHeight="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7" max="96" man="1"/>
    <brk id="49" max="1048575" man="1"/>
    <brk id="71" max="1048575" man="1"/>
    <brk id="94"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FFFF00"/>
    <pageSetUpPr fitToPage="1"/>
  </sheetPr>
  <dimension ref="A1:Y58"/>
  <sheetViews>
    <sheetView zoomScale="80" zoomScaleNormal="80" workbookViewId="0">
      <selection activeCell="E52" sqref="E52"/>
    </sheetView>
  </sheetViews>
  <sheetFormatPr defaultRowHeight="13.8"/>
  <cols>
    <col min="1" max="1" width="5.44140625" style="6" customWidth="1"/>
    <col min="2" max="2" width="78.44140625" style="7" customWidth="1"/>
    <col min="3" max="4" width="18.6640625" style="8" customWidth="1"/>
    <col min="5" max="5" width="17.44140625" style="9" bestFit="1" customWidth="1"/>
    <col min="6" max="6" width="18.6640625" style="9" customWidth="1"/>
    <col min="7" max="7" width="9" style="9" customWidth="1"/>
    <col min="8" max="8" width="13.44140625" style="9" customWidth="1"/>
    <col min="9" max="9" width="9" style="9" customWidth="1"/>
    <col min="10" max="11" width="9" style="10" customWidth="1"/>
    <col min="12" max="19" width="9" style="9" customWidth="1"/>
    <col min="20" max="21" width="9.109375" style="9"/>
    <col min="22" max="22" width="8.6640625" style="9" customWidth="1"/>
    <col min="23" max="256" width="9.109375" style="9"/>
    <col min="257" max="257" width="2.6640625" style="9" customWidth="1"/>
    <col min="258" max="258" width="114.44140625" style="9" customWidth="1"/>
    <col min="259" max="259" width="0" style="9" hidden="1" customWidth="1"/>
    <col min="260" max="260" width="27.5546875" style="9" customWidth="1"/>
    <col min="261" max="261" width="20" style="9" customWidth="1"/>
    <col min="262" max="262" width="18.33203125" style="9" customWidth="1"/>
    <col min="263" max="263" width="20.109375" style="9" customWidth="1"/>
    <col min="264" max="264" width="10.6640625" style="9" customWidth="1"/>
    <col min="265" max="265" width="14.44140625" style="9" bestFit="1" customWidth="1"/>
    <col min="266" max="266" width="10.6640625" style="9" customWidth="1"/>
    <col min="267" max="267" width="12.6640625" style="9" bestFit="1" customWidth="1"/>
    <col min="268" max="270" width="8.44140625" style="9" customWidth="1"/>
    <col min="271" max="273" width="13" style="9" customWidth="1"/>
    <col min="274" max="277" width="9.109375" style="9"/>
    <col min="278" max="278" width="8.6640625" style="9" customWidth="1"/>
    <col min="279" max="512" width="9.109375" style="9"/>
    <col min="513" max="513" width="2.6640625" style="9" customWidth="1"/>
    <col min="514" max="514" width="114.44140625" style="9" customWidth="1"/>
    <col min="515" max="515" width="0" style="9" hidden="1" customWidth="1"/>
    <col min="516" max="516" width="27.5546875" style="9" customWidth="1"/>
    <col min="517" max="517" width="20" style="9" customWidth="1"/>
    <col min="518" max="518" width="18.33203125" style="9" customWidth="1"/>
    <col min="519" max="519" width="20.109375" style="9" customWidth="1"/>
    <col min="520" max="520" width="10.6640625" style="9" customWidth="1"/>
    <col min="521" max="521" width="14.44140625" style="9" bestFit="1" customWidth="1"/>
    <col min="522" max="522" width="10.6640625" style="9" customWidth="1"/>
    <col min="523" max="523" width="12.6640625" style="9" bestFit="1" customWidth="1"/>
    <col min="524" max="526" width="8.44140625" style="9" customWidth="1"/>
    <col min="527" max="529" width="13" style="9" customWidth="1"/>
    <col min="530" max="533" width="9.109375" style="9"/>
    <col min="534" max="534" width="8.6640625" style="9" customWidth="1"/>
    <col min="535" max="768" width="9.109375" style="9"/>
    <col min="769" max="769" width="2.6640625" style="9" customWidth="1"/>
    <col min="770" max="770" width="114.44140625" style="9" customWidth="1"/>
    <col min="771" max="771" width="0" style="9" hidden="1" customWidth="1"/>
    <col min="772" max="772" width="27.5546875" style="9" customWidth="1"/>
    <col min="773" max="773" width="20" style="9" customWidth="1"/>
    <col min="774" max="774" width="18.33203125" style="9" customWidth="1"/>
    <col min="775" max="775" width="20.109375" style="9" customWidth="1"/>
    <col min="776" max="776" width="10.6640625" style="9" customWidth="1"/>
    <col min="777" max="777" width="14.44140625" style="9" bestFit="1" customWidth="1"/>
    <col min="778" max="778" width="10.6640625" style="9" customWidth="1"/>
    <col min="779" max="779" width="12.6640625" style="9" bestFit="1" customWidth="1"/>
    <col min="780" max="782" width="8.44140625" style="9" customWidth="1"/>
    <col min="783" max="785" width="13" style="9" customWidth="1"/>
    <col min="786" max="789" width="9.109375" style="9"/>
    <col min="790" max="790" width="8.6640625" style="9" customWidth="1"/>
    <col min="791" max="1024" width="9.109375" style="9"/>
    <col min="1025" max="1025" width="2.6640625" style="9" customWidth="1"/>
    <col min="1026" max="1026" width="114.44140625" style="9" customWidth="1"/>
    <col min="1027" max="1027" width="0" style="9" hidden="1" customWidth="1"/>
    <col min="1028" max="1028" width="27.5546875" style="9" customWidth="1"/>
    <col min="1029" max="1029" width="20" style="9" customWidth="1"/>
    <col min="1030" max="1030" width="18.33203125" style="9" customWidth="1"/>
    <col min="1031" max="1031" width="20.109375" style="9" customWidth="1"/>
    <col min="1032" max="1032" width="10.6640625" style="9" customWidth="1"/>
    <col min="1033" max="1033" width="14.44140625" style="9" bestFit="1" customWidth="1"/>
    <col min="1034" max="1034" width="10.6640625" style="9" customWidth="1"/>
    <col min="1035" max="1035" width="12.6640625" style="9" bestFit="1" customWidth="1"/>
    <col min="1036" max="1038" width="8.44140625" style="9" customWidth="1"/>
    <col min="1039" max="1041" width="13" style="9" customWidth="1"/>
    <col min="1042" max="1045" width="9.109375" style="9"/>
    <col min="1046" max="1046" width="8.6640625" style="9" customWidth="1"/>
    <col min="1047" max="1280" width="9.109375" style="9"/>
    <col min="1281" max="1281" width="2.6640625" style="9" customWidth="1"/>
    <col min="1282" max="1282" width="114.44140625" style="9" customWidth="1"/>
    <col min="1283" max="1283" width="0" style="9" hidden="1" customWidth="1"/>
    <col min="1284" max="1284" width="27.5546875" style="9" customWidth="1"/>
    <col min="1285" max="1285" width="20" style="9" customWidth="1"/>
    <col min="1286" max="1286" width="18.33203125" style="9" customWidth="1"/>
    <col min="1287" max="1287" width="20.109375" style="9" customWidth="1"/>
    <col min="1288" max="1288" width="10.6640625" style="9" customWidth="1"/>
    <col min="1289" max="1289" width="14.44140625" style="9" bestFit="1" customWidth="1"/>
    <col min="1290" max="1290" width="10.6640625" style="9" customWidth="1"/>
    <col min="1291" max="1291" width="12.6640625" style="9" bestFit="1" customWidth="1"/>
    <col min="1292" max="1294" width="8.44140625" style="9" customWidth="1"/>
    <col min="1295" max="1297" width="13" style="9" customWidth="1"/>
    <col min="1298" max="1301" width="9.109375" style="9"/>
    <col min="1302" max="1302" width="8.6640625" style="9" customWidth="1"/>
    <col min="1303" max="1536" width="9.109375" style="9"/>
    <col min="1537" max="1537" width="2.6640625" style="9" customWidth="1"/>
    <col min="1538" max="1538" width="114.44140625" style="9" customWidth="1"/>
    <col min="1539" max="1539" width="0" style="9" hidden="1" customWidth="1"/>
    <col min="1540" max="1540" width="27.5546875" style="9" customWidth="1"/>
    <col min="1541" max="1541" width="20" style="9" customWidth="1"/>
    <col min="1542" max="1542" width="18.33203125" style="9" customWidth="1"/>
    <col min="1543" max="1543" width="20.109375" style="9" customWidth="1"/>
    <col min="1544" max="1544" width="10.6640625" style="9" customWidth="1"/>
    <col min="1545" max="1545" width="14.44140625" style="9" bestFit="1" customWidth="1"/>
    <col min="1546" max="1546" width="10.6640625" style="9" customWidth="1"/>
    <col min="1547" max="1547" width="12.6640625" style="9" bestFit="1" customWidth="1"/>
    <col min="1548" max="1550" width="8.44140625" style="9" customWidth="1"/>
    <col min="1551" max="1553" width="13" style="9" customWidth="1"/>
    <col min="1554" max="1557" width="9.109375" style="9"/>
    <col min="1558" max="1558" width="8.6640625" style="9" customWidth="1"/>
    <col min="1559" max="1792" width="9.109375" style="9"/>
    <col min="1793" max="1793" width="2.6640625" style="9" customWidth="1"/>
    <col min="1794" max="1794" width="114.44140625" style="9" customWidth="1"/>
    <col min="1795" max="1795" width="0" style="9" hidden="1" customWidth="1"/>
    <col min="1796" max="1796" width="27.5546875" style="9" customWidth="1"/>
    <col min="1797" max="1797" width="20" style="9" customWidth="1"/>
    <col min="1798" max="1798" width="18.33203125" style="9" customWidth="1"/>
    <col min="1799" max="1799" width="20.109375" style="9" customWidth="1"/>
    <col min="1800" max="1800" width="10.6640625" style="9" customWidth="1"/>
    <col min="1801" max="1801" width="14.44140625" style="9" bestFit="1" customWidth="1"/>
    <col min="1802" max="1802" width="10.6640625" style="9" customWidth="1"/>
    <col min="1803" max="1803" width="12.6640625" style="9" bestFit="1" customWidth="1"/>
    <col min="1804" max="1806" width="8.44140625" style="9" customWidth="1"/>
    <col min="1807" max="1809" width="13" style="9" customWidth="1"/>
    <col min="1810" max="1813" width="9.109375" style="9"/>
    <col min="1814" max="1814" width="8.6640625" style="9" customWidth="1"/>
    <col min="1815" max="2048" width="9.109375" style="9"/>
    <col min="2049" max="2049" width="2.6640625" style="9" customWidth="1"/>
    <col min="2050" max="2050" width="114.44140625" style="9" customWidth="1"/>
    <col min="2051" max="2051" width="0" style="9" hidden="1" customWidth="1"/>
    <col min="2052" max="2052" width="27.5546875" style="9" customWidth="1"/>
    <col min="2053" max="2053" width="20" style="9" customWidth="1"/>
    <col min="2054" max="2054" width="18.33203125" style="9" customWidth="1"/>
    <col min="2055" max="2055" width="20.109375" style="9" customWidth="1"/>
    <col min="2056" max="2056" width="10.6640625" style="9" customWidth="1"/>
    <col min="2057" max="2057" width="14.44140625" style="9" bestFit="1" customWidth="1"/>
    <col min="2058" max="2058" width="10.6640625" style="9" customWidth="1"/>
    <col min="2059" max="2059" width="12.6640625" style="9" bestFit="1" customWidth="1"/>
    <col min="2060" max="2062" width="8.44140625" style="9" customWidth="1"/>
    <col min="2063" max="2065" width="13" style="9" customWidth="1"/>
    <col min="2066" max="2069" width="9.109375" style="9"/>
    <col min="2070" max="2070" width="8.6640625" style="9" customWidth="1"/>
    <col min="2071" max="2304" width="9.109375" style="9"/>
    <col min="2305" max="2305" width="2.6640625" style="9" customWidth="1"/>
    <col min="2306" max="2306" width="114.44140625" style="9" customWidth="1"/>
    <col min="2307" max="2307" width="0" style="9" hidden="1" customWidth="1"/>
    <col min="2308" max="2308" width="27.5546875" style="9" customWidth="1"/>
    <col min="2309" max="2309" width="20" style="9" customWidth="1"/>
    <col min="2310" max="2310" width="18.33203125" style="9" customWidth="1"/>
    <col min="2311" max="2311" width="20.109375" style="9" customWidth="1"/>
    <col min="2312" max="2312" width="10.6640625" style="9" customWidth="1"/>
    <col min="2313" max="2313" width="14.44140625" style="9" bestFit="1" customWidth="1"/>
    <col min="2314" max="2314" width="10.6640625" style="9" customWidth="1"/>
    <col min="2315" max="2315" width="12.6640625" style="9" bestFit="1" customWidth="1"/>
    <col min="2316" max="2318" width="8.44140625" style="9" customWidth="1"/>
    <col min="2319" max="2321" width="13" style="9" customWidth="1"/>
    <col min="2322" max="2325" width="9.109375" style="9"/>
    <col min="2326" max="2326" width="8.6640625" style="9" customWidth="1"/>
    <col min="2327" max="2560" width="9.109375" style="9"/>
    <col min="2561" max="2561" width="2.6640625" style="9" customWidth="1"/>
    <col min="2562" max="2562" width="114.44140625" style="9" customWidth="1"/>
    <col min="2563" max="2563" width="0" style="9" hidden="1" customWidth="1"/>
    <col min="2564" max="2564" width="27.5546875" style="9" customWidth="1"/>
    <col min="2565" max="2565" width="20" style="9" customWidth="1"/>
    <col min="2566" max="2566" width="18.33203125" style="9" customWidth="1"/>
    <col min="2567" max="2567" width="20.109375" style="9" customWidth="1"/>
    <col min="2568" max="2568" width="10.6640625" style="9" customWidth="1"/>
    <col min="2569" max="2569" width="14.44140625" style="9" bestFit="1" customWidth="1"/>
    <col min="2570" max="2570" width="10.6640625" style="9" customWidth="1"/>
    <col min="2571" max="2571" width="12.6640625" style="9" bestFit="1" customWidth="1"/>
    <col min="2572" max="2574" width="8.44140625" style="9" customWidth="1"/>
    <col min="2575" max="2577" width="13" style="9" customWidth="1"/>
    <col min="2578" max="2581" width="9.109375" style="9"/>
    <col min="2582" max="2582" width="8.6640625" style="9" customWidth="1"/>
    <col min="2583" max="2816" width="9.109375" style="9"/>
    <col min="2817" max="2817" width="2.6640625" style="9" customWidth="1"/>
    <col min="2818" max="2818" width="114.44140625" style="9" customWidth="1"/>
    <col min="2819" max="2819" width="0" style="9" hidden="1" customWidth="1"/>
    <col min="2820" max="2820" width="27.5546875" style="9" customWidth="1"/>
    <col min="2821" max="2821" width="20" style="9" customWidth="1"/>
    <col min="2822" max="2822" width="18.33203125" style="9" customWidth="1"/>
    <col min="2823" max="2823" width="20.109375" style="9" customWidth="1"/>
    <col min="2824" max="2824" width="10.6640625" style="9" customWidth="1"/>
    <col min="2825" max="2825" width="14.44140625" style="9" bestFit="1" customWidth="1"/>
    <col min="2826" max="2826" width="10.6640625" style="9" customWidth="1"/>
    <col min="2827" max="2827" width="12.6640625" style="9" bestFit="1" customWidth="1"/>
    <col min="2828" max="2830" width="8.44140625" style="9" customWidth="1"/>
    <col min="2831" max="2833" width="13" style="9" customWidth="1"/>
    <col min="2834" max="2837" width="9.109375" style="9"/>
    <col min="2838" max="2838" width="8.6640625" style="9" customWidth="1"/>
    <col min="2839" max="3072" width="9.109375" style="9"/>
    <col min="3073" max="3073" width="2.6640625" style="9" customWidth="1"/>
    <col min="3074" max="3074" width="114.44140625" style="9" customWidth="1"/>
    <col min="3075" max="3075" width="0" style="9" hidden="1" customWidth="1"/>
    <col min="3076" max="3076" width="27.5546875" style="9" customWidth="1"/>
    <col min="3077" max="3077" width="20" style="9" customWidth="1"/>
    <col min="3078" max="3078" width="18.33203125" style="9" customWidth="1"/>
    <col min="3079" max="3079" width="20.109375" style="9" customWidth="1"/>
    <col min="3080" max="3080" width="10.6640625" style="9" customWidth="1"/>
    <col min="3081" max="3081" width="14.44140625" style="9" bestFit="1" customWidth="1"/>
    <col min="3082" max="3082" width="10.6640625" style="9" customWidth="1"/>
    <col min="3083" max="3083" width="12.6640625" style="9" bestFit="1" customWidth="1"/>
    <col min="3084" max="3086" width="8.44140625" style="9" customWidth="1"/>
    <col min="3087" max="3089" width="13" style="9" customWidth="1"/>
    <col min="3090" max="3093" width="9.109375" style="9"/>
    <col min="3094" max="3094" width="8.6640625" style="9" customWidth="1"/>
    <col min="3095" max="3328" width="9.109375" style="9"/>
    <col min="3329" max="3329" width="2.6640625" style="9" customWidth="1"/>
    <col min="3330" max="3330" width="114.44140625" style="9" customWidth="1"/>
    <col min="3331" max="3331" width="0" style="9" hidden="1" customWidth="1"/>
    <col min="3332" max="3332" width="27.5546875" style="9" customWidth="1"/>
    <col min="3333" max="3333" width="20" style="9" customWidth="1"/>
    <col min="3334" max="3334" width="18.33203125" style="9" customWidth="1"/>
    <col min="3335" max="3335" width="20.109375" style="9" customWidth="1"/>
    <col min="3336" max="3336" width="10.6640625" style="9" customWidth="1"/>
    <col min="3337" max="3337" width="14.44140625" style="9" bestFit="1" customWidth="1"/>
    <col min="3338" max="3338" width="10.6640625" style="9" customWidth="1"/>
    <col min="3339" max="3339" width="12.6640625" style="9" bestFit="1" customWidth="1"/>
    <col min="3340" max="3342" width="8.44140625" style="9" customWidth="1"/>
    <col min="3343" max="3345" width="13" style="9" customWidth="1"/>
    <col min="3346" max="3349" width="9.109375" style="9"/>
    <col min="3350" max="3350" width="8.6640625" style="9" customWidth="1"/>
    <col min="3351" max="3584" width="9.109375" style="9"/>
    <col min="3585" max="3585" width="2.6640625" style="9" customWidth="1"/>
    <col min="3586" max="3586" width="114.44140625" style="9" customWidth="1"/>
    <col min="3587" max="3587" width="0" style="9" hidden="1" customWidth="1"/>
    <col min="3588" max="3588" width="27.5546875" style="9" customWidth="1"/>
    <col min="3589" max="3589" width="20" style="9" customWidth="1"/>
    <col min="3590" max="3590" width="18.33203125" style="9" customWidth="1"/>
    <col min="3591" max="3591" width="20.109375" style="9" customWidth="1"/>
    <col min="3592" max="3592" width="10.6640625" style="9" customWidth="1"/>
    <col min="3593" max="3593" width="14.44140625" style="9" bestFit="1" customWidth="1"/>
    <col min="3594" max="3594" width="10.6640625" style="9" customWidth="1"/>
    <col min="3595" max="3595" width="12.6640625" style="9" bestFit="1" customWidth="1"/>
    <col min="3596" max="3598" width="8.44140625" style="9" customWidth="1"/>
    <col min="3599" max="3601" width="13" style="9" customWidth="1"/>
    <col min="3602" max="3605" width="9.109375" style="9"/>
    <col min="3606" max="3606" width="8.6640625" style="9" customWidth="1"/>
    <col min="3607" max="3840" width="9.109375" style="9"/>
    <col min="3841" max="3841" width="2.6640625" style="9" customWidth="1"/>
    <col min="3842" max="3842" width="114.44140625" style="9" customWidth="1"/>
    <col min="3843" max="3843" width="0" style="9" hidden="1" customWidth="1"/>
    <col min="3844" max="3844" width="27.5546875" style="9" customWidth="1"/>
    <col min="3845" max="3845" width="20" style="9" customWidth="1"/>
    <col min="3846" max="3846" width="18.33203125" style="9" customWidth="1"/>
    <col min="3847" max="3847" width="20.109375" style="9" customWidth="1"/>
    <col min="3848" max="3848" width="10.6640625" style="9" customWidth="1"/>
    <col min="3849" max="3849" width="14.44140625" style="9" bestFit="1" customWidth="1"/>
    <col min="3850" max="3850" width="10.6640625" style="9" customWidth="1"/>
    <col min="3851" max="3851" width="12.6640625" style="9" bestFit="1" customWidth="1"/>
    <col min="3852" max="3854" width="8.44140625" style="9" customWidth="1"/>
    <col min="3855" max="3857" width="13" style="9" customWidth="1"/>
    <col min="3858" max="3861" width="9.109375" style="9"/>
    <col min="3862" max="3862" width="8.6640625" style="9" customWidth="1"/>
    <col min="3863" max="4096" width="9.109375" style="9"/>
    <col min="4097" max="4097" width="2.6640625" style="9" customWidth="1"/>
    <col min="4098" max="4098" width="114.44140625" style="9" customWidth="1"/>
    <col min="4099" max="4099" width="0" style="9" hidden="1" customWidth="1"/>
    <col min="4100" max="4100" width="27.5546875" style="9" customWidth="1"/>
    <col min="4101" max="4101" width="20" style="9" customWidth="1"/>
    <col min="4102" max="4102" width="18.33203125" style="9" customWidth="1"/>
    <col min="4103" max="4103" width="20.109375" style="9" customWidth="1"/>
    <col min="4104" max="4104" width="10.6640625" style="9" customWidth="1"/>
    <col min="4105" max="4105" width="14.44140625" style="9" bestFit="1" customWidth="1"/>
    <col min="4106" max="4106" width="10.6640625" style="9" customWidth="1"/>
    <col min="4107" max="4107" width="12.6640625" style="9" bestFit="1" customWidth="1"/>
    <col min="4108" max="4110" width="8.44140625" style="9" customWidth="1"/>
    <col min="4111" max="4113" width="13" style="9" customWidth="1"/>
    <col min="4114" max="4117" width="9.109375" style="9"/>
    <col min="4118" max="4118" width="8.6640625" style="9" customWidth="1"/>
    <col min="4119" max="4352" width="9.109375" style="9"/>
    <col min="4353" max="4353" width="2.6640625" style="9" customWidth="1"/>
    <col min="4354" max="4354" width="114.44140625" style="9" customWidth="1"/>
    <col min="4355" max="4355" width="0" style="9" hidden="1" customWidth="1"/>
    <col min="4356" max="4356" width="27.5546875" style="9" customWidth="1"/>
    <col min="4357" max="4357" width="20" style="9" customWidth="1"/>
    <col min="4358" max="4358" width="18.33203125" style="9" customWidth="1"/>
    <col min="4359" max="4359" width="20.109375" style="9" customWidth="1"/>
    <col min="4360" max="4360" width="10.6640625" style="9" customWidth="1"/>
    <col min="4361" max="4361" width="14.44140625" style="9" bestFit="1" customWidth="1"/>
    <col min="4362" max="4362" width="10.6640625" style="9" customWidth="1"/>
    <col min="4363" max="4363" width="12.6640625" style="9" bestFit="1" customWidth="1"/>
    <col min="4364" max="4366" width="8.44140625" style="9" customWidth="1"/>
    <col min="4367" max="4369" width="13" style="9" customWidth="1"/>
    <col min="4370" max="4373" width="9.109375" style="9"/>
    <col min="4374" max="4374" width="8.6640625" style="9" customWidth="1"/>
    <col min="4375" max="4608" width="9.109375" style="9"/>
    <col min="4609" max="4609" width="2.6640625" style="9" customWidth="1"/>
    <col min="4610" max="4610" width="114.44140625" style="9" customWidth="1"/>
    <col min="4611" max="4611" width="0" style="9" hidden="1" customWidth="1"/>
    <col min="4612" max="4612" width="27.5546875" style="9" customWidth="1"/>
    <col min="4613" max="4613" width="20" style="9" customWidth="1"/>
    <col min="4614" max="4614" width="18.33203125" style="9" customWidth="1"/>
    <col min="4615" max="4615" width="20.109375" style="9" customWidth="1"/>
    <col min="4616" max="4616" width="10.6640625" style="9" customWidth="1"/>
    <col min="4617" max="4617" width="14.44140625" style="9" bestFit="1" customWidth="1"/>
    <col min="4618" max="4618" width="10.6640625" style="9" customWidth="1"/>
    <col min="4619" max="4619" width="12.6640625" style="9" bestFit="1" customWidth="1"/>
    <col min="4620" max="4622" width="8.44140625" style="9" customWidth="1"/>
    <col min="4623" max="4625" width="13" style="9" customWidth="1"/>
    <col min="4626" max="4629" width="9.109375" style="9"/>
    <col min="4630" max="4630" width="8.6640625" style="9" customWidth="1"/>
    <col min="4631" max="4864" width="9.109375" style="9"/>
    <col min="4865" max="4865" width="2.6640625" style="9" customWidth="1"/>
    <col min="4866" max="4866" width="114.44140625" style="9" customWidth="1"/>
    <col min="4867" max="4867" width="0" style="9" hidden="1" customWidth="1"/>
    <col min="4868" max="4868" width="27.5546875" style="9" customWidth="1"/>
    <col min="4869" max="4869" width="20" style="9" customWidth="1"/>
    <col min="4870" max="4870" width="18.33203125" style="9" customWidth="1"/>
    <col min="4871" max="4871" width="20.109375" style="9" customWidth="1"/>
    <col min="4872" max="4872" width="10.6640625" style="9" customWidth="1"/>
    <col min="4873" max="4873" width="14.44140625" style="9" bestFit="1" customWidth="1"/>
    <col min="4874" max="4874" width="10.6640625" style="9" customWidth="1"/>
    <col min="4875" max="4875" width="12.6640625" style="9" bestFit="1" customWidth="1"/>
    <col min="4876" max="4878" width="8.44140625" style="9" customWidth="1"/>
    <col min="4879" max="4881" width="13" style="9" customWidth="1"/>
    <col min="4882" max="4885" width="9.109375" style="9"/>
    <col min="4886" max="4886" width="8.6640625" style="9" customWidth="1"/>
    <col min="4887" max="5120" width="9.109375" style="9"/>
    <col min="5121" max="5121" width="2.6640625" style="9" customWidth="1"/>
    <col min="5122" max="5122" width="114.44140625" style="9" customWidth="1"/>
    <col min="5123" max="5123" width="0" style="9" hidden="1" customWidth="1"/>
    <col min="5124" max="5124" width="27.5546875" style="9" customWidth="1"/>
    <col min="5125" max="5125" width="20" style="9" customWidth="1"/>
    <col min="5126" max="5126" width="18.33203125" style="9" customWidth="1"/>
    <col min="5127" max="5127" width="20.109375" style="9" customWidth="1"/>
    <col min="5128" max="5128" width="10.6640625" style="9" customWidth="1"/>
    <col min="5129" max="5129" width="14.44140625" style="9" bestFit="1" customWidth="1"/>
    <col min="5130" max="5130" width="10.6640625" style="9" customWidth="1"/>
    <col min="5131" max="5131" width="12.6640625" style="9" bestFit="1" customWidth="1"/>
    <col min="5132" max="5134" width="8.44140625" style="9" customWidth="1"/>
    <col min="5135" max="5137" width="13" style="9" customWidth="1"/>
    <col min="5138" max="5141" width="9.109375" style="9"/>
    <col min="5142" max="5142" width="8.6640625" style="9" customWidth="1"/>
    <col min="5143" max="5376" width="9.109375" style="9"/>
    <col min="5377" max="5377" width="2.6640625" style="9" customWidth="1"/>
    <col min="5378" max="5378" width="114.44140625" style="9" customWidth="1"/>
    <col min="5379" max="5379" width="0" style="9" hidden="1" customWidth="1"/>
    <col min="5380" max="5380" width="27.5546875" style="9" customWidth="1"/>
    <col min="5381" max="5381" width="20" style="9" customWidth="1"/>
    <col min="5382" max="5382" width="18.33203125" style="9" customWidth="1"/>
    <col min="5383" max="5383" width="20.109375" style="9" customWidth="1"/>
    <col min="5384" max="5384" width="10.6640625" style="9" customWidth="1"/>
    <col min="5385" max="5385" width="14.44140625" style="9" bestFit="1" customWidth="1"/>
    <col min="5386" max="5386" width="10.6640625" style="9" customWidth="1"/>
    <col min="5387" max="5387" width="12.6640625" style="9" bestFit="1" customWidth="1"/>
    <col min="5388" max="5390" width="8.44140625" style="9" customWidth="1"/>
    <col min="5391" max="5393" width="13" style="9" customWidth="1"/>
    <col min="5394" max="5397" width="9.109375" style="9"/>
    <col min="5398" max="5398" width="8.6640625" style="9" customWidth="1"/>
    <col min="5399" max="5632" width="9.109375" style="9"/>
    <col min="5633" max="5633" width="2.6640625" style="9" customWidth="1"/>
    <col min="5634" max="5634" width="114.44140625" style="9" customWidth="1"/>
    <col min="5635" max="5635" width="0" style="9" hidden="1" customWidth="1"/>
    <col min="5636" max="5636" width="27.5546875" style="9" customWidth="1"/>
    <col min="5637" max="5637" width="20" style="9" customWidth="1"/>
    <col min="5638" max="5638" width="18.33203125" style="9" customWidth="1"/>
    <col min="5639" max="5639" width="20.109375" style="9" customWidth="1"/>
    <col min="5640" max="5640" width="10.6640625" style="9" customWidth="1"/>
    <col min="5641" max="5641" width="14.44140625" style="9" bestFit="1" customWidth="1"/>
    <col min="5642" max="5642" width="10.6640625" style="9" customWidth="1"/>
    <col min="5643" max="5643" width="12.6640625" style="9" bestFit="1" customWidth="1"/>
    <col min="5644" max="5646" width="8.44140625" style="9" customWidth="1"/>
    <col min="5647" max="5649" width="13" style="9" customWidth="1"/>
    <col min="5650" max="5653" width="9.109375" style="9"/>
    <col min="5654" max="5654" width="8.6640625" style="9" customWidth="1"/>
    <col min="5655" max="5888" width="9.109375" style="9"/>
    <col min="5889" max="5889" width="2.6640625" style="9" customWidth="1"/>
    <col min="5890" max="5890" width="114.44140625" style="9" customWidth="1"/>
    <col min="5891" max="5891" width="0" style="9" hidden="1" customWidth="1"/>
    <col min="5892" max="5892" width="27.5546875" style="9" customWidth="1"/>
    <col min="5893" max="5893" width="20" style="9" customWidth="1"/>
    <col min="5894" max="5894" width="18.33203125" style="9" customWidth="1"/>
    <col min="5895" max="5895" width="20.109375" style="9" customWidth="1"/>
    <col min="5896" max="5896" width="10.6640625" style="9" customWidth="1"/>
    <col min="5897" max="5897" width="14.44140625" style="9" bestFit="1" customWidth="1"/>
    <col min="5898" max="5898" width="10.6640625" style="9" customWidth="1"/>
    <col min="5899" max="5899" width="12.6640625" style="9" bestFit="1" customWidth="1"/>
    <col min="5900" max="5902" width="8.44140625" style="9" customWidth="1"/>
    <col min="5903" max="5905" width="13" style="9" customWidth="1"/>
    <col min="5906" max="5909" width="9.109375" style="9"/>
    <col min="5910" max="5910" width="8.6640625" style="9" customWidth="1"/>
    <col min="5911" max="6144" width="9.109375" style="9"/>
    <col min="6145" max="6145" width="2.6640625" style="9" customWidth="1"/>
    <col min="6146" max="6146" width="114.44140625" style="9" customWidth="1"/>
    <col min="6147" max="6147" width="0" style="9" hidden="1" customWidth="1"/>
    <col min="6148" max="6148" width="27.5546875" style="9" customWidth="1"/>
    <col min="6149" max="6149" width="20" style="9" customWidth="1"/>
    <col min="6150" max="6150" width="18.33203125" style="9" customWidth="1"/>
    <col min="6151" max="6151" width="20.109375" style="9" customWidth="1"/>
    <col min="6152" max="6152" width="10.6640625" style="9" customWidth="1"/>
    <col min="6153" max="6153" width="14.44140625" style="9" bestFit="1" customWidth="1"/>
    <col min="6154" max="6154" width="10.6640625" style="9" customWidth="1"/>
    <col min="6155" max="6155" width="12.6640625" style="9" bestFit="1" customWidth="1"/>
    <col min="6156" max="6158" width="8.44140625" style="9" customWidth="1"/>
    <col min="6159" max="6161" width="13" style="9" customWidth="1"/>
    <col min="6162" max="6165" width="9.109375" style="9"/>
    <col min="6166" max="6166" width="8.6640625" style="9" customWidth="1"/>
    <col min="6167" max="6400" width="9.109375" style="9"/>
    <col min="6401" max="6401" width="2.6640625" style="9" customWidth="1"/>
    <col min="6402" max="6402" width="114.44140625" style="9" customWidth="1"/>
    <col min="6403" max="6403" width="0" style="9" hidden="1" customWidth="1"/>
    <col min="6404" max="6404" width="27.5546875" style="9" customWidth="1"/>
    <col min="6405" max="6405" width="20" style="9" customWidth="1"/>
    <col min="6406" max="6406" width="18.33203125" style="9" customWidth="1"/>
    <col min="6407" max="6407" width="20.109375" style="9" customWidth="1"/>
    <col min="6408" max="6408" width="10.6640625" style="9" customWidth="1"/>
    <col min="6409" max="6409" width="14.44140625" style="9" bestFit="1" customWidth="1"/>
    <col min="6410" max="6410" width="10.6640625" style="9" customWidth="1"/>
    <col min="6411" max="6411" width="12.6640625" style="9" bestFit="1" customWidth="1"/>
    <col min="6412" max="6414" width="8.44140625" style="9" customWidth="1"/>
    <col min="6415" max="6417" width="13" style="9" customWidth="1"/>
    <col min="6418" max="6421" width="9.109375" style="9"/>
    <col min="6422" max="6422" width="8.6640625" style="9" customWidth="1"/>
    <col min="6423" max="6656" width="9.109375" style="9"/>
    <col min="6657" max="6657" width="2.6640625" style="9" customWidth="1"/>
    <col min="6658" max="6658" width="114.44140625" style="9" customWidth="1"/>
    <col min="6659" max="6659" width="0" style="9" hidden="1" customWidth="1"/>
    <col min="6660" max="6660" width="27.5546875" style="9" customWidth="1"/>
    <col min="6661" max="6661" width="20" style="9" customWidth="1"/>
    <col min="6662" max="6662" width="18.33203125" style="9" customWidth="1"/>
    <col min="6663" max="6663" width="20.109375" style="9" customWidth="1"/>
    <col min="6664" max="6664" width="10.6640625" style="9" customWidth="1"/>
    <col min="6665" max="6665" width="14.44140625" style="9" bestFit="1" customWidth="1"/>
    <col min="6666" max="6666" width="10.6640625" style="9" customWidth="1"/>
    <col min="6667" max="6667" width="12.6640625" style="9" bestFit="1" customWidth="1"/>
    <col min="6668" max="6670" width="8.44140625" style="9" customWidth="1"/>
    <col min="6671" max="6673" width="13" style="9" customWidth="1"/>
    <col min="6674" max="6677" width="9.109375" style="9"/>
    <col min="6678" max="6678" width="8.6640625" style="9" customWidth="1"/>
    <col min="6679" max="6912" width="9.109375" style="9"/>
    <col min="6913" max="6913" width="2.6640625" style="9" customWidth="1"/>
    <col min="6914" max="6914" width="114.44140625" style="9" customWidth="1"/>
    <col min="6915" max="6915" width="0" style="9" hidden="1" customWidth="1"/>
    <col min="6916" max="6916" width="27.5546875" style="9" customWidth="1"/>
    <col min="6917" max="6917" width="20" style="9" customWidth="1"/>
    <col min="6918" max="6918" width="18.33203125" style="9" customWidth="1"/>
    <col min="6919" max="6919" width="20.109375" style="9" customWidth="1"/>
    <col min="6920" max="6920" width="10.6640625" style="9" customWidth="1"/>
    <col min="6921" max="6921" width="14.44140625" style="9" bestFit="1" customWidth="1"/>
    <col min="6922" max="6922" width="10.6640625" style="9" customWidth="1"/>
    <col min="6923" max="6923" width="12.6640625" style="9" bestFit="1" customWidth="1"/>
    <col min="6924" max="6926" width="8.44140625" style="9" customWidth="1"/>
    <col min="6927" max="6929" width="13" style="9" customWidth="1"/>
    <col min="6930" max="6933" width="9.109375" style="9"/>
    <col min="6934" max="6934" width="8.6640625" style="9" customWidth="1"/>
    <col min="6935" max="7168" width="9.109375" style="9"/>
    <col min="7169" max="7169" width="2.6640625" style="9" customWidth="1"/>
    <col min="7170" max="7170" width="114.44140625" style="9" customWidth="1"/>
    <col min="7171" max="7171" width="0" style="9" hidden="1" customWidth="1"/>
    <col min="7172" max="7172" width="27.5546875" style="9" customWidth="1"/>
    <col min="7173" max="7173" width="20" style="9" customWidth="1"/>
    <col min="7174" max="7174" width="18.33203125" style="9" customWidth="1"/>
    <col min="7175" max="7175" width="20.109375" style="9" customWidth="1"/>
    <col min="7176" max="7176" width="10.6640625" style="9" customWidth="1"/>
    <col min="7177" max="7177" width="14.44140625" style="9" bestFit="1" customWidth="1"/>
    <col min="7178" max="7178" width="10.6640625" style="9" customWidth="1"/>
    <col min="7179" max="7179" width="12.6640625" style="9" bestFit="1" customWidth="1"/>
    <col min="7180" max="7182" width="8.44140625" style="9" customWidth="1"/>
    <col min="7183" max="7185" width="13" style="9" customWidth="1"/>
    <col min="7186" max="7189" width="9.109375" style="9"/>
    <col min="7190" max="7190" width="8.6640625" style="9" customWidth="1"/>
    <col min="7191" max="7424" width="9.109375" style="9"/>
    <col min="7425" max="7425" width="2.6640625" style="9" customWidth="1"/>
    <col min="7426" max="7426" width="114.44140625" style="9" customWidth="1"/>
    <col min="7427" max="7427" width="0" style="9" hidden="1" customWidth="1"/>
    <col min="7428" max="7428" width="27.5546875" style="9" customWidth="1"/>
    <col min="7429" max="7429" width="20" style="9" customWidth="1"/>
    <col min="7430" max="7430" width="18.33203125" style="9" customWidth="1"/>
    <col min="7431" max="7431" width="20.109375" style="9" customWidth="1"/>
    <col min="7432" max="7432" width="10.6640625" style="9" customWidth="1"/>
    <col min="7433" max="7433" width="14.44140625" style="9" bestFit="1" customWidth="1"/>
    <col min="7434" max="7434" width="10.6640625" style="9" customWidth="1"/>
    <col min="7435" max="7435" width="12.6640625" style="9" bestFit="1" customWidth="1"/>
    <col min="7436" max="7438" width="8.44140625" style="9" customWidth="1"/>
    <col min="7439" max="7441" width="13" style="9" customWidth="1"/>
    <col min="7442" max="7445" width="9.109375" style="9"/>
    <col min="7446" max="7446" width="8.6640625" style="9" customWidth="1"/>
    <col min="7447" max="7680" width="9.109375" style="9"/>
    <col min="7681" max="7681" width="2.6640625" style="9" customWidth="1"/>
    <col min="7682" max="7682" width="114.44140625" style="9" customWidth="1"/>
    <col min="7683" max="7683" width="0" style="9" hidden="1" customWidth="1"/>
    <col min="7684" max="7684" width="27.5546875" style="9" customWidth="1"/>
    <col min="7685" max="7685" width="20" style="9" customWidth="1"/>
    <col min="7686" max="7686" width="18.33203125" style="9" customWidth="1"/>
    <col min="7687" max="7687" width="20.109375" style="9" customWidth="1"/>
    <col min="7688" max="7688" width="10.6640625" style="9" customWidth="1"/>
    <col min="7689" max="7689" width="14.44140625" style="9" bestFit="1" customWidth="1"/>
    <col min="7690" max="7690" width="10.6640625" style="9" customWidth="1"/>
    <col min="7691" max="7691" width="12.6640625" style="9" bestFit="1" customWidth="1"/>
    <col min="7692" max="7694" width="8.44140625" style="9" customWidth="1"/>
    <col min="7695" max="7697" width="13" style="9" customWidth="1"/>
    <col min="7698" max="7701" width="9.109375" style="9"/>
    <col min="7702" max="7702" width="8.6640625" style="9" customWidth="1"/>
    <col min="7703" max="7936" width="9.109375" style="9"/>
    <col min="7937" max="7937" width="2.6640625" style="9" customWidth="1"/>
    <col min="7938" max="7938" width="114.44140625" style="9" customWidth="1"/>
    <col min="7939" max="7939" width="0" style="9" hidden="1" customWidth="1"/>
    <col min="7940" max="7940" width="27.5546875" style="9" customWidth="1"/>
    <col min="7941" max="7941" width="20" style="9" customWidth="1"/>
    <col min="7942" max="7942" width="18.33203125" style="9" customWidth="1"/>
    <col min="7943" max="7943" width="20.109375" style="9" customWidth="1"/>
    <col min="7944" max="7944" width="10.6640625" style="9" customWidth="1"/>
    <col min="7945" max="7945" width="14.44140625" style="9" bestFit="1" customWidth="1"/>
    <col min="7946" max="7946" width="10.6640625" style="9" customWidth="1"/>
    <col min="7947" max="7947" width="12.6640625" style="9" bestFit="1" customWidth="1"/>
    <col min="7948" max="7950" width="8.44140625" style="9" customWidth="1"/>
    <col min="7951" max="7953" width="13" style="9" customWidth="1"/>
    <col min="7954" max="7957" width="9.109375" style="9"/>
    <col min="7958" max="7958" width="8.6640625" style="9" customWidth="1"/>
    <col min="7959" max="8192" width="9.109375" style="9"/>
    <col min="8193" max="8193" width="2.6640625" style="9" customWidth="1"/>
    <col min="8194" max="8194" width="114.44140625" style="9" customWidth="1"/>
    <col min="8195" max="8195" width="0" style="9" hidden="1" customWidth="1"/>
    <col min="8196" max="8196" width="27.5546875" style="9" customWidth="1"/>
    <col min="8197" max="8197" width="20" style="9" customWidth="1"/>
    <col min="8198" max="8198" width="18.33203125" style="9" customWidth="1"/>
    <col min="8199" max="8199" width="20.109375" style="9" customWidth="1"/>
    <col min="8200" max="8200" width="10.6640625" style="9" customWidth="1"/>
    <col min="8201" max="8201" width="14.44140625" style="9" bestFit="1" customWidth="1"/>
    <col min="8202" max="8202" width="10.6640625" style="9" customWidth="1"/>
    <col min="8203" max="8203" width="12.6640625" style="9" bestFit="1" customWidth="1"/>
    <col min="8204" max="8206" width="8.44140625" style="9" customWidth="1"/>
    <col min="8207" max="8209" width="13" style="9" customWidth="1"/>
    <col min="8210" max="8213" width="9.109375" style="9"/>
    <col min="8214" max="8214" width="8.6640625" style="9" customWidth="1"/>
    <col min="8215" max="8448" width="9.109375" style="9"/>
    <col min="8449" max="8449" width="2.6640625" style="9" customWidth="1"/>
    <col min="8450" max="8450" width="114.44140625" style="9" customWidth="1"/>
    <col min="8451" max="8451" width="0" style="9" hidden="1" customWidth="1"/>
    <col min="8452" max="8452" width="27.5546875" style="9" customWidth="1"/>
    <col min="8453" max="8453" width="20" style="9" customWidth="1"/>
    <col min="8454" max="8454" width="18.33203125" style="9" customWidth="1"/>
    <col min="8455" max="8455" width="20.109375" style="9" customWidth="1"/>
    <col min="8456" max="8456" width="10.6640625" style="9" customWidth="1"/>
    <col min="8457" max="8457" width="14.44140625" style="9" bestFit="1" customWidth="1"/>
    <col min="8458" max="8458" width="10.6640625" style="9" customWidth="1"/>
    <col min="8459" max="8459" width="12.6640625" style="9" bestFit="1" customWidth="1"/>
    <col min="8460" max="8462" width="8.44140625" style="9" customWidth="1"/>
    <col min="8463" max="8465" width="13" style="9" customWidth="1"/>
    <col min="8466" max="8469" width="9.109375" style="9"/>
    <col min="8470" max="8470" width="8.6640625" style="9" customWidth="1"/>
    <col min="8471" max="8704" width="9.109375" style="9"/>
    <col min="8705" max="8705" width="2.6640625" style="9" customWidth="1"/>
    <col min="8706" max="8706" width="114.44140625" style="9" customWidth="1"/>
    <col min="8707" max="8707" width="0" style="9" hidden="1" customWidth="1"/>
    <col min="8708" max="8708" width="27.5546875" style="9" customWidth="1"/>
    <col min="8709" max="8709" width="20" style="9" customWidth="1"/>
    <col min="8710" max="8710" width="18.33203125" style="9" customWidth="1"/>
    <col min="8711" max="8711" width="20.109375" style="9" customWidth="1"/>
    <col min="8712" max="8712" width="10.6640625" style="9" customWidth="1"/>
    <col min="8713" max="8713" width="14.44140625" style="9" bestFit="1" customWidth="1"/>
    <col min="8714" max="8714" width="10.6640625" style="9" customWidth="1"/>
    <col min="8715" max="8715" width="12.6640625" style="9" bestFit="1" customWidth="1"/>
    <col min="8716" max="8718" width="8.44140625" style="9" customWidth="1"/>
    <col min="8719" max="8721" width="13" style="9" customWidth="1"/>
    <col min="8722" max="8725" width="9.109375" style="9"/>
    <col min="8726" max="8726" width="8.6640625" style="9" customWidth="1"/>
    <col min="8727" max="8960" width="9.109375" style="9"/>
    <col min="8961" max="8961" width="2.6640625" style="9" customWidth="1"/>
    <col min="8962" max="8962" width="114.44140625" style="9" customWidth="1"/>
    <col min="8963" max="8963" width="0" style="9" hidden="1" customWidth="1"/>
    <col min="8964" max="8964" width="27.5546875" style="9" customWidth="1"/>
    <col min="8965" max="8965" width="20" style="9" customWidth="1"/>
    <col min="8966" max="8966" width="18.33203125" style="9" customWidth="1"/>
    <col min="8967" max="8967" width="20.109375" style="9" customWidth="1"/>
    <col min="8968" max="8968" width="10.6640625" style="9" customWidth="1"/>
    <col min="8969" max="8969" width="14.44140625" style="9" bestFit="1" customWidth="1"/>
    <col min="8970" max="8970" width="10.6640625" style="9" customWidth="1"/>
    <col min="8971" max="8971" width="12.6640625" style="9" bestFit="1" customWidth="1"/>
    <col min="8972" max="8974" width="8.44140625" style="9" customWidth="1"/>
    <col min="8975" max="8977" width="13" style="9" customWidth="1"/>
    <col min="8978" max="8981" width="9.109375" style="9"/>
    <col min="8982" max="8982" width="8.6640625" style="9" customWidth="1"/>
    <col min="8983" max="9216" width="9.109375" style="9"/>
    <col min="9217" max="9217" width="2.6640625" style="9" customWidth="1"/>
    <col min="9218" max="9218" width="114.44140625" style="9" customWidth="1"/>
    <col min="9219" max="9219" width="0" style="9" hidden="1" customWidth="1"/>
    <col min="9220" max="9220" width="27.5546875" style="9" customWidth="1"/>
    <col min="9221" max="9221" width="20" style="9" customWidth="1"/>
    <col min="9222" max="9222" width="18.33203125" style="9" customWidth="1"/>
    <col min="9223" max="9223" width="20.109375" style="9" customWidth="1"/>
    <col min="9224" max="9224" width="10.6640625" style="9" customWidth="1"/>
    <col min="9225" max="9225" width="14.44140625" style="9" bestFit="1" customWidth="1"/>
    <col min="9226" max="9226" width="10.6640625" style="9" customWidth="1"/>
    <col min="9227" max="9227" width="12.6640625" style="9" bestFit="1" customWidth="1"/>
    <col min="9228" max="9230" width="8.44140625" style="9" customWidth="1"/>
    <col min="9231" max="9233" width="13" style="9" customWidth="1"/>
    <col min="9234" max="9237" width="9.109375" style="9"/>
    <col min="9238" max="9238" width="8.6640625" style="9" customWidth="1"/>
    <col min="9239" max="9472" width="9.109375" style="9"/>
    <col min="9473" max="9473" width="2.6640625" style="9" customWidth="1"/>
    <col min="9474" max="9474" width="114.44140625" style="9" customWidth="1"/>
    <col min="9475" max="9475" width="0" style="9" hidden="1" customWidth="1"/>
    <col min="9476" max="9476" width="27.5546875" style="9" customWidth="1"/>
    <col min="9477" max="9477" width="20" style="9" customWidth="1"/>
    <col min="9478" max="9478" width="18.33203125" style="9" customWidth="1"/>
    <col min="9479" max="9479" width="20.109375" style="9" customWidth="1"/>
    <col min="9480" max="9480" width="10.6640625" style="9" customWidth="1"/>
    <col min="9481" max="9481" width="14.44140625" style="9" bestFit="1" customWidth="1"/>
    <col min="9482" max="9482" width="10.6640625" style="9" customWidth="1"/>
    <col min="9483" max="9483" width="12.6640625" style="9" bestFit="1" customWidth="1"/>
    <col min="9484" max="9486" width="8.44140625" style="9" customWidth="1"/>
    <col min="9487" max="9489" width="13" style="9" customWidth="1"/>
    <col min="9490" max="9493" width="9.109375" style="9"/>
    <col min="9494" max="9494" width="8.6640625" style="9" customWidth="1"/>
    <col min="9495" max="9728" width="9.109375" style="9"/>
    <col min="9729" max="9729" width="2.6640625" style="9" customWidth="1"/>
    <col min="9730" max="9730" width="114.44140625" style="9" customWidth="1"/>
    <col min="9731" max="9731" width="0" style="9" hidden="1" customWidth="1"/>
    <col min="9732" max="9732" width="27.5546875" style="9" customWidth="1"/>
    <col min="9733" max="9733" width="20" style="9" customWidth="1"/>
    <col min="9734" max="9734" width="18.33203125" style="9" customWidth="1"/>
    <col min="9735" max="9735" width="20.109375" style="9" customWidth="1"/>
    <col min="9736" max="9736" width="10.6640625" style="9" customWidth="1"/>
    <col min="9737" max="9737" width="14.44140625" style="9" bestFit="1" customWidth="1"/>
    <col min="9738" max="9738" width="10.6640625" style="9" customWidth="1"/>
    <col min="9739" max="9739" width="12.6640625" style="9" bestFit="1" customWidth="1"/>
    <col min="9740" max="9742" width="8.44140625" style="9" customWidth="1"/>
    <col min="9743" max="9745" width="13" style="9" customWidth="1"/>
    <col min="9746" max="9749" width="9.109375" style="9"/>
    <col min="9750" max="9750" width="8.6640625" style="9" customWidth="1"/>
    <col min="9751" max="9984" width="9.109375" style="9"/>
    <col min="9985" max="9985" width="2.6640625" style="9" customWidth="1"/>
    <col min="9986" max="9986" width="114.44140625" style="9" customWidth="1"/>
    <col min="9987" max="9987" width="0" style="9" hidden="1" customWidth="1"/>
    <col min="9988" max="9988" width="27.5546875" style="9" customWidth="1"/>
    <col min="9989" max="9989" width="20" style="9" customWidth="1"/>
    <col min="9990" max="9990" width="18.33203125" style="9" customWidth="1"/>
    <col min="9991" max="9991" width="20.109375" style="9" customWidth="1"/>
    <col min="9992" max="9992" width="10.6640625" style="9" customWidth="1"/>
    <col min="9993" max="9993" width="14.44140625" style="9" bestFit="1" customWidth="1"/>
    <col min="9994" max="9994" width="10.6640625" style="9" customWidth="1"/>
    <col min="9995" max="9995" width="12.6640625" style="9" bestFit="1" customWidth="1"/>
    <col min="9996" max="9998" width="8.44140625" style="9" customWidth="1"/>
    <col min="9999" max="10001" width="13" style="9" customWidth="1"/>
    <col min="10002" max="10005" width="9.109375" style="9"/>
    <col min="10006" max="10006" width="8.6640625" style="9" customWidth="1"/>
    <col min="10007" max="10240" width="9.109375" style="9"/>
    <col min="10241" max="10241" width="2.6640625" style="9" customWidth="1"/>
    <col min="10242" max="10242" width="114.44140625" style="9" customWidth="1"/>
    <col min="10243" max="10243" width="0" style="9" hidden="1" customWidth="1"/>
    <col min="10244" max="10244" width="27.5546875" style="9" customWidth="1"/>
    <col min="10245" max="10245" width="20" style="9" customWidth="1"/>
    <col min="10246" max="10246" width="18.33203125" style="9" customWidth="1"/>
    <col min="10247" max="10247" width="20.109375" style="9" customWidth="1"/>
    <col min="10248" max="10248" width="10.6640625" style="9" customWidth="1"/>
    <col min="10249" max="10249" width="14.44140625" style="9" bestFit="1" customWidth="1"/>
    <col min="10250" max="10250" width="10.6640625" style="9" customWidth="1"/>
    <col min="10251" max="10251" width="12.6640625" style="9" bestFit="1" customWidth="1"/>
    <col min="10252" max="10254" width="8.44140625" style="9" customWidth="1"/>
    <col min="10255" max="10257" width="13" style="9" customWidth="1"/>
    <col min="10258" max="10261" width="9.109375" style="9"/>
    <col min="10262" max="10262" width="8.6640625" style="9" customWidth="1"/>
    <col min="10263" max="10496" width="9.109375" style="9"/>
    <col min="10497" max="10497" width="2.6640625" style="9" customWidth="1"/>
    <col min="10498" max="10498" width="114.44140625" style="9" customWidth="1"/>
    <col min="10499" max="10499" width="0" style="9" hidden="1" customWidth="1"/>
    <col min="10500" max="10500" width="27.5546875" style="9" customWidth="1"/>
    <col min="10501" max="10501" width="20" style="9" customWidth="1"/>
    <col min="10502" max="10502" width="18.33203125" style="9" customWidth="1"/>
    <col min="10503" max="10503" width="20.109375" style="9" customWidth="1"/>
    <col min="10504" max="10504" width="10.6640625" style="9" customWidth="1"/>
    <col min="10505" max="10505" width="14.44140625" style="9" bestFit="1" customWidth="1"/>
    <col min="10506" max="10506" width="10.6640625" style="9" customWidth="1"/>
    <col min="10507" max="10507" width="12.6640625" style="9" bestFit="1" customWidth="1"/>
    <col min="10508" max="10510" width="8.44140625" style="9" customWidth="1"/>
    <col min="10511" max="10513" width="13" style="9" customWidth="1"/>
    <col min="10514" max="10517" width="9.109375" style="9"/>
    <col min="10518" max="10518" width="8.6640625" style="9" customWidth="1"/>
    <col min="10519" max="10752" width="9.109375" style="9"/>
    <col min="10753" max="10753" width="2.6640625" style="9" customWidth="1"/>
    <col min="10754" max="10754" width="114.44140625" style="9" customWidth="1"/>
    <col min="10755" max="10755" width="0" style="9" hidden="1" customWidth="1"/>
    <col min="10756" max="10756" width="27.5546875" style="9" customWidth="1"/>
    <col min="10757" max="10757" width="20" style="9" customWidth="1"/>
    <col min="10758" max="10758" width="18.33203125" style="9" customWidth="1"/>
    <col min="10759" max="10759" width="20.109375" style="9" customWidth="1"/>
    <col min="10760" max="10760" width="10.6640625" style="9" customWidth="1"/>
    <col min="10761" max="10761" width="14.44140625" style="9" bestFit="1" customWidth="1"/>
    <col min="10762" max="10762" width="10.6640625" style="9" customWidth="1"/>
    <col min="10763" max="10763" width="12.6640625" style="9" bestFit="1" customWidth="1"/>
    <col min="10764" max="10766" width="8.44140625" style="9" customWidth="1"/>
    <col min="10767" max="10769" width="13" style="9" customWidth="1"/>
    <col min="10770" max="10773" width="9.109375" style="9"/>
    <col min="10774" max="10774" width="8.6640625" style="9" customWidth="1"/>
    <col min="10775" max="11008" width="9.109375" style="9"/>
    <col min="11009" max="11009" width="2.6640625" style="9" customWidth="1"/>
    <col min="11010" max="11010" width="114.44140625" style="9" customWidth="1"/>
    <col min="11011" max="11011" width="0" style="9" hidden="1" customWidth="1"/>
    <col min="11012" max="11012" width="27.5546875" style="9" customWidth="1"/>
    <col min="11013" max="11013" width="20" style="9" customWidth="1"/>
    <col min="11014" max="11014" width="18.33203125" style="9" customWidth="1"/>
    <col min="11015" max="11015" width="20.109375" style="9" customWidth="1"/>
    <col min="11016" max="11016" width="10.6640625" style="9" customWidth="1"/>
    <col min="11017" max="11017" width="14.44140625" style="9" bestFit="1" customWidth="1"/>
    <col min="11018" max="11018" width="10.6640625" style="9" customWidth="1"/>
    <col min="11019" max="11019" width="12.6640625" style="9" bestFit="1" customWidth="1"/>
    <col min="11020" max="11022" width="8.44140625" style="9" customWidth="1"/>
    <col min="11023" max="11025" width="13" style="9" customWidth="1"/>
    <col min="11026" max="11029" width="9.109375" style="9"/>
    <col min="11030" max="11030" width="8.6640625" style="9" customWidth="1"/>
    <col min="11031" max="11264" width="9.109375" style="9"/>
    <col min="11265" max="11265" width="2.6640625" style="9" customWidth="1"/>
    <col min="11266" max="11266" width="114.44140625" style="9" customWidth="1"/>
    <col min="11267" max="11267" width="0" style="9" hidden="1" customWidth="1"/>
    <col min="11268" max="11268" width="27.5546875" style="9" customWidth="1"/>
    <col min="11269" max="11269" width="20" style="9" customWidth="1"/>
    <col min="11270" max="11270" width="18.33203125" style="9" customWidth="1"/>
    <col min="11271" max="11271" width="20.109375" style="9" customWidth="1"/>
    <col min="11272" max="11272" width="10.6640625" style="9" customWidth="1"/>
    <col min="11273" max="11273" width="14.44140625" style="9" bestFit="1" customWidth="1"/>
    <col min="11274" max="11274" width="10.6640625" style="9" customWidth="1"/>
    <col min="11275" max="11275" width="12.6640625" style="9" bestFit="1" customWidth="1"/>
    <col min="11276" max="11278" width="8.44140625" style="9" customWidth="1"/>
    <col min="11279" max="11281" width="13" style="9" customWidth="1"/>
    <col min="11282" max="11285" width="9.109375" style="9"/>
    <col min="11286" max="11286" width="8.6640625" style="9" customWidth="1"/>
    <col min="11287" max="11520" width="9.109375" style="9"/>
    <col min="11521" max="11521" width="2.6640625" style="9" customWidth="1"/>
    <col min="11522" max="11522" width="114.44140625" style="9" customWidth="1"/>
    <col min="11523" max="11523" width="0" style="9" hidden="1" customWidth="1"/>
    <col min="11524" max="11524" width="27.5546875" style="9" customWidth="1"/>
    <col min="11525" max="11525" width="20" style="9" customWidth="1"/>
    <col min="11526" max="11526" width="18.33203125" style="9" customWidth="1"/>
    <col min="11527" max="11527" width="20.109375" style="9" customWidth="1"/>
    <col min="11528" max="11528" width="10.6640625" style="9" customWidth="1"/>
    <col min="11529" max="11529" width="14.44140625" style="9" bestFit="1" customWidth="1"/>
    <col min="11530" max="11530" width="10.6640625" style="9" customWidth="1"/>
    <col min="11531" max="11531" width="12.6640625" style="9" bestFit="1" customWidth="1"/>
    <col min="11532" max="11534" width="8.44140625" style="9" customWidth="1"/>
    <col min="11535" max="11537" width="13" style="9" customWidth="1"/>
    <col min="11538" max="11541" width="9.109375" style="9"/>
    <col min="11542" max="11542" width="8.6640625" style="9" customWidth="1"/>
    <col min="11543" max="11776" width="9.109375" style="9"/>
    <col min="11777" max="11777" width="2.6640625" style="9" customWidth="1"/>
    <col min="11778" max="11778" width="114.44140625" style="9" customWidth="1"/>
    <col min="11779" max="11779" width="0" style="9" hidden="1" customWidth="1"/>
    <col min="11780" max="11780" width="27.5546875" style="9" customWidth="1"/>
    <col min="11781" max="11781" width="20" style="9" customWidth="1"/>
    <col min="11782" max="11782" width="18.33203125" style="9" customWidth="1"/>
    <col min="11783" max="11783" width="20.109375" style="9" customWidth="1"/>
    <col min="11784" max="11784" width="10.6640625" style="9" customWidth="1"/>
    <col min="11785" max="11785" width="14.44140625" style="9" bestFit="1" customWidth="1"/>
    <col min="11786" max="11786" width="10.6640625" style="9" customWidth="1"/>
    <col min="11787" max="11787" width="12.6640625" style="9" bestFit="1" customWidth="1"/>
    <col min="11788" max="11790" width="8.44140625" style="9" customWidth="1"/>
    <col min="11791" max="11793" width="13" style="9" customWidth="1"/>
    <col min="11794" max="11797" width="9.109375" style="9"/>
    <col min="11798" max="11798" width="8.6640625" style="9" customWidth="1"/>
    <col min="11799" max="12032" width="9.109375" style="9"/>
    <col min="12033" max="12033" width="2.6640625" style="9" customWidth="1"/>
    <col min="12034" max="12034" width="114.44140625" style="9" customWidth="1"/>
    <col min="12035" max="12035" width="0" style="9" hidden="1" customWidth="1"/>
    <col min="12036" max="12036" width="27.5546875" style="9" customWidth="1"/>
    <col min="12037" max="12037" width="20" style="9" customWidth="1"/>
    <col min="12038" max="12038" width="18.33203125" style="9" customWidth="1"/>
    <col min="12039" max="12039" width="20.109375" style="9" customWidth="1"/>
    <col min="12040" max="12040" width="10.6640625" style="9" customWidth="1"/>
    <col min="12041" max="12041" width="14.44140625" style="9" bestFit="1" customWidth="1"/>
    <col min="12042" max="12042" width="10.6640625" style="9" customWidth="1"/>
    <col min="12043" max="12043" width="12.6640625" style="9" bestFit="1" customWidth="1"/>
    <col min="12044" max="12046" width="8.44140625" style="9" customWidth="1"/>
    <col min="12047" max="12049" width="13" style="9" customWidth="1"/>
    <col min="12050" max="12053" width="9.109375" style="9"/>
    <col min="12054" max="12054" width="8.6640625" style="9" customWidth="1"/>
    <col min="12055" max="12288" width="9.109375" style="9"/>
    <col min="12289" max="12289" width="2.6640625" style="9" customWidth="1"/>
    <col min="12290" max="12290" width="114.44140625" style="9" customWidth="1"/>
    <col min="12291" max="12291" width="0" style="9" hidden="1" customWidth="1"/>
    <col min="12292" max="12292" width="27.5546875" style="9" customWidth="1"/>
    <col min="12293" max="12293" width="20" style="9" customWidth="1"/>
    <col min="12294" max="12294" width="18.33203125" style="9" customWidth="1"/>
    <col min="12295" max="12295" width="20.109375" style="9" customWidth="1"/>
    <col min="12296" max="12296" width="10.6640625" style="9" customWidth="1"/>
    <col min="12297" max="12297" width="14.44140625" style="9" bestFit="1" customWidth="1"/>
    <col min="12298" max="12298" width="10.6640625" style="9" customWidth="1"/>
    <col min="12299" max="12299" width="12.6640625" style="9" bestFit="1" customWidth="1"/>
    <col min="12300" max="12302" width="8.44140625" style="9" customWidth="1"/>
    <col min="12303" max="12305" width="13" style="9" customWidth="1"/>
    <col min="12306" max="12309" width="9.109375" style="9"/>
    <col min="12310" max="12310" width="8.6640625" style="9" customWidth="1"/>
    <col min="12311" max="12544" width="9.109375" style="9"/>
    <col min="12545" max="12545" width="2.6640625" style="9" customWidth="1"/>
    <col min="12546" max="12546" width="114.44140625" style="9" customWidth="1"/>
    <col min="12547" max="12547" width="0" style="9" hidden="1" customWidth="1"/>
    <col min="12548" max="12548" width="27.5546875" style="9" customWidth="1"/>
    <col min="12549" max="12549" width="20" style="9" customWidth="1"/>
    <col min="12550" max="12550" width="18.33203125" style="9" customWidth="1"/>
    <col min="12551" max="12551" width="20.109375" style="9" customWidth="1"/>
    <col min="12552" max="12552" width="10.6640625" style="9" customWidth="1"/>
    <col min="12553" max="12553" width="14.44140625" style="9" bestFit="1" customWidth="1"/>
    <col min="12554" max="12554" width="10.6640625" style="9" customWidth="1"/>
    <col min="12555" max="12555" width="12.6640625" style="9" bestFit="1" customWidth="1"/>
    <col min="12556" max="12558" width="8.44140625" style="9" customWidth="1"/>
    <col min="12559" max="12561" width="13" style="9" customWidth="1"/>
    <col min="12562" max="12565" width="9.109375" style="9"/>
    <col min="12566" max="12566" width="8.6640625" style="9" customWidth="1"/>
    <col min="12567" max="12800" width="9.109375" style="9"/>
    <col min="12801" max="12801" width="2.6640625" style="9" customWidth="1"/>
    <col min="12802" max="12802" width="114.44140625" style="9" customWidth="1"/>
    <col min="12803" max="12803" width="0" style="9" hidden="1" customWidth="1"/>
    <col min="12804" max="12804" width="27.5546875" style="9" customWidth="1"/>
    <col min="12805" max="12805" width="20" style="9" customWidth="1"/>
    <col min="12806" max="12806" width="18.33203125" style="9" customWidth="1"/>
    <col min="12807" max="12807" width="20.109375" style="9" customWidth="1"/>
    <col min="12808" max="12808" width="10.6640625" style="9" customWidth="1"/>
    <col min="12809" max="12809" width="14.44140625" style="9" bestFit="1" customWidth="1"/>
    <col min="12810" max="12810" width="10.6640625" style="9" customWidth="1"/>
    <col min="12811" max="12811" width="12.6640625" style="9" bestFit="1" customWidth="1"/>
    <col min="12812" max="12814" width="8.44140625" style="9" customWidth="1"/>
    <col min="12815" max="12817" width="13" style="9" customWidth="1"/>
    <col min="12818" max="12821" width="9.109375" style="9"/>
    <col min="12822" max="12822" width="8.6640625" style="9" customWidth="1"/>
    <col min="12823" max="13056" width="9.109375" style="9"/>
    <col min="13057" max="13057" width="2.6640625" style="9" customWidth="1"/>
    <col min="13058" max="13058" width="114.44140625" style="9" customWidth="1"/>
    <col min="13059" max="13059" width="0" style="9" hidden="1" customWidth="1"/>
    <col min="13060" max="13060" width="27.5546875" style="9" customWidth="1"/>
    <col min="13061" max="13061" width="20" style="9" customWidth="1"/>
    <col min="13062" max="13062" width="18.33203125" style="9" customWidth="1"/>
    <col min="13063" max="13063" width="20.109375" style="9" customWidth="1"/>
    <col min="13064" max="13064" width="10.6640625" style="9" customWidth="1"/>
    <col min="13065" max="13065" width="14.44140625" style="9" bestFit="1" customWidth="1"/>
    <col min="13066" max="13066" width="10.6640625" style="9" customWidth="1"/>
    <col min="13067" max="13067" width="12.6640625" style="9" bestFit="1" customWidth="1"/>
    <col min="13068" max="13070" width="8.44140625" style="9" customWidth="1"/>
    <col min="13071" max="13073" width="13" style="9" customWidth="1"/>
    <col min="13074" max="13077" width="9.109375" style="9"/>
    <col min="13078" max="13078" width="8.6640625" style="9" customWidth="1"/>
    <col min="13079" max="13312" width="9.109375" style="9"/>
    <col min="13313" max="13313" width="2.6640625" style="9" customWidth="1"/>
    <col min="13314" max="13314" width="114.44140625" style="9" customWidth="1"/>
    <col min="13315" max="13315" width="0" style="9" hidden="1" customWidth="1"/>
    <col min="13316" max="13316" width="27.5546875" style="9" customWidth="1"/>
    <col min="13317" max="13317" width="20" style="9" customWidth="1"/>
    <col min="13318" max="13318" width="18.33203125" style="9" customWidth="1"/>
    <col min="13319" max="13319" width="20.109375" style="9" customWidth="1"/>
    <col min="13320" max="13320" width="10.6640625" style="9" customWidth="1"/>
    <col min="13321" max="13321" width="14.44140625" style="9" bestFit="1" customWidth="1"/>
    <col min="13322" max="13322" width="10.6640625" style="9" customWidth="1"/>
    <col min="13323" max="13323" width="12.6640625" style="9" bestFit="1" customWidth="1"/>
    <col min="13324" max="13326" width="8.44140625" style="9" customWidth="1"/>
    <col min="13327" max="13329" width="13" style="9" customWidth="1"/>
    <col min="13330" max="13333" width="9.109375" style="9"/>
    <col min="13334" max="13334" width="8.6640625" style="9" customWidth="1"/>
    <col min="13335" max="13568" width="9.109375" style="9"/>
    <col min="13569" max="13569" width="2.6640625" style="9" customWidth="1"/>
    <col min="13570" max="13570" width="114.44140625" style="9" customWidth="1"/>
    <col min="13571" max="13571" width="0" style="9" hidden="1" customWidth="1"/>
    <col min="13572" max="13572" width="27.5546875" style="9" customWidth="1"/>
    <col min="13573" max="13573" width="20" style="9" customWidth="1"/>
    <col min="13574" max="13574" width="18.33203125" style="9" customWidth="1"/>
    <col min="13575" max="13575" width="20.109375" style="9" customWidth="1"/>
    <col min="13576" max="13576" width="10.6640625" style="9" customWidth="1"/>
    <col min="13577" max="13577" width="14.44140625" style="9" bestFit="1" customWidth="1"/>
    <col min="13578" max="13578" width="10.6640625" style="9" customWidth="1"/>
    <col min="13579" max="13579" width="12.6640625" style="9" bestFit="1" customWidth="1"/>
    <col min="13580" max="13582" width="8.44140625" style="9" customWidth="1"/>
    <col min="13583" max="13585" width="13" style="9" customWidth="1"/>
    <col min="13586" max="13589" width="9.109375" style="9"/>
    <col min="13590" max="13590" width="8.6640625" style="9" customWidth="1"/>
    <col min="13591" max="13824" width="9.109375" style="9"/>
    <col min="13825" max="13825" width="2.6640625" style="9" customWidth="1"/>
    <col min="13826" max="13826" width="114.44140625" style="9" customWidth="1"/>
    <col min="13827" max="13827" width="0" style="9" hidden="1" customWidth="1"/>
    <col min="13828" max="13828" width="27.5546875" style="9" customWidth="1"/>
    <col min="13829" max="13829" width="20" style="9" customWidth="1"/>
    <col min="13830" max="13830" width="18.33203125" style="9" customWidth="1"/>
    <col min="13831" max="13831" width="20.109375" style="9" customWidth="1"/>
    <col min="13832" max="13832" width="10.6640625" style="9" customWidth="1"/>
    <col min="13833" max="13833" width="14.44140625" style="9" bestFit="1" customWidth="1"/>
    <col min="13834" max="13834" width="10.6640625" style="9" customWidth="1"/>
    <col min="13835" max="13835" width="12.6640625" style="9" bestFit="1" customWidth="1"/>
    <col min="13836" max="13838" width="8.44140625" style="9" customWidth="1"/>
    <col min="13839" max="13841" width="13" style="9" customWidth="1"/>
    <col min="13842" max="13845" width="9.109375" style="9"/>
    <col min="13846" max="13846" width="8.6640625" style="9" customWidth="1"/>
    <col min="13847" max="14080" width="9.109375" style="9"/>
    <col min="14081" max="14081" width="2.6640625" style="9" customWidth="1"/>
    <col min="14082" max="14082" width="114.44140625" style="9" customWidth="1"/>
    <col min="14083" max="14083" width="0" style="9" hidden="1" customWidth="1"/>
    <col min="14084" max="14084" width="27.5546875" style="9" customWidth="1"/>
    <col min="14085" max="14085" width="20" style="9" customWidth="1"/>
    <col min="14086" max="14086" width="18.33203125" style="9" customWidth="1"/>
    <col min="14087" max="14087" width="20.109375" style="9" customWidth="1"/>
    <col min="14088" max="14088" width="10.6640625" style="9" customWidth="1"/>
    <col min="14089" max="14089" width="14.44140625" style="9" bestFit="1" customWidth="1"/>
    <col min="14090" max="14090" width="10.6640625" style="9" customWidth="1"/>
    <col min="14091" max="14091" width="12.6640625" style="9" bestFit="1" customWidth="1"/>
    <col min="14092" max="14094" width="8.44140625" style="9" customWidth="1"/>
    <col min="14095" max="14097" width="13" style="9" customWidth="1"/>
    <col min="14098" max="14101" width="9.109375" style="9"/>
    <col min="14102" max="14102" width="8.6640625" style="9" customWidth="1"/>
    <col min="14103" max="14336" width="9.109375" style="9"/>
    <col min="14337" max="14337" width="2.6640625" style="9" customWidth="1"/>
    <col min="14338" max="14338" width="114.44140625" style="9" customWidth="1"/>
    <col min="14339" max="14339" width="0" style="9" hidden="1" customWidth="1"/>
    <col min="14340" max="14340" width="27.5546875" style="9" customWidth="1"/>
    <col min="14341" max="14341" width="20" style="9" customWidth="1"/>
    <col min="14342" max="14342" width="18.33203125" style="9" customWidth="1"/>
    <col min="14343" max="14343" width="20.109375" style="9" customWidth="1"/>
    <col min="14344" max="14344" width="10.6640625" style="9" customWidth="1"/>
    <col min="14345" max="14345" width="14.44140625" style="9" bestFit="1" customWidth="1"/>
    <col min="14346" max="14346" width="10.6640625" style="9" customWidth="1"/>
    <col min="14347" max="14347" width="12.6640625" style="9" bestFit="1" customWidth="1"/>
    <col min="14348" max="14350" width="8.44140625" style="9" customWidth="1"/>
    <col min="14351" max="14353" width="13" style="9" customWidth="1"/>
    <col min="14354" max="14357" width="9.109375" style="9"/>
    <col min="14358" max="14358" width="8.6640625" style="9" customWidth="1"/>
    <col min="14359" max="14592" width="9.109375" style="9"/>
    <col min="14593" max="14593" width="2.6640625" style="9" customWidth="1"/>
    <col min="14594" max="14594" width="114.44140625" style="9" customWidth="1"/>
    <col min="14595" max="14595" width="0" style="9" hidden="1" customWidth="1"/>
    <col min="14596" max="14596" width="27.5546875" style="9" customWidth="1"/>
    <col min="14597" max="14597" width="20" style="9" customWidth="1"/>
    <col min="14598" max="14598" width="18.33203125" style="9" customWidth="1"/>
    <col min="14599" max="14599" width="20.109375" style="9" customWidth="1"/>
    <col min="14600" max="14600" width="10.6640625" style="9" customWidth="1"/>
    <col min="14601" max="14601" width="14.44140625" style="9" bestFit="1" customWidth="1"/>
    <col min="14602" max="14602" width="10.6640625" style="9" customWidth="1"/>
    <col min="14603" max="14603" width="12.6640625" style="9" bestFit="1" customWidth="1"/>
    <col min="14604" max="14606" width="8.44140625" style="9" customWidth="1"/>
    <col min="14607" max="14609" width="13" style="9" customWidth="1"/>
    <col min="14610" max="14613" width="9.109375" style="9"/>
    <col min="14614" max="14614" width="8.6640625" style="9" customWidth="1"/>
    <col min="14615" max="14848" width="9.109375" style="9"/>
    <col min="14849" max="14849" width="2.6640625" style="9" customWidth="1"/>
    <col min="14850" max="14850" width="114.44140625" style="9" customWidth="1"/>
    <col min="14851" max="14851" width="0" style="9" hidden="1" customWidth="1"/>
    <col min="14852" max="14852" width="27.5546875" style="9" customWidth="1"/>
    <col min="14853" max="14853" width="20" style="9" customWidth="1"/>
    <col min="14854" max="14854" width="18.33203125" style="9" customWidth="1"/>
    <col min="14855" max="14855" width="20.109375" style="9" customWidth="1"/>
    <col min="14856" max="14856" width="10.6640625" style="9" customWidth="1"/>
    <col min="14857" max="14857" width="14.44140625" style="9" bestFit="1" customWidth="1"/>
    <col min="14858" max="14858" width="10.6640625" style="9" customWidth="1"/>
    <col min="14859" max="14859" width="12.6640625" style="9" bestFit="1" customWidth="1"/>
    <col min="14860" max="14862" width="8.44140625" style="9" customWidth="1"/>
    <col min="14863" max="14865" width="13" style="9" customWidth="1"/>
    <col min="14866" max="14869" width="9.109375" style="9"/>
    <col min="14870" max="14870" width="8.6640625" style="9" customWidth="1"/>
    <col min="14871" max="15104" width="9.109375" style="9"/>
    <col min="15105" max="15105" width="2.6640625" style="9" customWidth="1"/>
    <col min="15106" max="15106" width="114.44140625" style="9" customWidth="1"/>
    <col min="15107" max="15107" width="0" style="9" hidden="1" customWidth="1"/>
    <col min="15108" max="15108" width="27.5546875" style="9" customWidth="1"/>
    <col min="15109" max="15109" width="20" style="9" customWidth="1"/>
    <col min="15110" max="15110" width="18.33203125" style="9" customWidth="1"/>
    <col min="15111" max="15111" width="20.109375" style="9" customWidth="1"/>
    <col min="15112" max="15112" width="10.6640625" style="9" customWidth="1"/>
    <col min="15113" max="15113" width="14.44140625" style="9" bestFit="1" customWidth="1"/>
    <col min="15114" max="15114" width="10.6640625" style="9" customWidth="1"/>
    <col min="15115" max="15115" width="12.6640625" style="9" bestFit="1" customWidth="1"/>
    <col min="15116" max="15118" width="8.44140625" style="9" customWidth="1"/>
    <col min="15119" max="15121" width="13" style="9" customWidth="1"/>
    <col min="15122" max="15125" width="9.109375" style="9"/>
    <col min="15126" max="15126" width="8.6640625" style="9" customWidth="1"/>
    <col min="15127" max="15360" width="9.109375" style="9"/>
    <col min="15361" max="15361" width="2.6640625" style="9" customWidth="1"/>
    <col min="15362" max="15362" width="114.44140625" style="9" customWidth="1"/>
    <col min="15363" max="15363" width="0" style="9" hidden="1" customWidth="1"/>
    <col min="15364" max="15364" width="27.5546875" style="9" customWidth="1"/>
    <col min="15365" max="15365" width="20" style="9" customWidth="1"/>
    <col min="15366" max="15366" width="18.33203125" style="9" customWidth="1"/>
    <col min="15367" max="15367" width="20.109375" style="9" customWidth="1"/>
    <col min="15368" max="15368" width="10.6640625" style="9" customWidth="1"/>
    <col min="15369" max="15369" width="14.44140625" style="9" bestFit="1" customWidth="1"/>
    <col min="15370" max="15370" width="10.6640625" style="9" customWidth="1"/>
    <col min="15371" max="15371" width="12.6640625" style="9" bestFit="1" customWidth="1"/>
    <col min="15372" max="15374" width="8.44140625" style="9" customWidth="1"/>
    <col min="15375" max="15377" width="13" style="9" customWidth="1"/>
    <col min="15378" max="15381" width="9.109375" style="9"/>
    <col min="15382" max="15382" width="8.6640625" style="9" customWidth="1"/>
    <col min="15383" max="15616" width="9.109375" style="9"/>
    <col min="15617" max="15617" width="2.6640625" style="9" customWidth="1"/>
    <col min="15618" max="15618" width="114.44140625" style="9" customWidth="1"/>
    <col min="15619" max="15619" width="0" style="9" hidden="1" customWidth="1"/>
    <col min="15620" max="15620" width="27.5546875" style="9" customWidth="1"/>
    <col min="15621" max="15621" width="20" style="9" customWidth="1"/>
    <col min="15622" max="15622" width="18.33203125" style="9" customWidth="1"/>
    <col min="15623" max="15623" width="20.109375" style="9" customWidth="1"/>
    <col min="15624" max="15624" width="10.6640625" style="9" customWidth="1"/>
    <col min="15625" max="15625" width="14.44140625" style="9" bestFit="1" customWidth="1"/>
    <col min="15626" max="15626" width="10.6640625" style="9" customWidth="1"/>
    <col min="15627" max="15627" width="12.6640625" style="9" bestFit="1" customWidth="1"/>
    <col min="15628" max="15630" width="8.44140625" style="9" customWidth="1"/>
    <col min="15631" max="15633" width="13" style="9" customWidth="1"/>
    <col min="15634" max="15637" width="9.109375" style="9"/>
    <col min="15638" max="15638" width="8.6640625" style="9" customWidth="1"/>
    <col min="15639" max="15872" width="9.109375" style="9"/>
    <col min="15873" max="15873" width="2.6640625" style="9" customWidth="1"/>
    <col min="15874" max="15874" width="114.44140625" style="9" customWidth="1"/>
    <col min="15875" max="15875" width="0" style="9" hidden="1" customWidth="1"/>
    <col min="15876" max="15876" width="27.5546875" style="9" customWidth="1"/>
    <col min="15877" max="15877" width="20" style="9" customWidth="1"/>
    <col min="15878" max="15878" width="18.33203125" style="9" customWidth="1"/>
    <col min="15879" max="15879" width="20.109375" style="9" customWidth="1"/>
    <col min="15880" max="15880" width="10.6640625" style="9" customWidth="1"/>
    <col min="15881" max="15881" width="14.44140625" style="9" bestFit="1" customWidth="1"/>
    <col min="15882" max="15882" width="10.6640625" style="9" customWidth="1"/>
    <col min="15883" max="15883" width="12.6640625" style="9" bestFit="1" customWidth="1"/>
    <col min="15884" max="15886" width="8.44140625" style="9" customWidth="1"/>
    <col min="15887" max="15889" width="13" style="9" customWidth="1"/>
    <col min="15890" max="15893" width="9.109375" style="9"/>
    <col min="15894" max="15894" width="8.6640625" style="9" customWidth="1"/>
    <col min="15895" max="16128" width="9.109375" style="9"/>
    <col min="16129" max="16129" width="2.6640625" style="9" customWidth="1"/>
    <col min="16130" max="16130" width="114.44140625" style="9" customWidth="1"/>
    <col min="16131" max="16131" width="0" style="9" hidden="1" customWidth="1"/>
    <col min="16132" max="16132" width="27.5546875" style="9" customWidth="1"/>
    <col min="16133" max="16133" width="20" style="9" customWidth="1"/>
    <col min="16134" max="16134" width="18.33203125" style="9" customWidth="1"/>
    <col min="16135" max="16135" width="20.109375" style="9" customWidth="1"/>
    <col min="16136" max="16136" width="10.6640625" style="9" customWidth="1"/>
    <col min="16137" max="16137" width="14.44140625" style="9" bestFit="1" customWidth="1"/>
    <col min="16138" max="16138" width="10.6640625" style="9" customWidth="1"/>
    <col min="16139" max="16139" width="12.6640625" style="9" bestFit="1" customWidth="1"/>
    <col min="16140" max="16142" width="8.44140625" style="9" customWidth="1"/>
    <col min="16143" max="16145" width="13" style="9" customWidth="1"/>
    <col min="16146" max="16149" width="9.109375" style="9"/>
    <col min="16150" max="16150" width="8.6640625" style="9" customWidth="1"/>
    <col min="16151" max="16384" width="9.109375" style="9"/>
  </cols>
  <sheetData>
    <row r="1" spans="1:25">
      <c r="B1" s="57"/>
      <c r="E1" s="12"/>
      <c r="N1" s="35"/>
      <c r="O1" s="35"/>
      <c r="P1" s="35"/>
      <c r="Q1" s="35"/>
      <c r="R1" s="35"/>
      <c r="S1" s="35"/>
    </row>
    <row r="2" spans="1:25" ht="17.399999999999999">
      <c r="B2" s="1692" t="s">
        <v>67</v>
      </c>
      <c r="C2" s="426"/>
      <c r="D2" s="426"/>
      <c r="E2" s="12"/>
      <c r="N2" s="35"/>
      <c r="O2" s="35"/>
      <c r="P2" s="35"/>
      <c r="Q2" s="35"/>
      <c r="R2" s="35"/>
      <c r="S2" s="35"/>
    </row>
    <row r="3" spans="1:25" ht="14.4">
      <c r="B3" s="13"/>
      <c r="E3" s="12"/>
      <c r="N3" s="35"/>
      <c r="O3" s="35"/>
      <c r="P3" s="35"/>
      <c r="Q3" s="35"/>
      <c r="R3" s="35"/>
      <c r="S3" s="35"/>
    </row>
    <row r="4" spans="1:25">
      <c r="B4" s="1565" t="s">
        <v>58</v>
      </c>
      <c r="C4" s="1566" t="str">
        <f>'Model update'!B7</f>
        <v>2021-22</v>
      </c>
      <c r="D4" s="1566"/>
      <c r="E4" s="12"/>
      <c r="N4" s="35"/>
      <c r="O4" s="35"/>
      <c r="P4" s="35"/>
      <c r="Q4" s="35"/>
      <c r="R4" s="35"/>
      <c r="S4" s="35"/>
    </row>
    <row r="5" spans="1:25">
      <c r="B5" s="1565" t="s">
        <v>158</v>
      </c>
      <c r="C5" s="1566" t="str">
        <f>'Model update'!B8</f>
        <v>2020-21</v>
      </c>
      <c r="D5" s="1566"/>
      <c r="E5" s="12"/>
      <c r="N5" s="35"/>
      <c r="O5" s="35"/>
      <c r="P5" s="35"/>
      <c r="Q5" s="35"/>
      <c r="R5" s="35"/>
      <c r="S5" s="35"/>
    </row>
    <row r="6" spans="1:25">
      <c r="B6" s="1565" t="s">
        <v>161</v>
      </c>
      <c r="C6" s="1566" t="str">
        <f>'Model update'!B9</f>
        <v>2019-20</v>
      </c>
      <c r="D6" s="1566"/>
      <c r="E6" s="12"/>
      <c r="N6" s="35"/>
      <c r="O6" s="35"/>
      <c r="P6" s="35"/>
      <c r="Q6" s="35"/>
      <c r="R6" s="35"/>
      <c r="S6" s="35"/>
    </row>
    <row r="7" spans="1:25">
      <c r="B7" s="11"/>
      <c r="C7" s="15"/>
      <c r="D7" s="15"/>
      <c r="E7" s="12"/>
      <c r="F7" s="6"/>
      <c r="G7" s="6"/>
      <c r="H7" s="6"/>
      <c r="I7" s="6"/>
      <c r="J7" s="16"/>
      <c r="K7" s="16"/>
      <c r="L7" s="6"/>
      <c r="M7" s="6"/>
      <c r="N7" s="36"/>
      <c r="O7" s="36"/>
      <c r="P7" s="36"/>
      <c r="Q7" s="36"/>
      <c r="R7" s="36"/>
      <c r="S7" s="36"/>
      <c r="T7" s="6"/>
    </row>
    <row r="8" spans="1:25" ht="18" customHeight="1">
      <c r="A8" s="17"/>
      <c r="B8" s="18" t="s">
        <v>75</v>
      </c>
      <c r="C8" s="19"/>
      <c r="D8" s="19"/>
      <c r="E8" s="20"/>
      <c r="F8" s="20"/>
      <c r="N8" s="35"/>
      <c r="O8" s="35"/>
      <c r="P8" s="35"/>
      <c r="Q8" s="35"/>
      <c r="R8" s="35"/>
      <c r="S8" s="35"/>
    </row>
    <row r="9" spans="1:25" ht="18" customHeight="1">
      <c r="A9" s="17"/>
      <c r="B9" s="21" t="s">
        <v>74</v>
      </c>
      <c r="C9" s="1737">
        <f>Prop2021TUOSTariffs!FA222</f>
        <v>273109580.31126088</v>
      </c>
      <c r="D9" s="367"/>
      <c r="E9" s="20"/>
      <c r="F9" s="10"/>
      <c r="J9" s="9"/>
      <c r="K9" s="9"/>
      <c r="N9" s="35"/>
      <c r="O9" s="35"/>
      <c r="P9" s="35"/>
      <c r="Q9" s="35"/>
      <c r="R9" s="35"/>
      <c r="S9" s="35"/>
    </row>
    <row r="10" spans="1:25" ht="18" customHeight="1">
      <c r="A10" s="17"/>
      <c r="B10" s="37" t="s">
        <v>72</v>
      </c>
      <c r="C10" s="1738">
        <f>C16</f>
        <v>273109580.31126088</v>
      </c>
      <c r="D10" s="367"/>
      <c r="E10" s="1772"/>
      <c r="F10" s="61"/>
      <c r="H10" s="61"/>
      <c r="J10" s="9"/>
      <c r="K10" s="9"/>
      <c r="N10" s="35"/>
      <c r="O10" s="35"/>
      <c r="P10" s="35"/>
      <c r="Q10" s="35"/>
      <c r="R10" s="35"/>
      <c r="S10" s="35"/>
    </row>
    <row r="11" spans="1:25" ht="18" customHeight="1">
      <c r="A11" s="17"/>
      <c r="B11" s="38"/>
      <c r="C11" s="159" t="str">
        <f>IF(C9="","",IF(ABS(C10-C9)&lt;0.5,"DPPC REVENUE FORMULA COMPLIANT",IF(C9&lt;=C10,"DPPC REVENUE FORMULA COMPLIANT","DPPC REVENUE FORMULA BREACHED")))</f>
        <v>DPPC REVENUE FORMULA COMPLIANT</v>
      </c>
      <c r="D11" s="366"/>
      <c r="E11" s="22"/>
      <c r="F11" s="33"/>
      <c r="G11" s="34"/>
      <c r="H11" s="34"/>
      <c r="I11" s="34"/>
      <c r="J11" s="34"/>
      <c r="K11" s="34"/>
      <c r="L11" s="34"/>
      <c r="M11" s="34"/>
      <c r="N11" s="35"/>
      <c r="O11" s="35"/>
      <c r="P11" s="35"/>
      <c r="Q11" s="35"/>
      <c r="R11" s="35"/>
      <c r="S11" s="35"/>
      <c r="W11" s="23"/>
      <c r="X11" s="23"/>
      <c r="Y11" s="23"/>
    </row>
    <row r="12" spans="1:25" ht="18" customHeight="1">
      <c r="A12" s="17"/>
      <c r="B12" s="22"/>
      <c r="C12" s="22"/>
      <c r="D12" s="22"/>
      <c r="E12" s="22"/>
      <c r="F12" s="33"/>
      <c r="G12" s="34"/>
      <c r="H12" s="34"/>
      <c r="I12" s="34"/>
      <c r="J12" s="34"/>
      <c r="K12" s="34"/>
      <c r="L12" s="34"/>
      <c r="M12" s="34"/>
      <c r="N12" s="35"/>
      <c r="O12" s="35"/>
      <c r="P12" s="35"/>
      <c r="Q12" s="35"/>
      <c r="R12" s="35"/>
      <c r="S12" s="35"/>
      <c r="W12" s="23"/>
      <c r="X12" s="23"/>
      <c r="Y12" s="23"/>
    </row>
    <row r="13" spans="1:25" ht="18" customHeight="1">
      <c r="A13" s="17"/>
      <c r="B13" s="18" t="s">
        <v>64</v>
      </c>
      <c r="C13" s="22"/>
      <c r="D13" s="22"/>
      <c r="E13" s="22"/>
      <c r="F13" s="33"/>
      <c r="G13" s="34"/>
      <c r="H13" s="34"/>
      <c r="I13" s="34"/>
      <c r="J13" s="34"/>
      <c r="K13" s="34"/>
      <c r="L13" s="34"/>
      <c r="M13" s="34"/>
      <c r="N13" s="35"/>
      <c r="O13" s="35"/>
      <c r="P13" s="35"/>
      <c r="Q13" s="35"/>
      <c r="R13" s="35"/>
      <c r="S13" s="35"/>
      <c r="W13" s="23"/>
      <c r="X13" s="23"/>
      <c r="Y13" s="23"/>
    </row>
    <row r="14" spans="1:25" ht="18" customHeight="1">
      <c r="A14" s="17"/>
      <c r="B14" s="24" t="s">
        <v>65</v>
      </c>
      <c r="C14" s="1739">
        <f>C22</f>
        <v>268210091.47434035</v>
      </c>
      <c r="D14" s="368"/>
      <c r="E14" s="22"/>
      <c r="F14" s="290"/>
      <c r="G14" s="34"/>
      <c r="H14" s="34"/>
      <c r="I14" s="34"/>
      <c r="J14" s="34"/>
      <c r="K14" s="34"/>
      <c r="L14" s="34"/>
      <c r="M14" s="34"/>
      <c r="N14" s="35"/>
      <c r="O14" s="35"/>
      <c r="P14" s="35"/>
      <c r="Q14" s="35"/>
      <c r="R14" s="35"/>
      <c r="S14" s="35"/>
      <c r="W14" s="23"/>
      <c r="X14" s="23"/>
      <c r="Y14" s="23"/>
    </row>
    <row r="15" spans="1:25" ht="18" customHeight="1">
      <c r="A15" s="17"/>
      <c r="B15" s="25" t="s">
        <v>66</v>
      </c>
      <c r="C15" s="1739">
        <f>'Model update'!J130</f>
        <v>4899488.836920551</v>
      </c>
      <c r="D15" s="368"/>
      <c r="E15" s="22"/>
      <c r="F15" s="290"/>
      <c r="G15" s="34"/>
      <c r="H15" s="34"/>
      <c r="I15" s="34"/>
      <c r="J15" s="34"/>
      <c r="K15" s="34"/>
      <c r="L15" s="34"/>
      <c r="M15" s="34"/>
      <c r="N15" s="35"/>
      <c r="O15" s="35"/>
      <c r="P15" s="35"/>
      <c r="Q15" s="35"/>
      <c r="R15" s="35"/>
      <c r="S15" s="35"/>
      <c r="W15" s="23"/>
      <c r="X15" s="23"/>
      <c r="Y15" s="23"/>
    </row>
    <row r="16" spans="1:25" ht="18" customHeight="1">
      <c r="A16" s="17"/>
      <c r="B16" s="21" t="s">
        <v>72</v>
      </c>
      <c r="C16" s="1740">
        <f>SUM(C14:C15)</f>
        <v>273109580.31126088</v>
      </c>
      <c r="D16" s="371"/>
      <c r="E16" s="22"/>
      <c r="F16" s="290"/>
      <c r="G16" s="34"/>
      <c r="H16" s="34"/>
      <c r="I16" s="34"/>
      <c r="J16" s="34"/>
      <c r="K16" s="34"/>
      <c r="L16" s="34"/>
      <c r="M16" s="34"/>
      <c r="N16" s="35"/>
      <c r="O16" s="35"/>
      <c r="P16" s="35"/>
      <c r="Q16" s="35"/>
      <c r="R16" s="35"/>
      <c r="S16" s="35"/>
      <c r="W16" s="23"/>
      <c r="X16" s="23"/>
      <c r="Y16" s="23"/>
    </row>
    <row r="17" spans="1:25" ht="18" customHeight="1">
      <c r="A17" s="17"/>
      <c r="B17" s="26"/>
      <c r="C17" s="39"/>
      <c r="D17" s="369"/>
      <c r="E17" s="22"/>
      <c r="F17" s="33"/>
      <c r="G17" s="34"/>
      <c r="H17" s="34"/>
      <c r="I17" s="34"/>
      <c r="J17" s="34"/>
      <c r="K17" s="34"/>
      <c r="L17" s="34"/>
      <c r="M17" s="34"/>
      <c r="N17" s="35"/>
      <c r="O17" s="35"/>
      <c r="P17" s="35"/>
      <c r="Q17" s="35"/>
      <c r="R17" s="35"/>
      <c r="S17" s="35"/>
      <c r="W17" s="23"/>
      <c r="X17" s="23"/>
      <c r="Y17" s="23"/>
    </row>
    <row r="18" spans="1:25" ht="18" customHeight="1">
      <c r="A18" s="17"/>
      <c r="B18" s="18" t="s">
        <v>63</v>
      </c>
      <c r="C18" s="22"/>
      <c r="D18" s="22"/>
      <c r="E18" s="22"/>
      <c r="F18" s="33"/>
      <c r="G18" s="34"/>
      <c r="H18" s="34"/>
      <c r="I18" s="34"/>
      <c r="J18" s="34"/>
      <c r="K18" s="34"/>
      <c r="L18" s="34"/>
      <c r="M18" s="34"/>
      <c r="N18" s="35"/>
      <c r="O18" s="35"/>
      <c r="P18" s="35"/>
      <c r="Q18" s="35"/>
      <c r="R18" s="35"/>
      <c r="S18" s="35"/>
      <c r="W18" s="23"/>
      <c r="X18" s="23"/>
      <c r="Y18" s="23"/>
    </row>
    <row r="19" spans="1:25" ht="18" customHeight="1">
      <c r="A19" s="17"/>
      <c r="B19" s="24" t="s">
        <v>128</v>
      </c>
      <c r="C19" s="1739">
        <f>'Model update'!J127</f>
        <v>262450965.55665201</v>
      </c>
      <c r="D19" s="368"/>
      <c r="E19" s="22"/>
      <c r="F19" s="33"/>
      <c r="G19" s="34"/>
      <c r="H19" s="34"/>
      <c r="I19" s="34"/>
      <c r="J19" s="34"/>
      <c r="K19" s="34"/>
      <c r="L19" s="34"/>
      <c r="M19" s="34"/>
      <c r="N19" s="35"/>
      <c r="O19" s="35"/>
      <c r="P19" s="35"/>
      <c r="Q19" s="35"/>
      <c r="R19" s="35"/>
      <c r="S19" s="35"/>
      <c r="W19" s="23"/>
      <c r="X19" s="23"/>
      <c r="Y19" s="23"/>
    </row>
    <row r="20" spans="1:25" ht="18" customHeight="1">
      <c r="A20" s="17"/>
      <c r="B20" s="25" t="s">
        <v>61</v>
      </c>
      <c r="C20" s="1739">
        <f>'Model update'!J128</f>
        <v>2634104</v>
      </c>
      <c r="D20" s="368"/>
      <c r="E20" s="22"/>
      <c r="F20" s="33"/>
      <c r="G20" s="34"/>
      <c r="H20" s="34"/>
      <c r="I20" s="34"/>
      <c r="J20" s="34"/>
      <c r="K20" s="34"/>
      <c r="L20" s="34"/>
      <c r="M20" s="34"/>
      <c r="N20" s="35"/>
      <c r="O20" s="35"/>
      <c r="P20" s="35"/>
      <c r="Q20" s="35"/>
      <c r="R20" s="35"/>
      <c r="S20" s="35"/>
      <c r="W20" s="23"/>
      <c r="X20" s="23"/>
      <c r="Y20" s="23"/>
    </row>
    <row r="21" spans="1:25" ht="18" customHeight="1">
      <c r="A21" s="17"/>
      <c r="B21" s="25" t="s">
        <v>966</v>
      </c>
      <c r="C21" s="1739">
        <f>'Model update'!J129</f>
        <v>3125021.9176883427</v>
      </c>
      <c r="D21" s="368"/>
      <c r="E21" s="22"/>
      <c r="F21" s="33"/>
      <c r="G21" s="34"/>
      <c r="H21" s="34"/>
      <c r="I21" s="34"/>
      <c r="J21" s="34"/>
      <c r="K21" s="34"/>
      <c r="L21" s="34"/>
      <c r="M21" s="34"/>
      <c r="N21" s="35"/>
      <c r="O21" s="35"/>
      <c r="P21" s="35"/>
      <c r="Q21" s="35"/>
      <c r="R21" s="35"/>
      <c r="S21" s="35"/>
      <c r="W21" s="23"/>
      <c r="X21" s="23"/>
      <c r="Y21" s="23"/>
    </row>
    <row r="22" spans="1:25" ht="18" customHeight="1">
      <c r="A22" s="17"/>
      <c r="B22" s="21" t="s">
        <v>65</v>
      </c>
      <c r="C22" s="1740">
        <f>SUM(C19:C21)</f>
        <v>268210091.47434035</v>
      </c>
      <c r="D22" s="371"/>
      <c r="E22" s="22"/>
      <c r="F22" s="33"/>
      <c r="G22" s="34"/>
      <c r="H22" s="34"/>
      <c r="I22" s="34"/>
      <c r="J22" s="34"/>
      <c r="K22" s="34"/>
      <c r="L22" s="34"/>
      <c r="M22" s="34"/>
      <c r="N22" s="35"/>
      <c r="O22" s="35"/>
      <c r="P22" s="35"/>
      <c r="Q22" s="35"/>
      <c r="R22" s="35"/>
      <c r="S22" s="35"/>
      <c r="W22" s="23"/>
      <c r="X22" s="23"/>
      <c r="Y22" s="23"/>
    </row>
    <row r="23" spans="1:25" ht="18" customHeight="1">
      <c r="A23" s="17"/>
      <c r="B23" s="27"/>
      <c r="C23" s="31"/>
      <c r="D23" s="31"/>
      <c r="E23" s="22"/>
      <c r="F23" s="33"/>
      <c r="G23" s="34"/>
      <c r="H23" s="34"/>
      <c r="I23" s="34"/>
      <c r="J23" s="34"/>
      <c r="K23" s="34"/>
      <c r="L23" s="34"/>
      <c r="M23" s="34"/>
      <c r="N23" s="35"/>
      <c r="O23" s="35"/>
      <c r="P23" s="35"/>
      <c r="Q23" s="35"/>
      <c r="R23" s="35"/>
      <c r="S23" s="35"/>
      <c r="W23" s="23"/>
      <c r="X23" s="23"/>
      <c r="Y23" s="23"/>
    </row>
    <row r="25" spans="1:25" ht="15.6">
      <c r="B25" s="50" t="s">
        <v>70</v>
      </c>
      <c r="I25" s="10"/>
      <c r="K25" s="9"/>
    </row>
    <row r="26" spans="1:25" ht="15" customHeight="1">
      <c r="B26" s="44"/>
      <c r="C26" s="53" t="s">
        <v>57</v>
      </c>
      <c r="D26" s="370" t="s">
        <v>948</v>
      </c>
      <c r="E26" s="53" t="s">
        <v>7</v>
      </c>
      <c r="I26" s="10"/>
      <c r="K26" s="9"/>
    </row>
    <row r="27" spans="1:25" ht="15" customHeight="1">
      <c r="B27" s="45"/>
      <c r="C27" s="54" t="s">
        <v>6</v>
      </c>
      <c r="D27" s="54" t="s">
        <v>947</v>
      </c>
      <c r="E27" s="54" t="s">
        <v>8</v>
      </c>
      <c r="I27" s="10"/>
      <c r="K27" s="9"/>
    </row>
    <row r="28" spans="1:25" ht="15" customHeight="1">
      <c r="B28" s="45"/>
      <c r="C28" s="55" t="str">
        <f>'Model update'!B9</f>
        <v>2019-20</v>
      </c>
      <c r="D28" s="55" t="str">
        <f>'Model update'!B8</f>
        <v>2020-21</v>
      </c>
      <c r="E28" s="55" t="str">
        <f>'Model update'!B7</f>
        <v>2021-22</v>
      </c>
      <c r="I28" s="10"/>
      <c r="K28" s="9"/>
    </row>
    <row r="29" spans="1:25" ht="15" customHeight="1">
      <c r="B29" s="71"/>
      <c r="C29" s="43"/>
      <c r="D29" s="43"/>
      <c r="E29" s="52"/>
      <c r="I29" s="10"/>
      <c r="K29" s="9"/>
    </row>
    <row r="30" spans="1:25" ht="15" customHeight="1">
      <c r="B30" s="86" t="s">
        <v>73</v>
      </c>
      <c r="C30" s="1741">
        <f>SUM(C31:C32)</f>
        <v>249447329.50999999</v>
      </c>
      <c r="D30" s="1741">
        <f>SUM(D31:D32)</f>
        <v>260124999.79509199</v>
      </c>
      <c r="E30" s="1742">
        <f>C9</f>
        <v>273109580.31126088</v>
      </c>
      <c r="I30" s="10"/>
      <c r="K30" s="9"/>
    </row>
    <row r="31" spans="1:25" ht="15" customHeight="1">
      <c r="A31" s="449"/>
      <c r="B31" s="649" t="s">
        <v>974</v>
      </c>
      <c r="C31" s="1743">
        <f>'Model update'!G113</f>
        <v>247811070.22</v>
      </c>
      <c r="D31" s="1743">
        <f>'Model update'!I113</f>
        <v>258685733.33540159</v>
      </c>
      <c r="E31" s="1744"/>
      <c r="I31" s="10"/>
      <c r="K31" s="9"/>
    </row>
    <row r="32" spans="1:25" ht="15" customHeight="1">
      <c r="A32" s="449"/>
      <c r="B32" s="649" t="s">
        <v>975</v>
      </c>
      <c r="C32" s="1745">
        <f>'Model update'!G114</f>
        <v>1636259.29</v>
      </c>
      <c r="D32" s="1745">
        <f>'Model update'!I114</f>
        <v>1439266.4596904002</v>
      </c>
      <c r="E32" s="1744"/>
      <c r="I32" s="10"/>
      <c r="K32" s="9"/>
    </row>
    <row r="33" spans="2:11" ht="15" customHeight="1">
      <c r="B33" s="46" t="s">
        <v>69</v>
      </c>
      <c r="C33" s="1746">
        <f>SUM(C34:C36)</f>
        <v>256910556.18262067</v>
      </c>
      <c r="D33" s="1746">
        <f>SUM(D34:D36)</f>
        <v>258549090.85540313</v>
      </c>
      <c r="E33" s="1746">
        <f>SUM(E34:E36)</f>
        <v>268210091.47434035</v>
      </c>
      <c r="I33" s="10"/>
      <c r="K33" s="9"/>
    </row>
    <row r="34" spans="2:11" ht="15" customHeight="1">
      <c r="B34" s="47" t="s">
        <v>976</v>
      </c>
      <c r="C34" s="1743">
        <f>'Model update'!G127+'Model update'!G135</f>
        <v>250802589.61262068</v>
      </c>
      <c r="D34" s="1743">
        <f>'Model update'!I127</f>
        <v>253129669.28280124</v>
      </c>
      <c r="E34" s="1747">
        <f>C19</f>
        <v>262450965.55665201</v>
      </c>
      <c r="I34" s="10"/>
      <c r="K34" s="9"/>
    </row>
    <row r="35" spans="2:11" ht="15" customHeight="1">
      <c r="B35" s="47" t="s">
        <v>977</v>
      </c>
      <c r="C35" s="1745">
        <f>'Model update'!G128</f>
        <v>2532451</v>
      </c>
      <c r="D35" s="1745">
        <f>'Model update'!I128</f>
        <v>2239469.13260188</v>
      </c>
      <c r="E35" s="1744">
        <f>C20</f>
        <v>2634104</v>
      </c>
      <c r="I35" s="10"/>
      <c r="K35" s="9"/>
    </row>
    <row r="36" spans="2:11" ht="15" customHeight="1">
      <c r="B36" s="47" t="s">
        <v>978</v>
      </c>
      <c r="C36" s="1748">
        <f>'Model update'!G129</f>
        <v>3575515.57</v>
      </c>
      <c r="D36" s="1748">
        <f>'Model update'!I129</f>
        <v>3179952.44</v>
      </c>
      <c r="E36" s="1749">
        <f>C21</f>
        <v>3125021.9176883427</v>
      </c>
      <c r="I36" s="10"/>
      <c r="K36" s="9"/>
    </row>
    <row r="37" spans="2:11" ht="15" customHeight="1">
      <c r="B37" s="46" t="s">
        <v>967</v>
      </c>
      <c r="C37" s="1748">
        <v>0</v>
      </c>
      <c r="D37" s="1748">
        <v>0</v>
      </c>
      <c r="E37" s="1749">
        <v>0</v>
      </c>
      <c r="I37" s="10"/>
      <c r="K37" s="9"/>
    </row>
    <row r="38" spans="2:11" ht="15" customHeight="1">
      <c r="B38" s="87" t="s">
        <v>10</v>
      </c>
      <c r="C38" s="1746">
        <f>C30-C33</f>
        <v>-7463226.6726206839</v>
      </c>
      <c r="D38" s="1746">
        <f>D30-D33</f>
        <v>1575908.9396888614</v>
      </c>
      <c r="E38" s="1746">
        <f>E30-E33</f>
        <v>4899488.8369205296</v>
      </c>
      <c r="F38" s="284"/>
      <c r="I38" s="10"/>
      <c r="K38" s="9"/>
    </row>
    <row r="39" spans="2:11">
      <c r="B39" s="14"/>
      <c r="I39" s="10"/>
      <c r="K39" s="9"/>
    </row>
    <row r="40" spans="2:11">
      <c r="B40" s="14"/>
      <c r="I40" s="10"/>
      <c r="K40" s="9"/>
    </row>
    <row r="41" spans="2:11" ht="15.6">
      <c r="B41" s="50" t="s">
        <v>71</v>
      </c>
      <c r="I41" s="10"/>
      <c r="K41" s="9"/>
    </row>
    <row r="42" spans="2:11">
      <c r="B42" s="88"/>
      <c r="C42" s="53" t="s">
        <v>57</v>
      </c>
      <c r="D42" s="370" t="s">
        <v>948</v>
      </c>
      <c r="E42" s="53" t="s">
        <v>7</v>
      </c>
      <c r="I42" s="10"/>
      <c r="K42" s="9"/>
    </row>
    <row r="43" spans="2:11">
      <c r="B43" s="49"/>
      <c r="C43" s="54" t="s">
        <v>6</v>
      </c>
      <c r="D43" s="54" t="s">
        <v>947</v>
      </c>
      <c r="E43" s="54" t="s">
        <v>8</v>
      </c>
      <c r="I43" s="10"/>
      <c r="K43" s="9"/>
    </row>
    <row r="44" spans="2:11">
      <c r="B44" s="89" t="s">
        <v>59</v>
      </c>
      <c r="C44" s="55" t="str">
        <f>C28</f>
        <v>2019-20</v>
      </c>
      <c r="D44" s="55" t="str">
        <f>D28</f>
        <v>2020-21</v>
      </c>
      <c r="E44" s="55" t="str">
        <f>E28</f>
        <v>2021-22</v>
      </c>
      <c r="I44" s="10"/>
      <c r="K44" s="9"/>
    </row>
    <row r="45" spans="2:11" ht="15" customHeight="1">
      <c r="B45" s="49" t="s">
        <v>959</v>
      </c>
      <c r="C45" s="650">
        <f>'Model update'!G51</f>
        <v>5.9824761261038563E-2</v>
      </c>
      <c r="D45" s="650">
        <f>'Model update'!I51</f>
        <v>4.2845042391632671E-2</v>
      </c>
      <c r="E45" s="650">
        <f>'Model update'!J51</f>
        <v>3.1228392305169494E-2</v>
      </c>
      <c r="I45" s="10"/>
      <c r="K45" s="9"/>
    </row>
    <row r="46" spans="2:11" ht="15" customHeight="1">
      <c r="B46" s="49" t="s">
        <v>960</v>
      </c>
      <c r="C46" s="1542"/>
      <c r="D46" s="1543"/>
      <c r="E46" s="1544">
        <f>'Model update'!J52</f>
        <v>2.2429515237719279E-2</v>
      </c>
      <c r="I46" s="10"/>
      <c r="K46" s="9"/>
    </row>
    <row r="47" spans="2:11" ht="15" customHeight="1">
      <c r="B47" s="49" t="s">
        <v>961</v>
      </c>
      <c r="C47" s="1542"/>
      <c r="D47" s="1543"/>
      <c r="E47" s="1544">
        <f>'2021_DUOSRevCap'!E57</f>
        <v>8.6058519793459354E-3</v>
      </c>
      <c r="I47" s="10"/>
      <c r="K47" s="9"/>
    </row>
    <row r="48" spans="2:11" ht="15" customHeight="1">
      <c r="B48" s="49" t="s">
        <v>11</v>
      </c>
      <c r="C48" s="1750">
        <f>'TAM 20-21 TUOS unders_overs'!C56</f>
        <v>1428085.0402941508</v>
      </c>
      <c r="D48" s="1751">
        <f>C52</f>
        <v>-6169707.0884481193</v>
      </c>
      <c r="E48" s="1744">
        <f>D52</f>
        <v>-4824733.6341697071</v>
      </c>
      <c r="I48" s="10"/>
      <c r="K48" s="9"/>
    </row>
    <row r="49" spans="1:25" ht="15" customHeight="1">
      <c r="B49" s="49" t="s">
        <v>949</v>
      </c>
      <c r="C49" s="1750">
        <f t="shared" ref="C49:E49" si="0">C48*C45</f>
        <v>85434.846596058211</v>
      </c>
      <c r="D49" s="1750">
        <f t="shared" si="0"/>
        <v>-264341.36174851627</v>
      </c>
      <c r="E49" s="1750">
        <f t="shared" si="0"/>
        <v>-150668.67469579773</v>
      </c>
      <c r="I49" s="10"/>
      <c r="K49" s="9"/>
    </row>
    <row r="50" spans="1:25" ht="15" customHeight="1">
      <c r="B50" s="49" t="s">
        <v>12</v>
      </c>
      <c r="C50" s="1744">
        <f>C38</f>
        <v>-7463226.6726206839</v>
      </c>
      <c r="D50" s="1744">
        <f>D38</f>
        <v>1575908.9396888614</v>
      </c>
      <c r="E50" s="1744">
        <f>E38</f>
        <v>4899488.8369205296</v>
      </c>
      <c r="F50" s="256"/>
      <c r="I50" s="10"/>
      <c r="K50" s="9"/>
    </row>
    <row r="51" spans="1:25" ht="15" customHeight="1">
      <c r="B51" s="49" t="s">
        <v>103</v>
      </c>
      <c r="C51" s="1745">
        <f>C50*((1+C45)^0.5-1)</f>
        <v>-220000.30271764513</v>
      </c>
      <c r="D51" s="1745">
        <f>D50*((1+D45)^0.5-1)</f>
        <v>33405.876338067865</v>
      </c>
      <c r="E51" s="1745">
        <f>E50*((1+E45)^0.5-1)</f>
        <v>75913.471944960911</v>
      </c>
      <c r="I51" s="10"/>
      <c r="K51" s="9"/>
    </row>
    <row r="52" spans="1:25" ht="15" customHeight="1">
      <c r="B52" s="87" t="s">
        <v>90</v>
      </c>
      <c r="C52" s="1746">
        <f>SUM(C48:C51)</f>
        <v>-6169707.0884481193</v>
      </c>
      <c r="D52" s="1746">
        <f t="shared" ref="D52" si="1">SUM(D48:D51)</f>
        <v>-4824733.6341697071</v>
      </c>
      <c r="E52" s="1746">
        <f>SUM(E48:E51)</f>
        <v>-1.3824319466948509E-8</v>
      </c>
      <c r="I52" s="10"/>
      <c r="K52" s="9"/>
    </row>
    <row r="53" spans="1:25">
      <c r="I53" s="10"/>
      <c r="K53" s="9"/>
    </row>
    <row r="54" spans="1:25" s="8" customFormat="1">
      <c r="A54" s="6"/>
      <c r="B54" s="93"/>
      <c r="E54" s="9"/>
      <c r="F54" s="9"/>
      <c r="G54" s="9"/>
      <c r="H54" s="9"/>
      <c r="I54" s="9"/>
      <c r="J54" s="10"/>
      <c r="K54" s="10"/>
      <c r="L54" s="9"/>
      <c r="M54" s="9"/>
      <c r="N54" s="9"/>
      <c r="O54" s="9"/>
      <c r="P54" s="9"/>
      <c r="Q54" s="9"/>
      <c r="R54" s="9"/>
      <c r="S54" s="9"/>
      <c r="T54" s="9"/>
      <c r="U54" s="9"/>
      <c r="V54" s="9"/>
      <c r="W54" s="9"/>
      <c r="X54" s="9"/>
      <c r="Y54" s="9"/>
    </row>
    <row r="56" spans="1:25">
      <c r="D56" s="447"/>
    </row>
    <row r="57" spans="1:25">
      <c r="E57" s="446"/>
    </row>
    <row r="58" spans="1:25">
      <c r="E58" s="448"/>
    </row>
  </sheetData>
  <pageMargins left="0.31496062992125984" right="0.31496062992125984" top="0.55118110236220474" bottom="0.35433070866141736" header="0.31496062992125984" footer="0.31496062992125984"/>
  <pageSetup paperSize="9" scale="7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FF00"/>
    <pageSetUpPr autoPageBreaks="0"/>
  </sheetPr>
  <dimension ref="A1:HH260"/>
  <sheetViews>
    <sheetView zoomScale="80" zoomScaleNormal="80" workbookViewId="0">
      <pane ySplit="7" topLeftCell="A8" activePane="bottomLeft" state="frozen"/>
      <selection pane="bottomLeft" activeCell="I8" sqref="I8"/>
    </sheetView>
  </sheetViews>
  <sheetFormatPr defaultColWidth="9.109375" defaultRowHeight="13.2"/>
  <cols>
    <col min="1" max="1" width="7" style="1101" customWidth="1"/>
    <col min="2" max="2" width="14.6640625" style="1102" customWidth="1"/>
    <col min="3" max="4" width="50.6640625" style="1102" customWidth="1"/>
    <col min="5" max="5" width="11.33203125" style="1102" customWidth="1"/>
    <col min="6" max="10" width="12.6640625" style="1102" customWidth="1"/>
    <col min="11" max="11" width="2.6640625" style="1102" customWidth="1"/>
    <col min="12" max="12" width="15.44140625" style="1102" customWidth="1"/>
    <col min="13" max="47" width="11.5546875" style="1102" customWidth="1"/>
    <col min="48" max="48" width="2.6640625" style="1102" customWidth="1"/>
    <col min="49" max="49" width="14.109375" style="1102" customWidth="1"/>
    <col min="50" max="84" width="11.5546875" style="1102" customWidth="1"/>
    <col min="85" max="85" width="2.6640625" style="1101" customWidth="1"/>
    <col min="86" max="106" width="14.6640625" style="988" customWidth="1"/>
    <col min="107" max="109" width="16.6640625" style="988" customWidth="1"/>
    <col min="110" max="120" width="14.6640625" style="988" customWidth="1"/>
    <col min="121" max="121" width="2.6640625" style="1102" customWidth="1"/>
    <col min="122" max="137" width="14.6640625" style="1102" customWidth="1"/>
    <col min="138" max="138" width="15.5546875" style="1102" bestFit="1" customWidth="1"/>
    <col min="139" max="144" width="14.6640625" style="1102" customWidth="1"/>
    <col min="145" max="145" width="17.44140625" style="1102" customWidth="1"/>
    <col min="146" max="148" width="14.6640625" style="1102" customWidth="1"/>
    <col min="149" max="149" width="18.6640625" style="1102" bestFit="1" customWidth="1"/>
    <col min="150" max="157" width="17.44140625" style="1102" customWidth="1"/>
    <col min="158" max="158" width="3.109375" style="1101" customWidth="1"/>
    <col min="159" max="194" width="16.6640625" style="1101" customWidth="1"/>
    <col min="195" max="16384" width="9.109375" style="1101"/>
  </cols>
  <sheetData>
    <row r="1" spans="1:194" ht="13.8">
      <c r="C1" s="1103" t="str">
        <f>"Tariff Approval - "&amp;'Model update'!$B$3</f>
        <v>Tariff Approval - Ergon Energy</v>
      </c>
      <c r="D1" s="1103"/>
      <c r="E1" s="1103"/>
      <c r="F1" s="1103"/>
      <c r="G1" s="1103"/>
      <c r="H1" s="1103"/>
      <c r="I1" s="1103"/>
      <c r="J1" s="1103"/>
      <c r="K1" s="1267"/>
      <c r="L1" s="1104"/>
      <c r="M1" s="1104"/>
      <c r="N1" s="1104"/>
      <c r="O1" s="1104"/>
      <c r="P1" s="1104"/>
      <c r="Q1" s="1104"/>
      <c r="R1" s="1104"/>
      <c r="S1" s="1104"/>
      <c r="T1" s="1104"/>
      <c r="U1" s="1104"/>
      <c r="V1" s="1104"/>
      <c r="W1" s="1104"/>
      <c r="X1" s="1104"/>
      <c r="Y1" s="1104"/>
      <c r="Z1" s="1104"/>
      <c r="AA1" s="1104"/>
      <c r="AB1" s="1104"/>
      <c r="AC1" s="1104"/>
      <c r="AD1" s="1104"/>
      <c r="AE1" s="1104"/>
      <c r="AV1" s="1267"/>
      <c r="CG1" s="1207"/>
      <c r="DQ1" s="1267"/>
    </row>
    <row r="2" spans="1:194">
      <c r="K2" s="1207"/>
      <c r="AV2" s="1207"/>
      <c r="CG2" s="1207"/>
      <c r="DQ2" s="1207"/>
    </row>
    <row r="3" spans="1:194">
      <c r="C3" s="1105" t="str">
        <f>"PROPOSED "&amp;'Model update'!$B$6&amp;" TRANSMISSION TARIFFS"</f>
        <v>PROPOSED 2021-22 TRANSMISSION TARIFFS</v>
      </c>
      <c r="D3" s="1105"/>
      <c r="E3" s="1105"/>
      <c r="F3" s="1105"/>
      <c r="G3" s="1105"/>
      <c r="H3" s="1105"/>
      <c r="I3" s="1105"/>
      <c r="J3" s="1105"/>
      <c r="K3" s="1268"/>
      <c r="AV3" s="1268"/>
      <c r="CG3" s="1207"/>
      <c r="DQ3" s="1268"/>
    </row>
    <row r="4" spans="1:194" ht="41.25" customHeight="1">
      <c r="C4" s="1892"/>
      <c r="D4" s="1892"/>
      <c r="E4" s="1106"/>
      <c r="K4" s="1279"/>
      <c r="L4" s="1107" t="str">
        <f>"Proposed Transmission Tariffs (Pt) for "&amp;'Model update'!$B$6</f>
        <v>Proposed Transmission Tariffs (Pt) for 2021-22</v>
      </c>
      <c r="M4" s="1107"/>
      <c r="N4" s="1107"/>
      <c r="O4" s="1107"/>
      <c r="P4" s="1107"/>
      <c r="Q4" s="1107"/>
      <c r="R4" s="1107"/>
      <c r="S4" s="1107"/>
      <c r="T4" s="1107"/>
      <c r="U4" s="1107"/>
      <c r="V4" s="1107"/>
      <c r="W4" s="1107"/>
      <c r="X4" s="1107"/>
      <c r="Y4" s="1107"/>
      <c r="Z4" s="1107"/>
      <c r="AA4" s="1107"/>
      <c r="AB4" s="1107"/>
      <c r="AC4" s="1107"/>
      <c r="AD4" s="1107"/>
      <c r="AE4" s="1107"/>
      <c r="AF4" s="1108"/>
      <c r="AG4" s="1108"/>
      <c r="AH4" s="1108"/>
      <c r="AI4" s="1108"/>
      <c r="AJ4" s="1108"/>
      <c r="AK4" s="1108"/>
      <c r="AL4" s="1108"/>
      <c r="AM4" s="1108"/>
      <c r="AN4" s="1108"/>
      <c r="AO4" s="1108"/>
      <c r="AP4" s="1108"/>
      <c r="AQ4" s="1108"/>
      <c r="AR4" s="1108"/>
      <c r="AS4" s="1108"/>
      <c r="AT4" s="1108"/>
      <c r="AU4" s="1108"/>
      <c r="AV4" s="1279"/>
      <c r="AW4" s="1107" t="str">
        <f>"Transmission Tariffs (Pt-1) for "&amp;'Model update'!$B$8</f>
        <v>Transmission Tariffs (Pt-1) for 2020-21</v>
      </c>
      <c r="AX4" s="1108"/>
      <c r="AY4" s="1108"/>
      <c r="AZ4" s="1108"/>
      <c r="BA4" s="1108"/>
      <c r="BB4" s="1108"/>
      <c r="BC4" s="1108"/>
      <c r="BD4" s="1108"/>
      <c r="BE4" s="1108"/>
      <c r="BF4" s="1108"/>
      <c r="BG4" s="1108"/>
      <c r="BH4" s="1108"/>
      <c r="BI4" s="1108"/>
      <c r="BJ4" s="1108"/>
      <c r="BK4" s="1108"/>
      <c r="BL4" s="1108"/>
      <c r="BM4" s="1108"/>
      <c r="BN4" s="1108"/>
      <c r="BO4" s="1108"/>
      <c r="BP4" s="1108"/>
      <c r="BQ4" s="1108"/>
      <c r="BR4" s="1108"/>
      <c r="BS4" s="1108"/>
      <c r="BT4" s="1108"/>
      <c r="BU4" s="1108"/>
      <c r="BV4" s="1108"/>
      <c r="BW4" s="1108"/>
      <c r="BX4" s="1108"/>
      <c r="BY4" s="1108"/>
      <c r="BZ4" s="1108"/>
      <c r="CA4" s="1108"/>
      <c r="CB4" s="1108"/>
      <c r="CC4" s="1108"/>
      <c r="CD4" s="1108"/>
      <c r="CE4" s="1108"/>
      <c r="CF4" s="1108"/>
      <c r="CG4" s="1279"/>
      <c r="CH4" s="993" t="str">
        <f>"Forecast Quantities (Qt) for "&amp;'Model update'!$B$6</f>
        <v>Forecast Quantities (Qt) for 2021-22</v>
      </c>
      <c r="CI4" s="993"/>
      <c r="CJ4" s="993"/>
      <c r="CK4" s="993"/>
      <c r="CL4" s="993"/>
      <c r="CM4" s="993"/>
      <c r="CN4" s="993"/>
      <c r="CO4" s="993"/>
      <c r="CP4" s="993"/>
      <c r="CQ4" s="994"/>
      <c r="CR4" s="994"/>
      <c r="CS4" s="993"/>
      <c r="CT4" s="993"/>
      <c r="CU4" s="993"/>
      <c r="CV4" s="993"/>
      <c r="CW4" s="994"/>
      <c r="CX4" s="994"/>
      <c r="CY4" s="994"/>
      <c r="CZ4" s="994"/>
      <c r="DA4" s="994"/>
      <c r="DB4" s="994"/>
      <c r="DC4" s="994"/>
      <c r="DD4" s="994"/>
      <c r="DE4" s="994"/>
      <c r="DF4" s="994"/>
      <c r="DG4" s="994"/>
      <c r="DH4" s="994"/>
      <c r="DI4" s="994"/>
      <c r="DJ4" s="994"/>
      <c r="DK4" s="994"/>
      <c r="DL4" s="994"/>
      <c r="DM4" s="994"/>
      <c r="DN4" s="994"/>
      <c r="DO4" s="994"/>
      <c r="DP4" s="994"/>
      <c r="DQ4" s="1279"/>
      <c r="DR4" s="996" t="str">
        <f>"Forecast Revenue (Pt "&amp;'Model update'!$B$6&amp;")*(Qt " &amp;'Model update'!$B$6&amp;")"</f>
        <v>Forecast Revenue (Pt 2021-22)*(Qt 2021-22)</v>
      </c>
      <c r="DS4" s="996"/>
      <c r="DT4" s="996"/>
      <c r="DU4" s="996"/>
      <c r="DV4" s="996"/>
      <c r="DW4" s="996"/>
      <c r="DX4" s="996"/>
      <c r="DY4" s="996"/>
      <c r="DZ4" s="996"/>
      <c r="EA4" s="996"/>
      <c r="EB4" s="996"/>
      <c r="EC4" s="1109"/>
      <c r="ED4" s="1109"/>
      <c r="EE4" s="1109"/>
      <c r="EF4" s="1109"/>
      <c r="EG4" s="1109"/>
      <c r="EH4" s="1109"/>
      <c r="EI4" s="1109"/>
      <c r="EJ4" s="1109"/>
      <c r="EK4" s="1109"/>
      <c r="EL4" s="1109"/>
      <c r="EM4" s="1108"/>
      <c r="EN4" s="1108"/>
      <c r="EO4" s="1108"/>
      <c r="EP4" s="1108"/>
      <c r="EQ4" s="1108"/>
      <c r="ER4" s="1108"/>
      <c r="ES4" s="1108"/>
      <c r="ET4" s="1108"/>
      <c r="EU4" s="1108"/>
      <c r="EV4" s="1108"/>
      <c r="EW4" s="1108"/>
      <c r="EX4" s="1108"/>
      <c r="EY4" s="1108"/>
      <c r="EZ4" s="1108"/>
      <c r="FA4" s="1108"/>
      <c r="FC4" s="996" t="str">
        <f>"Revenue (Pt-1 "&amp;'Model update'!B8&amp;")*(Qt " &amp;'Model update'!$B$6&amp;")"</f>
        <v>Revenue (Pt-1 2020-21)*(Qt 2021-22)</v>
      </c>
      <c r="FD4" s="996"/>
      <c r="FE4" s="996"/>
      <c r="FF4" s="996"/>
      <c r="FG4" s="996"/>
      <c r="FH4" s="996"/>
      <c r="FI4" s="996"/>
      <c r="FJ4" s="996"/>
      <c r="FK4" s="996"/>
      <c r="FL4" s="996"/>
      <c r="FM4" s="996"/>
      <c r="FN4" s="1109"/>
      <c r="FO4" s="1109"/>
      <c r="FP4" s="1109"/>
      <c r="FQ4" s="1109"/>
      <c r="FR4" s="1109"/>
      <c r="FS4" s="1109"/>
      <c r="FT4" s="1109"/>
      <c r="FU4" s="1109"/>
      <c r="FV4" s="1109"/>
      <c r="FW4" s="1109"/>
      <c r="FX4" s="1108"/>
      <c r="FY4" s="1108"/>
      <c r="FZ4" s="1108"/>
      <c r="GA4" s="1108"/>
      <c r="GB4" s="1108"/>
      <c r="GC4" s="1108"/>
      <c r="GD4" s="1108"/>
      <c r="GE4" s="1108"/>
      <c r="GF4" s="1108"/>
      <c r="GG4" s="1108"/>
      <c r="GH4" s="1108"/>
      <c r="GI4" s="1108"/>
      <c r="GJ4" s="1108"/>
      <c r="GK4" s="1108"/>
      <c r="GL4" s="1108"/>
    </row>
    <row r="5" spans="1:194" ht="65.099999999999994" customHeight="1">
      <c r="B5" s="1282" t="str">
        <f>Prop2021DUOSTariffs!B5</f>
        <v>NMIs</v>
      </c>
      <c r="C5" s="1288" t="str">
        <f>Prop2021DUOSTariffs!C5</f>
        <v>Proposed tariff</v>
      </c>
      <c r="D5" s="1282" t="str">
        <f>Prop2021DUOSTariffs!D5</f>
        <v>Existing tariff</v>
      </c>
      <c r="E5" s="1247" t="str">
        <f>Prop2021DUOSTariffs!E5</f>
        <v>Tariff class</v>
      </c>
      <c r="F5" s="1247" t="str">
        <f>Prop2021DUOSTariffs!F5</f>
        <v>Customer class in year t</v>
      </c>
      <c r="G5" s="1247" t="str">
        <f>Prop2021DUOSTariffs!G5</f>
        <v>Region</v>
      </c>
      <c r="H5" s="1247" t="str">
        <f>Prop2021DUOSTariffs!H5</f>
        <v>Tariff Class/tariff/zone description</v>
      </c>
      <c r="I5" s="1247" t="s">
        <v>886</v>
      </c>
      <c r="J5" s="1247" t="s">
        <v>168</v>
      </c>
      <c r="K5" s="1269"/>
      <c r="L5" s="1110" t="str">
        <f>Prop2021DUOSTariffs!L5</f>
        <v>Fixed Charge</v>
      </c>
      <c r="M5" s="1110" t="str">
        <f>Prop2021DUOSTariffs!M5</f>
        <v>Band1 Charge</v>
      </c>
      <c r="N5" s="1110" t="str">
        <f>Prop2021DUOSTariffs!N5</f>
        <v>Band2 Charge</v>
      </c>
      <c r="O5" s="1110" t="str">
        <f>Prop2021DUOSTariffs!O5</f>
        <v>Band3 Charge</v>
      </c>
      <c r="P5" s="1110" t="str">
        <f>Prop2021DUOSTariffs!P5</f>
        <v>Band4 Charge</v>
      </c>
      <c r="Q5" s="1110" t="str">
        <f>Prop2021DUOSTariffs!Q5</f>
        <v>Band5 Charge</v>
      </c>
      <c r="R5" s="1110" t="str">
        <f>Prop2021DUOSTariffs!R5</f>
        <v>Connection Unit Charge</v>
      </c>
      <c r="S5" s="1110" t="str">
        <f>Prop2021DUOSTariffs!S5</f>
        <v>Capacity Charge</v>
      </c>
      <c r="T5" s="1110" t="str">
        <f>Prop2021DUOSTariffs!T5</f>
        <v>Non Summer Capacity Charge</v>
      </c>
      <c r="U5" s="1110" t="str">
        <f>Prop2021DUOSTariffs!U5</f>
        <v>Minimum Capacity Charge</v>
      </c>
      <c r="V5" s="1110" t="str">
        <f>Prop2021DUOSTariffs!V5</f>
        <v>Remaining Capacity Charge</v>
      </c>
      <c r="W5" s="1110" t="str">
        <f>Prop2021DUOSTariffs!W5</f>
        <v>Demand Charge kVA</v>
      </c>
      <c r="X5" s="1110" t="str">
        <f>Prop2021DUOSTariffs!X5</f>
        <v>Peak Demand Charge kVA</v>
      </c>
      <c r="Y5" s="1110" t="str">
        <f>Prop2021DUOSTariffs!Y5</f>
        <v>Excess Demand Charge</v>
      </c>
      <c r="Z5" s="1110" t="str">
        <f>Prop2021DUOSTariffs!Z5</f>
        <v>Summer Demand Charge kVA</v>
      </c>
      <c r="AA5" s="1110" t="str">
        <f>Prop2021DUOSTariffs!AA5</f>
        <v>Demand Charge kW</v>
      </c>
      <c r="AB5" s="1110" t="str">
        <f>Prop2021DUOSTariffs!AB5</f>
        <v>Peak Demand Charge kW</v>
      </c>
      <c r="AC5" s="1110" t="str">
        <f>Prop2021DUOSTariffs!AC5</f>
        <v>Off Peak Demand Charge kW</v>
      </c>
      <c r="AD5" s="1110" t="str">
        <f>Prop2021DUOSTariffs!AD5</f>
        <v>Non Summer Demand Charge kW</v>
      </c>
      <c r="AE5" s="1110" t="str">
        <f>Prop2021DUOSTariffs!AE5</f>
        <v>Summer Demand Charge kW</v>
      </c>
      <c r="AF5" s="1110" t="str">
        <f>Prop2021DUOSTariffs!AF5</f>
        <v xml:space="preserve"> Location
</v>
      </c>
      <c r="AG5" s="1110" t="str">
        <f>Prop2021DUOSTariffs!AG5</f>
        <v>General Charge</v>
      </c>
      <c r="AH5" s="1110" t="str">
        <f>Prop2021DUOSTariffs!AH5</f>
        <v>Common</v>
      </c>
      <c r="AI5" s="1110" t="str">
        <f>Prop2021DUOSTariffs!AI5</f>
        <v>Volume Charge</v>
      </c>
      <c r="AJ5" s="1110" t="str">
        <f>Prop2021DUOSTariffs!AJ5</f>
        <v>Volume Block 1 Charge</v>
      </c>
      <c r="AK5" s="1110" t="str">
        <f>Prop2021DUOSTariffs!AK5</f>
        <v>Volume Block 2 Charge</v>
      </c>
      <c r="AL5" s="1110" t="str">
        <f>Prop2021DUOSTariffs!AL5</f>
        <v>Volume Block 3 Charge</v>
      </c>
      <c r="AM5" s="1110" t="str">
        <f>Prop2021DUOSTariffs!AM5</f>
        <v>Volume Evening Charge</v>
      </c>
      <c r="AN5" s="1110" t="str">
        <f>Prop2021DUOSTariffs!AN5</f>
        <v>Volume Overnight Charge</v>
      </c>
      <c r="AO5" s="1110" t="str">
        <f>Prop2021DUOSTariffs!AO5</f>
        <v>Volume Day Charge</v>
      </c>
      <c r="AP5" s="1110" t="str">
        <f>Prop2021DUOSTariffs!AP5</f>
        <v>Volume Off Peak Charge</v>
      </c>
      <c r="AQ5" s="1110" t="str">
        <f>Prop2021DUOSTariffs!AQ5</f>
        <v>Volume Peak Charge</v>
      </c>
      <c r="AR5" s="1110" t="str">
        <f>Prop2021DUOSTariffs!AR5</f>
        <v>Volume Peak Charge (over 10,000)</v>
      </c>
      <c r="AS5" s="1110" t="str">
        <f>Prop2021DUOSTariffs!AS5</f>
        <v>Volume Non Summer Charge</v>
      </c>
      <c r="AT5" s="1110" t="str">
        <f>Prop2021DUOSTariffs!AT5</f>
        <v>Volume Summer No Charge</v>
      </c>
      <c r="AU5" s="1247" t="s">
        <v>226</v>
      </c>
      <c r="AV5" s="1269"/>
      <c r="AW5" s="1110" t="str">
        <f>Prop2021DUOSTariffs!AW5</f>
        <v>Fixed Charge</v>
      </c>
      <c r="AX5" s="1110" t="str">
        <f>Prop2021DUOSTariffs!AX5</f>
        <v>Band1 Charge</v>
      </c>
      <c r="AY5" s="1110" t="str">
        <f>Prop2021DUOSTariffs!AY5</f>
        <v>Band2 Charge</v>
      </c>
      <c r="AZ5" s="1110" t="str">
        <f>Prop2021DUOSTariffs!AZ5</f>
        <v>Band3 Charge</v>
      </c>
      <c r="BA5" s="1110" t="str">
        <f>Prop2021DUOSTariffs!BA5</f>
        <v>Band4 Charge</v>
      </c>
      <c r="BB5" s="1110" t="str">
        <f>Prop2021DUOSTariffs!BB5</f>
        <v>Band5 Charge</v>
      </c>
      <c r="BC5" s="1110" t="str">
        <f>Prop2021DUOSTariffs!BC5</f>
        <v>Connection Unit Charge</v>
      </c>
      <c r="BD5" s="1110" t="str">
        <f>Prop2021DUOSTariffs!BD5</f>
        <v>Capacity Charge</v>
      </c>
      <c r="BE5" s="1110" t="str">
        <f>Prop2021DUOSTariffs!BE5</f>
        <v>Non Summer Capacity Charge</v>
      </c>
      <c r="BF5" s="1604" t="str">
        <f>Prop2021DUOSTariffs!BF5</f>
        <v>Minimum Capacity Charge</v>
      </c>
      <c r="BG5" s="1604" t="str">
        <f>Prop2021DUOSTariffs!BG5</f>
        <v>Remaining Capacity Charge</v>
      </c>
      <c r="BH5" s="1110" t="str">
        <f>Prop2021DUOSTariffs!BH5</f>
        <v>Demand Charge kVA</v>
      </c>
      <c r="BI5" s="1110" t="str">
        <f>Prop2021DUOSTariffs!BI5</f>
        <v>Peak Demand Charge kVA</v>
      </c>
      <c r="BJ5" s="1110" t="str">
        <f>Prop2021DUOSTariffs!BJ5</f>
        <v>Excess Demand Charge</v>
      </c>
      <c r="BK5" s="1110" t="str">
        <f>Prop2021DUOSTariffs!BK5</f>
        <v>Summer Demand Charge kVA</v>
      </c>
      <c r="BL5" s="1110" t="str">
        <f>Prop2021DUOSTariffs!BL5</f>
        <v>Demand Charge kW</v>
      </c>
      <c r="BM5" s="1110" t="str">
        <f>Prop2021DUOSTariffs!BM5</f>
        <v>Peak Demand Charge kW</v>
      </c>
      <c r="BN5" s="1110" t="str">
        <f>Prop2021DUOSTariffs!BN5</f>
        <v>Off Peak Demand Charge kW</v>
      </c>
      <c r="BO5" s="1110" t="str">
        <f>Prop2021DUOSTariffs!BO5</f>
        <v>Non Summer Demand Charge kW</v>
      </c>
      <c r="BP5" s="1110" t="str">
        <f>Prop2021DUOSTariffs!BP5</f>
        <v>Summer Demand Charge kW</v>
      </c>
      <c r="BQ5" s="1110" t="str">
        <f>Prop2021DUOSTariffs!BQ5</f>
        <v xml:space="preserve"> Location
</v>
      </c>
      <c r="BR5" s="1110" t="str">
        <f>Prop2021DUOSTariffs!BR5</f>
        <v>General Charge</v>
      </c>
      <c r="BS5" s="1110" t="str">
        <f>Prop2021DUOSTariffs!BS5</f>
        <v>Common</v>
      </c>
      <c r="BT5" s="1110" t="str">
        <f>Prop2021DUOSTariffs!BT5</f>
        <v>Volume Charge</v>
      </c>
      <c r="BU5" s="1110" t="str">
        <f>Prop2021DUOSTariffs!BU5</f>
        <v>Volume Block 1 Charge</v>
      </c>
      <c r="BV5" s="1110" t="str">
        <f>Prop2021DUOSTariffs!BV5</f>
        <v>Volume Block 2 Charge</v>
      </c>
      <c r="BW5" s="1110" t="str">
        <f>Prop2021DUOSTariffs!BW5</f>
        <v>Volume Block 3 Charge</v>
      </c>
      <c r="BX5" s="1110" t="str">
        <f>Prop2021DUOSTariffs!BX5</f>
        <v>Volume Evening Charge</v>
      </c>
      <c r="BY5" s="1110" t="str">
        <f>Prop2021DUOSTariffs!BY5</f>
        <v>Volume Overnight Charge</v>
      </c>
      <c r="BZ5" s="1110" t="str">
        <f>Prop2021DUOSTariffs!BZ5</f>
        <v>Volume Day Charge</v>
      </c>
      <c r="CA5" s="1604" t="str">
        <f>Prop2021DUOSTariffs!CA5</f>
        <v>Volume Off Peak Charge</v>
      </c>
      <c r="CB5" s="1604" t="str">
        <f>Prop2021DUOSTariffs!CB5</f>
        <v>Volume Peak Charge</v>
      </c>
      <c r="CC5" s="1604" t="str">
        <f>Prop2021DUOSTariffs!CC5</f>
        <v>Volume Peak Charge (over 10,000)</v>
      </c>
      <c r="CD5" s="1110" t="str">
        <f>Prop2021DUOSTariffs!CD5</f>
        <v>Volume Non Summer Charge</v>
      </c>
      <c r="CE5" s="1110" t="str">
        <f>Prop2021DUOSTariffs!CE5</f>
        <v>Volume Summer No Charge</v>
      </c>
      <c r="CF5" s="1247" t="s">
        <v>226</v>
      </c>
      <c r="CG5" s="1207"/>
      <c r="CH5" s="1002" t="str">
        <f>Prop2021DUOSTariffs!CG5</f>
        <v>Fixed Charge</v>
      </c>
      <c r="CI5" s="1002" t="str">
        <f>Prop2021DUOSTariffs!CH5</f>
        <v>Band1 Charge</v>
      </c>
      <c r="CJ5" s="1002" t="str">
        <f>Prop2021DUOSTariffs!CI5</f>
        <v>Band2 Charge</v>
      </c>
      <c r="CK5" s="1002" t="str">
        <f>Prop2021DUOSTariffs!CJ5</f>
        <v>Band3 Charge</v>
      </c>
      <c r="CL5" s="1002" t="str">
        <f>Prop2021DUOSTariffs!CK5</f>
        <v>Band4 Charge</v>
      </c>
      <c r="CM5" s="1002" t="str">
        <f>Prop2021DUOSTariffs!CL5</f>
        <v>Band5 Charge</v>
      </c>
      <c r="CN5" s="1001" t="str">
        <f>Prop2021DUOSTariffs!CM5</f>
        <v>Connection Unit Charge</v>
      </c>
      <c r="CO5" s="1001" t="str">
        <f>Prop2021DUOSTariffs!CN5</f>
        <v>Capacity Charge</v>
      </c>
      <c r="CP5" s="1001" t="str">
        <f>Prop2021DUOSTariffs!CO5</f>
        <v>Non Summer Capacity Charge</v>
      </c>
      <c r="CQ5" s="1606" t="str">
        <f>Prop2021DUOSTariffs!CP5</f>
        <v>Minimum Capacity Charge</v>
      </c>
      <c r="CR5" s="1606" t="str">
        <f>Prop2021DUOSTariffs!CQ5</f>
        <v>Remaining Capacity Charge</v>
      </c>
      <c r="CS5" s="1001" t="str">
        <f>Prop2021DUOSTariffs!CR5</f>
        <v>Demand Charge kVA</v>
      </c>
      <c r="CT5" s="1001" t="str">
        <f>Prop2021DUOSTariffs!CS5</f>
        <v>Peak Demand Charge kVA</v>
      </c>
      <c r="CU5" s="1001" t="str">
        <f>Prop2021DUOSTariffs!CT5</f>
        <v>Excess Demand Charge</v>
      </c>
      <c r="CV5" s="1001" t="str">
        <f>Prop2021DUOSTariffs!CU5</f>
        <v>Summer Demand Charge kVA</v>
      </c>
      <c r="CW5" s="1001" t="str">
        <f>Prop2021DUOSTariffs!CV5</f>
        <v>Demand Charge kW</v>
      </c>
      <c r="CX5" s="1001" t="str">
        <f>Prop2021DUOSTariffs!CW5</f>
        <v>Peak Demand Charge kW</v>
      </c>
      <c r="CY5" s="1001" t="str">
        <f>Prop2021DUOSTariffs!CX5</f>
        <v>Off Peak Demand Charge kW</v>
      </c>
      <c r="CZ5" s="1001" t="str">
        <f>Prop2021DUOSTariffs!CY5</f>
        <v>Non Summer Demand Charge kW</v>
      </c>
      <c r="DA5" s="1001" t="str">
        <f>Prop2021DUOSTariffs!CZ5</f>
        <v>Summer Demand Charge kW</v>
      </c>
      <c r="DB5" s="1001" t="str">
        <f>Prop2021DUOSTariffs!DA5</f>
        <v xml:space="preserve"> Location
</v>
      </c>
      <c r="DC5" s="1001" t="str">
        <f>Prop2021DUOSTariffs!DB5</f>
        <v>General Charge</v>
      </c>
      <c r="DD5" s="1001" t="str">
        <f>Prop2021DUOSTariffs!DC5</f>
        <v>Common</v>
      </c>
      <c r="DE5" s="1001" t="str">
        <f>Prop2021DUOSTariffs!DD5</f>
        <v>Volume Charge</v>
      </c>
      <c r="DF5" s="1001" t="str">
        <f>Prop2021DUOSTariffs!DE5</f>
        <v>Volume Block 1 Charge</v>
      </c>
      <c r="DG5" s="1001" t="str">
        <f>Prop2021DUOSTariffs!DF5</f>
        <v>Volume Block 2 Charge</v>
      </c>
      <c r="DH5" s="1001" t="str">
        <f>Prop2021DUOSTariffs!DG5</f>
        <v>Volume Block 3 Charge</v>
      </c>
      <c r="DI5" s="1001" t="str">
        <f>Prop2021DUOSTariffs!DH5</f>
        <v>Volume Evening Charge</v>
      </c>
      <c r="DJ5" s="1001" t="str">
        <f>Prop2021DUOSTariffs!DI5</f>
        <v>Volume Overnight Charge</v>
      </c>
      <c r="DK5" s="1001" t="str">
        <f>Prop2021DUOSTariffs!DJ5</f>
        <v>Volume Day Charge</v>
      </c>
      <c r="DL5" s="1606" t="str">
        <f>Prop2021DUOSTariffs!DK5</f>
        <v>Volume Off Peak Charge</v>
      </c>
      <c r="DM5" s="1606" t="str">
        <f>Prop2021DUOSTariffs!DL5</f>
        <v>Volume Peak Charge</v>
      </c>
      <c r="DN5" s="1606" t="str">
        <f>Prop2021DUOSTariffs!DM5</f>
        <v>Volume Peak Charge (over 10,000)</v>
      </c>
      <c r="DO5" s="1292" t="str">
        <f>Prop2021DUOSTariffs!DN5</f>
        <v>Volume Non Summer Charge</v>
      </c>
      <c r="DP5" s="1292" t="str">
        <f>Prop2021DUOSTariffs!DO5</f>
        <v>Volume Summer No Charge</v>
      </c>
      <c r="DQ5" s="1269"/>
      <c r="DR5" s="1002" t="str">
        <f>Prop2021DUOSTariffs!FB5</f>
        <v>Fixed Charge</v>
      </c>
      <c r="DS5" s="1002" t="str">
        <f>Prop2021DUOSTariffs!FC5</f>
        <v>Band1 Charge</v>
      </c>
      <c r="DT5" s="1002" t="str">
        <f>Prop2021DUOSTariffs!FD5</f>
        <v>Band2 Charge</v>
      </c>
      <c r="DU5" s="1002" t="str">
        <f>Prop2021DUOSTariffs!FE5</f>
        <v>Band3 Charge</v>
      </c>
      <c r="DV5" s="1002" t="str">
        <f>Prop2021DUOSTariffs!FF5</f>
        <v>Band4 Charge</v>
      </c>
      <c r="DW5" s="1002" t="str">
        <f>Prop2021DUOSTariffs!FG5</f>
        <v>Band5 Charge</v>
      </c>
      <c r="DX5" s="1002" t="str">
        <f>Prop2021DUOSTariffs!FH5</f>
        <v>Connection Unit Charge</v>
      </c>
      <c r="DY5" s="1002" t="str">
        <f>Prop2021DUOSTariffs!FI5</f>
        <v>Capacity Charge</v>
      </c>
      <c r="DZ5" s="1002" t="str">
        <f>Prop2021DUOSTariffs!FJ5</f>
        <v>Non Summer Capacity Charge</v>
      </c>
      <c r="EA5" s="1606" t="str">
        <f>Prop2021DUOSTariffs!FK5</f>
        <v>Minimum Capacity Charge</v>
      </c>
      <c r="EB5" s="1606" t="str">
        <f>Prop2021DUOSTariffs!FL5</f>
        <v>Remaining Capacity Charge</v>
      </c>
      <c r="EC5" s="1002" t="str">
        <f>Prop2021DUOSTariffs!FM5</f>
        <v>Demand Charge kVA</v>
      </c>
      <c r="ED5" s="1002" t="str">
        <f>Prop2021DUOSTariffs!FN5</f>
        <v>Peak Demand Charge kVA</v>
      </c>
      <c r="EE5" s="1002" t="str">
        <f>Prop2021DUOSTariffs!FO5</f>
        <v>Excess Demand Charge</v>
      </c>
      <c r="EF5" s="1002" t="str">
        <f>Prop2021DUOSTariffs!FP5</f>
        <v>Summer Demand Charge kVA</v>
      </c>
      <c r="EG5" s="1002" t="str">
        <f>Prop2021DUOSTariffs!FQ5</f>
        <v>Demand Charge kW</v>
      </c>
      <c r="EH5" s="1002" t="str">
        <f>Prop2021DUOSTariffs!FR5</f>
        <v>Peak Demand Charge kW</v>
      </c>
      <c r="EI5" s="1002" t="str">
        <f>Prop2021DUOSTariffs!FS5</f>
        <v>Off Peak Demand Charge kW</v>
      </c>
      <c r="EJ5" s="1002" t="str">
        <f>Prop2021DUOSTariffs!FT5</f>
        <v>Non Summer Demand Charge kW</v>
      </c>
      <c r="EK5" s="1002" t="str">
        <f>Prop2021DUOSTariffs!FU5</f>
        <v>Summer Demand Charge kW</v>
      </c>
      <c r="EL5" s="1002" t="str">
        <f>Prop2021DUOSTariffs!FV5</f>
        <v xml:space="preserve"> Location
</v>
      </c>
      <c r="EM5" s="1002" t="str">
        <f>Prop2021DUOSTariffs!FW5</f>
        <v>General Charge</v>
      </c>
      <c r="EN5" s="1002" t="str">
        <f>Prop2021DUOSTariffs!FX5</f>
        <v>Common</v>
      </c>
      <c r="EO5" s="1002" t="str">
        <f>Prop2021DUOSTariffs!FY5</f>
        <v>Volume Charge</v>
      </c>
      <c r="EP5" s="1002" t="str">
        <f>Prop2021DUOSTariffs!FZ5</f>
        <v>Volume Block 1 Charge</v>
      </c>
      <c r="EQ5" s="1002" t="str">
        <f>Prop2021DUOSTariffs!GA5</f>
        <v>Volume Block 2 Charge</v>
      </c>
      <c r="ER5" s="1002" t="str">
        <f>Prop2021DUOSTariffs!GB5</f>
        <v>Volume Block 3 Charge</v>
      </c>
      <c r="ES5" s="1002" t="str">
        <f>Prop2021DUOSTariffs!GC5</f>
        <v>Volume Evening Charge</v>
      </c>
      <c r="ET5" s="1002" t="str">
        <f>Prop2021DUOSTariffs!GD5</f>
        <v>Volume Overnight Charge</v>
      </c>
      <c r="EU5" s="1002" t="str">
        <f>Prop2021DUOSTariffs!GE5</f>
        <v>Volume Day Charge</v>
      </c>
      <c r="EV5" s="1606" t="str">
        <f>Prop2021DUOSTariffs!GF5</f>
        <v>Volume Off Peak Charge</v>
      </c>
      <c r="EW5" s="1606" t="str">
        <f>Prop2021DUOSTariffs!GG5</f>
        <v>Volume Peak Charge</v>
      </c>
      <c r="EX5" s="1606" t="str">
        <f>Prop2021DUOSTariffs!GH5</f>
        <v>Volume Peak Charge (over 10,000)</v>
      </c>
      <c r="EY5" s="1002" t="str">
        <f>Prop2021DUOSTariffs!GI5</f>
        <v>Volume Non Summer Charge</v>
      </c>
      <c r="EZ5" s="1002" t="str">
        <f>Prop2021DUOSTariffs!GJ5</f>
        <v>Volume Summer No Charge</v>
      </c>
      <c r="FA5" s="1171" t="s">
        <v>37</v>
      </c>
      <c r="FC5" s="1002" t="str">
        <f t="shared" ref="FC5:GK5" si="0">DR5</f>
        <v>Fixed Charge</v>
      </c>
      <c r="FD5" s="1002" t="str">
        <f t="shared" si="0"/>
        <v>Band1 Charge</v>
      </c>
      <c r="FE5" s="1002" t="str">
        <f t="shared" si="0"/>
        <v>Band2 Charge</v>
      </c>
      <c r="FF5" s="1002" t="str">
        <f t="shared" si="0"/>
        <v>Band3 Charge</v>
      </c>
      <c r="FG5" s="1002" t="str">
        <f t="shared" si="0"/>
        <v>Band4 Charge</v>
      </c>
      <c r="FH5" s="1002" t="str">
        <f t="shared" si="0"/>
        <v>Band5 Charge</v>
      </c>
      <c r="FI5" s="1002" t="str">
        <f t="shared" si="0"/>
        <v>Connection Unit Charge</v>
      </c>
      <c r="FJ5" s="1002" t="str">
        <f t="shared" si="0"/>
        <v>Capacity Charge</v>
      </c>
      <c r="FK5" s="1002" t="str">
        <f t="shared" si="0"/>
        <v>Non Summer Capacity Charge</v>
      </c>
      <c r="FL5" s="1606" t="str">
        <f t="shared" si="0"/>
        <v>Minimum Capacity Charge</v>
      </c>
      <c r="FM5" s="1606" t="str">
        <f t="shared" si="0"/>
        <v>Remaining Capacity Charge</v>
      </c>
      <c r="FN5" s="1002" t="str">
        <f t="shared" si="0"/>
        <v>Demand Charge kVA</v>
      </c>
      <c r="FO5" s="1002" t="str">
        <f t="shared" si="0"/>
        <v>Peak Demand Charge kVA</v>
      </c>
      <c r="FP5" s="1002" t="str">
        <f t="shared" si="0"/>
        <v>Excess Demand Charge</v>
      </c>
      <c r="FQ5" s="1002" t="str">
        <f t="shared" si="0"/>
        <v>Summer Demand Charge kVA</v>
      </c>
      <c r="FR5" s="1002" t="str">
        <f t="shared" si="0"/>
        <v>Demand Charge kW</v>
      </c>
      <c r="FS5" s="1002" t="str">
        <f t="shared" si="0"/>
        <v>Peak Demand Charge kW</v>
      </c>
      <c r="FT5" s="1002" t="str">
        <f t="shared" si="0"/>
        <v>Off Peak Demand Charge kW</v>
      </c>
      <c r="FU5" s="1002" t="str">
        <f t="shared" si="0"/>
        <v>Non Summer Demand Charge kW</v>
      </c>
      <c r="FV5" s="1002" t="str">
        <f t="shared" si="0"/>
        <v>Summer Demand Charge kW</v>
      </c>
      <c r="FW5" s="1002" t="str">
        <f t="shared" si="0"/>
        <v xml:space="preserve"> Location
</v>
      </c>
      <c r="FX5" s="1002" t="str">
        <f t="shared" si="0"/>
        <v>General Charge</v>
      </c>
      <c r="FY5" s="1002" t="str">
        <f t="shared" si="0"/>
        <v>Common</v>
      </c>
      <c r="FZ5" s="1002" t="str">
        <f t="shared" si="0"/>
        <v>Volume Charge</v>
      </c>
      <c r="GA5" s="1002" t="str">
        <f t="shared" si="0"/>
        <v>Volume Block 1 Charge</v>
      </c>
      <c r="GB5" s="1002" t="str">
        <f t="shared" si="0"/>
        <v>Volume Block 2 Charge</v>
      </c>
      <c r="GC5" s="1002" t="str">
        <f t="shared" si="0"/>
        <v>Volume Block 3 Charge</v>
      </c>
      <c r="GD5" s="1002" t="str">
        <f t="shared" si="0"/>
        <v>Volume Evening Charge</v>
      </c>
      <c r="GE5" s="1002" t="str">
        <f t="shared" si="0"/>
        <v>Volume Overnight Charge</v>
      </c>
      <c r="GF5" s="1002" t="str">
        <f t="shared" si="0"/>
        <v>Volume Day Charge</v>
      </c>
      <c r="GG5" s="1606" t="str">
        <f t="shared" si="0"/>
        <v>Volume Off Peak Charge</v>
      </c>
      <c r="GH5" s="1606" t="str">
        <f t="shared" si="0"/>
        <v>Volume Peak Charge</v>
      </c>
      <c r="GI5" s="1606" t="str">
        <f t="shared" si="0"/>
        <v>Volume Peak Charge (over 10,000)</v>
      </c>
      <c r="GJ5" s="1002" t="str">
        <f t="shared" si="0"/>
        <v>Volume Non Summer Charge</v>
      </c>
      <c r="GK5" s="1002" t="str">
        <f t="shared" si="0"/>
        <v>Volume Summer No Charge</v>
      </c>
      <c r="GL5" s="1171" t="s">
        <v>37</v>
      </c>
    </row>
    <row r="6" spans="1:194" s="1210" customFormat="1" ht="13.95" customHeight="1">
      <c r="B6" s="1221"/>
      <c r="C6" s="1222"/>
      <c r="D6" s="1211"/>
      <c r="E6" s="1211"/>
      <c r="F6" s="1211"/>
      <c r="G6" s="1211"/>
      <c r="H6" s="1211"/>
      <c r="I6" s="1212"/>
      <c r="J6" s="1220"/>
      <c r="K6" s="1262"/>
      <c r="L6" s="1280" t="str">
        <f>Prop2021DUOSTariffs!L6</f>
        <v>Rate</v>
      </c>
      <c r="M6" s="1280" t="str">
        <f>Prop2021DUOSTariffs!M6</f>
        <v>Rate</v>
      </c>
      <c r="N6" s="1280" t="str">
        <f>Prop2021DUOSTariffs!N6</f>
        <v>Rate</v>
      </c>
      <c r="O6" s="1280" t="str">
        <f>Prop2021DUOSTariffs!O6</f>
        <v>Rate</v>
      </c>
      <c r="P6" s="1280" t="str">
        <f>Prop2021DUOSTariffs!P6</f>
        <v>Rate</v>
      </c>
      <c r="Q6" s="1280" t="str">
        <f>Prop2021DUOSTariffs!Q6</f>
        <v>Rate</v>
      </c>
      <c r="R6" s="1280" t="str">
        <f>Prop2021DUOSTariffs!R6</f>
        <v>Rate</v>
      </c>
      <c r="S6" s="1280" t="str">
        <f>Prop2021DUOSTariffs!S6</f>
        <v>Rate</v>
      </c>
      <c r="T6" s="1280" t="str">
        <f>Prop2021DUOSTariffs!T6</f>
        <v>Rate</v>
      </c>
      <c r="U6" s="1280" t="str">
        <f>Prop2021DUOSTariffs!U6</f>
        <v>Rate</v>
      </c>
      <c r="V6" s="1280" t="str">
        <f>Prop2021DUOSTariffs!V6</f>
        <v>Rate</v>
      </c>
      <c r="W6" s="1280" t="str">
        <f>Prop2021DUOSTariffs!W6</f>
        <v>Rate</v>
      </c>
      <c r="X6" s="1280" t="str">
        <f>Prop2021DUOSTariffs!X6</f>
        <v>Rate</v>
      </c>
      <c r="Y6" s="1280" t="str">
        <f>Prop2021DUOSTariffs!Y6</f>
        <v>Rate</v>
      </c>
      <c r="Z6" s="1280" t="str">
        <f>Prop2021DUOSTariffs!Z6</f>
        <v>Rate</v>
      </c>
      <c r="AA6" s="1280" t="str">
        <f>Prop2021DUOSTariffs!AA6</f>
        <v>Rate</v>
      </c>
      <c r="AB6" s="1280" t="str">
        <f>Prop2021DUOSTariffs!AB6</f>
        <v>Rate</v>
      </c>
      <c r="AC6" s="1280" t="str">
        <f>Prop2021DUOSTariffs!AC6</f>
        <v>Rate</v>
      </c>
      <c r="AD6" s="1280" t="str">
        <f>Prop2021DUOSTariffs!AD6</f>
        <v>Rate</v>
      </c>
      <c r="AE6" s="1280" t="str">
        <f>Prop2021DUOSTariffs!AE6</f>
        <v>Rate</v>
      </c>
      <c r="AF6" s="1280" t="str">
        <f>Prop2021DUOSTariffs!AF6</f>
        <v>Rate</v>
      </c>
      <c r="AG6" s="1280" t="str">
        <f>Prop2021DUOSTariffs!AG6</f>
        <v>Rate</v>
      </c>
      <c r="AH6" s="1161" t="str">
        <f>Prop2021DUOSTariffs!AH6</f>
        <v>Rate</v>
      </c>
      <c r="AI6" s="1280" t="str">
        <f>Prop2021DUOSTariffs!AM6</f>
        <v>Rate</v>
      </c>
      <c r="AJ6" s="1161" t="str">
        <f>Prop2021DUOSTariffs!AJ6</f>
        <v>Rate</v>
      </c>
      <c r="AK6" s="1161" t="str">
        <f>Prop2021DUOSTariffs!AK6</f>
        <v>Rate</v>
      </c>
      <c r="AL6" s="1161" t="str">
        <f>Prop2021DUOSTariffs!AL6</f>
        <v>Rate</v>
      </c>
      <c r="AM6" s="1280" t="str">
        <f>Prop2021DUOSTariffs!AM6</f>
        <v>Rate</v>
      </c>
      <c r="AN6" s="1280" t="str">
        <f>Prop2021DUOSTariffs!AN6</f>
        <v>Rate</v>
      </c>
      <c r="AO6" s="1280" t="str">
        <f>Prop2021DUOSTariffs!AO6</f>
        <v>Rate</v>
      </c>
      <c r="AP6" s="1280" t="str">
        <f>Prop2021DUOSTariffs!AP6</f>
        <v>Rate</v>
      </c>
      <c r="AQ6" s="1280" t="str">
        <f>Prop2021DUOSTariffs!AQ6</f>
        <v>Rate</v>
      </c>
      <c r="AR6" s="1280" t="str">
        <f>Prop2021DUOSTariffs!AR6</f>
        <v>Rate</v>
      </c>
      <c r="AS6" s="1280" t="str">
        <f>Prop2021DUOSTariffs!AS6</f>
        <v>Rate</v>
      </c>
      <c r="AT6" s="1280" t="str">
        <f>Prop2021DUOSTariffs!AT6</f>
        <v>Rate</v>
      </c>
      <c r="AU6" s="1151"/>
      <c r="AV6" s="1262"/>
      <c r="AW6" s="1280" t="str">
        <f>Prop2021DUOSTariffs!AW6</f>
        <v>Rate</v>
      </c>
      <c r="AX6" s="1280" t="str">
        <f>Prop2021DUOSTariffs!AX6</f>
        <v>Rate</v>
      </c>
      <c r="AY6" s="1280" t="str">
        <f>Prop2021DUOSTariffs!AY6</f>
        <v>Rate</v>
      </c>
      <c r="AZ6" s="1280" t="str">
        <f>Prop2021DUOSTariffs!AZ6</f>
        <v>Rate</v>
      </c>
      <c r="BA6" s="1280" t="str">
        <f>Prop2021DUOSTariffs!BA6</f>
        <v>Rate</v>
      </c>
      <c r="BB6" s="1280" t="str">
        <f>Prop2021DUOSTariffs!BB6</f>
        <v>Rate</v>
      </c>
      <c r="BC6" s="1280" t="str">
        <f>Prop2021DUOSTariffs!BC6</f>
        <v>Rate</v>
      </c>
      <c r="BD6" s="1280" t="str">
        <f>Prop2021DUOSTariffs!BD6</f>
        <v>Rate</v>
      </c>
      <c r="BE6" s="1280" t="str">
        <f>Prop2021DUOSTariffs!BE6</f>
        <v>Rate</v>
      </c>
      <c r="BF6" s="1280" t="str">
        <f>Prop2021DUOSTariffs!BF6</f>
        <v>Rate</v>
      </c>
      <c r="BG6" s="1280" t="str">
        <f>Prop2021DUOSTariffs!BG6</f>
        <v>Rate</v>
      </c>
      <c r="BH6" s="1280" t="str">
        <f>Prop2021DUOSTariffs!BH6</f>
        <v>Rate</v>
      </c>
      <c r="BI6" s="1280" t="str">
        <f>Prop2021DUOSTariffs!BI6</f>
        <v>Rate</v>
      </c>
      <c r="BJ6" s="1280" t="str">
        <f>Prop2021DUOSTariffs!BJ6</f>
        <v>Rate</v>
      </c>
      <c r="BK6" s="1280" t="str">
        <f>Prop2021DUOSTariffs!BK6</f>
        <v>Rate</v>
      </c>
      <c r="BL6" s="1280" t="str">
        <f>Prop2021DUOSTariffs!BL6</f>
        <v>Rate</v>
      </c>
      <c r="BM6" s="1280" t="str">
        <f>Prop2021DUOSTariffs!BM6</f>
        <v>Rate</v>
      </c>
      <c r="BN6" s="1280" t="str">
        <f>Prop2021DUOSTariffs!BN6</f>
        <v>Rate</v>
      </c>
      <c r="BO6" s="1280" t="str">
        <f>Prop2021DUOSTariffs!BO6</f>
        <v>Rate</v>
      </c>
      <c r="BP6" s="1280" t="str">
        <f>Prop2021DUOSTariffs!BP6</f>
        <v>Rate</v>
      </c>
      <c r="BQ6" s="1280" t="str">
        <f>Prop2021DUOSTariffs!BQ6</f>
        <v>Rate</v>
      </c>
      <c r="BR6" s="1280" t="str">
        <f>Prop2021DUOSTariffs!BR6</f>
        <v>Rate</v>
      </c>
      <c r="BS6" s="1161" t="str">
        <f>Prop2021DUOSTariffs!BS6</f>
        <v>Rate</v>
      </c>
      <c r="BT6" s="1280" t="str">
        <f>Prop2021DUOSTariffs!BX6</f>
        <v>Rate</v>
      </c>
      <c r="BU6" s="1161" t="str">
        <f>Prop2021DUOSTariffs!BU6</f>
        <v>Rate</v>
      </c>
      <c r="BV6" s="1161" t="str">
        <f>Prop2021DUOSTariffs!BV6</f>
        <v>Rate</v>
      </c>
      <c r="BW6" s="1161" t="str">
        <f>Prop2021DUOSTariffs!BW6</f>
        <v>Rate</v>
      </c>
      <c r="BX6" s="1280" t="str">
        <f>Prop2021DUOSTariffs!BX6</f>
        <v>Rate</v>
      </c>
      <c r="BY6" s="1280" t="str">
        <f>Prop2021DUOSTariffs!BY6</f>
        <v>Rate</v>
      </c>
      <c r="BZ6" s="1280" t="str">
        <f>Prop2021DUOSTariffs!BZ6</f>
        <v>Rate</v>
      </c>
      <c r="CA6" s="1280" t="str">
        <f>Prop2021DUOSTariffs!CA6</f>
        <v>Rate</v>
      </c>
      <c r="CB6" s="1280" t="str">
        <f>Prop2021DUOSTariffs!CB6</f>
        <v>Rate</v>
      </c>
      <c r="CC6" s="1280" t="str">
        <f>Prop2021DUOSTariffs!CC6</f>
        <v>Rate</v>
      </c>
      <c r="CD6" s="1280" t="str">
        <f>Prop2021DUOSTariffs!CD6</f>
        <v>Rate</v>
      </c>
      <c r="CE6" s="1280" t="str">
        <f>Prop2021DUOSTariffs!CE6</f>
        <v>Rate</v>
      </c>
      <c r="CF6" s="1151"/>
      <c r="CG6" s="1262"/>
      <c r="CH6" s="1162" t="str">
        <f>Prop2021DUOSTariffs!CG6</f>
        <v>Quantity</v>
      </c>
      <c r="CI6" s="1148" t="str">
        <f>Prop2021DUOSTariffs!CH6</f>
        <v>Quantity</v>
      </c>
      <c r="CJ6" s="1148" t="str">
        <f>Prop2021DUOSTariffs!CI6</f>
        <v>Quantity</v>
      </c>
      <c r="CK6" s="1148" t="str">
        <f>Prop2021DUOSTariffs!CJ6</f>
        <v>Quantity</v>
      </c>
      <c r="CL6" s="1148" t="str">
        <f>Prop2021DUOSTariffs!CK6</f>
        <v>Quantity</v>
      </c>
      <c r="CM6" s="1148" t="str">
        <f>Prop2021DUOSTariffs!CL6</f>
        <v>Quantity</v>
      </c>
      <c r="CN6" s="1281" t="str">
        <f>Prop2021DUOSTariffs!CM6</f>
        <v>Quantity</v>
      </c>
      <c r="CO6" s="1280" t="str">
        <f>Prop2021DUOSTariffs!CN6</f>
        <v>Quantity</v>
      </c>
      <c r="CP6" s="1280" t="str">
        <f>Prop2021DUOSTariffs!CO6</f>
        <v>Quantity</v>
      </c>
      <c r="CQ6" s="1280" t="str">
        <f>Prop2021DUOSTariffs!CP6</f>
        <v>Quantity</v>
      </c>
      <c r="CR6" s="1280" t="str">
        <f>Prop2021DUOSTariffs!CQ6</f>
        <v>Quantity</v>
      </c>
      <c r="CS6" s="1280" t="str">
        <f>Prop2021DUOSTariffs!CR6</f>
        <v>Quantity</v>
      </c>
      <c r="CT6" s="1280" t="str">
        <f>Prop2021DUOSTariffs!CS6</f>
        <v>Quantity</v>
      </c>
      <c r="CU6" s="1280" t="str">
        <f>Prop2021DUOSTariffs!CT6</f>
        <v>Quantity</v>
      </c>
      <c r="CV6" s="1280" t="str">
        <f>Prop2021DUOSTariffs!CU6</f>
        <v>Quantity</v>
      </c>
      <c r="CW6" s="1280" t="str">
        <f>Prop2021DUOSTariffs!CV6</f>
        <v>Quantity</v>
      </c>
      <c r="CX6" s="1280" t="str">
        <f>Prop2021DUOSTariffs!CW6</f>
        <v>Quantity</v>
      </c>
      <c r="CY6" s="1280" t="str">
        <f>Prop2021DUOSTariffs!CX6</f>
        <v>Quantity</v>
      </c>
      <c r="CZ6" s="1161" t="str">
        <f>Prop2021DUOSTariffs!CY6</f>
        <v>Quantity</v>
      </c>
      <c r="DA6" s="1161" t="str">
        <f>Prop2021DUOSTariffs!CZ6</f>
        <v>Quantity</v>
      </c>
      <c r="DB6" s="1161" t="str">
        <f>Prop2021DUOSTariffs!DA6</f>
        <v>Quantity</v>
      </c>
      <c r="DC6" s="1161" t="str">
        <f>Prop2021DUOSTariffs!DB6</f>
        <v>Quantity</v>
      </c>
      <c r="DD6" s="1161" t="str">
        <f>Prop2021DUOSTariffs!DC6</f>
        <v>Quantity</v>
      </c>
      <c r="DE6" s="1281" t="str">
        <f>Prop2021DUOSTariffs!DD6</f>
        <v>Quantity</v>
      </c>
      <c r="DF6" s="1161" t="str">
        <f>Prop2021DUOSTariffs!DE6</f>
        <v>Quantity</v>
      </c>
      <c r="DG6" s="1161" t="str">
        <f>Prop2021DUOSTariffs!DF6</f>
        <v>Quantity</v>
      </c>
      <c r="DH6" s="1161" t="str">
        <f>Prop2021DUOSTariffs!DG6</f>
        <v>Quantity</v>
      </c>
      <c r="DI6" s="1280" t="str">
        <f>Prop2021DUOSTariffs!DH6</f>
        <v>Quantity</v>
      </c>
      <c r="DJ6" s="1280" t="str">
        <f>Prop2021DUOSTariffs!DI6</f>
        <v>Quantity</v>
      </c>
      <c r="DK6" s="1161" t="str">
        <f>Prop2021DUOSTariffs!DJ6</f>
        <v>Quantity</v>
      </c>
      <c r="DL6" s="1161" t="str">
        <f>Prop2021DUOSTariffs!DK6</f>
        <v>Quantity</v>
      </c>
      <c r="DM6" s="1161" t="str">
        <f>Prop2021DUOSTariffs!DL6</f>
        <v>Quantity</v>
      </c>
      <c r="DN6" s="1161" t="str">
        <f>Prop2021DUOSTariffs!DM6</f>
        <v>Quantity</v>
      </c>
      <c r="DO6" s="1280" t="str">
        <f>Prop2021DUOSTariffs!DN6</f>
        <v>Quantity</v>
      </c>
      <c r="DP6" s="1280" t="str">
        <f>Prop2021DUOSTariffs!DO6</f>
        <v>Quantity</v>
      </c>
      <c r="DQ6" s="1262"/>
      <c r="DR6" s="1215">
        <f>Prop2021DUOSTariffs!FB6</f>
        <v>0</v>
      </c>
      <c r="DS6" s="1216">
        <f>Prop2021DUOSTariffs!FC6</f>
        <v>0</v>
      </c>
      <c r="DT6" s="1216">
        <f>Prop2021DUOSTariffs!FD6</f>
        <v>0</v>
      </c>
      <c r="DU6" s="1216">
        <f>Prop2021DUOSTariffs!FE6</f>
        <v>0</v>
      </c>
      <c r="DV6" s="1216">
        <f>Prop2021DUOSTariffs!FF6</f>
        <v>0</v>
      </c>
      <c r="DW6" s="1216">
        <f>Prop2021DUOSTariffs!FG6</f>
        <v>0</v>
      </c>
      <c r="DX6" s="1216">
        <f>Prop2021DUOSTariffs!FH6</f>
        <v>0</v>
      </c>
      <c r="DY6" s="1178">
        <f>Prop2021DUOSTariffs!FI6</f>
        <v>0</v>
      </c>
      <c r="DZ6" s="1178">
        <f>Prop2021DUOSTariffs!FJ6</f>
        <v>0</v>
      </c>
      <c r="EA6" s="1178">
        <f>Prop2021DUOSTariffs!FK6</f>
        <v>0</v>
      </c>
      <c r="EB6" s="1178">
        <f>Prop2021DUOSTariffs!FL6</f>
        <v>0</v>
      </c>
      <c r="EC6" s="1178">
        <f>Prop2021DUOSTariffs!FM6</f>
        <v>0</v>
      </c>
      <c r="ED6" s="1178">
        <f>Prop2021DUOSTariffs!FN6</f>
        <v>0</v>
      </c>
      <c r="EE6" s="1178">
        <f>Prop2021DUOSTariffs!FO6</f>
        <v>0</v>
      </c>
      <c r="EF6" s="1178">
        <f>Prop2021DUOSTariffs!FP6</f>
        <v>0</v>
      </c>
      <c r="EG6" s="1178">
        <f>Prop2021DUOSTariffs!FQ6</f>
        <v>0</v>
      </c>
      <c r="EH6" s="1178">
        <f>Prop2021DUOSTariffs!FR6</f>
        <v>0</v>
      </c>
      <c r="EI6" s="1178">
        <f>Prop2021DUOSTariffs!FS6</f>
        <v>0</v>
      </c>
      <c r="EJ6" s="1178">
        <f>Prop2021DUOSTariffs!FT6</f>
        <v>0</v>
      </c>
      <c r="EK6" s="1178">
        <f>Prop2021DUOSTariffs!FU6</f>
        <v>0</v>
      </c>
      <c r="EL6" s="1178">
        <f>Prop2021DUOSTariffs!FV6</f>
        <v>0</v>
      </c>
      <c r="EM6" s="1178">
        <f>Prop2021DUOSTariffs!FW6</f>
        <v>0</v>
      </c>
      <c r="EN6" s="1178">
        <f>Prop2021DUOSTariffs!FX6</f>
        <v>0</v>
      </c>
      <c r="EO6" s="1217">
        <f>Prop2021DUOSTariffs!FY6</f>
        <v>0</v>
      </c>
      <c r="EP6" s="1178">
        <f>Prop2021DUOSTariffs!FZ6</f>
        <v>0</v>
      </c>
      <c r="EQ6" s="1178">
        <f>Prop2021DUOSTariffs!GA6</f>
        <v>0</v>
      </c>
      <c r="ER6" s="1178">
        <f>Prop2021DUOSTariffs!GB6</f>
        <v>0</v>
      </c>
      <c r="ES6" s="1217">
        <f>Prop2021DUOSTariffs!GC6</f>
        <v>0</v>
      </c>
      <c r="ET6" s="1217">
        <f>Prop2021DUOSTariffs!GD6</f>
        <v>0</v>
      </c>
      <c r="EU6" s="1217">
        <f>Prop2021DUOSTariffs!GE6</f>
        <v>0</v>
      </c>
      <c r="EV6" s="1217">
        <f>Prop2021DUOSTariffs!GF6</f>
        <v>0</v>
      </c>
      <c r="EW6" s="1217">
        <f>Prop2021DUOSTariffs!GG6</f>
        <v>0</v>
      </c>
      <c r="EX6" s="1217">
        <f>Prop2021DUOSTariffs!GH6</f>
        <v>0</v>
      </c>
      <c r="EY6" s="1217">
        <f>Prop2021DUOSTariffs!GI6</f>
        <v>0</v>
      </c>
      <c r="EZ6" s="1217">
        <f>Prop2021DUOSTariffs!GJ6</f>
        <v>0</v>
      </c>
      <c r="FA6" s="1258"/>
      <c r="FC6" s="1215">
        <f>DR6</f>
        <v>0</v>
      </c>
      <c r="FD6" s="1216">
        <f t="shared" ref="FD6:GK7" si="1">DS6</f>
        <v>0</v>
      </c>
      <c r="FE6" s="1216">
        <f t="shared" si="1"/>
        <v>0</v>
      </c>
      <c r="FF6" s="1216">
        <f t="shared" si="1"/>
        <v>0</v>
      </c>
      <c r="FG6" s="1216">
        <f t="shared" si="1"/>
        <v>0</v>
      </c>
      <c r="FH6" s="1216">
        <f t="shared" si="1"/>
        <v>0</v>
      </c>
      <c r="FI6" s="1216">
        <f t="shared" si="1"/>
        <v>0</v>
      </c>
      <c r="FJ6" s="1178">
        <f t="shared" si="1"/>
        <v>0</v>
      </c>
      <c r="FK6" s="1178">
        <f t="shared" si="1"/>
        <v>0</v>
      </c>
      <c r="FL6" s="1178">
        <f t="shared" si="1"/>
        <v>0</v>
      </c>
      <c r="FM6" s="1178">
        <f t="shared" si="1"/>
        <v>0</v>
      </c>
      <c r="FN6" s="1178">
        <f t="shared" si="1"/>
        <v>0</v>
      </c>
      <c r="FO6" s="1178">
        <f t="shared" si="1"/>
        <v>0</v>
      </c>
      <c r="FP6" s="1178">
        <f t="shared" si="1"/>
        <v>0</v>
      </c>
      <c r="FQ6" s="1178">
        <f t="shared" si="1"/>
        <v>0</v>
      </c>
      <c r="FR6" s="1178">
        <f t="shared" si="1"/>
        <v>0</v>
      </c>
      <c r="FS6" s="1178">
        <f t="shared" si="1"/>
        <v>0</v>
      </c>
      <c r="FT6" s="1178">
        <f t="shared" si="1"/>
        <v>0</v>
      </c>
      <c r="FU6" s="1178">
        <f t="shared" si="1"/>
        <v>0</v>
      </c>
      <c r="FV6" s="1178">
        <f t="shared" si="1"/>
        <v>0</v>
      </c>
      <c r="FW6" s="1178">
        <f t="shared" si="1"/>
        <v>0</v>
      </c>
      <c r="FX6" s="1178">
        <f t="shared" si="1"/>
        <v>0</v>
      </c>
      <c r="FY6" s="1178">
        <f t="shared" si="1"/>
        <v>0</v>
      </c>
      <c r="FZ6" s="1217">
        <f t="shared" si="1"/>
        <v>0</v>
      </c>
      <c r="GA6" s="1178">
        <f t="shared" si="1"/>
        <v>0</v>
      </c>
      <c r="GB6" s="1178">
        <f t="shared" si="1"/>
        <v>0</v>
      </c>
      <c r="GC6" s="1178">
        <f t="shared" si="1"/>
        <v>0</v>
      </c>
      <c r="GD6" s="1217">
        <f t="shared" si="1"/>
        <v>0</v>
      </c>
      <c r="GE6" s="1217">
        <f t="shared" si="1"/>
        <v>0</v>
      </c>
      <c r="GF6" s="1217">
        <f t="shared" si="1"/>
        <v>0</v>
      </c>
      <c r="GG6" s="1217">
        <f t="shared" si="1"/>
        <v>0</v>
      </c>
      <c r="GH6" s="1217">
        <f t="shared" si="1"/>
        <v>0</v>
      </c>
      <c r="GI6" s="1217">
        <f t="shared" si="1"/>
        <v>0</v>
      </c>
      <c r="GJ6" s="1217">
        <f t="shared" si="1"/>
        <v>0</v>
      </c>
      <c r="GK6" s="1217">
        <f t="shared" si="1"/>
        <v>0</v>
      </c>
      <c r="GL6" s="1258"/>
    </row>
    <row r="7" spans="1:194" s="1210" customFormat="1" ht="13.95" customHeight="1">
      <c r="B7" s="1148"/>
      <c r="C7" s="1295"/>
      <c r="D7" s="1296"/>
      <c r="E7" s="1296"/>
      <c r="F7" s="1296"/>
      <c r="G7" s="1296"/>
      <c r="H7" s="1296"/>
      <c r="I7" s="1151"/>
      <c r="J7" s="1297"/>
      <c r="K7" s="1203"/>
      <c r="L7" s="1165" t="str">
        <f>Prop2021DUOSTariffs!L7</f>
        <v>$/customer/day</v>
      </c>
      <c r="M7" s="1165" t="str">
        <f>Prop2021DUOSTariffs!M7</f>
        <v>$/customer/day</v>
      </c>
      <c r="N7" s="1165" t="str">
        <f>Prop2021DUOSTariffs!N7</f>
        <v>$/customer/day</v>
      </c>
      <c r="O7" s="1165" t="str">
        <f>Prop2021DUOSTariffs!O7</f>
        <v>$/customer/day</v>
      </c>
      <c r="P7" s="1165" t="str">
        <f>Prop2021DUOSTariffs!P7</f>
        <v>$/customer/day</v>
      </c>
      <c r="Q7" s="1165" t="str">
        <f>Prop2021DUOSTariffs!Q7</f>
        <v>$/customer/day</v>
      </c>
      <c r="R7" s="1165" t="str">
        <f>Prop2021DUOSTariffs!R7</f>
        <v>$/customer/day</v>
      </c>
      <c r="S7" s="1165" t="str">
        <f>Prop2021DUOSTariffs!S7</f>
        <v>$/kVA/month</v>
      </c>
      <c r="T7" s="1165" t="str">
        <f>Prop2021DUOSTariffs!T7</f>
        <v>$/kVA/month</v>
      </c>
      <c r="U7" s="1165" t="str">
        <f>Prop2021DUOSTariffs!U7</f>
        <v xml:space="preserve">
$/kW/Mth</v>
      </c>
      <c r="V7" s="1165" t="str">
        <f>Prop2021DUOSTariffs!V7</f>
        <v xml:space="preserve">
$/kW/Mth</v>
      </c>
      <c r="W7" s="1165" t="str">
        <f>Prop2021DUOSTariffs!W7</f>
        <v>$/kVA/month</v>
      </c>
      <c r="X7" s="1165" t="str">
        <f>Prop2021DUOSTariffs!X7</f>
        <v>$/kVA/month</v>
      </c>
      <c r="Y7" s="1165" t="str">
        <f>Prop2021DUOSTariffs!Y7</f>
        <v>$/kVA/month</v>
      </c>
      <c r="Z7" s="1165" t="str">
        <f>Prop2021DUOSTariffs!Z7</f>
        <v>$/kVA/month</v>
      </c>
      <c r="AA7" s="1165" t="str">
        <f>Prop2021DUOSTariffs!AA7</f>
        <v xml:space="preserve">
$/kW/Mth</v>
      </c>
      <c r="AB7" s="1165" t="str">
        <f>Prop2021DUOSTariffs!AB7</f>
        <v xml:space="preserve">
$/kW/Mth</v>
      </c>
      <c r="AC7" s="1165" t="str">
        <f>Prop2021DUOSTariffs!AC7</f>
        <v xml:space="preserve">
$/kW/Mth</v>
      </c>
      <c r="AD7" s="1165" t="str">
        <f>Prop2021DUOSTariffs!AD7</f>
        <v xml:space="preserve">
$/kW/Mth</v>
      </c>
      <c r="AE7" s="1165" t="str">
        <f>Prop2021DUOSTariffs!AE7</f>
        <v xml:space="preserve">
$/kW/Mth</v>
      </c>
      <c r="AF7" s="1165" t="str">
        <f>Prop2021DUOSTariffs!AF7</f>
        <v xml:space="preserve">$/kW/Mth </v>
      </c>
      <c r="AG7" s="1165" t="str">
        <f>Prop2021DUOSTariffs!AG7</f>
        <v>$/kWh</v>
      </c>
      <c r="AH7" s="1159" t="str">
        <f>Prop2021DUOSTariffs!AH7</f>
        <v>$/kWh</v>
      </c>
      <c r="AI7" s="1165" t="str">
        <f>Prop2021DUOSTariffs!AM7</f>
        <v>$/kWh</v>
      </c>
      <c r="AJ7" s="1159" t="str">
        <f>Prop2021DUOSTariffs!AJ7</f>
        <v>$/kWh</v>
      </c>
      <c r="AK7" s="1159" t="str">
        <f>Prop2021DUOSTariffs!AK7</f>
        <v>$/kWh</v>
      </c>
      <c r="AL7" s="1159" t="str">
        <f>Prop2021DUOSTariffs!AL7</f>
        <v>$/kWh</v>
      </c>
      <c r="AM7" s="1165" t="str">
        <f>Prop2021DUOSTariffs!AM7</f>
        <v>$/kWh</v>
      </c>
      <c r="AN7" s="1165" t="str">
        <f>Prop2021DUOSTariffs!AN7</f>
        <v>$/kWh</v>
      </c>
      <c r="AO7" s="1165" t="str">
        <f>Prop2021DUOSTariffs!AO7</f>
        <v>$/kWh</v>
      </c>
      <c r="AP7" s="1165" t="str">
        <f>Prop2021DUOSTariffs!AP7</f>
        <v xml:space="preserve">
$/kW/Mth</v>
      </c>
      <c r="AQ7" s="1165" t="str">
        <f>Prop2021DUOSTariffs!AQ7</f>
        <v xml:space="preserve">
$/kW/Mth</v>
      </c>
      <c r="AR7" s="1165" t="str">
        <f>Prop2021DUOSTariffs!AR7</f>
        <v xml:space="preserve">
$/kW/Mth</v>
      </c>
      <c r="AS7" s="1165" t="str">
        <f>Prop2021DUOSTariffs!AS7</f>
        <v>$/kWh</v>
      </c>
      <c r="AT7" s="1165" t="str">
        <f>Prop2021DUOSTariffs!AT7</f>
        <v>$/kWh</v>
      </c>
      <c r="AU7" s="1213"/>
      <c r="AV7" s="1203"/>
      <c r="AW7" s="1165" t="str">
        <f>Prop2021DUOSTariffs!AW7</f>
        <v>$/customer/day</v>
      </c>
      <c r="AX7" s="1165" t="str">
        <f>Prop2021DUOSTariffs!AX7</f>
        <v>$/customer/day</v>
      </c>
      <c r="AY7" s="1165" t="str">
        <f>Prop2021DUOSTariffs!AY7</f>
        <v>$/customer/day</v>
      </c>
      <c r="AZ7" s="1165" t="str">
        <f>Prop2021DUOSTariffs!AZ7</f>
        <v>$/customer/day</v>
      </c>
      <c r="BA7" s="1165" t="str">
        <f>Prop2021DUOSTariffs!BA7</f>
        <v>$/customer/day</v>
      </c>
      <c r="BB7" s="1165" t="str">
        <f>Prop2021DUOSTariffs!BB7</f>
        <v>$/customer/day</v>
      </c>
      <c r="BC7" s="1165" t="str">
        <f>Prop2021DUOSTariffs!BC7</f>
        <v>$/customer/day</v>
      </c>
      <c r="BD7" s="1165" t="str">
        <f>Prop2021DUOSTariffs!BD7</f>
        <v>$/kVA/month</v>
      </c>
      <c r="BE7" s="1165" t="str">
        <f>Prop2021DUOSTariffs!BE7</f>
        <v>$/kVA/month</v>
      </c>
      <c r="BF7" s="1165" t="str">
        <f>Prop2021DUOSTariffs!BF7</f>
        <v xml:space="preserve">
$/kW/Mth</v>
      </c>
      <c r="BG7" s="1165" t="str">
        <f>Prop2021DUOSTariffs!BG7</f>
        <v xml:space="preserve">
$/kW/Mth</v>
      </c>
      <c r="BH7" s="1165" t="str">
        <f>Prop2021DUOSTariffs!BH7</f>
        <v>$/kVA/month</v>
      </c>
      <c r="BI7" s="1165" t="str">
        <f>Prop2021DUOSTariffs!BI7</f>
        <v>$/kVA/month</v>
      </c>
      <c r="BJ7" s="1165" t="str">
        <f>Prop2021DUOSTariffs!BJ7</f>
        <v>$/kVA/month</v>
      </c>
      <c r="BK7" s="1165" t="str">
        <f>Prop2021DUOSTariffs!BK7</f>
        <v>$/kVA/month</v>
      </c>
      <c r="BL7" s="1165" t="str">
        <f>Prop2021DUOSTariffs!BL7</f>
        <v xml:space="preserve">
$/kW/Mth</v>
      </c>
      <c r="BM7" s="1165" t="str">
        <f>Prop2021DUOSTariffs!BM7</f>
        <v xml:space="preserve">
$/kW/Mth</v>
      </c>
      <c r="BN7" s="1165" t="str">
        <f>Prop2021DUOSTariffs!BN7</f>
        <v xml:space="preserve">
$/kW/Mth</v>
      </c>
      <c r="BO7" s="1165" t="str">
        <f>Prop2021DUOSTariffs!BO7</f>
        <v xml:space="preserve">
$/kW/Mth</v>
      </c>
      <c r="BP7" s="1165" t="str">
        <f>Prop2021DUOSTariffs!BP7</f>
        <v xml:space="preserve">
$/kW/Mth</v>
      </c>
      <c r="BQ7" s="1165" t="str">
        <f>Prop2021DUOSTariffs!BQ7</f>
        <v xml:space="preserve">$/kW/Mth </v>
      </c>
      <c r="BR7" s="1165" t="str">
        <f>Prop2021DUOSTariffs!BR7</f>
        <v>$/kWh</v>
      </c>
      <c r="BS7" s="1159" t="str">
        <f>Prop2021DUOSTariffs!BS7</f>
        <v>$/kWh</v>
      </c>
      <c r="BT7" s="1165" t="str">
        <f>Prop2021DUOSTariffs!BX7</f>
        <v>$/kWh</v>
      </c>
      <c r="BU7" s="1159" t="str">
        <f>Prop2021DUOSTariffs!BU7</f>
        <v>$/kWh</v>
      </c>
      <c r="BV7" s="1159" t="str">
        <f>Prop2021DUOSTariffs!BV7</f>
        <v>$/kWh</v>
      </c>
      <c r="BW7" s="1159" t="str">
        <f>Prop2021DUOSTariffs!BW7</f>
        <v>$/kWh</v>
      </c>
      <c r="BX7" s="1165" t="str">
        <f>Prop2021DUOSTariffs!BX7</f>
        <v>$/kWh</v>
      </c>
      <c r="BY7" s="1165" t="str">
        <f>Prop2021DUOSTariffs!BY7</f>
        <v>$/kWh</v>
      </c>
      <c r="BZ7" s="1165" t="str">
        <f>Prop2021DUOSTariffs!BZ7</f>
        <v>$/kWh</v>
      </c>
      <c r="CA7" s="1165" t="str">
        <f>Prop2021DUOSTariffs!CA7</f>
        <v xml:space="preserve">
$/kW/Mth</v>
      </c>
      <c r="CB7" s="1165" t="str">
        <f>Prop2021DUOSTariffs!CB7</f>
        <v xml:space="preserve">
$/kW/Mth</v>
      </c>
      <c r="CC7" s="1165" t="str">
        <f>Prop2021DUOSTariffs!CC7</f>
        <v xml:space="preserve">
$/kW/Mth</v>
      </c>
      <c r="CD7" s="1165" t="str">
        <f>Prop2021DUOSTariffs!CD7</f>
        <v>$/kWh</v>
      </c>
      <c r="CE7" s="1165" t="str">
        <f>Prop2021DUOSTariffs!CE7</f>
        <v>$/kWh</v>
      </c>
      <c r="CF7" s="1213"/>
      <c r="CG7" s="1203"/>
      <c r="CH7" s="1167" t="str">
        <f>Prop2021DUOSTariffs!CG7</f>
        <v>Cust #</v>
      </c>
      <c r="CI7" s="1147" t="str">
        <f>Prop2021DUOSTariffs!CH7</f>
        <v>Cust #</v>
      </c>
      <c r="CJ7" s="1147" t="str">
        <f>Prop2021DUOSTariffs!CI7</f>
        <v>Cust #</v>
      </c>
      <c r="CK7" s="1147" t="str">
        <f>Prop2021DUOSTariffs!CJ7</f>
        <v>Cust #</v>
      </c>
      <c r="CL7" s="1147" t="str">
        <f>Prop2021DUOSTariffs!CK7</f>
        <v>Cust #</v>
      </c>
      <c r="CM7" s="1147" t="str">
        <f>Prop2021DUOSTariffs!CL7</f>
        <v>Cust #</v>
      </c>
      <c r="CN7" s="1214" t="str">
        <f>Prop2021DUOSTariffs!CM7</f>
        <v>No.</v>
      </c>
      <c r="CO7" s="1165" t="str">
        <f>Prop2021DUOSTariffs!CN7</f>
        <v>kVA</v>
      </c>
      <c r="CP7" s="1165" t="str">
        <f>Prop2021DUOSTariffs!CO7</f>
        <v>kWh/annum</v>
      </c>
      <c r="CQ7" s="1165" t="str">
        <f>Prop2021DUOSTariffs!CP7</f>
        <v>kW</v>
      </c>
      <c r="CR7" s="1165" t="str">
        <f>Prop2021DUOSTariffs!CQ7</f>
        <v>kW</v>
      </c>
      <c r="CS7" s="1165" t="str">
        <f>Prop2021DUOSTariffs!CR7</f>
        <v>kVA</v>
      </c>
      <c r="CT7" s="1165" t="str">
        <f>Prop2021DUOSTariffs!CS7</f>
        <v>kVA</v>
      </c>
      <c r="CU7" s="1165" t="str">
        <f>Prop2021DUOSTariffs!CT7</f>
        <v>kVA</v>
      </c>
      <c r="CV7" s="1165" t="str">
        <f>Prop2021DUOSTariffs!CU7</f>
        <v>kWh/annum</v>
      </c>
      <c r="CW7" s="1165" t="str">
        <f>Prop2021DUOSTariffs!CV7</f>
        <v>kW</v>
      </c>
      <c r="CX7" s="1165" t="str">
        <f>Prop2021DUOSTariffs!CW7</f>
        <v>kW</v>
      </c>
      <c r="CY7" s="1165" t="str">
        <f>Prop2021DUOSTariffs!CX7</f>
        <v>kW</v>
      </c>
      <c r="CZ7" s="1159" t="str">
        <f>Prop2021DUOSTariffs!CY7</f>
        <v>kW</v>
      </c>
      <c r="DA7" s="1159" t="str">
        <f>Prop2021DUOSTariffs!CZ7</f>
        <v>kW</v>
      </c>
      <c r="DB7" s="1159" t="str">
        <f>Prop2021DUOSTariffs!DA7</f>
        <v>kW</v>
      </c>
      <c r="DC7" s="1159" t="str">
        <f>Prop2021DUOSTariffs!DB7</f>
        <v>kWh/annum</v>
      </c>
      <c r="DD7" s="1159">
        <f>Prop2021DUOSTariffs!DC7</f>
        <v>0</v>
      </c>
      <c r="DE7" s="1214" t="str">
        <f>Prop2021DUOSTariffs!DD7</f>
        <v>kWh/annum</v>
      </c>
      <c r="DF7" s="1159" t="str">
        <f>Prop2021DUOSTariffs!DE7</f>
        <v>kWh/annum</v>
      </c>
      <c r="DG7" s="1159" t="str">
        <f>Prop2021DUOSTariffs!DF7</f>
        <v>kWh/annum</v>
      </c>
      <c r="DH7" s="1159" t="str">
        <f>Prop2021DUOSTariffs!DG7</f>
        <v>kWh/annum</v>
      </c>
      <c r="DI7" s="1165" t="str">
        <f>Prop2021DUOSTariffs!DH7</f>
        <v>kWh/annum</v>
      </c>
      <c r="DJ7" s="1165" t="str">
        <f>Prop2021DUOSTariffs!DI7</f>
        <v>kWh/annum</v>
      </c>
      <c r="DK7" s="1159" t="str">
        <f>Prop2021DUOSTariffs!DJ7</f>
        <v>kWh/annum</v>
      </c>
      <c r="DL7" s="1159" t="str">
        <f>Prop2021DUOSTariffs!DK7</f>
        <v>kW</v>
      </c>
      <c r="DM7" s="1159" t="str">
        <f>Prop2021DUOSTariffs!DL7</f>
        <v>kW</v>
      </c>
      <c r="DN7" s="1159" t="str">
        <f>Prop2021DUOSTariffs!DM7</f>
        <v>kW</v>
      </c>
      <c r="DO7" s="1165" t="str">
        <f>Prop2021DUOSTariffs!DN7</f>
        <v>kWh/annum</v>
      </c>
      <c r="DP7" s="1165" t="str">
        <f>Prop2021DUOSTariffs!DO7</f>
        <v>kWh/annum</v>
      </c>
      <c r="DQ7" s="1203"/>
      <c r="DR7" s="1298" t="str">
        <f>Prop2021DUOSTariffs!FB7</f>
        <v>$/customer/day</v>
      </c>
      <c r="DS7" s="1162" t="str">
        <f>Prop2021DUOSTariffs!FC7</f>
        <v>$/year</v>
      </c>
      <c r="DT7" s="1162" t="str">
        <f>Prop2021DUOSTariffs!FD7</f>
        <v>$/year</v>
      </c>
      <c r="DU7" s="1162" t="str">
        <f>Prop2021DUOSTariffs!FE7</f>
        <v>$/year</v>
      </c>
      <c r="DV7" s="1162" t="str">
        <f>Prop2021DUOSTariffs!FF7</f>
        <v>$/year</v>
      </c>
      <c r="DW7" s="1162" t="str">
        <f>Prop2021DUOSTariffs!FG7</f>
        <v>$/year</v>
      </c>
      <c r="DX7" s="1162" t="str">
        <f>Prop2021DUOSTariffs!FH7</f>
        <v>$/customer/day</v>
      </c>
      <c r="DY7" s="1148" t="str">
        <f>Prop2021DUOSTariffs!FI7</f>
        <v>$/kVA/month</v>
      </c>
      <c r="DZ7" s="1148" t="str">
        <f>Prop2021DUOSTariffs!FJ7</f>
        <v>$/kVA/month</v>
      </c>
      <c r="EA7" s="1148" t="str">
        <f>Prop2021DUOSTariffs!FK7</f>
        <v xml:space="preserve">
$/kW/Mth</v>
      </c>
      <c r="EB7" s="1148" t="str">
        <f>Prop2021DUOSTariffs!FL7</f>
        <v xml:space="preserve">
$/kW/Mth</v>
      </c>
      <c r="EC7" s="1148" t="str">
        <f>Prop2021DUOSTariffs!FM7</f>
        <v>$/kVA/month</v>
      </c>
      <c r="ED7" s="1148" t="str">
        <f>Prop2021DUOSTariffs!FN7</f>
        <v>$/kVA/month</v>
      </c>
      <c r="EE7" s="1148" t="str">
        <f>Prop2021DUOSTariffs!FO7</f>
        <v>$/kVA/month</v>
      </c>
      <c r="EF7" s="1148" t="str">
        <f>Prop2021DUOSTariffs!FP7</f>
        <v>$/kVA/month</v>
      </c>
      <c r="EG7" s="1148" t="str">
        <f>Prop2021DUOSTariffs!FQ7</f>
        <v xml:space="preserve">
$/kW/Mth</v>
      </c>
      <c r="EH7" s="1148" t="str">
        <f>Prop2021DUOSTariffs!FR7</f>
        <v xml:space="preserve">
$/kW/Mth</v>
      </c>
      <c r="EI7" s="1148" t="str">
        <f>Prop2021DUOSTariffs!FS7</f>
        <v xml:space="preserve">
$/kW/Mth</v>
      </c>
      <c r="EJ7" s="1148" t="str">
        <f>Prop2021DUOSTariffs!FT7</f>
        <v xml:space="preserve">
$/kW/Mth</v>
      </c>
      <c r="EK7" s="1148" t="str">
        <f>Prop2021DUOSTariffs!FU7</f>
        <v xml:space="preserve">
$/kW/Mth</v>
      </c>
      <c r="EL7" s="1148" t="str">
        <f>Prop2021DUOSTariffs!FV7</f>
        <v xml:space="preserve">$/kW/Mth </v>
      </c>
      <c r="EM7" s="1148" t="str">
        <f>Prop2021DUOSTariffs!FW7</f>
        <v>$/kWh</v>
      </c>
      <c r="EN7" s="1148" t="str">
        <f>Prop2021DUOSTariffs!FX7</f>
        <v>$/kWh</v>
      </c>
      <c r="EO7" s="1150" t="str">
        <f>Prop2021DUOSTariffs!FY7</f>
        <v>$/kWh</v>
      </c>
      <c r="EP7" s="1148" t="str">
        <f>Prop2021DUOSTariffs!FZ7</f>
        <v>$/kWh</v>
      </c>
      <c r="EQ7" s="1148" t="str">
        <f>Prop2021DUOSTariffs!GA7</f>
        <v>$/kWh</v>
      </c>
      <c r="ER7" s="1148" t="str">
        <f>Prop2021DUOSTariffs!GB7</f>
        <v>$/kWh</v>
      </c>
      <c r="ES7" s="1150" t="str">
        <f>Prop2021DUOSTariffs!GC7</f>
        <v>$/kWh</v>
      </c>
      <c r="ET7" s="1150" t="str">
        <f>Prop2021DUOSTariffs!GD7</f>
        <v>$/kWh</v>
      </c>
      <c r="EU7" s="1150" t="str">
        <f>Prop2021DUOSTariffs!GE7</f>
        <v>$/kWh</v>
      </c>
      <c r="EV7" s="1150" t="str">
        <f>Prop2021DUOSTariffs!GF7</f>
        <v xml:space="preserve">
$/kW/Mth</v>
      </c>
      <c r="EW7" s="1150" t="str">
        <f>Prop2021DUOSTariffs!GG7</f>
        <v xml:space="preserve">
$/kW/Mth</v>
      </c>
      <c r="EX7" s="1150" t="str">
        <f>Prop2021DUOSTariffs!GH7</f>
        <v xml:space="preserve">
$/kW/Mth</v>
      </c>
      <c r="EY7" s="1150" t="str">
        <f>Prop2021DUOSTariffs!GI7</f>
        <v>$/kWh</v>
      </c>
      <c r="EZ7" s="1150" t="str">
        <f>Prop2021DUOSTariffs!GJ7</f>
        <v>$/kWh</v>
      </c>
      <c r="FA7" s="1173"/>
      <c r="FC7" s="1298" t="str">
        <f>DR7</f>
        <v>$/customer/day</v>
      </c>
      <c r="FD7" s="1162" t="str">
        <f t="shared" si="1"/>
        <v>$/year</v>
      </c>
      <c r="FE7" s="1162" t="str">
        <f t="shared" si="1"/>
        <v>$/year</v>
      </c>
      <c r="FF7" s="1162" t="str">
        <f t="shared" si="1"/>
        <v>$/year</v>
      </c>
      <c r="FG7" s="1162" t="str">
        <f t="shared" si="1"/>
        <v>$/year</v>
      </c>
      <c r="FH7" s="1162" t="str">
        <f t="shared" si="1"/>
        <v>$/year</v>
      </c>
      <c r="FI7" s="1162" t="str">
        <f t="shared" si="1"/>
        <v>$/customer/day</v>
      </c>
      <c r="FJ7" s="1148" t="str">
        <f t="shared" si="1"/>
        <v>$/kVA/month</v>
      </c>
      <c r="FK7" s="1148" t="str">
        <f t="shared" si="1"/>
        <v>$/kVA/month</v>
      </c>
      <c r="FL7" s="1148" t="str">
        <f t="shared" si="1"/>
        <v xml:space="preserve">
$/kW/Mth</v>
      </c>
      <c r="FM7" s="1148" t="str">
        <f t="shared" si="1"/>
        <v xml:space="preserve">
$/kW/Mth</v>
      </c>
      <c r="FN7" s="1148" t="str">
        <f t="shared" si="1"/>
        <v>$/kVA/month</v>
      </c>
      <c r="FO7" s="1148" t="str">
        <f t="shared" si="1"/>
        <v>$/kVA/month</v>
      </c>
      <c r="FP7" s="1148" t="str">
        <f t="shared" si="1"/>
        <v>$/kVA/month</v>
      </c>
      <c r="FQ7" s="1148" t="str">
        <f t="shared" si="1"/>
        <v>$/kVA/month</v>
      </c>
      <c r="FR7" s="1148" t="str">
        <f t="shared" si="1"/>
        <v xml:space="preserve">
$/kW/Mth</v>
      </c>
      <c r="FS7" s="1148" t="str">
        <f t="shared" si="1"/>
        <v xml:space="preserve">
$/kW/Mth</v>
      </c>
      <c r="FT7" s="1148" t="str">
        <f t="shared" si="1"/>
        <v xml:space="preserve">
$/kW/Mth</v>
      </c>
      <c r="FU7" s="1148" t="str">
        <f t="shared" si="1"/>
        <v xml:space="preserve">
$/kW/Mth</v>
      </c>
      <c r="FV7" s="1148" t="str">
        <f t="shared" si="1"/>
        <v xml:space="preserve">
$/kW/Mth</v>
      </c>
      <c r="FW7" s="1148" t="str">
        <f t="shared" si="1"/>
        <v xml:space="preserve">$/kW/Mth </v>
      </c>
      <c r="FX7" s="1148" t="str">
        <f t="shared" si="1"/>
        <v>$/kWh</v>
      </c>
      <c r="FY7" s="1148" t="str">
        <f t="shared" si="1"/>
        <v>$/kWh</v>
      </c>
      <c r="FZ7" s="1150" t="str">
        <f t="shared" si="1"/>
        <v>$/kWh</v>
      </c>
      <c r="GA7" s="1148" t="str">
        <f t="shared" si="1"/>
        <v>$/kWh</v>
      </c>
      <c r="GB7" s="1148" t="str">
        <f t="shared" si="1"/>
        <v>$/kWh</v>
      </c>
      <c r="GC7" s="1148" t="str">
        <f t="shared" si="1"/>
        <v>$/kWh</v>
      </c>
      <c r="GD7" s="1150" t="str">
        <f t="shared" si="1"/>
        <v>$/kWh</v>
      </c>
      <c r="GE7" s="1150" t="str">
        <f t="shared" si="1"/>
        <v>$/kWh</v>
      </c>
      <c r="GF7" s="1150" t="str">
        <f t="shared" si="1"/>
        <v>$/kWh</v>
      </c>
      <c r="GG7" s="1150" t="str">
        <f t="shared" si="1"/>
        <v xml:space="preserve">
$/kW/Mth</v>
      </c>
      <c r="GH7" s="1150" t="str">
        <f t="shared" si="1"/>
        <v xml:space="preserve">
$/kW/Mth</v>
      </c>
      <c r="GI7" s="1150" t="str">
        <f t="shared" si="1"/>
        <v xml:space="preserve">
$/kW/Mth</v>
      </c>
      <c r="GJ7" s="1150" t="str">
        <f t="shared" si="1"/>
        <v>$/kWh</v>
      </c>
      <c r="GK7" s="1150" t="str">
        <f t="shared" si="1"/>
        <v>$/kWh</v>
      </c>
      <c r="GL7" s="1173"/>
    </row>
    <row r="8" spans="1:194">
      <c r="B8" s="1785"/>
      <c r="C8" s="1786" t="s">
        <v>1907</v>
      </c>
      <c r="D8" s="1786" t="s">
        <v>1907</v>
      </c>
      <c r="E8" s="1786" t="s">
        <v>743</v>
      </c>
      <c r="F8" s="1786" t="s">
        <v>743</v>
      </c>
      <c r="G8" s="1786" t="s">
        <v>789</v>
      </c>
      <c r="H8" s="1786" t="s">
        <v>1908</v>
      </c>
      <c r="I8" s="1786" t="s">
        <v>798</v>
      </c>
      <c r="J8" s="1786" t="s">
        <v>934</v>
      </c>
      <c r="K8" s="1279"/>
      <c r="L8" s="1233" t="s">
        <v>1907</v>
      </c>
      <c r="M8" s="1112"/>
      <c r="N8" s="1112"/>
      <c r="O8" s="1112"/>
      <c r="P8" s="1112"/>
      <c r="Q8" s="1112"/>
      <c r="R8" s="1007"/>
      <c r="S8" s="1007"/>
      <c r="T8" s="1007"/>
      <c r="U8" s="1007"/>
      <c r="V8" s="1007"/>
      <c r="W8" s="1007"/>
      <c r="X8" s="1007"/>
      <c r="Y8" s="1007"/>
      <c r="Z8" s="1007"/>
      <c r="AA8" s="1007"/>
      <c r="AB8" s="1007"/>
      <c r="AC8" s="1007"/>
      <c r="AD8" s="1007"/>
      <c r="AE8" s="1007"/>
      <c r="AF8" s="1224" t="s">
        <v>1907</v>
      </c>
      <c r="AG8" s="1224" t="s">
        <v>1907</v>
      </c>
      <c r="AH8" s="1224" t="s">
        <v>1907</v>
      </c>
      <c r="AI8" s="1005"/>
      <c r="AJ8" s="1005"/>
      <c r="AK8" s="1005"/>
      <c r="AL8" s="1005"/>
      <c r="AM8" s="1005"/>
      <c r="AN8" s="1005"/>
      <c r="AO8" s="1005"/>
      <c r="AP8" s="1005"/>
      <c r="AQ8" s="1005"/>
      <c r="AR8" s="1005"/>
      <c r="AS8" s="1005"/>
      <c r="AT8" s="1005"/>
      <c r="AU8" s="1294" t="s">
        <v>1907</v>
      </c>
      <c r="AV8" s="1279"/>
      <c r="AW8" s="1480" t="s">
        <v>1907</v>
      </c>
      <c r="AX8" s="1605"/>
      <c r="AY8" s="1605"/>
      <c r="AZ8" s="1605"/>
      <c r="BA8" s="1605"/>
      <c r="BB8" s="1605"/>
      <c r="BC8" s="1605"/>
      <c r="BD8" s="1605"/>
      <c r="BE8" s="1605"/>
      <c r="BF8" s="1605"/>
      <c r="BG8" s="1605"/>
      <c r="BH8" s="1605"/>
      <c r="BI8" s="1605"/>
      <c r="BJ8" s="1605"/>
      <c r="BK8" s="1605"/>
      <c r="BL8" s="1605"/>
      <c r="BM8" s="1605"/>
      <c r="BN8" s="1605"/>
      <c r="BO8" s="1605"/>
      <c r="BP8" s="1605"/>
      <c r="BQ8" s="1480" t="s">
        <v>1907</v>
      </c>
      <c r="BR8" s="1480" t="s">
        <v>1907</v>
      </c>
      <c r="BS8" s="1480" t="s">
        <v>1907</v>
      </c>
      <c r="BT8" s="1605"/>
      <c r="BU8" s="1605"/>
      <c r="BV8" s="1605"/>
      <c r="BW8" s="1605"/>
      <c r="BX8" s="1605"/>
      <c r="BY8" s="1605"/>
      <c r="BZ8" s="1605"/>
      <c r="CA8" s="1605"/>
      <c r="CB8" s="1605"/>
      <c r="CC8" s="1605"/>
      <c r="CD8" s="1605"/>
      <c r="CE8" s="1605"/>
      <c r="CF8" s="1480" t="s">
        <v>1907</v>
      </c>
      <c r="CG8" s="1219"/>
      <c r="CH8" s="1787" t="s">
        <v>1907</v>
      </c>
      <c r="CI8" s="1006"/>
      <c r="CJ8" s="1006"/>
      <c r="CK8" s="1006"/>
      <c r="CL8" s="1006"/>
      <c r="CM8" s="1006"/>
      <c r="CN8" s="1006"/>
      <c r="CO8" s="1787" t="s">
        <v>1907</v>
      </c>
      <c r="CP8" s="1006"/>
      <c r="CQ8" s="1006"/>
      <c r="CR8" s="1006"/>
      <c r="CS8" s="1787" t="s">
        <v>1907</v>
      </c>
      <c r="CT8" s="1006"/>
      <c r="CU8" s="1006"/>
      <c r="CV8" s="1006"/>
      <c r="CW8" s="1006"/>
      <c r="CX8" s="1006"/>
      <c r="CY8" s="1006"/>
      <c r="CZ8" s="1006"/>
      <c r="DA8" s="1006"/>
      <c r="DB8" s="1300" t="s">
        <v>1907</v>
      </c>
      <c r="DC8" s="1300" t="s">
        <v>1907</v>
      </c>
      <c r="DD8" s="1300" t="s">
        <v>1907</v>
      </c>
      <c r="DE8" s="1300" t="s">
        <v>1907</v>
      </c>
      <c r="DF8" s="1006"/>
      <c r="DG8" s="1006"/>
      <c r="DH8" s="1006"/>
      <c r="DI8" s="1006"/>
      <c r="DJ8" s="1006"/>
      <c r="DK8" s="1007"/>
      <c r="DL8" s="1007"/>
      <c r="DM8" s="1007"/>
      <c r="DN8" s="1007"/>
      <c r="DO8" s="1112"/>
      <c r="DP8" s="1112"/>
      <c r="DQ8" s="1279"/>
      <c r="DR8" s="1788">
        <v>13614010.934014134</v>
      </c>
      <c r="DS8" s="1788">
        <v>0</v>
      </c>
      <c r="DT8" s="1788">
        <v>0</v>
      </c>
      <c r="DU8" s="1788">
        <v>0</v>
      </c>
      <c r="DV8" s="1788">
        <v>0</v>
      </c>
      <c r="DW8" s="1788">
        <v>0</v>
      </c>
      <c r="DX8" s="1788">
        <v>0</v>
      </c>
      <c r="DY8" s="1788">
        <v>0</v>
      </c>
      <c r="DZ8" s="1788">
        <v>0</v>
      </c>
      <c r="EA8" s="1788">
        <v>0</v>
      </c>
      <c r="EB8" s="1788">
        <v>0</v>
      </c>
      <c r="EC8" s="1788">
        <v>0</v>
      </c>
      <c r="ED8" s="1788">
        <v>0</v>
      </c>
      <c r="EE8" s="1788">
        <v>0</v>
      </c>
      <c r="EF8" s="1788">
        <v>0</v>
      </c>
      <c r="EG8" s="1788">
        <v>0</v>
      </c>
      <c r="EH8" s="1788">
        <v>0</v>
      </c>
      <c r="EI8" s="1788">
        <v>0</v>
      </c>
      <c r="EJ8" s="1788">
        <v>0</v>
      </c>
      <c r="EK8" s="1788">
        <v>0</v>
      </c>
      <c r="EL8" s="1788">
        <v>14983001.509247759</v>
      </c>
      <c r="EM8" s="1788">
        <v>16933513.464565497</v>
      </c>
      <c r="EN8" s="1788">
        <v>15370790.626607202</v>
      </c>
      <c r="EO8" s="1788">
        <v>0</v>
      </c>
      <c r="EP8" s="1788">
        <v>0</v>
      </c>
      <c r="EQ8" s="1788">
        <v>0</v>
      </c>
      <c r="ER8" s="1788">
        <v>0</v>
      </c>
      <c r="ES8" s="1788">
        <v>0</v>
      </c>
      <c r="ET8" s="1788">
        <v>0</v>
      </c>
      <c r="EU8" s="1788">
        <v>0</v>
      </c>
      <c r="EV8" s="1788">
        <v>0</v>
      </c>
      <c r="EW8" s="1788">
        <v>0</v>
      </c>
      <c r="EX8" s="1788">
        <v>0</v>
      </c>
      <c r="EY8" s="1788">
        <v>0</v>
      </c>
      <c r="EZ8" s="1788">
        <v>0</v>
      </c>
      <c r="FA8" s="1789">
        <v>60901316.534434579</v>
      </c>
      <c r="FC8" s="1788">
        <v>14030188.7060769</v>
      </c>
      <c r="FD8" s="1788">
        <v>0</v>
      </c>
      <c r="FE8" s="1788">
        <v>0</v>
      </c>
      <c r="FF8" s="1788">
        <v>0</v>
      </c>
      <c r="FG8" s="1788">
        <v>0</v>
      </c>
      <c r="FH8" s="1788">
        <v>0</v>
      </c>
      <c r="FI8" s="1788">
        <v>0</v>
      </c>
      <c r="FJ8" s="1788">
        <v>0</v>
      </c>
      <c r="FK8" s="1788">
        <v>0</v>
      </c>
      <c r="FL8" s="1788">
        <v>0</v>
      </c>
      <c r="FM8" s="1788">
        <v>0</v>
      </c>
      <c r="FN8" s="1788">
        <v>0</v>
      </c>
      <c r="FO8" s="1788">
        <v>0</v>
      </c>
      <c r="FP8" s="1788">
        <v>0</v>
      </c>
      <c r="FQ8" s="1788">
        <v>0</v>
      </c>
      <c r="FR8" s="1788">
        <v>0</v>
      </c>
      <c r="FS8" s="1788">
        <v>0</v>
      </c>
      <c r="FT8" s="1788">
        <v>0</v>
      </c>
      <c r="FU8" s="1788">
        <v>0</v>
      </c>
      <c r="FV8" s="1788">
        <v>0</v>
      </c>
      <c r="FW8" s="1788">
        <v>14780394.671071587</v>
      </c>
      <c r="FX8" s="1788">
        <v>12877410.450933604</v>
      </c>
      <c r="FY8" s="1788">
        <v>14888567.794086393</v>
      </c>
      <c r="FZ8" s="1788">
        <v>0</v>
      </c>
      <c r="GA8" s="1788">
        <v>0</v>
      </c>
      <c r="GB8" s="1788">
        <v>0</v>
      </c>
      <c r="GC8" s="1788">
        <v>0</v>
      </c>
      <c r="GD8" s="1788">
        <v>0</v>
      </c>
      <c r="GE8" s="1788">
        <v>0</v>
      </c>
      <c r="GF8" s="1788">
        <v>0</v>
      </c>
      <c r="GG8" s="1788">
        <v>0</v>
      </c>
      <c r="GH8" s="1788">
        <v>0</v>
      </c>
      <c r="GI8" s="1788">
        <v>0</v>
      </c>
      <c r="GJ8" s="1788">
        <v>0</v>
      </c>
      <c r="GK8" s="1788">
        <v>0</v>
      </c>
      <c r="GL8" s="1789">
        <v>56576561.622168489</v>
      </c>
    </row>
    <row r="9" spans="1:194" ht="6" customHeight="1">
      <c r="A9" s="1205"/>
      <c r="B9" s="1266" t="s">
        <v>742</v>
      </c>
      <c r="C9" s="1266"/>
      <c r="D9" s="1184"/>
      <c r="E9" s="1184"/>
      <c r="F9" s="1184"/>
      <c r="G9" s="1184"/>
      <c r="H9" s="1184"/>
      <c r="I9" s="1184"/>
      <c r="J9" s="1205"/>
      <c r="K9" s="1234"/>
      <c r="L9" s="1266"/>
      <c r="M9" s="1184"/>
      <c r="N9" s="1184"/>
      <c r="O9" s="1184"/>
      <c r="P9" s="1184"/>
      <c r="Q9" s="1184"/>
      <c r="R9" s="1184"/>
      <c r="S9" s="1184"/>
      <c r="T9" s="1184"/>
      <c r="U9" s="1184"/>
      <c r="V9" s="1184"/>
      <c r="W9" s="1184"/>
      <c r="X9" s="1184"/>
      <c r="Y9" s="1184"/>
      <c r="Z9" s="1184"/>
      <c r="AA9" s="1184"/>
      <c r="AB9" s="1184"/>
      <c r="AC9" s="1184"/>
      <c r="AD9" s="1184"/>
      <c r="AE9" s="1184"/>
      <c r="AF9" s="1184"/>
      <c r="AG9" s="1184"/>
      <c r="AH9" s="1184"/>
      <c r="AI9" s="1184"/>
      <c r="AJ9" s="1184"/>
      <c r="AK9" s="1184"/>
      <c r="AL9" s="1184"/>
      <c r="AM9" s="1184"/>
      <c r="AN9" s="1184"/>
      <c r="AO9" s="1184"/>
      <c r="AP9" s="1184"/>
      <c r="AQ9" s="1184"/>
      <c r="AR9" s="1184"/>
      <c r="AS9" s="1184"/>
      <c r="AT9" s="1184"/>
      <c r="AU9" s="1205"/>
      <c r="AV9" s="1234"/>
      <c r="AW9" s="1205"/>
      <c r="AX9" s="1205"/>
      <c r="AY9" s="1205"/>
      <c r="AZ9" s="1205"/>
      <c r="BA9" s="1205"/>
      <c r="BB9" s="1205"/>
      <c r="BC9" s="1205"/>
      <c r="BD9" s="1205"/>
      <c r="BE9" s="1205"/>
      <c r="BF9" s="1205"/>
      <c r="BG9" s="1205"/>
      <c r="BH9" s="1205"/>
      <c r="BI9" s="1205"/>
      <c r="BJ9" s="1205"/>
      <c r="BK9" s="1205"/>
      <c r="BL9" s="1205"/>
      <c r="BM9" s="1205"/>
      <c r="BN9" s="1205"/>
      <c r="BO9" s="1205"/>
      <c r="BP9" s="1205"/>
      <c r="BQ9" s="1205"/>
      <c r="BR9" s="1205"/>
      <c r="BS9" s="1205"/>
      <c r="BT9" s="1205"/>
      <c r="BU9" s="1205"/>
      <c r="BV9" s="1205"/>
      <c r="BW9" s="1205"/>
      <c r="BX9" s="1205"/>
      <c r="BY9" s="1205"/>
      <c r="BZ9" s="1205"/>
      <c r="CA9" s="1205"/>
      <c r="CB9" s="1205"/>
      <c r="CC9" s="1205"/>
      <c r="CD9" s="1205"/>
      <c r="CE9" s="1205"/>
      <c r="CF9" s="1205"/>
      <c r="CG9" s="1208"/>
      <c r="CH9" s="1205"/>
      <c r="CI9" s="1205"/>
      <c r="CJ9" s="1205"/>
      <c r="CK9" s="1205"/>
      <c r="CL9" s="1205"/>
      <c r="CM9" s="1205"/>
      <c r="CN9" s="1205"/>
      <c r="CO9" s="1205"/>
      <c r="CP9" s="1205"/>
      <c r="CQ9" s="1205"/>
      <c r="CR9" s="1205"/>
      <c r="CS9" s="1205"/>
      <c r="CT9" s="1205"/>
      <c r="CU9" s="1205"/>
      <c r="CV9" s="1205"/>
      <c r="CW9" s="1205"/>
      <c r="CX9" s="1205"/>
      <c r="CY9" s="1205"/>
      <c r="CZ9" s="1205"/>
      <c r="DA9" s="1205"/>
      <c r="DB9" s="1205"/>
      <c r="DC9" s="1205"/>
      <c r="DD9" s="1205"/>
      <c r="DE9" s="1205"/>
      <c r="DF9" s="1205"/>
      <c r="DG9" s="1205"/>
      <c r="DH9" s="1205"/>
      <c r="DI9" s="1205"/>
      <c r="DJ9" s="1205"/>
      <c r="DK9" s="1184"/>
      <c r="DL9" s="1184"/>
      <c r="DM9" s="1184"/>
      <c r="DN9" s="1184"/>
      <c r="DO9" s="1266"/>
      <c r="DP9" s="1266"/>
      <c r="DQ9" s="1234"/>
      <c r="DR9" s="1283"/>
      <c r="DS9" s="1283"/>
      <c r="DT9" s="1283"/>
      <c r="DU9" s="1283"/>
      <c r="DV9" s="1283"/>
      <c r="DW9" s="1283"/>
      <c r="DX9" s="1283"/>
      <c r="DY9" s="1283"/>
      <c r="DZ9" s="1283"/>
      <c r="EA9" s="1283"/>
      <c r="EB9" s="1283"/>
      <c r="EC9" s="1283"/>
      <c r="ED9" s="1283"/>
      <c r="EE9" s="1283"/>
      <c r="EF9" s="1283"/>
      <c r="EG9" s="1283"/>
      <c r="EH9" s="1283"/>
      <c r="EI9" s="1283"/>
      <c r="EJ9" s="1283"/>
      <c r="EK9" s="1283"/>
      <c r="EL9" s="1283"/>
      <c r="EM9" s="1283"/>
      <c r="EN9" s="1283"/>
      <c r="EO9" s="1283"/>
      <c r="EP9" s="1283"/>
      <c r="EQ9" s="1283"/>
      <c r="ER9" s="1283"/>
      <c r="ES9" s="1283"/>
      <c r="ET9" s="1283"/>
      <c r="EU9" s="1283"/>
      <c r="EV9" s="1283"/>
      <c r="EW9" s="1283"/>
      <c r="EX9" s="1283"/>
      <c r="EY9" s="1283"/>
      <c r="EZ9" s="1283"/>
      <c r="FA9" s="1283"/>
      <c r="FC9" s="1283"/>
      <c r="FD9" s="1283"/>
      <c r="FE9" s="1283"/>
      <c r="FF9" s="1283"/>
      <c r="FG9" s="1283"/>
      <c r="FH9" s="1283"/>
      <c r="FI9" s="1283"/>
      <c r="FJ9" s="1283"/>
      <c r="FK9" s="1283"/>
      <c r="FL9" s="1283"/>
      <c r="FM9" s="1283"/>
      <c r="FN9" s="1283"/>
      <c r="FO9" s="1283"/>
      <c r="FP9" s="1283"/>
      <c r="FQ9" s="1283"/>
      <c r="FR9" s="1283"/>
      <c r="FS9" s="1283"/>
      <c r="FT9" s="1283"/>
      <c r="FU9" s="1283"/>
      <c r="FV9" s="1283"/>
      <c r="FW9" s="1283"/>
      <c r="FX9" s="1283"/>
      <c r="FY9" s="1283"/>
      <c r="FZ9" s="1283"/>
      <c r="GA9" s="1283"/>
      <c r="GB9" s="1283"/>
      <c r="GC9" s="1283"/>
      <c r="GD9" s="1283"/>
      <c r="GE9" s="1283"/>
      <c r="GF9" s="1283"/>
      <c r="GG9" s="1283"/>
      <c r="GH9" s="1283"/>
      <c r="GI9" s="1283"/>
      <c r="GJ9" s="1283"/>
      <c r="GK9" s="1283"/>
      <c r="GL9" s="1283"/>
    </row>
    <row r="10" spans="1:194">
      <c r="B10" s="1290">
        <f>Prop2021DUOSTariffs!B10</f>
        <v>0</v>
      </c>
      <c r="C10" s="1289" t="str">
        <f>Prop2021DUOSTariffs!C10</f>
        <v>East CAC66kV Anytime</v>
      </c>
      <c r="D10" s="1113" t="str">
        <f>Prop2021DUOSTariffs!D10</f>
        <v>East CAC66kV Anytime</v>
      </c>
      <c r="E10" s="1113" t="str">
        <f>Prop2021DUOSTariffs!E10</f>
        <v>CAC</v>
      </c>
      <c r="F10" s="1113" t="str">
        <f>Prop2021DUOSTariffs!F10</f>
        <v>CAC</v>
      </c>
      <c r="G10" s="1113" t="str">
        <f>Prop2021DUOSTariffs!G10</f>
        <v>East</v>
      </c>
      <c r="H10" s="1113" t="str">
        <f>IF(Prop2021DUOSTariffs!H10="","",Prop2021DUOSTariffs!H10)</f>
        <v>EC66</v>
      </c>
      <c r="I10" s="1114" t="s">
        <v>798</v>
      </c>
      <c r="J10" s="1114" t="s">
        <v>934</v>
      </c>
      <c r="K10" s="1261"/>
      <c r="L10" s="1233">
        <v>109.52604000000001</v>
      </c>
      <c r="M10" s="1007"/>
      <c r="N10" s="1007"/>
      <c r="O10" s="1007"/>
      <c r="P10" s="1007"/>
      <c r="Q10" s="1007"/>
      <c r="R10" s="1007"/>
      <c r="S10" s="1233">
        <v>0.71820000000000006</v>
      </c>
      <c r="T10" s="1007"/>
      <c r="U10" s="1007"/>
      <c r="V10" s="1007"/>
      <c r="W10" s="1007"/>
      <c r="X10" s="1007"/>
      <c r="Y10" s="1007"/>
      <c r="Z10" s="1007"/>
      <c r="AA10" s="1007"/>
      <c r="AB10" s="1007"/>
      <c r="AC10" s="1007"/>
      <c r="AD10" s="1007"/>
      <c r="AE10" s="1007"/>
      <c r="AF10" s="1007"/>
      <c r="AG10" s="1007"/>
      <c r="AH10" s="1007"/>
      <c r="AI10" s="1224">
        <v>1.0079303034553634E-2</v>
      </c>
      <c r="AJ10" s="1005"/>
      <c r="AK10" s="1005"/>
      <c r="AL10" s="1005"/>
      <c r="AM10" s="1005"/>
      <c r="AN10" s="1005"/>
      <c r="AO10" s="1005"/>
      <c r="AP10" s="1005"/>
      <c r="AQ10" s="1005"/>
      <c r="AR10" s="1005"/>
      <c r="AS10" s="1005"/>
      <c r="AT10" s="1005"/>
      <c r="AU10" s="1006"/>
      <c r="AV10" s="1261"/>
      <c r="AW10" s="1480">
        <v>101.41277000000001</v>
      </c>
      <c r="AX10" s="1006"/>
      <c r="AY10" s="1006"/>
      <c r="AZ10" s="1006"/>
      <c r="BA10" s="1006"/>
      <c r="BB10" s="1006"/>
      <c r="BC10" s="1006"/>
      <c r="BD10" s="1480">
        <v>0.66538000000000008</v>
      </c>
      <c r="BE10" s="1006"/>
      <c r="BF10" s="1006"/>
      <c r="BG10" s="1006"/>
      <c r="BH10" s="1006"/>
      <c r="BI10" s="1006"/>
      <c r="BJ10" s="1006"/>
      <c r="BK10" s="1006"/>
      <c r="BL10" s="1006"/>
      <c r="BM10" s="1006"/>
      <c r="BN10" s="1006"/>
      <c r="BO10" s="1006"/>
      <c r="BP10" s="1006"/>
      <c r="BQ10" s="1006"/>
      <c r="BR10" s="1006"/>
      <c r="BS10" s="1006"/>
      <c r="BT10" s="1480">
        <v>9.082624070257235E-3</v>
      </c>
      <c r="BU10" s="1006"/>
      <c r="BV10" s="1006"/>
      <c r="BW10" s="1006"/>
      <c r="BX10" s="1006"/>
      <c r="BY10" s="1006"/>
      <c r="BZ10" s="1006"/>
      <c r="CA10" s="1006"/>
      <c r="CB10" s="1006"/>
      <c r="CC10" s="1006"/>
      <c r="CD10" s="1006"/>
      <c r="CE10" s="1006"/>
      <c r="CF10" s="1006"/>
      <c r="CG10" s="1218"/>
      <c r="CH10" s="1236">
        <v>19</v>
      </c>
      <c r="CI10" s="1007"/>
      <c r="CJ10" s="1007"/>
      <c r="CK10" s="1007"/>
      <c r="CL10" s="1007"/>
      <c r="CM10" s="1007"/>
      <c r="CN10" s="1007"/>
      <c r="CO10" s="1236">
        <v>65910</v>
      </c>
      <c r="CP10" s="1007"/>
      <c r="CQ10" s="1007"/>
      <c r="CR10" s="1007"/>
      <c r="CS10" s="1007"/>
      <c r="CT10" s="1007"/>
      <c r="CU10" s="1007"/>
      <c r="CV10" s="1007"/>
      <c r="CW10" s="1007"/>
      <c r="CX10" s="1007"/>
      <c r="CY10" s="1007"/>
      <c r="CZ10" s="1007"/>
      <c r="DA10" s="1007"/>
      <c r="DB10" s="1007"/>
      <c r="DC10" s="1007"/>
      <c r="DD10" s="1007"/>
      <c r="DE10" s="1236">
        <v>175498226</v>
      </c>
      <c r="DF10" s="1007"/>
      <c r="DG10" s="1007"/>
      <c r="DH10" s="1007"/>
      <c r="DI10" s="1006"/>
      <c r="DJ10" s="1006"/>
      <c r="DK10" s="1007"/>
      <c r="DL10" s="1007"/>
      <c r="DM10" s="1007"/>
      <c r="DN10" s="1007"/>
      <c r="DO10" s="1112"/>
      <c r="DP10" s="1112"/>
      <c r="DQ10" s="1261"/>
      <c r="DR10" s="1154">
        <f t="shared" ref="DR10:DR51" si="2">L10*CH10*DR$229</f>
        <v>759563.08739999996</v>
      </c>
      <c r="DS10" s="1154">
        <f t="shared" ref="DS10:DS51" si="3">M10*CI10*DS$229</f>
        <v>0</v>
      </c>
      <c r="DT10" s="1154">
        <f t="shared" ref="DT10:DT51" si="4">N10*CJ10*DT$229</f>
        <v>0</v>
      </c>
      <c r="DU10" s="1154">
        <f t="shared" ref="DU10:DU51" si="5">O10*CK10*DU$229</f>
        <v>0</v>
      </c>
      <c r="DV10" s="1154">
        <f t="shared" ref="DV10:DV51" si="6">P10*CL10*DV$229</f>
        <v>0</v>
      </c>
      <c r="DW10" s="1154">
        <f t="shared" ref="DW10:DW51" si="7">Q10*CM10*DW$229</f>
        <v>0</v>
      </c>
      <c r="DX10" s="1154">
        <f t="shared" ref="DX10:DX51" si="8">R10*CN10*DX$229</f>
        <v>0</v>
      </c>
      <c r="DY10" s="1154">
        <f t="shared" ref="DY10:DY51" si="9">S10*CO10*DY$229</f>
        <v>568038.74400000006</v>
      </c>
      <c r="DZ10" s="1154">
        <f t="shared" ref="DZ10:DZ51" si="10">T10*CP10*DZ$229</f>
        <v>0</v>
      </c>
      <c r="EA10" s="1154">
        <f t="shared" ref="EA10:EA51" si="11">U10*CQ10*EA$229</f>
        <v>0</v>
      </c>
      <c r="EB10" s="1154">
        <f t="shared" ref="EB10:EB51" si="12">V10*CR10*EB$229</f>
        <v>0</v>
      </c>
      <c r="EC10" s="1154">
        <f t="shared" ref="EC10:EC51" si="13">W10*CS10*EC$229</f>
        <v>0</v>
      </c>
      <c r="ED10" s="1154">
        <f t="shared" ref="ED10:ED51" si="14">X10*CT10*ED$229</f>
        <v>0</v>
      </c>
      <c r="EE10" s="1154">
        <f t="shared" ref="EE10:EE51" si="15">Y10*CU10*EE$229</f>
        <v>0</v>
      </c>
      <c r="EF10" s="1154">
        <f t="shared" ref="EF10:EF51" si="16">Z10*CV10*EF$229</f>
        <v>0</v>
      </c>
      <c r="EG10" s="1154">
        <f t="shared" ref="EG10:EG51" si="17">AA10*CW10*EG$229</f>
        <v>0</v>
      </c>
      <c r="EH10" s="1154">
        <f t="shared" ref="EH10:EH51" si="18">AB10*CX10*EH$229</f>
        <v>0</v>
      </c>
      <c r="EI10" s="1154">
        <f t="shared" ref="EI10:EI51" si="19">AC10*CY10*EI$229</f>
        <v>0</v>
      </c>
      <c r="EJ10" s="1154">
        <f t="shared" ref="EJ10:EJ51" si="20">AD10*CZ10*EJ$229</f>
        <v>0</v>
      </c>
      <c r="EK10" s="1154">
        <f t="shared" ref="EK10:EK51" si="21">AE10*DA10*EK$229</f>
        <v>0</v>
      </c>
      <c r="EL10" s="1154">
        <f t="shared" ref="EL10:EL51" si="22">AF10*DB10*EL$229</f>
        <v>0</v>
      </c>
      <c r="EM10" s="1154">
        <f t="shared" ref="EM10:EM51" si="23">AG10*DC10*EM$229</f>
        <v>0</v>
      </c>
      <c r="EN10" s="1154">
        <f t="shared" ref="EN10:EN51" si="24">AH10*DD10*EN$229</f>
        <v>0</v>
      </c>
      <c r="EO10" s="1154">
        <f t="shared" ref="EO10:EO51" si="25">AI10*DE10*EO$229</f>
        <v>1768899.8018805794</v>
      </c>
      <c r="EP10" s="1154">
        <f t="shared" ref="EP10:EP51" si="26">AJ10*DF10*EP$229</f>
        <v>0</v>
      </c>
      <c r="EQ10" s="1154">
        <f t="shared" ref="EQ10:EQ51" si="27">AK10*DG10*EQ$229</f>
        <v>0</v>
      </c>
      <c r="ER10" s="1154">
        <f t="shared" ref="ER10:ER51" si="28">AL10*DH10*ER$229</f>
        <v>0</v>
      </c>
      <c r="ES10" s="1154">
        <f t="shared" ref="ES10:ES51" si="29">AM10*DI10*ES$229</f>
        <v>0</v>
      </c>
      <c r="ET10" s="1154">
        <f t="shared" ref="ET10:ET51" si="30">AN10*DJ10*ET$229</f>
        <v>0</v>
      </c>
      <c r="EU10" s="1154">
        <f t="shared" ref="EU10:EU51" si="31">AO10*DK10*EU$229</f>
        <v>0</v>
      </c>
      <c r="EV10" s="1154">
        <f t="shared" ref="EV10:EV51" si="32">AP10*DL10*EV$229</f>
        <v>0</v>
      </c>
      <c r="EW10" s="1154">
        <f t="shared" ref="EW10:EW51" si="33">AQ10*DM10*EW$229</f>
        <v>0</v>
      </c>
      <c r="EX10" s="1154">
        <f t="shared" ref="EX10:EX51" si="34">AR10*DN10*EX$229</f>
        <v>0</v>
      </c>
      <c r="EY10" s="1154">
        <f t="shared" ref="EY10:EY51" si="35">AS10*DO10*EY$229</f>
        <v>0</v>
      </c>
      <c r="EZ10" s="1154">
        <f t="shared" ref="EZ10:EZ51" si="36">AT10*DP10*EZ$229</f>
        <v>0</v>
      </c>
      <c r="FA10" s="1174">
        <f t="shared" ref="FA10:FA41" si="37">SUM(DR10:EZ10)</f>
        <v>3096501.6332805795</v>
      </c>
      <c r="FC10" s="1154">
        <f t="shared" ref="FC10:FC51" si="38">AW10*CH10*FC$229</f>
        <v>703297.55995000002</v>
      </c>
      <c r="FD10" s="1154">
        <f t="shared" ref="FD10:FD51" si="39">AX10*CI10*FD$229</f>
        <v>0</v>
      </c>
      <c r="FE10" s="1154">
        <f t="shared" ref="FE10:FE51" si="40">AY10*CJ10*FE$229</f>
        <v>0</v>
      </c>
      <c r="FF10" s="1154">
        <f t="shared" ref="FF10:FF51" si="41">AZ10*CK10*FF$229</f>
        <v>0</v>
      </c>
      <c r="FG10" s="1154">
        <f t="shared" ref="FG10:FG51" si="42">BA10*CL10*FG$229</f>
        <v>0</v>
      </c>
      <c r="FH10" s="1154">
        <f t="shared" ref="FH10:FH51" si="43">BB10*CM10*FH$229</f>
        <v>0</v>
      </c>
      <c r="FI10" s="1154">
        <f t="shared" ref="FI10:FI51" si="44">BC10*CN10*FI$229</f>
        <v>0</v>
      </c>
      <c r="FJ10" s="1154">
        <f t="shared" ref="FJ10:FJ51" si="45">BD10*CO10*FJ$229</f>
        <v>526262.34960000007</v>
      </c>
      <c r="FK10" s="1154">
        <f t="shared" ref="FK10:FK51" si="46">BE10*CP10*FK$229</f>
        <v>0</v>
      </c>
      <c r="FL10" s="1154">
        <f t="shared" ref="FL10:FL51" si="47">BF10*CQ10*FL$229</f>
        <v>0</v>
      </c>
      <c r="FM10" s="1154">
        <f t="shared" ref="FM10:FM51" si="48">BG10*CR10*FM$229</f>
        <v>0</v>
      </c>
      <c r="FN10" s="1154">
        <f t="shared" ref="FN10:FN51" si="49">BH10*CS10*FN$229</f>
        <v>0</v>
      </c>
      <c r="FO10" s="1154">
        <f t="shared" ref="FO10:FO51" si="50">BI10*CT10*FO$229</f>
        <v>0</v>
      </c>
      <c r="FP10" s="1154">
        <f t="shared" ref="FP10:FP51" si="51">BJ10*CU10*FP$229</f>
        <v>0</v>
      </c>
      <c r="FQ10" s="1154">
        <f t="shared" ref="FQ10:FQ51" si="52">BK10*CV10*FQ$229</f>
        <v>0</v>
      </c>
      <c r="FR10" s="1154">
        <f t="shared" ref="FR10:FR51" si="53">BL10*CW10*FR$229</f>
        <v>0</v>
      </c>
      <c r="FS10" s="1154">
        <f t="shared" ref="FS10:FS51" si="54">BM10*CX10*FS$229</f>
        <v>0</v>
      </c>
      <c r="FT10" s="1154">
        <f t="shared" ref="FT10:FT51" si="55">BN10*CY10*FT$229</f>
        <v>0</v>
      </c>
      <c r="FU10" s="1154">
        <f t="shared" ref="FU10:FU51" si="56">BO10*CZ10*FU$229</f>
        <v>0</v>
      </c>
      <c r="FV10" s="1154">
        <f t="shared" ref="FV10:FV51" si="57">BP10*DA10*FV$229</f>
        <v>0</v>
      </c>
      <c r="FW10" s="1154">
        <f t="shared" ref="FW10:FW51" si="58">BQ10*DB10*FW$229</f>
        <v>0</v>
      </c>
      <c r="FX10" s="1154">
        <f t="shared" ref="FX10:FX51" si="59">BR10*DC10*FX$229</f>
        <v>0</v>
      </c>
      <c r="FY10" s="1154">
        <f t="shared" ref="FY10:FY51" si="60">BS10*DD10*FY$229</f>
        <v>0</v>
      </c>
      <c r="FZ10" s="1154">
        <f t="shared" ref="FZ10:FZ51" si="61">BT10*DE10*FZ$229</f>
        <v>1593984.411755044</v>
      </c>
      <c r="GA10" s="1154">
        <f t="shared" ref="GA10:GA51" si="62">BU10*DF10*GA$229</f>
        <v>0</v>
      </c>
      <c r="GB10" s="1154">
        <f t="shared" ref="GB10:GB51" si="63">BV10*DG10*GB$229</f>
        <v>0</v>
      </c>
      <c r="GC10" s="1154">
        <f t="shared" ref="GC10:GC51" si="64">BW10*DH10*GC$229</f>
        <v>0</v>
      </c>
      <c r="GD10" s="1154">
        <f t="shared" ref="GD10:GD51" si="65">BX10*DI10*GD$229</f>
        <v>0</v>
      </c>
      <c r="GE10" s="1154">
        <f t="shared" ref="GE10:GE51" si="66">BY10*DJ10*GE$229</f>
        <v>0</v>
      </c>
      <c r="GF10" s="1154">
        <f t="shared" ref="GF10:GF51" si="67">BZ10*DK10*GF$229</f>
        <v>0</v>
      </c>
      <c r="GG10" s="1154">
        <f t="shared" ref="GG10:GG51" si="68">CA10*DL10*GG$229</f>
        <v>0</v>
      </c>
      <c r="GH10" s="1154">
        <f t="shared" ref="GH10:GH51" si="69">CB10*DM10*GH$229</f>
        <v>0</v>
      </c>
      <c r="GI10" s="1154">
        <f t="shared" ref="GI10:GI51" si="70">CC10*DN10*GI$229</f>
        <v>0</v>
      </c>
      <c r="GJ10" s="1154">
        <f t="shared" ref="GJ10:GJ51" si="71">CD10*DO10*GJ$229</f>
        <v>0</v>
      </c>
      <c r="GK10" s="1154">
        <f t="shared" ref="GK10:GK51" si="72">CE10*DP10*GK$229</f>
        <v>0</v>
      </c>
      <c r="GL10" s="1174">
        <f t="shared" ref="GL10:GL51" si="73">SUM(FC10:GK10)</f>
        <v>2823544.321305044</v>
      </c>
    </row>
    <row r="11" spans="1:194">
      <c r="B11" s="1290">
        <f>B10</f>
        <v>0</v>
      </c>
      <c r="C11" s="1289" t="str">
        <f>C10</f>
        <v>East CAC66kV Anytime</v>
      </c>
      <c r="D11" s="1113" t="str">
        <f t="shared" ref="D11:H12" si="74">D10</f>
        <v>East CAC66kV Anytime</v>
      </c>
      <c r="E11" s="1113" t="str">
        <f t="shared" si="74"/>
        <v>CAC</v>
      </c>
      <c r="F11" s="1113" t="str">
        <f t="shared" si="74"/>
        <v>CAC</v>
      </c>
      <c r="G11" s="1113" t="str">
        <f t="shared" si="74"/>
        <v>East</v>
      </c>
      <c r="H11" s="1113" t="str">
        <f t="shared" si="74"/>
        <v>EC66</v>
      </c>
      <c r="I11" s="1114" t="s">
        <v>752</v>
      </c>
      <c r="J11" s="1114" t="s">
        <v>934</v>
      </c>
      <c r="K11" s="1270"/>
      <c r="L11" s="1233">
        <v>75.421999999999997</v>
      </c>
      <c r="M11" s="1007"/>
      <c r="N11" s="1007"/>
      <c r="O11" s="1007"/>
      <c r="P11" s="1007"/>
      <c r="Q11" s="1007"/>
      <c r="R11" s="1007"/>
      <c r="S11" s="1233">
        <v>1.474</v>
      </c>
      <c r="T11" s="1007"/>
      <c r="U11" s="1007"/>
      <c r="V11" s="1007"/>
      <c r="W11" s="1007"/>
      <c r="X11" s="1007"/>
      <c r="Y11" s="1007"/>
      <c r="Z11" s="1007"/>
      <c r="AA11" s="1007"/>
      <c r="AB11" s="1007"/>
      <c r="AC11" s="1007"/>
      <c r="AD11" s="1007"/>
      <c r="AE11" s="1007"/>
      <c r="AF11" s="1007"/>
      <c r="AG11" s="1007"/>
      <c r="AH11" s="1007"/>
      <c r="AI11" s="1224">
        <v>1.1937631525536712E-2</v>
      </c>
      <c r="AJ11" s="1005"/>
      <c r="AK11" s="1005"/>
      <c r="AL11" s="1005"/>
      <c r="AM11" s="1005"/>
      <c r="AN11" s="1005"/>
      <c r="AO11" s="1005"/>
      <c r="AP11" s="1005"/>
      <c r="AQ11" s="1005"/>
      <c r="AR11" s="1005"/>
      <c r="AS11" s="1005"/>
      <c r="AT11" s="1005"/>
      <c r="AU11" s="1006"/>
      <c r="AV11" s="1270"/>
      <c r="AW11" s="1480">
        <v>75.421750000000003</v>
      </c>
      <c r="AX11" s="1006"/>
      <c r="AY11" s="1006"/>
      <c r="AZ11" s="1006"/>
      <c r="BA11" s="1006"/>
      <c r="BB11" s="1006"/>
      <c r="BC11" s="1006"/>
      <c r="BD11" s="1480">
        <v>1.4739300000000002</v>
      </c>
      <c r="BE11" s="1006"/>
      <c r="BF11" s="1006"/>
      <c r="BG11" s="1006"/>
      <c r="BH11" s="1006"/>
      <c r="BI11" s="1006"/>
      <c r="BJ11" s="1006"/>
      <c r="BK11" s="1006"/>
      <c r="BL11" s="1006"/>
      <c r="BM11" s="1006"/>
      <c r="BN11" s="1006"/>
      <c r="BO11" s="1006"/>
      <c r="BP11" s="1006"/>
      <c r="BQ11" s="1006"/>
      <c r="BR11" s="1006"/>
      <c r="BS11" s="1006"/>
      <c r="BT11" s="1480">
        <v>1.198474395634948E-2</v>
      </c>
      <c r="BU11" s="1006"/>
      <c r="BV11" s="1006"/>
      <c r="BW11" s="1006"/>
      <c r="BX11" s="1006"/>
      <c r="BY11" s="1006"/>
      <c r="BZ11" s="1006"/>
      <c r="CA11" s="1006"/>
      <c r="CB11" s="1006"/>
      <c r="CC11" s="1006"/>
      <c r="CD11" s="1006"/>
      <c r="CE11" s="1006"/>
      <c r="CF11" s="1006"/>
      <c r="CG11" s="1208"/>
      <c r="CH11" s="1236">
        <v>9</v>
      </c>
      <c r="CI11" s="1007"/>
      <c r="CJ11" s="1007"/>
      <c r="CK11" s="1007"/>
      <c r="CL11" s="1007"/>
      <c r="CM11" s="1007"/>
      <c r="CN11" s="1007"/>
      <c r="CO11" s="1236">
        <v>27330</v>
      </c>
      <c r="CP11" s="1007"/>
      <c r="CQ11" s="1007"/>
      <c r="CR11" s="1007"/>
      <c r="CS11" s="1007"/>
      <c r="CT11" s="1007"/>
      <c r="CU11" s="1007"/>
      <c r="CV11" s="1007"/>
      <c r="CW11" s="1007"/>
      <c r="CX11" s="1007"/>
      <c r="CY11" s="1007"/>
      <c r="CZ11" s="1007"/>
      <c r="DA11" s="1007"/>
      <c r="DB11" s="1007"/>
      <c r="DC11" s="1007"/>
      <c r="DD11" s="1007"/>
      <c r="DE11" s="1236">
        <v>67295400</v>
      </c>
      <c r="DF11" s="1007"/>
      <c r="DG11" s="1007"/>
      <c r="DH11" s="1007"/>
      <c r="DI11" s="1006"/>
      <c r="DJ11" s="1006"/>
      <c r="DK11" s="1007"/>
      <c r="DL11" s="1007"/>
      <c r="DM11" s="1007"/>
      <c r="DN11" s="1007"/>
      <c r="DO11" s="1112"/>
      <c r="DP11" s="1112"/>
      <c r="DQ11" s="1270"/>
      <c r="DR11" s="1154">
        <f t="shared" si="2"/>
        <v>247761.27</v>
      </c>
      <c r="DS11" s="1154">
        <f t="shared" si="3"/>
        <v>0</v>
      </c>
      <c r="DT11" s="1154">
        <f t="shared" si="4"/>
        <v>0</v>
      </c>
      <c r="DU11" s="1154">
        <f t="shared" si="5"/>
        <v>0</v>
      </c>
      <c r="DV11" s="1154">
        <f t="shared" si="6"/>
        <v>0</v>
      </c>
      <c r="DW11" s="1154">
        <f t="shared" si="7"/>
        <v>0</v>
      </c>
      <c r="DX11" s="1154">
        <f t="shared" si="8"/>
        <v>0</v>
      </c>
      <c r="DY11" s="1154">
        <f t="shared" si="9"/>
        <v>483413.04</v>
      </c>
      <c r="DZ11" s="1154">
        <f t="shared" si="10"/>
        <v>0</v>
      </c>
      <c r="EA11" s="1154">
        <f t="shared" si="11"/>
        <v>0</v>
      </c>
      <c r="EB11" s="1154">
        <f t="shared" si="12"/>
        <v>0</v>
      </c>
      <c r="EC11" s="1154">
        <f t="shared" si="13"/>
        <v>0</v>
      </c>
      <c r="ED11" s="1154">
        <f t="shared" si="14"/>
        <v>0</v>
      </c>
      <c r="EE11" s="1154">
        <f t="shared" si="15"/>
        <v>0</v>
      </c>
      <c r="EF11" s="1154">
        <f t="shared" si="16"/>
        <v>0</v>
      </c>
      <c r="EG11" s="1154">
        <f t="shared" si="17"/>
        <v>0</v>
      </c>
      <c r="EH11" s="1154">
        <f t="shared" si="18"/>
        <v>0</v>
      </c>
      <c r="EI11" s="1154">
        <f t="shared" si="19"/>
        <v>0</v>
      </c>
      <c r="EJ11" s="1154">
        <f t="shared" si="20"/>
        <v>0</v>
      </c>
      <c r="EK11" s="1154">
        <f t="shared" si="21"/>
        <v>0</v>
      </c>
      <c r="EL11" s="1154">
        <f t="shared" si="22"/>
        <v>0</v>
      </c>
      <c r="EM11" s="1154">
        <f t="shared" si="23"/>
        <v>0</v>
      </c>
      <c r="EN11" s="1154">
        <f t="shared" si="24"/>
        <v>0</v>
      </c>
      <c r="EO11" s="1154">
        <f t="shared" si="25"/>
        <v>803347.68856360321</v>
      </c>
      <c r="EP11" s="1154">
        <f t="shared" si="26"/>
        <v>0</v>
      </c>
      <c r="EQ11" s="1154">
        <f t="shared" si="27"/>
        <v>0</v>
      </c>
      <c r="ER11" s="1154">
        <f t="shared" si="28"/>
        <v>0</v>
      </c>
      <c r="ES11" s="1154">
        <f t="shared" si="29"/>
        <v>0</v>
      </c>
      <c r="ET11" s="1154">
        <f t="shared" si="30"/>
        <v>0</v>
      </c>
      <c r="EU11" s="1154">
        <f t="shared" si="31"/>
        <v>0</v>
      </c>
      <c r="EV11" s="1154">
        <f t="shared" si="32"/>
        <v>0</v>
      </c>
      <c r="EW11" s="1154">
        <f t="shared" si="33"/>
        <v>0</v>
      </c>
      <c r="EX11" s="1154">
        <f t="shared" si="34"/>
        <v>0</v>
      </c>
      <c r="EY11" s="1154">
        <f t="shared" si="35"/>
        <v>0</v>
      </c>
      <c r="EZ11" s="1154">
        <f t="shared" si="36"/>
        <v>0</v>
      </c>
      <c r="FA11" s="1174">
        <f t="shared" si="37"/>
        <v>1534521.998563603</v>
      </c>
      <c r="FC11" s="1154">
        <f t="shared" si="38"/>
        <v>247760.44875000001</v>
      </c>
      <c r="FD11" s="1154">
        <f t="shared" si="39"/>
        <v>0</v>
      </c>
      <c r="FE11" s="1154">
        <f t="shared" si="40"/>
        <v>0</v>
      </c>
      <c r="FF11" s="1154">
        <f t="shared" si="41"/>
        <v>0</v>
      </c>
      <c r="FG11" s="1154">
        <f t="shared" si="42"/>
        <v>0</v>
      </c>
      <c r="FH11" s="1154">
        <f t="shared" si="43"/>
        <v>0</v>
      </c>
      <c r="FI11" s="1154">
        <f t="shared" si="44"/>
        <v>0</v>
      </c>
      <c r="FJ11" s="1154">
        <f t="shared" si="45"/>
        <v>483390.08280000009</v>
      </c>
      <c r="FK11" s="1154">
        <f t="shared" si="46"/>
        <v>0</v>
      </c>
      <c r="FL11" s="1154">
        <f t="shared" si="47"/>
        <v>0</v>
      </c>
      <c r="FM11" s="1154">
        <f t="shared" si="48"/>
        <v>0</v>
      </c>
      <c r="FN11" s="1154">
        <f t="shared" si="49"/>
        <v>0</v>
      </c>
      <c r="FO11" s="1154">
        <f t="shared" si="50"/>
        <v>0</v>
      </c>
      <c r="FP11" s="1154">
        <f t="shared" si="51"/>
        <v>0</v>
      </c>
      <c r="FQ11" s="1154">
        <f t="shared" si="52"/>
        <v>0</v>
      </c>
      <c r="FR11" s="1154">
        <f t="shared" si="53"/>
        <v>0</v>
      </c>
      <c r="FS11" s="1154">
        <f t="shared" si="54"/>
        <v>0</v>
      </c>
      <c r="FT11" s="1154">
        <f t="shared" si="55"/>
        <v>0</v>
      </c>
      <c r="FU11" s="1154">
        <f t="shared" si="56"/>
        <v>0</v>
      </c>
      <c r="FV11" s="1154">
        <f t="shared" si="57"/>
        <v>0</v>
      </c>
      <c r="FW11" s="1154">
        <f t="shared" si="58"/>
        <v>0</v>
      </c>
      <c r="FX11" s="1154">
        <f t="shared" si="59"/>
        <v>0</v>
      </c>
      <c r="FY11" s="1154">
        <f t="shared" si="60"/>
        <v>0</v>
      </c>
      <c r="FZ11" s="1154">
        <f t="shared" si="61"/>
        <v>806518.13844012073</v>
      </c>
      <c r="GA11" s="1154">
        <f t="shared" si="62"/>
        <v>0</v>
      </c>
      <c r="GB11" s="1154">
        <f t="shared" si="63"/>
        <v>0</v>
      </c>
      <c r="GC11" s="1154">
        <f t="shared" si="64"/>
        <v>0</v>
      </c>
      <c r="GD11" s="1154">
        <f t="shared" si="65"/>
        <v>0</v>
      </c>
      <c r="GE11" s="1154">
        <f t="shared" si="66"/>
        <v>0</v>
      </c>
      <c r="GF11" s="1154">
        <f t="shared" si="67"/>
        <v>0</v>
      </c>
      <c r="GG11" s="1154">
        <f t="shared" si="68"/>
        <v>0</v>
      </c>
      <c r="GH11" s="1154">
        <f t="shared" si="69"/>
        <v>0</v>
      </c>
      <c r="GI11" s="1154">
        <f t="shared" si="70"/>
        <v>0</v>
      </c>
      <c r="GJ11" s="1154">
        <f t="shared" si="71"/>
        <v>0</v>
      </c>
      <c r="GK11" s="1154">
        <f t="shared" si="72"/>
        <v>0</v>
      </c>
      <c r="GL11" s="1174">
        <f t="shared" si="73"/>
        <v>1537668.6699901209</v>
      </c>
    </row>
    <row r="12" spans="1:194">
      <c r="B12" s="1290">
        <f>B11</f>
        <v>0</v>
      </c>
      <c r="C12" s="1289" t="str">
        <f>C11</f>
        <v>East CAC66kV Anytime</v>
      </c>
      <c r="D12" s="1113" t="str">
        <f t="shared" si="74"/>
        <v>East CAC66kV Anytime</v>
      </c>
      <c r="E12" s="1113" t="str">
        <f t="shared" si="74"/>
        <v>CAC</v>
      </c>
      <c r="F12" s="1113" t="str">
        <f t="shared" si="74"/>
        <v>CAC</v>
      </c>
      <c r="G12" s="1113" t="str">
        <f t="shared" si="74"/>
        <v>East</v>
      </c>
      <c r="H12" s="1113" t="str">
        <f t="shared" si="74"/>
        <v>EC66</v>
      </c>
      <c r="I12" s="1114" t="s">
        <v>759</v>
      </c>
      <c r="J12" s="1114" t="s">
        <v>934</v>
      </c>
      <c r="K12" s="1270"/>
      <c r="L12" s="1233">
        <v>70.440599999999989</v>
      </c>
      <c r="M12" s="1007"/>
      <c r="N12" s="1007"/>
      <c r="O12" s="1007"/>
      <c r="P12" s="1007"/>
      <c r="Q12" s="1007"/>
      <c r="R12" s="1007"/>
      <c r="S12" s="1233">
        <v>2.7227000000000001</v>
      </c>
      <c r="T12" s="1007"/>
      <c r="U12" s="1007"/>
      <c r="V12" s="1007"/>
      <c r="W12" s="1007"/>
      <c r="X12" s="1007"/>
      <c r="Y12" s="1007"/>
      <c r="Z12" s="1007"/>
      <c r="AA12" s="1007"/>
      <c r="AB12" s="1007"/>
      <c r="AC12" s="1007"/>
      <c r="AD12" s="1007"/>
      <c r="AE12" s="1007"/>
      <c r="AF12" s="1007"/>
      <c r="AG12" s="1007"/>
      <c r="AH12" s="1007"/>
      <c r="AI12" s="1224">
        <v>1.3562911090201862E-2</v>
      </c>
      <c r="AJ12" s="1005"/>
      <c r="AK12" s="1005"/>
      <c r="AL12" s="1005"/>
      <c r="AM12" s="1005"/>
      <c r="AN12" s="1005"/>
      <c r="AO12" s="1005"/>
      <c r="AP12" s="1005"/>
      <c r="AQ12" s="1005"/>
      <c r="AR12" s="1005"/>
      <c r="AS12" s="1005"/>
      <c r="AT12" s="1005"/>
      <c r="AU12" s="1006"/>
      <c r="AV12" s="1270"/>
      <c r="AW12" s="1480">
        <v>74.147639999999996</v>
      </c>
      <c r="AX12" s="1006"/>
      <c r="AY12" s="1006"/>
      <c r="AZ12" s="1006"/>
      <c r="BA12" s="1006"/>
      <c r="BB12" s="1006"/>
      <c r="BC12" s="1006"/>
      <c r="BD12" s="1480">
        <v>2.8664900000000002</v>
      </c>
      <c r="BE12" s="1006"/>
      <c r="BF12" s="1006"/>
      <c r="BG12" s="1006"/>
      <c r="BH12" s="1006"/>
      <c r="BI12" s="1006"/>
      <c r="BJ12" s="1006"/>
      <c r="BK12" s="1006"/>
      <c r="BL12" s="1006"/>
      <c r="BM12" s="1006"/>
      <c r="BN12" s="1006"/>
      <c r="BO12" s="1006"/>
      <c r="BP12" s="1006"/>
      <c r="BQ12" s="1006"/>
      <c r="BR12" s="1006"/>
      <c r="BS12" s="1006"/>
      <c r="BT12" s="1480">
        <v>1.4900282040055694E-2</v>
      </c>
      <c r="BU12" s="1006"/>
      <c r="BV12" s="1006"/>
      <c r="BW12" s="1006"/>
      <c r="BX12" s="1006"/>
      <c r="BY12" s="1006"/>
      <c r="BZ12" s="1006"/>
      <c r="CA12" s="1006"/>
      <c r="CB12" s="1006"/>
      <c r="CC12" s="1006"/>
      <c r="CD12" s="1006"/>
      <c r="CE12" s="1006"/>
      <c r="CF12" s="1006"/>
      <c r="CG12" s="1208"/>
      <c r="CH12" s="1236">
        <v>2</v>
      </c>
      <c r="CI12" s="1007"/>
      <c r="CJ12" s="1007"/>
      <c r="CK12" s="1007"/>
      <c r="CL12" s="1007"/>
      <c r="CM12" s="1007"/>
      <c r="CN12" s="1007"/>
      <c r="CO12" s="1236">
        <v>6310</v>
      </c>
      <c r="CP12" s="1007"/>
      <c r="CQ12" s="1007"/>
      <c r="CR12" s="1007"/>
      <c r="CS12" s="1007"/>
      <c r="CT12" s="1007"/>
      <c r="CU12" s="1007"/>
      <c r="CV12" s="1007"/>
      <c r="CW12" s="1007"/>
      <c r="CX12" s="1007"/>
      <c r="CY12" s="1007"/>
      <c r="CZ12" s="1007"/>
      <c r="DA12" s="1007"/>
      <c r="DB12" s="1007"/>
      <c r="DC12" s="1007"/>
      <c r="DD12" s="1007"/>
      <c r="DE12" s="1236">
        <v>14045628</v>
      </c>
      <c r="DF12" s="1007"/>
      <c r="DG12" s="1007"/>
      <c r="DH12" s="1007"/>
      <c r="DI12" s="1006"/>
      <c r="DJ12" s="1006"/>
      <c r="DK12" s="1007"/>
      <c r="DL12" s="1007"/>
      <c r="DM12" s="1007"/>
      <c r="DN12" s="1007"/>
      <c r="DO12" s="1112"/>
      <c r="DP12" s="1112"/>
      <c r="DQ12" s="1270"/>
      <c r="DR12" s="1154">
        <f t="shared" si="2"/>
        <v>51421.637999999992</v>
      </c>
      <c r="DS12" s="1154">
        <f t="shared" si="3"/>
        <v>0</v>
      </c>
      <c r="DT12" s="1154">
        <f t="shared" si="4"/>
        <v>0</v>
      </c>
      <c r="DU12" s="1154">
        <f t="shared" si="5"/>
        <v>0</v>
      </c>
      <c r="DV12" s="1154">
        <f t="shared" si="6"/>
        <v>0</v>
      </c>
      <c r="DW12" s="1154">
        <f t="shared" si="7"/>
        <v>0</v>
      </c>
      <c r="DX12" s="1154">
        <f t="shared" si="8"/>
        <v>0</v>
      </c>
      <c r="DY12" s="1154">
        <f t="shared" si="9"/>
        <v>206162.84400000001</v>
      </c>
      <c r="DZ12" s="1154">
        <f t="shared" si="10"/>
        <v>0</v>
      </c>
      <c r="EA12" s="1154">
        <f t="shared" si="11"/>
        <v>0</v>
      </c>
      <c r="EB12" s="1154">
        <f t="shared" si="12"/>
        <v>0</v>
      </c>
      <c r="EC12" s="1154">
        <f t="shared" si="13"/>
        <v>0</v>
      </c>
      <c r="ED12" s="1154">
        <f t="shared" si="14"/>
        <v>0</v>
      </c>
      <c r="EE12" s="1154">
        <f t="shared" si="15"/>
        <v>0</v>
      </c>
      <c r="EF12" s="1154">
        <f t="shared" si="16"/>
        <v>0</v>
      </c>
      <c r="EG12" s="1154">
        <f t="shared" si="17"/>
        <v>0</v>
      </c>
      <c r="EH12" s="1154">
        <f t="shared" si="18"/>
        <v>0</v>
      </c>
      <c r="EI12" s="1154">
        <f t="shared" si="19"/>
        <v>0</v>
      </c>
      <c r="EJ12" s="1154">
        <f t="shared" si="20"/>
        <v>0</v>
      </c>
      <c r="EK12" s="1154">
        <f t="shared" si="21"/>
        <v>0</v>
      </c>
      <c r="EL12" s="1154">
        <f t="shared" si="22"/>
        <v>0</v>
      </c>
      <c r="EM12" s="1154">
        <f t="shared" si="23"/>
        <v>0</v>
      </c>
      <c r="EN12" s="1154">
        <f t="shared" si="24"/>
        <v>0</v>
      </c>
      <c r="EO12" s="1154">
        <f t="shared" si="25"/>
        <v>190499.60377004981</v>
      </c>
      <c r="EP12" s="1154">
        <f t="shared" si="26"/>
        <v>0</v>
      </c>
      <c r="EQ12" s="1154">
        <f t="shared" si="27"/>
        <v>0</v>
      </c>
      <c r="ER12" s="1154">
        <f t="shared" si="28"/>
        <v>0</v>
      </c>
      <c r="ES12" s="1154">
        <f t="shared" si="29"/>
        <v>0</v>
      </c>
      <c r="ET12" s="1154">
        <f t="shared" si="30"/>
        <v>0</v>
      </c>
      <c r="EU12" s="1154">
        <f t="shared" si="31"/>
        <v>0</v>
      </c>
      <c r="EV12" s="1154">
        <f t="shared" si="32"/>
        <v>0</v>
      </c>
      <c r="EW12" s="1154">
        <f t="shared" si="33"/>
        <v>0</v>
      </c>
      <c r="EX12" s="1154">
        <f t="shared" si="34"/>
        <v>0</v>
      </c>
      <c r="EY12" s="1154">
        <f t="shared" si="35"/>
        <v>0</v>
      </c>
      <c r="EZ12" s="1154">
        <f t="shared" si="36"/>
        <v>0</v>
      </c>
      <c r="FA12" s="1174">
        <f t="shared" si="37"/>
        <v>448084.08577004983</v>
      </c>
      <c r="FC12" s="1154">
        <f t="shared" si="38"/>
        <v>54127.777199999997</v>
      </c>
      <c r="FD12" s="1154">
        <f t="shared" si="39"/>
        <v>0</v>
      </c>
      <c r="FE12" s="1154">
        <f t="shared" si="40"/>
        <v>0</v>
      </c>
      <c r="FF12" s="1154">
        <f t="shared" si="41"/>
        <v>0</v>
      </c>
      <c r="FG12" s="1154">
        <f t="shared" si="42"/>
        <v>0</v>
      </c>
      <c r="FH12" s="1154">
        <f t="shared" si="43"/>
        <v>0</v>
      </c>
      <c r="FI12" s="1154">
        <f t="shared" si="44"/>
        <v>0</v>
      </c>
      <c r="FJ12" s="1154">
        <f t="shared" si="45"/>
        <v>217050.62280000001</v>
      </c>
      <c r="FK12" s="1154">
        <f t="shared" si="46"/>
        <v>0</v>
      </c>
      <c r="FL12" s="1154">
        <f t="shared" si="47"/>
        <v>0</v>
      </c>
      <c r="FM12" s="1154">
        <f t="shared" si="48"/>
        <v>0</v>
      </c>
      <c r="FN12" s="1154">
        <f t="shared" si="49"/>
        <v>0</v>
      </c>
      <c r="FO12" s="1154">
        <f t="shared" si="50"/>
        <v>0</v>
      </c>
      <c r="FP12" s="1154">
        <f t="shared" si="51"/>
        <v>0</v>
      </c>
      <c r="FQ12" s="1154">
        <f t="shared" si="52"/>
        <v>0</v>
      </c>
      <c r="FR12" s="1154">
        <f t="shared" si="53"/>
        <v>0</v>
      </c>
      <c r="FS12" s="1154">
        <f t="shared" si="54"/>
        <v>0</v>
      </c>
      <c r="FT12" s="1154">
        <f t="shared" si="55"/>
        <v>0</v>
      </c>
      <c r="FU12" s="1154">
        <f t="shared" si="56"/>
        <v>0</v>
      </c>
      <c r="FV12" s="1154">
        <f t="shared" si="57"/>
        <v>0</v>
      </c>
      <c r="FW12" s="1154">
        <f t="shared" si="58"/>
        <v>0</v>
      </c>
      <c r="FX12" s="1154">
        <f t="shared" si="59"/>
        <v>0</v>
      </c>
      <c r="FY12" s="1154">
        <f t="shared" si="60"/>
        <v>0</v>
      </c>
      <c r="FZ12" s="1154">
        <f t="shared" si="61"/>
        <v>209283.81862970337</v>
      </c>
      <c r="GA12" s="1154">
        <f t="shared" si="62"/>
        <v>0</v>
      </c>
      <c r="GB12" s="1154">
        <f t="shared" si="63"/>
        <v>0</v>
      </c>
      <c r="GC12" s="1154">
        <f t="shared" si="64"/>
        <v>0</v>
      </c>
      <c r="GD12" s="1154">
        <f t="shared" si="65"/>
        <v>0</v>
      </c>
      <c r="GE12" s="1154">
        <f t="shared" si="66"/>
        <v>0</v>
      </c>
      <c r="GF12" s="1154">
        <f t="shared" si="67"/>
        <v>0</v>
      </c>
      <c r="GG12" s="1154">
        <f t="shared" si="68"/>
        <v>0</v>
      </c>
      <c r="GH12" s="1154">
        <f t="shared" si="69"/>
        <v>0</v>
      </c>
      <c r="GI12" s="1154">
        <f t="shared" si="70"/>
        <v>0</v>
      </c>
      <c r="GJ12" s="1154">
        <f t="shared" si="71"/>
        <v>0</v>
      </c>
      <c r="GK12" s="1154">
        <f t="shared" si="72"/>
        <v>0</v>
      </c>
      <c r="GL12" s="1174">
        <f t="shared" si="73"/>
        <v>480462.21862970339</v>
      </c>
    </row>
    <row r="13" spans="1:194">
      <c r="B13" s="1290">
        <f>Prop2021DUOSTariffs!B11</f>
        <v>0</v>
      </c>
      <c r="C13" s="1289" t="str">
        <f>Prop2021DUOSTariffs!C11</f>
        <v>East CAC33kV Anytime</v>
      </c>
      <c r="D13" s="1113" t="str">
        <f>Prop2021DUOSTariffs!D11</f>
        <v>East CAC33kV Anytime</v>
      </c>
      <c r="E13" s="1113" t="str">
        <f>Prop2021DUOSTariffs!E11</f>
        <v>CAC</v>
      </c>
      <c r="F13" s="1113" t="str">
        <f>Prop2021DUOSTariffs!F11</f>
        <v>CAC</v>
      </c>
      <c r="G13" s="1113" t="str">
        <f>Prop2021DUOSTariffs!G11</f>
        <v>East</v>
      </c>
      <c r="H13" s="1113" t="str">
        <f>IF(Prop2021DUOSTariffs!H11="","",Prop2021DUOSTariffs!H11)</f>
        <v>EC33</v>
      </c>
      <c r="I13" s="1114" t="s">
        <v>798</v>
      </c>
      <c r="J13" s="1114" t="s">
        <v>934</v>
      </c>
      <c r="K13" s="1207"/>
      <c r="L13" s="1233">
        <v>109.52604000000001</v>
      </c>
      <c r="M13" s="1007"/>
      <c r="N13" s="1007"/>
      <c r="O13" s="1007"/>
      <c r="P13" s="1007"/>
      <c r="Q13" s="1007"/>
      <c r="R13" s="1007"/>
      <c r="S13" s="1233">
        <v>0.71820000000000006</v>
      </c>
      <c r="T13" s="1007"/>
      <c r="U13" s="1007"/>
      <c r="V13" s="1007"/>
      <c r="W13" s="1007"/>
      <c r="X13" s="1007"/>
      <c r="Y13" s="1007"/>
      <c r="Z13" s="1007"/>
      <c r="AA13" s="1007"/>
      <c r="AB13" s="1007"/>
      <c r="AC13" s="1007"/>
      <c r="AD13" s="1007"/>
      <c r="AE13" s="1007"/>
      <c r="AF13" s="1007"/>
      <c r="AG13" s="1007"/>
      <c r="AH13" s="1007"/>
      <c r="AI13" s="1224">
        <v>1.0079303034553634E-2</v>
      </c>
      <c r="AJ13" s="1005"/>
      <c r="AK13" s="1005"/>
      <c r="AL13" s="1005"/>
      <c r="AM13" s="1005"/>
      <c r="AN13" s="1005"/>
      <c r="AO13" s="1005"/>
      <c r="AP13" s="1005"/>
      <c r="AQ13" s="1005"/>
      <c r="AR13" s="1005"/>
      <c r="AS13" s="1005"/>
      <c r="AT13" s="1005"/>
      <c r="AU13" s="1006"/>
      <c r="AV13" s="1207"/>
      <c r="AW13" s="1480">
        <v>101.41277000000001</v>
      </c>
      <c r="AX13" s="1006"/>
      <c r="AY13" s="1006"/>
      <c r="AZ13" s="1006"/>
      <c r="BA13" s="1006"/>
      <c r="BB13" s="1006"/>
      <c r="BC13" s="1006"/>
      <c r="BD13" s="1480">
        <v>0.66538000000000008</v>
      </c>
      <c r="BE13" s="1006"/>
      <c r="BF13" s="1006"/>
      <c r="BG13" s="1006"/>
      <c r="BH13" s="1006"/>
      <c r="BI13" s="1006"/>
      <c r="BJ13" s="1006"/>
      <c r="BK13" s="1006"/>
      <c r="BL13" s="1006"/>
      <c r="BM13" s="1006"/>
      <c r="BN13" s="1006"/>
      <c r="BO13" s="1006"/>
      <c r="BP13" s="1006"/>
      <c r="BQ13" s="1006"/>
      <c r="BR13" s="1006"/>
      <c r="BS13" s="1006"/>
      <c r="BT13" s="1480">
        <v>9.082624070257235E-3</v>
      </c>
      <c r="BU13" s="1006"/>
      <c r="BV13" s="1006"/>
      <c r="BW13" s="1006"/>
      <c r="BX13" s="1006"/>
      <c r="BY13" s="1006"/>
      <c r="BZ13" s="1006"/>
      <c r="CA13" s="1006"/>
      <c r="CB13" s="1006"/>
      <c r="CC13" s="1006"/>
      <c r="CD13" s="1006"/>
      <c r="CE13" s="1006"/>
      <c r="CF13" s="1006"/>
      <c r="CG13" s="1209"/>
      <c r="CH13" s="1236">
        <v>12</v>
      </c>
      <c r="CI13" s="1007"/>
      <c r="CJ13" s="1007"/>
      <c r="CK13" s="1007"/>
      <c r="CL13" s="1007"/>
      <c r="CM13" s="1007"/>
      <c r="CN13" s="1007"/>
      <c r="CO13" s="1236">
        <v>27300</v>
      </c>
      <c r="CP13" s="1007"/>
      <c r="CQ13" s="1007"/>
      <c r="CR13" s="1007"/>
      <c r="CS13" s="1007"/>
      <c r="CT13" s="1007"/>
      <c r="CU13" s="1007"/>
      <c r="CV13" s="1007"/>
      <c r="CW13" s="1007"/>
      <c r="CX13" s="1007"/>
      <c r="CY13" s="1007"/>
      <c r="CZ13" s="1007"/>
      <c r="DA13" s="1007"/>
      <c r="DB13" s="1007"/>
      <c r="DC13" s="1007"/>
      <c r="DD13" s="1007"/>
      <c r="DE13" s="1236">
        <v>55987800</v>
      </c>
      <c r="DF13" s="1007"/>
      <c r="DG13" s="1007"/>
      <c r="DH13" s="1007"/>
      <c r="DI13" s="1006"/>
      <c r="DJ13" s="1006"/>
      <c r="DK13" s="1007"/>
      <c r="DL13" s="1007"/>
      <c r="DM13" s="1007"/>
      <c r="DN13" s="1007"/>
      <c r="DO13" s="1112"/>
      <c r="DP13" s="1112"/>
      <c r="DQ13" s="1207"/>
      <c r="DR13" s="1154">
        <f t="shared" si="2"/>
        <v>479724.0552</v>
      </c>
      <c r="DS13" s="1154">
        <f t="shared" si="3"/>
        <v>0</v>
      </c>
      <c r="DT13" s="1154">
        <f t="shared" si="4"/>
        <v>0</v>
      </c>
      <c r="DU13" s="1154">
        <f t="shared" si="5"/>
        <v>0</v>
      </c>
      <c r="DV13" s="1154">
        <f t="shared" si="6"/>
        <v>0</v>
      </c>
      <c r="DW13" s="1154">
        <f t="shared" si="7"/>
        <v>0</v>
      </c>
      <c r="DX13" s="1154">
        <f t="shared" si="8"/>
        <v>0</v>
      </c>
      <c r="DY13" s="1154">
        <f t="shared" si="9"/>
        <v>235282.32</v>
      </c>
      <c r="DZ13" s="1154">
        <f t="shared" si="10"/>
        <v>0</v>
      </c>
      <c r="EA13" s="1154">
        <f t="shared" si="11"/>
        <v>0</v>
      </c>
      <c r="EB13" s="1154">
        <f t="shared" si="12"/>
        <v>0</v>
      </c>
      <c r="EC13" s="1154">
        <f t="shared" si="13"/>
        <v>0</v>
      </c>
      <c r="ED13" s="1154">
        <f t="shared" si="14"/>
        <v>0</v>
      </c>
      <c r="EE13" s="1154">
        <f t="shared" si="15"/>
        <v>0</v>
      </c>
      <c r="EF13" s="1154">
        <f t="shared" si="16"/>
        <v>0</v>
      </c>
      <c r="EG13" s="1154">
        <f t="shared" si="17"/>
        <v>0</v>
      </c>
      <c r="EH13" s="1154">
        <f t="shared" si="18"/>
        <v>0</v>
      </c>
      <c r="EI13" s="1154">
        <f t="shared" si="19"/>
        <v>0</v>
      </c>
      <c r="EJ13" s="1154">
        <f t="shared" si="20"/>
        <v>0</v>
      </c>
      <c r="EK13" s="1154">
        <f t="shared" si="21"/>
        <v>0</v>
      </c>
      <c r="EL13" s="1154">
        <f t="shared" si="22"/>
        <v>0</v>
      </c>
      <c r="EM13" s="1154">
        <f t="shared" si="23"/>
        <v>0</v>
      </c>
      <c r="EN13" s="1154">
        <f t="shared" si="24"/>
        <v>0</v>
      </c>
      <c r="EO13" s="1154">
        <f t="shared" si="25"/>
        <v>564318.00243798189</v>
      </c>
      <c r="EP13" s="1154">
        <f t="shared" si="26"/>
        <v>0</v>
      </c>
      <c r="EQ13" s="1154">
        <f t="shared" si="27"/>
        <v>0</v>
      </c>
      <c r="ER13" s="1154">
        <f t="shared" si="28"/>
        <v>0</v>
      </c>
      <c r="ES13" s="1154">
        <f t="shared" si="29"/>
        <v>0</v>
      </c>
      <c r="ET13" s="1154">
        <f t="shared" si="30"/>
        <v>0</v>
      </c>
      <c r="EU13" s="1154">
        <f t="shared" si="31"/>
        <v>0</v>
      </c>
      <c r="EV13" s="1154">
        <f t="shared" si="32"/>
        <v>0</v>
      </c>
      <c r="EW13" s="1154">
        <f t="shared" si="33"/>
        <v>0</v>
      </c>
      <c r="EX13" s="1154">
        <f t="shared" si="34"/>
        <v>0</v>
      </c>
      <c r="EY13" s="1154">
        <f t="shared" si="35"/>
        <v>0</v>
      </c>
      <c r="EZ13" s="1154">
        <f t="shared" si="36"/>
        <v>0</v>
      </c>
      <c r="FA13" s="1174">
        <f t="shared" si="37"/>
        <v>1279324.3776379819</v>
      </c>
      <c r="FC13" s="1154">
        <f t="shared" si="38"/>
        <v>444187.9326</v>
      </c>
      <c r="FD13" s="1154">
        <f t="shared" si="39"/>
        <v>0</v>
      </c>
      <c r="FE13" s="1154">
        <f t="shared" si="40"/>
        <v>0</v>
      </c>
      <c r="FF13" s="1154">
        <f t="shared" si="41"/>
        <v>0</v>
      </c>
      <c r="FG13" s="1154">
        <f t="shared" si="42"/>
        <v>0</v>
      </c>
      <c r="FH13" s="1154">
        <f t="shared" si="43"/>
        <v>0</v>
      </c>
      <c r="FI13" s="1154">
        <f t="shared" si="44"/>
        <v>0</v>
      </c>
      <c r="FJ13" s="1154">
        <f t="shared" si="45"/>
        <v>217978.48800000004</v>
      </c>
      <c r="FK13" s="1154">
        <f t="shared" si="46"/>
        <v>0</v>
      </c>
      <c r="FL13" s="1154">
        <f t="shared" si="47"/>
        <v>0</v>
      </c>
      <c r="FM13" s="1154">
        <f t="shared" si="48"/>
        <v>0</v>
      </c>
      <c r="FN13" s="1154">
        <f t="shared" si="49"/>
        <v>0</v>
      </c>
      <c r="FO13" s="1154">
        <f t="shared" si="50"/>
        <v>0</v>
      </c>
      <c r="FP13" s="1154">
        <f t="shared" si="51"/>
        <v>0</v>
      </c>
      <c r="FQ13" s="1154">
        <f t="shared" si="52"/>
        <v>0</v>
      </c>
      <c r="FR13" s="1154">
        <f t="shared" si="53"/>
        <v>0</v>
      </c>
      <c r="FS13" s="1154">
        <f t="shared" si="54"/>
        <v>0</v>
      </c>
      <c r="FT13" s="1154">
        <f t="shared" si="55"/>
        <v>0</v>
      </c>
      <c r="FU13" s="1154">
        <f t="shared" si="56"/>
        <v>0</v>
      </c>
      <c r="FV13" s="1154">
        <f t="shared" si="57"/>
        <v>0</v>
      </c>
      <c r="FW13" s="1154">
        <f t="shared" si="58"/>
        <v>0</v>
      </c>
      <c r="FX13" s="1154">
        <f t="shared" si="59"/>
        <v>0</v>
      </c>
      <c r="FY13" s="1154">
        <f t="shared" si="60"/>
        <v>0</v>
      </c>
      <c r="FZ13" s="1154">
        <f t="shared" si="61"/>
        <v>508516.13992074801</v>
      </c>
      <c r="GA13" s="1154">
        <f t="shared" si="62"/>
        <v>0</v>
      </c>
      <c r="GB13" s="1154">
        <f t="shared" si="63"/>
        <v>0</v>
      </c>
      <c r="GC13" s="1154">
        <f t="shared" si="64"/>
        <v>0</v>
      </c>
      <c r="GD13" s="1154">
        <f t="shared" si="65"/>
        <v>0</v>
      </c>
      <c r="GE13" s="1154">
        <f t="shared" si="66"/>
        <v>0</v>
      </c>
      <c r="GF13" s="1154">
        <f t="shared" si="67"/>
        <v>0</v>
      </c>
      <c r="GG13" s="1154">
        <f t="shared" si="68"/>
        <v>0</v>
      </c>
      <c r="GH13" s="1154">
        <f t="shared" si="69"/>
        <v>0</v>
      </c>
      <c r="GI13" s="1154">
        <f t="shared" si="70"/>
        <v>0</v>
      </c>
      <c r="GJ13" s="1154">
        <f t="shared" si="71"/>
        <v>0</v>
      </c>
      <c r="GK13" s="1154">
        <f t="shared" si="72"/>
        <v>0</v>
      </c>
      <c r="GL13" s="1174">
        <f t="shared" si="73"/>
        <v>1170682.5605207481</v>
      </c>
    </row>
    <row r="14" spans="1:194">
      <c r="B14" s="1290">
        <f>B13</f>
        <v>0</v>
      </c>
      <c r="C14" s="1289" t="str">
        <f>C13</f>
        <v>East CAC33kV Anytime</v>
      </c>
      <c r="D14" s="1113" t="str">
        <f t="shared" ref="D14:D15" si="75">D13</f>
        <v>East CAC33kV Anytime</v>
      </c>
      <c r="E14" s="1113" t="str">
        <f t="shared" ref="E14:E15" si="76">E13</f>
        <v>CAC</v>
      </c>
      <c r="F14" s="1113" t="str">
        <f t="shared" ref="F14:F15" si="77">F13</f>
        <v>CAC</v>
      </c>
      <c r="G14" s="1113" t="str">
        <f t="shared" ref="G14:G15" si="78">G13</f>
        <v>East</v>
      </c>
      <c r="H14" s="1113" t="str">
        <f t="shared" ref="H14:H15" si="79">H13</f>
        <v>EC33</v>
      </c>
      <c r="I14" s="1114" t="s">
        <v>752</v>
      </c>
      <c r="J14" s="1114" t="s">
        <v>934</v>
      </c>
      <c r="K14" s="1270"/>
      <c r="L14" s="1233">
        <v>75.421999999999997</v>
      </c>
      <c r="M14" s="1007"/>
      <c r="N14" s="1007"/>
      <c r="O14" s="1007"/>
      <c r="P14" s="1007"/>
      <c r="Q14" s="1007"/>
      <c r="R14" s="1007"/>
      <c r="S14" s="1233">
        <v>1.474</v>
      </c>
      <c r="T14" s="1007"/>
      <c r="U14" s="1007"/>
      <c r="V14" s="1007"/>
      <c r="W14" s="1007"/>
      <c r="X14" s="1007"/>
      <c r="Y14" s="1007"/>
      <c r="Z14" s="1007"/>
      <c r="AA14" s="1007"/>
      <c r="AB14" s="1007"/>
      <c r="AC14" s="1007"/>
      <c r="AD14" s="1007"/>
      <c r="AE14" s="1007"/>
      <c r="AF14" s="1007"/>
      <c r="AG14" s="1007"/>
      <c r="AH14" s="1007"/>
      <c r="AI14" s="1224">
        <v>1.1937631525536712E-2</v>
      </c>
      <c r="AJ14" s="1005"/>
      <c r="AK14" s="1005"/>
      <c r="AL14" s="1005"/>
      <c r="AM14" s="1005"/>
      <c r="AN14" s="1005"/>
      <c r="AO14" s="1005"/>
      <c r="AP14" s="1005"/>
      <c r="AQ14" s="1005"/>
      <c r="AR14" s="1005"/>
      <c r="AS14" s="1005"/>
      <c r="AT14" s="1005"/>
      <c r="AU14" s="1006"/>
      <c r="AV14" s="1270"/>
      <c r="AW14" s="1480">
        <v>75.421750000000003</v>
      </c>
      <c r="AX14" s="1006"/>
      <c r="AY14" s="1006"/>
      <c r="AZ14" s="1006"/>
      <c r="BA14" s="1006"/>
      <c r="BB14" s="1006"/>
      <c r="BC14" s="1006"/>
      <c r="BD14" s="1480">
        <v>1.4739300000000002</v>
      </c>
      <c r="BE14" s="1006"/>
      <c r="BF14" s="1006"/>
      <c r="BG14" s="1006"/>
      <c r="BH14" s="1006"/>
      <c r="BI14" s="1006"/>
      <c r="BJ14" s="1006"/>
      <c r="BK14" s="1006"/>
      <c r="BL14" s="1006"/>
      <c r="BM14" s="1006"/>
      <c r="BN14" s="1006"/>
      <c r="BO14" s="1006"/>
      <c r="BP14" s="1006"/>
      <c r="BQ14" s="1006"/>
      <c r="BR14" s="1006"/>
      <c r="BS14" s="1006"/>
      <c r="BT14" s="1480">
        <v>1.198474395634948E-2</v>
      </c>
      <c r="BU14" s="1006"/>
      <c r="BV14" s="1006"/>
      <c r="BW14" s="1006"/>
      <c r="BX14" s="1006"/>
      <c r="BY14" s="1006"/>
      <c r="BZ14" s="1006"/>
      <c r="CA14" s="1006"/>
      <c r="CB14" s="1006"/>
      <c r="CC14" s="1006"/>
      <c r="CD14" s="1006"/>
      <c r="CE14" s="1006"/>
      <c r="CF14" s="1006"/>
      <c r="CG14" s="1209"/>
      <c r="CH14" s="1236">
        <v>6</v>
      </c>
      <c r="CI14" s="1007"/>
      <c r="CJ14" s="1007"/>
      <c r="CK14" s="1007"/>
      <c r="CL14" s="1007"/>
      <c r="CM14" s="1007"/>
      <c r="CN14" s="1007"/>
      <c r="CO14" s="1236">
        <v>21670</v>
      </c>
      <c r="CP14" s="1007"/>
      <c r="CQ14" s="1007"/>
      <c r="CR14" s="1007"/>
      <c r="CS14" s="1007"/>
      <c r="CT14" s="1007"/>
      <c r="CU14" s="1007"/>
      <c r="CV14" s="1007"/>
      <c r="CW14" s="1007"/>
      <c r="CX14" s="1007"/>
      <c r="CY14" s="1007"/>
      <c r="CZ14" s="1007"/>
      <c r="DA14" s="1007"/>
      <c r="DB14" s="1007"/>
      <c r="DC14" s="1007"/>
      <c r="DD14" s="1007"/>
      <c r="DE14" s="1236">
        <v>44881322.999999993</v>
      </c>
      <c r="DF14" s="1007"/>
      <c r="DG14" s="1007"/>
      <c r="DH14" s="1007"/>
      <c r="DI14" s="1006"/>
      <c r="DJ14" s="1006"/>
      <c r="DK14" s="1007"/>
      <c r="DL14" s="1007"/>
      <c r="DM14" s="1007"/>
      <c r="DN14" s="1007"/>
      <c r="DO14" s="1112"/>
      <c r="DP14" s="1112"/>
      <c r="DQ14" s="1270"/>
      <c r="DR14" s="1154">
        <f t="shared" si="2"/>
        <v>165174.18</v>
      </c>
      <c r="DS14" s="1154">
        <f t="shared" si="3"/>
        <v>0</v>
      </c>
      <c r="DT14" s="1154">
        <f t="shared" si="4"/>
        <v>0</v>
      </c>
      <c r="DU14" s="1154">
        <f t="shared" si="5"/>
        <v>0</v>
      </c>
      <c r="DV14" s="1154">
        <f t="shared" si="6"/>
        <v>0</v>
      </c>
      <c r="DW14" s="1154">
        <f t="shared" si="7"/>
        <v>0</v>
      </c>
      <c r="DX14" s="1154">
        <f t="shared" si="8"/>
        <v>0</v>
      </c>
      <c r="DY14" s="1154">
        <f t="shared" si="9"/>
        <v>383298.95999999996</v>
      </c>
      <c r="DZ14" s="1154">
        <f t="shared" si="10"/>
        <v>0</v>
      </c>
      <c r="EA14" s="1154">
        <f t="shared" si="11"/>
        <v>0</v>
      </c>
      <c r="EB14" s="1154">
        <f t="shared" si="12"/>
        <v>0</v>
      </c>
      <c r="EC14" s="1154">
        <f t="shared" si="13"/>
        <v>0</v>
      </c>
      <c r="ED14" s="1154">
        <f t="shared" si="14"/>
        <v>0</v>
      </c>
      <c r="EE14" s="1154">
        <f t="shared" si="15"/>
        <v>0</v>
      </c>
      <c r="EF14" s="1154">
        <f t="shared" si="16"/>
        <v>0</v>
      </c>
      <c r="EG14" s="1154">
        <f t="shared" si="17"/>
        <v>0</v>
      </c>
      <c r="EH14" s="1154">
        <f t="shared" si="18"/>
        <v>0</v>
      </c>
      <c r="EI14" s="1154">
        <f t="shared" si="19"/>
        <v>0</v>
      </c>
      <c r="EJ14" s="1154">
        <f t="shared" si="20"/>
        <v>0</v>
      </c>
      <c r="EK14" s="1154">
        <f t="shared" si="21"/>
        <v>0</v>
      </c>
      <c r="EL14" s="1154">
        <f t="shared" si="22"/>
        <v>0</v>
      </c>
      <c r="EM14" s="1154">
        <f t="shared" si="23"/>
        <v>0</v>
      </c>
      <c r="EN14" s="1154">
        <f t="shared" si="24"/>
        <v>0</v>
      </c>
      <c r="EO14" s="1154">
        <f t="shared" si="25"/>
        <v>535776.69635259581</v>
      </c>
      <c r="EP14" s="1154">
        <f t="shared" si="26"/>
        <v>0</v>
      </c>
      <c r="EQ14" s="1154">
        <f t="shared" si="27"/>
        <v>0</v>
      </c>
      <c r="ER14" s="1154">
        <f t="shared" si="28"/>
        <v>0</v>
      </c>
      <c r="ES14" s="1154">
        <f t="shared" si="29"/>
        <v>0</v>
      </c>
      <c r="ET14" s="1154">
        <f t="shared" si="30"/>
        <v>0</v>
      </c>
      <c r="EU14" s="1154">
        <f t="shared" si="31"/>
        <v>0</v>
      </c>
      <c r="EV14" s="1154">
        <f t="shared" si="32"/>
        <v>0</v>
      </c>
      <c r="EW14" s="1154">
        <f t="shared" si="33"/>
        <v>0</v>
      </c>
      <c r="EX14" s="1154">
        <f t="shared" si="34"/>
        <v>0</v>
      </c>
      <c r="EY14" s="1154">
        <f t="shared" si="35"/>
        <v>0</v>
      </c>
      <c r="EZ14" s="1154">
        <f t="shared" si="36"/>
        <v>0</v>
      </c>
      <c r="FA14" s="1174">
        <f t="shared" si="37"/>
        <v>1084249.8363525956</v>
      </c>
      <c r="FC14" s="1154">
        <f t="shared" si="38"/>
        <v>165173.63250000001</v>
      </c>
      <c r="FD14" s="1154">
        <f t="shared" si="39"/>
        <v>0</v>
      </c>
      <c r="FE14" s="1154">
        <f t="shared" si="40"/>
        <v>0</v>
      </c>
      <c r="FF14" s="1154">
        <f t="shared" si="41"/>
        <v>0</v>
      </c>
      <c r="FG14" s="1154">
        <f t="shared" si="42"/>
        <v>0</v>
      </c>
      <c r="FH14" s="1154">
        <f t="shared" si="43"/>
        <v>0</v>
      </c>
      <c r="FI14" s="1154">
        <f t="shared" si="44"/>
        <v>0</v>
      </c>
      <c r="FJ14" s="1154">
        <f t="shared" si="45"/>
        <v>383280.75720000005</v>
      </c>
      <c r="FK14" s="1154">
        <f t="shared" si="46"/>
        <v>0</v>
      </c>
      <c r="FL14" s="1154">
        <f t="shared" si="47"/>
        <v>0</v>
      </c>
      <c r="FM14" s="1154">
        <f t="shared" si="48"/>
        <v>0</v>
      </c>
      <c r="FN14" s="1154">
        <f t="shared" si="49"/>
        <v>0</v>
      </c>
      <c r="FO14" s="1154">
        <f t="shared" si="50"/>
        <v>0</v>
      </c>
      <c r="FP14" s="1154">
        <f t="shared" si="51"/>
        <v>0</v>
      </c>
      <c r="FQ14" s="1154">
        <f t="shared" si="52"/>
        <v>0</v>
      </c>
      <c r="FR14" s="1154">
        <f t="shared" si="53"/>
        <v>0</v>
      </c>
      <c r="FS14" s="1154">
        <f t="shared" si="54"/>
        <v>0</v>
      </c>
      <c r="FT14" s="1154">
        <f t="shared" si="55"/>
        <v>0</v>
      </c>
      <c r="FU14" s="1154">
        <f t="shared" si="56"/>
        <v>0</v>
      </c>
      <c r="FV14" s="1154">
        <f t="shared" si="57"/>
        <v>0</v>
      </c>
      <c r="FW14" s="1154">
        <f t="shared" si="58"/>
        <v>0</v>
      </c>
      <c r="FX14" s="1154">
        <f t="shared" si="59"/>
        <v>0</v>
      </c>
      <c r="FY14" s="1154">
        <f t="shared" si="60"/>
        <v>0</v>
      </c>
      <c r="FZ14" s="1154">
        <f t="shared" si="61"/>
        <v>537891.16457721882</v>
      </c>
      <c r="GA14" s="1154">
        <f t="shared" si="62"/>
        <v>0</v>
      </c>
      <c r="GB14" s="1154">
        <f t="shared" si="63"/>
        <v>0</v>
      </c>
      <c r="GC14" s="1154">
        <f t="shared" si="64"/>
        <v>0</v>
      </c>
      <c r="GD14" s="1154">
        <f t="shared" si="65"/>
        <v>0</v>
      </c>
      <c r="GE14" s="1154">
        <f t="shared" si="66"/>
        <v>0</v>
      </c>
      <c r="GF14" s="1154">
        <f t="shared" si="67"/>
        <v>0</v>
      </c>
      <c r="GG14" s="1154">
        <f t="shared" si="68"/>
        <v>0</v>
      </c>
      <c r="GH14" s="1154">
        <f t="shared" si="69"/>
        <v>0</v>
      </c>
      <c r="GI14" s="1154">
        <f t="shared" si="70"/>
        <v>0</v>
      </c>
      <c r="GJ14" s="1154">
        <f t="shared" si="71"/>
        <v>0</v>
      </c>
      <c r="GK14" s="1154">
        <f t="shared" si="72"/>
        <v>0</v>
      </c>
      <c r="GL14" s="1174">
        <f t="shared" si="73"/>
        <v>1086345.5542772189</v>
      </c>
    </row>
    <row r="15" spans="1:194">
      <c r="B15" s="1290">
        <f>B14</f>
        <v>0</v>
      </c>
      <c r="C15" s="1289" t="str">
        <f>C14</f>
        <v>East CAC33kV Anytime</v>
      </c>
      <c r="D15" s="1113" t="str">
        <f t="shared" si="75"/>
        <v>East CAC33kV Anytime</v>
      </c>
      <c r="E15" s="1113" t="str">
        <f t="shared" si="76"/>
        <v>CAC</v>
      </c>
      <c r="F15" s="1113" t="str">
        <f t="shared" si="77"/>
        <v>CAC</v>
      </c>
      <c r="G15" s="1113" t="str">
        <f t="shared" si="78"/>
        <v>East</v>
      </c>
      <c r="H15" s="1113" t="str">
        <f t="shared" si="79"/>
        <v>EC33</v>
      </c>
      <c r="I15" s="1114" t="s">
        <v>759</v>
      </c>
      <c r="J15" s="1114" t="s">
        <v>934</v>
      </c>
      <c r="K15" s="1270"/>
      <c r="L15" s="1233">
        <v>70.440599999999989</v>
      </c>
      <c r="M15" s="1007"/>
      <c r="N15" s="1007"/>
      <c r="O15" s="1007"/>
      <c r="P15" s="1007"/>
      <c r="Q15" s="1007"/>
      <c r="R15" s="1007"/>
      <c r="S15" s="1233">
        <v>2.7227000000000001</v>
      </c>
      <c r="T15" s="1007"/>
      <c r="U15" s="1007"/>
      <c r="V15" s="1007"/>
      <c r="W15" s="1007"/>
      <c r="X15" s="1007"/>
      <c r="Y15" s="1007"/>
      <c r="Z15" s="1007"/>
      <c r="AA15" s="1007"/>
      <c r="AB15" s="1007"/>
      <c r="AC15" s="1007"/>
      <c r="AD15" s="1007"/>
      <c r="AE15" s="1007"/>
      <c r="AF15" s="1007"/>
      <c r="AG15" s="1007"/>
      <c r="AH15" s="1007"/>
      <c r="AI15" s="1224">
        <v>1.3562911090201862E-2</v>
      </c>
      <c r="AJ15" s="1005"/>
      <c r="AK15" s="1005"/>
      <c r="AL15" s="1005"/>
      <c r="AM15" s="1005"/>
      <c r="AN15" s="1005"/>
      <c r="AO15" s="1005"/>
      <c r="AP15" s="1005"/>
      <c r="AQ15" s="1005"/>
      <c r="AR15" s="1005"/>
      <c r="AS15" s="1005"/>
      <c r="AT15" s="1005"/>
      <c r="AU15" s="1006"/>
      <c r="AV15" s="1270"/>
      <c r="AW15" s="1480">
        <v>74.147639999999996</v>
      </c>
      <c r="AX15" s="1006"/>
      <c r="AY15" s="1006"/>
      <c r="AZ15" s="1006"/>
      <c r="BA15" s="1006"/>
      <c r="BB15" s="1006"/>
      <c r="BC15" s="1006"/>
      <c r="BD15" s="1480">
        <v>2.8664900000000002</v>
      </c>
      <c r="BE15" s="1006"/>
      <c r="BF15" s="1006"/>
      <c r="BG15" s="1006"/>
      <c r="BH15" s="1006"/>
      <c r="BI15" s="1006"/>
      <c r="BJ15" s="1006"/>
      <c r="BK15" s="1006"/>
      <c r="BL15" s="1006"/>
      <c r="BM15" s="1006"/>
      <c r="BN15" s="1006"/>
      <c r="BO15" s="1006"/>
      <c r="BP15" s="1006"/>
      <c r="BQ15" s="1006"/>
      <c r="BR15" s="1006"/>
      <c r="BS15" s="1006"/>
      <c r="BT15" s="1480">
        <v>1.4900282040055694E-2</v>
      </c>
      <c r="BU15" s="1006"/>
      <c r="BV15" s="1006"/>
      <c r="BW15" s="1006"/>
      <c r="BX15" s="1006"/>
      <c r="BY15" s="1006"/>
      <c r="BZ15" s="1006"/>
      <c r="CA15" s="1006"/>
      <c r="CB15" s="1006"/>
      <c r="CC15" s="1006"/>
      <c r="CD15" s="1006"/>
      <c r="CE15" s="1006"/>
      <c r="CF15" s="1006"/>
      <c r="CG15" s="1209"/>
      <c r="CH15" s="1236">
        <v>0</v>
      </c>
      <c r="CI15" s="1007"/>
      <c r="CJ15" s="1007"/>
      <c r="CK15" s="1007"/>
      <c r="CL15" s="1007"/>
      <c r="CM15" s="1007"/>
      <c r="CN15" s="1007"/>
      <c r="CO15" s="1236">
        <v>0</v>
      </c>
      <c r="CP15" s="1007"/>
      <c r="CQ15" s="1007"/>
      <c r="CR15" s="1007"/>
      <c r="CS15" s="1007"/>
      <c r="CT15" s="1007"/>
      <c r="CU15" s="1007"/>
      <c r="CV15" s="1007"/>
      <c r="CW15" s="1007"/>
      <c r="CX15" s="1007"/>
      <c r="CY15" s="1007"/>
      <c r="CZ15" s="1007"/>
      <c r="DA15" s="1007"/>
      <c r="DB15" s="1007"/>
      <c r="DC15" s="1007"/>
      <c r="DD15" s="1007"/>
      <c r="DE15" s="1236">
        <v>0</v>
      </c>
      <c r="DF15" s="1007"/>
      <c r="DG15" s="1007"/>
      <c r="DH15" s="1007"/>
      <c r="DI15" s="1006"/>
      <c r="DJ15" s="1006"/>
      <c r="DK15" s="1007"/>
      <c r="DL15" s="1007"/>
      <c r="DM15" s="1007"/>
      <c r="DN15" s="1007"/>
      <c r="DO15" s="1112"/>
      <c r="DP15" s="1112"/>
      <c r="DQ15" s="1270"/>
      <c r="DR15" s="1154">
        <f t="shared" si="2"/>
        <v>0</v>
      </c>
      <c r="DS15" s="1154">
        <f t="shared" si="3"/>
        <v>0</v>
      </c>
      <c r="DT15" s="1154">
        <f t="shared" si="4"/>
        <v>0</v>
      </c>
      <c r="DU15" s="1154">
        <f t="shared" si="5"/>
        <v>0</v>
      </c>
      <c r="DV15" s="1154">
        <f t="shared" si="6"/>
        <v>0</v>
      </c>
      <c r="DW15" s="1154">
        <f t="shared" si="7"/>
        <v>0</v>
      </c>
      <c r="DX15" s="1154">
        <f t="shared" si="8"/>
        <v>0</v>
      </c>
      <c r="DY15" s="1154">
        <f t="shared" si="9"/>
        <v>0</v>
      </c>
      <c r="DZ15" s="1154">
        <f t="shared" si="10"/>
        <v>0</v>
      </c>
      <c r="EA15" s="1154">
        <f t="shared" si="11"/>
        <v>0</v>
      </c>
      <c r="EB15" s="1154">
        <f t="shared" si="12"/>
        <v>0</v>
      </c>
      <c r="EC15" s="1154">
        <f t="shared" si="13"/>
        <v>0</v>
      </c>
      <c r="ED15" s="1154">
        <f t="shared" si="14"/>
        <v>0</v>
      </c>
      <c r="EE15" s="1154">
        <f t="shared" si="15"/>
        <v>0</v>
      </c>
      <c r="EF15" s="1154">
        <f t="shared" si="16"/>
        <v>0</v>
      </c>
      <c r="EG15" s="1154">
        <f t="shared" si="17"/>
        <v>0</v>
      </c>
      <c r="EH15" s="1154">
        <f t="shared" si="18"/>
        <v>0</v>
      </c>
      <c r="EI15" s="1154">
        <f t="shared" si="19"/>
        <v>0</v>
      </c>
      <c r="EJ15" s="1154">
        <f t="shared" si="20"/>
        <v>0</v>
      </c>
      <c r="EK15" s="1154">
        <f t="shared" si="21"/>
        <v>0</v>
      </c>
      <c r="EL15" s="1154">
        <f t="shared" si="22"/>
        <v>0</v>
      </c>
      <c r="EM15" s="1154">
        <f t="shared" si="23"/>
        <v>0</v>
      </c>
      <c r="EN15" s="1154">
        <f t="shared" si="24"/>
        <v>0</v>
      </c>
      <c r="EO15" s="1154">
        <f t="shared" si="25"/>
        <v>0</v>
      </c>
      <c r="EP15" s="1154">
        <f t="shared" si="26"/>
        <v>0</v>
      </c>
      <c r="EQ15" s="1154">
        <f t="shared" si="27"/>
        <v>0</v>
      </c>
      <c r="ER15" s="1154">
        <f t="shared" si="28"/>
        <v>0</v>
      </c>
      <c r="ES15" s="1154">
        <f t="shared" si="29"/>
        <v>0</v>
      </c>
      <c r="ET15" s="1154">
        <f t="shared" si="30"/>
        <v>0</v>
      </c>
      <c r="EU15" s="1154">
        <f t="shared" si="31"/>
        <v>0</v>
      </c>
      <c r="EV15" s="1154">
        <f t="shared" si="32"/>
        <v>0</v>
      </c>
      <c r="EW15" s="1154">
        <f t="shared" si="33"/>
        <v>0</v>
      </c>
      <c r="EX15" s="1154">
        <f t="shared" si="34"/>
        <v>0</v>
      </c>
      <c r="EY15" s="1154">
        <f t="shared" si="35"/>
        <v>0</v>
      </c>
      <c r="EZ15" s="1154">
        <f t="shared" si="36"/>
        <v>0</v>
      </c>
      <c r="FA15" s="1174">
        <f t="shared" si="37"/>
        <v>0</v>
      </c>
      <c r="FC15" s="1154">
        <f t="shared" si="38"/>
        <v>0</v>
      </c>
      <c r="FD15" s="1154">
        <f t="shared" si="39"/>
        <v>0</v>
      </c>
      <c r="FE15" s="1154">
        <f t="shared" si="40"/>
        <v>0</v>
      </c>
      <c r="FF15" s="1154">
        <f t="shared" si="41"/>
        <v>0</v>
      </c>
      <c r="FG15" s="1154">
        <f t="shared" si="42"/>
        <v>0</v>
      </c>
      <c r="FH15" s="1154">
        <f t="shared" si="43"/>
        <v>0</v>
      </c>
      <c r="FI15" s="1154">
        <f t="shared" si="44"/>
        <v>0</v>
      </c>
      <c r="FJ15" s="1154">
        <f t="shared" si="45"/>
        <v>0</v>
      </c>
      <c r="FK15" s="1154">
        <f t="shared" si="46"/>
        <v>0</v>
      </c>
      <c r="FL15" s="1154">
        <f t="shared" si="47"/>
        <v>0</v>
      </c>
      <c r="FM15" s="1154">
        <f t="shared" si="48"/>
        <v>0</v>
      </c>
      <c r="FN15" s="1154">
        <f t="shared" si="49"/>
        <v>0</v>
      </c>
      <c r="FO15" s="1154">
        <f t="shared" si="50"/>
        <v>0</v>
      </c>
      <c r="FP15" s="1154">
        <f t="shared" si="51"/>
        <v>0</v>
      </c>
      <c r="FQ15" s="1154">
        <f t="shared" si="52"/>
        <v>0</v>
      </c>
      <c r="FR15" s="1154">
        <f t="shared" si="53"/>
        <v>0</v>
      </c>
      <c r="FS15" s="1154">
        <f t="shared" si="54"/>
        <v>0</v>
      </c>
      <c r="FT15" s="1154">
        <f t="shared" si="55"/>
        <v>0</v>
      </c>
      <c r="FU15" s="1154">
        <f t="shared" si="56"/>
        <v>0</v>
      </c>
      <c r="FV15" s="1154">
        <f t="shared" si="57"/>
        <v>0</v>
      </c>
      <c r="FW15" s="1154">
        <f t="shared" si="58"/>
        <v>0</v>
      </c>
      <c r="FX15" s="1154">
        <f t="shared" si="59"/>
        <v>0</v>
      </c>
      <c r="FY15" s="1154">
        <f t="shared" si="60"/>
        <v>0</v>
      </c>
      <c r="FZ15" s="1154">
        <f t="shared" si="61"/>
        <v>0</v>
      </c>
      <c r="GA15" s="1154">
        <f t="shared" si="62"/>
        <v>0</v>
      </c>
      <c r="GB15" s="1154">
        <f t="shared" si="63"/>
        <v>0</v>
      </c>
      <c r="GC15" s="1154">
        <f t="shared" si="64"/>
        <v>0</v>
      </c>
      <c r="GD15" s="1154">
        <f t="shared" si="65"/>
        <v>0</v>
      </c>
      <c r="GE15" s="1154">
        <f t="shared" si="66"/>
        <v>0</v>
      </c>
      <c r="GF15" s="1154">
        <f t="shared" si="67"/>
        <v>0</v>
      </c>
      <c r="GG15" s="1154">
        <f t="shared" si="68"/>
        <v>0</v>
      </c>
      <c r="GH15" s="1154">
        <f t="shared" si="69"/>
        <v>0</v>
      </c>
      <c r="GI15" s="1154">
        <f t="shared" si="70"/>
        <v>0</v>
      </c>
      <c r="GJ15" s="1154">
        <f t="shared" si="71"/>
        <v>0</v>
      </c>
      <c r="GK15" s="1154">
        <f t="shared" si="72"/>
        <v>0</v>
      </c>
      <c r="GL15" s="1174">
        <f t="shared" si="73"/>
        <v>0</v>
      </c>
    </row>
    <row r="16" spans="1:194">
      <c r="B16" s="1290">
        <f>Prop2021DUOSTariffs!B12</f>
        <v>0</v>
      </c>
      <c r="C16" s="1289" t="str">
        <f>Prop2021DUOSTariffs!C12</f>
        <v>East CAC22/11kVBus Anytime</v>
      </c>
      <c r="D16" s="1113" t="str">
        <f>Prop2021DUOSTariffs!D12</f>
        <v>East CAC22/11kVBus Anytime</v>
      </c>
      <c r="E16" s="1113" t="str">
        <f>Prop2021DUOSTariffs!E12</f>
        <v>CAC</v>
      </c>
      <c r="F16" s="1113" t="str">
        <f>Prop2021DUOSTariffs!F12</f>
        <v>CAC</v>
      </c>
      <c r="G16" s="1113" t="str">
        <f>Prop2021DUOSTariffs!G12</f>
        <v>East</v>
      </c>
      <c r="H16" s="1113" t="str">
        <f>IF(Prop2021DUOSTariffs!H12="","",Prop2021DUOSTariffs!H12)</f>
        <v>EC22B</v>
      </c>
      <c r="I16" s="1114" t="s">
        <v>798</v>
      </c>
      <c r="J16" s="1114" t="s">
        <v>934</v>
      </c>
      <c r="K16" s="1207"/>
      <c r="L16" s="1233">
        <v>109.52604000000001</v>
      </c>
      <c r="M16" s="1007"/>
      <c r="N16" s="1007"/>
      <c r="O16" s="1007"/>
      <c r="P16" s="1007"/>
      <c r="Q16" s="1007"/>
      <c r="R16" s="1007"/>
      <c r="S16" s="1233">
        <v>0.71820000000000006</v>
      </c>
      <c r="T16" s="1007"/>
      <c r="U16" s="1007"/>
      <c r="V16" s="1007"/>
      <c r="W16" s="1007"/>
      <c r="X16" s="1007"/>
      <c r="Y16" s="1007"/>
      <c r="Z16" s="1007"/>
      <c r="AA16" s="1007"/>
      <c r="AB16" s="1007"/>
      <c r="AC16" s="1007"/>
      <c r="AD16" s="1007"/>
      <c r="AE16" s="1007"/>
      <c r="AF16" s="1007"/>
      <c r="AG16" s="1007"/>
      <c r="AH16" s="1007"/>
      <c r="AI16" s="1224">
        <v>1.0079303034553634E-2</v>
      </c>
      <c r="AJ16" s="1005"/>
      <c r="AK16" s="1005"/>
      <c r="AL16" s="1005"/>
      <c r="AM16" s="1005"/>
      <c r="AN16" s="1005"/>
      <c r="AO16" s="1005"/>
      <c r="AP16" s="1005"/>
      <c r="AQ16" s="1005"/>
      <c r="AR16" s="1005"/>
      <c r="AS16" s="1005"/>
      <c r="AT16" s="1005"/>
      <c r="AU16" s="1006"/>
      <c r="AV16" s="1207"/>
      <c r="AW16" s="1480">
        <v>101.41277000000001</v>
      </c>
      <c r="AX16" s="1006"/>
      <c r="AY16" s="1006"/>
      <c r="AZ16" s="1006"/>
      <c r="BA16" s="1006"/>
      <c r="BB16" s="1006"/>
      <c r="BC16" s="1006"/>
      <c r="BD16" s="1480">
        <v>0.66538000000000008</v>
      </c>
      <c r="BE16" s="1006"/>
      <c r="BF16" s="1006"/>
      <c r="BG16" s="1006"/>
      <c r="BH16" s="1006"/>
      <c r="BI16" s="1006"/>
      <c r="BJ16" s="1006"/>
      <c r="BK16" s="1006"/>
      <c r="BL16" s="1006"/>
      <c r="BM16" s="1006"/>
      <c r="BN16" s="1006"/>
      <c r="BO16" s="1006"/>
      <c r="BP16" s="1006"/>
      <c r="BQ16" s="1006"/>
      <c r="BR16" s="1006"/>
      <c r="BS16" s="1006"/>
      <c r="BT16" s="1480">
        <v>9.082624070257235E-3</v>
      </c>
      <c r="BU16" s="1006"/>
      <c r="BV16" s="1006"/>
      <c r="BW16" s="1006"/>
      <c r="BX16" s="1006"/>
      <c r="BY16" s="1006"/>
      <c r="BZ16" s="1006"/>
      <c r="CA16" s="1006"/>
      <c r="CB16" s="1006"/>
      <c r="CC16" s="1006"/>
      <c r="CD16" s="1006"/>
      <c r="CE16" s="1006"/>
      <c r="CF16" s="1006"/>
      <c r="CG16" s="1209"/>
      <c r="CH16" s="1236">
        <v>11</v>
      </c>
      <c r="CI16" s="1007"/>
      <c r="CJ16" s="1007"/>
      <c r="CK16" s="1007"/>
      <c r="CL16" s="1007"/>
      <c r="CM16" s="1007"/>
      <c r="CN16" s="1007"/>
      <c r="CO16" s="1236">
        <v>39687</v>
      </c>
      <c r="CP16" s="1007"/>
      <c r="CQ16" s="1007"/>
      <c r="CR16" s="1007"/>
      <c r="CS16" s="1007"/>
      <c r="CT16" s="1007"/>
      <c r="CU16" s="1007"/>
      <c r="CV16" s="1007"/>
      <c r="CW16" s="1007"/>
      <c r="CX16" s="1007"/>
      <c r="CY16" s="1007"/>
      <c r="CZ16" s="1007"/>
      <c r="DA16" s="1007"/>
      <c r="DB16" s="1007"/>
      <c r="DC16" s="1007"/>
      <c r="DD16" s="1007"/>
      <c r="DE16" s="1236">
        <v>189328430</v>
      </c>
      <c r="DF16" s="1007"/>
      <c r="DG16" s="1007"/>
      <c r="DH16" s="1007"/>
      <c r="DI16" s="1006"/>
      <c r="DJ16" s="1006"/>
      <c r="DK16" s="1007"/>
      <c r="DL16" s="1007"/>
      <c r="DM16" s="1007"/>
      <c r="DN16" s="1007"/>
      <c r="DO16" s="1112"/>
      <c r="DP16" s="1112"/>
      <c r="DQ16" s="1207"/>
      <c r="DR16" s="1154">
        <f t="shared" si="2"/>
        <v>439747.05060000002</v>
      </c>
      <c r="DS16" s="1154">
        <f t="shared" si="3"/>
        <v>0</v>
      </c>
      <c r="DT16" s="1154">
        <f t="shared" si="4"/>
        <v>0</v>
      </c>
      <c r="DU16" s="1154">
        <f t="shared" si="5"/>
        <v>0</v>
      </c>
      <c r="DV16" s="1154">
        <f t="shared" si="6"/>
        <v>0</v>
      </c>
      <c r="DW16" s="1154">
        <f t="shared" si="7"/>
        <v>0</v>
      </c>
      <c r="DX16" s="1154">
        <f t="shared" si="8"/>
        <v>0</v>
      </c>
      <c r="DY16" s="1154">
        <f t="shared" si="9"/>
        <v>342038.44080000004</v>
      </c>
      <c r="DZ16" s="1154">
        <f t="shared" si="10"/>
        <v>0</v>
      </c>
      <c r="EA16" s="1154">
        <f t="shared" si="11"/>
        <v>0</v>
      </c>
      <c r="EB16" s="1154">
        <f t="shared" si="12"/>
        <v>0</v>
      </c>
      <c r="EC16" s="1154">
        <f t="shared" si="13"/>
        <v>0</v>
      </c>
      <c r="ED16" s="1154">
        <f t="shared" si="14"/>
        <v>0</v>
      </c>
      <c r="EE16" s="1154">
        <f t="shared" si="15"/>
        <v>0</v>
      </c>
      <c r="EF16" s="1154">
        <f t="shared" si="16"/>
        <v>0</v>
      </c>
      <c r="EG16" s="1154">
        <f t="shared" si="17"/>
        <v>0</v>
      </c>
      <c r="EH16" s="1154">
        <f t="shared" si="18"/>
        <v>0</v>
      </c>
      <c r="EI16" s="1154">
        <f t="shared" si="19"/>
        <v>0</v>
      </c>
      <c r="EJ16" s="1154">
        <f t="shared" si="20"/>
        <v>0</v>
      </c>
      <c r="EK16" s="1154">
        <f t="shared" si="21"/>
        <v>0</v>
      </c>
      <c r="EL16" s="1154">
        <f t="shared" si="22"/>
        <v>0</v>
      </c>
      <c r="EM16" s="1154">
        <f t="shared" si="23"/>
        <v>0</v>
      </c>
      <c r="EN16" s="1154">
        <f t="shared" si="24"/>
        <v>0</v>
      </c>
      <c r="EO16" s="1154">
        <f t="shared" si="25"/>
        <v>1908298.6190262754</v>
      </c>
      <c r="EP16" s="1154">
        <f t="shared" si="26"/>
        <v>0</v>
      </c>
      <c r="EQ16" s="1154">
        <f t="shared" si="27"/>
        <v>0</v>
      </c>
      <c r="ER16" s="1154">
        <f t="shared" si="28"/>
        <v>0</v>
      </c>
      <c r="ES16" s="1154">
        <f t="shared" si="29"/>
        <v>0</v>
      </c>
      <c r="ET16" s="1154">
        <f t="shared" si="30"/>
        <v>0</v>
      </c>
      <c r="EU16" s="1154">
        <f t="shared" si="31"/>
        <v>0</v>
      </c>
      <c r="EV16" s="1154">
        <f t="shared" si="32"/>
        <v>0</v>
      </c>
      <c r="EW16" s="1154">
        <f t="shared" si="33"/>
        <v>0</v>
      </c>
      <c r="EX16" s="1154">
        <f t="shared" si="34"/>
        <v>0</v>
      </c>
      <c r="EY16" s="1154">
        <f t="shared" si="35"/>
        <v>0</v>
      </c>
      <c r="EZ16" s="1154">
        <f t="shared" si="36"/>
        <v>0</v>
      </c>
      <c r="FA16" s="1174">
        <f t="shared" si="37"/>
        <v>2690084.1104262755</v>
      </c>
      <c r="FC16" s="1154">
        <f t="shared" si="38"/>
        <v>407172.27155000006</v>
      </c>
      <c r="FD16" s="1154">
        <f t="shared" si="39"/>
        <v>0</v>
      </c>
      <c r="FE16" s="1154">
        <f t="shared" si="40"/>
        <v>0</v>
      </c>
      <c r="FF16" s="1154">
        <f t="shared" si="41"/>
        <v>0</v>
      </c>
      <c r="FG16" s="1154">
        <f t="shared" si="42"/>
        <v>0</v>
      </c>
      <c r="FH16" s="1154">
        <f t="shared" si="43"/>
        <v>0</v>
      </c>
      <c r="FI16" s="1154">
        <f t="shared" si="44"/>
        <v>0</v>
      </c>
      <c r="FJ16" s="1154">
        <f t="shared" si="45"/>
        <v>316883.23272000003</v>
      </c>
      <c r="FK16" s="1154">
        <f t="shared" si="46"/>
        <v>0</v>
      </c>
      <c r="FL16" s="1154">
        <f t="shared" si="47"/>
        <v>0</v>
      </c>
      <c r="FM16" s="1154">
        <f t="shared" si="48"/>
        <v>0</v>
      </c>
      <c r="FN16" s="1154">
        <f t="shared" si="49"/>
        <v>0</v>
      </c>
      <c r="FO16" s="1154">
        <f t="shared" si="50"/>
        <v>0</v>
      </c>
      <c r="FP16" s="1154">
        <f t="shared" si="51"/>
        <v>0</v>
      </c>
      <c r="FQ16" s="1154">
        <f t="shared" si="52"/>
        <v>0</v>
      </c>
      <c r="FR16" s="1154">
        <f t="shared" si="53"/>
        <v>0</v>
      </c>
      <c r="FS16" s="1154">
        <f t="shared" si="54"/>
        <v>0</v>
      </c>
      <c r="FT16" s="1154">
        <f t="shared" si="55"/>
        <v>0</v>
      </c>
      <c r="FU16" s="1154">
        <f t="shared" si="56"/>
        <v>0</v>
      </c>
      <c r="FV16" s="1154">
        <f t="shared" si="57"/>
        <v>0</v>
      </c>
      <c r="FW16" s="1154">
        <f t="shared" si="58"/>
        <v>0</v>
      </c>
      <c r="FX16" s="1154">
        <f t="shared" si="59"/>
        <v>0</v>
      </c>
      <c r="FY16" s="1154">
        <f t="shared" si="60"/>
        <v>0</v>
      </c>
      <c r="FZ16" s="1154">
        <f t="shared" si="61"/>
        <v>1719598.955502012</v>
      </c>
      <c r="GA16" s="1154">
        <f t="shared" si="62"/>
        <v>0</v>
      </c>
      <c r="GB16" s="1154">
        <f t="shared" si="63"/>
        <v>0</v>
      </c>
      <c r="GC16" s="1154">
        <f t="shared" si="64"/>
        <v>0</v>
      </c>
      <c r="GD16" s="1154">
        <f t="shared" si="65"/>
        <v>0</v>
      </c>
      <c r="GE16" s="1154">
        <f t="shared" si="66"/>
        <v>0</v>
      </c>
      <c r="GF16" s="1154">
        <f t="shared" si="67"/>
        <v>0</v>
      </c>
      <c r="GG16" s="1154">
        <f t="shared" si="68"/>
        <v>0</v>
      </c>
      <c r="GH16" s="1154">
        <f t="shared" si="69"/>
        <v>0</v>
      </c>
      <c r="GI16" s="1154">
        <f t="shared" si="70"/>
        <v>0</v>
      </c>
      <c r="GJ16" s="1154">
        <f t="shared" si="71"/>
        <v>0</v>
      </c>
      <c r="GK16" s="1154">
        <f t="shared" si="72"/>
        <v>0</v>
      </c>
      <c r="GL16" s="1174">
        <f t="shared" si="73"/>
        <v>2443654.4597720122</v>
      </c>
    </row>
    <row r="17" spans="2:194">
      <c r="B17" s="1290">
        <f>B16</f>
        <v>0</v>
      </c>
      <c r="C17" s="1289" t="str">
        <f>C16</f>
        <v>East CAC22/11kVBus Anytime</v>
      </c>
      <c r="D17" s="1113" t="str">
        <f t="shared" ref="D17:D18" si="80">D16</f>
        <v>East CAC22/11kVBus Anytime</v>
      </c>
      <c r="E17" s="1113" t="str">
        <f t="shared" ref="E17:E18" si="81">E16</f>
        <v>CAC</v>
      </c>
      <c r="F17" s="1113" t="str">
        <f t="shared" ref="F17:F18" si="82">F16</f>
        <v>CAC</v>
      </c>
      <c r="G17" s="1113" t="str">
        <f t="shared" ref="G17:G18" si="83">G16</f>
        <v>East</v>
      </c>
      <c r="H17" s="1113" t="str">
        <f t="shared" ref="H17:H18" si="84">H16</f>
        <v>EC22B</v>
      </c>
      <c r="I17" s="1114" t="s">
        <v>752</v>
      </c>
      <c r="J17" s="1114" t="s">
        <v>934</v>
      </c>
      <c r="K17" s="1270"/>
      <c r="L17" s="1233">
        <v>75.421999999999997</v>
      </c>
      <c r="M17" s="1007"/>
      <c r="N17" s="1007"/>
      <c r="O17" s="1007"/>
      <c r="P17" s="1007"/>
      <c r="Q17" s="1007"/>
      <c r="R17" s="1007"/>
      <c r="S17" s="1233">
        <v>1.474</v>
      </c>
      <c r="T17" s="1007"/>
      <c r="U17" s="1007"/>
      <c r="V17" s="1007"/>
      <c r="W17" s="1007"/>
      <c r="X17" s="1007"/>
      <c r="Y17" s="1007"/>
      <c r="Z17" s="1007"/>
      <c r="AA17" s="1007"/>
      <c r="AB17" s="1007"/>
      <c r="AC17" s="1007"/>
      <c r="AD17" s="1007"/>
      <c r="AE17" s="1007"/>
      <c r="AF17" s="1007"/>
      <c r="AG17" s="1007"/>
      <c r="AH17" s="1007"/>
      <c r="AI17" s="1224">
        <v>1.1937631525536712E-2</v>
      </c>
      <c r="AJ17" s="1005"/>
      <c r="AK17" s="1005"/>
      <c r="AL17" s="1005"/>
      <c r="AM17" s="1005"/>
      <c r="AN17" s="1005"/>
      <c r="AO17" s="1005"/>
      <c r="AP17" s="1005"/>
      <c r="AQ17" s="1005"/>
      <c r="AR17" s="1005"/>
      <c r="AS17" s="1005"/>
      <c r="AT17" s="1005"/>
      <c r="AU17" s="1138"/>
      <c r="AV17" s="1270"/>
      <c r="AW17" s="1481">
        <v>75.421750000000003</v>
      </c>
      <c r="AX17" s="1138"/>
      <c r="AY17" s="1138"/>
      <c r="AZ17" s="1138"/>
      <c r="BA17" s="1138"/>
      <c r="BB17" s="1138"/>
      <c r="BC17" s="1138"/>
      <c r="BD17" s="1481">
        <v>1.4739300000000002</v>
      </c>
      <c r="BE17" s="1138"/>
      <c r="BF17" s="1138"/>
      <c r="BG17" s="1138"/>
      <c r="BH17" s="1138"/>
      <c r="BI17" s="1138"/>
      <c r="BJ17" s="1138"/>
      <c r="BK17" s="1138"/>
      <c r="BL17" s="1138"/>
      <c r="BM17" s="1138"/>
      <c r="BN17" s="1138"/>
      <c r="BO17" s="1138"/>
      <c r="BP17" s="1138"/>
      <c r="BQ17" s="1138"/>
      <c r="BR17" s="1138"/>
      <c r="BS17" s="1138"/>
      <c r="BT17" s="1481">
        <v>1.198474395634948E-2</v>
      </c>
      <c r="BU17" s="1138"/>
      <c r="BV17" s="1138"/>
      <c r="BW17" s="1138"/>
      <c r="BX17" s="1138"/>
      <c r="BY17" s="1138"/>
      <c r="BZ17" s="1138"/>
      <c r="CA17" s="1138"/>
      <c r="CB17" s="1138"/>
      <c r="CC17" s="1138"/>
      <c r="CD17" s="1138"/>
      <c r="CE17" s="1138"/>
      <c r="CF17" s="1138"/>
      <c r="CG17" s="1209"/>
      <c r="CH17" s="1236">
        <v>11</v>
      </c>
      <c r="CI17" s="1007"/>
      <c r="CJ17" s="1007"/>
      <c r="CK17" s="1007"/>
      <c r="CL17" s="1007"/>
      <c r="CM17" s="1007"/>
      <c r="CN17" s="1007"/>
      <c r="CO17" s="1236">
        <v>41980</v>
      </c>
      <c r="CP17" s="1007"/>
      <c r="CQ17" s="1007"/>
      <c r="CR17" s="1007"/>
      <c r="CS17" s="1007"/>
      <c r="CT17" s="1007"/>
      <c r="CU17" s="1007"/>
      <c r="CV17" s="1007"/>
      <c r="CW17" s="1007"/>
      <c r="CX17" s="1007"/>
      <c r="CY17" s="1007"/>
      <c r="CZ17" s="1007"/>
      <c r="DA17" s="1007"/>
      <c r="DB17" s="1007"/>
      <c r="DC17" s="1007"/>
      <c r="DD17" s="1007"/>
      <c r="DE17" s="1236">
        <v>106431960</v>
      </c>
      <c r="DF17" s="1007"/>
      <c r="DG17" s="1007"/>
      <c r="DH17" s="1007"/>
      <c r="DI17" s="1006"/>
      <c r="DJ17" s="1006"/>
      <c r="DK17" s="1007"/>
      <c r="DL17" s="1007"/>
      <c r="DM17" s="1007"/>
      <c r="DN17" s="1007"/>
      <c r="DO17" s="1112"/>
      <c r="DP17" s="1112"/>
      <c r="DQ17" s="1270"/>
      <c r="DR17" s="1154">
        <f t="shared" si="2"/>
        <v>302819.32999999996</v>
      </c>
      <c r="DS17" s="1154">
        <f t="shared" si="3"/>
        <v>0</v>
      </c>
      <c r="DT17" s="1154">
        <f t="shared" si="4"/>
        <v>0</v>
      </c>
      <c r="DU17" s="1154">
        <f t="shared" si="5"/>
        <v>0</v>
      </c>
      <c r="DV17" s="1154">
        <f t="shared" si="6"/>
        <v>0</v>
      </c>
      <c r="DW17" s="1154">
        <f t="shared" si="7"/>
        <v>0</v>
      </c>
      <c r="DX17" s="1154">
        <f t="shared" si="8"/>
        <v>0</v>
      </c>
      <c r="DY17" s="1154">
        <f t="shared" si="9"/>
        <v>742542.24</v>
      </c>
      <c r="DZ17" s="1154">
        <f t="shared" si="10"/>
        <v>0</v>
      </c>
      <c r="EA17" s="1154">
        <f t="shared" si="11"/>
        <v>0</v>
      </c>
      <c r="EB17" s="1154">
        <f t="shared" si="12"/>
        <v>0</v>
      </c>
      <c r="EC17" s="1154">
        <f t="shared" si="13"/>
        <v>0</v>
      </c>
      <c r="ED17" s="1154">
        <f t="shared" si="14"/>
        <v>0</v>
      </c>
      <c r="EE17" s="1154">
        <f t="shared" si="15"/>
        <v>0</v>
      </c>
      <c r="EF17" s="1154">
        <f t="shared" si="16"/>
        <v>0</v>
      </c>
      <c r="EG17" s="1154">
        <f t="shared" si="17"/>
        <v>0</v>
      </c>
      <c r="EH17" s="1154">
        <f t="shared" si="18"/>
        <v>0</v>
      </c>
      <c r="EI17" s="1154">
        <f t="shared" si="19"/>
        <v>0</v>
      </c>
      <c r="EJ17" s="1154">
        <f t="shared" si="20"/>
        <v>0</v>
      </c>
      <c r="EK17" s="1154">
        <f t="shared" si="21"/>
        <v>0</v>
      </c>
      <c r="EL17" s="1154">
        <f t="shared" si="22"/>
        <v>0</v>
      </c>
      <c r="EM17" s="1154">
        <f t="shared" si="23"/>
        <v>0</v>
      </c>
      <c r="EN17" s="1154">
        <f t="shared" si="24"/>
        <v>0</v>
      </c>
      <c r="EO17" s="1154">
        <f t="shared" si="25"/>
        <v>1270545.5210206623</v>
      </c>
      <c r="EP17" s="1154">
        <f t="shared" si="26"/>
        <v>0</v>
      </c>
      <c r="EQ17" s="1154">
        <f t="shared" si="27"/>
        <v>0</v>
      </c>
      <c r="ER17" s="1154">
        <f t="shared" si="28"/>
        <v>0</v>
      </c>
      <c r="ES17" s="1154">
        <f t="shared" si="29"/>
        <v>0</v>
      </c>
      <c r="ET17" s="1154">
        <f t="shared" si="30"/>
        <v>0</v>
      </c>
      <c r="EU17" s="1154">
        <f t="shared" si="31"/>
        <v>0</v>
      </c>
      <c r="EV17" s="1154">
        <f t="shared" si="32"/>
        <v>0</v>
      </c>
      <c r="EW17" s="1154">
        <f t="shared" si="33"/>
        <v>0</v>
      </c>
      <c r="EX17" s="1154">
        <f t="shared" si="34"/>
        <v>0</v>
      </c>
      <c r="EY17" s="1154">
        <f t="shared" si="35"/>
        <v>0</v>
      </c>
      <c r="EZ17" s="1154">
        <f t="shared" si="36"/>
        <v>0</v>
      </c>
      <c r="FA17" s="1174">
        <f t="shared" si="37"/>
        <v>2315907.0910206623</v>
      </c>
      <c r="FC17" s="1154">
        <f t="shared" si="38"/>
        <v>302818.32625000004</v>
      </c>
      <c r="FD17" s="1154">
        <f t="shared" si="39"/>
        <v>0</v>
      </c>
      <c r="FE17" s="1154">
        <f t="shared" si="40"/>
        <v>0</v>
      </c>
      <c r="FF17" s="1154">
        <f t="shared" si="41"/>
        <v>0</v>
      </c>
      <c r="FG17" s="1154">
        <f t="shared" si="42"/>
        <v>0</v>
      </c>
      <c r="FH17" s="1154">
        <f t="shared" si="43"/>
        <v>0</v>
      </c>
      <c r="FI17" s="1154">
        <f t="shared" si="44"/>
        <v>0</v>
      </c>
      <c r="FJ17" s="1154">
        <f t="shared" si="45"/>
        <v>742506.97680000006</v>
      </c>
      <c r="FK17" s="1154">
        <f t="shared" si="46"/>
        <v>0</v>
      </c>
      <c r="FL17" s="1154">
        <f t="shared" si="47"/>
        <v>0</v>
      </c>
      <c r="FM17" s="1154">
        <f t="shared" si="48"/>
        <v>0</v>
      </c>
      <c r="FN17" s="1154">
        <f t="shared" si="49"/>
        <v>0</v>
      </c>
      <c r="FO17" s="1154">
        <f t="shared" si="50"/>
        <v>0</v>
      </c>
      <c r="FP17" s="1154">
        <f t="shared" si="51"/>
        <v>0</v>
      </c>
      <c r="FQ17" s="1154">
        <f t="shared" si="52"/>
        <v>0</v>
      </c>
      <c r="FR17" s="1154">
        <f t="shared" si="53"/>
        <v>0</v>
      </c>
      <c r="FS17" s="1154">
        <f t="shared" si="54"/>
        <v>0</v>
      </c>
      <c r="FT17" s="1154">
        <f t="shared" si="55"/>
        <v>0</v>
      </c>
      <c r="FU17" s="1154">
        <f t="shared" si="56"/>
        <v>0</v>
      </c>
      <c r="FV17" s="1154">
        <f t="shared" si="57"/>
        <v>0</v>
      </c>
      <c r="FW17" s="1154">
        <f t="shared" si="58"/>
        <v>0</v>
      </c>
      <c r="FX17" s="1154">
        <f t="shared" si="59"/>
        <v>0</v>
      </c>
      <c r="FY17" s="1154">
        <f t="shared" si="60"/>
        <v>0</v>
      </c>
      <c r="FZ17" s="1154">
        <f t="shared" si="61"/>
        <v>1275559.7893724295</v>
      </c>
      <c r="GA17" s="1154">
        <f t="shared" si="62"/>
        <v>0</v>
      </c>
      <c r="GB17" s="1154">
        <f t="shared" si="63"/>
        <v>0</v>
      </c>
      <c r="GC17" s="1154">
        <f t="shared" si="64"/>
        <v>0</v>
      </c>
      <c r="GD17" s="1154">
        <f t="shared" si="65"/>
        <v>0</v>
      </c>
      <c r="GE17" s="1154">
        <f t="shared" si="66"/>
        <v>0</v>
      </c>
      <c r="GF17" s="1154">
        <f t="shared" si="67"/>
        <v>0</v>
      </c>
      <c r="GG17" s="1154">
        <f t="shared" si="68"/>
        <v>0</v>
      </c>
      <c r="GH17" s="1154">
        <f t="shared" si="69"/>
        <v>0</v>
      </c>
      <c r="GI17" s="1154">
        <f t="shared" si="70"/>
        <v>0</v>
      </c>
      <c r="GJ17" s="1154">
        <f t="shared" si="71"/>
        <v>0</v>
      </c>
      <c r="GK17" s="1154">
        <f t="shared" si="72"/>
        <v>0</v>
      </c>
      <c r="GL17" s="1174">
        <f t="shared" si="73"/>
        <v>2320885.0924224295</v>
      </c>
    </row>
    <row r="18" spans="2:194">
      <c r="B18" s="1290">
        <f>B17</f>
        <v>0</v>
      </c>
      <c r="C18" s="1289" t="str">
        <f>C17</f>
        <v>East CAC22/11kVBus Anytime</v>
      </c>
      <c r="D18" s="1113" t="str">
        <f t="shared" si="80"/>
        <v>East CAC22/11kVBus Anytime</v>
      </c>
      <c r="E18" s="1113" t="str">
        <f t="shared" si="81"/>
        <v>CAC</v>
      </c>
      <c r="F18" s="1113" t="str">
        <f t="shared" si="82"/>
        <v>CAC</v>
      </c>
      <c r="G18" s="1113" t="str">
        <f t="shared" si="83"/>
        <v>East</v>
      </c>
      <c r="H18" s="1113" t="str">
        <f t="shared" si="84"/>
        <v>EC22B</v>
      </c>
      <c r="I18" s="1114" t="s">
        <v>759</v>
      </c>
      <c r="J18" s="1114" t="s">
        <v>934</v>
      </c>
      <c r="K18" s="1270"/>
      <c r="L18" s="1233">
        <v>70.440599999999989</v>
      </c>
      <c r="M18" s="1007"/>
      <c r="N18" s="1007"/>
      <c r="O18" s="1007"/>
      <c r="P18" s="1007"/>
      <c r="Q18" s="1007"/>
      <c r="R18" s="1007"/>
      <c r="S18" s="1233">
        <v>2.7227000000000001</v>
      </c>
      <c r="T18" s="1007"/>
      <c r="U18" s="1007"/>
      <c r="V18" s="1007"/>
      <c r="W18" s="1007"/>
      <c r="X18" s="1007"/>
      <c r="Y18" s="1007"/>
      <c r="Z18" s="1007"/>
      <c r="AA18" s="1007"/>
      <c r="AB18" s="1007"/>
      <c r="AC18" s="1007"/>
      <c r="AD18" s="1007"/>
      <c r="AE18" s="1007"/>
      <c r="AF18" s="1007"/>
      <c r="AG18" s="1007"/>
      <c r="AH18" s="1007"/>
      <c r="AI18" s="1224">
        <v>1.3562911090201862E-2</v>
      </c>
      <c r="AJ18" s="1005"/>
      <c r="AK18" s="1005"/>
      <c r="AL18" s="1005"/>
      <c r="AM18" s="1005"/>
      <c r="AN18" s="1005"/>
      <c r="AO18" s="1005"/>
      <c r="AP18" s="1005"/>
      <c r="AQ18" s="1005"/>
      <c r="AR18" s="1005"/>
      <c r="AS18" s="1005"/>
      <c r="AT18" s="1005"/>
      <c r="AU18" s="1006"/>
      <c r="AV18" s="1270"/>
      <c r="AW18" s="1480">
        <v>74.147639999999996</v>
      </c>
      <c r="AX18" s="1007"/>
      <c r="AY18" s="1007"/>
      <c r="AZ18" s="1007"/>
      <c r="BA18" s="1007"/>
      <c r="BB18" s="1007"/>
      <c r="BC18" s="1007"/>
      <c r="BD18" s="1482">
        <v>2.8664900000000002</v>
      </c>
      <c r="BE18" s="1007"/>
      <c r="BF18" s="1007"/>
      <c r="BG18" s="1007"/>
      <c r="BH18" s="1007"/>
      <c r="BI18" s="1007"/>
      <c r="BJ18" s="1007"/>
      <c r="BK18" s="1007"/>
      <c r="BL18" s="1007"/>
      <c r="BM18" s="1007"/>
      <c r="BN18" s="1007"/>
      <c r="BO18" s="1007"/>
      <c r="BP18" s="1007"/>
      <c r="BQ18" s="1007"/>
      <c r="BR18" s="1007"/>
      <c r="BS18" s="1007"/>
      <c r="BT18" s="1482">
        <v>1.4900282040055694E-2</v>
      </c>
      <c r="BU18" s="1007"/>
      <c r="BV18" s="1007"/>
      <c r="BW18" s="1007"/>
      <c r="BX18" s="1007"/>
      <c r="BY18" s="1007"/>
      <c r="BZ18" s="1007"/>
      <c r="CA18" s="1007"/>
      <c r="CB18" s="1007"/>
      <c r="CC18" s="1007"/>
      <c r="CD18" s="1007"/>
      <c r="CE18" s="1007"/>
      <c r="CF18" s="1007"/>
      <c r="CG18" s="1209"/>
      <c r="CH18" s="1236">
        <v>4</v>
      </c>
      <c r="CI18" s="1007"/>
      <c r="CJ18" s="1007"/>
      <c r="CK18" s="1007"/>
      <c r="CL18" s="1007"/>
      <c r="CM18" s="1007"/>
      <c r="CN18" s="1007"/>
      <c r="CO18" s="1236">
        <v>5990</v>
      </c>
      <c r="CP18" s="1007"/>
      <c r="CQ18" s="1007"/>
      <c r="CR18" s="1007"/>
      <c r="CS18" s="1007"/>
      <c r="CT18" s="1007"/>
      <c r="CU18" s="1007"/>
      <c r="CV18" s="1007"/>
      <c r="CW18" s="1007"/>
      <c r="CX18" s="1007"/>
      <c r="CY18" s="1007"/>
      <c r="CZ18" s="1007"/>
      <c r="DA18" s="1007"/>
      <c r="DB18" s="1007"/>
      <c r="DC18" s="1007"/>
      <c r="DD18" s="1007"/>
      <c r="DE18" s="1236">
        <v>15964235</v>
      </c>
      <c r="DF18" s="1007"/>
      <c r="DG18" s="1007"/>
      <c r="DH18" s="1007"/>
      <c r="DI18" s="1006"/>
      <c r="DJ18" s="1006"/>
      <c r="DK18" s="1007"/>
      <c r="DL18" s="1007"/>
      <c r="DM18" s="1007"/>
      <c r="DN18" s="1007"/>
      <c r="DO18" s="1112"/>
      <c r="DP18" s="1112"/>
      <c r="DQ18" s="1270"/>
      <c r="DR18" s="1154">
        <f t="shared" si="2"/>
        <v>102843.27599999998</v>
      </c>
      <c r="DS18" s="1154">
        <f t="shared" si="3"/>
        <v>0</v>
      </c>
      <c r="DT18" s="1154">
        <f t="shared" si="4"/>
        <v>0</v>
      </c>
      <c r="DU18" s="1154">
        <f t="shared" si="5"/>
        <v>0</v>
      </c>
      <c r="DV18" s="1154">
        <f t="shared" si="6"/>
        <v>0</v>
      </c>
      <c r="DW18" s="1154">
        <f t="shared" si="7"/>
        <v>0</v>
      </c>
      <c r="DX18" s="1154">
        <f t="shared" si="8"/>
        <v>0</v>
      </c>
      <c r="DY18" s="1154">
        <f t="shared" si="9"/>
        <v>195707.67600000001</v>
      </c>
      <c r="DZ18" s="1154">
        <f t="shared" si="10"/>
        <v>0</v>
      </c>
      <c r="EA18" s="1154">
        <f t="shared" si="11"/>
        <v>0</v>
      </c>
      <c r="EB18" s="1154">
        <f t="shared" si="12"/>
        <v>0</v>
      </c>
      <c r="EC18" s="1154">
        <f t="shared" si="13"/>
        <v>0</v>
      </c>
      <c r="ED18" s="1154">
        <f t="shared" si="14"/>
        <v>0</v>
      </c>
      <c r="EE18" s="1154">
        <f t="shared" si="15"/>
        <v>0</v>
      </c>
      <c r="EF18" s="1154">
        <f t="shared" si="16"/>
        <v>0</v>
      </c>
      <c r="EG18" s="1154">
        <f t="shared" si="17"/>
        <v>0</v>
      </c>
      <c r="EH18" s="1154">
        <f t="shared" si="18"/>
        <v>0</v>
      </c>
      <c r="EI18" s="1154">
        <f t="shared" si="19"/>
        <v>0</v>
      </c>
      <c r="EJ18" s="1154">
        <f t="shared" si="20"/>
        <v>0</v>
      </c>
      <c r="EK18" s="1154">
        <f t="shared" si="21"/>
        <v>0</v>
      </c>
      <c r="EL18" s="1154">
        <f t="shared" si="22"/>
        <v>0</v>
      </c>
      <c r="EM18" s="1154">
        <f t="shared" si="23"/>
        <v>0</v>
      </c>
      <c r="EN18" s="1154">
        <f t="shared" si="24"/>
        <v>0</v>
      </c>
      <c r="EO18" s="1154">
        <f t="shared" si="25"/>
        <v>216521.49992808871</v>
      </c>
      <c r="EP18" s="1154">
        <f t="shared" si="26"/>
        <v>0</v>
      </c>
      <c r="EQ18" s="1154">
        <f t="shared" si="27"/>
        <v>0</v>
      </c>
      <c r="ER18" s="1154">
        <f t="shared" si="28"/>
        <v>0</v>
      </c>
      <c r="ES18" s="1154">
        <f t="shared" si="29"/>
        <v>0</v>
      </c>
      <c r="ET18" s="1154">
        <f t="shared" si="30"/>
        <v>0</v>
      </c>
      <c r="EU18" s="1154">
        <f t="shared" si="31"/>
        <v>0</v>
      </c>
      <c r="EV18" s="1154">
        <f t="shared" si="32"/>
        <v>0</v>
      </c>
      <c r="EW18" s="1154">
        <f t="shared" si="33"/>
        <v>0</v>
      </c>
      <c r="EX18" s="1154">
        <f t="shared" si="34"/>
        <v>0</v>
      </c>
      <c r="EY18" s="1154">
        <f t="shared" si="35"/>
        <v>0</v>
      </c>
      <c r="EZ18" s="1154">
        <f t="shared" si="36"/>
        <v>0</v>
      </c>
      <c r="FA18" s="1174">
        <f t="shared" si="37"/>
        <v>515072.45192808867</v>
      </c>
      <c r="FC18" s="1154">
        <f t="shared" si="38"/>
        <v>108255.55439999999</v>
      </c>
      <c r="FD18" s="1154">
        <f t="shared" si="39"/>
        <v>0</v>
      </c>
      <c r="FE18" s="1154">
        <f t="shared" si="40"/>
        <v>0</v>
      </c>
      <c r="FF18" s="1154">
        <f t="shared" si="41"/>
        <v>0</v>
      </c>
      <c r="FG18" s="1154">
        <f t="shared" si="42"/>
        <v>0</v>
      </c>
      <c r="FH18" s="1154">
        <f t="shared" si="43"/>
        <v>0</v>
      </c>
      <c r="FI18" s="1154">
        <f t="shared" si="44"/>
        <v>0</v>
      </c>
      <c r="FJ18" s="1154">
        <f t="shared" si="45"/>
        <v>206043.30120000005</v>
      </c>
      <c r="FK18" s="1154">
        <f t="shared" si="46"/>
        <v>0</v>
      </c>
      <c r="FL18" s="1154">
        <f t="shared" si="47"/>
        <v>0</v>
      </c>
      <c r="FM18" s="1154">
        <f t="shared" si="48"/>
        <v>0</v>
      </c>
      <c r="FN18" s="1154">
        <f t="shared" si="49"/>
        <v>0</v>
      </c>
      <c r="FO18" s="1154">
        <f t="shared" si="50"/>
        <v>0</v>
      </c>
      <c r="FP18" s="1154">
        <f t="shared" si="51"/>
        <v>0</v>
      </c>
      <c r="FQ18" s="1154">
        <f t="shared" si="52"/>
        <v>0</v>
      </c>
      <c r="FR18" s="1154">
        <f t="shared" si="53"/>
        <v>0</v>
      </c>
      <c r="FS18" s="1154">
        <f t="shared" si="54"/>
        <v>0</v>
      </c>
      <c r="FT18" s="1154">
        <f t="shared" si="55"/>
        <v>0</v>
      </c>
      <c r="FU18" s="1154">
        <f t="shared" si="56"/>
        <v>0</v>
      </c>
      <c r="FV18" s="1154">
        <f t="shared" si="57"/>
        <v>0</v>
      </c>
      <c r="FW18" s="1154">
        <f t="shared" si="58"/>
        <v>0</v>
      </c>
      <c r="FX18" s="1154">
        <f t="shared" si="59"/>
        <v>0</v>
      </c>
      <c r="FY18" s="1154">
        <f t="shared" si="60"/>
        <v>0</v>
      </c>
      <c r="FZ18" s="1154">
        <f t="shared" si="61"/>
        <v>237871.60405372852</v>
      </c>
      <c r="GA18" s="1154">
        <f t="shared" si="62"/>
        <v>0</v>
      </c>
      <c r="GB18" s="1154">
        <f t="shared" si="63"/>
        <v>0</v>
      </c>
      <c r="GC18" s="1154">
        <f t="shared" si="64"/>
        <v>0</v>
      </c>
      <c r="GD18" s="1154">
        <f t="shared" si="65"/>
        <v>0</v>
      </c>
      <c r="GE18" s="1154">
        <f t="shared" si="66"/>
        <v>0</v>
      </c>
      <c r="GF18" s="1154">
        <f t="shared" si="67"/>
        <v>0</v>
      </c>
      <c r="GG18" s="1154">
        <f t="shared" si="68"/>
        <v>0</v>
      </c>
      <c r="GH18" s="1154">
        <f t="shared" si="69"/>
        <v>0</v>
      </c>
      <c r="GI18" s="1154">
        <f t="shared" si="70"/>
        <v>0</v>
      </c>
      <c r="GJ18" s="1154">
        <f t="shared" si="71"/>
        <v>0</v>
      </c>
      <c r="GK18" s="1154">
        <f t="shared" si="72"/>
        <v>0</v>
      </c>
      <c r="GL18" s="1174">
        <f t="shared" si="73"/>
        <v>552170.45965372853</v>
      </c>
    </row>
    <row r="19" spans="2:194">
      <c r="B19" s="1290">
        <f>Prop2021DUOSTariffs!B13</f>
        <v>0</v>
      </c>
      <c r="C19" s="1289" t="str">
        <f>Prop2021DUOSTariffs!C13</f>
        <v>East CAC22/11kVLine Anytime</v>
      </c>
      <c r="D19" s="1113" t="str">
        <f>Prop2021DUOSTariffs!D13</f>
        <v>East CAC22/11kVLine Anytime</v>
      </c>
      <c r="E19" s="1113" t="str">
        <f>Prop2021DUOSTariffs!E13</f>
        <v>CAC</v>
      </c>
      <c r="F19" s="1113" t="str">
        <f>Prop2021DUOSTariffs!F13</f>
        <v>CAC</v>
      </c>
      <c r="G19" s="1113" t="str">
        <f>Prop2021DUOSTariffs!G13</f>
        <v>East</v>
      </c>
      <c r="H19" s="1113" t="str">
        <f>IF(Prop2021DUOSTariffs!H13="","",Prop2021DUOSTariffs!H13)</f>
        <v>EC22L</v>
      </c>
      <c r="I19" s="1114" t="s">
        <v>798</v>
      </c>
      <c r="J19" s="1114" t="s">
        <v>934</v>
      </c>
      <c r="K19" s="1207"/>
      <c r="L19" s="1233">
        <v>109.52604000000001</v>
      </c>
      <c r="M19" s="1007"/>
      <c r="N19" s="1007"/>
      <c r="O19" s="1007"/>
      <c r="P19" s="1007"/>
      <c r="Q19" s="1007"/>
      <c r="R19" s="1007"/>
      <c r="S19" s="1233">
        <v>0.71820000000000006</v>
      </c>
      <c r="T19" s="1007"/>
      <c r="U19" s="1007"/>
      <c r="V19" s="1007"/>
      <c r="W19" s="1007"/>
      <c r="X19" s="1007"/>
      <c r="Y19" s="1007"/>
      <c r="Z19" s="1007"/>
      <c r="AA19" s="1007"/>
      <c r="AB19" s="1007"/>
      <c r="AC19" s="1007"/>
      <c r="AD19" s="1007"/>
      <c r="AE19" s="1007"/>
      <c r="AF19" s="1007"/>
      <c r="AG19" s="1007"/>
      <c r="AH19" s="1007"/>
      <c r="AI19" s="1224">
        <v>1.0079303034553634E-2</v>
      </c>
      <c r="AJ19" s="1005"/>
      <c r="AK19" s="1005"/>
      <c r="AL19" s="1005"/>
      <c r="AM19" s="1005"/>
      <c r="AN19" s="1005"/>
      <c r="AO19" s="1005"/>
      <c r="AP19" s="1005"/>
      <c r="AQ19" s="1005"/>
      <c r="AR19" s="1005"/>
      <c r="AS19" s="1005"/>
      <c r="AT19" s="1005"/>
      <c r="AU19" s="1006"/>
      <c r="AV19" s="1207"/>
      <c r="AW19" s="1482">
        <v>101.41277000000001</v>
      </c>
      <c r="AX19" s="1007"/>
      <c r="AY19" s="1007"/>
      <c r="AZ19" s="1007"/>
      <c r="BA19" s="1007"/>
      <c r="BB19" s="1007"/>
      <c r="BC19" s="1007"/>
      <c r="BD19" s="1482">
        <v>0.66538000000000008</v>
      </c>
      <c r="BE19" s="1007"/>
      <c r="BF19" s="1007"/>
      <c r="BG19" s="1007"/>
      <c r="BH19" s="1007"/>
      <c r="BI19" s="1007"/>
      <c r="BJ19" s="1007"/>
      <c r="BK19" s="1007"/>
      <c r="BL19" s="1007"/>
      <c r="BM19" s="1007"/>
      <c r="BN19" s="1007"/>
      <c r="BO19" s="1007"/>
      <c r="BP19" s="1007"/>
      <c r="BQ19" s="1007"/>
      <c r="BR19" s="1007"/>
      <c r="BS19" s="1007"/>
      <c r="BT19" s="1482">
        <v>9.082624070257235E-3</v>
      </c>
      <c r="BU19" s="1007"/>
      <c r="BV19" s="1007"/>
      <c r="BW19" s="1007"/>
      <c r="BX19" s="1007"/>
      <c r="BY19" s="1007"/>
      <c r="BZ19" s="1007"/>
      <c r="CA19" s="1007"/>
      <c r="CB19" s="1007"/>
      <c r="CC19" s="1007"/>
      <c r="CD19" s="1007"/>
      <c r="CE19" s="1007"/>
      <c r="CF19" s="1007"/>
      <c r="CG19" s="1209"/>
      <c r="CH19" s="1236">
        <v>38</v>
      </c>
      <c r="CI19" s="1007"/>
      <c r="CJ19" s="1007"/>
      <c r="CK19" s="1007"/>
      <c r="CL19" s="1007"/>
      <c r="CM19" s="1007"/>
      <c r="CN19" s="1007"/>
      <c r="CO19" s="1236">
        <v>75240</v>
      </c>
      <c r="CP19" s="1007"/>
      <c r="CQ19" s="1007"/>
      <c r="CR19" s="1007"/>
      <c r="CS19" s="1007"/>
      <c r="CT19" s="1007"/>
      <c r="CU19" s="1007"/>
      <c r="CV19" s="1007"/>
      <c r="CW19" s="1007"/>
      <c r="CX19" s="1007"/>
      <c r="CY19" s="1007"/>
      <c r="CZ19" s="1007"/>
      <c r="DA19" s="1007"/>
      <c r="DB19" s="1007"/>
      <c r="DC19" s="1007"/>
      <c r="DD19" s="1007"/>
      <c r="DE19" s="1236">
        <v>235604752</v>
      </c>
      <c r="DF19" s="1007"/>
      <c r="DG19" s="1007"/>
      <c r="DH19" s="1007"/>
      <c r="DI19" s="1006"/>
      <c r="DJ19" s="1006"/>
      <c r="DK19" s="1007"/>
      <c r="DL19" s="1007"/>
      <c r="DM19" s="1007"/>
      <c r="DN19" s="1007"/>
      <c r="DO19" s="1112"/>
      <c r="DP19" s="1112"/>
      <c r="DQ19" s="1207"/>
      <c r="DR19" s="1154">
        <f t="shared" si="2"/>
        <v>1519126.1747999999</v>
      </c>
      <c r="DS19" s="1154">
        <f t="shared" si="3"/>
        <v>0</v>
      </c>
      <c r="DT19" s="1154">
        <f t="shared" si="4"/>
        <v>0</v>
      </c>
      <c r="DU19" s="1154">
        <f t="shared" si="5"/>
        <v>0</v>
      </c>
      <c r="DV19" s="1154">
        <f t="shared" si="6"/>
        <v>0</v>
      </c>
      <c r="DW19" s="1154">
        <f t="shared" si="7"/>
        <v>0</v>
      </c>
      <c r="DX19" s="1154">
        <f t="shared" si="8"/>
        <v>0</v>
      </c>
      <c r="DY19" s="1154">
        <f t="shared" si="9"/>
        <v>648448.41599999997</v>
      </c>
      <c r="DZ19" s="1154">
        <f t="shared" si="10"/>
        <v>0</v>
      </c>
      <c r="EA19" s="1154">
        <f t="shared" si="11"/>
        <v>0</v>
      </c>
      <c r="EB19" s="1154">
        <f t="shared" si="12"/>
        <v>0</v>
      </c>
      <c r="EC19" s="1154">
        <f t="shared" si="13"/>
        <v>0</v>
      </c>
      <c r="ED19" s="1154">
        <f t="shared" si="14"/>
        <v>0</v>
      </c>
      <c r="EE19" s="1154">
        <f t="shared" si="15"/>
        <v>0</v>
      </c>
      <c r="EF19" s="1154">
        <f t="shared" si="16"/>
        <v>0</v>
      </c>
      <c r="EG19" s="1154">
        <f t="shared" si="17"/>
        <v>0</v>
      </c>
      <c r="EH19" s="1154">
        <f t="shared" si="18"/>
        <v>0</v>
      </c>
      <c r="EI19" s="1154">
        <f t="shared" si="19"/>
        <v>0</v>
      </c>
      <c r="EJ19" s="1154">
        <f t="shared" si="20"/>
        <v>0</v>
      </c>
      <c r="EK19" s="1154">
        <f t="shared" si="21"/>
        <v>0</v>
      </c>
      <c r="EL19" s="1154">
        <f t="shared" si="22"/>
        <v>0</v>
      </c>
      <c r="EM19" s="1154">
        <f t="shared" si="23"/>
        <v>0</v>
      </c>
      <c r="EN19" s="1154">
        <f t="shared" si="24"/>
        <v>0</v>
      </c>
      <c r="EO19" s="1154">
        <f t="shared" si="25"/>
        <v>2374731.6917888564</v>
      </c>
      <c r="EP19" s="1154">
        <f t="shared" si="26"/>
        <v>0</v>
      </c>
      <c r="EQ19" s="1154">
        <f t="shared" si="27"/>
        <v>0</v>
      </c>
      <c r="ER19" s="1154">
        <f t="shared" si="28"/>
        <v>0</v>
      </c>
      <c r="ES19" s="1154">
        <f t="shared" si="29"/>
        <v>0</v>
      </c>
      <c r="ET19" s="1154">
        <f t="shared" si="30"/>
        <v>0</v>
      </c>
      <c r="EU19" s="1154">
        <f t="shared" si="31"/>
        <v>0</v>
      </c>
      <c r="EV19" s="1154">
        <f t="shared" si="32"/>
        <v>0</v>
      </c>
      <c r="EW19" s="1154">
        <f t="shared" si="33"/>
        <v>0</v>
      </c>
      <c r="EX19" s="1154">
        <f t="shared" si="34"/>
        <v>0</v>
      </c>
      <c r="EY19" s="1154">
        <f t="shared" si="35"/>
        <v>0</v>
      </c>
      <c r="EZ19" s="1154">
        <f t="shared" si="36"/>
        <v>0</v>
      </c>
      <c r="FA19" s="1174">
        <f t="shared" si="37"/>
        <v>4542306.2825888563</v>
      </c>
      <c r="FC19" s="1154">
        <f t="shared" si="38"/>
        <v>1406595.1199</v>
      </c>
      <c r="FD19" s="1154">
        <f t="shared" si="39"/>
        <v>0</v>
      </c>
      <c r="FE19" s="1154">
        <f t="shared" si="40"/>
        <v>0</v>
      </c>
      <c r="FF19" s="1154">
        <f t="shared" si="41"/>
        <v>0</v>
      </c>
      <c r="FG19" s="1154">
        <f t="shared" si="42"/>
        <v>0</v>
      </c>
      <c r="FH19" s="1154">
        <f t="shared" si="43"/>
        <v>0</v>
      </c>
      <c r="FI19" s="1154">
        <f t="shared" si="44"/>
        <v>0</v>
      </c>
      <c r="FJ19" s="1154">
        <f t="shared" si="45"/>
        <v>600758.29440000013</v>
      </c>
      <c r="FK19" s="1154">
        <f t="shared" si="46"/>
        <v>0</v>
      </c>
      <c r="FL19" s="1154">
        <f t="shared" si="47"/>
        <v>0</v>
      </c>
      <c r="FM19" s="1154">
        <f t="shared" si="48"/>
        <v>0</v>
      </c>
      <c r="FN19" s="1154">
        <f t="shared" si="49"/>
        <v>0</v>
      </c>
      <c r="FO19" s="1154">
        <f t="shared" si="50"/>
        <v>0</v>
      </c>
      <c r="FP19" s="1154">
        <f t="shared" si="51"/>
        <v>0</v>
      </c>
      <c r="FQ19" s="1154">
        <f t="shared" si="52"/>
        <v>0</v>
      </c>
      <c r="FR19" s="1154">
        <f t="shared" si="53"/>
        <v>0</v>
      </c>
      <c r="FS19" s="1154">
        <f t="shared" si="54"/>
        <v>0</v>
      </c>
      <c r="FT19" s="1154">
        <f t="shared" si="55"/>
        <v>0</v>
      </c>
      <c r="FU19" s="1154">
        <f t="shared" si="56"/>
        <v>0</v>
      </c>
      <c r="FV19" s="1154">
        <f t="shared" si="57"/>
        <v>0</v>
      </c>
      <c r="FW19" s="1154">
        <f t="shared" si="58"/>
        <v>0</v>
      </c>
      <c r="FX19" s="1154">
        <f t="shared" si="59"/>
        <v>0</v>
      </c>
      <c r="FY19" s="1154">
        <f t="shared" si="60"/>
        <v>0</v>
      </c>
      <c r="FZ19" s="1154">
        <f t="shared" si="61"/>
        <v>2139909.3915821863</v>
      </c>
      <c r="GA19" s="1154">
        <f t="shared" si="62"/>
        <v>0</v>
      </c>
      <c r="GB19" s="1154">
        <f t="shared" si="63"/>
        <v>0</v>
      </c>
      <c r="GC19" s="1154">
        <f t="shared" si="64"/>
        <v>0</v>
      </c>
      <c r="GD19" s="1154">
        <f t="shared" si="65"/>
        <v>0</v>
      </c>
      <c r="GE19" s="1154">
        <f t="shared" si="66"/>
        <v>0</v>
      </c>
      <c r="GF19" s="1154">
        <f t="shared" si="67"/>
        <v>0</v>
      </c>
      <c r="GG19" s="1154">
        <f t="shared" si="68"/>
        <v>0</v>
      </c>
      <c r="GH19" s="1154">
        <f t="shared" si="69"/>
        <v>0</v>
      </c>
      <c r="GI19" s="1154">
        <f t="shared" si="70"/>
        <v>0</v>
      </c>
      <c r="GJ19" s="1154">
        <f t="shared" si="71"/>
        <v>0</v>
      </c>
      <c r="GK19" s="1154">
        <f t="shared" si="72"/>
        <v>0</v>
      </c>
      <c r="GL19" s="1174">
        <f t="shared" si="73"/>
        <v>4147262.8058821866</v>
      </c>
    </row>
    <row r="20" spans="2:194">
      <c r="B20" s="1290">
        <f>B19</f>
        <v>0</v>
      </c>
      <c r="C20" s="1289" t="str">
        <f>C19</f>
        <v>East CAC22/11kVLine Anytime</v>
      </c>
      <c r="D20" s="1113" t="str">
        <f t="shared" ref="D20:D21" si="85">D19</f>
        <v>East CAC22/11kVLine Anytime</v>
      </c>
      <c r="E20" s="1113" t="str">
        <f t="shared" ref="E20:E21" si="86">E19</f>
        <v>CAC</v>
      </c>
      <c r="F20" s="1113" t="str">
        <f t="shared" ref="F20:F21" si="87">F19</f>
        <v>CAC</v>
      </c>
      <c r="G20" s="1113" t="str">
        <f t="shared" ref="G20:G21" si="88">G19</f>
        <v>East</v>
      </c>
      <c r="H20" s="1113" t="str">
        <f t="shared" ref="H20:H21" si="89">H19</f>
        <v>EC22L</v>
      </c>
      <c r="I20" s="1114" t="s">
        <v>752</v>
      </c>
      <c r="J20" s="1114" t="s">
        <v>934</v>
      </c>
      <c r="K20" s="1270"/>
      <c r="L20" s="1233">
        <v>75.421999999999997</v>
      </c>
      <c r="M20" s="1007"/>
      <c r="N20" s="1007"/>
      <c r="O20" s="1007"/>
      <c r="P20" s="1007"/>
      <c r="Q20" s="1007"/>
      <c r="R20" s="1007"/>
      <c r="S20" s="1233">
        <v>1.474</v>
      </c>
      <c r="T20" s="1007"/>
      <c r="U20" s="1007"/>
      <c r="V20" s="1007"/>
      <c r="W20" s="1007"/>
      <c r="X20" s="1007"/>
      <c r="Y20" s="1007"/>
      <c r="Z20" s="1007"/>
      <c r="AA20" s="1007"/>
      <c r="AB20" s="1007"/>
      <c r="AC20" s="1007"/>
      <c r="AD20" s="1007"/>
      <c r="AE20" s="1007"/>
      <c r="AF20" s="1007"/>
      <c r="AG20" s="1007"/>
      <c r="AH20" s="1007"/>
      <c r="AI20" s="1224">
        <v>1.1937631525536712E-2</v>
      </c>
      <c r="AJ20" s="1005"/>
      <c r="AK20" s="1005"/>
      <c r="AL20" s="1005"/>
      <c r="AM20" s="1005"/>
      <c r="AN20" s="1005"/>
      <c r="AO20" s="1005"/>
      <c r="AP20" s="1005"/>
      <c r="AQ20" s="1005"/>
      <c r="AR20" s="1005"/>
      <c r="AS20" s="1005"/>
      <c r="AT20" s="1005"/>
      <c r="AU20" s="1206"/>
      <c r="AV20" s="1270"/>
      <c r="AW20" s="1482">
        <v>75.421750000000003</v>
      </c>
      <c r="AX20" s="1007"/>
      <c r="AY20" s="1007"/>
      <c r="AZ20" s="1007"/>
      <c r="BA20" s="1007"/>
      <c r="BB20" s="1007"/>
      <c r="BC20" s="1007"/>
      <c r="BD20" s="1482">
        <v>1.4739300000000002</v>
      </c>
      <c r="BE20" s="1007"/>
      <c r="BF20" s="1007"/>
      <c r="BG20" s="1007"/>
      <c r="BH20" s="1007"/>
      <c r="BI20" s="1007"/>
      <c r="BJ20" s="1007"/>
      <c r="BK20" s="1007"/>
      <c r="BL20" s="1007"/>
      <c r="BM20" s="1007"/>
      <c r="BN20" s="1007"/>
      <c r="BO20" s="1007"/>
      <c r="BP20" s="1007"/>
      <c r="BQ20" s="1007"/>
      <c r="BR20" s="1007"/>
      <c r="BS20" s="1007"/>
      <c r="BT20" s="1482">
        <v>1.198474395634948E-2</v>
      </c>
      <c r="BU20" s="1007"/>
      <c r="BV20" s="1007"/>
      <c r="BW20" s="1007"/>
      <c r="BX20" s="1007"/>
      <c r="BY20" s="1007"/>
      <c r="BZ20" s="1007"/>
      <c r="CA20" s="1007"/>
      <c r="CB20" s="1007"/>
      <c r="CC20" s="1007"/>
      <c r="CD20" s="1007"/>
      <c r="CE20" s="1007"/>
      <c r="CF20" s="1007"/>
      <c r="CG20" s="1209"/>
      <c r="CH20" s="1236">
        <v>24</v>
      </c>
      <c r="CI20" s="1007"/>
      <c r="CJ20" s="1007"/>
      <c r="CK20" s="1007"/>
      <c r="CL20" s="1007"/>
      <c r="CM20" s="1007"/>
      <c r="CN20" s="1007"/>
      <c r="CO20" s="1236">
        <v>50730</v>
      </c>
      <c r="CP20" s="1007"/>
      <c r="CQ20" s="1007"/>
      <c r="CR20" s="1007"/>
      <c r="CS20" s="1007"/>
      <c r="CT20" s="1007"/>
      <c r="CU20" s="1007"/>
      <c r="CV20" s="1007"/>
      <c r="CW20" s="1007"/>
      <c r="CX20" s="1007"/>
      <c r="CY20" s="1007"/>
      <c r="CZ20" s="1007"/>
      <c r="DA20" s="1007"/>
      <c r="DB20" s="1007"/>
      <c r="DC20" s="1007"/>
      <c r="DD20" s="1007"/>
      <c r="DE20" s="1236">
        <v>164525014</v>
      </c>
      <c r="DF20" s="1007"/>
      <c r="DG20" s="1007"/>
      <c r="DH20" s="1007"/>
      <c r="DI20" s="1006"/>
      <c r="DJ20" s="1006"/>
      <c r="DK20" s="1007"/>
      <c r="DL20" s="1007"/>
      <c r="DM20" s="1007"/>
      <c r="DN20" s="1007"/>
      <c r="DO20" s="1112"/>
      <c r="DP20" s="1112"/>
      <c r="DQ20" s="1270"/>
      <c r="DR20" s="1154">
        <f t="shared" si="2"/>
        <v>660696.72</v>
      </c>
      <c r="DS20" s="1154">
        <f t="shared" si="3"/>
        <v>0</v>
      </c>
      <c r="DT20" s="1154">
        <f t="shared" si="4"/>
        <v>0</v>
      </c>
      <c r="DU20" s="1154">
        <f t="shared" si="5"/>
        <v>0</v>
      </c>
      <c r="DV20" s="1154">
        <f t="shared" si="6"/>
        <v>0</v>
      </c>
      <c r="DW20" s="1154">
        <f t="shared" si="7"/>
        <v>0</v>
      </c>
      <c r="DX20" s="1154">
        <f t="shared" si="8"/>
        <v>0</v>
      </c>
      <c r="DY20" s="1154">
        <f t="shared" si="9"/>
        <v>897312.24</v>
      </c>
      <c r="DZ20" s="1154">
        <f t="shared" si="10"/>
        <v>0</v>
      </c>
      <c r="EA20" s="1154">
        <f t="shared" si="11"/>
        <v>0</v>
      </c>
      <c r="EB20" s="1154">
        <f t="shared" si="12"/>
        <v>0</v>
      </c>
      <c r="EC20" s="1154">
        <f t="shared" si="13"/>
        <v>0</v>
      </c>
      <c r="ED20" s="1154">
        <f t="shared" si="14"/>
        <v>0</v>
      </c>
      <c r="EE20" s="1154">
        <f t="shared" si="15"/>
        <v>0</v>
      </c>
      <c r="EF20" s="1154">
        <f t="shared" si="16"/>
        <v>0</v>
      </c>
      <c r="EG20" s="1154">
        <f t="shared" si="17"/>
        <v>0</v>
      </c>
      <c r="EH20" s="1154">
        <f t="shared" si="18"/>
        <v>0</v>
      </c>
      <c r="EI20" s="1154">
        <f t="shared" si="19"/>
        <v>0</v>
      </c>
      <c r="EJ20" s="1154">
        <f t="shared" si="20"/>
        <v>0</v>
      </c>
      <c r="EK20" s="1154">
        <f t="shared" si="21"/>
        <v>0</v>
      </c>
      <c r="EL20" s="1154">
        <f t="shared" si="22"/>
        <v>0</v>
      </c>
      <c r="EM20" s="1154">
        <f t="shared" si="23"/>
        <v>0</v>
      </c>
      <c r="EN20" s="1154">
        <f t="shared" si="24"/>
        <v>0</v>
      </c>
      <c r="EO20" s="1154">
        <f t="shared" si="25"/>
        <v>1964038.9938657689</v>
      </c>
      <c r="EP20" s="1154">
        <f t="shared" si="26"/>
        <v>0</v>
      </c>
      <c r="EQ20" s="1154">
        <f t="shared" si="27"/>
        <v>0</v>
      </c>
      <c r="ER20" s="1154">
        <f t="shared" si="28"/>
        <v>0</v>
      </c>
      <c r="ES20" s="1154">
        <f t="shared" si="29"/>
        <v>0</v>
      </c>
      <c r="ET20" s="1154">
        <f t="shared" si="30"/>
        <v>0</v>
      </c>
      <c r="EU20" s="1154">
        <f t="shared" si="31"/>
        <v>0</v>
      </c>
      <c r="EV20" s="1154">
        <f t="shared" si="32"/>
        <v>0</v>
      </c>
      <c r="EW20" s="1154">
        <f t="shared" si="33"/>
        <v>0</v>
      </c>
      <c r="EX20" s="1154">
        <f t="shared" si="34"/>
        <v>0</v>
      </c>
      <c r="EY20" s="1154">
        <f t="shared" si="35"/>
        <v>0</v>
      </c>
      <c r="EZ20" s="1154">
        <f t="shared" si="36"/>
        <v>0</v>
      </c>
      <c r="FA20" s="1174">
        <f t="shared" si="37"/>
        <v>3522047.9538657689</v>
      </c>
      <c r="FC20" s="1154">
        <f t="shared" si="38"/>
        <v>660694.53</v>
      </c>
      <c r="FD20" s="1154">
        <f t="shared" si="39"/>
        <v>0</v>
      </c>
      <c r="FE20" s="1154">
        <f t="shared" si="40"/>
        <v>0</v>
      </c>
      <c r="FF20" s="1154">
        <f t="shared" si="41"/>
        <v>0</v>
      </c>
      <c r="FG20" s="1154">
        <f t="shared" si="42"/>
        <v>0</v>
      </c>
      <c r="FH20" s="1154">
        <f t="shared" si="43"/>
        <v>0</v>
      </c>
      <c r="FI20" s="1154">
        <f t="shared" si="44"/>
        <v>0</v>
      </c>
      <c r="FJ20" s="1154">
        <f t="shared" si="45"/>
        <v>897269.62680000009</v>
      </c>
      <c r="FK20" s="1154">
        <f t="shared" si="46"/>
        <v>0</v>
      </c>
      <c r="FL20" s="1154">
        <f t="shared" si="47"/>
        <v>0</v>
      </c>
      <c r="FM20" s="1154">
        <f t="shared" si="48"/>
        <v>0</v>
      </c>
      <c r="FN20" s="1154">
        <f t="shared" si="49"/>
        <v>0</v>
      </c>
      <c r="FO20" s="1154">
        <f t="shared" si="50"/>
        <v>0</v>
      </c>
      <c r="FP20" s="1154">
        <f t="shared" si="51"/>
        <v>0</v>
      </c>
      <c r="FQ20" s="1154">
        <f t="shared" si="52"/>
        <v>0</v>
      </c>
      <c r="FR20" s="1154">
        <f t="shared" si="53"/>
        <v>0</v>
      </c>
      <c r="FS20" s="1154">
        <f t="shared" si="54"/>
        <v>0</v>
      </c>
      <c r="FT20" s="1154">
        <f t="shared" si="55"/>
        <v>0</v>
      </c>
      <c r="FU20" s="1154">
        <f t="shared" si="56"/>
        <v>0</v>
      </c>
      <c r="FV20" s="1154">
        <f t="shared" si="57"/>
        <v>0</v>
      </c>
      <c r="FW20" s="1154">
        <f t="shared" si="58"/>
        <v>0</v>
      </c>
      <c r="FX20" s="1154">
        <f t="shared" si="59"/>
        <v>0</v>
      </c>
      <c r="FY20" s="1154">
        <f t="shared" si="60"/>
        <v>0</v>
      </c>
      <c r="FZ20" s="1154">
        <f t="shared" si="61"/>
        <v>1971790.1672048136</v>
      </c>
      <c r="GA20" s="1154">
        <f t="shared" si="62"/>
        <v>0</v>
      </c>
      <c r="GB20" s="1154">
        <f t="shared" si="63"/>
        <v>0</v>
      </c>
      <c r="GC20" s="1154">
        <f t="shared" si="64"/>
        <v>0</v>
      </c>
      <c r="GD20" s="1154">
        <f t="shared" si="65"/>
        <v>0</v>
      </c>
      <c r="GE20" s="1154">
        <f t="shared" si="66"/>
        <v>0</v>
      </c>
      <c r="GF20" s="1154">
        <f t="shared" si="67"/>
        <v>0</v>
      </c>
      <c r="GG20" s="1154">
        <f t="shared" si="68"/>
        <v>0</v>
      </c>
      <c r="GH20" s="1154">
        <f t="shared" si="69"/>
        <v>0</v>
      </c>
      <c r="GI20" s="1154">
        <f t="shared" si="70"/>
        <v>0</v>
      </c>
      <c r="GJ20" s="1154">
        <f t="shared" si="71"/>
        <v>0</v>
      </c>
      <c r="GK20" s="1154">
        <f t="shared" si="72"/>
        <v>0</v>
      </c>
      <c r="GL20" s="1174">
        <f t="shared" si="73"/>
        <v>3529754.3240048136</v>
      </c>
    </row>
    <row r="21" spans="2:194">
      <c r="B21" s="1290">
        <f>B20</f>
        <v>0</v>
      </c>
      <c r="C21" s="1289" t="str">
        <f>C20</f>
        <v>East CAC22/11kVLine Anytime</v>
      </c>
      <c r="D21" s="1113" t="str">
        <f t="shared" si="85"/>
        <v>East CAC22/11kVLine Anytime</v>
      </c>
      <c r="E21" s="1113" t="str">
        <f t="shared" si="86"/>
        <v>CAC</v>
      </c>
      <c r="F21" s="1113" t="str">
        <f t="shared" si="87"/>
        <v>CAC</v>
      </c>
      <c r="G21" s="1113" t="str">
        <f t="shared" si="88"/>
        <v>East</v>
      </c>
      <c r="H21" s="1113" t="str">
        <f t="shared" si="89"/>
        <v>EC22L</v>
      </c>
      <c r="I21" s="1114" t="s">
        <v>759</v>
      </c>
      <c r="J21" s="1114" t="s">
        <v>934</v>
      </c>
      <c r="K21" s="1270"/>
      <c r="L21" s="1233">
        <v>70.440599999999989</v>
      </c>
      <c r="M21" s="1007"/>
      <c r="N21" s="1007"/>
      <c r="O21" s="1007"/>
      <c r="P21" s="1007"/>
      <c r="Q21" s="1007"/>
      <c r="R21" s="1007"/>
      <c r="S21" s="1233">
        <v>2.7227000000000001</v>
      </c>
      <c r="T21" s="1007"/>
      <c r="U21" s="1007"/>
      <c r="V21" s="1007"/>
      <c r="W21" s="1007"/>
      <c r="X21" s="1007"/>
      <c r="Y21" s="1007"/>
      <c r="Z21" s="1007"/>
      <c r="AA21" s="1007"/>
      <c r="AB21" s="1007"/>
      <c r="AC21" s="1007"/>
      <c r="AD21" s="1007"/>
      <c r="AE21" s="1007"/>
      <c r="AF21" s="1007"/>
      <c r="AG21" s="1007"/>
      <c r="AH21" s="1007"/>
      <c r="AI21" s="1224">
        <v>1.3562911090201862E-2</v>
      </c>
      <c r="AJ21" s="1005"/>
      <c r="AK21" s="1005"/>
      <c r="AL21" s="1005"/>
      <c r="AM21" s="1005"/>
      <c r="AN21" s="1005"/>
      <c r="AO21" s="1005"/>
      <c r="AP21" s="1005"/>
      <c r="AQ21" s="1005"/>
      <c r="AR21" s="1005"/>
      <c r="AS21" s="1005"/>
      <c r="AT21" s="1005"/>
      <c r="AU21" s="1206"/>
      <c r="AV21" s="1270"/>
      <c r="AW21" s="1482">
        <v>74.147639999999996</v>
      </c>
      <c r="AX21" s="1007"/>
      <c r="AY21" s="1007"/>
      <c r="AZ21" s="1007"/>
      <c r="BA21" s="1007"/>
      <c r="BB21" s="1007"/>
      <c r="BC21" s="1007"/>
      <c r="BD21" s="1482">
        <v>2.8664900000000002</v>
      </c>
      <c r="BE21" s="1007"/>
      <c r="BF21" s="1007"/>
      <c r="BG21" s="1007"/>
      <c r="BH21" s="1007"/>
      <c r="BI21" s="1007"/>
      <c r="BJ21" s="1007"/>
      <c r="BK21" s="1007"/>
      <c r="BL21" s="1007"/>
      <c r="BM21" s="1007"/>
      <c r="BN21" s="1007"/>
      <c r="BO21" s="1007"/>
      <c r="BP21" s="1007"/>
      <c r="BQ21" s="1007"/>
      <c r="BR21" s="1007"/>
      <c r="BS21" s="1007"/>
      <c r="BT21" s="1482">
        <v>1.4900282040055694E-2</v>
      </c>
      <c r="BU21" s="1007"/>
      <c r="BV21" s="1007"/>
      <c r="BW21" s="1007"/>
      <c r="BX21" s="1007"/>
      <c r="BY21" s="1007"/>
      <c r="BZ21" s="1007"/>
      <c r="CA21" s="1007"/>
      <c r="CB21" s="1007"/>
      <c r="CC21" s="1007"/>
      <c r="CD21" s="1007"/>
      <c r="CE21" s="1007"/>
      <c r="CF21" s="1007"/>
      <c r="CG21" s="1209"/>
      <c r="CH21" s="1236">
        <v>33</v>
      </c>
      <c r="CI21" s="1007"/>
      <c r="CJ21" s="1007"/>
      <c r="CK21" s="1007"/>
      <c r="CL21" s="1007"/>
      <c r="CM21" s="1007"/>
      <c r="CN21" s="1007"/>
      <c r="CO21" s="1236">
        <v>58861</v>
      </c>
      <c r="CP21" s="1007"/>
      <c r="CQ21" s="1007"/>
      <c r="CR21" s="1007"/>
      <c r="CS21" s="1007"/>
      <c r="CT21" s="1007"/>
      <c r="CU21" s="1007"/>
      <c r="CV21" s="1007"/>
      <c r="CW21" s="1007"/>
      <c r="CX21" s="1007"/>
      <c r="CY21" s="1007"/>
      <c r="CZ21" s="1007"/>
      <c r="DA21" s="1007"/>
      <c r="DB21" s="1007"/>
      <c r="DC21" s="1007"/>
      <c r="DD21" s="1007"/>
      <c r="DE21" s="1236">
        <v>184019982</v>
      </c>
      <c r="DF21" s="1007"/>
      <c r="DG21" s="1007"/>
      <c r="DH21" s="1007"/>
      <c r="DI21" s="1006"/>
      <c r="DJ21" s="1006"/>
      <c r="DK21" s="1007"/>
      <c r="DL21" s="1007"/>
      <c r="DM21" s="1007"/>
      <c r="DN21" s="1007"/>
      <c r="DO21" s="1112"/>
      <c r="DP21" s="1112"/>
      <c r="DQ21" s="1270"/>
      <c r="DR21" s="1154">
        <f t="shared" si="2"/>
        <v>848457.02699999989</v>
      </c>
      <c r="DS21" s="1154">
        <f t="shared" si="3"/>
        <v>0</v>
      </c>
      <c r="DT21" s="1154">
        <f t="shared" si="4"/>
        <v>0</v>
      </c>
      <c r="DU21" s="1154">
        <f t="shared" si="5"/>
        <v>0</v>
      </c>
      <c r="DV21" s="1154">
        <f t="shared" si="6"/>
        <v>0</v>
      </c>
      <c r="DW21" s="1154">
        <f t="shared" si="7"/>
        <v>0</v>
      </c>
      <c r="DX21" s="1154">
        <f t="shared" si="8"/>
        <v>0</v>
      </c>
      <c r="DY21" s="1154">
        <f t="shared" si="9"/>
        <v>1923130.1364000002</v>
      </c>
      <c r="DZ21" s="1154">
        <f t="shared" si="10"/>
        <v>0</v>
      </c>
      <c r="EA21" s="1154">
        <f t="shared" si="11"/>
        <v>0</v>
      </c>
      <c r="EB21" s="1154">
        <f t="shared" si="12"/>
        <v>0</v>
      </c>
      <c r="EC21" s="1154">
        <f t="shared" si="13"/>
        <v>0</v>
      </c>
      <c r="ED21" s="1154">
        <f t="shared" si="14"/>
        <v>0</v>
      </c>
      <c r="EE21" s="1154">
        <f t="shared" si="15"/>
        <v>0</v>
      </c>
      <c r="EF21" s="1154">
        <f t="shared" si="16"/>
        <v>0</v>
      </c>
      <c r="EG21" s="1154">
        <f t="shared" si="17"/>
        <v>0</v>
      </c>
      <c r="EH21" s="1154">
        <f t="shared" si="18"/>
        <v>0</v>
      </c>
      <c r="EI21" s="1154">
        <f t="shared" si="19"/>
        <v>0</v>
      </c>
      <c r="EJ21" s="1154">
        <f t="shared" si="20"/>
        <v>0</v>
      </c>
      <c r="EK21" s="1154">
        <f t="shared" si="21"/>
        <v>0</v>
      </c>
      <c r="EL21" s="1154">
        <f t="shared" si="22"/>
        <v>0</v>
      </c>
      <c r="EM21" s="1154">
        <f t="shared" si="23"/>
        <v>0</v>
      </c>
      <c r="EN21" s="1154">
        <f t="shared" si="24"/>
        <v>0</v>
      </c>
      <c r="EO21" s="1154">
        <f t="shared" si="25"/>
        <v>2495846.6546865469</v>
      </c>
      <c r="EP21" s="1154">
        <f t="shared" si="26"/>
        <v>0</v>
      </c>
      <c r="EQ21" s="1154">
        <f t="shared" si="27"/>
        <v>0</v>
      </c>
      <c r="ER21" s="1154">
        <f t="shared" si="28"/>
        <v>0</v>
      </c>
      <c r="ES21" s="1154">
        <f t="shared" si="29"/>
        <v>0</v>
      </c>
      <c r="ET21" s="1154">
        <f t="shared" si="30"/>
        <v>0</v>
      </c>
      <c r="EU21" s="1154">
        <f t="shared" si="31"/>
        <v>0</v>
      </c>
      <c r="EV21" s="1154">
        <f t="shared" si="32"/>
        <v>0</v>
      </c>
      <c r="EW21" s="1154">
        <f t="shared" si="33"/>
        <v>0</v>
      </c>
      <c r="EX21" s="1154">
        <f t="shared" si="34"/>
        <v>0</v>
      </c>
      <c r="EY21" s="1154">
        <f t="shared" si="35"/>
        <v>0</v>
      </c>
      <c r="EZ21" s="1154">
        <f t="shared" si="36"/>
        <v>0</v>
      </c>
      <c r="FA21" s="1174">
        <f t="shared" si="37"/>
        <v>5267433.8180865468</v>
      </c>
      <c r="FC21" s="1154">
        <f t="shared" si="38"/>
        <v>893108.32380000001</v>
      </c>
      <c r="FD21" s="1154">
        <f t="shared" si="39"/>
        <v>0</v>
      </c>
      <c r="FE21" s="1154">
        <f t="shared" si="40"/>
        <v>0</v>
      </c>
      <c r="FF21" s="1154">
        <f t="shared" si="41"/>
        <v>0</v>
      </c>
      <c r="FG21" s="1154">
        <f t="shared" si="42"/>
        <v>0</v>
      </c>
      <c r="FH21" s="1154">
        <f t="shared" si="43"/>
        <v>0</v>
      </c>
      <c r="FI21" s="1154">
        <f t="shared" si="44"/>
        <v>0</v>
      </c>
      <c r="FJ21" s="1154">
        <f t="shared" si="45"/>
        <v>2024693.6146800001</v>
      </c>
      <c r="FK21" s="1154">
        <f t="shared" si="46"/>
        <v>0</v>
      </c>
      <c r="FL21" s="1154">
        <f t="shared" si="47"/>
        <v>0</v>
      </c>
      <c r="FM21" s="1154">
        <f t="shared" si="48"/>
        <v>0</v>
      </c>
      <c r="FN21" s="1154">
        <f t="shared" si="49"/>
        <v>0</v>
      </c>
      <c r="FO21" s="1154">
        <f t="shared" si="50"/>
        <v>0</v>
      </c>
      <c r="FP21" s="1154">
        <f t="shared" si="51"/>
        <v>0</v>
      </c>
      <c r="FQ21" s="1154">
        <f t="shared" si="52"/>
        <v>0</v>
      </c>
      <c r="FR21" s="1154">
        <f t="shared" si="53"/>
        <v>0</v>
      </c>
      <c r="FS21" s="1154">
        <f t="shared" si="54"/>
        <v>0</v>
      </c>
      <c r="FT21" s="1154">
        <f t="shared" si="55"/>
        <v>0</v>
      </c>
      <c r="FU21" s="1154">
        <f t="shared" si="56"/>
        <v>0</v>
      </c>
      <c r="FV21" s="1154">
        <f t="shared" si="57"/>
        <v>0</v>
      </c>
      <c r="FW21" s="1154">
        <f t="shared" si="58"/>
        <v>0</v>
      </c>
      <c r="FX21" s="1154">
        <f t="shared" si="59"/>
        <v>0</v>
      </c>
      <c r="FY21" s="1154">
        <f t="shared" si="60"/>
        <v>0</v>
      </c>
      <c r="FZ21" s="1154">
        <f t="shared" si="61"/>
        <v>2741949.6328059719</v>
      </c>
      <c r="GA21" s="1154">
        <f t="shared" si="62"/>
        <v>0</v>
      </c>
      <c r="GB21" s="1154">
        <f t="shared" si="63"/>
        <v>0</v>
      </c>
      <c r="GC21" s="1154">
        <f t="shared" si="64"/>
        <v>0</v>
      </c>
      <c r="GD21" s="1154">
        <f t="shared" si="65"/>
        <v>0</v>
      </c>
      <c r="GE21" s="1154">
        <f t="shared" si="66"/>
        <v>0</v>
      </c>
      <c r="GF21" s="1154">
        <f t="shared" si="67"/>
        <v>0</v>
      </c>
      <c r="GG21" s="1154">
        <f t="shared" si="68"/>
        <v>0</v>
      </c>
      <c r="GH21" s="1154">
        <f t="shared" si="69"/>
        <v>0</v>
      </c>
      <c r="GI21" s="1154">
        <f t="shared" si="70"/>
        <v>0</v>
      </c>
      <c r="GJ21" s="1154">
        <f t="shared" si="71"/>
        <v>0</v>
      </c>
      <c r="GK21" s="1154">
        <f t="shared" si="72"/>
        <v>0</v>
      </c>
      <c r="GL21" s="1174">
        <f t="shared" si="73"/>
        <v>5659751.5712859724</v>
      </c>
    </row>
    <row r="22" spans="2:194">
      <c r="B22" s="1290">
        <f>Prop2021DUOSTariffs!B14</f>
        <v>0</v>
      </c>
      <c r="C22" s="1289" t="str">
        <f>Prop2021DUOSTariffs!C14</f>
        <v>East CACHigherVoltage STOUD</v>
      </c>
      <c r="D22" s="1113" t="str">
        <f>Prop2021DUOSTariffs!D14</f>
        <v>East CACHigherVoltage STOUD</v>
      </c>
      <c r="E22" s="1113" t="str">
        <f>Prop2021DUOSTariffs!E14</f>
        <v>CAC</v>
      </c>
      <c r="F22" s="1113" t="str">
        <f>Prop2021DUOSTariffs!F14</f>
        <v>CAC</v>
      </c>
      <c r="G22" s="1113" t="str">
        <f>Prop2021DUOSTariffs!G14</f>
        <v>East</v>
      </c>
      <c r="H22" s="1113" t="str">
        <f>IF(Prop2021DUOSTariffs!H14="","",Prop2021DUOSTariffs!H14)</f>
        <v>EC66TOU</v>
      </c>
      <c r="I22" s="1114" t="s">
        <v>798</v>
      </c>
      <c r="J22" s="1114" t="s">
        <v>934</v>
      </c>
      <c r="K22" s="1207"/>
      <c r="L22" s="1233">
        <v>109.52604000000001</v>
      </c>
      <c r="M22" s="1007"/>
      <c r="N22" s="1007"/>
      <c r="O22" s="1007"/>
      <c r="P22" s="1007"/>
      <c r="Q22" s="1007"/>
      <c r="R22" s="1007"/>
      <c r="S22" s="1233">
        <v>0.71820000000000006</v>
      </c>
      <c r="T22" s="1007"/>
      <c r="U22" s="1007"/>
      <c r="V22" s="1007"/>
      <c r="W22" s="1007"/>
      <c r="X22" s="1007"/>
      <c r="Y22" s="1007"/>
      <c r="Z22" s="1007"/>
      <c r="AA22" s="1007"/>
      <c r="AB22" s="1007"/>
      <c r="AC22" s="1007"/>
      <c r="AD22" s="1007"/>
      <c r="AE22" s="1007"/>
      <c r="AF22" s="1007"/>
      <c r="AG22" s="1007"/>
      <c r="AH22" s="1007"/>
      <c r="AI22" s="1224">
        <v>1.0079303034553634E-2</v>
      </c>
      <c r="AJ22" s="1005"/>
      <c r="AK22" s="1005"/>
      <c r="AL22" s="1005"/>
      <c r="AM22" s="1005"/>
      <c r="AN22" s="1005"/>
      <c r="AO22" s="1005"/>
      <c r="AP22" s="1005"/>
      <c r="AQ22" s="1005"/>
      <c r="AR22" s="1005"/>
      <c r="AS22" s="1005"/>
      <c r="AT22" s="1005"/>
      <c r="AU22" s="1206"/>
      <c r="AV22" s="1207"/>
      <c r="AW22" s="1482">
        <v>101.413</v>
      </c>
      <c r="AX22" s="1007"/>
      <c r="AY22" s="1007"/>
      <c r="AZ22" s="1007"/>
      <c r="BA22" s="1007"/>
      <c r="BB22" s="1007"/>
      <c r="BC22" s="1007"/>
      <c r="BD22" s="1482">
        <v>0.66500000000000004</v>
      </c>
      <c r="BE22" s="1007"/>
      <c r="BF22" s="1007"/>
      <c r="BG22" s="1007"/>
      <c r="BH22" s="1007"/>
      <c r="BI22" s="1007"/>
      <c r="BJ22" s="1007"/>
      <c r="BK22" s="1007"/>
      <c r="BL22" s="1007"/>
      <c r="BM22" s="1007"/>
      <c r="BN22" s="1007"/>
      <c r="BO22" s="1007"/>
      <c r="BP22" s="1007"/>
      <c r="BQ22" s="1007"/>
      <c r="BR22" s="1007"/>
      <c r="BS22" s="1007"/>
      <c r="BT22" s="1482">
        <v>9.0799999999999995E-3</v>
      </c>
      <c r="BU22" s="1007"/>
      <c r="BV22" s="1007"/>
      <c r="BW22" s="1007"/>
      <c r="BX22" s="1007"/>
      <c r="BY22" s="1007"/>
      <c r="BZ22" s="1007"/>
      <c r="CA22" s="1007"/>
      <c r="CB22" s="1007"/>
      <c r="CC22" s="1007"/>
      <c r="CD22" s="1007"/>
      <c r="CE22" s="1007"/>
      <c r="CF22" s="1007"/>
      <c r="CG22" s="1208"/>
      <c r="CH22" s="1236">
        <v>2</v>
      </c>
      <c r="CI22" s="1007"/>
      <c r="CJ22" s="1007"/>
      <c r="CK22" s="1007"/>
      <c r="CL22" s="1007"/>
      <c r="CM22" s="1007"/>
      <c r="CN22" s="1007"/>
      <c r="CO22" s="1236">
        <v>4610</v>
      </c>
      <c r="CP22" s="1007"/>
      <c r="CQ22" s="1007"/>
      <c r="CR22" s="1007"/>
      <c r="CS22" s="1007"/>
      <c r="CT22" s="1007"/>
      <c r="CU22" s="1007"/>
      <c r="CV22" s="1007"/>
      <c r="CW22" s="1007"/>
      <c r="CX22" s="1007"/>
      <c r="CY22" s="1007"/>
      <c r="CZ22" s="1007"/>
      <c r="DA22" s="1007"/>
      <c r="DB22" s="1007"/>
      <c r="DC22" s="1007"/>
      <c r="DD22" s="1007"/>
      <c r="DE22" s="1236">
        <v>22187494</v>
      </c>
      <c r="DF22" s="1007"/>
      <c r="DG22" s="1007"/>
      <c r="DH22" s="1007"/>
      <c r="DI22" s="1006"/>
      <c r="DJ22" s="1006"/>
      <c r="DK22" s="1007"/>
      <c r="DL22" s="1007"/>
      <c r="DM22" s="1007"/>
      <c r="DN22" s="1007"/>
      <c r="DO22" s="1112"/>
      <c r="DP22" s="1112"/>
      <c r="DQ22" s="1207"/>
      <c r="DR22" s="1154">
        <f t="shared" si="2"/>
        <v>79954.0092</v>
      </c>
      <c r="DS22" s="1154">
        <f t="shared" si="3"/>
        <v>0</v>
      </c>
      <c r="DT22" s="1154">
        <f t="shared" si="4"/>
        <v>0</v>
      </c>
      <c r="DU22" s="1154">
        <f t="shared" si="5"/>
        <v>0</v>
      </c>
      <c r="DV22" s="1154">
        <f t="shared" si="6"/>
        <v>0</v>
      </c>
      <c r="DW22" s="1154">
        <f t="shared" si="7"/>
        <v>0</v>
      </c>
      <c r="DX22" s="1154">
        <f t="shared" si="8"/>
        <v>0</v>
      </c>
      <c r="DY22" s="1154">
        <f t="shared" si="9"/>
        <v>39730.824000000008</v>
      </c>
      <c r="DZ22" s="1154">
        <f t="shared" si="10"/>
        <v>0</v>
      </c>
      <c r="EA22" s="1154">
        <f t="shared" si="11"/>
        <v>0</v>
      </c>
      <c r="EB22" s="1154">
        <f t="shared" si="12"/>
        <v>0</v>
      </c>
      <c r="EC22" s="1154">
        <f t="shared" si="13"/>
        <v>0</v>
      </c>
      <c r="ED22" s="1154">
        <f t="shared" si="14"/>
        <v>0</v>
      </c>
      <c r="EE22" s="1154">
        <f t="shared" si="15"/>
        <v>0</v>
      </c>
      <c r="EF22" s="1154">
        <f t="shared" si="16"/>
        <v>0</v>
      </c>
      <c r="EG22" s="1154">
        <f t="shared" si="17"/>
        <v>0</v>
      </c>
      <c r="EH22" s="1154">
        <f t="shared" si="18"/>
        <v>0</v>
      </c>
      <c r="EI22" s="1154">
        <f t="shared" si="19"/>
        <v>0</v>
      </c>
      <c r="EJ22" s="1154">
        <f t="shared" si="20"/>
        <v>0</v>
      </c>
      <c r="EK22" s="1154">
        <f t="shared" si="21"/>
        <v>0</v>
      </c>
      <c r="EL22" s="1154">
        <f t="shared" si="22"/>
        <v>0</v>
      </c>
      <c r="EM22" s="1154">
        <f t="shared" si="23"/>
        <v>0</v>
      </c>
      <c r="EN22" s="1154">
        <f t="shared" si="24"/>
        <v>0</v>
      </c>
      <c r="EO22" s="1154">
        <f t="shared" si="25"/>
        <v>223634.47560334054</v>
      </c>
      <c r="EP22" s="1154">
        <f t="shared" si="26"/>
        <v>0</v>
      </c>
      <c r="EQ22" s="1154">
        <f t="shared" si="27"/>
        <v>0</v>
      </c>
      <c r="ER22" s="1154">
        <f t="shared" si="28"/>
        <v>0</v>
      </c>
      <c r="ES22" s="1154">
        <f t="shared" si="29"/>
        <v>0</v>
      </c>
      <c r="ET22" s="1154">
        <f t="shared" si="30"/>
        <v>0</v>
      </c>
      <c r="EU22" s="1154">
        <f t="shared" si="31"/>
        <v>0</v>
      </c>
      <c r="EV22" s="1154">
        <f t="shared" si="32"/>
        <v>0</v>
      </c>
      <c r="EW22" s="1154">
        <f t="shared" si="33"/>
        <v>0</v>
      </c>
      <c r="EX22" s="1154">
        <f t="shared" si="34"/>
        <v>0</v>
      </c>
      <c r="EY22" s="1154">
        <f t="shared" si="35"/>
        <v>0</v>
      </c>
      <c r="EZ22" s="1154">
        <f t="shared" si="36"/>
        <v>0</v>
      </c>
      <c r="FA22" s="1174">
        <f t="shared" si="37"/>
        <v>343319.30880334054</v>
      </c>
      <c r="FC22" s="1154">
        <f t="shared" si="38"/>
        <v>74031.489999999991</v>
      </c>
      <c r="FD22" s="1154">
        <f t="shared" si="39"/>
        <v>0</v>
      </c>
      <c r="FE22" s="1154">
        <f t="shared" si="40"/>
        <v>0</v>
      </c>
      <c r="FF22" s="1154">
        <f t="shared" si="41"/>
        <v>0</v>
      </c>
      <c r="FG22" s="1154">
        <f t="shared" si="42"/>
        <v>0</v>
      </c>
      <c r="FH22" s="1154">
        <f t="shared" si="43"/>
        <v>0</v>
      </c>
      <c r="FI22" s="1154">
        <f t="shared" si="44"/>
        <v>0</v>
      </c>
      <c r="FJ22" s="1154">
        <f t="shared" si="45"/>
        <v>36787.800000000003</v>
      </c>
      <c r="FK22" s="1154">
        <f t="shared" si="46"/>
        <v>0</v>
      </c>
      <c r="FL22" s="1154">
        <f t="shared" si="47"/>
        <v>0</v>
      </c>
      <c r="FM22" s="1154">
        <f t="shared" si="48"/>
        <v>0</v>
      </c>
      <c r="FN22" s="1154">
        <f t="shared" si="49"/>
        <v>0</v>
      </c>
      <c r="FO22" s="1154">
        <f t="shared" si="50"/>
        <v>0</v>
      </c>
      <c r="FP22" s="1154">
        <f t="shared" si="51"/>
        <v>0</v>
      </c>
      <c r="FQ22" s="1154">
        <f t="shared" si="52"/>
        <v>0</v>
      </c>
      <c r="FR22" s="1154">
        <f t="shared" si="53"/>
        <v>0</v>
      </c>
      <c r="FS22" s="1154">
        <f t="shared" si="54"/>
        <v>0</v>
      </c>
      <c r="FT22" s="1154">
        <f t="shared" si="55"/>
        <v>0</v>
      </c>
      <c r="FU22" s="1154">
        <f t="shared" si="56"/>
        <v>0</v>
      </c>
      <c r="FV22" s="1154">
        <f t="shared" si="57"/>
        <v>0</v>
      </c>
      <c r="FW22" s="1154">
        <f t="shared" si="58"/>
        <v>0</v>
      </c>
      <c r="FX22" s="1154">
        <f t="shared" si="59"/>
        <v>0</v>
      </c>
      <c r="FY22" s="1154">
        <f t="shared" si="60"/>
        <v>0</v>
      </c>
      <c r="FZ22" s="1154">
        <f t="shared" si="61"/>
        <v>201462.44551999998</v>
      </c>
      <c r="GA22" s="1154">
        <f t="shared" si="62"/>
        <v>0</v>
      </c>
      <c r="GB22" s="1154">
        <f t="shared" si="63"/>
        <v>0</v>
      </c>
      <c r="GC22" s="1154">
        <f t="shared" si="64"/>
        <v>0</v>
      </c>
      <c r="GD22" s="1154">
        <f t="shared" si="65"/>
        <v>0</v>
      </c>
      <c r="GE22" s="1154">
        <f t="shared" si="66"/>
        <v>0</v>
      </c>
      <c r="GF22" s="1154">
        <f t="shared" si="67"/>
        <v>0</v>
      </c>
      <c r="GG22" s="1154">
        <f t="shared" si="68"/>
        <v>0</v>
      </c>
      <c r="GH22" s="1154">
        <f t="shared" si="69"/>
        <v>0</v>
      </c>
      <c r="GI22" s="1154">
        <f t="shared" si="70"/>
        <v>0</v>
      </c>
      <c r="GJ22" s="1154">
        <f t="shared" si="71"/>
        <v>0</v>
      </c>
      <c r="GK22" s="1154">
        <f t="shared" si="72"/>
        <v>0</v>
      </c>
      <c r="GL22" s="1174">
        <f t="shared" si="73"/>
        <v>312281.73551999999</v>
      </c>
    </row>
    <row r="23" spans="2:194">
      <c r="B23" s="1290">
        <f>B22</f>
        <v>0</v>
      </c>
      <c r="C23" s="1289" t="str">
        <f>C22</f>
        <v>East CACHigherVoltage STOUD</v>
      </c>
      <c r="D23" s="1113" t="str">
        <f t="shared" ref="D23:D24" si="90">D22</f>
        <v>East CACHigherVoltage STOUD</v>
      </c>
      <c r="E23" s="1113" t="str">
        <f t="shared" ref="E23:E24" si="91">E22</f>
        <v>CAC</v>
      </c>
      <c r="F23" s="1113" t="str">
        <f t="shared" ref="F23:F24" si="92">F22</f>
        <v>CAC</v>
      </c>
      <c r="G23" s="1113" t="str">
        <f t="shared" ref="G23:G24" si="93">G22</f>
        <v>East</v>
      </c>
      <c r="H23" s="1113" t="str">
        <f t="shared" ref="H23:H24" si="94">H22</f>
        <v>EC66TOU</v>
      </c>
      <c r="I23" s="1114" t="s">
        <v>752</v>
      </c>
      <c r="J23" s="1114" t="s">
        <v>934</v>
      </c>
      <c r="K23" s="1270"/>
      <c r="L23" s="1233">
        <v>75.421999999999997</v>
      </c>
      <c r="M23" s="1007"/>
      <c r="N23" s="1007"/>
      <c r="O23" s="1007"/>
      <c r="P23" s="1007"/>
      <c r="Q23" s="1007"/>
      <c r="R23" s="1007"/>
      <c r="S23" s="1233">
        <v>1.474</v>
      </c>
      <c r="T23" s="1007"/>
      <c r="U23" s="1007"/>
      <c r="V23" s="1007"/>
      <c r="W23" s="1007"/>
      <c r="X23" s="1007"/>
      <c r="Y23" s="1007"/>
      <c r="Z23" s="1007"/>
      <c r="AA23" s="1007"/>
      <c r="AB23" s="1007"/>
      <c r="AC23" s="1007"/>
      <c r="AD23" s="1007"/>
      <c r="AE23" s="1007"/>
      <c r="AF23" s="1007"/>
      <c r="AG23" s="1007"/>
      <c r="AH23" s="1007"/>
      <c r="AI23" s="1224">
        <v>1.1937631525536712E-2</v>
      </c>
      <c r="AJ23" s="1005"/>
      <c r="AK23" s="1005"/>
      <c r="AL23" s="1005"/>
      <c r="AM23" s="1005"/>
      <c r="AN23" s="1005"/>
      <c r="AO23" s="1005"/>
      <c r="AP23" s="1005"/>
      <c r="AQ23" s="1005"/>
      <c r="AR23" s="1005"/>
      <c r="AS23" s="1005"/>
      <c r="AT23" s="1005"/>
      <c r="AU23" s="1206"/>
      <c r="AV23" s="1270"/>
      <c r="AW23" s="1482">
        <v>75.421999999999997</v>
      </c>
      <c r="AX23" s="1007"/>
      <c r="AY23" s="1007"/>
      <c r="AZ23" s="1007"/>
      <c r="BA23" s="1007"/>
      <c r="BB23" s="1007"/>
      <c r="BC23" s="1007"/>
      <c r="BD23" s="1482">
        <v>1.474</v>
      </c>
      <c r="BE23" s="1007"/>
      <c r="BF23" s="1007"/>
      <c r="BG23" s="1007"/>
      <c r="BH23" s="1007"/>
      <c r="BI23" s="1007"/>
      <c r="BJ23" s="1007"/>
      <c r="BK23" s="1007"/>
      <c r="BL23" s="1007"/>
      <c r="BM23" s="1007"/>
      <c r="BN23" s="1007"/>
      <c r="BO23" s="1007"/>
      <c r="BP23" s="1007"/>
      <c r="BQ23" s="1007"/>
      <c r="BR23" s="1007"/>
      <c r="BS23" s="1007"/>
      <c r="BT23" s="1482">
        <v>1.1979999999999999E-2</v>
      </c>
      <c r="BU23" s="1007"/>
      <c r="BV23" s="1007"/>
      <c r="BW23" s="1007"/>
      <c r="BX23" s="1007"/>
      <c r="BY23" s="1007"/>
      <c r="BZ23" s="1007"/>
      <c r="CA23" s="1007"/>
      <c r="CB23" s="1007"/>
      <c r="CC23" s="1007"/>
      <c r="CD23" s="1007"/>
      <c r="CE23" s="1007"/>
      <c r="CF23" s="1007"/>
      <c r="CG23" s="1208"/>
      <c r="CH23" s="1236">
        <v>0</v>
      </c>
      <c r="CI23" s="1007"/>
      <c r="CJ23" s="1007"/>
      <c r="CK23" s="1007"/>
      <c r="CL23" s="1007"/>
      <c r="CM23" s="1007"/>
      <c r="CN23" s="1007"/>
      <c r="CO23" s="1236">
        <v>0</v>
      </c>
      <c r="CP23" s="1007"/>
      <c r="CQ23" s="1007"/>
      <c r="CR23" s="1007"/>
      <c r="CS23" s="1007"/>
      <c r="CT23" s="1007"/>
      <c r="CU23" s="1007"/>
      <c r="CV23" s="1007"/>
      <c r="CW23" s="1007"/>
      <c r="CX23" s="1007"/>
      <c r="CY23" s="1007"/>
      <c r="CZ23" s="1007"/>
      <c r="DA23" s="1007"/>
      <c r="DB23" s="1007"/>
      <c r="DC23" s="1007"/>
      <c r="DD23" s="1007"/>
      <c r="DE23" s="1236">
        <v>0</v>
      </c>
      <c r="DF23" s="1007"/>
      <c r="DG23" s="1007"/>
      <c r="DH23" s="1007"/>
      <c r="DI23" s="1006"/>
      <c r="DJ23" s="1006"/>
      <c r="DK23" s="1007"/>
      <c r="DL23" s="1007"/>
      <c r="DM23" s="1007"/>
      <c r="DN23" s="1007"/>
      <c r="DO23" s="1112"/>
      <c r="DP23" s="1112"/>
      <c r="DQ23" s="1270"/>
      <c r="DR23" s="1154">
        <f t="shared" si="2"/>
        <v>0</v>
      </c>
      <c r="DS23" s="1154">
        <f t="shared" si="3"/>
        <v>0</v>
      </c>
      <c r="DT23" s="1154">
        <f t="shared" si="4"/>
        <v>0</v>
      </c>
      <c r="DU23" s="1154">
        <f t="shared" si="5"/>
        <v>0</v>
      </c>
      <c r="DV23" s="1154">
        <f t="shared" si="6"/>
        <v>0</v>
      </c>
      <c r="DW23" s="1154">
        <f t="shared" si="7"/>
        <v>0</v>
      </c>
      <c r="DX23" s="1154">
        <f t="shared" si="8"/>
        <v>0</v>
      </c>
      <c r="DY23" s="1154">
        <f t="shared" si="9"/>
        <v>0</v>
      </c>
      <c r="DZ23" s="1154">
        <f t="shared" si="10"/>
        <v>0</v>
      </c>
      <c r="EA23" s="1154">
        <f t="shared" si="11"/>
        <v>0</v>
      </c>
      <c r="EB23" s="1154">
        <f t="shared" si="12"/>
        <v>0</v>
      </c>
      <c r="EC23" s="1154">
        <f t="shared" si="13"/>
        <v>0</v>
      </c>
      <c r="ED23" s="1154">
        <f t="shared" si="14"/>
        <v>0</v>
      </c>
      <c r="EE23" s="1154">
        <f t="shared" si="15"/>
        <v>0</v>
      </c>
      <c r="EF23" s="1154">
        <f t="shared" si="16"/>
        <v>0</v>
      </c>
      <c r="EG23" s="1154">
        <f t="shared" si="17"/>
        <v>0</v>
      </c>
      <c r="EH23" s="1154">
        <f t="shared" si="18"/>
        <v>0</v>
      </c>
      <c r="EI23" s="1154">
        <f t="shared" si="19"/>
        <v>0</v>
      </c>
      <c r="EJ23" s="1154">
        <f t="shared" si="20"/>
        <v>0</v>
      </c>
      <c r="EK23" s="1154">
        <f t="shared" si="21"/>
        <v>0</v>
      </c>
      <c r="EL23" s="1154">
        <f t="shared" si="22"/>
        <v>0</v>
      </c>
      <c r="EM23" s="1154">
        <f t="shared" si="23"/>
        <v>0</v>
      </c>
      <c r="EN23" s="1154">
        <f t="shared" si="24"/>
        <v>0</v>
      </c>
      <c r="EO23" s="1154">
        <f t="shared" si="25"/>
        <v>0</v>
      </c>
      <c r="EP23" s="1154">
        <f t="shared" si="26"/>
        <v>0</v>
      </c>
      <c r="EQ23" s="1154">
        <f t="shared" si="27"/>
        <v>0</v>
      </c>
      <c r="ER23" s="1154">
        <f t="shared" si="28"/>
        <v>0</v>
      </c>
      <c r="ES23" s="1154">
        <f t="shared" si="29"/>
        <v>0</v>
      </c>
      <c r="ET23" s="1154">
        <f t="shared" si="30"/>
        <v>0</v>
      </c>
      <c r="EU23" s="1154">
        <f t="shared" si="31"/>
        <v>0</v>
      </c>
      <c r="EV23" s="1154">
        <f t="shared" si="32"/>
        <v>0</v>
      </c>
      <c r="EW23" s="1154">
        <f t="shared" si="33"/>
        <v>0</v>
      </c>
      <c r="EX23" s="1154">
        <f t="shared" si="34"/>
        <v>0</v>
      </c>
      <c r="EY23" s="1154">
        <f t="shared" si="35"/>
        <v>0</v>
      </c>
      <c r="EZ23" s="1154">
        <f t="shared" si="36"/>
        <v>0</v>
      </c>
      <c r="FA23" s="1174">
        <f t="shared" si="37"/>
        <v>0</v>
      </c>
      <c r="FC23" s="1154">
        <f t="shared" si="38"/>
        <v>0</v>
      </c>
      <c r="FD23" s="1154">
        <f t="shared" si="39"/>
        <v>0</v>
      </c>
      <c r="FE23" s="1154">
        <f t="shared" si="40"/>
        <v>0</v>
      </c>
      <c r="FF23" s="1154">
        <f t="shared" si="41"/>
        <v>0</v>
      </c>
      <c r="FG23" s="1154">
        <f t="shared" si="42"/>
        <v>0</v>
      </c>
      <c r="FH23" s="1154">
        <f t="shared" si="43"/>
        <v>0</v>
      </c>
      <c r="FI23" s="1154">
        <f t="shared" si="44"/>
        <v>0</v>
      </c>
      <c r="FJ23" s="1154">
        <f t="shared" si="45"/>
        <v>0</v>
      </c>
      <c r="FK23" s="1154">
        <f t="shared" si="46"/>
        <v>0</v>
      </c>
      <c r="FL23" s="1154">
        <f t="shared" si="47"/>
        <v>0</v>
      </c>
      <c r="FM23" s="1154">
        <f t="shared" si="48"/>
        <v>0</v>
      </c>
      <c r="FN23" s="1154">
        <f t="shared" si="49"/>
        <v>0</v>
      </c>
      <c r="FO23" s="1154">
        <f t="shared" si="50"/>
        <v>0</v>
      </c>
      <c r="FP23" s="1154">
        <f t="shared" si="51"/>
        <v>0</v>
      </c>
      <c r="FQ23" s="1154">
        <f t="shared" si="52"/>
        <v>0</v>
      </c>
      <c r="FR23" s="1154">
        <f t="shared" si="53"/>
        <v>0</v>
      </c>
      <c r="FS23" s="1154">
        <f t="shared" si="54"/>
        <v>0</v>
      </c>
      <c r="FT23" s="1154">
        <f t="shared" si="55"/>
        <v>0</v>
      </c>
      <c r="FU23" s="1154">
        <f t="shared" si="56"/>
        <v>0</v>
      </c>
      <c r="FV23" s="1154">
        <f t="shared" si="57"/>
        <v>0</v>
      </c>
      <c r="FW23" s="1154">
        <f t="shared" si="58"/>
        <v>0</v>
      </c>
      <c r="FX23" s="1154">
        <f t="shared" si="59"/>
        <v>0</v>
      </c>
      <c r="FY23" s="1154">
        <f t="shared" si="60"/>
        <v>0</v>
      </c>
      <c r="FZ23" s="1154">
        <f t="shared" si="61"/>
        <v>0</v>
      </c>
      <c r="GA23" s="1154">
        <f t="shared" si="62"/>
        <v>0</v>
      </c>
      <c r="GB23" s="1154">
        <f t="shared" si="63"/>
        <v>0</v>
      </c>
      <c r="GC23" s="1154">
        <f t="shared" si="64"/>
        <v>0</v>
      </c>
      <c r="GD23" s="1154">
        <f t="shared" si="65"/>
        <v>0</v>
      </c>
      <c r="GE23" s="1154">
        <f t="shared" si="66"/>
        <v>0</v>
      </c>
      <c r="GF23" s="1154">
        <f t="shared" si="67"/>
        <v>0</v>
      </c>
      <c r="GG23" s="1154">
        <f t="shared" si="68"/>
        <v>0</v>
      </c>
      <c r="GH23" s="1154">
        <f t="shared" si="69"/>
        <v>0</v>
      </c>
      <c r="GI23" s="1154">
        <f t="shared" si="70"/>
        <v>0</v>
      </c>
      <c r="GJ23" s="1154">
        <f t="shared" si="71"/>
        <v>0</v>
      </c>
      <c r="GK23" s="1154">
        <f t="shared" si="72"/>
        <v>0</v>
      </c>
      <c r="GL23" s="1174">
        <f t="shared" si="73"/>
        <v>0</v>
      </c>
    </row>
    <row r="24" spans="2:194">
      <c r="B24" s="1290">
        <f>B23</f>
        <v>0</v>
      </c>
      <c r="C24" s="1289" t="str">
        <f>C23</f>
        <v>East CACHigherVoltage STOUD</v>
      </c>
      <c r="D24" s="1113" t="str">
        <f t="shared" si="90"/>
        <v>East CACHigherVoltage STOUD</v>
      </c>
      <c r="E24" s="1113" t="str">
        <f t="shared" si="91"/>
        <v>CAC</v>
      </c>
      <c r="F24" s="1113" t="str">
        <f t="shared" si="92"/>
        <v>CAC</v>
      </c>
      <c r="G24" s="1113" t="str">
        <f t="shared" si="93"/>
        <v>East</v>
      </c>
      <c r="H24" s="1113" t="str">
        <f t="shared" si="94"/>
        <v>EC66TOU</v>
      </c>
      <c r="I24" s="1114" t="s">
        <v>759</v>
      </c>
      <c r="J24" s="1114" t="s">
        <v>934</v>
      </c>
      <c r="K24" s="1270"/>
      <c r="L24" s="1233">
        <v>70.440599999999989</v>
      </c>
      <c r="M24" s="1007"/>
      <c r="N24" s="1007"/>
      <c r="O24" s="1007"/>
      <c r="P24" s="1007"/>
      <c r="Q24" s="1007"/>
      <c r="R24" s="1007"/>
      <c r="S24" s="1233">
        <v>2.7227000000000001</v>
      </c>
      <c r="T24" s="1007"/>
      <c r="U24" s="1007"/>
      <c r="V24" s="1007"/>
      <c r="W24" s="1007"/>
      <c r="X24" s="1007"/>
      <c r="Y24" s="1007"/>
      <c r="Z24" s="1007"/>
      <c r="AA24" s="1007"/>
      <c r="AB24" s="1007"/>
      <c r="AC24" s="1007"/>
      <c r="AD24" s="1007"/>
      <c r="AE24" s="1007"/>
      <c r="AF24" s="1007"/>
      <c r="AG24" s="1007"/>
      <c r="AH24" s="1007"/>
      <c r="AI24" s="1224">
        <v>1.3562911090201862E-2</v>
      </c>
      <c r="AJ24" s="1005"/>
      <c r="AK24" s="1005"/>
      <c r="AL24" s="1005"/>
      <c r="AM24" s="1005"/>
      <c r="AN24" s="1005"/>
      <c r="AO24" s="1005"/>
      <c r="AP24" s="1005"/>
      <c r="AQ24" s="1005"/>
      <c r="AR24" s="1005"/>
      <c r="AS24" s="1005"/>
      <c r="AT24" s="1005"/>
      <c r="AU24" s="1206"/>
      <c r="AV24" s="1270"/>
      <c r="AW24" s="1482">
        <v>74.147999999999996</v>
      </c>
      <c r="AX24" s="1007"/>
      <c r="AY24" s="1007"/>
      <c r="AZ24" s="1007"/>
      <c r="BA24" s="1007"/>
      <c r="BB24" s="1007"/>
      <c r="BC24" s="1007"/>
      <c r="BD24" s="1482">
        <v>2.8660000000000001</v>
      </c>
      <c r="BE24" s="1007"/>
      <c r="BF24" s="1007"/>
      <c r="BG24" s="1007"/>
      <c r="BH24" s="1007"/>
      <c r="BI24" s="1007"/>
      <c r="BJ24" s="1007"/>
      <c r="BK24" s="1007"/>
      <c r="BL24" s="1007"/>
      <c r="BM24" s="1007"/>
      <c r="BN24" s="1007"/>
      <c r="BO24" s="1007"/>
      <c r="BP24" s="1007"/>
      <c r="BQ24" s="1007"/>
      <c r="BR24" s="1007"/>
      <c r="BS24" s="1007"/>
      <c r="BT24" s="1482">
        <v>1.49E-2</v>
      </c>
      <c r="BU24" s="1007"/>
      <c r="BV24" s="1007"/>
      <c r="BW24" s="1007"/>
      <c r="BX24" s="1007"/>
      <c r="BY24" s="1007"/>
      <c r="BZ24" s="1007"/>
      <c r="CA24" s="1007"/>
      <c r="CB24" s="1007"/>
      <c r="CC24" s="1007"/>
      <c r="CD24" s="1007"/>
      <c r="CE24" s="1007"/>
      <c r="CF24" s="1007"/>
      <c r="CG24" s="1208"/>
      <c r="CH24" s="1236">
        <v>0</v>
      </c>
      <c r="CI24" s="1007"/>
      <c r="CJ24" s="1007"/>
      <c r="CK24" s="1007"/>
      <c r="CL24" s="1007"/>
      <c r="CM24" s="1007"/>
      <c r="CN24" s="1007"/>
      <c r="CO24" s="1236">
        <v>0</v>
      </c>
      <c r="CP24" s="1007"/>
      <c r="CQ24" s="1007"/>
      <c r="CR24" s="1007"/>
      <c r="CS24" s="1007"/>
      <c r="CT24" s="1007"/>
      <c r="CU24" s="1007"/>
      <c r="CV24" s="1007"/>
      <c r="CW24" s="1007"/>
      <c r="CX24" s="1007"/>
      <c r="CY24" s="1007"/>
      <c r="CZ24" s="1007"/>
      <c r="DA24" s="1007"/>
      <c r="DB24" s="1007"/>
      <c r="DC24" s="1007"/>
      <c r="DD24" s="1007"/>
      <c r="DE24" s="1236">
        <v>0</v>
      </c>
      <c r="DF24" s="1007"/>
      <c r="DG24" s="1007"/>
      <c r="DH24" s="1007"/>
      <c r="DI24" s="1006"/>
      <c r="DJ24" s="1006"/>
      <c r="DK24" s="1007"/>
      <c r="DL24" s="1007"/>
      <c r="DM24" s="1007"/>
      <c r="DN24" s="1007"/>
      <c r="DO24" s="1112"/>
      <c r="DP24" s="1112"/>
      <c r="DQ24" s="1270"/>
      <c r="DR24" s="1154">
        <f t="shared" si="2"/>
        <v>0</v>
      </c>
      <c r="DS24" s="1154">
        <f t="shared" si="3"/>
        <v>0</v>
      </c>
      <c r="DT24" s="1154">
        <f t="shared" si="4"/>
        <v>0</v>
      </c>
      <c r="DU24" s="1154">
        <f t="shared" si="5"/>
        <v>0</v>
      </c>
      <c r="DV24" s="1154">
        <f t="shared" si="6"/>
        <v>0</v>
      </c>
      <c r="DW24" s="1154">
        <f t="shared" si="7"/>
        <v>0</v>
      </c>
      <c r="DX24" s="1154">
        <f t="shared" si="8"/>
        <v>0</v>
      </c>
      <c r="DY24" s="1154">
        <f t="shared" si="9"/>
        <v>0</v>
      </c>
      <c r="DZ24" s="1154">
        <f t="shared" si="10"/>
        <v>0</v>
      </c>
      <c r="EA24" s="1154">
        <f t="shared" si="11"/>
        <v>0</v>
      </c>
      <c r="EB24" s="1154">
        <f t="shared" si="12"/>
        <v>0</v>
      </c>
      <c r="EC24" s="1154">
        <f t="shared" si="13"/>
        <v>0</v>
      </c>
      <c r="ED24" s="1154">
        <f t="shared" si="14"/>
        <v>0</v>
      </c>
      <c r="EE24" s="1154">
        <f t="shared" si="15"/>
        <v>0</v>
      </c>
      <c r="EF24" s="1154">
        <f t="shared" si="16"/>
        <v>0</v>
      </c>
      <c r="EG24" s="1154">
        <f t="shared" si="17"/>
        <v>0</v>
      </c>
      <c r="EH24" s="1154">
        <f t="shared" si="18"/>
        <v>0</v>
      </c>
      <c r="EI24" s="1154">
        <f t="shared" si="19"/>
        <v>0</v>
      </c>
      <c r="EJ24" s="1154">
        <f t="shared" si="20"/>
        <v>0</v>
      </c>
      <c r="EK24" s="1154">
        <f t="shared" si="21"/>
        <v>0</v>
      </c>
      <c r="EL24" s="1154">
        <f t="shared" si="22"/>
        <v>0</v>
      </c>
      <c r="EM24" s="1154">
        <f t="shared" si="23"/>
        <v>0</v>
      </c>
      <c r="EN24" s="1154">
        <f t="shared" si="24"/>
        <v>0</v>
      </c>
      <c r="EO24" s="1154">
        <f t="shared" si="25"/>
        <v>0</v>
      </c>
      <c r="EP24" s="1154">
        <f t="shared" si="26"/>
        <v>0</v>
      </c>
      <c r="EQ24" s="1154">
        <f t="shared" si="27"/>
        <v>0</v>
      </c>
      <c r="ER24" s="1154">
        <f t="shared" si="28"/>
        <v>0</v>
      </c>
      <c r="ES24" s="1154">
        <f t="shared" si="29"/>
        <v>0</v>
      </c>
      <c r="ET24" s="1154">
        <f t="shared" si="30"/>
        <v>0</v>
      </c>
      <c r="EU24" s="1154">
        <f t="shared" si="31"/>
        <v>0</v>
      </c>
      <c r="EV24" s="1154">
        <f t="shared" si="32"/>
        <v>0</v>
      </c>
      <c r="EW24" s="1154">
        <f t="shared" si="33"/>
        <v>0</v>
      </c>
      <c r="EX24" s="1154">
        <f t="shared" si="34"/>
        <v>0</v>
      </c>
      <c r="EY24" s="1154">
        <f t="shared" si="35"/>
        <v>0</v>
      </c>
      <c r="EZ24" s="1154">
        <f t="shared" si="36"/>
        <v>0</v>
      </c>
      <c r="FA24" s="1174">
        <f t="shared" si="37"/>
        <v>0</v>
      </c>
      <c r="FC24" s="1154">
        <f t="shared" si="38"/>
        <v>0</v>
      </c>
      <c r="FD24" s="1154">
        <f t="shared" si="39"/>
        <v>0</v>
      </c>
      <c r="FE24" s="1154">
        <f t="shared" si="40"/>
        <v>0</v>
      </c>
      <c r="FF24" s="1154">
        <f t="shared" si="41"/>
        <v>0</v>
      </c>
      <c r="FG24" s="1154">
        <f t="shared" si="42"/>
        <v>0</v>
      </c>
      <c r="FH24" s="1154">
        <f t="shared" si="43"/>
        <v>0</v>
      </c>
      <c r="FI24" s="1154">
        <f t="shared" si="44"/>
        <v>0</v>
      </c>
      <c r="FJ24" s="1154">
        <f t="shared" si="45"/>
        <v>0</v>
      </c>
      <c r="FK24" s="1154">
        <f t="shared" si="46"/>
        <v>0</v>
      </c>
      <c r="FL24" s="1154">
        <f t="shared" si="47"/>
        <v>0</v>
      </c>
      <c r="FM24" s="1154">
        <f t="shared" si="48"/>
        <v>0</v>
      </c>
      <c r="FN24" s="1154">
        <f t="shared" si="49"/>
        <v>0</v>
      </c>
      <c r="FO24" s="1154">
        <f t="shared" si="50"/>
        <v>0</v>
      </c>
      <c r="FP24" s="1154">
        <f t="shared" si="51"/>
        <v>0</v>
      </c>
      <c r="FQ24" s="1154">
        <f t="shared" si="52"/>
        <v>0</v>
      </c>
      <c r="FR24" s="1154">
        <f t="shared" si="53"/>
        <v>0</v>
      </c>
      <c r="FS24" s="1154">
        <f t="shared" si="54"/>
        <v>0</v>
      </c>
      <c r="FT24" s="1154">
        <f t="shared" si="55"/>
        <v>0</v>
      </c>
      <c r="FU24" s="1154">
        <f t="shared" si="56"/>
        <v>0</v>
      </c>
      <c r="FV24" s="1154">
        <f t="shared" si="57"/>
        <v>0</v>
      </c>
      <c r="FW24" s="1154">
        <f t="shared" si="58"/>
        <v>0</v>
      </c>
      <c r="FX24" s="1154">
        <f t="shared" si="59"/>
        <v>0</v>
      </c>
      <c r="FY24" s="1154">
        <f t="shared" si="60"/>
        <v>0</v>
      </c>
      <c r="FZ24" s="1154">
        <f t="shared" si="61"/>
        <v>0</v>
      </c>
      <c r="GA24" s="1154">
        <f t="shared" si="62"/>
        <v>0</v>
      </c>
      <c r="GB24" s="1154">
        <f t="shared" si="63"/>
        <v>0</v>
      </c>
      <c r="GC24" s="1154">
        <f t="shared" si="64"/>
        <v>0</v>
      </c>
      <c r="GD24" s="1154">
        <f t="shared" si="65"/>
        <v>0</v>
      </c>
      <c r="GE24" s="1154">
        <f t="shared" si="66"/>
        <v>0</v>
      </c>
      <c r="GF24" s="1154">
        <f t="shared" si="67"/>
        <v>0</v>
      </c>
      <c r="GG24" s="1154">
        <f t="shared" si="68"/>
        <v>0</v>
      </c>
      <c r="GH24" s="1154">
        <f t="shared" si="69"/>
        <v>0</v>
      </c>
      <c r="GI24" s="1154">
        <f t="shared" si="70"/>
        <v>0</v>
      </c>
      <c r="GJ24" s="1154">
        <f t="shared" si="71"/>
        <v>0</v>
      </c>
      <c r="GK24" s="1154">
        <f t="shared" si="72"/>
        <v>0</v>
      </c>
      <c r="GL24" s="1174">
        <f t="shared" si="73"/>
        <v>0</v>
      </c>
    </row>
    <row r="25" spans="2:194">
      <c r="B25" s="1290">
        <f>Prop2021DUOSTariffs!B15</f>
        <v>0</v>
      </c>
      <c r="C25" s="1289" t="str">
        <f>Prop2021DUOSTariffs!C15</f>
        <v>East CAC22/11kVBus STOUD</v>
      </c>
      <c r="D25" s="1113" t="str">
        <f>Prop2021DUOSTariffs!D15</f>
        <v>East CAC22/11kVBus STOUD</v>
      </c>
      <c r="E25" s="1113" t="str">
        <f>Prop2021DUOSTariffs!E15</f>
        <v>CAC</v>
      </c>
      <c r="F25" s="1113" t="str">
        <f>Prop2021DUOSTariffs!F15</f>
        <v>CAC</v>
      </c>
      <c r="G25" s="1113" t="str">
        <f>Prop2021DUOSTariffs!G15</f>
        <v>East</v>
      </c>
      <c r="H25" s="1113" t="str">
        <f>IF(Prop2021DUOSTariffs!H15="","",Prop2021DUOSTariffs!H15)</f>
        <v>EC22BTOU</v>
      </c>
      <c r="I25" s="1114" t="s">
        <v>798</v>
      </c>
      <c r="J25" s="1114" t="s">
        <v>934</v>
      </c>
      <c r="K25" s="1207"/>
      <c r="L25" s="1233">
        <v>109.52604000000001</v>
      </c>
      <c r="M25" s="1007"/>
      <c r="N25" s="1007"/>
      <c r="O25" s="1007"/>
      <c r="P25" s="1007"/>
      <c r="Q25" s="1007"/>
      <c r="R25" s="1007"/>
      <c r="S25" s="1233">
        <v>0.71820000000000006</v>
      </c>
      <c r="T25" s="1007"/>
      <c r="U25" s="1007"/>
      <c r="V25" s="1007"/>
      <c r="W25" s="1007"/>
      <c r="X25" s="1007"/>
      <c r="Y25" s="1007"/>
      <c r="Z25" s="1007"/>
      <c r="AA25" s="1007"/>
      <c r="AB25" s="1007"/>
      <c r="AC25" s="1007"/>
      <c r="AD25" s="1007"/>
      <c r="AE25" s="1007"/>
      <c r="AF25" s="1007"/>
      <c r="AG25" s="1007"/>
      <c r="AH25" s="1007"/>
      <c r="AI25" s="1224">
        <v>1.0079303034553634E-2</v>
      </c>
      <c r="AJ25" s="1005"/>
      <c r="AK25" s="1005"/>
      <c r="AL25" s="1005"/>
      <c r="AM25" s="1005"/>
      <c r="AN25" s="1005"/>
      <c r="AO25" s="1005"/>
      <c r="AP25" s="1005"/>
      <c r="AQ25" s="1005"/>
      <c r="AR25" s="1005"/>
      <c r="AS25" s="1005"/>
      <c r="AT25" s="1005"/>
      <c r="AU25" s="1206"/>
      <c r="AV25" s="1207"/>
      <c r="AW25" s="1482">
        <v>101.413</v>
      </c>
      <c r="AX25" s="1007"/>
      <c r="AY25" s="1007"/>
      <c r="AZ25" s="1007"/>
      <c r="BA25" s="1007"/>
      <c r="BB25" s="1007"/>
      <c r="BC25" s="1007"/>
      <c r="BD25" s="1482">
        <v>0.66500000000000004</v>
      </c>
      <c r="BE25" s="1007"/>
      <c r="BF25" s="1007"/>
      <c r="BG25" s="1007"/>
      <c r="BH25" s="1007"/>
      <c r="BI25" s="1007"/>
      <c r="BJ25" s="1007"/>
      <c r="BK25" s="1007"/>
      <c r="BL25" s="1007"/>
      <c r="BM25" s="1007"/>
      <c r="BN25" s="1007"/>
      <c r="BO25" s="1007"/>
      <c r="BP25" s="1007"/>
      <c r="BQ25" s="1007"/>
      <c r="BR25" s="1007"/>
      <c r="BS25" s="1007"/>
      <c r="BT25" s="1482">
        <v>9.0799999999999995E-3</v>
      </c>
      <c r="BU25" s="1007"/>
      <c r="BV25" s="1007"/>
      <c r="BW25" s="1007"/>
      <c r="BX25" s="1007"/>
      <c r="BY25" s="1007"/>
      <c r="BZ25" s="1007"/>
      <c r="CA25" s="1007"/>
      <c r="CB25" s="1007"/>
      <c r="CC25" s="1007"/>
      <c r="CD25" s="1007"/>
      <c r="CE25" s="1007"/>
      <c r="CF25" s="1007"/>
      <c r="CG25" s="1208"/>
      <c r="CH25" s="1236">
        <v>0</v>
      </c>
      <c r="CI25" s="1007"/>
      <c r="CJ25" s="1007"/>
      <c r="CK25" s="1007"/>
      <c r="CL25" s="1007"/>
      <c r="CM25" s="1007"/>
      <c r="CN25" s="1007"/>
      <c r="CO25" s="1236">
        <v>0</v>
      </c>
      <c r="CP25" s="1007"/>
      <c r="CQ25" s="1007"/>
      <c r="CR25" s="1007"/>
      <c r="CS25" s="1007"/>
      <c r="CT25" s="1007"/>
      <c r="CU25" s="1007"/>
      <c r="CV25" s="1007"/>
      <c r="CW25" s="1007"/>
      <c r="CX25" s="1007"/>
      <c r="CY25" s="1007"/>
      <c r="CZ25" s="1007"/>
      <c r="DA25" s="1007"/>
      <c r="DB25" s="1007"/>
      <c r="DC25" s="1007"/>
      <c r="DD25" s="1007"/>
      <c r="DE25" s="1236">
        <v>0</v>
      </c>
      <c r="DF25" s="1007"/>
      <c r="DG25" s="1007"/>
      <c r="DH25" s="1007"/>
      <c r="DI25" s="1006"/>
      <c r="DJ25" s="1006"/>
      <c r="DK25" s="1007"/>
      <c r="DL25" s="1007"/>
      <c r="DM25" s="1007"/>
      <c r="DN25" s="1007"/>
      <c r="DO25" s="1112"/>
      <c r="DP25" s="1112"/>
      <c r="DQ25" s="1207"/>
      <c r="DR25" s="1154">
        <f t="shared" si="2"/>
        <v>0</v>
      </c>
      <c r="DS25" s="1154">
        <f t="shared" si="3"/>
        <v>0</v>
      </c>
      <c r="DT25" s="1154">
        <f t="shared" si="4"/>
        <v>0</v>
      </c>
      <c r="DU25" s="1154">
        <f t="shared" si="5"/>
        <v>0</v>
      </c>
      <c r="DV25" s="1154">
        <f t="shared" si="6"/>
        <v>0</v>
      </c>
      <c r="DW25" s="1154">
        <f t="shared" si="7"/>
        <v>0</v>
      </c>
      <c r="DX25" s="1154">
        <f t="shared" si="8"/>
        <v>0</v>
      </c>
      <c r="DY25" s="1154">
        <f t="shared" si="9"/>
        <v>0</v>
      </c>
      <c r="DZ25" s="1154">
        <f t="shared" si="10"/>
        <v>0</v>
      </c>
      <c r="EA25" s="1154">
        <f t="shared" si="11"/>
        <v>0</v>
      </c>
      <c r="EB25" s="1154">
        <f t="shared" si="12"/>
        <v>0</v>
      </c>
      <c r="EC25" s="1154">
        <f t="shared" si="13"/>
        <v>0</v>
      </c>
      <c r="ED25" s="1154">
        <f t="shared" si="14"/>
        <v>0</v>
      </c>
      <c r="EE25" s="1154">
        <f t="shared" si="15"/>
        <v>0</v>
      </c>
      <c r="EF25" s="1154">
        <f t="shared" si="16"/>
        <v>0</v>
      </c>
      <c r="EG25" s="1154">
        <f t="shared" si="17"/>
        <v>0</v>
      </c>
      <c r="EH25" s="1154">
        <f t="shared" si="18"/>
        <v>0</v>
      </c>
      <c r="EI25" s="1154">
        <f t="shared" si="19"/>
        <v>0</v>
      </c>
      <c r="EJ25" s="1154">
        <f t="shared" si="20"/>
        <v>0</v>
      </c>
      <c r="EK25" s="1154">
        <f t="shared" si="21"/>
        <v>0</v>
      </c>
      <c r="EL25" s="1154">
        <f t="shared" si="22"/>
        <v>0</v>
      </c>
      <c r="EM25" s="1154">
        <f t="shared" si="23"/>
        <v>0</v>
      </c>
      <c r="EN25" s="1154">
        <f t="shared" si="24"/>
        <v>0</v>
      </c>
      <c r="EO25" s="1154">
        <f t="shared" si="25"/>
        <v>0</v>
      </c>
      <c r="EP25" s="1154">
        <f t="shared" si="26"/>
        <v>0</v>
      </c>
      <c r="EQ25" s="1154">
        <f t="shared" si="27"/>
        <v>0</v>
      </c>
      <c r="ER25" s="1154">
        <f t="shared" si="28"/>
        <v>0</v>
      </c>
      <c r="ES25" s="1154">
        <f t="shared" si="29"/>
        <v>0</v>
      </c>
      <c r="ET25" s="1154">
        <f t="shared" si="30"/>
        <v>0</v>
      </c>
      <c r="EU25" s="1154">
        <f t="shared" si="31"/>
        <v>0</v>
      </c>
      <c r="EV25" s="1154">
        <f t="shared" si="32"/>
        <v>0</v>
      </c>
      <c r="EW25" s="1154">
        <f t="shared" si="33"/>
        <v>0</v>
      </c>
      <c r="EX25" s="1154">
        <f t="shared" si="34"/>
        <v>0</v>
      </c>
      <c r="EY25" s="1154">
        <f t="shared" si="35"/>
        <v>0</v>
      </c>
      <c r="EZ25" s="1154">
        <f t="shared" si="36"/>
        <v>0</v>
      </c>
      <c r="FA25" s="1174">
        <f t="shared" si="37"/>
        <v>0</v>
      </c>
      <c r="FC25" s="1154">
        <f t="shared" si="38"/>
        <v>0</v>
      </c>
      <c r="FD25" s="1154">
        <f t="shared" si="39"/>
        <v>0</v>
      </c>
      <c r="FE25" s="1154">
        <f t="shared" si="40"/>
        <v>0</v>
      </c>
      <c r="FF25" s="1154">
        <f t="shared" si="41"/>
        <v>0</v>
      </c>
      <c r="FG25" s="1154">
        <f t="shared" si="42"/>
        <v>0</v>
      </c>
      <c r="FH25" s="1154">
        <f t="shared" si="43"/>
        <v>0</v>
      </c>
      <c r="FI25" s="1154">
        <f t="shared" si="44"/>
        <v>0</v>
      </c>
      <c r="FJ25" s="1154">
        <f t="shared" si="45"/>
        <v>0</v>
      </c>
      <c r="FK25" s="1154">
        <f t="shared" si="46"/>
        <v>0</v>
      </c>
      <c r="FL25" s="1154">
        <f t="shared" si="47"/>
        <v>0</v>
      </c>
      <c r="FM25" s="1154">
        <f t="shared" si="48"/>
        <v>0</v>
      </c>
      <c r="FN25" s="1154">
        <f t="shared" si="49"/>
        <v>0</v>
      </c>
      <c r="FO25" s="1154">
        <f t="shared" si="50"/>
        <v>0</v>
      </c>
      <c r="FP25" s="1154">
        <f t="shared" si="51"/>
        <v>0</v>
      </c>
      <c r="FQ25" s="1154">
        <f t="shared" si="52"/>
        <v>0</v>
      </c>
      <c r="FR25" s="1154">
        <f t="shared" si="53"/>
        <v>0</v>
      </c>
      <c r="FS25" s="1154">
        <f t="shared" si="54"/>
        <v>0</v>
      </c>
      <c r="FT25" s="1154">
        <f t="shared" si="55"/>
        <v>0</v>
      </c>
      <c r="FU25" s="1154">
        <f t="shared" si="56"/>
        <v>0</v>
      </c>
      <c r="FV25" s="1154">
        <f t="shared" si="57"/>
        <v>0</v>
      </c>
      <c r="FW25" s="1154">
        <f t="shared" si="58"/>
        <v>0</v>
      </c>
      <c r="FX25" s="1154">
        <f t="shared" si="59"/>
        <v>0</v>
      </c>
      <c r="FY25" s="1154">
        <f t="shared" si="60"/>
        <v>0</v>
      </c>
      <c r="FZ25" s="1154">
        <f t="shared" si="61"/>
        <v>0</v>
      </c>
      <c r="GA25" s="1154">
        <f t="shared" si="62"/>
        <v>0</v>
      </c>
      <c r="GB25" s="1154">
        <f t="shared" si="63"/>
        <v>0</v>
      </c>
      <c r="GC25" s="1154">
        <f t="shared" si="64"/>
        <v>0</v>
      </c>
      <c r="GD25" s="1154">
        <f t="shared" si="65"/>
        <v>0</v>
      </c>
      <c r="GE25" s="1154">
        <f t="shared" si="66"/>
        <v>0</v>
      </c>
      <c r="GF25" s="1154">
        <f t="shared" si="67"/>
        <v>0</v>
      </c>
      <c r="GG25" s="1154">
        <f t="shared" si="68"/>
        <v>0</v>
      </c>
      <c r="GH25" s="1154">
        <f t="shared" si="69"/>
        <v>0</v>
      </c>
      <c r="GI25" s="1154">
        <f t="shared" si="70"/>
        <v>0</v>
      </c>
      <c r="GJ25" s="1154">
        <f t="shared" si="71"/>
        <v>0</v>
      </c>
      <c r="GK25" s="1154">
        <f t="shared" si="72"/>
        <v>0</v>
      </c>
      <c r="GL25" s="1174">
        <f t="shared" si="73"/>
        <v>0</v>
      </c>
    </row>
    <row r="26" spans="2:194">
      <c r="B26" s="1290">
        <f>B25</f>
        <v>0</v>
      </c>
      <c r="C26" s="1289" t="str">
        <f>C25</f>
        <v>East CAC22/11kVBus STOUD</v>
      </c>
      <c r="D26" s="1113" t="str">
        <f t="shared" ref="D26:D27" si="95">D25</f>
        <v>East CAC22/11kVBus STOUD</v>
      </c>
      <c r="E26" s="1113" t="str">
        <f t="shared" ref="E26:E27" si="96">E25</f>
        <v>CAC</v>
      </c>
      <c r="F26" s="1113" t="str">
        <f t="shared" ref="F26:F27" si="97">F25</f>
        <v>CAC</v>
      </c>
      <c r="G26" s="1113" t="str">
        <f t="shared" ref="G26:G27" si="98">G25</f>
        <v>East</v>
      </c>
      <c r="H26" s="1113" t="str">
        <f t="shared" ref="H26:H27" si="99">H25</f>
        <v>EC22BTOU</v>
      </c>
      <c r="I26" s="1114" t="s">
        <v>752</v>
      </c>
      <c r="J26" s="1114" t="s">
        <v>934</v>
      </c>
      <c r="K26" s="1270"/>
      <c r="L26" s="1233">
        <v>75.421999999999997</v>
      </c>
      <c r="M26" s="1007"/>
      <c r="N26" s="1007"/>
      <c r="O26" s="1007"/>
      <c r="P26" s="1007"/>
      <c r="Q26" s="1007"/>
      <c r="R26" s="1007"/>
      <c r="S26" s="1233">
        <v>1.474</v>
      </c>
      <c r="T26" s="1007"/>
      <c r="U26" s="1007"/>
      <c r="V26" s="1007"/>
      <c r="W26" s="1007"/>
      <c r="X26" s="1007"/>
      <c r="Y26" s="1007"/>
      <c r="Z26" s="1007"/>
      <c r="AA26" s="1007"/>
      <c r="AB26" s="1007"/>
      <c r="AC26" s="1007"/>
      <c r="AD26" s="1007"/>
      <c r="AE26" s="1007"/>
      <c r="AF26" s="1007"/>
      <c r="AG26" s="1007"/>
      <c r="AH26" s="1007"/>
      <c r="AI26" s="1224">
        <v>1.1937631525536712E-2</v>
      </c>
      <c r="AJ26" s="1005"/>
      <c r="AK26" s="1005"/>
      <c r="AL26" s="1005"/>
      <c r="AM26" s="1005"/>
      <c r="AN26" s="1005"/>
      <c r="AO26" s="1005"/>
      <c r="AP26" s="1005"/>
      <c r="AQ26" s="1005"/>
      <c r="AR26" s="1005"/>
      <c r="AS26" s="1005"/>
      <c r="AT26" s="1005"/>
      <c r="AU26" s="1206"/>
      <c r="AV26" s="1270"/>
      <c r="AW26" s="1482">
        <v>75.421999999999997</v>
      </c>
      <c r="AX26" s="1007"/>
      <c r="AY26" s="1007"/>
      <c r="AZ26" s="1007"/>
      <c r="BA26" s="1007"/>
      <c r="BB26" s="1007"/>
      <c r="BC26" s="1007"/>
      <c r="BD26" s="1482">
        <v>1.474</v>
      </c>
      <c r="BE26" s="1007"/>
      <c r="BF26" s="1007"/>
      <c r="BG26" s="1007"/>
      <c r="BH26" s="1007"/>
      <c r="BI26" s="1007"/>
      <c r="BJ26" s="1007"/>
      <c r="BK26" s="1007"/>
      <c r="BL26" s="1007"/>
      <c r="BM26" s="1007"/>
      <c r="BN26" s="1007"/>
      <c r="BO26" s="1007"/>
      <c r="BP26" s="1007"/>
      <c r="BQ26" s="1007"/>
      <c r="BR26" s="1007"/>
      <c r="BS26" s="1007"/>
      <c r="BT26" s="1482">
        <v>1.1979999999999999E-2</v>
      </c>
      <c r="BU26" s="1007"/>
      <c r="BV26" s="1007"/>
      <c r="BW26" s="1007"/>
      <c r="BX26" s="1007"/>
      <c r="BY26" s="1007"/>
      <c r="BZ26" s="1007"/>
      <c r="CA26" s="1007"/>
      <c r="CB26" s="1007"/>
      <c r="CC26" s="1007"/>
      <c r="CD26" s="1007"/>
      <c r="CE26" s="1007"/>
      <c r="CF26" s="1007"/>
      <c r="CG26" s="1208"/>
      <c r="CH26" s="1236">
        <v>0</v>
      </c>
      <c r="CI26" s="1007"/>
      <c r="CJ26" s="1007"/>
      <c r="CK26" s="1007"/>
      <c r="CL26" s="1007"/>
      <c r="CM26" s="1007"/>
      <c r="CN26" s="1007"/>
      <c r="CO26" s="1236">
        <v>0</v>
      </c>
      <c r="CP26" s="1007"/>
      <c r="CQ26" s="1007"/>
      <c r="CR26" s="1007"/>
      <c r="CS26" s="1007"/>
      <c r="CT26" s="1007"/>
      <c r="CU26" s="1007"/>
      <c r="CV26" s="1007"/>
      <c r="CW26" s="1007"/>
      <c r="CX26" s="1007"/>
      <c r="CY26" s="1007"/>
      <c r="CZ26" s="1007"/>
      <c r="DA26" s="1007"/>
      <c r="DB26" s="1007"/>
      <c r="DC26" s="1007"/>
      <c r="DD26" s="1007"/>
      <c r="DE26" s="1236">
        <v>0</v>
      </c>
      <c r="DF26" s="1007"/>
      <c r="DG26" s="1007"/>
      <c r="DH26" s="1007"/>
      <c r="DI26" s="1006"/>
      <c r="DJ26" s="1006"/>
      <c r="DK26" s="1007"/>
      <c r="DL26" s="1007"/>
      <c r="DM26" s="1007"/>
      <c r="DN26" s="1007"/>
      <c r="DO26" s="1112"/>
      <c r="DP26" s="1112"/>
      <c r="DQ26" s="1270"/>
      <c r="DR26" s="1154">
        <f t="shared" si="2"/>
        <v>0</v>
      </c>
      <c r="DS26" s="1154">
        <f t="shared" si="3"/>
        <v>0</v>
      </c>
      <c r="DT26" s="1154">
        <f t="shared" si="4"/>
        <v>0</v>
      </c>
      <c r="DU26" s="1154">
        <f t="shared" si="5"/>
        <v>0</v>
      </c>
      <c r="DV26" s="1154">
        <f t="shared" si="6"/>
        <v>0</v>
      </c>
      <c r="DW26" s="1154">
        <f t="shared" si="7"/>
        <v>0</v>
      </c>
      <c r="DX26" s="1154">
        <f t="shared" si="8"/>
        <v>0</v>
      </c>
      <c r="DY26" s="1154">
        <f t="shared" si="9"/>
        <v>0</v>
      </c>
      <c r="DZ26" s="1154">
        <f t="shared" si="10"/>
        <v>0</v>
      </c>
      <c r="EA26" s="1154">
        <f t="shared" si="11"/>
        <v>0</v>
      </c>
      <c r="EB26" s="1154">
        <f t="shared" si="12"/>
        <v>0</v>
      </c>
      <c r="EC26" s="1154">
        <f t="shared" si="13"/>
        <v>0</v>
      </c>
      <c r="ED26" s="1154">
        <f t="shared" si="14"/>
        <v>0</v>
      </c>
      <c r="EE26" s="1154">
        <f t="shared" si="15"/>
        <v>0</v>
      </c>
      <c r="EF26" s="1154">
        <f t="shared" si="16"/>
        <v>0</v>
      </c>
      <c r="EG26" s="1154">
        <f t="shared" si="17"/>
        <v>0</v>
      </c>
      <c r="EH26" s="1154">
        <f t="shared" si="18"/>
        <v>0</v>
      </c>
      <c r="EI26" s="1154">
        <f t="shared" si="19"/>
        <v>0</v>
      </c>
      <c r="EJ26" s="1154">
        <f t="shared" si="20"/>
        <v>0</v>
      </c>
      <c r="EK26" s="1154">
        <f t="shared" si="21"/>
        <v>0</v>
      </c>
      <c r="EL26" s="1154">
        <f t="shared" si="22"/>
        <v>0</v>
      </c>
      <c r="EM26" s="1154">
        <f t="shared" si="23"/>
        <v>0</v>
      </c>
      <c r="EN26" s="1154">
        <f t="shared" si="24"/>
        <v>0</v>
      </c>
      <c r="EO26" s="1154">
        <f t="shared" si="25"/>
        <v>0</v>
      </c>
      <c r="EP26" s="1154">
        <f t="shared" si="26"/>
        <v>0</v>
      </c>
      <c r="EQ26" s="1154">
        <f t="shared" si="27"/>
        <v>0</v>
      </c>
      <c r="ER26" s="1154">
        <f t="shared" si="28"/>
        <v>0</v>
      </c>
      <c r="ES26" s="1154">
        <f t="shared" si="29"/>
        <v>0</v>
      </c>
      <c r="ET26" s="1154">
        <f t="shared" si="30"/>
        <v>0</v>
      </c>
      <c r="EU26" s="1154">
        <f t="shared" si="31"/>
        <v>0</v>
      </c>
      <c r="EV26" s="1154">
        <f t="shared" si="32"/>
        <v>0</v>
      </c>
      <c r="EW26" s="1154">
        <f t="shared" si="33"/>
        <v>0</v>
      </c>
      <c r="EX26" s="1154">
        <f t="shared" si="34"/>
        <v>0</v>
      </c>
      <c r="EY26" s="1154">
        <f t="shared" si="35"/>
        <v>0</v>
      </c>
      <c r="EZ26" s="1154">
        <f t="shared" si="36"/>
        <v>0</v>
      </c>
      <c r="FA26" s="1174">
        <f t="shared" si="37"/>
        <v>0</v>
      </c>
      <c r="FC26" s="1154">
        <f t="shared" si="38"/>
        <v>0</v>
      </c>
      <c r="FD26" s="1154">
        <f t="shared" si="39"/>
        <v>0</v>
      </c>
      <c r="FE26" s="1154">
        <f t="shared" si="40"/>
        <v>0</v>
      </c>
      <c r="FF26" s="1154">
        <f t="shared" si="41"/>
        <v>0</v>
      </c>
      <c r="FG26" s="1154">
        <f t="shared" si="42"/>
        <v>0</v>
      </c>
      <c r="FH26" s="1154">
        <f t="shared" si="43"/>
        <v>0</v>
      </c>
      <c r="FI26" s="1154">
        <f t="shared" si="44"/>
        <v>0</v>
      </c>
      <c r="FJ26" s="1154">
        <f t="shared" si="45"/>
        <v>0</v>
      </c>
      <c r="FK26" s="1154">
        <f t="shared" si="46"/>
        <v>0</v>
      </c>
      <c r="FL26" s="1154">
        <f t="shared" si="47"/>
        <v>0</v>
      </c>
      <c r="FM26" s="1154">
        <f t="shared" si="48"/>
        <v>0</v>
      </c>
      <c r="FN26" s="1154">
        <f t="shared" si="49"/>
        <v>0</v>
      </c>
      <c r="FO26" s="1154">
        <f t="shared" si="50"/>
        <v>0</v>
      </c>
      <c r="FP26" s="1154">
        <f t="shared" si="51"/>
        <v>0</v>
      </c>
      <c r="FQ26" s="1154">
        <f t="shared" si="52"/>
        <v>0</v>
      </c>
      <c r="FR26" s="1154">
        <f t="shared" si="53"/>
        <v>0</v>
      </c>
      <c r="FS26" s="1154">
        <f t="shared" si="54"/>
        <v>0</v>
      </c>
      <c r="FT26" s="1154">
        <f t="shared" si="55"/>
        <v>0</v>
      </c>
      <c r="FU26" s="1154">
        <f t="shared" si="56"/>
        <v>0</v>
      </c>
      <c r="FV26" s="1154">
        <f t="shared" si="57"/>
        <v>0</v>
      </c>
      <c r="FW26" s="1154">
        <f t="shared" si="58"/>
        <v>0</v>
      </c>
      <c r="FX26" s="1154">
        <f t="shared" si="59"/>
        <v>0</v>
      </c>
      <c r="FY26" s="1154">
        <f t="shared" si="60"/>
        <v>0</v>
      </c>
      <c r="FZ26" s="1154">
        <f t="shared" si="61"/>
        <v>0</v>
      </c>
      <c r="GA26" s="1154">
        <f t="shared" si="62"/>
        <v>0</v>
      </c>
      <c r="GB26" s="1154">
        <f t="shared" si="63"/>
        <v>0</v>
      </c>
      <c r="GC26" s="1154">
        <f t="shared" si="64"/>
        <v>0</v>
      </c>
      <c r="GD26" s="1154">
        <f t="shared" si="65"/>
        <v>0</v>
      </c>
      <c r="GE26" s="1154">
        <f t="shared" si="66"/>
        <v>0</v>
      </c>
      <c r="GF26" s="1154">
        <f t="shared" si="67"/>
        <v>0</v>
      </c>
      <c r="GG26" s="1154">
        <f t="shared" si="68"/>
        <v>0</v>
      </c>
      <c r="GH26" s="1154">
        <f t="shared" si="69"/>
        <v>0</v>
      </c>
      <c r="GI26" s="1154">
        <f t="shared" si="70"/>
        <v>0</v>
      </c>
      <c r="GJ26" s="1154">
        <f t="shared" si="71"/>
        <v>0</v>
      </c>
      <c r="GK26" s="1154">
        <f t="shared" si="72"/>
        <v>0</v>
      </c>
      <c r="GL26" s="1174">
        <f t="shared" si="73"/>
        <v>0</v>
      </c>
    </row>
    <row r="27" spans="2:194">
      <c r="B27" s="1290">
        <f>B26</f>
        <v>0</v>
      </c>
      <c r="C27" s="1289" t="str">
        <f>C26</f>
        <v>East CAC22/11kVBus STOUD</v>
      </c>
      <c r="D27" s="1113" t="str">
        <f t="shared" si="95"/>
        <v>East CAC22/11kVBus STOUD</v>
      </c>
      <c r="E27" s="1113" t="str">
        <f t="shared" si="96"/>
        <v>CAC</v>
      </c>
      <c r="F27" s="1113" t="str">
        <f t="shared" si="97"/>
        <v>CAC</v>
      </c>
      <c r="G27" s="1113" t="str">
        <f t="shared" si="98"/>
        <v>East</v>
      </c>
      <c r="H27" s="1113" t="str">
        <f t="shared" si="99"/>
        <v>EC22BTOU</v>
      </c>
      <c r="I27" s="1114" t="s">
        <v>759</v>
      </c>
      <c r="J27" s="1114" t="s">
        <v>934</v>
      </c>
      <c r="K27" s="1270"/>
      <c r="L27" s="1233">
        <v>70.440599999999989</v>
      </c>
      <c r="M27" s="1007"/>
      <c r="N27" s="1007"/>
      <c r="O27" s="1007"/>
      <c r="P27" s="1007"/>
      <c r="Q27" s="1007"/>
      <c r="R27" s="1007"/>
      <c r="S27" s="1233">
        <v>2.7227000000000001</v>
      </c>
      <c r="T27" s="1007"/>
      <c r="U27" s="1007"/>
      <c r="V27" s="1007"/>
      <c r="W27" s="1007"/>
      <c r="X27" s="1007"/>
      <c r="Y27" s="1007"/>
      <c r="Z27" s="1007"/>
      <c r="AA27" s="1007"/>
      <c r="AB27" s="1007"/>
      <c r="AC27" s="1007"/>
      <c r="AD27" s="1007"/>
      <c r="AE27" s="1007"/>
      <c r="AF27" s="1007"/>
      <c r="AG27" s="1007"/>
      <c r="AH27" s="1007"/>
      <c r="AI27" s="1224">
        <v>1.3562911090201862E-2</v>
      </c>
      <c r="AJ27" s="1005"/>
      <c r="AK27" s="1005"/>
      <c r="AL27" s="1005"/>
      <c r="AM27" s="1005"/>
      <c r="AN27" s="1005"/>
      <c r="AO27" s="1005"/>
      <c r="AP27" s="1005"/>
      <c r="AQ27" s="1005"/>
      <c r="AR27" s="1005"/>
      <c r="AS27" s="1005"/>
      <c r="AT27" s="1005"/>
      <c r="AU27" s="1206"/>
      <c r="AV27" s="1270"/>
      <c r="AW27" s="1482">
        <v>74.147999999999996</v>
      </c>
      <c r="AX27" s="1007"/>
      <c r="AY27" s="1007"/>
      <c r="AZ27" s="1007"/>
      <c r="BA27" s="1007"/>
      <c r="BB27" s="1007"/>
      <c r="BC27" s="1007"/>
      <c r="BD27" s="1482">
        <v>2.8660000000000001</v>
      </c>
      <c r="BE27" s="1007"/>
      <c r="BF27" s="1007"/>
      <c r="BG27" s="1007"/>
      <c r="BH27" s="1007"/>
      <c r="BI27" s="1007"/>
      <c r="BJ27" s="1007"/>
      <c r="BK27" s="1007"/>
      <c r="BL27" s="1007"/>
      <c r="BM27" s="1007"/>
      <c r="BN27" s="1007"/>
      <c r="BO27" s="1007"/>
      <c r="BP27" s="1007"/>
      <c r="BQ27" s="1007"/>
      <c r="BR27" s="1007"/>
      <c r="BS27" s="1007"/>
      <c r="BT27" s="1482">
        <v>1.49E-2</v>
      </c>
      <c r="BU27" s="1007"/>
      <c r="BV27" s="1007"/>
      <c r="BW27" s="1007"/>
      <c r="BX27" s="1007"/>
      <c r="BY27" s="1007"/>
      <c r="BZ27" s="1007"/>
      <c r="CA27" s="1007"/>
      <c r="CB27" s="1007"/>
      <c r="CC27" s="1007"/>
      <c r="CD27" s="1007"/>
      <c r="CE27" s="1007"/>
      <c r="CF27" s="1007"/>
      <c r="CG27" s="1208"/>
      <c r="CH27" s="1236">
        <v>0</v>
      </c>
      <c r="CI27" s="1007"/>
      <c r="CJ27" s="1007"/>
      <c r="CK27" s="1007"/>
      <c r="CL27" s="1007"/>
      <c r="CM27" s="1007"/>
      <c r="CN27" s="1007"/>
      <c r="CO27" s="1236">
        <v>0</v>
      </c>
      <c r="CP27" s="1007"/>
      <c r="CQ27" s="1007"/>
      <c r="CR27" s="1007"/>
      <c r="CS27" s="1007"/>
      <c r="CT27" s="1007"/>
      <c r="CU27" s="1007"/>
      <c r="CV27" s="1007"/>
      <c r="CW27" s="1007"/>
      <c r="CX27" s="1007"/>
      <c r="CY27" s="1007"/>
      <c r="CZ27" s="1007"/>
      <c r="DA27" s="1007"/>
      <c r="DB27" s="1007"/>
      <c r="DC27" s="1007"/>
      <c r="DD27" s="1007"/>
      <c r="DE27" s="1236">
        <v>0</v>
      </c>
      <c r="DF27" s="1007"/>
      <c r="DG27" s="1007"/>
      <c r="DH27" s="1007"/>
      <c r="DI27" s="1006"/>
      <c r="DJ27" s="1006"/>
      <c r="DK27" s="1007"/>
      <c r="DL27" s="1007"/>
      <c r="DM27" s="1007"/>
      <c r="DN27" s="1007"/>
      <c r="DO27" s="1112"/>
      <c r="DP27" s="1112"/>
      <c r="DQ27" s="1270"/>
      <c r="DR27" s="1154">
        <f t="shared" si="2"/>
        <v>0</v>
      </c>
      <c r="DS27" s="1154">
        <f t="shared" si="3"/>
        <v>0</v>
      </c>
      <c r="DT27" s="1154">
        <f t="shared" si="4"/>
        <v>0</v>
      </c>
      <c r="DU27" s="1154">
        <f t="shared" si="5"/>
        <v>0</v>
      </c>
      <c r="DV27" s="1154">
        <f t="shared" si="6"/>
        <v>0</v>
      </c>
      <c r="DW27" s="1154">
        <f t="shared" si="7"/>
        <v>0</v>
      </c>
      <c r="DX27" s="1154">
        <f t="shared" si="8"/>
        <v>0</v>
      </c>
      <c r="DY27" s="1154">
        <f t="shared" si="9"/>
        <v>0</v>
      </c>
      <c r="DZ27" s="1154">
        <f t="shared" si="10"/>
        <v>0</v>
      </c>
      <c r="EA27" s="1154">
        <f t="shared" si="11"/>
        <v>0</v>
      </c>
      <c r="EB27" s="1154">
        <f t="shared" si="12"/>
        <v>0</v>
      </c>
      <c r="EC27" s="1154">
        <f t="shared" si="13"/>
        <v>0</v>
      </c>
      <c r="ED27" s="1154">
        <f t="shared" si="14"/>
        <v>0</v>
      </c>
      <c r="EE27" s="1154">
        <f t="shared" si="15"/>
        <v>0</v>
      </c>
      <c r="EF27" s="1154">
        <f t="shared" si="16"/>
        <v>0</v>
      </c>
      <c r="EG27" s="1154">
        <f t="shared" si="17"/>
        <v>0</v>
      </c>
      <c r="EH27" s="1154">
        <f t="shared" si="18"/>
        <v>0</v>
      </c>
      <c r="EI27" s="1154">
        <f t="shared" si="19"/>
        <v>0</v>
      </c>
      <c r="EJ27" s="1154">
        <f t="shared" si="20"/>
        <v>0</v>
      </c>
      <c r="EK27" s="1154">
        <f t="shared" si="21"/>
        <v>0</v>
      </c>
      <c r="EL27" s="1154">
        <f t="shared" si="22"/>
        <v>0</v>
      </c>
      <c r="EM27" s="1154">
        <f t="shared" si="23"/>
        <v>0</v>
      </c>
      <c r="EN27" s="1154">
        <f t="shared" si="24"/>
        <v>0</v>
      </c>
      <c r="EO27" s="1154">
        <f t="shared" si="25"/>
        <v>0</v>
      </c>
      <c r="EP27" s="1154">
        <f t="shared" si="26"/>
        <v>0</v>
      </c>
      <c r="EQ27" s="1154">
        <f t="shared" si="27"/>
        <v>0</v>
      </c>
      <c r="ER27" s="1154">
        <f t="shared" si="28"/>
        <v>0</v>
      </c>
      <c r="ES27" s="1154">
        <f t="shared" si="29"/>
        <v>0</v>
      </c>
      <c r="ET27" s="1154">
        <f t="shared" si="30"/>
        <v>0</v>
      </c>
      <c r="EU27" s="1154">
        <f t="shared" si="31"/>
        <v>0</v>
      </c>
      <c r="EV27" s="1154">
        <f t="shared" si="32"/>
        <v>0</v>
      </c>
      <c r="EW27" s="1154">
        <f t="shared" si="33"/>
        <v>0</v>
      </c>
      <c r="EX27" s="1154">
        <f t="shared" si="34"/>
        <v>0</v>
      </c>
      <c r="EY27" s="1154">
        <f t="shared" si="35"/>
        <v>0</v>
      </c>
      <c r="EZ27" s="1154">
        <f t="shared" si="36"/>
        <v>0</v>
      </c>
      <c r="FA27" s="1174">
        <f t="shared" si="37"/>
        <v>0</v>
      </c>
      <c r="FC27" s="1154">
        <f t="shared" si="38"/>
        <v>0</v>
      </c>
      <c r="FD27" s="1154">
        <f t="shared" si="39"/>
        <v>0</v>
      </c>
      <c r="FE27" s="1154">
        <f t="shared" si="40"/>
        <v>0</v>
      </c>
      <c r="FF27" s="1154">
        <f t="shared" si="41"/>
        <v>0</v>
      </c>
      <c r="FG27" s="1154">
        <f t="shared" si="42"/>
        <v>0</v>
      </c>
      <c r="FH27" s="1154">
        <f t="shared" si="43"/>
        <v>0</v>
      </c>
      <c r="FI27" s="1154">
        <f t="shared" si="44"/>
        <v>0</v>
      </c>
      <c r="FJ27" s="1154">
        <f t="shared" si="45"/>
        <v>0</v>
      </c>
      <c r="FK27" s="1154">
        <f t="shared" si="46"/>
        <v>0</v>
      </c>
      <c r="FL27" s="1154">
        <f t="shared" si="47"/>
        <v>0</v>
      </c>
      <c r="FM27" s="1154">
        <f t="shared" si="48"/>
        <v>0</v>
      </c>
      <c r="FN27" s="1154">
        <f t="shared" si="49"/>
        <v>0</v>
      </c>
      <c r="FO27" s="1154">
        <f t="shared" si="50"/>
        <v>0</v>
      </c>
      <c r="FP27" s="1154">
        <f t="shared" si="51"/>
        <v>0</v>
      </c>
      <c r="FQ27" s="1154">
        <f t="shared" si="52"/>
        <v>0</v>
      </c>
      <c r="FR27" s="1154">
        <f t="shared" si="53"/>
        <v>0</v>
      </c>
      <c r="FS27" s="1154">
        <f t="shared" si="54"/>
        <v>0</v>
      </c>
      <c r="FT27" s="1154">
        <f t="shared" si="55"/>
        <v>0</v>
      </c>
      <c r="FU27" s="1154">
        <f t="shared" si="56"/>
        <v>0</v>
      </c>
      <c r="FV27" s="1154">
        <f t="shared" si="57"/>
        <v>0</v>
      </c>
      <c r="FW27" s="1154">
        <f t="shared" si="58"/>
        <v>0</v>
      </c>
      <c r="FX27" s="1154">
        <f t="shared" si="59"/>
        <v>0</v>
      </c>
      <c r="FY27" s="1154">
        <f t="shared" si="60"/>
        <v>0</v>
      </c>
      <c r="FZ27" s="1154">
        <f t="shared" si="61"/>
        <v>0</v>
      </c>
      <c r="GA27" s="1154">
        <f t="shared" si="62"/>
        <v>0</v>
      </c>
      <c r="GB27" s="1154">
        <f t="shared" si="63"/>
        <v>0</v>
      </c>
      <c r="GC27" s="1154">
        <f t="shared" si="64"/>
        <v>0</v>
      </c>
      <c r="GD27" s="1154">
        <f t="shared" si="65"/>
        <v>0</v>
      </c>
      <c r="GE27" s="1154">
        <f t="shared" si="66"/>
        <v>0</v>
      </c>
      <c r="GF27" s="1154">
        <f t="shared" si="67"/>
        <v>0</v>
      </c>
      <c r="GG27" s="1154">
        <f t="shared" si="68"/>
        <v>0</v>
      </c>
      <c r="GH27" s="1154">
        <f t="shared" si="69"/>
        <v>0</v>
      </c>
      <c r="GI27" s="1154">
        <f t="shared" si="70"/>
        <v>0</v>
      </c>
      <c r="GJ27" s="1154">
        <f t="shared" si="71"/>
        <v>0</v>
      </c>
      <c r="GK27" s="1154">
        <f t="shared" si="72"/>
        <v>0</v>
      </c>
      <c r="GL27" s="1174">
        <f t="shared" si="73"/>
        <v>0</v>
      </c>
    </row>
    <row r="28" spans="2:194">
      <c r="B28" s="1290">
        <f>Prop2021DUOSTariffs!B16</f>
        <v>0</v>
      </c>
      <c r="C28" s="1289" t="str">
        <f>Prop2021DUOSTariffs!C16</f>
        <v>East CAC22/11kVLine STOUD</v>
      </c>
      <c r="D28" s="1113" t="str">
        <f>Prop2021DUOSTariffs!D16</f>
        <v>East CAC22/11kVLine STOUD</v>
      </c>
      <c r="E28" s="1113" t="str">
        <f>Prop2021DUOSTariffs!E16</f>
        <v>CAC</v>
      </c>
      <c r="F28" s="1113" t="str">
        <f>Prop2021DUOSTariffs!F16</f>
        <v>CAC</v>
      </c>
      <c r="G28" s="1113" t="str">
        <f>Prop2021DUOSTariffs!G16</f>
        <v>East</v>
      </c>
      <c r="H28" s="1113" t="str">
        <f>IF(Prop2021DUOSTariffs!H16="","",Prop2021DUOSTariffs!H16)</f>
        <v>EC22LTOU</v>
      </c>
      <c r="I28" s="1114" t="s">
        <v>798</v>
      </c>
      <c r="J28" s="1114" t="s">
        <v>934</v>
      </c>
      <c r="K28" s="1207"/>
      <c r="L28" s="1233">
        <v>109.52604000000001</v>
      </c>
      <c r="M28" s="1007"/>
      <c r="N28" s="1007"/>
      <c r="O28" s="1007"/>
      <c r="P28" s="1007"/>
      <c r="Q28" s="1007"/>
      <c r="R28" s="1007"/>
      <c r="S28" s="1233">
        <v>0.71820000000000006</v>
      </c>
      <c r="T28" s="1007"/>
      <c r="U28" s="1007"/>
      <c r="V28" s="1007"/>
      <c r="W28" s="1007"/>
      <c r="X28" s="1007"/>
      <c r="Y28" s="1007"/>
      <c r="Z28" s="1007"/>
      <c r="AA28" s="1007"/>
      <c r="AB28" s="1007"/>
      <c r="AC28" s="1007"/>
      <c r="AD28" s="1007"/>
      <c r="AE28" s="1007"/>
      <c r="AF28" s="1007"/>
      <c r="AG28" s="1007"/>
      <c r="AH28" s="1007"/>
      <c r="AI28" s="1224">
        <v>1.0079303034553634E-2</v>
      </c>
      <c r="AJ28" s="1005"/>
      <c r="AK28" s="1005"/>
      <c r="AL28" s="1005"/>
      <c r="AM28" s="1005"/>
      <c r="AN28" s="1005"/>
      <c r="AO28" s="1005"/>
      <c r="AP28" s="1005"/>
      <c r="AQ28" s="1005"/>
      <c r="AR28" s="1005"/>
      <c r="AS28" s="1005"/>
      <c r="AT28" s="1005"/>
      <c r="AU28" s="1206"/>
      <c r="AV28" s="1207"/>
      <c r="AW28" s="1482">
        <v>101.413</v>
      </c>
      <c r="AX28" s="1007"/>
      <c r="AY28" s="1007"/>
      <c r="AZ28" s="1007"/>
      <c r="BA28" s="1007"/>
      <c r="BB28" s="1007"/>
      <c r="BC28" s="1007"/>
      <c r="BD28" s="1482">
        <v>0.66500000000000004</v>
      </c>
      <c r="BE28" s="1007"/>
      <c r="BF28" s="1007"/>
      <c r="BG28" s="1007"/>
      <c r="BH28" s="1007"/>
      <c r="BI28" s="1007"/>
      <c r="BJ28" s="1007"/>
      <c r="BK28" s="1007"/>
      <c r="BL28" s="1007"/>
      <c r="BM28" s="1007"/>
      <c r="BN28" s="1007"/>
      <c r="BO28" s="1007"/>
      <c r="BP28" s="1007"/>
      <c r="BQ28" s="1007"/>
      <c r="BR28" s="1007"/>
      <c r="BS28" s="1007"/>
      <c r="BT28" s="1482">
        <v>9.0799999999999995E-3</v>
      </c>
      <c r="BU28" s="1007"/>
      <c r="BV28" s="1007"/>
      <c r="BW28" s="1007"/>
      <c r="BX28" s="1007"/>
      <c r="BY28" s="1007"/>
      <c r="BZ28" s="1007"/>
      <c r="CA28" s="1007"/>
      <c r="CB28" s="1007"/>
      <c r="CC28" s="1007"/>
      <c r="CD28" s="1007"/>
      <c r="CE28" s="1007"/>
      <c r="CF28" s="1007"/>
      <c r="CG28" s="1208"/>
      <c r="CH28" s="1236">
        <v>0</v>
      </c>
      <c r="CI28" s="1007"/>
      <c r="CJ28" s="1007"/>
      <c r="CK28" s="1007"/>
      <c r="CL28" s="1007"/>
      <c r="CM28" s="1007"/>
      <c r="CN28" s="1007"/>
      <c r="CO28" s="1236">
        <v>0</v>
      </c>
      <c r="CP28" s="1007"/>
      <c r="CQ28" s="1007"/>
      <c r="CR28" s="1007"/>
      <c r="CS28" s="1007"/>
      <c r="CT28" s="1007"/>
      <c r="CU28" s="1007"/>
      <c r="CV28" s="1007"/>
      <c r="CW28" s="1007"/>
      <c r="CX28" s="1007"/>
      <c r="CY28" s="1007"/>
      <c r="CZ28" s="1007"/>
      <c r="DA28" s="1007"/>
      <c r="DB28" s="1007"/>
      <c r="DC28" s="1007"/>
      <c r="DD28" s="1007"/>
      <c r="DE28" s="1236">
        <v>0</v>
      </c>
      <c r="DF28" s="1007"/>
      <c r="DG28" s="1007"/>
      <c r="DH28" s="1007"/>
      <c r="DI28" s="1006"/>
      <c r="DJ28" s="1006"/>
      <c r="DK28" s="1007"/>
      <c r="DL28" s="1007"/>
      <c r="DM28" s="1007"/>
      <c r="DN28" s="1007"/>
      <c r="DO28" s="1112"/>
      <c r="DP28" s="1112"/>
      <c r="DQ28" s="1207"/>
      <c r="DR28" s="1154">
        <f t="shared" si="2"/>
        <v>0</v>
      </c>
      <c r="DS28" s="1154">
        <f t="shared" si="3"/>
        <v>0</v>
      </c>
      <c r="DT28" s="1154">
        <f t="shared" si="4"/>
        <v>0</v>
      </c>
      <c r="DU28" s="1154">
        <f t="shared" si="5"/>
        <v>0</v>
      </c>
      <c r="DV28" s="1154">
        <f t="shared" si="6"/>
        <v>0</v>
      </c>
      <c r="DW28" s="1154">
        <f t="shared" si="7"/>
        <v>0</v>
      </c>
      <c r="DX28" s="1154">
        <f t="shared" si="8"/>
        <v>0</v>
      </c>
      <c r="DY28" s="1154">
        <f t="shared" si="9"/>
        <v>0</v>
      </c>
      <c r="DZ28" s="1154">
        <f t="shared" si="10"/>
        <v>0</v>
      </c>
      <c r="EA28" s="1154">
        <f t="shared" si="11"/>
        <v>0</v>
      </c>
      <c r="EB28" s="1154">
        <f t="shared" si="12"/>
        <v>0</v>
      </c>
      <c r="EC28" s="1154">
        <f t="shared" si="13"/>
        <v>0</v>
      </c>
      <c r="ED28" s="1154">
        <f t="shared" si="14"/>
        <v>0</v>
      </c>
      <c r="EE28" s="1154">
        <f t="shared" si="15"/>
        <v>0</v>
      </c>
      <c r="EF28" s="1154">
        <f t="shared" si="16"/>
        <v>0</v>
      </c>
      <c r="EG28" s="1154">
        <f t="shared" si="17"/>
        <v>0</v>
      </c>
      <c r="EH28" s="1154">
        <f t="shared" si="18"/>
        <v>0</v>
      </c>
      <c r="EI28" s="1154">
        <f t="shared" si="19"/>
        <v>0</v>
      </c>
      <c r="EJ28" s="1154">
        <f t="shared" si="20"/>
        <v>0</v>
      </c>
      <c r="EK28" s="1154">
        <f t="shared" si="21"/>
        <v>0</v>
      </c>
      <c r="EL28" s="1154">
        <f t="shared" si="22"/>
        <v>0</v>
      </c>
      <c r="EM28" s="1154">
        <f t="shared" si="23"/>
        <v>0</v>
      </c>
      <c r="EN28" s="1154">
        <f t="shared" si="24"/>
        <v>0</v>
      </c>
      <c r="EO28" s="1154">
        <f t="shared" si="25"/>
        <v>0</v>
      </c>
      <c r="EP28" s="1154">
        <f t="shared" si="26"/>
        <v>0</v>
      </c>
      <c r="EQ28" s="1154">
        <f t="shared" si="27"/>
        <v>0</v>
      </c>
      <c r="ER28" s="1154">
        <f t="shared" si="28"/>
        <v>0</v>
      </c>
      <c r="ES28" s="1154">
        <f t="shared" si="29"/>
        <v>0</v>
      </c>
      <c r="ET28" s="1154">
        <f t="shared" si="30"/>
        <v>0</v>
      </c>
      <c r="EU28" s="1154">
        <f t="shared" si="31"/>
        <v>0</v>
      </c>
      <c r="EV28" s="1154">
        <f t="shared" si="32"/>
        <v>0</v>
      </c>
      <c r="EW28" s="1154">
        <f t="shared" si="33"/>
        <v>0</v>
      </c>
      <c r="EX28" s="1154">
        <f t="shared" si="34"/>
        <v>0</v>
      </c>
      <c r="EY28" s="1154">
        <f t="shared" si="35"/>
        <v>0</v>
      </c>
      <c r="EZ28" s="1154">
        <f t="shared" si="36"/>
        <v>0</v>
      </c>
      <c r="FA28" s="1174">
        <f t="shared" si="37"/>
        <v>0</v>
      </c>
      <c r="FC28" s="1154">
        <f t="shared" si="38"/>
        <v>0</v>
      </c>
      <c r="FD28" s="1154">
        <f t="shared" si="39"/>
        <v>0</v>
      </c>
      <c r="FE28" s="1154">
        <f t="shared" si="40"/>
        <v>0</v>
      </c>
      <c r="FF28" s="1154">
        <f t="shared" si="41"/>
        <v>0</v>
      </c>
      <c r="FG28" s="1154">
        <f t="shared" si="42"/>
        <v>0</v>
      </c>
      <c r="FH28" s="1154">
        <f t="shared" si="43"/>
        <v>0</v>
      </c>
      <c r="FI28" s="1154">
        <f t="shared" si="44"/>
        <v>0</v>
      </c>
      <c r="FJ28" s="1154">
        <f t="shared" si="45"/>
        <v>0</v>
      </c>
      <c r="FK28" s="1154">
        <f t="shared" si="46"/>
        <v>0</v>
      </c>
      <c r="FL28" s="1154">
        <f t="shared" si="47"/>
        <v>0</v>
      </c>
      <c r="FM28" s="1154">
        <f t="shared" si="48"/>
        <v>0</v>
      </c>
      <c r="FN28" s="1154">
        <f t="shared" si="49"/>
        <v>0</v>
      </c>
      <c r="FO28" s="1154">
        <f t="shared" si="50"/>
        <v>0</v>
      </c>
      <c r="FP28" s="1154">
        <f t="shared" si="51"/>
        <v>0</v>
      </c>
      <c r="FQ28" s="1154">
        <f t="shared" si="52"/>
        <v>0</v>
      </c>
      <c r="FR28" s="1154">
        <f t="shared" si="53"/>
        <v>0</v>
      </c>
      <c r="FS28" s="1154">
        <f t="shared" si="54"/>
        <v>0</v>
      </c>
      <c r="FT28" s="1154">
        <f t="shared" si="55"/>
        <v>0</v>
      </c>
      <c r="FU28" s="1154">
        <f t="shared" si="56"/>
        <v>0</v>
      </c>
      <c r="FV28" s="1154">
        <f t="shared" si="57"/>
        <v>0</v>
      </c>
      <c r="FW28" s="1154">
        <f t="shared" si="58"/>
        <v>0</v>
      </c>
      <c r="FX28" s="1154">
        <f t="shared" si="59"/>
        <v>0</v>
      </c>
      <c r="FY28" s="1154">
        <f t="shared" si="60"/>
        <v>0</v>
      </c>
      <c r="FZ28" s="1154">
        <f t="shared" si="61"/>
        <v>0</v>
      </c>
      <c r="GA28" s="1154">
        <f t="shared" si="62"/>
        <v>0</v>
      </c>
      <c r="GB28" s="1154">
        <f t="shared" si="63"/>
        <v>0</v>
      </c>
      <c r="GC28" s="1154">
        <f t="shared" si="64"/>
        <v>0</v>
      </c>
      <c r="GD28" s="1154">
        <f t="shared" si="65"/>
        <v>0</v>
      </c>
      <c r="GE28" s="1154">
        <f t="shared" si="66"/>
        <v>0</v>
      </c>
      <c r="GF28" s="1154">
        <f t="shared" si="67"/>
        <v>0</v>
      </c>
      <c r="GG28" s="1154">
        <f t="shared" si="68"/>
        <v>0</v>
      </c>
      <c r="GH28" s="1154">
        <f t="shared" si="69"/>
        <v>0</v>
      </c>
      <c r="GI28" s="1154">
        <f t="shared" si="70"/>
        <v>0</v>
      </c>
      <c r="GJ28" s="1154">
        <f t="shared" si="71"/>
        <v>0</v>
      </c>
      <c r="GK28" s="1154">
        <f t="shared" si="72"/>
        <v>0</v>
      </c>
      <c r="GL28" s="1174">
        <f t="shared" si="73"/>
        <v>0</v>
      </c>
    </row>
    <row r="29" spans="2:194">
      <c r="B29" s="1290">
        <f>B28</f>
        <v>0</v>
      </c>
      <c r="C29" s="1289" t="str">
        <f>C28</f>
        <v>East CAC22/11kVLine STOUD</v>
      </c>
      <c r="D29" s="1113" t="str">
        <f t="shared" ref="D29:D30" si="100">D28</f>
        <v>East CAC22/11kVLine STOUD</v>
      </c>
      <c r="E29" s="1113" t="str">
        <f t="shared" ref="E29:E30" si="101">E28</f>
        <v>CAC</v>
      </c>
      <c r="F29" s="1113" t="str">
        <f t="shared" ref="F29:F30" si="102">F28</f>
        <v>CAC</v>
      </c>
      <c r="G29" s="1113" t="str">
        <f t="shared" ref="G29:G30" si="103">G28</f>
        <v>East</v>
      </c>
      <c r="H29" s="1113" t="str">
        <f t="shared" ref="H29:H30" si="104">H28</f>
        <v>EC22LTOU</v>
      </c>
      <c r="I29" s="1114" t="s">
        <v>752</v>
      </c>
      <c r="J29" s="1114" t="s">
        <v>934</v>
      </c>
      <c r="K29" s="1270"/>
      <c r="L29" s="1233">
        <v>75.421999999999997</v>
      </c>
      <c r="M29" s="1007"/>
      <c r="N29" s="1007"/>
      <c r="O29" s="1007"/>
      <c r="P29" s="1007"/>
      <c r="Q29" s="1007"/>
      <c r="R29" s="1007"/>
      <c r="S29" s="1233">
        <v>1.474</v>
      </c>
      <c r="T29" s="1007"/>
      <c r="U29" s="1007"/>
      <c r="V29" s="1007"/>
      <c r="W29" s="1007"/>
      <c r="X29" s="1007"/>
      <c r="Y29" s="1007"/>
      <c r="Z29" s="1007"/>
      <c r="AA29" s="1007"/>
      <c r="AB29" s="1007"/>
      <c r="AC29" s="1007"/>
      <c r="AD29" s="1007"/>
      <c r="AE29" s="1007"/>
      <c r="AF29" s="1007"/>
      <c r="AG29" s="1007"/>
      <c r="AH29" s="1007"/>
      <c r="AI29" s="1224">
        <v>1.1937631525536712E-2</v>
      </c>
      <c r="AJ29" s="1005"/>
      <c r="AK29" s="1005"/>
      <c r="AL29" s="1005"/>
      <c r="AM29" s="1005"/>
      <c r="AN29" s="1005"/>
      <c r="AO29" s="1005"/>
      <c r="AP29" s="1005"/>
      <c r="AQ29" s="1005"/>
      <c r="AR29" s="1005"/>
      <c r="AS29" s="1005"/>
      <c r="AT29" s="1005"/>
      <c r="AU29" s="1206"/>
      <c r="AV29" s="1270"/>
      <c r="AW29" s="1482">
        <v>75.421999999999997</v>
      </c>
      <c r="AX29" s="1007"/>
      <c r="AY29" s="1007"/>
      <c r="AZ29" s="1007"/>
      <c r="BA29" s="1007"/>
      <c r="BB29" s="1007"/>
      <c r="BC29" s="1007"/>
      <c r="BD29" s="1482">
        <v>1.474</v>
      </c>
      <c r="BE29" s="1007"/>
      <c r="BF29" s="1007"/>
      <c r="BG29" s="1007"/>
      <c r="BH29" s="1007"/>
      <c r="BI29" s="1007"/>
      <c r="BJ29" s="1007"/>
      <c r="BK29" s="1007"/>
      <c r="BL29" s="1007"/>
      <c r="BM29" s="1007"/>
      <c r="BN29" s="1007"/>
      <c r="BO29" s="1007"/>
      <c r="BP29" s="1007"/>
      <c r="BQ29" s="1007"/>
      <c r="BR29" s="1007"/>
      <c r="BS29" s="1007"/>
      <c r="BT29" s="1482">
        <v>1.1979999999999999E-2</v>
      </c>
      <c r="BU29" s="1007"/>
      <c r="BV29" s="1007"/>
      <c r="BW29" s="1007"/>
      <c r="BX29" s="1007"/>
      <c r="BY29" s="1007"/>
      <c r="BZ29" s="1007"/>
      <c r="CA29" s="1007"/>
      <c r="CB29" s="1007"/>
      <c r="CC29" s="1007"/>
      <c r="CD29" s="1007"/>
      <c r="CE29" s="1007"/>
      <c r="CF29" s="1007"/>
      <c r="CG29" s="1208"/>
      <c r="CH29" s="1236">
        <v>0</v>
      </c>
      <c r="CI29" s="1007"/>
      <c r="CJ29" s="1007"/>
      <c r="CK29" s="1007"/>
      <c r="CL29" s="1007"/>
      <c r="CM29" s="1007"/>
      <c r="CN29" s="1007"/>
      <c r="CO29" s="1236">
        <v>0</v>
      </c>
      <c r="CP29" s="1007"/>
      <c r="CQ29" s="1007"/>
      <c r="CR29" s="1007"/>
      <c r="CS29" s="1007"/>
      <c r="CT29" s="1007"/>
      <c r="CU29" s="1007"/>
      <c r="CV29" s="1007"/>
      <c r="CW29" s="1007"/>
      <c r="CX29" s="1007"/>
      <c r="CY29" s="1007"/>
      <c r="CZ29" s="1007"/>
      <c r="DA29" s="1007"/>
      <c r="DB29" s="1007"/>
      <c r="DC29" s="1007"/>
      <c r="DD29" s="1007"/>
      <c r="DE29" s="1236">
        <v>0</v>
      </c>
      <c r="DF29" s="1007"/>
      <c r="DG29" s="1007"/>
      <c r="DH29" s="1007"/>
      <c r="DI29" s="1006"/>
      <c r="DJ29" s="1006"/>
      <c r="DK29" s="1007"/>
      <c r="DL29" s="1007"/>
      <c r="DM29" s="1007"/>
      <c r="DN29" s="1007"/>
      <c r="DO29" s="1112"/>
      <c r="DP29" s="1112"/>
      <c r="DQ29" s="1270"/>
      <c r="DR29" s="1154">
        <f t="shared" si="2"/>
        <v>0</v>
      </c>
      <c r="DS29" s="1154">
        <f t="shared" si="3"/>
        <v>0</v>
      </c>
      <c r="DT29" s="1154">
        <f t="shared" si="4"/>
        <v>0</v>
      </c>
      <c r="DU29" s="1154">
        <f t="shared" si="5"/>
        <v>0</v>
      </c>
      <c r="DV29" s="1154">
        <f t="shared" si="6"/>
        <v>0</v>
      </c>
      <c r="DW29" s="1154">
        <f t="shared" si="7"/>
        <v>0</v>
      </c>
      <c r="DX29" s="1154">
        <f t="shared" si="8"/>
        <v>0</v>
      </c>
      <c r="DY29" s="1154">
        <f t="shared" si="9"/>
        <v>0</v>
      </c>
      <c r="DZ29" s="1154">
        <f t="shared" si="10"/>
        <v>0</v>
      </c>
      <c r="EA29" s="1154">
        <f t="shared" si="11"/>
        <v>0</v>
      </c>
      <c r="EB29" s="1154">
        <f t="shared" si="12"/>
        <v>0</v>
      </c>
      <c r="EC29" s="1154">
        <f t="shared" si="13"/>
        <v>0</v>
      </c>
      <c r="ED29" s="1154">
        <f t="shared" si="14"/>
        <v>0</v>
      </c>
      <c r="EE29" s="1154">
        <f t="shared" si="15"/>
        <v>0</v>
      </c>
      <c r="EF29" s="1154">
        <f t="shared" si="16"/>
        <v>0</v>
      </c>
      <c r="EG29" s="1154">
        <f t="shared" si="17"/>
        <v>0</v>
      </c>
      <c r="EH29" s="1154">
        <f t="shared" si="18"/>
        <v>0</v>
      </c>
      <c r="EI29" s="1154">
        <f t="shared" si="19"/>
        <v>0</v>
      </c>
      <c r="EJ29" s="1154">
        <f t="shared" si="20"/>
        <v>0</v>
      </c>
      <c r="EK29" s="1154">
        <f t="shared" si="21"/>
        <v>0</v>
      </c>
      <c r="EL29" s="1154">
        <f t="shared" si="22"/>
        <v>0</v>
      </c>
      <c r="EM29" s="1154">
        <f t="shared" si="23"/>
        <v>0</v>
      </c>
      <c r="EN29" s="1154">
        <f t="shared" si="24"/>
        <v>0</v>
      </c>
      <c r="EO29" s="1154">
        <f t="shared" si="25"/>
        <v>0</v>
      </c>
      <c r="EP29" s="1154">
        <f t="shared" si="26"/>
        <v>0</v>
      </c>
      <c r="EQ29" s="1154">
        <f t="shared" si="27"/>
        <v>0</v>
      </c>
      <c r="ER29" s="1154">
        <f t="shared" si="28"/>
        <v>0</v>
      </c>
      <c r="ES29" s="1154">
        <f t="shared" si="29"/>
        <v>0</v>
      </c>
      <c r="ET29" s="1154">
        <f t="shared" si="30"/>
        <v>0</v>
      </c>
      <c r="EU29" s="1154">
        <f t="shared" si="31"/>
        <v>0</v>
      </c>
      <c r="EV29" s="1154">
        <f t="shared" si="32"/>
        <v>0</v>
      </c>
      <c r="EW29" s="1154">
        <f t="shared" si="33"/>
        <v>0</v>
      </c>
      <c r="EX29" s="1154">
        <f t="shared" si="34"/>
        <v>0</v>
      </c>
      <c r="EY29" s="1154">
        <f t="shared" si="35"/>
        <v>0</v>
      </c>
      <c r="EZ29" s="1154">
        <f t="shared" si="36"/>
        <v>0</v>
      </c>
      <c r="FA29" s="1174">
        <f t="shared" si="37"/>
        <v>0</v>
      </c>
      <c r="FC29" s="1154">
        <f t="shared" si="38"/>
        <v>0</v>
      </c>
      <c r="FD29" s="1154">
        <f t="shared" si="39"/>
        <v>0</v>
      </c>
      <c r="FE29" s="1154">
        <f t="shared" si="40"/>
        <v>0</v>
      </c>
      <c r="FF29" s="1154">
        <f t="shared" si="41"/>
        <v>0</v>
      </c>
      <c r="FG29" s="1154">
        <f t="shared" si="42"/>
        <v>0</v>
      </c>
      <c r="FH29" s="1154">
        <f t="shared" si="43"/>
        <v>0</v>
      </c>
      <c r="FI29" s="1154">
        <f t="shared" si="44"/>
        <v>0</v>
      </c>
      <c r="FJ29" s="1154">
        <f t="shared" si="45"/>
        <v>0</v>
      </c>
      <c r="FK29" s="1154">
        <f t="shared" si="46"/>
        <v>0</v>
      </c>
      <c r="FL29" s="1154">
        <f t="shared" si="47"/>
        <v>0</v>
      </c>
      <c r="FM29" s="1154">
        <f t="shared" si="48"/>
        <v>0</v>
      </c>
      <c r="FN29" s="1154">
        <f t="shared" si="49"/>
        <v>0</v>
      </c>
      <c r="FO29" s="1154">
        <f t="shared" si="50"/>
        <v>0</v>
      </c>
      <c r="FP29" s="1154">
        <f t="shared" si="51"/>
        <v>0</v>
      </c>
      <c r="FQ29" s="1154">
        <f t="shared" si="52"/>
        <v>0</v>
      </c>
      <c r="FR29" s="1154">
        <f t="shared" si="53"/>
        <v>0</v>
      </c>
      <c r="FS29" s="1154">
        <f t="shared" si="54"/>
        <v>0</v>
      </c>
      <c r="FT29" s="1154">
        <f t="shared" si="55"/>
        <v>0</v>
      </c>
      <c r="FU29" s="1154">
        <f t="shared" si="56"/>
        <v>0</v>
      </c>
      <c r="FV29" s="1154">
        <f t="shared" si="57"/>
        <v>0</v>
      </c>
      <c r="FW29" s="1154">
        <f t="shared" si="58"/>
        <v>0</v>
      </c>
      <c r="FX29" s="1154">
        <f t="shared" si="59"/>
        <v>0</v>
      </c>
      <c r="FY29" s="1154">
        <f t="shared" si="60"/>
        <v>0</v>
      </c>
      <c r="FZ29" s="1154">
        <f t="shared" si="61"/>
        <v>0</v>
      </c>
      <c r="GA29" s="1154">
        <f t="shared" si="62"/>
        <v>0</v>
      </c>
      <c r="GB29" s="1154">
        <f t="shared" si="63"/>
        <v>0</v>
      </c>
      <c r="GC29" s="1154">
        <f t="shared" si="64"/>
        <v>0</v>
      </c>
      <c r="GD29" s="1154">
        <f t="shared" si="65"/>
        <v>0</v>
      </c>
      <c r="GE29" s="1154">
        <f t="shared" si="66"/>
        <v>0</v>
      </c>
      <c r="GF29" s="1154">
        <f t="shared" si="67"/>
        <v>0</v>
      </c>
      <c r="GG29" s="1154">
        <f t="shared" si="68"/>
        <v>0</v>
      </c>
      <c r="GH29" s="1154">
        <f t="shared" si="69"/>
        <v>0</v>
      </c>
      <c r="GI29" s="1154">
        <f t="shared" si="70"/>
        <v>0</v>
      </c>
      <c r="GJ29" s="1154">
        <f t="shared" si="71"/>
        <v>0</v>
      </c>
      <c r="GK29" s="1154">
        <f t="shared" si="72"/>
        <v>0</v>
      </c>
      <c r="GL29" s="1174">
        <f t="shared" si="73"/>
        <v>0</v>
      </c>
    </row>
    <row r="30" spans="2:194">
      <c r="B30" s="1290">
        <f>B29</f>
        <v>0</v>
      </c>
      <c r="C30" s="1289" t="str">
        <f>C29</f>
        <v>East CAC22/11kVLine STOUD</v>
      </c>
      <c r="D30" s="1113" t="str">
        <f t="shared" si="100"/>
        <v>East CAC22/11kVLine STOUD</v>
      </c>
      <c r="E30" s="1113" t="str">
        <f t="shared" si="101"/>
        <v>CAC</v>
      </c>
      <c r="F30" s="1113" t="str">
        <f t="shared" si="102"/>
        <v>CAC</v>
      </c>
      <c r="G30" s="1113" t="str">
        <f t="shared" si="103"/>
        <v>East</v>
      </c>
      <c r="H30" s="1113" t="str">
        <f t="shared" si="104"/>
        <v>EC22LTOU</v>
      </c>
      <c r="I30" s="1114" t="s">
        <v>759</v>
      </c>
      <c r="J30" s="1114" t="s">
        <v>934</v>
      </c>
      <c r="K30" s="1270"/>
      <c r="L30" s="1233">
        <v>70.440599999999989</v>
      </c>
      <c r="M30" s="1007"/>
      <c r="N30" s="1007"/>
      <c r="O30" s="1007"/>
      <c r="P30" s="1007"/>
      <c r="Q30" s="1007"/>
      <c r="R30" s="1007"/>
      <c r="S30" s="1233">
        <v>2.7227000000000001</v>
      </c>
      <c r="T30" s="1007"/>
      <c r="U30" s="1007"/>
      <c r="V30" s="1007"/>
      <c r="W30" s="1007"/>
      <c r="X30" s="1007"/>
      <c r="Y30" s="1007"/>
      <c r="Z30" s="1007"/>
      <c r="AA30" s="1007"/>
      <c r="AB30" s="1007"/>
      <c r="AC30" s="1007"/>
      <c r="AD30" s="1007"/>
      <c r="AE30" s="1007"/>
      <c r="AF30" s="1007"/>
      <c r="AG30" s="1007"/>
      <c r="AH30" s="1007"/>
      <c r="AI30" s="1224">
        <v>1.3562911090201862E-2</v>
      </c>
      <c r="AJ30" s="1005"/>
      <c r="AK30" s="1005"/>
      <c r="AL30" s="1005"/>
      <c r="AM30" s="1005"/>
      <c r="AN30" s="1005"/>
      <c r="AO30" s="1005"/>
      <c r="AP30" s="1005"/>
      <c r="AQ30" s="1005"/>
      <c r="AR30" s="1005"/>
      <c r="AS30" s="1005"/>
      <c r="AT30" s="1005"/>
      <c r="AU30" s="1206"/>
      <c r="AV30" s="1270"/>
      <c r="AW30" s="1482">
        <v>74.147999999999996</v>
      </c>
      <c r="AX30" s="1007"/>
      <c r="AY30" s="1007"/>
      <c r="AZ30" s="1007"/>
      <c r="BA30" s="1007"/>
      <c r="BB30" s="1007"/>
      <c r="BC30" s="1007"/>
      <c r="BD30" s="1482">
        <v>2.8660000000000001</v>
      </c>
      <c r="BE30" s="1007"/>
      <c r="BF30" s="1007"/>
      <c r="BG30" s="1007"/>
      <c r="BH30" s="1007"/>
      <c r="BI30" s="1007"/>
      <c r="BJ30" s="1007"/>
      <c r="BK30" s="1007"/>
      <c r="BL30" s="1007"/>
      <c r="BM30" s="1007"/>
      <c r="BN30" s="1007"/>
      <c r="BO30" s="1007"/>
      <c r="BP30" s="1007"/>
      <c r="BQ30" s="1007"/>
      <c r="BR30" s="1007"/>
      <c r="BS30" s="1007"/>
      <c r="BT30" s="1482">
        <v>1.49E-2</v>
      </c>
      <c r="BU30" s="1007"/>
      <c r="BV30" s="1007"/>
      <c r="BW30" s="1007"/>
      <c r="BX30" s="1007"/>
      <c r="BY30" s="1007"/>
      <c r="BZ30" s="1007"/>
      <c r="CA30" s="1007"/>
      <c r="CB30" s="1007"/>
      <c r="CC30" s="1007"/>
      <c r="CD30" s="1007"/>
      <c r="CE30" s="1007"/>
      <c r="CF30" s="1007"/>
      <c r="CG30" s="1208"/>
      <c r="CH30" s="1236">
        <v>1</v>
      </c>
      <c r="CI30" s="1007"/>
      <c r="CJ30" s="1007"/>
      <c r="CK30" s="1007"/>
      <c r="CL30" s="1007"/>
      <c r="CM30" s="1007"/>
      <c r="CN30" s="1007"/>
      <c r="CO30" s="1236">
        <v>630</v>
      </c>
      <c r="CP30" s="1007"/>
      <c r="CQ30" s="1007"/>
      <c r="CR30" s="1007"/>
      <c r="CS30" s="1007"/>
      <c r="CT30" s="1007"/>
      <c r="CU30" s="1007"/>
      <c r="CV30" s="1007"/>
      <c r="CW30" s="1007"/>
      <c r="CX30" s="1007"/>
      <c r="CY30" s="1007"/>
      <c r="CZ30" s="1007"/>
      <c r="DA30" s="1007"/>
      <c r="DB30" s="1007"/>
      <c r="DC30" s="1007"/>
      <c r="DD30" s="1007"/>
      <c r="DE30" s="1236">
        <v>1486105</v>
      </c>
      <c r="DF30" s="1007"/>
      <c r="DG30" s="1007"/>
      <c r="DH30" s="1007"/>
      <c r="DI30" s="1006"/>
      <c r="DJ30" s="1006"/>
      <c r="DK30" s="1007"/>
      <c r="DL30" s="1007"/>
      <c r="DM30" s="1007"/>
      <c r="DN30" s="1007"/>
      <c r="DO30" s="1112"/>
      <c r="DP30" s="1112"/>
      <c r="DQ30" s="1270"/>
      <c r="DR30" s="1154">
        <f t="shared" si="2"/>
        <v>25710.818999999996</v>
      </c>
      <c r="DS30" s="1154">
        <f t="shared" si="3"/>
        <v>0</v>
      </c>
      <c r="DT30" s="1154">
        <f t="shared" si="4"/>
        <v>0</v>
      </c>
      <c r="DU30" s="1154">
        <f t="shared" si="5"/>
        <v>0</v>
      </c>
      <c r="DV30" s="1154">
        <f t="shared" si="6"/>
        <v>0</v>
      </c>
      <c r="DW30" s="1154">
        <f t="shared" si="7"/>
        <v>0</v>
      </c>
      <c r="DX30" s="1154">
        <f t="shared" si="8"/>
        <v>0</v>
      </c>
      <c r="DY30" s="1154">
        <f t="shared" si="9"/>
        <v>20583.612000000001</v>
      </c>
      <c r="DZ30" s="1154">
        <f t="shared" si="10"/>
        <v>0</v>
      </c>
      <c r="EA30" s="1154">
        <f t="shared" si="11"/>
        <v>0</v>
      </c>
      <c r="EB30" s="1154">
        <f t="shared" si="12"/>
        <v>0</v>
      </c>
      <c r="EC30" s="1154">
        <f t="shared" si="13"/>
        <v>0</v>
      </c>
      <c r="ED30" s="1154">
        <f t="shared" si="14"/>
        <v>0</v>
      </c>
      <c r="EE30" s="1154">
        <f t="shared" si="15"/>
        <v>0</v>
      </c>
      <c r="EF30" s="1154">
        <f t="shared" si="16"/>
        <v>0</v>
      </c>
      <c r="EG30" s="1154">
        <f t="shared" si="17"/>
        <v>0</v>
      </c>
      <c r="EH30" s="1154">
        <f t="shared" si="18"/>
        <v>0</v>
      </c>
      <c r="EI30" s="1154">
        <f t="shared" si="19"/>
        <v>0</v>
      </c>
      <c r="EJ30" s="1154">
        <f t="shared" si="20"/>
        <v>0</v>
      </c>
      <c r="EK30" s="1154">
        <f t="shared" si="21"/>
        <v>0</v>
      </c>
      <c r="EL30" s="1154">
        <f t="shared" si="22"/>
        <v>0</v>
      </c>
      <c r="EM30" s="1154">
        <f t="shared" si="23"/>
        <v>0</v>
      </c>
      <c r="EN30" s="1154">
        <f t="shared" si="24"/>
        <v>0</v>
      </c>
      <c r="EO30" s="1154">
        <f t="shared" si="25"/>
        <v>20155.909985704438</v>
      </c>
      <c r="EP30" s="1154">
        <f t="shared" si="26"/>
        <v>0</v>
      </c>
      <c r="EQ30" s="1154">
        <f t="shared" si="27"/>
        <v>0</v>
      </c>
      <c r="ER30" s="1154">
        <f t="shared" si="28"/>
        <v>0</v>
      </c>
      <c r="ES30" s="1154">
        <f t="shared" si="29"/>
        <v>0</v>
      </c>
      <c r="ET30" s="1154">
        <f t="shared" si="30"/>
        <v>0</v>
      </c>
      <c r="EU30" s="1154">
        <f t="shared" si="31"/>
        <v>0</v>
      </c>
      <c r="EV30" s="1154">
        <f t="shared" si="32"/>
        <v>0</v>
      </c>
      <c r="EW30" s="1154">
        <f t="shared" si="33"/>
        <v>0</v>
      </c>
      <c r="EX30" s="1154">
        <f t="shared" si="34"/>
        <v>0</v>
      </c>
      <c r="EY30" s="1154">
        <f t="shared" si="35"/>
        <v>0</v>
      </c>
      <c r="EZ30" s="1154">
        <f t="shared" si="36"/>
        <v>0</v>
      </c>
      <c r="FA30" s="1174">
        <f t="shared" si="37"/>
        <v>66450.340985704432</v>
      </c>
      <c r="FC30" s="1154">
        <f t="shared" si="38"/>
        <v>27064.019999999997</v>
      </c>
      <c r="FD30" s="1154">
        <f t="shared" si="39"/>
        <v>0</v>
      </c>
      <c r="FE30" s="1154">
        <f t="shared" si="40"/>
        <v>0</v>
      </c>
      <c r="FF30" s="1154">
        <f t="shared" si="41"/>
        <v>0</v>
      </c>
      <c r="FG30" s="1154">
        <f t="shared" si="42"/>
        <v>0</v>
      </c>
      <c r="FH30" s="1154">
        <f t="shared" si="43"/>
        <v>0</v>
      </c>
      <c r="FI30" s="1154">
        <f t="shared" si="44"/>
        <v>0</v>
      </c>
      <c r="FJ30" s="1154">
        <f t="shared" si="45"/>
        <v>21666.960000000003</v>
      </c>
      <c r="FK30" s="1154">
        <f t="shared" si="46"/>
        <v>0</v>
      </c>
      <c r="FL30" s="1154">
        <f t="shared" si="47"/>
        <v>0</v>
      </c>
      <c r="FM30" s="1154">
        <f t="shared" si="48"/>
        <v>0</v>
      </c>
      <c r="FN30" s="1154">
        <f t="shared" si="49"/>
        <v>0</v>
      </c>
      <c r="FO30" s="1154">
        <f t="shared" si="50"/>
        <v>0</v>
      </c>
      <c r="FP30" s="1154">
        <f t="shared" si="51"/>
        <v>0</v>
      </c>
      <c r="FQ30" s="1154">
        <f t="shared" si="52"/>
        <v>0</v>
      </c>
      <c r="FR30" s="1154">
        <f t="shared" si="53"/>
        <v>0</v>
      </c>
      <c r="FS30" s="1154">
        <f t="shared" si="54"/>
        <v>0</v>
      </c>
      <c r="FT30" s="1154">
        <f t="shared" si="55"/>
        <v>0</v>
      </c>
      <c r="FU30" s="1154">
        <f t="shared" si="56"/>
        <v>0</v>
      </c>
      <c r="FV30" s="1154">
        <f t="shared" si="57"/>
        <v>0</v>
      </c>
      <c r="FW30" s="1154">
        <f t="shared" si="58"/>
        <v>0</v>
      </c>
      <c r="FX30" s="1154">
        <f t="shared" si="59"/>
        <v>0</v>
      </c>
      <c r="FY30" s="1154">
        <f t="shared" si="60"/>
        <v>0</v>
      </c>
      <c r="FZ30" s="1154">
        <f t="shared" si="61"/>
        <v>22142.964500000002</v>
      </c>
      <c r="GA30" s="1154">
        <f t="shared" si="62"/>
        <v>0</v>
      </c>
      <c r="GB30" s="1154">
        <f t="shared" si="63"/>
        <v>0</v>
      </c>
      <c r="GC30" s="1154">
        <f t="shared" si="64"/>
        <v>0</v>
      </c>
      <c r="GD30" s="1154">
        <f t="shared" si="65"/>
        <v>0</v>
      </c>
      <c r="GE30" s="1154">
        <f t="shared" si="66"/>
        <v>0</v>
      </c>
      <c r="GF30" s="1154">
        <f t="shared" si="67"/>
        <v>0</v>
      </c>
      <c r="GG30" s="1154">
        <f t="shared" si="68"/>
        <v>0</v>
      </c>
      <c r="GH30" s="1154">
        <f t="shared" si="69"/>
        <v>0</v>
      </c>
      <c r="GI30" s="1154">
        <f t="shared" si="70"/>
        <v>0</v>
      </c>
      <c r="GJ30" s="1154">
        <f t="shared" si="71"/>
        <v>0</v>
      </c>
      <c r="GK30" s="1154">
        <f t="shared" si="72"/>
        <v>0</v>
      </c>
      <c r="GL30" s="1174">
        <f t="shared" si="73"/>
        <v>70873.944499999998</v>
      </c>
    </row>
    <row r="31" spans="2:194">
      <c r="B31" s="1290">
        <f>Prop2021DUOSTariffs!B17</f>
        <v>0</v>
      </c>
      <c r="C31" s="1289" t="str">
        <f>Prop2021DUOSTariffs!C17</f>
        <v>West CAC66kV Anytime</v>
      </c>
      <c r="D31" s="1113" t="str">
        <f>Prop2021DUOSTariffs!D17</f>
        <v>West CAC66kV Anytime</v>
      </c>
      <c r="E31" s="1113" t="str">
        <f>Prop2021DUOSTariffs!E17</f>
        <v>CAC</v>
      </c>
      <c r="F31" s="1113" t="str">
        <f>Prop2021DUOSTariffs!F17</f>
        <v>CAC</v>
      </c>
      <c r="G31" s="1113" t="str">
        <f>Prop2021DUOSTariffs!G17</f>
        <v>West</v>
      </c>
      <c r="H31" s="1113" t="str">
        <f>IF(Prop2021DUOSTariffs!H17="","",Prop2021DUOSTariffs!H17)</f>
        <v>WC66</v>
      </c>
      <c r="I31" s="1114" t="s">
        <v>798</v>
      </c>
      <c r="J31" s="1114" t="s">
        <v>934</v>
      </c>
      <c r="K31" s="1207"/>
      <c r="L31" s="1233">
        <v>109.52604000000001</v>
      </c>
      <c r="M31" s="1007"/>
      <c r="N31" s="1007"/>
      <c r="O31" s="1007"/>
      <c r="P31" s="1007"/>
      <c r="Q31" s="1007"/>
      <c r="R31" s="1007"/>
      <c r="S31" s="1233">
        <v>0.71820000000000006</v>
      </c>
      <c r="T31" s="1007"/>
      <c r="U31" s="1007"/>
      <c r="V31" s="1007"/>
      <c r="W31" s="1007"/>
      <c r="X31" s="1007"/>
      <c r="Y31" s="1007"/>
      <c r="Z31" s="1007"/>
      <c r="AA31" s="1007"/>
      <c r="AB31" s="1007"/>
      <c r="AC31" s="1007"/>
      <c r="AD31" s="1007"/>
      <c r="AE31" s="1007"/>
      <c r="AF31" s="1007"/>
      <c r="AG31" s="1007"/>
      <c r="AH31" s="1007"/>
      <c r="AI31" s="1224">
        <v>1.0079303034553634E-2</v>
      </c>
      <c r="AJ31" s="1005"/>
      <c r="AK31" s="1005"/>
      <c r="AL31" s="1005"/>
      <c r="AM31" s="1005"/>
      <c r="AN31" s="1005"/>
      <c r="AO31" s="1005"/>
      <c r="AP31" s="1005"/>
      <c r="AQ31" s="1005"/>
      <c r="AR31" s="1005"/>
      <c r="AS31" s="1005"/>
      <c r="AT31" s="1005"/>
      <c r="AU31" s="1006"/>
      <c r="AV31" s="1207"/>
      <c r="AW31" s="1482">
        <v>101.41277000000001</v>
      </c>
      <c r="AX31" s="1007"/>
      <c r="AY31" s="1007"/>
      <c r="AZ31" s="1007"/>
      <c r="BA31" s="1007"/>
      <c r="BB31" s="1007"/>
      <c r="BC31" s="1007"/>
      <c r="BD31" s="1482">
        <v>0.66538000000000008</v>
      </c>
      <c r="BE31" s="1007"/>
      <c r="BF31" s="1007"/>
      <c r="BG31" s="1007"/>
      <c r="BH31" s="1007"/>
      <c r="BI31" s="1007"/>
      <c r="BJ31" s="1007"/>
      <c r="BK31" s="1007"/>
      <c r="BL31" s="1007"/>
      <c r="BM31" s="1007"/>
      <c r="BN31" s="1007"/>
      <c r="BO31" s="1007"/>
      <c r="BP31" s="1007"/>
      <c r="BQ31" s="1007"/>
      <c r="BR31" s="1007"/>
      <c r="BS31" s="1007"/>
      <c r="BT31" s="1482">
        <v>9.082624070257235E-3</v>
      </c>
      <c r="BU31" s="1007"/>
      <c r="BV31" s="1007"/>
      <c r="BW31" s="1007"/>
      <c r="BX31" s="1007"/>
      <c r="BY31" s="1007"/>
      <c r="BZ31" s="1007"/>
      <c r="CA31" s="1007"/>
      <c r="CB31" s="1007"/>
      <c r="CC31" s="1007"/>
      <c r="CD31" s="1007"/>
      <c r="CE31" s="1007"/>
      <c r="CF31" s="1007"/>
      <c r="CG31" s="1208"/>
      <c r="CH31" s="1236">
        <v>0</v>
      </c>
      <c r="CI31" s="1007"/>
      <c r="CJ31" s="1007"/>
      <c r="CK31" s="1007"/>
      <c r="CL31" s="1007"/>
      <c r="CM31" s="1007"/>
      <c r="CN31" s="1007"/>
      <c r="CO31" s="1236">
        <v>0</v>
      </c>
      <c r="CP31" s="1007"/>
      <c r="CQ31" s="1007"/>
      <c r="CR31" s="1007"/>
      <c r="CS31" s="1007"/>
      <c r="CT31" s="1007"/>
      <c r="CU31" s="1007"/>
      <c r="CV31" s="1007"/>
      <c r="CW31" s="1007"/>
      <c r="CX31" s="1007"/>
      <c r="CY31" s="1007"/>
      <c r="CZ31" s="1007"/>
      <c r="DA31" s="1007"/>
      <c r="DB31" s="1007"/>
      <c r="DC31" s="1007"/>
      <c r="DD31" s="1007"/>
      <c r="DE31" s="1236">
        <v>0</v>
      </c>
      <c r="DF31" s="1007"/>
      <c r="DG31" s="1007"/>
      <c r="DH31" s="1007"/>
      <c r="DI31" s="1006"/>
      <c r="DJ31" s="1006"/>
      <c r="DK31" s="1007"/>
      <c r="DL31" s="1007"/>
      <c r="DM31" s="1007"/>
      <c r="DN31" s="1007"/>
      <c r="DO31" s="1112"/>
      <c r="DP31" s="1112"/>
      <c r="DQ31" s="1207"/>
      <c r="DR31" s="1154">
        <f t="shared" si="2"/>
        <v>0</v>
      </c>
      <c r="DS31" s="1154">
        <f t="shared" si="3"/>
        <v>0</v>
      </c>
      <c r="DT31" s="1154">
        <f t="shared" si="4"/>
        <v>0</v>
      </c>
      <c r="DU31" s="1154">
        <f t="shared" si="5"/>
        <v>0</v>
      </c>
      <c r="DV31" s="1154">
        <f t="shared" si="6"/>
        <v>0</v>
      </c>
      <c r="DW31" s="1154">
        <f t="shared" si="7"/>
        <v>0</v>
      </c>
      <c r="DX31" s="1154">
        <f t="shared" si="8"/>
        <v>0</v>
      </c>
      <c r="DY31" s="1154">
        <f t="shared" si="9"/>
        <v>0</v>
      </c>
      <c r="DZ31" s="1154">
        <f t="shared" si="10"/>
        <v>0</v>
      </c>
      <c r="EA31" s="1154">
        <f t="shared" si="11"/>
        <v>0</v>
      </c>
      <c r="EB31" s="1154">
        <f t="shared" si="12"/>
        <v>0</v>
      </c>
      <c r="EC31" s="1154">
        <f t="shared" si="13"/>
        <v>0</v>
      </c>
      <c r="ED31" s="1154">
        <f t="shared" si="14"/>
        <v>0</v>
      </c>
      <c r="EE31" s="1154">
        <f t="shared" si="15"/>
        <v>0</v>
      </c>
      <c r="EF31" s="1154">
        <f t="shared" si="16"/>
        <v>0</v>
      </c>
      <c r="EG31" s="1154">
        <f t="shared" si="17"/>
        <v>0</v>
      </c>
      <c r="EH31" s="1154">
        <f t="shared" si="18"/>
        <v>0</v>
      </c>
      <c r="EI31" s="1154">
        <f t="shared" si="19"/>
        <v>0</v>
      </c>
      <c r="EJ31" s="1154">
        <f t="shared" si="20"/>
        <v>0</v>
      </c>
      <c r="EK31" s="1154">
        <f t="shared" si="21"/>
        <v>0</v>
      </c>
      <c r="EL31" s="1154">
        <f t="shared" si="22"/>
        <v>0</v>
      </c>
      <c r="EM31" s="1154">
        <f t="shared" si="23"/>
        <v>0</v>
      </c>
      <c r="EN31" s="1154">
        <f t="shared" si="24"/>
        <v>0</v>
      </c>
      <c r="EO31" s="1154">
        <f t="shared" si="25"/>
        <v>0</v>
      </c>
      <c r="EP31" s="1154">
        <f t="shared" si="26"/>
        <v>0</v>
      </c>
      <c r="EQ31" s="1154">
        <f t="shared" si="27"/>
        <v>0</v>
      </c>
      <c r="ER31" s="1154">
        <f t="shared" si="28"/>
        <v>0</v>
      </c>
      <c r="ES31" s="1154">
        <f t="shared" si="29"/>
        <v>0</v>
      </c>
      <c r="ET31" s="1154">
        <f t="shared" si="30"/>
        <v>0</v>
      </c>
      <c r="EU31" s="1154">
        <f t="shared" si="31"/>
        <v>0</v>
      </c>
      <c r="EV31" s="1154">
        <f t="shared" si="32"/>
        <v>0</v>
      </c>
      <c r="EW31" s="1154">
        <f t="shared" si="33"/>
        <v>0</v>
      </c>
      <c r="EX31" s="1154">
        <f t="shared" si="34"/>
        <v>0</v>
      </c>
      <c r="EY31" s="1154">
        <f t="shared" si="35"/>
        <v>0</v>
      </c>
      <c r="EZ31" s="1154">
        <f t="shared" si="36"/>
        <v>0</v>
      </c>
      <c r="FA31" s="1174">
        <f t="shared" si="37"/>
        <v>0</v>
      </c>
      <c r="FC31" s="1154">
        <f t="shared" si="38"/>
        <v>0</v>
      </c>
      <c r="FD31" s="1154">
        <f t="shared" si="39"/>
        <v>0</v>
      </c>
      <c r="FE31" s="1154">
        <f t="shared" si="40"/>
        <v>0</v>
      </c>
      <c r="FF31" s="1154">
        <f t="shared" si="41"/>
        <v>0</v>
      </c>
      <c r="FG31" s="1154">
        <f t="shared" si="42"/>
        <v>0</v>
      </c>
      <c r="FH31" s="1154">
        <f t="shared" si="43"/>
        <v>0</v>
      </c>
      <c r="FI31" s="1154">
        <f t="shared" si="44"/>
        <v>0</v>
      </c>
      <c r="FJ31" s="1154">
        <f t="shared" si="45"/>
        <v>0</v>
      </c>
      <c r="FK31" s="1154">
        <f t="shared" si="46"/>
        <v>0</v>
      </c>
      <c r="FL31" s="1154">
        <f t="shared" si="47"/>
        <v>0</v>
      </c>
      <c r="FM31" s="1154">
        <f t="shared" si="48"/>
        <v>0</v>
      </c>
      <c r="FN31" s="1154">
        <f t="shared" si="49"/>
        <v>0</v>
      </c>
      <c r="FO31" s="1154">
        <f t="shared" si="50"/>
        <v>0</v>
      </c>
      <c r="FP31" s="1154">
        <f t="shared" si="51"/>
        <v>0</v>
      </c>
      <c r="FQ31" s="1154">
        <f t="shared" si="52"/>
        <v>0</v>
      </c>
      <c r="FR31" s="1154">
        <f t="shared" si="53"/>
        <v>0</v>
      </c>
      <c r="FS31" s="1154">
        <f t="shared" si="54"/>
        <v>0</v>
      </c>
      <c r="FT31" s="1154">
        <f t="shared" si="55"/>
        <v>0</v>
      </c>
      <c r="FU31" s="1154">
        <f t="shared" si="56"/>
        <v>0</v>
      </c>
      <c r="FV31" s="1154">
        <f t="shared" si="57"/>
        <v>0</v>
      </c>
      <c r="FW31" s="1154">
        <f t="shared" si="58"/>
        <v>0</v>
      </c>
      <c r="FX31" s="1154">
        <f t="shared" si="59"/>
        <v>0</v>
      </c>
      <c r="FY31" s="1154">
        <f t="shared" si="60"/>
        <v>0</v>
      </c>
      <c r="FZ31" s="1154">
        <f t="shared" si="61"/>
        <v>0</v>
      </c>
      <c r="GA31" s="1154">
        <f t="shared" si="62"/>
        <v>0</v>
      </c>
      <c r="GB31" s="1154">
        <f t="shared" si="63"/>
        <v>0</v>
      </c>
      <c r="GC31" s="1154">
        <f t="shared" si="64"/>
        <v>0</v>
      </c>
      <c r="GD31" s="1154">
        <f t="shared" si="65"/>
        <v>0</v>
      </c>
      <c r="GE31" s="1154">
        <f t="shared" si="66"/>
        <v>0</v>
      </c>
      <c r="GF31" s="1154">
        <f t="shared" si="67"/>
        <v>0</v>
      </c>
      <c r="GG31" s="1154">
        <f t="shared" si="68"/>
        <v>0</v>
      </c>
      <c r="GH31" s="1154">
        <f t="shared" si="69"/>
        <v>0</v>
      </c>
      <c r="GI31" s="1154">
        <f t="shared" si="70"/>
        <v>0</v>
      </c>
      <c r="GJ31" s="1154">
        <f t="shared" si="71"/>
        <v>0</v>
      </c>
      <c r="GK31" s="1154">
        <f t="shared" si="72"/>
        <v>0</v>
      </c>
      <c r="GL31" s="1174">
        <f t="shared" si="73"/>
        <v>0</v>
      </c>
    </row>
    <row r="32" spans="2:194">
      <c r="B32" s="1290">
        <f>B31</f>
        <v>0</v>
      </c>
      <c r="C32" s="1289" t="str">
        <f>C31</f>
        <v>West CAC66kV Anytime</v>
      </c>
      <c r="D32" s="1113" t="str">
        <f t="shared" ref="D32:D33" si="105">D31</f>
        <v>West CAC66kV Anytime</v>
      </c>
      <c r="E32" s="1113" t="str">
        <f t="shared" ref="E32:E33" si="106">E31</f>
        <v>CAC</v>
      </c>
      <c r="F32" s="1113" t="str">
        <f t="shared" ref="F32:F33" si="107">F31</f>
        <v>CAC</v>
      </c>
      <c r="G32" s="1113" t="str">
        <f t="shared" ref="G32:G33" si="108">G31</f>
        <v>West</v>
      </c>
      <c r="H32" s="1113" t="str">
        <f t="shared" ref="H32:H33" si="109">H31</f>
        <v>WC66</v>
      </c>
      <c r="I32" s="1114" t="s">
        <v>752</v>
      </c>
      <c r="J32" s="1114" t="s">
        <v>934</v>
      </c>
      <c r="K32" s="1270"/>
      <c r="L32" s="1233">
        <v>75.421999999999997</v>
      </c>
      <c r="M32" s="1007"/>
      <c r="N32" s="1007"/>
      <c r="O32" s="1007"/>
      <c r="P32" s="1007"/>
      <c r="Q32" s="1007"/>
      <c r="R32" s="1007"/>
      <c r="S32" s="1233">
        <v>1.474</v>
      </c>
      <c r="T32" s="1007"/>
      <c r="U32" s="1007"/>
      <c r="V32" s="1007"/>
      <c r="W32" s="1007"/>
      <c r="X32" s="1007"/>
      <c r="Y32" s="1007"/>
      <c r="Z32" s="1007"/>
      <c r="AA32" s="1007"/>
      <c r="AB32" s="1007"/>
      <c r="AC32" s="1007"/>
      <c r="AD32" s="1007"/>
      <c r="AE32" s="1007"/>
      <c r="AF32" s="1007"/>
      <c r="AG32" s="1007"/>
      <c r="AH32" s="1007"/>
      <c r="AI32" s="1224">
        <v>1.1937631525536712E-2</v>
      </c>
      <c r="AJ32" s="1005"/>
      <c r="AK32" s="1005"/>
      <c r="AL32" s="1005"/>
      <c r="AM32" s="1005"/>
      <c r="AN32" s="1005"/>
      <c r="AO32" s="1005"/>
      <c r="AP32" s="1005"/>
      <c r="AQ32" s="1005"/>
      <c r="AR32" s="1005"/>
      <c r="AS32" s="1005"/>
      <c r="AT32" s="1005"/>
      <c r="AU32" s="1006"/>
      <c r="AV32" s="1270"/>
      <c r="AW32" s="1482">
        <v>75.421750000000003</v>
      </c>
      <c r="AX32" s="1007"/>
      <c r="AY32" s="1007"/>
      <c r="AZ32" s="1007"/>
      <c r="BA32" s="1007"/>
      <c r="BB32" s="1007"/>
      <c r="BC32" s="1007"/>
      <c r="BD32" s="1482">
        <v>1.4739300000000002</v>
      </c>
      <c r="BE32" s="1007"/>
      <c r="BF32" s="1007"/>
      <c r="BG32" s="1007"/>
      <c r="BH32" s="1007"/>
      <c r="BI32" s="1007"/>
      <c r="BJ32" s="1007"/>
      <c r="BK32" s="1007"/>
      <c r="BL32" s="1007"/>
      <c r="BM32" s="1007"/>
      <c r="BN32" s="1007"/>
      <c r="BO32" s="1007"/>
      <c r="BP32" s="1007"/>
      <c r="BQ32" s="1007"/>
      <c r="BR32" s="1007"/>
      <c r="BS32" s="1007"/>
      <c r="BT32" s="1482">
        <v>1.198474395634948E-2</v>
      </c>
      <c r="BU32" s="1007"/>
      <c r="BV32" s="1007"/>
      <c r="BW32" s="1007"/>
      <c r="BX32" s="1007"/>
      <c r="BY32" s="1007"/>
      <c r="BZ32" s="1007"/>
      <c r="CA32" s="1007"/>
      <c r="CB32" s="1007"/>
      <c r="CC32" s="1007"/>
      <c r="CD32" s="1007"/>
      <c r="CE32" s="1007"/>
      <c r="CF32" s="1007"/>
      <c r="CG32" s="1208"/>
      <c r="CH32" s="1236">
        <v>1</v>
      </c>
      <c r="CI32" s="1007"/>
      <c r="CJ32" s="1007"/>
      <c r="CK32" s="1007"/>
      <c r="CL32" s="1007"/>
      <c r="CM32" s="1007"/>
      <c r="CN32" s="1007"/>
      <c r="CO32" s="1236">
        <v>3000</v>
      </c>
      <c r="CP32" s="1007"/>
      <c r="CQ32" s="1007"/>
      <c r="CR32" s="1007"/>
      <c r="CS32" s="1007"/>
      <c r="CT32" s="1007"/>
      <c r="CU32" s="1007"/>
      <c r="CV32" s="1007"/>
      <c r="CW32" s="1007"/>
      <c r="CX32" s="1007"/>
      <c r="CY32" s="1007"/>
      <c r="CZ32" s="1007"/>
      <c r="DA32" s="1007"/>
      <c r="DB32" s="1007"/>
      <c r="DC32" s="1007"/>
      <c r="DD32" s="1007"/>
      <c r="DE32" s="1236">
        <v>2842602</v>
      </c>
      <c r="DF32" s="1007"/>
      <c r="DG32" s="1007"/>
      <c r="DH32" s="1007"/>
      <c r="DI32" s="1006"/>
      <c r="DJ32" s="1006"/>
      <c r="DK32" s="1007"/>
      <c r="DL32" s="1007"/>
      <c r="DM32" s="1007"/>
      <c r="DN32" s="1007"/>
      <c r="DO32" s="1112"/>
      <c r="DP32" s="1112"/>
      <c r="DQ32" s="1270"/>
      <c r="DR32" s="1154">
        <f t="shared" si="2"/>
        <v>27529.03</v>
      </c>
      <c r="DS32" s="1154">
        <f t="shared" si="3"/>
        <v>0</v>
      </c>
      <c r="DT32" s="1154">
        <f t="shared" si="4"/>
        <v>0</v>
      </c>
      <c r="DU32" s="1154">
        <f t="shared" si="5"/>
        <v>0</v>
      </c>
      <c r="DV32" s="1154">
        <f t="shared" si="6"/>
        <v>0</v>
      </c>
      <c r="DW32" s="1154">
        <f t="shared" si="7"/>
        <v>0</v>
      </c>
      <c r="DX32" s="1154">
        <f t="shared" si="8"/>
        <v>0</v>
      </c>
      <c r="DY32" s="1154">
        <f t="shared" si="9"/>
        <v>53064</v>
      </c>
      <c r="DZ32" s="1154">
        <f t="shared" si="10"/>
        <v>0</v>
      </c>
      <c r="EA32" s="1154">
        <f t="shared" si="11"/>
        <v>0</v>
      </c>
      <c r="EB32" s="1154">
        <f t="shared" si="12"/>
        <v>0</v>
      </c>
      <c r="EC32" s="1154">
        <f t="shared" si="13"/>
        <v>0</v>
      </c>
      <c r="ED32" s="1154">
        <f t="shared" si="14"/>
        <v>0</v>
      </c>
      <c r="EE32" s="1154">
        <f t="shared" si="15"/>
        <v>0</v>
      </c>
      <c r="EF32" s="1154">
        <f t="shared" si="16"/>
        <v>0</v>
      </c>
      <c r="EG32" s="1154">
        <f t="shared" si="17"/>
        <v>0</v>
      </c>
      <c r="EH32" s="1154">
        <f t="shared" si="18"/>
        <v>0</v>
      </c>
      <c r="EI32" s="1154">
        <f t="shared" si="19"/>
        <v>0</v>
      </c>
      <c r="EJ32" s="1154">
        <f t="shared" si="20"/>
        <v>0</v>
      </c>
      <c r="EK32" s="1154">
        <f t="shared" si="21"/>
        <v>0</v>
      </c>
      <c r="EL32" s="1154">
        <f t="shared" si="22"/>
        <v>0</v>
      </c>
      <c r="EM32" s="1154">
        <f t="shared" si="23"/>
        <v>0</v>
      </c>
      <c r="EN32" s="1154">
        <f t="shared" si="24"/>
        <v>0</v>
      </c>
      <c r="EO32" s="1154">
        <f t="shared" si="25"/>
        <v>33933.935249753711</v>
      </c>
      <c r="EP32" s="1154">
        <f t="shared" si="26"/>
        <v>0</v>
      </c>
      <c r="EQ32" s="1154">
        <f t="shared" si="27"/>
        <v>0</v>
      </c>
      <c r="ER32" s="1154">
        <f t="shared" si="28"/>
        <v>0</v>
      </c>
      <c r="ES32" s="1154">
        <f t="shared" si="29"/>
        <v>0</v>
      </c>
      <c r="ET32" s="1154">
        <f t="shared" si="30"/>
        <v>0</v>
      </c>
      <c r="EU32" s="1154">
        <f t="shared" si="31"/>
        <v>0</v>
      </c>
      <c r="EV32" s="1154">
        <f t="shared" si="32"/>
        <v>0</v>
      </c>
      <c r="EW32" s="1154">
        <f t="shared" si="33"/>
        <v>0</v>
      </c>
      <c r="EX32" s="1154">
        <f t="shared" si="34"/>
        <v>0</v>
      </c>
      <c r="EY32" s="1154">
        <f t="shared" si="35"/>
        <v>0</v>
      </c>
      <c r="EZ32" s="1154">
        <f t="shared" si="36"/>
        <v>0</v>
      </c>
      <c r="FA32" s="1174">
        <f t="shared" si="37"/>
        <v>114526.9652497537</v>
      </c>
      <c r="FC32" s="1154">
        <f t="shared" si="38"/>
        <v>27528.938750000001</v>
      </c>
      <c r="FD32" s="1154">
        <f t="shared" si="39"/>
        <v>0</v>
      </c>
      <c r="FE32" s="1154">
        <f t="shared" si="40"/>
        <v>0</v>
      </c>
      <c r="FF32" s="1154">
        <f t="shared" si="41"/>
        <v>0</v>
      </c>
      <c r="FG32" s="1154">
        <f t="shared" si="42"/>
        <v>0</v>
      </c>
      <c r="FH32" s="1154">
        <f t="shared" si="43"/>
        <v>0</v>
      </c>
      <c r="FI32" s="1154">
        <f t="shared" si="44"/>
        <v>0</v>
      </c>
      <c r="FJ32" s="1154">
        <f t="shared" si="45"/>
        <v>53061.48000000001</v>
      </c>
      <c r="FK32" s="1154">
        <f t="shared" si="46"/>
        <v>0</v>
      </c>
      <c r="FL32" s="1154">
        <f t="shared" si="47"/>
        <v>0</v>
      </c>
      <c r="FM32" s="1154">
        <f t="shared" si="48"/>
        <v>0</v>
      </c>
      <c r="FN32" s="1154">
        <f t="shared" si="49"/>
        <v>0</v>
      </c>
      <c r="FO32" s="1154">
        <f t="shared" si="50"/>
        <v>0</v>
      </c>
      <c r="FP32" s="1154">
        <f t="shared" si="51"/>
        <v>0</v>
      </c>
      <c r="FQ32" s="1154">
        <f t="shared" si="52"/>
        <v>0</v>
      </c>
      <c r="FR32" s="1154">
        <f t="shared" si="53"/>
        <v>0</v>
      </c>
      <c r="FS32" s="1154">
        <f t="shared" si="54"/>
        <v>0</v>
      </c>
      <c r="FT32" s="1154">
        <f t="shared" si="55"/>
        <v>0</v>
      </c>
      <c r="FU32" s="1154">
        <f t="shared" si="56"/>
        <v>0</v>
      </c>
      <c r="FV32" s="1154">
        <f t="shared" si="57"/>
        <v>0</v>
      </c>
      <c r="FW32" s="1154">
        <f t="shared" si="58"/>
        <v>0</v>
      </c>
      <c r="FX32" s="1154">
        <f t="shared" si="59"/>
        <v>0</v>
      </c>
      <c r="FY32" s="1154">
        <f t="shared" si="60"/>
        <v>0</v>
      </c>
      <c r="FZ32" s="1154">
        <f t="shared" si="61"/>
        <v>34067.85713980694</v>
      </c>
      <c r="GA32" s="1154">
        <f t="shared" si="62"/>
        <v>0</v>
      </c>
      <c r="GB32" s="1154">
        <f t="shared" si="63"/>
        <v>0</v>
      </c>
      <c r="GC32" s="1154">
        <f t="shared" si="64"/>
        <v>0</v>
      </c>
      <c r="GD32" s="1154">
        <f t="shared" si="65"/>
        <v>0</v>
      </c>
      <c r="GE32" s="1154">
        <f t="shared" si="66"/>
        <v>0</v>
      </c>
      <c r="GF32" s="1154">
        <f t="shared" si="67"/>
        <v>0</v>
      </c>
      <c r="GG32" s="1154">
        <f t="shared" si="68"/>
        <v>0</v>
      </c>
      <c r="GH32" s="1154">
        <f t="shared" si="69"/>
        <v>0</v>
      </c>
      <c r="GI32" s="1154">
        <f t="shared" si="70"/>
        <v>0</v>
      </c>
      <c r="GJ32" s="1154">
        <f t="shared" si="71"/>
        <v>0</v>
      </c>
      <c r="GK32" s="1154">
        <f t="shared" si="72"/>
        <v>0</v>
      </c>
      <c r="GL32" s="1174">
        <f t="shared" si="73"/>
        <v>114658.27588980694</v>
      </c>
    </row>
    <row r="33" spans="2:194">
      <c r="B33" s="1290">
        <f>B32</f>
        <v>0</v>
      </c>
      <c r="C33" s="1289" t="str">
        <f>C32</f>
        <v>West CAC66kV Anytime</v>
      </c>
      <c r="D33" s="1113" t="str">
        <f t="shared" si="105"/>
        <v>West CAC66kV Anytime</v>
      </c>
      <c r="E33" s="1113" t="str">
        <f t="shared" si="106"/>
        <v>CAC</v>
      </c>
      <c r="F33" s="1113" t="str">
        <f t="shared" si="107"/>
        <v>CAC</v>
      </c>
      <c r="G33" s="1113" t="str">
        <f t="shared" si="108"/>
        <v>West</v>
      </c>
      <c r="H33" s="1113" t="str">
        <f t="shared" si="109"/>
        <v>WC66</v>
      </c>
      <c r="I33" s="1114" t="s">
        <v>759</v>
      </c>
      <c r="J33" s="1114" t="s">
        <v>934</v>
      </c>
      <c r="K33" s="1270"/>
      <c r="L33" s="1233">
        <v>70.440599999999989</v>
      </c>
      <c r="M33" s="1007"/>
      <c r="N33" s="1007"/>
      <c r="O33" s="1007"/>
      <c r="P33" s="1007"/>
      <c r="Q33" s="1007"/>
      <c r="R33" s="1007"/>
      <c r="S33" s="1233">
        <v>2.7227000000000001</v>
      </c>
      <c r="T33" s="1007"/>
      <c r="U33" s="1007"/>
      <c r="V33" s="1007"/>
      <c r="W33" s="1007"/>
      <c r="X33" s="1007"/>
      <c r="Y33" s="1007"/>
      <c r="Z33" s="1007"/>
      <c r="AA33" s="1007"/>
      <c r="AB33" s="1007"/>
      <c r="AC33" s="1007"/>
      <c r="AD33" s="1007"/>
      <c r="AE33" s="1007"/>
      <c r="AF33" s="1007"/>
      <c r="AG33" s="1007"/>
      <c r="AH33" s="1007"/>
      <c r="AI33" s="1224">
        <v>1.3562911090201862E-2</v>
      </c>
      <c r="AJ33" s="1005"/>
      <c r="AK33" s="1005"/>
      <c r="AL33" s="1005"/>
      <c r="AM33" s="1005"/>
      <c r="AN33" s="1005"/>
      <c r="AO33" s="1005"/>
      <c r="AP33" s="1005"/>
      <c r="AQ33" s="1005"/>
      <c r="AR33" s="1005"/>
      <c r="AS33" s="1005"/>
      <c r="AT33" s="1005"/>
      <c r="AU33" s="1006"/>
      <c r="AV33" s="1270"/>
      <c r="AW33" s="1482">
        <v>74.147639999999996</v>
      </c>
      <c r="AX33" s="1007"/>
      <c r="AY33" s="1007"/>
      <c r="AZ33" s="1007"/>
      <c r="BA33" s="1007"/>
      <c r="BB33" s="1007"/>
      <c r="BC33" s="1007"/>
      <c r="BD33" s="1482">
        <v>2.8664900000000002</v>
      </c>
      <c r="BE33" s="1007"/>
      <c r="BF33" s="1007"/>
      <c r="BG33" s="1007"/>
      <c r="BH33" s="1007"/>
      <c r="BI33" s="1007"/>
      <c r="BJ33" s="1007"/>
      <c r="BK33" s="1007"/>
      <c r="BL33" s="1007"/>
      <c r="BM33" s="1007"/>
      <c r="BN33" s="1007"/>
      <c r="BO33" s="1007"/>
      <c r="BP33" s="1007"/>
      <c r="BQ33" s="1007"/>
      <c r="BR33" s="1007"/>
      <c r="BS33" s="1007"/>
      <c r="BT33" s="1482">
        <v>1.4900282040055694E-2</v>
      </c>
      <c r="BU33" s="1007"/>
      <c r="BV33" s="1007"/>
      <c r="BW33" s="1007"/>
      <c r="BX33" s="1007"/>
      <c r="BY33" s="1007"/>
      <c r="BZ33" s="1007"/>
      <c r="CA33" s="1007"/>
      <c r="CB33" s="1007"/>
      <c r="CC33" s="1007"/>
      <c r="CD33" s="1007"/>
      <c r="CE33" s="1007"/>
      <c r="CF33" s="1007"/>
      <c r="CG33" s="1208"/>
      <c r="CH33" s="1236">
        <v>1</v>
      </c>
      <c r="CI33" s="1007"/>
      <c r="CJ33" s="1007"/>
      <c r="CK33" s="1007"/>
      <c r="CL33" s="1007"/>
      <c r="CM33" s="1007"/>
      <c r="CN33" s="1007"/>
      <c r="CO33" s="1236">
        <v>1000</v>
      </c>
      <c r="CP33" s="1007"/>
      <c r="CQ33" s="1007"/>
      <c r="CR33" s="1007"/>
      <c r="CS33" s="1007"/>
      <c r="CT33" s="1007"/>
      <c r="CU33" s="1007"/>
      <c r="CV33" s="1007"/>
      <c r="CW33" s="1007"/>
      <c r="CX33" s="1007"/>
      <c r="CY33" s="1007"/>
      <c r="CZ33" s="1007"/>
      <c r="DA33" s="1007"/>
      <c r="DB33" s="1007"/>
      <c r="DC33" s="1007"/>
      <c r="DD33" s="1007"/>
      <c r="DE33" s="1236">
        <v>5159359</v>
      </c>
      <c r="DF33" s="1007"/>
      <c r="DG33" s="1007"/>
      <c r="DH33" s="1007"/>
      <c r="DI33" s="1006"/>
      <c r="DJ33" s="1006"/>
      <c r="DK33" s="1007"/>
      <c r="DL33" s="1007"/>
      <c r="DM33" s="1007"/>
      <c r="DN33" s="1007"/>
      <c r="DO33" s="1112"/>
      <c r="DP33" s="1112"/>
      <c r="DQ33" s="1270"/>
      <c r="DR33" s="1154">
        <f t="shared" si="2"/>
        <v>25710.818999999996</v>
      </c>
      <c r="DS33" s="1154">
        <f t="shared" si="3"/>
        <v>0</v>
      </c>
      <c r="DT33" s="1154">
        <f t="shared" si="4"/>
        <v>0</v>
      </c>
      <c r="DU33" s="1154">
        <f t="shared" si="5"/>
        <v>0</v>
      </c>
      <c r="DV33" s="1154">
        <f t="shared" si="6"/>
        <v>0</v>
      </c>
      <c r="DW33" s="1154">
        <f t="shared" si="7"/>
        <v>0</v>
      </c>
      <c r="DX33" s="1154">
        <f t="shared" si="8"/>
        <v>0</v>
      </c>
      <c r="DY33" s="1154">
        <f t="shared" si="9"/>
        <v>32672.400000000001</v>
      </c>
      <c r="DZ33" s="1154">
        <f t="shared" si="10"/>
        <v>0</v>
      </c>
      <c r="EA33" s="1154">
        <f t="shared" si="11"/>
        <v>0</v>
      </c>
      <c r="EB33" s="1154">
        <f t="shared" si="12"/>
        <v>0</v>
      </c>
      <c r="EC33" s="1154">
        <f t="shared" si="13"/>
        <v>0</v>
      </c>
      <c r="ED33" s="1154">
        <f t="shared" si="14"/>
        <v>0</v>
      </c>
      <c r="EE33" s="1154">
        <f t="shared" si="15"/>
        <v>0</v>
      </c>
      <c r="EF33" s="1154">
        <f t="shared" si="16"/>
        <v>0</v>
      </c>
      <c r="EG33" s="1154">
        <f t="shared" si="17"/>
        <v>0</v>
      </c>
      <c r="EH33" s="1154">
        <f t="shared" si="18"/>
        <v>0</v>
      </c>
      <c r="EI33" s="1154">
        <f t="shared" si="19"/>
        <v>0</v>
      </c>
      <c r="EJ33" s="1154">
        <f t="shared" si="20"/>
        <v>0</v>
      </c>
      <c r="EK33" s="1154">
        <f t="shared" si="21"/>
        <v>0</v>
      </c>
      <c r="EL33" s="1154">
        <f t="shared" si="22"/>
        <v>0</v>
      </c>
      <c r="EM33" s="1154">
        <f t="shared" si="23"/>
        <v>0</v>
      </c>
      <c r="EN33" s="1154">
        <f t="shared" si="24"/>
        <v>0</v>
      </c>
      <c r="EO33" s="1154">
        <f t="shared" si="25"/>
        <v>69975.927399432781</v>
      </c>
      <c r="EP33" s="1154">
        <f t="shared" si="26"/>
        <v>0</v>
      </c>
      <c r="EQ33" s="1154">
        <f t="shared" si="27"/>
        <v>0</v>
      </c>
      <c r="ER33" s="1154">
        <f t="shared" si="28"/>
        <v>0</v>
      </c>
      <c r="ES33" s="1154">
        <f t="shared" si="29"/>
        <v>0</v>
      </c>
      <c r="ET33" s="1154">
        <f t="shared" si="30"/>
        <v>0</v>
      </c>
      <c r="EU33" s="1154">
        <f t="shared" si="31"/>
        <v>0</v>
      </c>
      <c r="EV33" s="1154">
        <f t="shared" si="32"/>
        <v>0</v>
      </c>
      <c r="EW33" s="1154">
        <f t="shared" si="33"/>
        <v>0</v>
      </c>
      <c r="EX33" s="1154">
        <f t="shared" si="34"/>
        <v>0</v>
      </c>
      <c r="EY33" s="1154">
        <f t="shared" si="35"/>
        <v>0</v>
      </c>
      <c r="EZ33" s="1154">
        <f t="shared" si="36"/>
        <v>0</v>
      </c>
      <c r="FA33" s="1174">
        <f t="shared" si="37"/>
        <v>128359.14639943278</v>
      </c>
      <c r="FC33" s="1154">
        <f t="shared" si="38"/>
        <v>27063.888599999998</v>
      </c>
      <c r="FD33" s="1154">
        <f t="shared" si="39"/>
        <v>0</v>
      </c>
      <c r="FE33" s="1154">
        <f t="shared" si="40"/>
        <v>0</v>
      </c>
      <c r="FF33" s="1154">
        <f t="shared" si="41"/>
        <v>0</v>
      </c>
      <c r="FG33" s="1154">
        <f t="shared" si="42"/>
        <v>0</v>
      </c>
      <c r="FH33" s="1154">
        <f t="shared" si="43"/>
        <v>0</v>
      </c>
      <c r="FI33" s="1154">
        <f t="shared" si="44"/>
        <v>0</v>
      </c>
      <c r="FJ33" s="1154">
        <f t="shared" si="45"/>
        <v>34397.880000000005</v>
      </c>
      <c r="FK33" s="1154">
        <f t="shared" si="46"/>
        <v>0</v>
      </c>
      <c r="FL33" s="1154">
        <f t="shared" si="47"/>
        <v>0</v>
      </c>
      <c r="FM33" s="1154">
        <f t="shared" si="48"/>
        <v>0</v>
      </c>
      <c r="FN33" s="1154">
        <f t="shared" si="49"/>
        <v>0</v>
      </c>
      <c r="FO33" s="1154">
        <f t="shared" si="50"/>
        <v>0</v>
      </c>
      <c r="FP33" s="1154">
        <f t="shared" si="51"/>
        <v>0</v>
      </c>
      <c r="FQ33" s="1154">
        <f t="shared" si="52"/>
        <v>0</v>
      </c>
      <c r="FR33" s="1154">
        <f t="shared" si="53"/>
        <v>0</v>
      </c>
      <c r="FS33" s="1154">
        <f t="shared" si="54"/>
        <v>0</v>
      </c>
      <c r="FT33" s="1154">
        <f t="shared" si="55"/>
        <v>0</v>
      </c>
      <c r="FU33" s="1154">
        <f t="shared" si="56"/>
        <v>0</v>
      </c>
      <c r="FV33" s="1154">
        <f t="shared" si="57"/>
        <v>0</v>
      </c>
      <c r="FW33" s="1154">
        <f t="shared" si="58"/>
        <v>0</v>
      </c>
      <c r="FX33" s="1154">
        <f t="shared" si="59"/>
        <v>0</v>
      </c>
      <c r="FY33" s="1154">
        <f t="shared" si="60"/>
        <v>0</v>
      </c>
      <c r="FZ33" s="1154">
        <f t="shared" si="61"/>
        <v>76875.904245899699</v>
      </c>
      <c r="GA33" s="1154">
        <f t="shared" si="62"/>
        <v>0</v>
      </c>
      <c r="GB33" s="1154">
        <f t="shared" si="63"/>
        <v>0</v>
      </c>
      <c r="GC33" s="1154">
        <f t="shared" si="64"/>
        <v>0</v>
      </c>
      <c r="GD33" s="1154">
        <f t="shared" si="65"/>
        <v>0</v>
      </c>
      <c r="GE33" s="1154">
        <f t="shared" si="66"/>
        <v>0</v>
      </c>
      <c r="GF33" s="1154">
        <f t="shared" si="67"/>
        <v>0</v>
      </c>
      <c r="GG33" s="1154">
        <f t="shared" si="68"/>
        <v>0</v>
      </c>
      <c r="GH33" s="1154">
        <f t="shared" si="69"/>
        <v>0</v>
      </c>
      <c r="GI33" s="1154">
        <f t="shared" si="70"/>
        <v>0</v>
      </c>
      <c r="GJ33" s="1154">
        <f t="shared" si="71"/>
        <v>0</v>
      </c>
      <c r="GK33" s="1154">
        <f t="shared" si="72"/>
        <v>0</v>
      </c>
      <c r="GL33" s="1174">
        <f t="shared" si="73"/>
        <v>138337.67284589971</v>
      </c>
    </row>
    <row r="34" spans="2:194">
      <c r="B34" s="1290">
        <f>Prop2021DUOSTariffs!B18</f>
        <v>0</v>
      </c>
      <c r="C34" s="1289" t="str">
        <f>Prop2021DUOSTariffs!C18</f>
        <v>West CAC33kV Anytime</v>
      </c>
      <c r="D34" s="1113" t="str">
        <f>Prop2021DUOSTariffs!D18</f>
        <v>West CAC33kV Anytime</v>
      </c>
      <c r="E34" s="1113" t="str">
        <f>Prop2021DUOSTariffs!E18</f>
        <v>CAC</v>
      </c>
      <c r="F34" s="1113" t="str">
        <f>Prop2021DUOSTariffs!F18</f>
        <v>CAC</v>
      </c>
      <c r="G34" s="1113" t="str">
        <f>Prop2021DUOSTariffs!G18</f>
        <v>West</v>
      </c>
      <c r="H34" s="1113" t="str">
        <f>IF(Prop2021DUOSTariffs!H18="","",Prop2021DUOSTariffs!H18)</f>
        <v>WC33</v>
      </c>
      <c r="I34" s="1114" t="s">
        <v>798</v>
      </c>
      <c r="J34" s="1114" t="s">
        <v>934</v>
      </c>
      <c r="K34" s="1207"/>
      <c r="L34" s="1233">
        <v>109.52604000000001</v>
      </c>
      <c r="M34" s="1007"/>
      <c r="N34" s="1007"/>
      <c r="O34" s="1007"/>
      <c r="P34" s="1007"/>
      <c r="Q34" s="1007"/>
      <c r="R34" s="1007"/>
      <c r="S34" s="1233">
        <v>0.71820000000000006</v>
      </c>
      <c r="T34" s="1007"/>
      <c r="U34" s="1007"/>
      <c r="V34" s="1007"/>
      <c r="W34" s="1007"/>
      <c r="X34" s="1007"/>
      <c r="Y34" s="1007"/>
      <c r="Z34" s="1007"/>
      <c r="AA34" s="1007"/>
      <c r="AB34" s="1007"/>
      <c r="AC34" s="1007"/>
      <c r="AD34" s="1007"/>
      <c r="AE34" s="1007"/>
      <c r="AF34" s="1007"/>
      <c r="AG34" s="1007"/>
      <c r="AH34" s="1007"/>
      <c r="AI34" s="1224">
        <v>1.0079303034553634E-2</v>
      </c>
      <c r="AJ34" s="1005"/>
      <c r="AK34" s="1005"/>
      <c r="AL34" s="1005"/>
      <c r="AM34" s="1005"/>
      <c r="AN34" s="1005"/>
      <c r="AO34" s="1005"/>
      <c r="AP34" s="1005"/>
      <c r="AQ34" s="1005"/>
      <c r="AR34" s="1005"/>
      <c r="AS34" s="1005"/>
      <c r="AT34" s="1005"/>
      <c r="AU34" s="1006"/>
      <c r="AV34" s="1207"/>
      <c r="AW34" s="1482">
        <v>101.41277000000001</v>
      </c>
      <c r="AX34" s="1007"/>
      <c r="AY34" s="1007"/>
      <c r="AZ34" s="1007"/>
      <c r="BA34" s="1007"/>
      <c r="BB34" s="1007"/>
      <c r="BC34" s="1007"/>
      <c r="BD34" s="1482">
        <v>0.66538000000000008</v>
      </c>
      <c r="BE34" s="1007"/>
      <c r="BF34" s="1007"/>
      <c r="BG34" s="1007"/>
      <c r="BH34" s="1007"/>
      <c r="BI34" s="1007"/>
      <c r="BJ34" s="1007"/>
      <c r="BK34" s="1007"/>
      <c r="BL34" s="1007"/>
      <c r="BM34" s="1007"/>
      <c r="BN34" s="1007"/>
      <c r="BO34" s="1007"/>
      <c r="BP34" s="1007"/>
      <c r="BQ34" s="1007"/>
      <c r="BR34" s="1007"/>
      <c r="BS34" s="1007"/>
      <c r="BT34" s="1482">
        <v>9.082624070257235E-3</v>
      </c>
      <c r="BU34" s="1007"/>
      <c r="BV34" s="1007"/>
      <c r="BW34" s="1007"/>
      <c r="BX34" s="1007"/>
      <c r="BY34" s="1007"/>
      <c r="BZ34" s="1007"/>
      <c r="CA34" s="1007"/>
      <c r="CB34" s="1007"/>
      <c r="CC34" s="1007"/>
      <c r="CD34" s="1007"/>
      <c r="CE34" s="1007"/>
      <c r="CF34" s="1007"/>
      <c r="CG34" s="1208"/>
      <c r="CH34" s="1236">
        <v>3</v>
      </c>
      <c r="CI34" s="1007"/>
      <c r="CJ34" s="1007"/>
      <c r="CK34" s="1007"/>
      <c r="CL34" s="1007"/>
      <c r="CM34" s="1007"/>
      <c r="CN34" s="1007"/>
      <c r="CO34" s="1236">
        <v>6710</v>
      </c>
      <c r="CP34" s="1007"/>
      <c r="CQ34" s="1007"/>
      <c r="CR34" s="1007"/>
      <c r="CS34" s="1007"/>
      <c r="CT34" s="1007"/>
      <c r="CU34" s="1007"/>
      <c r="CV34" s="1007"/>
      <c r="CW34" s="1007"/>
      <c r="CX34" s="1007"/>
      <c r="CY34" s="1007"/>
      <c r="CZ34" s="1007"/>
      <c r="DA34" s="1007"/>
      <c r="DB34" s="1007"/>
      <c r="DC34" s="1007"/>
      <c r="DD34" s="1007"/>
      <c r="DE34" s="1236">
        <v>2549378</v>
      </c>
      <c r="DF34" s="1007"/>
      <c r="DG34" s="1007"/>
      <c r="DH34" s="1007"/>
      <c r="DI34" s="1006"/>
      <c r="DJ34" s="1006"/>
      <c r="DK34" s="1007"/>
      <c r="DL34" s="1007"/>
      <c r="DM34" s="1007"/>
      <c r="DN34" s="1007"/>
      <c r="DO34" s="1112"/>
      <c r="DP34" s="1112"/>
      <c r="DQ34" s="1207"/>
      <c r="DR34" s="1154">
        <f t="shared" si="2"/>
        <v>119931.0138</v>
      </c>
      <c r="DS34" s="1154">
        <f t="shared" si="3"/>
        <v>0</v>
      </c>
      <c r="DT34" s="1154">
        <f t="shared" si="4"/>
        <v>0</v>
      </c>
      <c r="DU34" s="1154">
        <f t="shared" si="5"/>
        <v>0</v>
      </c>
      <c r="DV34" s="1154">
        <f t="shared" si="6"/>
        <v>0</v>
      </c>
      <c r="DW34" s="1154">
        <f t="shared" si="7"/>
        <v>0</v>
      </c>
      <c r="DX34" s="1154">
        <f t="shared" si="8"/>
        <v>0</v>
      </c>
      <c r="DY34" s="1154">
        <f t="shared" si="9"/>
        <v>57829.464000000007</v>
      </c>
      <c r="DZ34" s="1154">
        <f t="shared" si="10"/>
        <v>0</v>
      </c>
      <c r="EA34" s="1154">
        <f t="shared" si="11"/>
        <v>0</v>
      </c>
      <c r="EB34" s="1154">
        <f t="shared" si="12"/>
        <v>0</v>
      </c>
      <c r="EC34" s="1154">
        <f t="shared" si="13"/>
        <v>0</v>
      </c>
      <c r="ED34" s="1154">
        <f t="shared" si="14"/>
        <v>0</v>
      </c>
      <c r="EE34" s="1154">
        <f t="shared" si="15"/>
        <v>0</v>
      </c>
      <c r="EF34" s="1154">
        <f t="shared" si="16"/>
        <v>0</v>
      </c>
      <c r="EG34" s="1154">
        <f t="shared" si="17"/>
        <v>0</v>
      </c>
      <c r="EH34" s="1154">
        <f t="shared" si="18"/>
        <v>0</v>
      </c>
      <c r="EI34" s="1154">
        <f t="shared" si="19"/>
        <v>0</v>
      </c>
      <c r="EJ34" s="1154">
        <f t="shared" si="20"/>
        <v>0</v>
      </c>
      <c r="EK34" s="1154">
        <f t="shared" si="21"/>
        <v>0</v>
      </c>
      <c r="EL34" s="1154">
        <f t="shared" si="22"/>
        <v>0</v>
      </c>
      <c r="EM34" s="1154">
        <f t="shared" si="23"/>
        <v>0</v>
      </c>
      <c r="EN34" s="1154">
        <f t="shared" si="24"/>
        <v>0</v>
      </c>
      <c r="EO34" s="1154">
        <f t="shared" si="25"/>
        <v>25695.953411624272</v>
      </c>
      <c r="EP34" s="1154">
        <f t="shared" si="26"/>
        <v>0</v>
      </c>
      <c r="EQ34" s="1154">
        <f t="shared" si="27"/>
        <v>0</v>
      </c>
      <c r="ER34" s="1154">
        <f t="shared" si="28"/>
        <v>0</v>
      </c>
      <c r="ES34" s="1154">
        <f t="shared" si="29"/>
        <v>0</v>
      </c>
      <c r="ET34" s="1154">
        <f t="shared" si="30"/>
        <v>0</v>
      </c>
      <c r="EU34" s="1154">
        <f t="shared" si="31"/>
        <v>0</v>
      </c>
      <c r="EV34" s="1154">
        <f t="shared" si="32"/>
        <v>0</v>
      </c>
      <c r="EW34" s="1154">
        <f t="shared" si="33"/>
        <v>0</v>
      </c>
      <c r="EX34" s="1154">
        <f t="shared" si="34"/>
        <v>0</v>
      </c>
      <c r="EY34" s="1154">
        <f t="shared" si="35"/>
        <v>0</v>
      </c>
      <c r="EZ34" s="1154">
        <f t="shared" si="36"/>
        <v>0</v>
      </c>
      <c r="FA34" s="1174">
        <f t="shared" si="37"/>
        <v>203456.43121162427</v>
      </c>
      <c r="FC34" s="1154">
        <f t="shared" si="38"/>
        <v>111046.98315</v>
      </c>
      <c r="FD34" s="1154">
        <f t="shared" si="39"/>
        <v>0</v>
      </c>
      <c r="FE34" s="1154">
        <f t="shared" si="40"/>
        <v>0</v>
      </c>
      <c r="FF34" s="1154">
        <f t="shared" si="41"/>
        <v>0</v>
      </c>
      <c r="FG34" s="1154">
        <f t="shared" si="42"/>
        <v>0</v>
      </c>
      <c r="FH34" s="1154">
        <f t="shared" si="43"/>
        <v>0</v>
      </c>
      <c r="FI34" s="1154">
        <f t="shared" si="44"/>
        <v>0</v>
      </c>
      <c r="FJ34" s="1154">
        <f t="shared" si="45"/>
        <v>53576.397600000004</v>
      </c>
      <c r="FK34" s="1154">
        <f t="shared" si="46"/>
        <v>0</v>
      </c>
      <c r="FL34" s="1154">
        <f t="shared" si="47"/>
        <v>0</v>
      </c>
      <c r="FM34" s="1154">
        <f t="shared" si="48"/>
        <v>0</v>
      </c>
      <c r="FN34" s="1154">
        <f t="shared" si="49"/>
        <v>0</v>
      </c>
      <c r="FO34" s="1154">
        <f t="shared" si="50"/>
        <v>0</v>
      </c>
      <c r="FP34" s="1154">
        <f t="shared" si="51"/>
        <v>0</v>
      </c>
      <c r="FQ34" s="1154">
        <f t="shared" si="52"/>
        <v>0</v>
      </c>
      <c r="FR34" s="1154">
        <f t="shared" si="53"/>
        <v>0</v>
      </c>
      <c r="FS34" s="1154">
        <f t="shared" si="54"/>
        <v>0</v>
      </c>
      <c r="FT34" s="1154">
        <f t="shared" si="55"/>
        <v>0</v>
      </c>
      <c r="FU34" s="1154">
        <f t="shared" si="56"/>
        <v>0</v>
      </c>
      <c r="FV34" s="1154">
        <f t="shared" si="57"/>
        <v>0</v>
      </c>
      <c r="FW34" s="1154">
        <f t="shared" si="58"/>
        <v>0</v>
      </c>
      <c r="FX34" s="1154">
        <f t="shared" si="59"/>
        <v>0</v>
      </c>
      <c r="FY34" s="1154">
        <f t="shared" si="60"/>
        <v>0</v>
      </c>
      <c r="FZ34" s="1154">
        <f t="shared" si="61"/>
        <v>23155.041986984248</v>
      </c>
      <c r="GA34" s="1154">
        <f t="shared" si="62"/>
        <v>0</v>
      </c>
      <c r="GB34" s="1154">
        <f t="shared" si="63"/>
        <v>0</v>
      </c>
      <c r="GC34" s="1154">
        <f t="shared" si="64"/>
        <v>0</v>
      </c>
      <c r="GD34" s="1154">
        <f t="shared" si="65"/>
        <v>0</v>
      </c>
      <c r="GE34" s="1154">
        <f t="shared" si="66"/>
        <v>0</v>
      </c>
      <c r="GF34" s="1154">
        <f t="shared" si="67"/>
        <v>0</v>
      </c>
      <c r="GG34" s="1154">
        <f t="shared" si="68"/>
        <v>0</v>
      </c>
      <c r="GH34" s="1154">
        <f t="shared" si="69"/>
        <v>0</v>
      </c>
      <c r="GI34" s="1154">
        <f t="shared" si="70"/>
        <v>0</v>
      </c>
      <c r="GJ34" s="1154">
        <f t="shared" si="71"/>
        <v>0</v>
      </c>
      <c r="GK34" s="1154">
        <f t="shared" si="72"/>
        <v>0</v>
      </c>
      <c r="GL34" s="1174">
        <f t="shared" si="73"/>
        <v>187778.42273698427</v>
      </c>
    </row>
    <row r="35" spans="2:194">
      <c r="B35" s="1290">
        <f>B34</f>
        <v>0</v>
      </c>
      <c r="C35" s="1289" t="str">
        <f>C34</f>
        <v>West CAC33kV Anytime</v>
      </c>
      <c r="D35" s="1113" t="str">
        <f t="shared" ref="D35:D36" si="110">D34</f>
        <v>West CAC33kV Anytime</v>
      </c>
      <c r="E35" s="1113" t="str">
        <f t="shared" ref="E35:E36" si="111">E34</f>
        <v>CAC</v>
      </c>
      <c r="F35" s="1113" t="str">
        <f t="shared" ref="F35:F36" si="112">F34</f>
        <v>CAC</v>
      </c>
      <c r="G35" s="1113" t="str">
        <f t="shared" ref="G35:G36" si="113">G34</f>
        <v>West</v>
      </c>
      <c r="H35" s="1113" t="str">
        <f t="shared" ref="H35:H36" si="114">H34</f>
        <v>WC33</v>
      </c>
      <c r="I35" s="1114" t="s">
        <v>752</v>
      </c>
      <c r="J35" s="1114" t="s">
        <v>934</v>
      </c>
      <c r="K35" s="1270"/>
      <c r="L35" s="1233">
        <v>75.421999999999997</v>
      </c>
      <c r="M35" s="1007"/>
      <c r="N35" s="1007"/>
      <c r="O35" s="1007"/>
      <c r="P35" s="1007"/>
      <c r="Q35" s="1007"/>
      <c r="R35" s="1007"/>
      <c r="S35" s="1233">
        <v>1.474</v>
      </c>
      <c r="T35" s="1007"/>
      <c r="U35" s="1007"/>
      <c r="V35" s="1007"/>
      <c r="W35" s="1007"/>
      <c r="X35" s="1007"/>
      <c r="Y35" s="1007"/>
      <c r="Z35" s="1007"/>
      <c r="AA35" s="1007"/>
      <c r="AB35" s="1007"/>
      <c r="AC35" s="1007"/>
      <c r="AD35" s="1007"/>
      <c r="AE35" s="1007"/>
      <c r="AF35" s="1007"/>
      <c r="AG35" s="1007"/>
      <c r="AH35" s="1007"/>
      <c r="AI35" s="1224">
        <v>1.1937631525536712E-2</v>
      </c>
      <c r="AJ35" s="1005"/>
      <c r="AK35" s="1005"/>
      <c r="AL35" s="1005"/>
      <c r="AM35" s="1005"/>
      <c r="AN35" s="1005"/>
      <c r="AO35" s="1005"/>
      <c r="AP35" s="1005"/>
      <c r="AQ35" s="1005"/>
      <c r="AR35" s="1005"/>
      <c r="AS35" s="1005"/>
      <c r="AT35" s="1005"/>
      <c r="AU35" s="1006"/>
      <c r="AV35" s="1270"/>
      <c r="AW35" s="1482">
        <v>75.421750000000003</v>
      </c>
      <c r="AX35" s="1007"/>
      <c r="AY35" s="1007"/>
      <c r="AZ35" s="1007"/>
      <c r="BA35" s="1007"/>
      <c r="BB35" s="1007"/>
      <c r="BC35" s="1007"/>
      <c r="BD35" s="1482">
        <v>1.4739300000000002</v>
      </c>
      <c r="BE35" s="1007"/>
      <c r="BF35" s="1007"/>
      <c r="BG35" s="1007"/>
      <c r="BH35" s="1007"/>
      <c r="BI35" s="1007"/>
      <c r="BJ35" s="1007"/>
      <c r="BK35" s="1007"/>
      <c r="BL35" s="1007"/>
      <c r="BM35" s="1007"/>
      <c r="BN35" s="1007"/>
      <c r="BO35" s="1007"/>
      <c r="BP35" s="1007"/>
      <c r="BQ35" s="1007"/>
      <c r="BR35" s="1007"/>
      <c r="BS35" s="1007"/>
      <c r="BT35" s="1482">
        <v>1.198474395634948E-2</v>
      </c>
      <c r="BU35" s="1007"/>
      <c r="BV35" s="1007"/>
      <c r="BW35" s="1007"/>
      <c r="BX35" s="1007"/>
      <c r="BY35" s="1007"/>
      <c r="BZ35" s="1007"/>
      <c r="CA35" s="1007"/>
      <c r="CB35" s="1007"/>
      <c r="CC35" s="1007"/>
      <c r="CD35" s="1007"/>
      <c r="CE35" s="1007"/>
      <c r="CF35" s="1007"/>
      <c r="CG35" s="1208"/>
      <c r="CH35" s="1236">
        <v>0</v>
      </c>
      <c r="CI35" s="1007"/>
      <c r="CJ35" s="1007"/>
      <c r="CK35" s="1007"/>
      <c r="CL35" s="1007"/>
      <c r="CM35" s="1007"/>
      <c r="CN35" s="1007"/>
      <c r="CO35" s="1236">
        <v>0</v>
      </c>
      <c r="CP35" s="1007"/>
      <c r="CQ35" s="1007"/>
      <c r="CR35" s="1007"/>
      <c r="CS35" s="1007"/>
      <c r="CT35" s="1007"/>
      <c r="CU35" s="1007"/>
      <c r="CV35" s="1007"/>
      <c r="CW35" s="1007"/>
      <c r="CX35" s="1007"/>
      <c r="CY35" s="1007"/>
      <c r="CZ35" s="1007"/>
      <c r="DA35" s="1007"/>
      <c r="DB35" s="1007"/>
      <c r="DC35" s="1007"/>
      <c r="DD35" s="1007"/>
      <c r="DE35" s="1236">
        <v>0</v>
      </c>
      <c r="DF35" s="1007"/>
      <c r="DG35" s="1007"/>
      <c r="DH35" s="1007"/>
      <c r="DI35" s="1006"/>
      <c r="DJ35" s="1006"/>
      <c r="DK35" s="1007"/>
      <c r="DL35" s="1007"/>
      <c r="DM35" s="1007"/>
      <c r="DN35" s="1007"/>
      <c r="DO35" s="1112"/>
      <c r="DP35" s="1112"/>
      <c r="DQ35" s="1270"/>
      <c r="DR35" s="1154">
        <f t="shared" si="2"/>
        <v>0</v>
      </c>
      <c r="DS35" s="1154">
        <f t="shared" si="3"/>
        <v>0</v>
      </c>
      <c r="DT35" s="1154">
        <f t="shared" si="4"/>
        <v>0</v>
      </c>
      <c r="DU35" s="1154">
        <f t="shared" si="5"/>
        <v>0</v>
      </c>
      <c r="DV35" s="1154">
        <f t="shared" si="6"/>
        <v>0</v>
      </c>
      <c r="DW35" s="1154">
        <f t="shared" si="7"/>
        <v>0</v>
      </c>
      <c r="DX35" s="1154">
        <f t="shared" si="8"/>
        <v>0</v>
      </c>
      <c r="DY35" s="1154">
        <f t="shared" si="9"/>
        <v>0</v>
      </c>
      <c r="DZ35" s="1154">
        <f t="shared" si="10"/>
        <v>0</v>
      </c>
      <c r="EA35" s="1154">
        <f t="shared" si="11"/>
        <v>0</v>
      </c>
      <c r="EB35" s="1154">
        <f t="shared" si="12"/>
        <v>0</v>
      </c>
      <c r="EC35" s="1154">
        <f t="shared" si="13"/>
        <v>0</v>
      </c>
      <c r="ED35" s="1154">
        <f t="shared" si="14"/>
        <v>0</v>
      </c>
      <c r="EE35" s="1154">
        <f t="shared" si="15"/>
        <v>0</v>
      </c>
      <c r="EF35" s="1154">
        <f t="shared" si="16"/>
        <v>0</v>
      </c>
      <c r="EG35" s="1154">
        <f t="shared" si="17"/>
        <v>0</v>
      </c>
      <c r="EH35" s="1154">
        <f t="shared" si="18"/>
        <v>0</v>
      </c>
      <c r="EI35" s="1154">
        <f t="shared" si="19"/>
        <v>0</v>
      </c>
      <c r="EJ35" s="1154">
        <f t="shared" si="20"/>
        <v>0</v>
      </c>
      <c r="EK35" s="1154">
        <f t="shared" si="21"/>
        <v>0</v>
      </c>
      <c r="EL35" s="1154">
        <f t="shared" si="22"/>
        <v>0</v>
      </c>
      <c r="EM35" s="1154">
        <f t="shared" si="23"/>
        <v>0</v>
      </c>
      <c r="EN35" s="1154">
        <f t="shared" si="24"/>
        <v>0</v>
      </c>
      <c r="EO35" s="1154">
        <f t="shared" si="25"/>
        <v>0</v>
      </c>
      <c r="EP35" s="1154">
        <f t="shared" si="26"/>
        <v>0</v>
      </c>
      <c r="EQ35" s="1154">
        <f t="shared" si="27"/>
        <v>0</v>
      </c>
      <c r="ER35" s="1154">
        <f t="shared" si="28"/>
        <v>0</v>
      </c>
      <c r="ES35" s="1154">
        <f t="shared" si="29"/>
        <v>0</v>
      </c>
      <c r="ET35" s="1154">
        <f t="shared" si="30"/>
        <v>0</v>
      </c>
      <c r="EU35" s="1154">
        <f t="shared" si="31"/>
        <v>0</v>
      </c>
      <c r="EV35" s="1154">
        <f t="shared" si="32"/>
        <v>0</v>
      </c>
      <c r="EW35" s="1154">
        <f t="shared" si="33"/>
        <v>0</v>
      </c>
      <c r="EX35" s="1154">
        <f t="shared" si="34"/>
        <v>0</v>
      </c>
      <c r="EY35" s="1154">
        <f t="shared" si="35"/>
        <v>0</v>
      </c>
      <c r="EZ35" s="1154">
        <f t="shared" si="36"/>
        <v>0</v>
      </c>
      <c r="FA35" s="1174">
        <f t="shared" si="37"/>
        <v>0</v>
      </c>
      <c r="FC35" s="1154">
        <f t="shared" si="38"/>
        <v>0</v>
      </c>
      <c r="FD35" s="1154">
        <f t="shared" si="39"/>
        <v>0</v>
      </c>
      <c r="FE35" s="1154">
        <f t="shared" si="40"/>
        <v>0</v>
      </c>
      <c r="FF35" s="1154">
        <f t="shared" si="41"/>
        <v>0</v>
      </c>
      <c r="FG35" s="1154">
        <f t="shared" si="42"/>
        <v>0</v>
      </c>
      <c r="FH35" s="1154">
        <f t="shared" si="43"/>
        <v>0</v>
      </c>
      <c r="FI35" s="1154">
        <f t="shared" si="44"/>
        <v>0</v>
      </c>
      <c r="FJ35" s="1154">
        <f t="shared" si="45"/>
        <v>0</v>
      </c>
      <c r="FK35" s="1154">
        <f t="shared" si="46"/>
        <v>0</v>
      </c>
      <c r="FL35" s="1154">
        <f t="shared" si="47"/>
        <v>0</v>
      </c>
      <c r="FM35" s="1154">
        <f t="shared" si="48"/>
        <v>0</v>
      </c>
      <c r="FN35" s="1154">
        <f t="shared" si="49"/>
        <v>0</v>
      </c>
      <c r="FO35" s="1154">
        <f t="shared" si="50"/>
        <v>0</v>
      </c>
      <c r="FP35" s="1154">
        <f t="shared" si="51"/>
        <v>0</v>
      </c>
      <c r="FQ35" s="1154">
        <f t="shared" si="52"/>
        <v>0</v>
      </c>
      <c r="FR35" s="1154">
        <f t="shared" si="53"/>
        <v>0</v>
      </c>
      <c r="FS35" s="1154">
        <f t="shared" si="54"/>
        <v>0</v>
      </c>
      <c r="FT35" s="1154">
        <f t="shared" si="55"/>
        <v>0</v>
      </c>
      <c r="FU35" s="1154">
        <f t="shared" si="56"/>
        <v>0</v>
      </c>
      <c r="FV35" s="1154">
        <f t="shared" si="57"/>
        <v>0</v>
      </c>
      <c r="FW35" s="1154">
        <f t="shared" si="58"/>
        <v>0</v>
      </c>
      <c r="FX35" s="1154">
        <f t="shared" si="59"/>
        <v>0</v>
      </c>
      <c r="FY35" s="1154">
        <f t="shared" si="60"/>
        <v>0</v>
      </c>
      <c r="FZ35" s="1154">
        <f t="shared" si="61"/>
        <v>0</v>
      </c>
      <c r="GA35" s="1154">
        <f t="shared" si="62"/>
        <v>0</v>
      </c>
      <c r="GB35" s="1154">
        <f t="shared" si="63"/>
        <v>0</v>
      </c>
      <c r="GC35" s="1154">
        <f t="shared" si="64"/>
        <v>0</v>
      </c>
      <c r="GD35" s="1154">
        <f t="shared" si="65"/>
        <v>0</v>
      </c>
      <c r="GE35" s="1154">
        <f t="shared" si="66"/>
        <v>0</v>
      </c>
      <c r="GF35" s="1154">
        <f t="shared" si="67"/>
        <v>0</v>
      </c>
      <c r="GG35" s="1154">
        <f t="shared" si="68"/>
        <v>0</v>
      </c>
      <c r="GH35" s="1154">
        <f t="shared" si="69"/>
        <v>0</v>
      </c>
      <c r="GI35" s="1154">
        <f t="shared" si="70"/>
        <v>0</v>
      </c>
      <c r="GJ35" s="1154">
        <f t="shared" si="71"/>
        <v>0</v>
      </c>
      <c r="GK35" s="1154">
        <f t="shared" si="72"/>
        <v>0</v>
      </c>
      <c r="GL35" s="1174">
        <f t="shared" si="73"/>
        <v>0</v>
      </c>
    </row>
    <row r="36" spans="2:194">
      <c r="B36" s="1290">
        <f>B35</f>
        <v>0</v>
      </c>
      <c r="C36" s="1289" t="str">
        <f>C35</f>
        <v>West CAC33kV Anytime</v>
      </c>
      <c r="D36" s="1113" t="str">
        <f t="shared" si="110"/>
        <v>West CAC33kV Anytime</v>
      </c>
      <c r="E36" s="1113" t="str">
        <f t="shared" si="111"/>
        <v>CAC</v>
      </c>
      <c r="F36" s="1113" t="str">
        <f t="shared" si="112"/>
        <v>CAC</v>
      </c>
      <c r="G36" s="1113" t="str">
        <f t="shared" si="113"/>
        <v>West</v>
      </c>
      <c r="H36" s="1113" t="str">
        <f t="shared" si="114"/>
        <v>WC33</v>
      </c>
      <c r="I36" s="1114" t="s">
        <v>759</v>
      </c>
      <c r="J36" s="1114" t="s">
        <v>934</v>
      </c>
      <c r="K36" s="1270"/>
      <c r="L36" s="1233">
        <v>70.440599999999989</v>
      </c>
      <c r="M36" s="1007"/>
      <c r="N36" s="1007"/>
      <c r="O36" s="1007"/>
      <c r="P36" s="1007"/>
      <c r="Q36" s="1007"/>
      <c r="R36" s="1007"/>
      <c r="S36" s="1233">
        <v>2.7227000000000001</v>
      </c>
      <c r="T36" s="1007"/>
      <c r="U36" s="1007"/>
      <c r="V36" s="1007"/>
      <c r="W36" s="1007"/>
      <c r="X36" s="1007"/>
      <c r="Y36" s="1007"/>
      <c r="Z36" s="1007"/>
      <c r="AA36" s="1007"/>
      <c r="AB36" s="1007"/>
      <c r="AC36" s="1007"/>
      <c r="AD36" s="1007"/>
      <c r="AE36" s="1007"/>
      <c r="AF36" s="1007"/>
      <c r="AG36" s="1007"/>
      <c r="AH36" s="1007"/>
      <c r="AI36" s="1224">
        <v>1.3562911090201862E-2</v>
      </c>
      <c r="AJ36" s="1005"/>
      <c r="AK36" s="1005"/>
      <c r="AL36" s="1005"/>
      <c r="AM36" s="1005"/>
      <c r="AN36" s="1005"/>
      <c r="AO36" s="1005"/>
      <c r="AP36" s="1005"/>
      <c r="AQ36" s="1005"/>
      <c r="AR36" s="1005"/>
      <c r="AS36" s="1005"/>
      <c r="AT36" s="1005"/>
      <c r="AU36" s="1006"/>
      <c r="AV36" s="1270"/>
      <c r="AW36" s="1482">
        <v>74.147639999999996</v>
      </c>
      <c r="AX36" s="1007"/>
      <c r="AY36" s="1007"/>
      <c r="AZ36" s="1007"/>
      <c r="BA36" s="1007"/>
      <c r="BB36" s="1007"/>
      <c r="BC36" s="1007"/>
      <c r="BD36" s="1482">
        <v>2.8664900000000002</v>
      </c>
      <c r="BE36" s="1007"/>
      <c r="BF36" s="1007"/>
      <c r="BG36" s="1007"/>
      <c r="BH36" s="1007"/>
      <c r="BI36" s="1007"/>
      <c r="BJ36" s="1007"/>
      <c r="BK36" s="1007"/>
      <c r="BL36" s="1007"/>
      <c r="BM36" s="1007"/>
      <c r="BN36" s="1007"/>
      <c r="BO36" s="1007"/>
      <c r="BP36" s="1007"/>
      <c r="BQ36" s="1007"/>
      <c r="BR36" s="1007"/>
      <c r="BS36" s="1007"/>
      <c r="BT36" s="1482">
        <v>1.4900282040055694E-2</v>
      </c>
      <c r="BU36" s="1007"/>
      <c r="BV36" s="1007"/>
      <c r="BW36" s="1007"/>
      <c r="BX36" s="1007"/>
      <c r="BY36" s="1007"/>
      <c r="BZ36" s="1007"/>
      <c r="CA36" s="1007"/>
      <c r="CB36" s="1007"/>
      <c r="CC36" s="1007"/>
      <c r="CD36" s="1007"/>
      <c r="CE36" s="1007"/>
      <c r="CF36" s="1007"/>
      <c r="CG36" s="1208"/>
      <c r="CH36" s="1236">
        <v>0</v>
      </c>
      <c r="CI36" s="1007"/>
      <c r="CJ36" s="1007"/>
      <c r="CK36" s="1007"/>
      <c r="CL36" s="1007"/>
      <c r="CM36" s="1007"/>
      <c r="CN36" s="1007"/>
      <c r="CO36" s="1236">
        <v>0</v>
      </c>
      <c r="CP36" s="1007"/>
      <c r="CQ36" s="1007"/>
      <c r="CR36" s="1007"/>
      <c r="CS36" s="1007"/>
      <c r="CT36" s="1007"/>
      <c r="CU36" s="1007"/>
      <c r="CV36" s="1007"/>
      <c r="CW36" s="1007"/>
      <c r="CX36" s="1007"/>
      <c r="CY36" s="1007"/>
      <c r="CZ36" s="1007"/>
      <c r="DA36" s="1007"/>
      <c r="DB36" s="1007"/>
      <c r="DC36" s="1007"/>
      <c r="DD36" s="1007"/>
      <c r="DE36" s="1236">
        <v>0</v>
      </c>
      <c r="DF36" s="1007"/>
      <c r="DG36" s="1007"/>
      <c r="DH36" s="1007"/>
      <c r="DI36" s="1006"/>
      <c r="DJ36" s="1006"/>
      <c r="DK36" s="1007"/>
      <c r="DL36" s="1007"/>
      <c r="DM36" s="1007"/>
      <c r="DN36" s="1007"/>
      <c r="DO36" s="1112"/>
      <c r="DP36" s="1112"/>
      <c r="DQ36" s="1270"/>
      <c r="DR36" s="1154">
        <f t="shared" si="2"/>
        <v>0</v>
      </c>
      <c r="DS36" s="1154">
        <f t="shared" si="3"/>
        <v>0</v>
      </c>
      <c r="DT36" s="1154">
        <f t="shared" si="4"/>
        <v>0</v>
      </c>
      <c r="DU36" s="1154">
        <f t="shared" si="5"/>
        <v>0</v>
      </c>
      <c r="DV36" s="1154">
        <f t="shared" si="6"/>
        <v>0</v>
      </c>
      <c r="DW36" s="1154">
        <f t="shared" si="7"/>
        <v>0</v>
      </c>
      <c r="DX36" s="1154">
        <f t="shared" si="8"/>
        <v>0</v>
      </c>
      <c r="DY36" s="1154">
        <f t="shared" si="9"/>
        <v>0</v>
      </c>
      <c r="DZ36" s="1154">
        <f t="shared" si="10"/>
        <v>0</v>
      </c>
      <c r="EA36" s="1154">
        <f t="shared" si="11"/>
        <v>0</v>
      </c>
      <c r="EB36" s="1154">
        <f t="shared" si="12"/>
        <v>0</v>
      </c>
      <c r="EC36" s="1154">
        <f t="shared" si="13"/>
        <v>0</v>
      </c>
      <c r="ED36" s="1154">
        <f t="shared" si="14"/>
        <v>0</v>
      </c>
      <c r="EE36" s="1154">
        <f t="shared" si="15"/>
        <v>0</v>
      </c>
      <c r="EF36" s="1154">
        <f t="shared" si="16"/>
        <v>0</v>
      </c>
      <c r="EG36" s="1154">
        <f t="shared" si="17"/>
        <v>0</v>
      </c>
      <c r="EH36" s="1154">
        <f t="shared" si="18"/>
        <v>0</v>
      </c>
      <c r="EI36" s="1154">
        <f t="shared" si="19"/>
        <v>0</v>
      </c>
      <c r="EJ36" s="1154">
        <f t="shared" si="20"/>
        <v>0</v>
      </c>
      <c r="EK36" s="1154">
        <f t="shared" si="21"/>
        <v>0</v>
      </c>
      <c r="EL36" s="1154">
        <f t="shared" si="22"/>
        <v>0</v>
      </c>
      <c r="EM36" s="1154">
        <f t="shared" si="23"/>
        <v>0</v>
      </c>
      <c r="EN36" s="1154">
        <f t="shared" si="24"/>
        <v>0</v>
      </c>
      <c r="EO36" s="1154">
        <f t="shared" si="25"/>
        <v>0</v>
      </c>
      <c r="EP36" s="1154">
        <f t="shared" si="26"/>
        <v>0</v>
      </c>
      <c r="EQ36" s="1154">
        <f t="shared" si="27"/>
        <v>0</v>
      </c>
      <c r="ER36" s="1154">
        <f t="shared" si="28"/>
        <v>0</v>
      </c>
      <c r="ES36" s="1154">
        <f t="shared" si="29"/>
        <v>0</v>
      </c>
      <c r="ET36" s="1154">
        <f t="shared" si="30"/>
        <v>0</v>
      </c>
      <c r="EU36" s="1154">
        <f t="shared" si="31"/>
        <v>0</v>
      </c>
      <c r="EV36" s="1154">
        <f t="shared" si="32"/>
        <v>0</v>
      </c>
      <c r="EW36" s="1154">
        <f t="shared" si="33"/>
        <v>0</v>
      </c>
      <c r="EX36" s="1154">
        <f t="shared" si="34"/>
        <v>0</v>
      </c>
      <c r="EY36" s="1154">
        <f t="shared" si="35"/>
        <v>0</v>
      </c>
      <c r="EZ36" s="1154">
        <f t="shared" si="36"/>
        <v>0</v>
      </c>
      <c r="FA36" s="1174">
        <f t="shared" si="37"/>
        <v>0</v>
      </c>
      <c r="FC36" s="1154">
        <f t="shared" si="38"/>
        <v>0</v>
      </c>
      <c r="FD36" s="1154">
        <f t="shared" si="39"/>
        <v>0</v>
      </c>
      <c r="FE36" s="1154">
        <f t="shared" si="40"/>
        <v>0</v>
      </c>
      <c r="FF36" s="1154">
        <f t="shared" si="41"/>
        <v>0</v>
      </c>
      <c r="FG36" s="1154">
        <f t="shared" si="42"/>
        <v>0</v>
      </c>
      <c r="FH36" s="1154">
        <f t="shared" si="43"/>
        <v>0</v>
      </c>
      <c r="FI36" s="1154">
        <f t="shared" si="44"/>
        <v>0</v>
      </c>
      <c r="FJ36" s="1154">
        <f t="shared" si="45"/>
        <v>0</v>
      </c>
      <c r="FK36" s="1154">
        <f t="shared" si="46"/>
        <v>0</v>
      </c>
      <c r="FL36" s="1154">
        <f t="shared" si="47"/>
        <v>0</v>
      </c>
      <c r="FM36" s="1154">
        <f t="shared" si="48"/>
        <v>0</v>
      </c>
      <c r="FN36" s="1154">
        <f t="shared" si="49"/>
        <v>0</v>
      </c>
      <c r="FO36" s="1154">
        <f t="shared" si="50"/>
        <v>0</v>
      </c>
      <c r="FP36" s="1154">
        <f t="shared" si="51"/>
        <v>0</v>
      </c>
      <c r="FQ36" s="1154">
        <f t="shared" si="52"/>
        <v>0</v>
      </c>
      <c r="FR36" s="1154">
        <f t="shared" si="53"/>
        <v>0</v>
      </c>
      <c r="FS36" s="1154">
        <f t="shared" si="54"/>
        <v>0</v>
      </c>
      <c r="FT36" s="1154">
        <f t="shared" si="55"/>
        <v>0</v>
      </c>
      <c r="FU36" s="1154">
        <f t="shared" si="56"/>
        <v>0</v>
      </c>
      <c r="FV36" s="1154">
        <f t="shared" si="57"/>
        <v>0</v>
      </c>
      <c r="FW36" s="1154">
        <f t="shared" si="58"/>
        <v>0</v>
      </c>
      <c r="FX36" s="1154">
        <f t="shared" si="59"/>
        <v>0</v>
      </c>
      <c r="FY36" s="1154">
        <f t="shared" si="60"/>
        <v>0</v>
      </c>
      <c r="FZ36" s="1154">
        <f t="shared" si="61"/>
        <v>0</v>
      </c>
      <c r="GA36" s="1154">
        <f t="shared" si="62"/>
        <v>0</v>
      </c>
      <c r="GB36" s="1154">
        <f t="shared" si="63"/>
        <v>0</v>
      </c>
      <c r="GC36" s="1154">
        <f t="shared" si="64"/>
        <v>0</v>
      </c>
      <c r="GD36" s="1154">
        <f t="shared" si="65"/>
        <v>0</v>
      </c>
      <c r="GE36" s="1154">
        <f t="shared" si="66"/>
        <v>0</v>
      </c>
      <c r="GF36" s="1154">
        <f t="shared" si="67"/>
        <v>0</v>
      </c>
      <c r="GG36" s="1154">
        <f t="shared" si="68"/>
        <v>0</v>
      </c>
      <c r="GH36" s="1154">
        <f t="shared" si="69"/>
        <v>0</v>
      </c>
      <c r="GI36" s="1154">
        <f t="shared" si="70"/>
        <v>0</v>
      </c>
      <c r="GJ36" s="1154">
        <f t="shared" si="71"/>
        <v>0</v>
      </c>
      <c r="GK36" s="1154">
        <f t="shared" si="72"/>
        <v>0</v>
      </c>
      <c r="GL36" s="1174">
        <f t="shared" si="73"/>
        <v>0</v>
      </c>
    </row>
    <row r="37" spans="2:194">
      <c r="B37" s="1290">
        <f>Prop2021DUOSTariffs!B19</f>
        <v>0</v>
      </c>
      <c r="C37" s="1289" t="str">
        <f>Prop2021DUOSTariffs!C19</f>
        <v>West CAC22/11kVBus Anytime</v>
      </c>
      <c r="D37" s="1113" t="str">
        <f>Prop2021DUOSTariffs!D19</f>
        <v>West CAC22/11kVBus Anytime</v>
      </c>
      <c r="E37" s="1113" t="str">
        <f>Prop2021DUOSTariffs!E19</f>
        <v>CAC</v>
      </c>
      <c r="F37" s="1113" t="str">
        <f>Prop2021DUOSTariffs!F19</f>
        <v>CAC</v>
      </c>
      <c r="G37" s="1113" t="str">
        <f>Prop2021DUOSTariffs!G19</f>
        <v>West</v>
      </c>
      <c r="H37" s="1113" t="str">
        <f>IF(Prop2021DUOSTariffs!H19="","",Prop2021DUOSTariffs!H19)</f>
        <v>WC22B</v>
      </c>
      <c r="I37" s="1114" t="s">
        <v>798</v>
      </c>
      <c r="J37" s="1114" t="s">
        <v>934</v>
      </c>
      <c r="K37" s="1207"/>
      <c r="L37" s="1233">
        <v>109.52604000000001</v>
      </c>
      <c r="M37" s="1007"/>
      <c r="N37" s="1007"/>
      <c r="O37" s="1007"/>
      <c r="P37" s="1007"/>
      <c r="Q37" s="1007"/>
      <c r="R37" s="1007"/>
      <c r="S37" s="1233">
        <v>0.71820000000000006</v>
      </c>
      <c r="T37" s="1007"/>
      <c r="U37" s="1007"/>
      <c r="V37" s="1007"/>
      <c r="W37" s="1007"/>
      <c r="X37" s="1007"/>
      <c r="Y37" s="1007"/>
      <c r="Z37" s="1007"/>
      <c r="AA37" s="1007"/>
      <c r="AB37" s="1007"/>
      <c r="AC37" s="1007"/>
      <c r="AD37" s="1007"/>
      <c r="AE37" s="1007"/>
      <c r="AF37" s="1007"/>
      <c r="AG37" s="1007"/>
      <c r="AH37" s="1007"/>
      <c r="AI37" s="1224">
        <v>1.0079303034553634E-2</v>
      </c>
      <c r="AJ37" s="1005"/>
      <c r="AK37" s="1005"/>
      <c r="AL37" s="1005"/>
      <c r="AM37" s="1005"/>
      <c r="AN37" s="1005"/>
      <c r="AO37" s="1005"/>
      <c r="AP37" s="1005"/>
      <c r="AQ37" s="1005"/>
      <c r="AR37" s="1005"/>
      <c r="AS37" s="1005"/>
      <c r="AT37" s="1005"/>
      <c r="AU37" s="1012"/>
      <c r="AV37" s="1207"/>
      <c r="AW37" s="1482">
        <v>0</v>
      </c>
      <c r="AX37" s="1004"/>
      <c r="AY37" s="1004"/>
      <c r="AZ37" s="1004"/>
      <c r="BA37" s="1004"/>
      <c r="BB37" s="1004"/>
      <c r="BC37" s="1004"/>
      <c r="BD37" s="1482">
        <v>0</v>
      </c>
      <c r="BE37" s="1004"/>
      <c r="BF37" s="1004"/>
      <c r="BG37" s="1004"/>
      <c r="BH37" s="1004"/>
      <c r="BI37" s="1004"/>
      <c r="BJ37" s="1004"/>
      <c r="BK37" s="1004"/>
      <c r="BL37" s="1004"/>
      <c r="BM37" s="1004"/>
      <c r="BN37" s="1004"/>
      <c r="BO37" s="1004"/>
      <c r="BP37" s="1004"/>
      <c r="BQ37" s="1004"/>
      <c r="BR37" s="1004"/>
      <c r="BS37" s="1004"/>
      <c r="BT37" s="1482">
        <v>0</v>
      </c>
      <c r="BU37" s="1004"/>
      <c r="BV37" s="1004"/>
      <c r="BW37" s="1004"/>
      <c r="BX37" s="1004"/>
      <c r="BY37" s="1004"/>
      <c r="BZ37" s="1004"/>
      <c r="CA37" s="1004"/>
      <c r="CB37" s="1004"/>
      <c r="CC37" s="1004"/>
      <c r="CD37" s="1004"/>
      <c r="CE37" s="1004"/>
      <c r="CF37" s="1004"/>
      <c r="CG37" s="1209"/>
      <c r="CH37" s="1236">
        <v>0</v>
      </c>
      <c r="CI37" s="1007"/>
      <c r="CJ37" s="1007"/>
      <c r="CK37" s="1007"/>
      <c r="CL37" s="1007"/>
      <c r="CM37" s="1007"/>
      <c r="CN37" s="1007"/>
      <c r="CO37" s="1236">
        <v>0</v>
      </c>
      <c r="CP37" s="1007"/>
      <c r="CQ37" s="1007"/>
      <c r="CR37" s="1007"/>
      <c r="CS37" s="1007"/>
      <c r="CT37" s="1007"/>
      <c r="CU37" s="1007"/>
      <c r="CV37" s="1007"/>
      <c r="CW37" s="1007"/>
      <c r="CX37" s="1007"/>
      <c r="CY37" s="1007"/>
      <c r="CZ37" s="1007"/>
      <c r="DA37" s="1007"/>
      <c r="DB37" s="1007"/>
      <c r="DC37" s="1007"/>
      <c r="DD37" s="1007"/>
      <c r="DE37" s="1236">
        <v>0</v>
      </c>
      <c r="DF37" s="1007"/>
      <c r="DG37" s="1007"/>
      <c r="DH37" s="1007"/>
      <c r="DI37" s="1006"/>
      <c r="DJ37" s="1006"/>
      <c r="DK37" s="1007"/>
      <c r="DL37" s="1007"/>
      <c r="DM37" s="1007"/>
      <c r="DN37" s="1007"/>
      <c r="DO37" s="1112"/>
      <c r="DP37" s="1112"/>
      <c r="DQ37" s="1207"/>
      <c r="DR37" s="1154">
        <f t="shared" si="2"/>
        <v>0</v>
      </c>
      <c r="DS37" s="1154">
        <f t="shared" si="3"/>
        <v>0</v>
      </c>
      <c r="DT37" s="1154">
        <f t="shared" si="4"/>
        <v>0</v>
      </c>
      <c r="DU37" s="1154">
        <f t="shared" si="5"/>
        <v>0</v>
      </c>
      <c r="DV37" s="1154">
        <f t="shared" si="6"/>
        <v>0</v>
      </c>
      <c r="DW37" s="1154">
        <f t="shared" si="7"/>
        <v>0</v>
      </c>
      <c r="DX37" s="1154">
        <f t="shared" si="8"/>
        <v>0</v>
      </c>
      <c r="DY37" s="1154">
        <f t="shared" si="9"/>
        <v>0</v>
      </c>
      <c r="DZ37" s="1154">
        <f t="shared" si="10"/>
        <v>0</v>
      </c>
      <c r="EA37" s="1154">
        <f t="shared" si="11"/>
        <v>0</v>
      </c>
      <c r="EB37" s="1154">
        <f t="shared" si="12"/>
        <v>0</v>
      </c>
      <c r="EC37" s="1154">
        <f t="shared" si="13"/>
        <v>0</v>
      </c>
      <c r="ED37" s="1154">
        <f t="shared" si="14"/>
        <v>0</v>
      </c>
      <c r="EE37" s="1154">
        <f t="shared" si="15"/>
        <v>0</v>
      </c>
      <c r="EF37" s="1154">
        <f t="shared" si="16"/>
        <v>0</v>
      </c>
      <c r="EG37" s="1154">
        <f t="shared" si="17"/>
        <v>0</v>
      </c>
      <c r="EH37" s="1154">
        <f t="shared" si="18"/>
        <v>0</v>
      </c>
      <c r="EI37" s="1154">
        <f t="shared" si="19"/>
        <v>0</v>
      </c>
      <c r="EJ37" s="1154">
        <f t="shared" si="20"/>
        <v>0</v>
      </c>
      <c r="EK37" s="1154">
        <f t="shared" si="21"/>
        <v>0</v>
      </c>
      <c r="EL37" s="1154">
        <f t="shared" si="22"/>
        <v>0</v>
      </c>
      <c r="EM37" s="1154">
        <f t="shared" si="23"/>
        <v>0</v>
      </c>
      <c r="EN37" s="1154">
        <f t="shared" si="24"/>
        <v>0</v>
      </c>
      <c r="EO37" s="1154">
        <f t="shared" si="25"/>
        <v>0</v>
      </c>
      <c r="EP37" s="1154">
        <f t="shared" si="26"/>
        <v>0</v>
      </c>
      <c r="EQ37" s="1154">
        <f t="shared" si="27"/>
        <v>0</v>
      </c>
      <c r="ER37" s="1154">
        <f t="shared" si="28"/>
        <v>0</v>
      </c>
      <c r="ES37" s="1154">
        <f t="shared" si="29"/>
        <v>0</v>
      </c>
      <c r="ET37" s="1154">
        <f t="shared" si="30"/>
        <v>0</v>
      </c>
      <c r="EU37" s="1154">
        <f t="shared" si="31"/>
        <v>0</v>
      </c>
      <c r="EV37" s="1154">
        <f t="shared" si="32"/>
        <v>0</v>
      </c>
      <c r="EW37" s="1154">
        <f t="shared" si="33"/>
        <v>0</v>
      </c>
      <c r="EX37" s="1154">
        <f t="shared" si="34"/>
        <v>0</v>
      </c>
      <c r="EY37" s="1154">
        <f t="shared" si="35"/>
        <v>0</v>
      </c>
      <c r="EZ37" s="1154">
        <f t="shared" si="36"/>
        <v>0</v>
      </c>
      <c r="FA37" s="1174">
        <f t="shared" si="37"/>
        <v>0</v>
      </c>
      <c r="FC37" s="1154">
        <f t="shared" si="38"/>
        <v>0</v>
      </c>
      <c r="FD37" s="1154">
        <f t="shared" si="39"/>
        <v>0</v>
      </c>
      <c r="FE37" s="1154">
        <f t="shared" si="40"/>
        <v>0</v>
      </c>
      <c r="FF37" s="1154">
        <f t="shared" si="41"/>
        <v>0</v>
      </c>
      <c r="FG37" s="1154">
        <f t="shared" si="42"/>
        <v>0</v>
      </c>
      <c r="FH37" s="1154">
        <f t="shared" si="43"/>
        <v>0</v>
      </c>
      <c r="FI37" s="1154">
        <f t="shared" si="44"/>
        <v>0</v>
      </c>
      <c r="FJ37" s="1154">
        <f t="shared" si="45"/>
        <v>0</v>
      </c>
      <c r="FK37" s="1154">
        <f t="shared" si="46"/>
        <v>0</v>
      </c>
      <c r="FL37" s="1154">
        <f t="shared" si="47"/>
        <v>0</v>
      </c>
      <c r="FM37" s="1154">
        <f t="shared" si="48"/>
        <v>0</v>
      </c>
      <c r="FN37" s="1154">
        <f t="shared" si="49"/>
        <v>0</v>
      </c>
      <c r="FO37" s="1154">
        <f t="shared" si="50"/>
        <v>0</v>
      </c>
      <c r="FP37" s="1154">
        <f t="shared" si="51"/>
        <v>0</v>
      </c>
      <c r="FQ37" s="1154">
        <f t="shared" si="52"/>
        <v>0</v>
      </c>
      <c r="FR37" s="1154">
        <f t="shared" si="53"/>
        <v>0</v>
      </c>
      <c r="FS37" s="1154">
        <f t="shared" si="54"/>
        <v>0</v>
      </c>
      <c r="FT37" s="1154">
        <f t="shared" si="55"/>
        <v>0</v>
      </c>
      <c r="FU37" s="1154">
        <f t="shared" si="56"/>
        <v>0</v>
      </c>
      <c r="FV37" s="1154">
        <f t="shared" si="57"/>
        <v>0</v>
      </c>
      <c r="FW37" s="1154">
        <f t="shared" si="58"/>
        <v>0</v>
      </c>
      <c r="FX37" s="1154">
        <f t="shared" si="59"/>
        <v>0</v>
      </c>
      <c r="FY37" s="1154">
        <f t="shared" si="60"/>
        <v>0</v>
      </c>
      <c r="FZ37" s="1154">
        <f t="shared" si="61"/>
        <v>0</v>
      </c>
      <c r="GA37" s="1154">
        <f t="shared" si="62"/>
        <v>0</v>
      </c>
      <c r="GB37" s="1154">
        <f t="shared" si="63"/>
        <v>0</v>
      </c>
      <c r="GC37" s="1154">
        <f t="shared" si="64"/>
        <v>0</v>
      </c>
      <c r="GD37" s="1154">
        <f t="shared" si="65"/>
        <v>0</v>
      </c>
      <c r="GE37" s="1154">
        <f t="shared" si="66"/>
        <v>0</v>
      </c>
      <c r="GF37" s="1154">
        <f t="shared" si="67"/>
        <v>0</v>
      </c>
      <c r="GG37" s="1154">
        <f t="shared" si="68"/>
        <v>0</v>
      </c>
      <c r="GH37" s="1154">
        <f t="shared" si="69"/>
        <v>0</v>
      </c>
      <c r="GI37" s="1154">
        <f t="shared" si="70"/>
        <v>0</v>
      </c>
      <c r="GJ37" s="1154">
        <f t="shared" si="71"/>
        <v>0</v>
      </c>
      <c r="GK37" s="1154">
        <f t="shared" si="72"/>
        <v>0</v>
      </c>
      <c r="GL37" s="1174">
        <f t="shared" si="73"/>
        <v>0</v>
      </c>
    </row>
    <row r="38" spans="2:194">
      <c r="B38" s="1290">
        <f>B37</f>
        <v>0</v>
      </c>
      <c r="C38" s="1289" t="str">
        <f>C37</f>
        <v>West CAC22/11kVBus Anytime</v>
      </c>
      <c r="D38" s="1113" t="str">
        <f t="shared" ref="D38:D39" si="115">D37</f>
        <v>West CAC22/11kVBus Anytime</v>
      </c>
      <c r="E38" s="1113" t="str">
        <f t="shared" ref="E38:E39" si="116">E37</f>
        <v>CAC</v>
      </c>
      <c r="F38" s="1113" t="str">
        <f t="shared" ref="F38:F39" si="117">F37</f>
        <v>CAC</v>
      </c>
      <c r="G38" s="1113" t="str">
        <f t="shared" ref="G38:G39" si="118">G37</f>
        <v>West</v>
      </c>
      <c r="H38" s="1113" t="str">
        <f t="shared" ref="H38:H39" si="119">H37</f>
        <v>WC22B</v>
      </c>
      <c r="I38" s="1114" t="s">
        <v>752</v>
      </c>
      <c r="J38" s="1114" t="s">
        <v>934</v>
      </c>
      <c r="K38" s="1270"/>
      <c r="L38" s="1233">
        <v>75.421999999999997</v>
      </c>
      <c r="M38" s="1007"/>
      <c r="N38" s="1007"/>
      <c r="O38" s="1007"/>
      <c r="P38" s="1007"/>
      <c r="Q38" s="1007"/>
      <c r="R38" s="1007"/>
      <c r="S38" s="1233">
        <v>1.474</v>
      </c>
      <c r="T38" s="1007"/>
      <c r="U38" s="1007"/>
      <c r="V38" s="1007"/>
      <c r="W38" s="1007"/>
      <c r="X38" s="1007"/>
      <c r="Y38" s="1007"/>
      <c r="Z38" s="1007"/>
      <c r="AA38" s="1007"/>
      <c r="AB38" s="1007"/>
      <c r="AC38" s="1007"/>
      <c r="AD38" s="1007"/>
      <c r="AE38" s="1007"/>
      <c r="AF38" s="1007"/>
      <c r="AG38" s="1007"/>
      <c r="AH38" s="1007"/>
      <c r="AI38" s="1224">
        <v>1.1937631525536712E-2</v>
      </c>
      <c r="AJ38" s="1005"/>
      <c r="AK38" s="1005"/>
      <c r="AL38" s="1005"/>
      <c r="AM38" s="1005"/>
      <c r="AN38" s="1005"/>
      <c r="AO38" s="1005"/>
      <c r="AP38" s="1005"/>
      <c r="AQ38" s="1005"/>
      <c r="AR38" s="1005"/>
      <c r="AS38" s="1005"/>
      <c r="AT38" s="1005"/>
      <c r="AU38" s="1012"/>
      <c r="AV38" s="1270"/>
      <c r="AW38" s="1482">
        <v>0</v>
      </c>
      <c r="AX38" s="1004"/>
      <c r="AY38" s="1004"/>
      <c r="AZ38" s="1004"/>
      <c r="BA38" s="1004"/>
      <c r="BB38" s="1004"/>
      <c r="BC38" s="1004"/>
      <c r="BD38" s="1482">
        <v>0</v>
      </c>
      <c r="BE38" s="1004"/>
      <c r="BF38" s="1004"/>
      <c r="BG38" s="1004"/>
      <c r="BH38" s="1004"/>
      <c r="BI38" s="1004"/>
      <c r="BJ38" s="1004"/>
      <c r="BK38" s="1004"/>
      <c r="BL38" s="1004"/>
      <c r="BM38" s="1004"/>
      <c r="BN38" s="1004"/>
      <c r="BO38" s="1004"/>
      <c r="BP38" s="1004"/>
      <c r="BQ38" s="1004"/>
      <c r="BR38" s="1004"/>
      <c r="BS38" s="1004"/>
      <c r="BT38" s="1482">
        <v>0</v>
      </c>
      <c r="BU38" s="1004"/>
      <c r="BV38" s="1004"/>
      <c r="BW38" s="1004"/>
      <c r="BX38" s="1004"/>
      <c r="BY38" s="1004"/>
      <c r="BZ38" s="1004"/>
      <c r="CA38" s="1004"/>
      <c r="CB38" s="1004"/>
      <c r="CC38" s="1004"/>
      <c r="CD38" s="1004"/>
      <c r="CE38" s="1004"/>
      <c r="CF38" s="1004"/>
      <c r="CG38" s="1209"/>
      <c r="CH38" s="1236">
        <v>0</v>
      </c>
      <c r="CI38" s="1007"/>
      <c r="CJ38" s="1007"/>
      <c r="CK38" s="1007"/>
      <c r="CL38" s="1007"/>
      <c r="CM38" s="1007"/>
      <c r="CN38" s="1007"/>
      <c r="CO38" s="1236">
        <v>0</v>
      </c>
      <c r="CP38" s="1007"/>
      <c r="CQ38" s="1007"/>
      <c r="CR38" s="1007"/>
      <c r="CS38" s="1007"/>
      <c r="CT38" s="1007"/>
      <c r="CU38" s="1007"/>
      <c r="CV38" s="1007"/>
      <c r="CW38" s="1007"/>
      <c r="CX38" s="1007"/>
      <c r="CY38" s="1007"/>
      <c r="CZ38" s="1007"/>
      <c r="DA38" s="1007"/>
      <c r="DB38" s="1007"/>
      <c r="DC38" s="1007"/>
      <c r="DD38" s="1007"/>
      <c r="DE38" s="1236">
        <v>0</v>
      </c>
      <c r="DF38" s="1007"/>
      <c r="DG38" s="1007"/>
      <c r="DH38" s="1007"/>
      <c r="DI38" s="1006"/>
      <c r="DJ38" s="1006"/>
      <c r="DK38" s="1007"/>
      <c r="DL38" s="1007"/>
      <c r="DM38" s="1007"/>
      <c r="DN38" s="1007"/>
      <c r="DO38" s="1112"/>
      <c r="DP38" s="1112"/>
      <c r="DQ38" s="1270"/>
      <c r="DR38" s="1154">
        <f t="shared" si="2"/>
        <v>0</v>
      </c>
      <c r="DS38" s="1154">
        <f t="shared" si="3"/>
        <v>0</v>
      </c>
      <c r="DT38" s="1154">
        <f t="shared" si="4"/>
        <v>0</v>
      </c>
      <c r="DU38" s="1154">
        <f t="shared" si="5"/>
        <v>0</v>
      </c>
      <c r="DV38" s="1154">
        <f t="shared" si="6"/>
        <v>0</v>
      </c>
      <c r="DW38" s="1154">
        <f t="shared" si="7"/>
        <v>0</v>
      </c>
      <c r="DX38" s="1154">
        <f t="shared" si="8"/>
        <v>0</v>
      </c>
      <c r="DY38" s="1154">
        <f t="shared" si="9"/>
        <v>0</v>
      </c>
      <c r="DZ38" s="1154">
        <f t="shared" si="10"/>
        <v>0</v>
      </c>
      <c r="EA38" s="1154">
        <f t="shared" si="11"/>
        <v>0</v>
      </c>
      <c r="EB38" s="1154">
        <f t="shared" si="12"/>
        <v>0</v>
      </c>
      <c r="EC38" s="1154">
        <f t="shared" si="13"/>
        <v>0</v>
      </c>
      <c r="ED38" s="1154">
        <f t="shared" si="14"/>
        <v>0</v>
      </c>
      <c r="EE38" s="1154">
        <f t="shared" si="15"/>
        <v>0</v>
      </c>
      <c r="EF38" s="1154">
        <f t="shared" si="16"/>
        <v>0</v>
      </c>
      <c r="EG38" s="1154">
        <f t="shared" si="17"/>
        <v>0</v>
      </c>
      <c r="EH38" s="1154">
        <f t="shared" si="18"/>
        <v>0</v>
      </c>
      <c r="EI38" s="1154">
        <f t="shared" si="19"/>
        <v>0</v>
      </c>
      <c r="EJ38" s="1154">
        <f t="shared" si="20"/>
        <v>0</v>
      </c>
      <c r="EK38" s="1154">
        <f t="shared" si="21"/>
        <v>0</v>
      </c>
      <c r="EL38" s="1154">
        <f t="shared" si="22"/>
        <v>0</v>
      </c>
      <c r="EM38" s="1154">
        <f t="shared" si="23"/>
        <v>0</v>
      </c>
      <c r="EN38" s="1154">
        <f t="shared" si="24"/>
        <v>0</v>
      </c>
      <c r="EO38" s="1154">
        <f t="shared" si="25"/>
        <v>0</v>
      </c>
      <c r="EP38" s="1154">
        <f t="shared" si="26"/>
        <v>0</v>
      </c>
      <c r="EQ38" s="1154">
        <f t="shared" si="27"/>
        <v>0</v>
      </c>
      <c r="ER38" s="1154">
        <f t="shared" si="28"/>
        <v>0</v>
      </c>
      <c r="ES38" s="1154">
        <f t="shared" si="29"/>
        <v>0</v>
      </c>
      <c r="ET38" s="1154">
        <f t="shared" si="30"/>
        <v>0</v>
      </c>
      <c r="EU38" s="1154">
        <f t="shared" si="31"/>
        <v>0</v>
      </c>
      <c r="EV38" s="1154">
        <f t="shared" si="32"/>
        <v>0</v>
      </c>
      <c r="EW38" s="1154">
        <f t="shared" si="33"/>
        <v>0</v>
      </c>
      <c r="EX38" s="1154">
        <f t="shared" si="34"/>
        <v>0</v>
      </c>
      <c r="EY38" s="1154">
        <f t="shared" si="35"/>
        <v>0</v>
      </c>
      <c r="EZ38" s="1154">
        <f t="shared" si="36"/>
        <v>0</v>
      </c>
      <c r="FA38" s="1174">
        <f t="shared" si="37"/>
        <v>0</v>
      </c>
      <c r="FC38" s="1154">
        <f t="shared" si="38"/>
        <v>0</v>
      </c>
      <c r="FD38" s="1154">
        <f t="shared" si="39"/>
        <v>0</v>
      </c>
      <c r="FE38" s="1154">
        <f t="shared" si="40"/>
        <v>0</v>
      </c>
      <c r="FF38" s="1154">
        <f t="shared" si="41"/>
        <v>0</v>
      </c>
      <c r="FG38" s="1154">
        <f t="shared" si="42"/>
        <v>0</v>
      </c>
      <c r="FH38" s="1154">
        <f t="shared" si="43"/>
        <v>0</v>
      </c>
      <c r="FI38" s="1154">
        <f t="shared" si="44"/>
        <v>0</v>
      </c>
      <c r="FJ38" s="1154">
        <f t="shared" si="45"/>
        <v>0</v>
      </c>
      <c r="FK38" s="1154">
        <f t="shared" si="46"/>
        <v>0</v>
      </c>
      <c r="FL38" s="1154">
        <f t="shared" si="47"/>
        <v>0</v>
      </c>
      <c r="FM38" s="1154">
        <f t="shared" si="48"/>
        <v>0</v>
      </c>
      <c r="FN38" s="1154">
        <f t="shared" si="49"/>
        <v>0</v>
      </c>
      <c r="FO38" s="1154">
        <f t="shared" si="50"/>
        <v>0</v>
      </c>
      <c r="FP38" s="1154">
        <f t="shared" si="51"/>
        <v>0</v>
      </c>
      <c r="FQ38" s="1154">
        <f t="shared" si="52"/>
        <v>0</v>
      </c>
      <c r="FR38" s="1154">
        <f t="shared" si="53"/>
        <v>0</v>
      </c>
      <c r="FS38" s="1154">
        <f t="shared" si="54"/>
        <v>0</v>
      </c>
      <c r="FT38" s="1154">
        <f t="shared" si="55"/>
        <v>0</v>
      </c>
      <c r="FU38" s="1154">
        <f t="shared" si="56"/>
        <v>0</v>
      </c>
      <c r="FV38" s="1154">
        <f t="shared" si="57"/>
        <v>0</v>
      </c>
      <c r="FW38" s="1154">
        <f t="shared" si="58"/>
        <v>0</v>
      </c>
      <c r="FX38" s="1154">
        <f t="shared" si="59"/>
        <v>0</v>
      </c>
      <c r="FY38" s="1154">
        <f t="shared" si="60"/>
        <v>0</v>
      </c>
      <c r="FZ38" s="1154">
        <f t="shared" si="61"/>
        <v>0</v>
      </c>
      <c r="GA38" s="1154">
        <f t="shared" si="62"/>
        <v>0</v>
      </c>
      <c r="GB38" s="1154">
        <f t="shared" si="63"/>
        <v>0</v>
      </c>
      <c r="GC38" s="1154">
        <f t="shared" si="64"/>
        <v>0</v>
      </c>
      <c r="GD38" s="1154">
        <f t="shared" si="65"/>
        <v>0</v>
      </c>
      <c r="GE38" s="1154">
        <f t="shared" si="66"/>
        <v>0</v>
      </c>
      <c r="GF38" s="1154">
        <f t="shared" si="67"/>
        <v>0</v>
      </c>
      <c r="GG38" s="1154">
        <f t="shared" si="68"/>
        <v>0</v>
      </c>
      <c r="GH38" s="1154">
        <f t="shared" si="69"/>
        <v>0</v>
      </c>
      <c r="GI38" s="1154">
        <f t="shared" si="70"/>
        <v>0</v>
      </c>
      <c r="GJ38" s="1154">
        <f t="shared" si="71"/>
        <v>0</v>
      </c>
      <c r="GK38" s="1154">
        <f t="shared" si="72"/>
        <v>0</v>
      </c>
      <c r="GL38" s="1174">
        <f t="shared" si="73"/>
        <v>0</v>
      </c>
    </row>
    <row r="39" spans="2:194">
      <c r="B39" s="1290">
        <f>B38</f>
        <v>0</v>
      </c>
      <c r="C39" s="1289" t="str">
        <f>C38</f>
        <v>West CAC22/11kVBus Anytime</v>
      </c>
      <c r="D39" s="1113" t="str">
        <f t="shared" si="115"/>
        <v>West CAC22/11kVBus Anytime</v>
      </c>
      <c r="E39" s="1113" t="str">
        <f t="shared" si="116"/>
        <v>CAC</v>
      </c>
      <c r="F39" s="1113" t="str">
        <f t="shared" si="117"/>
        <v>CAC</v>
      </c>
      <c r="G39" s="1113" t="str">
        <f t="shared" si="118"/>
        <v>West</v>
      </c>
      <c r="H39" s="1113" t="str">
        <f t="shared" si="119"/>
        <v>WC22B</v>
      </c>
      <c r="I39" s="1114" t="s">
        <v>759</v>
      </c>
      <c r="J39" s="1114" t="s">
        <v>934</v>
      </c>
      <c r="K39" s="1270"/>
      <c r="L39" s="1233">
        <v>70.440599999999989</v>
      </c>
      <c r="M39" s="1007"/>
      <c r="N39" s="1007"/>
      <c r="O39" s="1007"/>
      <c r="P39" s="1007"/>
      <c r="Q39" s="1007"/>
      <c r="R39" s="1007"/>
      <c r="S39" s="1233">
        <v>2.7227000000000001</v>
      </c>
      <c r="T39" s="1007"/>
      <c r="U39" s="1007"/>
      <c r="V39" s="1007"/>
      <c r="W39" s="1007"/>
      <c r="X39" s="1007"/>
      <c r="Y39" s="1007"/>
      <c r="Z39" s="1007"/>
      <c r="AA39" s="1007"/>
      <c r="AB39" s="1007"/>
      <c r="AC39" s="1007"/>
      <c r="AD39" s="1007"/>
      <c r="AE39" s="1007"/>
      <c r="AF39" s="1007"/>
      <c r="AG39" s="1007"/>
      <c r="AH39" s="1007"/>
      <c r="AI39" s="1224">
        <v>1.3562911090201862E-2</v>
      </c>
      <c r="AJ39" s="1005"/>
      <c r="AK39" s="1005"/>
      <c r="AL39" s="1005"/>
      <c r="AM39" s="1005"/>
      <c r="AN39" s="1005"/>
      <c r="AO39" s="1005"/>
      <c r="AP39" s="1005"/>
      <c r="AQ39" s="1005"/>
      <c r="AR39" s="1005"/>
      <c r="AS39" s="1005"/>
      <c r="AT39" s="1005"/>
      <c r="AU39" s="1012"/>
      <c r="AV39" s="1270"/>
      <c r="AW39" s="1482">
        <v>0</v>
      </c>
      <c r="AX39" s="1004"/>
      <c r="AY39" s="1004"/>
      <c r="AZ39" s="1004"/>
      <c r="BA39" s="1004"/>
      <c r="BB39" s="1004"/>
      <c r="BC39" s="1004"/>
      <c r="BD39" s="1482">
        <v>0</v>
      </c>
      <c r="BE39" s="1004"/>
      <c r="BF39" s="1004"/>
      <c r="BG39" s="1004"/>
      <c r="BH39" s="1004"/>
      <c r="BI39" s="1004"/>
      <c r="BJ39" s="1004"/>
      <c r="BK39" s="1004"/>
      <c r="BL39" s="1004"/>
      <c r="BM39" s="1004"/>
      <c r="BN39" s="1004"/>
      <c r="BO39" s="1004"/>
      <c r="BP39" s="1004"/>
      <c r="BQ39" s="1004"/>
      <c r="BR39" s="1004"/>
      <c r="BS39" s="1004"/>
      <c r="BT39" s="1482">
        <v>0</v>
      </c>
      <c r="BU39" s="1004"/>
      <c r="BV39" s="1004"/>
      <c r="BW39" s="1004"/>
      <c r="BX39" s="1004"/>
      <c r="BY39" s="1004"/>
      <c r="BZ39" s="1004"/>
      <c r="CA39" s="1004"/>
      <c r="CB39" s="1004"/>
      <c r="CC39" s="1004"/>
      <c r="CD39" s="1004"/>
      <c r="CE39" s="1004"/>
      <c r="CF39" s="1004"/>
      <c r="CG39" s="1209"/>
      <c r="CH39" s="1236">
        <v>0</v>
      </c>
      <c r="CI39" s="1007"/>
      <c r="CJ39" s="1007"/>
      <c r="CK39" s="1007"/>
      <c r="CL39" s="1007"/>
      <c r="CM39" s="1007"/>
      <c r="CN39" s="1007"/>
      <c r="CO39" s="1236">
        <v>0</v>
      </c>
      <c r="CP39" s="1007"/>
      <c r="CQ39" s="1007"/>
      <c r="CR39" s="1007"/>
      <c r="CS39" s="1007"/>
      <c r="CT39" s="1007"/>
      <c r="CU39" s="1007"/>
      <c r="CV39" s="1007"/>
      <c r="CW39" s="1007"/>
      <c r="CX39" s="1007"/>
      <c r="CY39" s="1007"/>
      <c r="CZ39" s="1007"/>
      <c r="DA39" s="1007"/>
      <c r="DB39" s="1007"/>
      <c r="DC39" s="1007"/>
      <c r="DD39" s="1007"/>
      <c r="DE39" s="1236">
        <v>0</v>
      </c>
      <c r="DF39" s="1007"/>
      <c r="DG39" s="1007"/>
      <c r="DH39" s="1007"/>
      <c r="DI39" s="1006"/>
      <c r="DJ39" s="1006"/>
      <c r="DK39" s="1007"/>
      <c r="DL39" s="1007"/>
      <c r="DM39" s="1007"/>
      <c r="DN39" s="1007"/>
      <c r="DO39" s="1112"/>
      <c r="DP39" s="1112"/>
      <c r="DQ39" s="1270"/>
      <c r="DR39" s="1154">
        <f t="shared" si="2"/>
        <v>0</v>
      </c>
      <c r="DS39" s="1154">
        <f t="shared" si="3"/>
        <v>0</v>
      </c>
      <c r="DT39" s="1154">
        <f t="shared" si="4"/>
        <v>0</v>
      </c>
      <c r="DU39" s="1154">
        <f t="shared" si="5"/>
        <v>0</v>
      </c>
      <c r="DV39" s="1154">
        <f t="shared" si="6"/>
        <v>0</v>
      </c>
      <c r="DW39" s="1154">
        <f t="shared" si="7"/>
        <v>0</v>
      </c>
      <c r="DX39" s="1154">
        <f t="shared" si="8"/>
        <v>0</v>
      </c>
      <c r="DY39" s="1154">
        <f t="shared" si="9"/>
        <v>0</v>
      </c>
      <c r="DZ39" s="1154">
        <f t="shared" si="10"/>
        <v>0</v>
      </c>
      <c r="EA39" s="1154">
        <f t="shared" si="11"/>
        <v>0</v>
      </c>
      <c r="EB39" s="1154">
        <f t="shared" si="12"/>
        <v>0</v>
      </c>
      <c r="EC39" s="1154">
        <f t="shared" si="13"/>
        <v>0</v>
      </c>
      <c r="ED39" s="1154">
        <f t="shared" si="14"/>
        <v>0</v>
      </c>
      <c r="EE39" s="1154">
        <f t="shared" si="15"/>
        <v>0</v>
      </c>
      <c r="EF39" s="1154">
        <f t="shared" si="16"/>
        <v>0</v>
      </c>
      <c r="EG39" s="1154">
        <f t="shared" si="17"/>
        <v>0</v>
      </c>
      <c r="EH39" s="1154">
        <f t="shared" si="18"/>
        <v>0</v>
      </c>
      <c r="EI39" s="1154">
        <f t="shared" si="19"/>
        <v>0</v>
      </c>
      <c r="EJ39" s="1154">
        <f t="shared" si="20"/>
        <v>0</v>
      </c>
      <c r="EK39" s="1154">
        <f t="shared" si="21"/>
        <v>0</v>
      </c>
      <c r="EL39" s="1154">
        <f t="shared" si="22"/>
        <v>0</v>
      </c>
      <c r="EM39" s="1154">
        <f t="shared" si="23"/>
        <v>0</v>
      </c>
      <c r="EN39" s="1154">
        <f t="shared" si="24"/>
        <v>0</v>
      </c>
      <c r="EO39" s="1154">
        <f t="shared" si="25"/>
        <v>0</v>
      </c>
      <c r="EP39" s="1154">
        <f t="shared" si="26"/>
        <v>0</v>
      </c>
      <c r="EQ39" s="1154">
        <f t="shared" si="27"/>
        <v>0</v>
      </c>
      <c r="ER39" s="1154">
        <f t="shared" si="28"/>
        <v>0</v>
      </c>
      <c r="ES39" s="1154">
        <f t="shared" si="29"/>
        <v>0</v>
      </c>
      <c r="ET39" s="1154">
        <f t="shared" si="30"/>
        <v>0</v>
      </c>
      <c r="EU39" s="1154">
        <f t="shared" si="31"/>
        <v>0</v>
      </c>
      <c r="EV39" s="1154">
        <f t="shared" si="32"/>
        <v>0</v>
      </c>
      <c r="EW39" s="1154">
        <f t="shared" si="33"/>
        <v>0</v>
      </c>
      <c r="EX39" s="1154">
        <f t="shared" si="34"/>
        <v>0</v>
      </c>
      <c r="EY39" s="1154">
        <f t="shared" si="35"/>
        <v>0</v>
      </c>
      <c r="EZ39" s="1154">
        <f t="shared" si="36"/>
        <v>0</v>
      </c>
      <c r="FA39" s="1174">
        <f t="shared" si="37"/>
        <v>0</v>
      </c>
      <c r="FC39" s="1154">
        <f t="shared" si="38"/>
        <v>0</v>
      </c>
      <c r="FD39" s="1154">
        <f t="shared" si="39"/>
        <v>0</v>
      </c>
      <c r="FE39" s="1154">
        <f t="shared" si="40"/>
        <v>0</v>
      </c>
      <c r="FF39" s="1154">
        <f t="shared" si="41"/>
        <v>0</v>
      </c>
      <c r="FG39" s="1154">
        <f t="shared" si="42"/>
        <v>0</v>
      </c>
      <c r="FH39" s="1154">
        <f t="shared" si="43"/>
        <v>0</v>
      </c>
      <c r="FI39" s="1154">
        <f t="shared" si="44"/>
        <v>0</v>
      </c>
      <c r="FJ39" s="1154">
        <f t="shared" si="45"/>
        <v>0</v>
      </c>
      <c r="FK39" s="1154">
        <f t="shared" si="46"/>
        <v>0</v>
      </c>
      <c r="FL39" s="1154">
        <f t="shared" si="47"/>
        <v>0</v>
      </c>
      <c r="FM39" s="1154">
        <f t="shared" si="48"/>
        <v>0</v>
      </c>
      <c r="FN39" s="1154">
        <f t="shared" si="49"/>
        <v>0</v>
      </c>
      <c r="FO39" s="1154">
        <f t="shared" si="50"/>
        <v>0</v>
      </c>
      <c r="FP39" s="1154">
        <f t="shared" si="51"/>
        <v>0</v>
      </c>
      <c r="FQ39" s="1154">
        <f t="shared" si="52"/>
        <v>0</v>
      </c>
      <c r="FR39" s="1154">
        <f t="shared" si="53"/>
        <v>0</v>
      </c>
      <c r="FS39" s="1154">
        <f t="shared" si="54"/>
        <v>0</v>
      </c>
      <c r="FT39" s="1154">
        <f t="shared" si="55"/>
        <v>0</v>
      </c>
      <c r="FU39" s="1154">
        <f t="shared" si="56"/>
        <v>0</v>
      </c>
      <c r="FV39" s="1154">
        <f t="shared" si="57"/>
        <v>0</v>
      </c>
      <c r="FW39" s="1154">
        <f t="shared" si="58"/>
        <v>0</v>
      </c>
      <c r="FX39" s="1154">
        <f t="shared" si="59"/>
        <v>0</v>
      </c>
      <c r="FY39" s="1154">
        <f t="shared" si="60"/>
        <v>0</v>
      </c>
      <c r="FZ39" s="1154">
        <f t="shared" si="61"/>
        <v>0</v>
      </c>
      <c r="GA39" s="1154">
        <f t="shared" si="62"/>
        <v>0</v>
      </c>
      <c r="GB39" s="1154">
        <f t="shared" si="63"/>
        <v>0</v>
      </c>
      <c r="GC39" s="1154">
        <f t="shared" si="64"/>
        <v>0</v>
      </c>
      <c r="GD39" s="1154">
        <f t="shared" si="65"/>
        <v>0</v>
      </c>
      <c r="GE39" s="1154">
        <f t="shared" si="66"/>
        <v>0</v>
      </c>
      <c r="GF39" s="1154">
        <f t="shared" si="67"/>
        <v>0</v>
      </c>
      <c r="GG39" s="1154">
        <f t="shared" si="68"/>
        <v>0</v>
      </c>
      <c r="GH39" s="1154">
        <f t="shared" si="69"/>
        <v>0</v>
      </c>
      <c r="GI39" s="1154">
        <f t="shared" si="70"/>
        <v>0</v>
      </c>
      <c r="GJ39" s="1154">
        <f t="shared" si="71"/>
        <v>0</v>
      </c>
      <c r="GK39" s="1154">
        <f t="shared" si="72"/>
        <v>0</v>
      </c>
      <c r="GL39" s="1174">
        <f t="shared" si="73"/>
        <v>0</v>
      </c>
    </row>
    <row r="40" spans="2:194">
      <c r="B40" s="1290">
        <f>Prop2021DUOSTariffs!B20</f>
        <v>0</v>
      </c>
      <c r="C40" s="1289" t="str">
        <f>Prop2021DUOSTariffs!C20</f>
        <v>West CAC22/11kVLine Anytime</v>
      </c>
      <c r="D40" s="1113" t="str">
        <f>Prop2021DUOSTariffs!D20</f>
        <v>West CAC22/11kVLine Anytime</v>
      </c>
      <c r="E40" s="1113" t="str">
        <f>Prop2021DUOSTariffs!E20</f>
        <v>CAC</v>
      </c>
      <c r="F40" s="1113" t="str">
        <f>Prop2021DUOSTariffs!F20</f>
        <v>CAC</v>
      </c>
      <c r="G40" s="1113" t="str">
        <f>Prop2021DUOSTariffs!G20</f>
        <v>West</v>
      </c>
      <c r="H40" s="1113" t="str">
        <f>IF(Prop2021DUOSTariffs!H20="","",Prop2021DUOSTariffs!H20)</f>
        <v>WC22L</v>
      </c>
      <c r="I40" s="1114" t="s">
        <v>798</v>
      </c>
      <c r="J40" s="1114" t="s">
        <v>934</v>
      </c>
      <c r="K40" s="1207"/>
      <c r="L40" s="1233">
        <v>109.52604000000001</v>
      </c>
      <c r="M40" s="1007"/>
      <c r="N40" s="1007"/>
      <c r="O40" s="1007"/>
      <c r="P40" s="1007"/>
      <c r="Q40" s="1007"/>
      <c r="R40" s="1007"/>
      <c r="S40" s="1233">
        <v>0.71820000000000006</v>
      </c>
      <c r="T40" s="1007"/>
      <c r="U40" s="1007"/>
      <c r="V40" s="1007"/>
      <c r="W40" s="1007"/>
      <c r="X40" s="1007"/>
      <c r="Y40" s="1007"/>
      <c r="Z40" s="1007"/>
      <c r="AA40" s="1007"/>
      <c r="AB40" s="1007"/>
      <c r="AC40" s="1007"/>
      <c r="AD40" s="1007"/>
      <c r="AE40" s="1007"/>
      <c r="AF40" s="1007"/>
      <c r="AG40" s="1007"/>
      <c r="AH40" s="1007"/>
      <c r="AI40" s="1224">
        <v>1.0079303034553634E-2</v>
      </c>
      <c r="AJ40" s="1005"/>
      <c r="AK40" s="1005"/>
      <c r="AL40" s="1005"/>
      <c r="AM40" s="1005"/>
      <c r="AN40" s="1005"/>
      <c r="AO40" s="1005"/>
      <c r="AP40" s="1005"/>
      <c r="AQ40" s="1005"/>
      <c r="AR40" s="1005"/>
      <c r="AS40" s="1005"/>
      <c r="AT40" s="1005"/>
      <c r="AU40" s="1006"/>
      <c r="AV40" s="1207"/>
      <c r="AW40" s="1482">
        <v>101.41277000000001</v>
      </c>
      <c r="AX40" s="1007"/>
      <c r="AY40" s="1007"/>
      <c r="AZ40" s="1007"/>
      <c r="BA40" s="1007"/>
      <c r="BB40" s="1007"/>
      <c r="BC40" s="1007"/>
      <c r="BD40" s="1482">
        <v>0.66538000000000008</v>
      </c>
      <c r="BE40" s="1007"/>
      <c r="BF40" s="1007"/>
      <c r="BG40" s="1007"/>
      <c r="BH40" s="1007"/>
      <c r="BI40" s="1007"/>
      <c r="BJ40" s="1007"/>
      <c r="BK40" s="1007"/>
      <c r="BL40" s="1007"/>
      <c r="BM40" s="1007"/>
      <c r="BN40" s="1007"/>
      <c r="BO40" s="1007"/>
      <c r="BP40" s="1007"/>
      <c r="BQ40" s="1007"/>
      <c r="BR40" s="1007"/>
      <c r="BS40" s="1007"/>
      <c r="BT40" s="1482">
        <v>9.082624070257235E-3</v>
      </c>
      <c r="BU40" s="1007"/>
      <c r="BV40" s="1007"/>
      <c r="BW40" s="1007"/>
      <c r="BX40" s="1007"/>
      <c r="BY40" s="1007"/>
      <c r="BZ40" s="1007"/>
      <c r="CA40" s="1007"/>
      <c r="CB40" s="1007"/>
      <c r="CC40" s="1007"/>
      <c r="CD40" s="1007"/>
      <c r="CE40" s="1007"/>
      <c r="CF40" s="1007"/>
      <c r="CG40" s="1209"/>
      <c r="CH40" s="1236">
        <v>2</v>
      </c>
      <c r="CI40" s="1007"/>
      <c r="CJ40" s="1007"/>
      <c r="CK40" s="1007"/>
      <c r="CL40" s="1007"/>
      <c r="CM40" s="1007"/>
      <c r="CN40" s="1007"/>
      <c r="CO40" s="1236">
        <v>4577</v>
      </c>
      <c r="CP40" s="1007"/>
      <c r="CQ40" s="1007"/>
      <c r="CR40" s="1007"/>
      <c r="CS40" s="1007"/>
      <c r="CT40" s="1007"/>
      <c r="CU40" s="1007"/>
      <c r="CV40" s="1007"/>
      <c r="CW40" s="1007"/>
      <c r="CX40" s="1007"/>
      <c r="CY40" s="1007"/>
      <c r="CZ40" s="1007"/>
      <c r="DA40" s="1007"/>
      <c r="DB40" s="1007"/>
      <c r="DC40" s="1007"/>
      <c r="DD40" s="1007"/>
      <c r="DE40" s="1236">
        <v>12019026</v>
      </c>
      <c r="DF40" s="1007"/>
      <c r="DG40" s="1007"/>
      <c r="DH40" s="1007"/>
      <c r="DI40" s="1006"/>
      <c r="DJ40" s="1006"/>
      <c r="DK40" s="1007"/>
      <c r="DL40" s="1007"/>
      <c r="DM40" s="1007"/>
      <c r="DN40" s="1007"/>
      <c r="DO40" s="1112"/>
      <c r="DP40" s="1112"/>
      <c r="DQ40" s="1207"/>
      <c r="DR40" s="1154">
        <f t="shared" si="2"/>
        <v>79954.0092</v>
      </c>
      <c r="DS40" s="1154">
        <f t="shared" si="3"/>
        <v>0</v>
      </c>
      <c r="DT40" s="1154">
        <f t="shared" si="4"/>
        <v>0</v>
      </c>
      <c r="DU40" s="1154">
        <f t="shared" si="5"/>
        <v>0</v>
      </c>
      <c r="DV40" s="1154">
        <f t="shared" si="6"/>
        <v>0</v>
      </c>
      <c r="DW40" s="1154">
        <f t="shared" si="7"/>
        <v>0</v>
      </c>
      <c r="DX40" s="1154">
        <f t="shared" si="8"/>
        <v>0</v>
      </c>
      <c r="DY40" s="1154">
        <f t="shared" si="9"/>
        <v>39446.416800000006</v>
      </c>
      <c r="DZ40" s="1154">
        <f t="shared" si="10"/>
        <v>0</v>
      </c>
      <c r="EA40" s="1154">
        <f t="shared" si="11"/>
        <v>0</v>
      </c>
      <c r="EB40" s="1154">
        <f t="shared" si="12"/>
        <v>0</v>
      </c>
      <c r="EC40" s="1154">
        <f t="shared" si="13"/>
        <v>0</v>
      </c>
      <c r="ED40" s="1154">
        <f t="shared" si="14"/>
        <v>0</v>
      </c>
      <c r="EE40" s="1154">
        <f t="shared" si="15"/>
        <v>0</v>
      </c>
      <c r="EF40" s="1154">
        <f t="shared" si="16"/>
        <v>0</v>
      </c>
      <c r="EG40" s="1154">
        <f t="shared" si="17"/>
        <v>0</v>
      </c>
      <c r="EH40" s="1154">
        <f t="shared" si="18"/>
        <v>0</v>
      </c>
      <c r="EI40" s="1154">
        <f t="shared" si="19"/>
        <v>0</v>
      </c>
      <c r="EJ40" s="1154">
        <f t="shared" si="20"/>
        <v>0</v>
      </c>
      <c r="EK40" s="1154">
        <f t="shared" si="21"/>
        <v>0</v>
      </c>
      <c r="EL40" s="1154">
        <f t="shared" si="22"/>
        <v>0</v>
      </c>
      <c r="EM40" s="1154">
        <f t="shared" si="23"/>
        <v>0</v>
      </c>
      <c r="EN40" s="1154">
        <f t="shared" si="24"/>
        <v>0</v>
      </c>
      <c r="EO40" s="1154">
        <f t="shared" si="25"/>
        <v>121143.40523417902</v>
      </c>
      <c r="EP40" s="1154">
        <f t="shared" si="26"/>
        <v>0</v>
      </c>
      <c r="EQ40" s="1154">
        <f t="shared" si="27"/>
        <v>0</v>
      </c>
      <c r="ER40" s="1154">
        <f t="shared" si="28"/>
        <v>0</v>
      </c>
      <c r="ES40" s="1154">
        <f t="shared" si="29"/>
        <v>0</v>
      </c>
      <c r="ET40" s="1154">
        <f t="shared" si="30"/>
        <v>0</v>
      </c>
      <c r="EU40" s="1154">
        <f t="shared" si="31"/>
        <v>0</v>
      </c>
      <c r="EV40" s="1154">
        <f t="shared" si="32"/>
        <v>0</v>
      </c>
      <c r="EW40" s="1154">
        <f t="shared" si="33"/>
        <v>0</v>
      </c>
      <c r="EX40" s="1154">
        <f t="shared" si="34"/>
        <v>0</v>
      </c>
      <c r="EY40" s="1154">
        <f t="shared" si="35"/>
        <v>0</v>
      </c>
      <c r="EZ40" s="1154">
        <f t="shared" si="36"/>
        <v>0</v>
      </c>
      <c r="FA40" s="1174">
        <f t="shared" si="37"/>
        <v>240543.83123417903</v>
      </c>
      <c r="FC40" s="1154">
        <f t="shared" si="38"/>
        <v>74031.322100000005</v>
      </c>
      <c r="FD40" s="1154">
        <f t="shared" si="39"/>
        <v>0</v>
      </c>
      <c r="FE40" s="1154">
        <f t="shared" si="40"/>
        <v>0</v>
      </c>
      <c r="FF40" s="1154">
        <f t="shared" si="41"/>
        <v>0</v>
      </c>
      <c r="FG40" s="1154">
        <f t="shared" si="42"/>
        <v>0</v>
      </c>
      <c r="FH40" s="1154">
        <f t="shared" si="43"/>
        <v>0</v>
      </c>
      <c r="FI40" s="1154">
        <f t="shared" si="44"/>
        <v>0</v>
      </c>
      <c r="FJ40" s="1154">
        <f t="shared" si="45"/>
        <v>36545.331120000003</v>
      </c>
      <c r="FK40" s="1154">
        <f t="shared" si="46"/>
        <v>0</v>
      </c>
      <c r="FL40" s="1154">
        <f t="shared" si="47"/>
        <v>0</v>
      </c>
      <c r="FM40" s="1154">
        <f t="shared" si="48"/>
        <v>0</v>
      </c>
      <c r="FN40" s="1154">
        <f t="shared" si="49"/>
        <v>0</v>
      </c>
      <c r="FO40" s="1154">
        <f t="shared" si="50"/>
        <v>0</v>
      </c>
      <c r="FP40" s="1154">
        <f t="shared" si="51"/>
        <v>0</v>
      </c>
      <c r="FQ40" s="1154">
        <f t="shared" si="52"/>
        <v>0</v>
      </c>
      <c r="FR40" s="1154">
        <f t="shared" si="53"/>
        <v>0</v>
      </c>
      <c r="FS40" s="1154">
        <f t="shared" si="54"/>
        <v>0</v>
      </c>
      <c r="FT40" s="1154">
        <f t="shared" si="55"/>
        <v>0</v>
      </c>
      <c r="FU40" s="1154">
        <f t="shared" si="56"/>
        <v>0</v>
      </c>
      <c r="FV40" s="1154">
        <f t="shared" si="57"/>
        <v>0</v>
      </c>
      <c r="FW40" s="1154">
        <f t="shared" si="58"/>
        <v>0</v>
      </c>
      <c r="FX40" s="1154">
        <f t="shared" si="59"/>
        <v>0</v>
      </c>
      <c r="FY40" s="1154">
        <f t="shared" si="60"/>
        <v>0</v>
      </c>
      <c r="FZ40" s="1154">
        <f t="shared" si="61"/>
        <v>109164.29484864754</v>
      </c>
      <c r="GA40" s="1154">
        <f t="shared" si="62"/>
        <v>0</v>
      </c>
      <c r="GB40" s="1154">
        <f t="shared" si="63"/>
        <v>0</v>
      </c>
      <c r="GC40" s="1154">
        <f t="shared" si="64"/>
        <v>0</v>
      </c>
      <c r="GD40" s="1154">
        <f t="shared" si="65"/>
        <v>0</v>
      </c>
      <c r="GE40" s="1154">
        <f t="shared" si="66"/>
        <v>0</v>
      </c>
      <c r="GF40" s="1154">
        <f t="shared" si="67"/>
        <v>0</v>
      </c>
      <c r="GG40" s="1154">
        <f t="shared" si="68"/>
        <v>0</v>
      </c>
      <c r="GH40" s="1154">
        <f t="shared" si="69"/>
        <v>0</v>
      </c>
      <c r="GI40" s="1154">
        <f t="shared" si="70"/>
        <v>0</v>
      </c>
      <c r="GJ40" s="1154">
        <f t="shared" si="71"/>
        <v>0</v>
      </c>
      <c r="GK40" s="1154">
        <f t="shared" si="72"/>
        <v>0</v>
      </c>
      <c r="GL40" s="1174">
        <f t="shared" si="73"/>
        <v>219740.94806864753</v>
      </c>
    </row>
    <row r="41" spans="2:194">
      <c r="B41" s="1290">
        <f>B40</f>
        <v>0</v>
      </c>
      <c r="C41" s="1289" t="str">
        <f>C40</f>
        <v>West CAC22/11kVLine Anytime</v>
      </c>
      <c r="D41" s="1113" t="str">
        <f t="shared" ref="D41:D42" si="120">D40</f>
        <v>West CAC22/11kVLine Anytime</v>
      </c>
      <c r="E41" s="1113" t="str">
        <f t="shared" ref="E41:E42" si="121">E40</f>
        <v>CAC</v>
      </c>
      <c r="F41" s="1113" t="str">
        <f t="shared" ref="F41:F42" si="122">F40</f>
        <v>CAC</v>
      </c>
      <c r="G41" s="1113" t="str">
        <f t="shared" ref="G41:G42" si="123">G40</f>
        <v>West</v>
      </c>
      <c r="H41" s="1113" t="str">
        <f t="shared" ref="H41:H42" si="124">H40</f>
        <v>WC22L</v>
      </c>
      <c r="I41" s="1114" t="s">
        <v>752</v>
      </c>
      <c r="J41" s="1114" t="s">
        <v>934</v>
      </c>
      <c r="K41" s="1270"/>
      <c r="L41" s="1233">
        <v>75.421999999999997</v>
      </c>
      <c r="M41" s="1007"/>
      <c r="N41" s="1007"/>
      <c r="O41" s="1007"/>
      <c r="P41" s="1007"/>
      <c r="Q41" s="1007"/>
      <c r="R41" s="1007"/>
      <c r="S41" s="1233">
        <v>1.474</v>
      </c>
      <c r="T41" s="1007"/>
      <c r="U41" s="1007"/>
      <c r="V41" s="1007"/>
      <c r="W41" s="1007"/>
      <c r="X41" s="1007"/>
      <c r="Y41" s="1007"/>
      <c r="Z41" s="1007"/>
      <c r="AA41" s="1007"/>
      <c r="AB41" s="1007"/>
      <c r="AC41" s="1007"/>
      <c r="AD41" s="1007"/>
      <c r="AE41" s="1007"/>
      <c r="AF41" s="1007"/>
      <c r="AG41" s="1007"/>
      <c r="AH41" s="1007"/>
      <c r="AI41" s="1224">
        <v>1.1937631525536712E-2</v>
      </c>
      <c r="AJ41" s="1005"/>
      <c r="AK41" s="1005"/>
      <c r="AL41" s="1005"/>
      <c r="AM41" s="1005"/>
      <c r="AN41" s="1005"/>
      <c r="AO41" s="1005"/>
      <c r="AP41" s="1005"/>
      <c r="AQ41" s="1005"/>
      <c r="AR41" s="1005"/>
      <c r="AS41" s="1005"/>
      <c r="AT41" s="1005"/>
      <c r="AU41" s="1206"/>
      <c r="AV41" s="1270"/>
      <c r="AW41" s="1482">
        <v>75.421750000000003</v>
      </c>
      <c r="AX41" s="1007"/>
      <c r="AY41" s="1007"/>
      <c r="AZ41" s="1007"/>
      <c r="BA41" s="1007"/>
      <c r="BB41" s="1007"/>
      <c r="BC41" s="1007"/>
      <c r="BD41" s="1482">
        <v>1.4739300000000002</v>
      </c>
      <c r="BE41" s="1007"/>
      <c r="BF41" s="1007"/>
      <c r="BG41" s="1007"/>
      <c r="BH41" s="1007"/>
      <c r="BI41" s="1007"/>
      <c r="BJ41" s="1007"/>
      <c r="BK41" s="1007"/>
      <c r="BL41" s="1007"/>
      <c r="BM41" s="1007"/>
      <c r="BN41" s="1007"/>
      <c r="BO41" s="1007"/>
      <c r="BP41" s="1007"/>
      <c r="BQ41" s="1007"/>
      <c r="BR41" s="1007"/>
      <c r="BS41" s="1007"/>
      <c r="BT41" s="1482">
        <v>1.198474395634948E-2</v>
      </c>
      <c r="BU41" s="1007"/>
      <c r="BV41" s="1007"/>
      <c r="BW41" s="1007"/>
      <c r="BX41" s="1007"/>
      <c r="BY41" s="1007"/>
      <c r="BZ41" s="1007"/>
      <c r="CA41" s="1007"/>
      <c r="CB41" s="1007"/>
      <c r="CC41" s="1007"/>
      <c r="CD41" s="1007"/>
      <c r="CE41" s="1007"/>
      <c r="CF41" s="1007"/>
      <c r="CG41" s="1209"/>
      <c r="CH41" s="1236">
        <v>0</v>
      </c>
      <c r="CI41" s="1007"/>
      <c r="CJ41" s="1007"/>
      <c r="CK41" s="1007"/>
      <c r="CL41" s="1007"/>
      <c r="CM41" s="1007"/>
      <c r="CN41" s="1007"/>
      <c r="CO41" s="1236">
        <v>0</v>
      </c>
      <c r="CP41" s="1007"/>
      <c r="CQ41" s="1007"/>
      <c r="CR41" s="1007"/>
      <c r="CS41" s="1007"/>
      <c r="CT41" s="1007"/>
      <c r="CU41" s="1007"/>
      <c r="CV41" s="1007"/>
      <c r="CW41" s="1007"/>
      <c r="CX41" s="1007"/>
      <c r="CY41" s="1007"/>
      <c r="CZ41" s="1007"/>
      <c r="DA41" s="1007"/>
      <c r="DB41" s="1007"/>
      <c r="DC41" s="1007"/>
      <c r="DD41" s="1007"/>
      <c r="DE41" s="1236">
        <v>0</v>
      </c>
      <c r="DF41" s="1007"/>
      <c r="DG41" s="1007"/>
      <c r="DH41" s="1007"/>
      <c r="DI41" s="1006"/>
      <c r="DJ41" s="1006"/>
      <c r="DK41" s="1007"/>
      <c r="DL41" s="1007"/>
      <c r="DM41" s="1007"/>
      <c r="DN41" s="1007"/>
      <c r="DO41" s="1112"/>
      <c r="DP41" s="1112"/>
      <c r="DQ41" s="1270"/>
      <c r="DR41" s="1154">
        <f t="shared" si="2"/>
        <v>0</v>
      </c>
      <c r="DS41" s="1154">
        <f t="shared" si="3"/>
        <v>0</v>
      </c>
      <c r="DT41" s="1154">
        <f t="shared" si="4"/>
        <v>0</v>
      </c>
      <c r="DU41" s="1154">
        <f t="shared" si="5"/>
        <v>0</v>
      </c>
      <c r="DV41" s="1154">
        <f t="shared" si="6"/>
        <v>0</v>
      </c>
      <c r="DW41" s="1154">
        <f t="shared" si="7"/>
        <v>0</v>
      </c>
      <c r="DX41" s="1154">
        <f t="shared" si="8"/>
        <v>0</v>
      </c>
      <c r="DY41" s="1154">
        <f t="shared" si="9"/>
        <v>0</v>
      </c>
      <c r="DZ41" s="1154">
        <f t="shared" si="10"/>
        <v>0</v>
      </c>
      <c r="EA41" s="1154">
        <f t="shared" si="11"/>
        <v>0</v>
      </c>
      <c r="EB41" s="1154">
        <f t="shared" si="12"/>
        <v>0</v>
      </c>
      <c r="EC41" s="1154">
        <f t="shared" si="13"/>
        <v>0</v>
      </c>
      <c r="ED41" s="1154">
        <f t="shared" si="14"/>
        <v>0</v>
      </c>
      <c r="EE41" s="1154">
        <f t="shared" si="15"/>
        <v>0</v>
      </c>
      <c r="EF41" s="1154">
        <f t="shared" si="16"/>
        <v>0</v>
      </c>
      <c r="EG41" s="1154">
        <f t="shared" si="17"/>
        <v>0</v>
      </c>
      <c r="EH41" s="1154">
        <f t="shared" si="18"/>
        <v>0</v>
      </c>
      <c r="EI41" s="1154">
        <f t="shared" si="19"/>
        <v>0</v>
      </c>
      <c r="EJ41" s="1154">
        <f t="shared" si="20"/>
        <v>0</v>
      </c>
      <c r="EK41" s="1154">
        <f t="shared" si="21"/>
        <v>0</v>
      </c>
      <c r="EL41" s="1154">
        <f t="shared" si="22"/>
        <v>0</v>
      </c>
      <c r="EM41" s="1154">
        <f t="shared" si="23"/>
        <v>0</v>
      </c>
      <c r="EN41" s="1154">
        <f t="shared" si="24"/>
        <v>0</v>
      </c>
      <c r="EO41" s="1154">
        <f t="shared" si="25"/>
        <v>0</v>
      </c>
      <c r="EP41" s="1154">
        <f t="shared" si="26"/>
        <v>0</v>
      </c>
      <c r="EQ41" s="1154">
        <f t="shared" si="27"/>
        <v>0</v>
      </c>
      <c r="ER41" s="1154">
        <f t="shared" si="28"/>
        <v>0</v>
      </c>
      <c r="ES41" s="1154">
        <f t="shared" si="29"/>
        <v>0</v>
      </c>
      <c r="ET41" s="1154">
        <f t="shared" si="30"/>
        <v>0</v>
      </c>
      <c r="EU41" s="1154">
        <f t="shared" si="31"/>
        <v>0</v>
      </c>
      <c r="EV41" s="1154">
        <f t="shared" si="32"/>
        <v>0</v>
      </c>
      <c r="EW41" s="1154">
        <f t="shared" si="33"/>
        <v>0</v>
      </c>
      <c r="EX41" s="1154">
        <f t="shared" si="34"/>
        <v>0</v>
      </c>
      <c r="EY41" s="1154">
        <f t="shared" si="35"/>
        <v>0</v>
      </c>
      <c r="EZ41" s="1154">
        <f t="shared" si="36"/>
        <v>0</v>
      </c>
      <c r="FA41" s="1174">
        <f t="shared" si="37"/>
        <v>0</v>
      </c>
      <c r="FC41" s="1154">
        <f t="shared" si="38"/>
        <v>0</v>
      </c>
      <c r="FD41" s="1154">
        <f t="shared" si="39"/>
        <v>0</v>
      </c>
      <c r="FE41" s="1154">
        <f t="shared" si="40"/>
        <v>0</v>
      </c>
      <c r="FF41" s="1154">
        <f t="shared" si="41"/>
        <v>0</v>
      </c>
      <c r="FG41" s="1154">
        <f t="shared" si="42"/>
        <v>0</v>
      </c>
      <c r="FH41" s="1154">
        <f t="shared" si="43"/>
        <v>0</v>
      </c>
      <c r="FI41" s="1154">
        <f t="shared" si="44"/>
        <v>0</v>
      </c>
      <c r="FJ41" s="1154">
        <f t="shared" si="45"/>
        <v>0</v>
      </c>
      <c r="FK41" s="1154">
        <f t="shared" si="46"/>
        <v>0</v>
      </c>
      <c r="FL41" s="1154">
        <f t="shared" si="47"/>
        <v>0</v>
      </c>
      <c r="FM41" s="1154">
        <f t="shared" si="48"/>
        <v>0</v>
      </c>
      <c r="FN41" s="1154">
        <f t="shared" si="49"/>
        <v>0</v>
      </c>
      <c r="FO41" s="1154">
        <f t="shared" si="50"/>
        <v>0</v>
      </c>
      <c r="FP41" s="1154">
        <f t="shared" si="51"/>
        <v>0</v>
      </c>
      <c r="FQ41" s="1154">
        <f t="shared" si="52"/>
        <v>0</v>
      </c>
      <c r="FR41" s="1154">
        <f t="shared" si="53"/>
        <v>0</v>
      </c>
      <c r="FS41" s="1154">
        <f t="shared" si="54"/>
        <v>0</v>
      </c>
      <c r="FT41" s="1154">
        <f t="shared" si="55"/>
        <v>0</v>
      </c>
      <c r="FU41" s="1154">
        <f t="shared" si="56"/>
        <v>0</v>
      </c>
      <c r="FV41" s="1154">
        <f t="shared" si="57"/>
        <v>0</v>
      </c>
      <c r="FW41" s="1154">
        <f t="shared" si="58"/>
        <v>0</v>
      </c>
      <c r="FX41" s="1154">
        <f t="shared" si="59"/>
        <v>0</v>
      </c>
      <c r="FY41" s="1154">
        <f t="shared" si="60"/>
        <v>0</v>
      </c>
      <c r="FZ41" s="1154">
        <f t="shared" si="61"/>
        <v>0</v>
      </c>
      <c r="GA41" s="1154">
        <f t="shared" si="62"/>
        <v>0</v>
      </c>
      <c r="GB41" s="1154">
        <f t="shared" si="63"/>
        <v>0</v>
      </c>
      <c r="GC41" s="1154">
        <f t="shared" si="64"/>
        <v>0</v>
      </c>
      <c r="GD41" s="1154">
        <f t="shared" si="65"/>
        <v>0</v>
      </c>
      <c r="GE41" s="1154">
        <f t="shared" si="66"/>
        <v>0</v>
      </c>
      <c r="GF41" s="1154">
        <f t="shared" si="67"/>
        <v>0</v>
      </c>
      <c r="GG41" s="1154">
        <f t="shared" si="68"/>
        <v>0</v>
      </c>
      <c r="GH41" s="1154">
        <f t="shared" si="69"/>
        <v>0</v>
      </c>
      <c r="GI41" s="1154">
        <f t="shared" si="70"/>
        <v>0</v>
      </c>
      <c r="GJ41" s="1154">
        <f t="shared" si="71"/>
        <v>0</v>
      </c>
      <c r="GK41" s="1154">
        <f t="shared" si="72"/>
        <v>0</v>
      </c>
      <c r="GL41" s="1174">
        <f t="shared" si="73"/>
        <v>0</v>
      </c>
    </row>
    <row r="42" spans="2:194">
      <c r="B42" s="1290">
        <f>B41</f>
        <v>0</v>
      </c>
      <c r="C42" s="1289" t="str">
        <f>C41</f>
        <v>West CAC22/11kVLine Anytime</v>
      </c>
      <c r="D42" s="1113" t="str">
        <f t="shared" si="120"/>
        <v>West CAC22/11kVLine Anytime</v>
      </c>
      <c r="E42" s="1113" t="str">
        <f t="shared" si="121"/>
        <v>CAC</v>
      </c>
      <c r="F42" s="1113" t="str">
        <f t="shared" si="122"/>
        <v>CAC</v>
      </c>
      <c r="G42" s="1113" t="str">
        <f t="shared" si="123"/>
        <v>West</v>
      </c>
      <c r="H42" s="1113" t="str">
        <f t="shared" si="124"/>
        <v>WC22L</v>
      </c>
      <c r="I42" s="1114" t="s">
        <v>759</v>
      </c>
      <c r="J42" s="1114" t="s">
        <v>934</v>
      </c>
      <c r="K42" s="1270"/>
      <c r="L42" s="1233">
        <v>70.440599999999989</v>
      </c>
      <c r="M42" s="1007"/>
      <c r="N42" s="1007"/>
      <c r="O42" s="1007"/>
      <c r="P42" s="1007"/>
      <c r="Q42" s="1007"/>
      <c r="R42" s="1007"/>
      <c r="S42" s="1233">
        <v>2.7227000000000001</v>
      </c>
      <c r="T42" s="1007"/>
      <c r="U42" s="1007"/>
      <c r="V42" s="1007"/>
      <c r="W42" s="1007"/>
      <c r="X42" s="1007"/>
      <c r="Y42" s="1007"/>
      <c r="Z42" s="1007"/>
      <c r="AA42" s="1007"/>
      <c r="AB42" s="1007"/>
      <c r="AC42" s="1007"/>
      <c r="AD42" s="1007"/>
      <c r="AE42" s="1007"/>
      <c r="AF42" s="1007"/>
      <c r="AG42" s="1007"/>
      <c r="AH42" s="1007"/>
      <c r="AI42" s="1224">
        <v>1.3562911090201862E-2</v>
      </c>
      <c r="AJ42" s="1005"/>
      <c r="AK42" s="1005"/>
      <c r="AL42" s="1005"/>
      <c r="AM42" s="1005"/>
      <c r="AN42" s="1005"/>
      <c r="AO42" s="1005"/>
      <c r="AP42" s="1005"/>
      <c r="AQ42" s="1005"/>
      <c r="AR42" s="1005"/>
      <c r="AS42" s="1005"/>
      <c r="AT42" s="1005"/>
      <c r="AU42" s="1206"/>
      <c r="AV42" s="1270"/>
      <c r="AW42" s="1482">
        <v>74.147639999999996</v>
      </c>
      <c r="AX42" s="1007"/>
      <c r="AY42" s="1007"/>
      <c r="AZ42" s="1007"/>
      <c r="BA42" s="1007"/>
      <c r="BB42" s="1007"/>
      <c r="BC42" s="1007"/>
      <c r="BD42" s="1482">
        <v>2.8664900000000002</v>
      </c>
      <c r="BE42" s="1007"/>
      <c r="BF42" s="1007"/>
      <c r="BG42" s="1007"/>
      <c r="BH42" s="1007"/>
      <c r="BI42" s="1007"/>
      <c r="BJ42" s="1007"/>
      <c r="BK42" s="1007"/>
      <c r="BL42" s="1007"/>
      <c r="BM42" s="1007"/>
      <c r="BN42" s="1007"/>
      <c r="BO42" s="1007"/>
      <c r="BP42" s="1007"/>
      <c r="BQ42" s="1007"/>
      <c r="BR42" s="1007"/>
      <c r="BS42" s="1007"/>
      <c r="BT42" s="1482">
        <v>1.4900282040055694E-2</v>
      </c>
      <c r="BU42" s="1007"/>
      <c r="BV42" s="1007"/>
      <c r="BW42" s="1007"/>
      <c r="BX42" s="1007"/>
      <c r="BY42" s="1007"/>
      <c r="BZ42" s="1007"/>
      <c r="CA42" s="1007"/>
      <c r="CB42" s="1007"/>
      <c r="CC42" s="1007"/>
      <c r="CD42" s="1007"/>
      <c r="CE42" s="1007"/>
      <c r="CF42" s="1007"/>
      <c r="CG42" s="1209"/>
      <c r="CH42" s="1236">
        <v>0</v>
      </c>
      <c r="CI42" s="1007"/>
      <c r="CJ42" s="1007"/>
      <c r="CK42" s="1007"/>
      <c r="CL42" s="1007"/>
      <c r="CM42" s="1007"/>
      <c r="CN42" s="1007"/>
      <c r="CO42" s="1236">
        <v>0</v>
      </c>
      <c r="CP42" s="1007"/>
      <c r="CQ42" s="1007"/>
      <c r="CR42" s="1007"/>
      <c r="CS42" s="1007"/>
      <c r="CT42" s="1007"/>
      <c r="CU42" s="1007"/>
      <c r="CV42" s="1007"/>
      <c r="CW42" s="1007"/>
      <c r="CX42" s="1007"/>
      <c r="CY42" s="1007"/>
      <c r="CZ42" s="1007"/>
      <c r="DA42" s="1007"/>
      <c r="DB42" s="1007"/>
      <c r="DC42" s="1007"/>
      <c r="DD42" s="1007"/>
      <c r="DE42" s="1236">
        <v>0</v>
      </c>
      <c r="DF42" s="1007"/>
      <c r="DG42" s="1007"/>
      <c r="DH42" s="1007"/>
      <c r="DI42" s="1006"/>
      <c r="DJ42" s="1006"/>
      <c r="DK42" s="1007"/>
      <c r="DL42" s="1007"/>
      <c r="DM42" s="1007"/>
      <c r="DN42" s="1007"/>
      <c r="DO42" s="1112"/>
      <c r="DP42" s="1112"/>
      <c r="DQ42" s="1270"/>
      <c r="DR42" s="1154">
        <f t="shared" si="2"/>
        <v>0</v>
      </c>
      <c r="DS42" s="1154">
        <f t="shared" si="3"/>
        <v>0</v>
      </c>
      <c r="DT42" s="1154">
        <f t="shared" si="4"/>
        <v>0</v>
      </c>
      <c r="DU42" s="1154">
        <f t="shared" si="5"/>
        <v>0</v>
      </c>
      <c r="DV42" s="1154">
        <f t="shared" si="6"/>
        <v>0</v>
      </c>
      <c r="DW42" s="1154">
        <f t="shared" si="7"/>
        <v>0</v>
      </c>
      <c r="DX42" s="1154">
        <f t="shared" si="8"/>
        <v>0</v>
      </c>
      <c r="DY42" s="1154">
        <f t="shared" si="9"/>
        <v>0</v>
      </c>
      <c r="DZ42" s="1154">
        <f t="shared" si="10"/>
        <v>0</v>
      </c>
      <c r="EA42" s="1154">
        <f t="shared" si="11"/>
        <v>0</v>
      </c>
      <c r="EB42" s="1154">
        <f t="shared" si="12"/>
        <v>0</v>
      </c>
      <c r="EC42" s="1154">
        <f t="shared" si="13"/>
        <v>0</v>
      </c>
      <c r="ED42" s="1154">
        <f t="shared" si="14"/>
        <v>0</v>
      </c>
      <c r="EE42" s="1154">
        <f t="shared" si="15"/>
        <v>0</v>
      </c>
      <c r="EF42" s="1154">
        <f t="shared" si="16"/>
        <v>0</v>
      </c>
      <c r="EG42" s="1154">
        <f t="shared" si="17"/>
        <v>0</v>
      </c>
      <c r="EH42" s="1154">
        <f t="shared" si="18"/>
        <v>0</v>
      </c>
      <c r="EI42" s="1154">
        <f t="shared" si="19"/>
        <v>0</v>
      </c>
      <c r="EJ42" s="1154">
        <f t="shared" si="20"/>
        <v>0</v>
      </c>
      <c r="EK42" s="1154">
        <f t="shared" si="21"/>
        <v>0</v>
      </c>
      <c r="EL42" s="1154">
        <f t="shared" si="22"/>
        <v>0</v>
      </c>
      <c r="EM42" s="1154">
        <f t="shared" si="23"/>
        <v>0</v>
      </c>
      <c r="EN42" s="1154">
        <f t="shared" si="24"/>
        <v>0</v>
      </c>
      <c r="EO42" s="1154">
        <f t="shared" si="25"/>
        <v>0</v>
      </c>
      <c r="EP42" s="1154">
        <f t="shared" si="26"/>
        <v>0</v>
      </c>
      <c r="EQ42" s="1154">
        <f t="shared" si="27"/>
        <v>0</v>
      </c>
      <c r="ER42" s="1154">
        <f t="shared" si="28"/>
        <v>0</v>
      </c>
      <c r="ES42" s="1154">
        <f t="shared" si="29"/>
        <v>0</v>
      </c>
      <c r="ET42" s="1154">
        <f t="shared" si="30"/>
        <v>0</v>
      </c>
      <c r="EU42" s="1154">
        <f t="shared" si="31"/>
        <v>0</v>
      </c>
      <c r="EV42" s="1154">
        <f t="shared" si="32"/>
        <v>0</v>
      </c>
      <c r="EW42" s="1154">
        <f t="shared" si="33"/>
        <v>0</v>
      </c>
      <c r="EX42" s="1154">
        <f t="shared" si="34"/>
        <v>0</v>
      </c>
      <c r="EY42" s="1154">
        <f t="shared" si="35"/>
        <v>0</v>
      </c>
      <c r="EZ42" s="1154">
        <f t="shared" si="36"/>
        <v>0</v>
      </c>
      <c r="FA42" s="1174">
        <f t="shared" ref="FA42:FA51" si="125">SUM(DR42:EZ42)</f>
        <v>0</v>
      </c>
      <c r="FC42" s="1154">
        <f t="shared" si="38"/>
        <v>0</v>
      </c>
      <c r="FD42" s="1154">
        <f t="shared" si="39"/>
        <v>0</v>
      </c>
      <c r="FE42" s="1154">
        <f t="shared" si="40"/>
        <v>0</v>
      </c>
      <c r="FF42" s="1154">
        <f t="shared" si="41"/>
        <v>0</v>
      </c>
      <c r="FG42" s="1154">
        <f t="shared" si="42"/>
        <v>0</v>
      </c>
      <c r="FH42" s="1154">
        <f t="shared" si="43"/>
        <v>0</v>
      </c>
      <c r="FI42" s="1154">
        <f t="shared" si="44"/>
        <v>0</v>
      </c>
      <c r="FJ42" s="1154">
        <f t="shared" si="45"/>
        <v>0</v>
      </c>
      <c r="FK42" s="1154">
        <f t="shared" si="46"/>
        <v>0</v>
      </c>
      <c r="FL42" s="1154">
        <f t="shared" si="47"/>
        <v>0</v>
      </c>
      <c r="FM42" s="1154">
        <f t="shared" si="48"/>
        <v>0</v>
      </c>
      <c r="FN42" s="1154">
        <f t="shared" si="49"/>
        <v>0</v>
      </c>
      <c r="FO42" s="1154">
        <f t="shared" si="50"/>
        <v>0</v>
      </c>
      <c r="FP42" s="1154">
        <f t="shared" si="51"/>
        <v>0</v>
      </c>
      <c r="FQ42" s="1154">
        <f t="shared" si="52"/>
        <v>0</v>
      </c>
      <c r="FR42" s="1154">
        <f t="shared" si="53"/>
        <v>0</v>
      </c>
      <c r="FS42" s="1154">
        <f t="shared" si="54"/>
        <v>0</v>
      </c>
      <c r="FT42" s="1154">
        <f t="shared" si="55"/>
        <v>0</v>
      </c>
      <c r="FU42" s="1154">
        <f t="shared" si="56"/>
        <v>0</v>
      </c>
      <c r="FV42" s="1154">
        <f t="shared" si="57"/>
        <v>0</v>
      </c>
      <c r="FW42" s="1154">
        <f t="shared" si="58"/>
        <v>0</v>
      </c>
      <c r="FX42" s="1154">
        <f t="shared" si="59"/>
        <v>0</v>
      </c>
      <c r="FY42" s="1154">
        <f t="shared" si="60"/>
        <v>0</v>
      </c>
      <c r="FZ42" s="1154">
        <f t="shared" si="61"/>
        <v>0</v>
      </c>
      <c r="GA42" s="1154">
        <f t="shared" si="62"/>
        <v>0</v>
      </c>
      <c r="GB42" s="1154">
        <f t="shared" si="63"/>
        <v>0</v>
      </c>
      <c r="GC42" s="1154">
        <f t="shared" si="64"/>
        <v>0</v>
      </c>
      <c r="GD42" s="1154">
        <f t="shared" si="65"/>
        <v>0</v>
      </c>
      <c r="GE42" s="1154">
        <f t="shared" si="66"/>
        <v>0</v>
      </c>
      <c r="GF42" s="1154">
        <f t="shared" si="67"/>
        <v>0</v>
      </c>
      <c r="GG42" s="1154">
        <f t="shared" si="68"/>
        <v>0</v>
      </c>
      <c r="GH42" s="1154">
        <f t="shared" si="69"/>
        <v>0</v>
      </c>
      <c r="GI42" s="1154">
        <f t="shared" si="70"/>
        <v>0</v>
      </c>
      <c r="GJ42" s="1154">
        <f t="shared" si="71"/>
        <v>0</v>
      </c>
      <c r="GK42" s="1154">
        <f t="shared" si="72"/>
        <v>0</v>
      </c>
      <c r="GL42" s="1174">
        <f t="shared" si="73"/>
        <v>0</v>
      </c>
    </row>
    <row r="43" spans="2:194">
      <c r="B43" s="1290">
        <f>Prop2021DUOSTariffs!B21</f>
        <v>0</v>
      </c>
      <c r="C43" s="1289" t="str">
        <f>Prop2021DUOSTariffs!C21</f>
        <v>West CACHigherVoltage STOUD</v>
      </c>
      <c r="D43" s="1113" t="str">
        <f>Prop2021DUOSTariffs!D21</f>
        <v>West CACHigherVoltage STOUD</v>
      </c>
      <c r="E43" s="1113" t="str">
        <f>Prop2021DUOSTariffs!E21</f>
        <v>CAC</v>
      </c>
      <c r="F43" s="1113" t="str">
        <f>Prop2021DUOSTariffs!F21</f>
        <v>CAC</v>
      </c>
      <c r="G43" s="1113" t="str">
        <f>Prop2021DUOSTariffs!G21</f>
        <v>West</v>
      </c>
      <c r="H43" s="1113" t="str">
        <f>IF(Prop2021DUOSTariffs!H21="","",Prop2021DUOSTariffs!H21)</f>
        <v>WC66TOU</v>
      </c>
      <c r="I43" s="1114" t="s">
        <v>798</v>
      </c>
      <c r="J43" s="1114" t="s">
        <v>934</v>
      </c>
      <c r="K43" s="1207"/>
      <c r="L43" s="1233">
        <v>109.52604000000001</v>
      </c>
      <c r="M43" s="1007"/>
      <c r="N43" s="1007"/>
      <c r="O43" s="1007"/>
      <c r="P43" s="1007"/>
      <c r="Q43" s="1007"/>
      <c r="R43" s="1007"/>
      <c r="S43" s="1233">
        <v>0.71820000000000006</v>
      </c>
      <c r="T43" s="1007"/>
      <c r="U43" s="1007"/>
      <c r="V43" s="1007"/>
      <c r="W43" s="1007"/>
      <c r="X43" s="1007"/>
      <c r="Y43" s="1007"/>
      <c r="Z43" s="1007"/>
      <c r="AA43" s="1007"/>
      <c r="AB43" s="1007"/>
      <c r="AC43" s="1007"/>
      <c r="AD43" s="1007"/>
      <c r="AE43" s="1007"/>
      <c r="AF43" s="1007"/>
      <c r="AG43" s="1007"/>
      <c r="AH43" s="1007"/>
      <c r="AI43" s="1224">
        <v>1.0079303034553634E-2</v>
      </c>
      <c r="AJ43" s="1005"/>
      <c r="AK43" s="1005"/>
      <c r="AL43" s="1005"/>
      <c r="AM43" s="1005"/>
      <c r="AN43" s="1005"/>
      <c r="AO43" s="1005"/>
      <c r="AP43" s="1005"/>
      <c r="AQ43" s="1005"/>
      <c r="AR43" s="1005"/>
      <c r="AS43" s="1005"/>
      <c r="AT43" s="1005"/>
      <c r="AU43" s="1206"/>
      <c r="AV43" s="1207"/>
      <c r="AW43" s="1482">
        <v>101.413</v>
      </c>
      <c r="AX43" s="1007"/>
      <c r="AY43" s="1007"/>
      <c r="AZ43" s="1007"/>
      <c r="BA43" s="1007"/>
      <c r="BB43" s="1007"/>
      <c r="BC43" s="1007"/>
      <c r="BD43" s="1482">
        <v>0.66500000000000004</v>
      </c>
      <c r="BE43" s="1007"/>
      <c r="BF43" s="1007"/>
      <c r="BG43" s="1007"/>
      <c r="BH43" s="1007"/>
      <c r="BI43" s="1007"/>
      <c r="BJ43" s="1007"/>
      <c r="BK43" s="1007"/>
      <c r="BL43" s="1007"/>
      <c r="BM43" s="1007"/>
      <c r="BN43" s="1007"/>
      <c r="BO43" s="1007"/>
      <c r="BP43" s="1007"/>
      <c r="BQ43" s="1007"/>
      <c r="BR43" s="1007"/>
      <c r="BS43" s="1007"/>
      <c r="BT43" s="1482">
        <v>9.0799999999999995E-3</v>
      </c>
      <c r="BU43" s="1007"/>
      <c r="BV43" s="1007"/>
      <c r="BW43" s="1007"/>
      <c r="BX43" s="1007"/>
      <c r="BY43" s="1007"/>
      <c r="BZ43" s="1007"/>
      <c r="CA43" s="1007"/>
      <c r="CB43" s="1007"/>
      <c r="CC43" s="1007"/>
      <c r="CD43" s="1007"/>
      <c r="CE43" s="1007"/>
      <c r="CF43" s="1007"/>
      <c r="CG43" s="1209"/>
      <c r="CH43" s="1236">
        <v>0</v>
      </c>
      <c r="CI43" s="1007"/>
      <c r="CJ43" s="1007"/>
      <c r="CK43" s="1007"/>
      <c r="CL43" s="1007"/>
      <c r="CM43" s="1007"/>
      <c r="CN43" s="1007"/>
      <c r="CO43" s="1236">
        <v>0</v>
      </c>
      <c r="CP43" s="1007"/>
      <c r="CQ43" s="1007"/>
      <c r="CR43" s="1007"/>
      <c r="CS43" s="1007"/>
      <c r="CT43" s="1007"/>
      <c r="CU43" s="1007"/>
      <c r="CV43" s="1007"/>
      <c r="CW43" s="1007"/>
      <c r="CX43" s="1007"/>
      <c r="CY43" s="1007"/>
      <c r="CZ43" s="1007"/>
      <c r="DA43" s="1007"/>
      <c r="DB43" s="1007"/>
      <c r="DC43" s="1007"/>
      <c r="DD43" s="1007"/>
      <c r="DE43" s="1236">
        <v>0</v>
      </c>
      <c r="DF43" s="1007"/>
      <c r="DG43" s="1007"/>
      <c r="DH43" s="1007"/>
      <c r="DI43" s="1006"/>
      <c r="DJ43" s="1006"/>
      <c r="DK43" s="1007"/>
      <c r="DL43" s="1007"/>
      <c r="DM43" s="1007"/>
      <c r="DN43" s="1007"/>
      <c r="DO43" s="1112"/>
      <c r="DP43" s="1112"/>
      <c r="DQ43" s="1207"/>
      <c r="DR43" s="1154">
        <f t="shared" si="2"/>
        <v>0</v>
      </c>
      <c r="DS43" s="1154">
        <f t="shared" si="3"/>
        <v>0</v>
      </c>
      <c r="DT43" s="1154">
        <f t="shared" si="4"/>
        <v>0</v>
      </c>
      <c r="DU43" s="1154">
        <f t="shared" si="5"/>
        <v>0</v>
      </c>
      <c r="DV43" s="1154">
        <f t="shared" si="6"/>
        <v>0</v>
      </c>
      <c r="DW43" s="1154">
        <f t="shared" si="7"/>
        <v>0</v>
      </c>
      <c r="DX43" s="1154">
        <f t="shared" si="8"/>
        <v>0</v>
      </c>
      <c r="DY43" s="1154">
        <f t="shared" si="9"/>
        <v>0</v>
      </c>
      <c r="DZ43" s="1154">
        <f t="shared" si="10"/>
        <v>0</v>
      </c>
      <c r="EA43" s="1154">
        <f t="shared" si="11"/>
        <v>0</v>
      </c>
      <c r="EB43" s="1154">
        <f t="shared" si="12"/>
        <v>0</v>
      </c>
      <c r="EC43" s="1154">
        <f t="shared" si="13"/>
        <v>0</v>
      </c>
      <c r="ED43" s="1154">
        <f t="shared" si="14"/>
        <v>0</v>
      </c>
      <c r="EE43" s="1154">
        <f t="shared" si="15"/>
        <v>0</v>
      </c>
      <c r="EF43" s="1154">
        <f t="shared" si="16"/>
        <v>0</v>
      </c>
      <c r="EG43" s="1154">
        <f t="shared" si="17"/>
        <v>0</v>
      </c>
      <c r="EH43" s="1154">
        <f t="shared" si="18"/>
        <v>0</v>
      </c>
      <c r="EI43" s="1154">
        <f t="shared" si="19"/>
        <v>0</v>
      </c>
      <c r="EJ43" s="1154">
        <f t="shared" si="20"/>
        <v>0</v>
      </c>
      <c r="EK43" s="1154">
        <f t="shared" si="21"/>
        <v>0</v>
      </c>
      <c r="EL43" s="1154">
        <f t="shared" si="22"/>
        <v>0</v>
      </c>
      <c r="EM43" s="1154">
        <f t="shared" si="23"/>
        <v>0</v>
      </c>
      <c r="EN43" s="1154">
        <f t="shared" si="24"/>
        <v>0</v>
      </c>
      <c r="EO43" s="1154">
        <f t="shared" si="25"/>
        <v>0</v>
      </c>
      <c r="EP43" s="1154">
        <f t="shared" si="26"/>
        <v>0</v>
      </c>
      <c r="EQ43" s="1154">
        <f t="shared" si="27"/>
        <v>0</v>
      </c>
      <c r="ER43" s="1154">
        <f t="shared" si="28"/>
        <v>0</v>
      </c>
      <c r="ES43" s="1154">
        <f t="shared" si="29"/>
        <v>0</v>
      </c>
      <c r="ET43" s="1154">
        <f t="shared" si="30"/>
        <v>0</v>
      </c>
      <c r="EU43" s="1154">
        <f t="shared" si="31"/>
        <v>0</v>
      </c>
      <c r="EV43" s="1154">
        <f t="shared" si="32"/>
        <v>0</v>
      </c>
      <c r="EW43" s="1154">
        <f t="shared" si="33"/>
        <v>0</v>
      </c>
      <c r="EX43" s="1154">
        <f t="shared" si="34"/>
        <v>0</v>
      </c>
      <c r="EY43" s="1154">
        <f t="shared" si="35"/>
        <v>0</v>
      </c>
      <c r="EZ43" s="1154">
        <f t="shared" si="36"/>
        <v>0</v>
      </c>
      <c r="FA43" s="1174">
        <f t="shared" si="125"/>
        <v>0</v>
      </c>
      <c r="FC43" s="1154">
        <f t="shared" si="38"/>
        <v>0</v>
      </c>
      <c r="FD43" s="1154">
        <f t="shared" si="39"/>
        <v>0</v>
      </c>
      <c r="FE43" s="1154">
        <f t="shared" si="40"/>
        <v>0</v>
      </c>
      <c r="FF43" s="1154">
        <f t="shared" si="41"/>
        <v>0</v>
      </c>
      <c r="FG43" s="1154">
        <f t="shared" si="42"/>
        <v>0</v>
      </c>
      <c r="FH43" s="1154">
        <f t="shared" si="43"/>
        <v>0</v>
      </c>
      <c r="FI43" s="1154">
        <f t="shared" si="44"/>
        <v>0</v>
      </c>
      <c r="FJ43" s="1154">
        <f t="shared" si="45"/>
        <v>0</v>
      </c>
      <c r="FK43" s="1154">
        <f t="shared" si="46"/>
        <v>0</v>
      </c>
      <c r="FL43" s="1154">
        <f t="shared" si="47"/>
        <v>0</v>
      </c>
      <c r="FM43" s="1154">
        <f t="shared" si="48"/>
        <v>0</v>
      </c>
      <c r="FN43" s="1154">
        <f t="shared" si="49"/>
        <v>0</v>
      </c>
      <c r="FO43" s="1154">
        <f t="shared" si="50"/>
        <v>0</v>
      </c>
      <c r="FP43" s="1154">
        <f t="shared" si="51"/>
        <v>0</v>
      </c>
      <c r="FQ43" s="1154">
        <f t="shared" si="52"/>
        <v>0</v>
      </c>
      <c r="FR43" s="1154">
        <f t="shared" si="53"/>
        <v>0</v>
      </c>
      <c r="FS43" s="1154">
        <f t="shared" si="54"/>
        <v>0</v>
      </c>
      <c r="FT43" s="1154">
        <f t="shared" si="55"/>
        <v>0</v>
      </c>
      <c r="FU43" s="1154">
        <f t="shared" si="56"/>
        <v>0</v>
      </c>
      <c r="FV43" s="1154">
        <f t="shared" si="57"/>
        <v>0</v>
      </c>
      <c r="FW43" s="1154">
        <f t="shared" si="58"/>
        <v>0</v>
      </c>
      <c r="FX43" s="1154">
        <f t="shared" si="59"/>
        <v>0</v>
      </c>
      <c r="FY43" s="1154">
        <f t="shared" si="60"/>
        <v>0</v>
      </c>
      <c r="FZ43" s="1154">
        <f t="shared" si="61"/>
        <v>0</v>
      </c>
      <c r="GA43" s="1154">
        <f t="shared" si="62"/>
        <v>0</v>
      </c>
      <c r="GB43" s="1154">
        <f t="shared" si="63"/>
        <v>0</v>
      </c>
      <c r="GC43" s="1154">
        <f t="shared" si="64"/>
        <v>0</v>
      </c>
      <c r="GD43" s="1154">
        <f t="shared" si="65"/>
        <v>0</v>
      </c>
      <c r="GE43" s="1154">
        <f t="shared" si="66"/>
        <v>0</v>
      </c>
      <c r="GF43" s="1154">
        <f t="shared" si="67"/>
        <v>0</v>
      </c>
      <c r="GG43" s="1154">
        <f t="shared" si="68"/>
        <v>0</v>
      </c>
      <c r="GH43" s="1154">
        <f t="shared" si="69"/>
        <v>0</v>
      </c>
      <c r="GI43" s="1154">
        <f t="shared" si="70"/>
        <v>0</v>
      </c>
      <c r="GJ43" s="1154">
        <f t="shared" si="71"/>
        <v>0</v>
      </c>
      <c r="GK43" s="1154">
        <f t="shared" si="72"/>
        <v>0</v>
      </c>
      <c r="GL43" s="1174">
        <f t="shared" si="73"/>
        <v>0</v>
      </c>
    </row>
    <row r="44" spans="2:194">
      <c r="B44" s="1290">
        <f>B43</f>
        <v>0</v>
      </c>
      <c r="C44" s="1289" t="str">
        <f>C43</f>
        <v>West CACHigherVoltage STOUD</v>
      </c>
      <c r="D44" s="1113" t="str">
        <f t="shared" ref="D44:D45" si="126">D43</f>
        <v>West CACHigherVoltage STOUD</v>
      </c>
      <c r="E44" s="1113" t="str">
        <f t="shared" ref="E44:E45" si="127">E43</f>
        <v>CAC</v>
      </c>
      <c r="F44" s="1113" t="str">
        <f t="shared" ref="F44:F45" si="128">F43</f>
        <v>CAC</v>
      </c>
      <c r="G44" s="1113" t="str">
        <f t="shared" ref="G44:G45" si="129">G43</f>
        <v>West</v>
      </c>
      <c r="H44" s="1113" t="str">
        <f t="shared" ref="H44:H45" si="130">H43</f>
        <v>WC66TOU</v>
      </c>
      <c r="I44" s="1114" t="s">
        <v>752</v>
      </c>
      <c r="J44" s="1114" t="s">
        <v>934</v>
      </c>
      <c r="K44" s="1270"/>
      <c r="L44" s="1233">
        <v>75.421999999999997</v>
      </c>
      <c r="M44" s="1007"/>
      <c r="N44" s="1007"/>
      <c r="O44" s="1007"/>
      <c r="P44" s="1007"/>
      <c r="Q44" s="1007"/>
      <c r="R44" s="1007"/>
      <c r="S44" s="1233">
        <v>1.474</v>
      </c>
      <c r="T44" s="1007"/>
      <c r="U44" s="1007"/>
      <c r="V44" s="1007"/>
      <c r="W44" s="1007"/>
      <c r="X44" s="1007"/>
      <c r="Y44" s="1007"/>
      <c r="Z44" s="1007"/>
      <c r="AA44" s="1007"/>
      <c r="AB44" s="1007"/>
      <c r="AC44" s="1007"/>
      <c r="AD44" s="1007"/>
      <c r="AE44" s="1007"/>
      <c r="AF44" s="1007"/>
      <c r="AG44" s="1007"/>
      <c r="AH44" s="1007"/>
      <c r="AI44" s="1224">
        <v>1.1937631525536712E-2</v>
      </c>
      <c r="AJ44" s="1005"/>
      <c r="AK44" s="1005"/>
      <c r="AL44" s="1005"/>
      <c r="AM44" s="1005"/>
      <c r="AN44" s="1005"/>
      <c r="AO44" s="1005"/>
      <c r="AP44" s="1005"/>
      <c r="AQ44" s="1005"/>
      <c r="AR44" s="1005"/>
      <c r="AS44" s="1005"/>
      <c r="AT44" s="1005"/>
      <c r="AU44" s="1206"/>
      <c r="AV44" s="1270"/>
      <c r="AW44" s="1482">
        <v>75.421999999999997</v>
      </c>
      <c r="AX44" s="1007"/>
      <c r="AY44" s="1007"/>
      <c r="AZ44" s="1007"/>
      <c r="BA44" s="1007"/>
      <c r="BB44" s="1007"/>
      <c r="BC44" s="1007"/>
      <c r="BD44" s="1482">
        <v>1.474</v>
      </c>
      <c r="BE44" s="1007"/>
      <c r="BF44" s="1007"/>
      <c r="BG44" s="1007"/>
      <c r="BH44" s="1007"/>
      <c r="BI44" s="1007"/>
      <c r="BJ44" s="1007"/>
      <c r="BK44" s="1007"/>
      <c r="BL44" s="1007"/>
      <c r="BM44" s="1007"/>
      <c r="BN44" s="1007"/>
      <c r="BO44" s="1007"/>
      <c r="BP44" s="1007"/>
      <c r="BQ44" s="1007"/>
      <c r="BR44" s="1007"/>
      <c r="BS44" s="1007"/>
      <c r="BT44" s="1482">
        <v>1.1979999999999999E-2</v>
      </c>
      <c r="BU44" s="1007"/>
      <c r="BV44" s="1007"/>
      <c r="BW44" s="1007"/>
      <c r="BX44" s="1007"/>
      <c r="BY44" s="1007"/>
      <c r="BZ44" s="1007"/>
      <c r="CA44" s="1007"/>
      <c r="CB44" s="1007"/>
      <c r="CC44" s="1007"/>
      <c r="CD44" s="1007"/>
      <c r="CE44" s="1007"/>
      <c r="CF44" s="1007"/>
      <c r="CG44" s="1209"/>
      <c r="CH44" s="1236">
        <v>0</v>
      </c>
      <c r="CI44" s="1007"/>
      <c r="CJ44" s="1007"/>
      <c r="CK44" s="1007"/>
      <c r="CL44" s="1007"/>
      <c r="CM44" s="1007"/>
      <c r="CN44" s="1007"/>
      <c r="CO44" s="1236">
        <v>0</v>
      </c>
      <c r="CP44" s="1007"/>
      <c r="CQ44" s="1007"/>
      <c r="CR44" s="1007"/>
      <c r="CS44" s="1007"/>
      <c r="CT44" s="1007"/>
      <c r="CU44" s="1007"/>
      <c r="CV44" s="1007"/>
      <c r="CW44" s="1007"/>
      <c r="CX44" s="1007"/>
      <c r="CY44" s="1007"/>
      <c r="CZ44" s="1007"/>
      <c r="DA44" s="1007"/>
      <c r="DB44" s="1007"/>
      <c r="DC44" s="1007"/>
      <c r="DD44" s="1007"/>
      <c r="DE44" s="1236">
        <v>0</v>
      </c>
      <c r="DF44" s="1007"/>
      <c r="DG44" s="1007"/>
      <c r="DH44" s="1007"/>
      <c r="DI44" s="1006"/>
      <c r="DJ44" s="1006"/>
      <c r="DK44" s="1007"/>
      <c r="DL44" s="1007"/>
      <c r="DM44" s="1007"/>
      <c r="DN44" s="1007"/>
      <c r="DO44" s="1112"/>
      <c r="DP44" s="1112"/>
      <c r="DQ44" s="1270"/>
      <c r="DR44" s="1154">
        <f t="shared" si="2"/>
        <v>0</v>
      </c>
      <c r="DS44" s="1154">
        <f t="shared" si="3"/>
        <v>0</v>
      </c>
      <c r="DT44" s="1154">
        <f t="shared" si="4"/>
        <v>0</v>
      </c>
      <c r="DU44" s="1154">
        <f t="shared" si="5"/>
        <v>0</v>
      </c>
      <c r="DV44" s="1154">
        <f t="shared" si="6"/>
        <v>0</v>
      </c>
      <c r="DW44" s="1154">
        <f t="shared" si="7"/>
        <v>0</v>
      </c>
      <c r="DX44" s="1154">
        <f t="shared" si="8"/>
        <v>0</v>
      </c>
      <c r="DY44" s="1154">
        <f t="shared" si="9"/>
        <v>0</v>
      </c>
      <c r="DZ44" s="1154">
        <f t="shared" si="10"/>
        <v>0</v>
      </c>
      <c r="EA44" s="1154">
        <f t="shared" si="11"/>
        <v>0</v>
      </c>
      <c r="EB44" s="1154">
        <f t="shared" si="12"/>
        <v>0</v>
      </c>
      <c r="EC44" s="1154">
        <f t="shared" si="13"/>
        <v>0</v>
      </c>
      <c r="ED44" s="1154">
        <f t="shared" si="14"/>
        <v>0</v>
      </c>
      <c r="EE44" s="1154">
        <f t="shared" si="15"/>
        <v>0</v>
      </c>
      <c r="EF44" s="1154">
        <f t="shared" si="16"/>
        <v>0</v>
      </c>
      <c r="EG44" s="1154">
        <f t="shared" si="17"/>
        <v>0</v>
      </c>
      <c r="EH44" s="1154">
        <f t="shared" si="18"/>
        <v>0</v>
      </c>
      <c r="EI44" s="1154">
        <f t="shared" si="19"/>
        <v>0</v>
      </c>
      <c r="EJ44" s="1154">
        <f t="shared" si="20"/>
        <v>0</v>
      </c>
      <c r="EK44" s="1154">
        <f t="shared" si="21"/>
        <v>0</v>
      </c>
      <c r="EL44" s="1154">
        <f t="shared" si="22"/>
        <v>0</v>
      </c>
      <c r="EM44" s="1154">
        <f t="shared" si="23"/>
        <v>0</v>
      </c>
      <c r="EN44" s="1154">
        <f t="shared" si="24"/>
        <v>0</v>
      </c>
      <c r="EO44" s="1154">
        <f t="shared" si="25"/>
        <v>0</v>
      </c>
      <c r="EP44" s="1154">
        <f t="shared" si="26"/>
        <v>0</v>
      </c>
      <c r="EQ44" s="1154">
        <f t="shared" si="27"/>
        <v>0</v>
      </c>
      <c r="ER44" s="1154">
        <f t="shared" si="28"/>
        <v>0</v>
      </c>
      <c r="ES44" s="1154">
        <f t="shared" si="29"/>
        <v>0</v>
      </c>
      <c r="ET44" s="1154">
        <f t="shared" si="30"/>
        <v>0</v>
      </c>
      <c r="EU44" s="1154">
        <f t="shared" si="31"/>
        <v>0</v>
      </c>
      <c r="EV44" s="1154">
        <f t="shared" si="32"/>
        <v>0</v>
      </c>
      <c r="EW44" s="1154">
        <f t="shared" si="33"/>
        <v>0</v>
      </c>
      <c r="EX44" s="1154">
        <f t="shared" si="34"/>
        <v>0</v>
      </c>
      <c r="EY44" s="1154">
        <f t="shared" si="35"/>
        <v>0</v>
      </c>
      <c r="EZ44" s="1154">
        <f t="shared" si="36"/>
        <v>0</v>
      </c>
      <c r="FA44" s="1174">
        <f t="shared" si="125"/>
        <v>0</v>
      </c>
      <c r="FC44" s="1154">
        <f t="shared" si="38"/>
        <v>0</v>
      </c>
      <c r="FD44" s="1154">
        <f t="shared" si="39"/>
        <v>0</v>
      </c>
      <c r="FE44" s="1154">
        <f t="shared" si="40"/>
        <v>0</v>
      </c>
      <c r="FF44" s="1154">
        <f t="shared" si="41"/>
        <v>0</v>
      </c>
      <c r="FG44" s="1154">
        <f t="shared" si="42"/>
        <v>0</v>
      </c>
      <c r="FH44" s="1154">
        <f t="shared" si="43"/>
        <v>0</v>
      </c>
      <c r="FI44" s="1154">
        <f t="shared" si="44"/>
        <v>0</v>
      </c>
      <c r="FJ44" s="1154">
        <f t="shared" si="45"/>
        <v>0</v>
      </c>
      <c r="FK44" s="1154">
        <f t="shared" si="46"/>
        <v>0</v>
      </c>
      <c r="FL44" s="1154">
        <f t="shared" si="47"/>
        <v>0</v>
      </c>
      <c r="FM44" s="1154">
        <f t="shared" si="48"/>
        <v>0</v>
      </c>
      <c r="FN44" s="1154">
        <f t="shared" si="49"/>
        <v>0</v>
      </c>
      <c r="FO44" s="1154">
        <f t="shared" si="50"/>
        <v>0</v>
      </c>
      <c r="FP44" s="1154">
        <f t="shared" si="51"/>
        <v>0</v>
      </c>
      <c r="FQ44" s="1154">
        <f t="shared" si="52"/>
        <v>0</v>
      </c>
      <c r="FR44" s="1154">
        <f t="shared" si="53"/>
        <v>0</v>
      </c>
      <c r="FS44" s="1154">
        <f t="shared" si="54"/>
        <v>0</v>
      </c>
      <c r="FT44" s="1154">
        <f t="shared" si="55"/>
        <v>0</v>
      </c>
      <c r="FU44" s="1154">
        <f t="shared" si="56"/>
        <v>0</v>
      </c>
      <c r="FV44" s="1154">
        <f t="shared" si="57"/>
        <v>0</v>
      </c>
      <c r="FW44" s="1154">
        <f t="shared" si="58"/>
        <v>0</v>
      </c>
      <c r="FX44" s="1154">
        <f t="shared" si="59"/>
        <v>0</v>
      </c>
      <c r="FY44" s="1154">
        <f t="shared" si="60"/>
        <v>0</v>
      </c>
      <c r="FZ44" s="1154">
        <f t="shared" si="61"/>
        <v>0</v>
      </c>
      <c r="GA44" s="1154">
        <f t="shared" si="62"/>
        <v>0</v>
      </c>
      <c r="GB44" s="1154">
        <f t="shared" si="63"/>
        <v>0</v>
      </c>
      <c r="GC44" s="1154">
        <f t="shared" si="64"/>
        <v>0</v>
      </c>
      <c r="GD44" s="1154">
        <f t="shared" si="65"/>
        <v>0</v>
      </c>
      <c r="GE44" s="1154">
        <f t="shared" si="66"/>
        <v>0</v>
      </c>
      <c r="GF44" s="1154">
        <f t="shared" si="67"/>
        <v>0</v>
      </c>
      <c r="GG44" s="1154">
        <f t="shared" si="68"/>
        <v>0</v>
      </c>
      <c r="GH44" s="1154">
        <f t="shared" si="69"/>
        <v>0</v>
      </c>
      <c r="GI44" s="1154">
        <f t="shared" si="70"/>
        <v>0</v>
      </c>
      <c r="GJ44" s="1154">
        <f t="shared" si="71"/>
        <v>0</v>
      </c>
      <c r="GK44" s="1154">
        <f t="shared" si="72"/>
        <v>0</v>
      </c>
      <c r="GL44" s="1174">
        <f t="shared" si="73"/>
        <v>0</v>
      </c>
    </row>
    <row r="45" spans="2:194">
      <c r="B45" s="1290">
        <f>B44</f>
        <v>0</v>
      </c>
      <c r="C45" s="1289" t="str">
        <f>C44</f>
        <v>West CACHigherVoltage STOUD</v>
      </c>
      <c r="D45" s="1113" t="str">
        <f t="shared" si="126"/>
        <v>West CACHigherVoltage STOUD</v>
      </c>
      <c r="E45" s="1113" t="str">
        <f t="shared" si="127"/>
        <v>CAC</v>
      </c>
      <c r="F45" s="1113" t="str">
        <f t="shared" si="128"/>
        <v>CAC</v>
      </c>
      <c r="G45" s="1113" t="str">
        <f t="shared" si="129"/>
        <v>West</v>
      </c>
      <c r="H45" s="1113" t="str">
        <f t="shared" si="130"/>
        <v>WC66TOU</v>
      </c>
      <c r="I45" s="1114" t="s">
        <v>759</v>
      </c>
      <c r="J45" s="1114" t="s">
        <v>934</v>
      </c>
      <c r="K45" s="1270"/>
      <c r="L45" s="1233">
        <v>70.440599999999989</v>
      </c>
      <c r="M45" s="1007"/>
      <c r="N45" s="1007"/>
      <c r="O45" s="1007"/>
      <c r="P45" s="1007"/>
      <c r="Q45" s="1007"/>
      <c r="R45" s="1007"/>
      <c r="S45" s="1233">
        <v>2.7227000000000001</v>
      </c>
      <c r="T45" s="1007"/>
      <c r="U45" s="1007"/>
      <c r="V45" s="1007"/>
      <c r="W45" s="1007"/>
      <c r="X45" s="1007"/>
      <c r="Y45" s="1007"/>
      <c r="Z45" s="1007"/>
      <c r="AA45" s="1007"/>
      <c r="AB45" s="1007"/>
      <c r="AC45" s="1007"/>
      <c r="AD45" s="1007"/>
      <c r="AE45" s="1007"/>
      <c r="AF45" s="1007"/>
      <c r="AG45" s="1007"/>
      <c r="AH45" s="1007"/>
      <c r="AI45" s="1224">
        <v>1.3562911090201862E-2</v>
      </c>
      <c r="AJ45" s="1005"/>
      <c r="AK45" s="1005"/>
      <c r="AL45" s="1005"/>
      <c r="AM45" s="1005"/>
      <c r="AN45" s="1005"/>
      <c r="AO45" s="1005"/>
      <c r="AP45" s="1005"/>
      <c r="AQ45" s="1005"/>
      <c r="AR45" s="1005"/>
      <c r="AS45" s="1005"/>
      <c r="AT45" s="1005"/>
      <c r="AU45" s="1206"/>
      <c r="AV45" s="1270"/>
      <c r="AW45" s="1482">
        <v>74.147999999999996</v>
      </c>
      <c r="AX45" s="1007"/>
      <c r="AY45" s="1007"/>
      <c r="AZ45" s="1007"/>
      <c r="BA45" s="1007"/>
      <c r="BB45" s="1007"/>
      <c r="BC45" s="1007"/>
      <c r="BD45" s="1482">
        <v>2.8660000000000001</v>
      </c>
      <c r="BE45" s="1007"/>
      <c r="BF45" s="1007"/>
      <c r="BG45" s="1007"/>
      <c r="BH45" s="1007"/>
      <c r="BI45" s="1007"/>
      <c r="BJ45" s="1007"/>
      <c r="BK45" s="1007"/>
      <c r="BL45" s="1007"/>
      <c r="BM45" s="1007"/>
      <c r="BN45" s="1007"/>
      <c r="BO45" s="1007"/>
      <c r="BP45" s="1007"/>
      <c r="BQ45" s="1007"/>
      <c r="BR45" s="1007"/>
      <c r="BS45" s="1007"/>
      <c r="BT45" s="1482">
        <v>1.49E-2</v>
      </c>
      <c r="BU45" s="1007"/>
      <c r="BV45" s="1007"/>
      <c r="BW45" s="1007"/>
      <c r="BX45" s="1007"/>
      <c r="BY45" s="1007"/>
      <c r="BZ45" s="1007"/>
      <c r="CA45" s="1007"/>
      <c r="CB45" s="1007"/>
      <c r="CC45" s="1007"/>
      <c r="CD45" s="1007"/>
      <c r="CE45" s="1007"/>
      <c r="CF45" s="1007"/>
      <c r="CG45" s="1209"/>
      <c r="CH45" s="1236">
        <v>0</v>
      </c>
      <c r="CI45" s="1007"/>
      <c r="CJ45" s="1007"/>
      <c r="CK45" s="1007"/>
      <c r="CL45" s="1007"/>
      <c r="CM45" s="1007"/>
      <c r="CN45" s="1007"/>
      <c r="CO45" s="1236">
        <v>0</v>
      </c>
      <c r="CP45" s="1007"/>
      <c r="CQ45" s="1007"/>
      <c r="CR45" s="1007"/>
      <c r="CS45" s="1007"/>
      <c r="CT45" s="1007"/>
      <c r="CU45" s="1007"/>
      <c r="CV45" s="1007"/>
      <c r="CW45" s="1007"/>
      <c r="CX45" s="1007"/>
      <c r="CY45" s="1007"/>
      <c r="CZ45" s="1007"/>
      <c r="DA45" s="1007"/>
      <c r="DB45" s="1007"/>
      <c r="DC45" s="1007"/>
      <c r="DD45" s="1007"/>
      <c r="DE45" s="1236">
        <v>0</v>
      </c>
      <c r="DF45" s="1007"/>
      <c r="DG45" s="1007"/>
      <c r="DH45" s="1007"/>
      <c r="DI45" s="1006"/>
      <c r="DJ45" s="1006"/>
      <c r="DK45" s="1007"/>
      <c r="DL45" s="1007"/>
      <c r="DM45" s="1007"/>
      <c r="DN45" s="1007"/>
      <c r="DO45" s="1112"/>
      <c r="DP45" s="1112"/>
      <c r="DQ45" s="1270"/>
      <c r="DR45" s="1154">
        <f t="shared" si="2"/>
        <v>0</v>
      </c>
      <c r="DS45" s="1154">
        <f t="shared" si="3"/>
        <v>0</v>
      </c>
      <c r="DT45" s="1154">
        <f t="shared" si="4"/>
        <v>0</v>
      </c>
      <c r="DU45" s="1154">
        <f t="shared" si="5"/>
        <v>0</v>
      </c>
      <c r="DV45" s="1154">
        <f t="shared" si="6"/>
        <v>0</v>
      </c>
      <c r="DW45" s="1154">
        <f t="shared" si="7"/>
        <v>0</v>
      </c>
      <c r="DX45" s="1154">
        <f t="shared" si="8"/>
        <v>0</v>
      </c>
      <c r="DY45" s="1154">
        <f t="shared" si="9"/>
        <v>0</v>
      </c>
      <c r="DZ45" s="1154">
        <f t="shared" si="10"/>
        <v>0</v>
      </c>
      <c r="EA45" s="1154">
        <f t="shared" si="11"/>
        <v>0</v>
      </c>
      <c r="EB45" s="1154">
        <f t="shared" si="12"/>
        <v>0</v>
      </c>
      <c r="EC45" s="1154">
        <f t="shared" si="13"/>
        <v>0</v>
      </c>
      <c r="ED45" s="1154">
        <f t="shared" si="14"/>
        <v>0</v>
      </c>
      <c r="EE45" s="1154">
        <f t="shared" si="15"/>
        <v>0</v>
      </c>
      <c r="EF45" s="1154">
        <f t="shared" si="16"/>
        <v>0</v>
      </c>
      <c r="EG45" s="1154">
        <f t="shared" si="17"/>
        <v>0</v>
      </c>
      <c r="EH45" s="1154">
        <f t="shared" si="18"/>
        <v>0</v>
      </c>
      <c r="EI45" s="1154">
        <f t="shared" si="19"/>
        <v>0</v>
      </c>
      <c r="EJ45" s="1154">
        <f t="shared" si="20"/>
        <v>0</v>
      </c>
      <c r="EK45" s="1154">
        <f t="shared" si="21"/>
        <v>0</v>
      </c>
      <c r="EL45" s="1154">
        <f t="shared" si="22"/>
        <v>0</v>
      </c>
      <c r="EM45" s="1154">
        <f t="shared" si="23"/>
        <v>0</v>
      </c>
      <c r="EN45" s="1154">
        <f t="shared" si="24"/>
        <v>0</v>
      </c>
      <c r="EO45" s="1154">
        <f t="shared" si="25"/>
        <v>0</v>
      </c>
      <c r="EP45" s="1154">
        <f t="shared" si="26"/>
        <v>0</v>
      </c>
      <c r="EQ45" s="1154">
        <f t="shared" si="27"/>
        <v>0</v>
      </c>
      <c r="ER45" s="1154">
        <f t="shared" si="28"/>
        <v>0</v>
      </c>
      <c r="ES45" s="1154">
        <f t="shared" si="29"/>
        <v>0</v>
      </c>
      <c r="ET45" s="1154">
        <f t="shared" si="30"/>
        <v>0</v>
      </c>
      <c r="EU45" s="1154">
        <f t="shared" si="31"/>
        <v>0</v>
      </c>
      <c r="EV45" s="1154">
        <f t="shared" si="32"/>
        <v>0</v>
      </c>
      <c r="EW45" s="1154">
        <f t="shared" si="33"/>
        <v>0</v>
      </c>
      <c r="EX45" s="1154">
        <f t="shared" si="34"/>
        <v>0</v>
      </c>
      <c r="EY45" s="1154">
        <f t="shared" si="35"/>
        <v>0</v>
      </c>
      <c r="EZ45" s="1154">
        <f t="shared" si="36"/>
        <v>0</v>
      </c>
      <c r="FA45" s="1174">
        <f t="shared" si="125"/>
        <v>0</v>
      </c>
      <c r="FC45" s="1154">
        <f t="shared" si="38"/>
        <v>0</v>
      </c>
      <c r="FD45" s="1154">
        <f t="shared" si="39"/>
        <v>0</v>
      </c>
      <c r="FE45" s="1154">
        <f t="shared" si="40"/>
        <v>0</v>
      </c>
      <c r="FF45" s="1154">
        <f t="shared" si="41"/>
        <v>0</v>
      </c>
      <c r="FG45" s="1154">
        <f t="shared" si="42"/>
        <v>0</v>
      </c>
      <c r="FH45" s="1154">
        <f t="shared" si="43"/>
        <v>0</v>
      </c>
      <c r="FI45" s="1154">
        <f t="shared" si="44"/>
        <v>0</v>
      </c>
      <c r="FJ45" s="1154">
        <f t="shared" si="45"/>
        <v>0</v>
      </c>
      <c r="FK45" s="1154">
        <f t="shared" si="46"/>
        <v>0</v>
      </c>
      <c r="FL45" s="1154">
        <f t="shared" si="47"/>
        <v>0</v>
      </c>
      <c r="FM45" s="1154">
        <f t="shared" si="48"/>
        <v>0</v>
      </c>
      <c r="FN45" s="1154">
        <f t="shared" si="49"/>
        <v>0</v>
      </c>
      <c r="FO45" s="1154">
        <f t="shared" si="50"/>
        <v>0</v>
      </c>
      <c r="FP45" s="1154">
        <f t="shared" si="51"/>
        <v>0</v>
      </c>
      <c r="FQ45" s="1154">
        <f t="shared" si="52"/>
        <v>0</v>
      </c>
      <c r="FR45" s="1154">
        <f t="shared" si="53"/>
        <v>0</v>
      </c>
      <c r="FS45" s="1154">
        <f t="shared" si="54"/>
        <v>0</v>
      </c>
      <c r="FT45" s="1154">
        <f t="shared" si="55"/>
        <v>0</v>
      </c>
      <c r="FU45" s="1154">
        <f t="shared" si="56"/>
        <v>0</v>
      </c>
      <c r="FV45" s="1154">
        <f t="shared" si="57"/>
        <v>0</v>
      </c>
      <c r="FW45" s="1154">
        <f t="shared" si="58"/>
        <v>0</v>
      </c>
      <c r="FX45" s="1154">
        <f t="shared" si="59"/>
        <v>0</v>
      </c>
      <c r="FY45" s="1154">
        <f t="shared" si="60"/>
        <v>0</v>
      </c>
      <c r="FZ45" s="1154">
        <f t="shared" si="61"/>
        <v>0</v>
      </c>
      <c r="GA45" s="1154">
        <f t="shared" si="62"/>
        <v>0</v>
      </c>
      <c r="GB45" s="1154">
        <f t="shared" si="63"/>
        <v>0</v>
      </c>
      <c r="GC45" s="1154">
        <f t="shared" si="64"/>
        <v>0</v>
      </c>
      <c r="GD45" s="1154">
        <f t="shared" si="65"/>
        <v>0</v>
      </c>
      <c r="GE45" s="1154">
        <f t="shared" si="66"/>
        <v>0</v>
      </c>
      <c r="GF45" s="1154">
        <f t="shared" si="67"/>
        <v>0</v>
      </c>
      <c r="GG45" s="1154">
        <f t="shared" si="68"/>
        <v>0</v>
      </c>
      <c r="GH45" s="1154">
        <f t="shared" si="69"/>
        <v>0</v>
      </c>
      <c r="GI45" s="1154">
        <f t="shared" si="70"/>
        <v>0</v>
      </c>
      <c r="GJ45" s="1154">
        <f t="shared" si="71"/>
        <v>0</v>
      </c>
      <c r="GK45" s="1154">
        <f t="shared" si="72"/>
        <v>0</v>
      </c>
      <c r="GL45" s="1174">
        <f t="shared" si="73"/>
        <v>0</v>
      </c>
    </row>
    <row r="46" spans="2:194">
      <c r="B46" s="1290">
        <f>Prop2021DUOSTariffs!B22</f>
        <v>0</v>
      </c>
      <c r="C46" s="1289" t="str">
        <f>Prop2021DUOSTariffs!C22</f>
        <v>West CAC22/11kVBus STOUD</v>
      </c>
      <c r="D46" s="1113" t="str">
        <f>Prop2021DUOSTariffs!D22</f>
        <v>West CAC22/11kVBus STOUD</v>
      </c>
      <c r="E46" s="1113" t="str">
        <f>Prop2021DUOSTariffs!E22</f>
        <v>CAC</v>
      </c>
      <c r="F46" s="1113" t="str">
        <f>Prop2021DUOSTariffs!F22</f>
        <v>CAC</v>
      </c>
      <c r="G46" s="1113" t="str">
        <f>Prop2021DUOSTariffs!G22</f>
        <v>West</v>
      </c>
      <c r="H46" s="1113" t="str">
        <f>IF(Prop2021DUOSTariffs!H22="","",Prop2021DUOSTariffs!H22)</f>
        <v>WC22BTOU</v>
      </c>
      <c r="I46" s="1114" t="s">
        <v>798</v>
      </c>
      <c r="J46" s="1114" t="s">
        <v>934</v>
      </c>
      <c r="K46" s="1207"/>
      <c r="L46" s="1233">
        <v>109.52604000000001</v>
      </c>
      <c r="M46" s="1007"/>
      <c r="N46" s="1007"/>
      <c r="O46" s="1007"/>
      <c r="P46" s="1007"/>
      <c r="Q46" s="1007"/>
      <c r="R46" s="1007"/>
      <c r="S46" s="1233">
        <v>0.71820000000000006</v>
      </c>
      <c r="T46" s="1007"/>
      <c r="U46" s="1007"/>
      <c r="V46" s="1007"/>
      <c r="W46" s="1007"/>
      <c r="X46" s="1007"/>
      <c r="Y46" s="1007"/>
      <c r="Z46" s="1007"/>
      <c r="AA46" s="1007"/>
      <c r="AB46" s="1007"/>
      <c r="AC46" s="1007"/>
      <c r="AD46" s="1007"/>
      <c r="AE46" s="1007"/>
      <c r="AF46" s="1007"/>
      <c r="AG46" s="1007"/>
      <c r="AH46" s="1007"/>
      <c r="AI46" s="1224">
        <v>1.0079303034553634E-2</v>
      </c>
      <c r="AJ46" s="1005"/>
      <c r="AK46" s="1005"/>
      <c r="AL46" s="1005"/>
      <c r="AM46" s="1005"/>
      <c r="AN46" s="1005"/>
      <c r="AO46" s="1005"/>
      <c r="AP46" s="1005"/>
      <c r="AQ46" s="1005"/>
      <c r="AR46" s="1005"/>
      <c r="AS46" s="1005"/>
      <c r="AT46" s="1005"/>
      <c r="AU46" s="1206"/>
      <c r="AV46" s="1207"/>
      <c r="AW46" s="1482">
        <v>0</v>
      </c>
      <c r="AX46" s="1007"/>
      <c r="AY46" s="1007"/>
      <c r="AZ46" s="1007"/>
      <c r="BA46" s="1007"/>
      <c r="BB46" s="1007"/>
      <c r="BC46" s="1007"/>
      <c r="BD46" s="1482">
        <v>0</v>
      </c>
      <c r="BE46" s="1007"/>
      <c r="BF46" s="1007"/>
      <c r="BG46" s="1007"/>
      <c r="BH46" s="1007"/>
      <c r="BI46" s="1007"/>
      <c r="BJ46" s="1007"/>
      <c r="BK46" s="1007"/>
      <c r="BL46" s="1007"/>
      <c r="BM46" s="1007"/>
      <c r="BN46" s="1007"/>
      <c r="BO46" s="1007"/>
      <c r="BP46" s="1007"/>
      <c r="BQ46" s="1007"/>
      <c r="BR46" s="1007"/>
      <c r="BS46" s="1007"/>
      <c r="BT46" s="1482">
        <v>0</v>
      </c>
      <c r="BU46" s="1007"/>
      <c r="BV46" s="1007"/>
      <c r="BW46" s="1007"/>
      <c r="BX46" s="1007"/>
      <c r="BY46" s="1007"/>
      <c r="BZ46" s="1007"/>
      <c r="CA46" s="1007"/>
      <c r="CB46" s="1007"/>
      <c r="CC46" s="1007"/>
      <c r="CD46" s="1007"/>
      <c r="CE46" s="1007"/>
      <c r="CF46" s="1007"/>
      <c r="CG46" s="1209"/>
      <c r="CH46" s="1236">
        <v>0</v>
      </c>
      <c r="CI46" s="1007"/>
      <c r="CJ46" s="1007"/>
      <c r="CK46" s="1007"/>
      <c r="CL46" s="1007"/>
      <c r="CM46" s="1007"/>
      <c r="CN46" s="1007"/>
      <c r="CO46" s="1236">
        <v>0</v>
      </c>
      <c r="CP46" s="1007"/>
      <c r="CQ46" s="1007"/>
      <c r="CR46" s="1007"/>
      <c r="CS46" s="1007"/>
      <c r="CT46" s="1007"/>
      <c r="CU46" s="1007"/>
      <c r="CV46" s="1007"/>
      <c r="CW46" s="1007"/>
      <c r="CX46" s="1007"/>
      <c r="CY46" s="1007"/>
      <c r="CZ46" s="1007"/>
      <c r="DA46" s="1007"/>
      <c r="DB46" s="1007"/>
      <c r="DC46" s="1007"/>
      <c r="DD46" s="1007"/>
      <c r="DE46" s="1236">
        <v>0</v>
      </c>
      <c r="DF46" s="1007"/>
      <c r="DG46" s="1007"/>
      <c r="DH46" s="1007"/>
      <c r="DI46" s="1006"/>
      <c r="DJ46" s="1006"/>
      <c r="DK46" s="1007"/>
      <c r="DL46" s="1007"/>
      <c r="DM46" s="1007"/>
      <c r="DN46" s="1007"/>
      <c r="DO46" s="1112"/>
      <c r="DP46" s="1112"/>
      <c r="DQ46" s="1207"/>
      <c r="DR46" s="1154">
        <f t="shared" si="2"/>
        <v>0</v>
      </c>
      <c r="DS46" s="1154">
        <f t="shared" si="3"/>
        <v>0</v>
      </c>
      <c r="DT46" s="1154">
        <f t="shared" si="4"/>
        <v>0</v>
      </c>
      <c r="DU46" s="1154">
        <f t="shared" si="5"/>
        <v>0</v>
      </c>
      <c r="DV46" s="1154">
        <f t="shared" si="6"/>
        <v>0</v>
      </c>
      <c r="DW46" s="1154">
        <f t="shared" si="7"/>
        <v>0</v>
      </c>
      <c r="DX46" s="1154">
        <f t="shared" si="8"/>
        <v>0</v>
      </c>
      <c r="DY46" s="1154">
        <f t="shared" si="9"/>
        <v>0</v>
      </c>
      <c r="DZ46" s="1154">
        <f t="shared" si="10"/>
        <v>0</v>
      </c>
      <c r="EA46" s="1154">
        <f t="shared" si="11"/>
        <v>0</v>
      </c>
      <c r="EB46" s="1154">
        <f t="shared" si="12"/>
        <v>0</v>
      </c>
      <c r="EC46" s="1154">
        <f t="shared" si="13"/>
        <v>0</v>
      </c>
      <c r="ED46" s="1154">
        <f t="shared" si="14"/>
        <v>0</v>
      </c>
      <c r="EE46" s="1154">
        <f t="shared" si="15"/>
        <v>0</v>
      </c>
      <c r="EF46" s="1154">
        <f t="shared" si="16"/>
        <v>0</v>
      </c>
      <c r="EG46" s="1154">
        <f t="shared" si="17"/>
        <v>0</v>
      </c>
      <c r="EH46" s="1154">
        <f t="shared" si="18"/>
        <v>0</v>
      </c>
      <c r="EI46" s="1154">
        <f t="shared" si="19"/>
        <v>0</v>
      </c>
      <c r="EJ46" s="1154">
        <f t="shared" si="20"/>
        <v>0</v>
      </c>
      <c r="EK46" s="1154">
        <f t="shared" si="21"/>
        <v>0</v>
      </c>
      <c r="EL46" s="1154">
        <f t="shared" si="22"/>
        <v>0</v>
      </c>
      <c r="EM46" s="1154">
        <f t="shared" si="23"/>
        <v>0</v>
      </c>
      <c r="EN46" s="1154">
        <f t="shared" si="24"/>
        <v>0</v>
      </c>
      <c r="EO46" s="1154">
        <f t="shared" si="25"/>
        <v>0</v>
      </c>
      <c r="EP46" s="1154">
        <f t="shared" si="26"/>
        <v>0</v>
      </c>
      <c r="EQ46" s="1154">
        <f t="shared" si="27"/>
        <v>0</v>
      </c>
      <c r="ER46" s="1154">
        <f t="shared" si="28"/>
        <v>0</v>
      </c>
      <c r="ES46" s="1154">
        <f t="shared" si="29"/>
        <v>0</v>
      </c>
      <c r="ET46" s="1154">
        <f t="shared" si="30"/>
        <v>0</v>
      </c>
      <c r="EU46" s="1154">
        <f t="shared" si="31"/>
        <v>0</v>
      </c>
      <c r="EV46" s="1154">
        <f t="shared" si="32"/>
        <v>0</v>
      </c>
      <c r="EW46" s="1154">
        <f t="shared" si="33"/>
        <v>0</v>
      </c>
      <c r="EX46" s="1154">
        <f t="shared" si="34"/>
        <v>0</v>
      </c>
      <c r="EY46" s="1154">
        <f t="shared" si="35"/>
        <v>0</v>
      </c>
      <c r="EZ46" s="1154">
        <f t="shared" si="36"/>
        <v>0</v>
      </c>
      <c r="FA46" s="1174">
        <f t="shared" si="125"/>
        <v>0</v>
      </c>
      <c r="FC46" s="1154">
        <f t="shared" si="38"/>
        <v>0</v>
      </c>
      <c r="FD46" s="1154">
        <f t="shared" si="39"/>
        <v>0</v>
      </c>
      <c r="FE46" s="1154">
        <f t="shared" si="40"/>
        <v>0</v>
      </c>
      <c r="FF46" s="1154">
        <f t="shared" si="41"/>
        <v>0</v>
      </c>
      <c r="FG46" s="1154">
        <f t="shared" si="42"/>
        <v>0</v>
      </c>
      <c r="FH46" s="1154">
        <f t="shared" si="43"/>
        <v>0</v>
      </c>
      <c r="FI46" s="1154">
        <f t="shared" si="44"/>
        <v>0</v>
      </c>
      <c r="FJ46" s="1154">
        <f t="shared" si="45"/>
        <v>0</v>
      </c>
      <c r="FK46" s="1154">
        <f t="shared" si="46"/>
        <v>0</v>
      </c>
      <c r="FL46" s="1154">
        <f t="shared" si="47"/>
        <v>0</v>
      </c>
      <c r="FM46" s="1154">
        <f t="shared" si="48"/>
        <v>0</v>
      </c>
      <c r="FN46" s="1154">
        <f t="shared" si="49"/>
        <v>0</v>
      </c>
      <c r="FO46" s="1154">
        <f t="shared" si="50"/>
        <v>0</v>
      </c>
      <c r="FP46" s="1154">
        <f t="shared" si="51"/>
        <v>0</v>
      </c>
      <c r="FQ46" s="1154">
        <f t="shared" si="52"/>
        <v>0</v>
      </c>
      <c r="FR46" s="1154">
        <f t="shared" si="53"/>
        <v>0</v>
      </c>
      <c r="FS46" s="1154">
        <f t="shared" si="54"/>
        <v>0</v>
      </c>
      <c r="FT46" s="1154">
        <f t="shared" si="55"/>
        <v>0</v>
      </c>
      <c r="FU46" s="1154">
        <f t="shared" si="56"/>
        <v>0</v>
      </c>
      <c r="FV46" s="1154">
        <f t="shared" si="57"/>
        <v>0</v>
      </c>
      <c r="FW46" s="1154">
        <f t="shared" si="58"/>
        <v>0</v>
      </c>
      <c r="FX46" s="1154">
        <f t="shared" si="59"/>
        <v>0</v>
      </c>
      <c r="FY46" s="1154">
        <f t="shared" si="60"/>
        <v>0</v>
      </c>
      <c r="FZ46" s="1154">
        <f t="shared" si="61"/>
        <v>0</v>
      </c>
      <c r="GA46" s="1154">
        <f t="shared" si="62"/>
        <v>0</v>
      </c>
      <c r="GB46" s="1154">
        <f t="shared" si="63"/>
        <v>0</v>
      </c>
      <c r="GC46" s="1154">
        <f t="shared" si="64"/>
        <v>0</v>
      </c>
      <c r="GD46" s="1154">
        <f t="shared" si="65"/>
        <v>0</v>
      </c>
      <c r="GE46" s="1154">
        <f t="shared" si="66"/>
        <v>0</v>
      </c>
      <c r="GF46" s="1154">
        <f t="shared" si="67"/>
        <v>0</v>
      </c>
      <c r="GG46" s="1154">
        <f t="shared" si="68"/>
        <v>0</v>
      </c>
      <c r="GH46" s="1154">
        <f t="shared" si="69"/>
        <v>0</v>
      </c>
      <c r="GI46" s="1154">
        <f t="shared" si="70"/>
        <v>0</v>
      </c>
      <c r="GJ46" s="1154">
        <f t="shared" si="71"/>
        <v>0</v>
      </c>
      <c r="GK46" s="1154">
        <f t="shared" si="72"/>
        <v>0</v>
      </c>
      <c r="GL46" s="1174">
        <f t="shared" si="73"/>
        <v>0</v>
      </c>
    </row>
    <row r="47" spans="2:194">
      <c r="B47" s="1290">
        <f>B46</f>
        <v>0</v>
      </c>
      <c r="C47" s="1289" t="str">
        <f>C46</f>
        <v>West CAC22/11kVBus STOUD</v>
      </c>
      <c r="D47" s="1113" t="str">
        <f t="shared" ref="D47:D48" si="131">D46</f>
        <v>West CAC22/11kVBus STOUD</v>
      </c>
      <c r="E47" s="1113" t="str">
        <f t="shared" ref="E47:E48" si="132">E46</f>
        <v>CAC</v>
      </c>
      <c r="F47" s="1113" t="str">
        <f t="shared" ref="F47:F48" si="133">F46</f>
        <v>CAC</v>
      </c>
      <c r="G47" s="1113" t="str">
        <f t="shared" ref="G47:G48" si="134">G46</f>
        <v>West</v>
      </c>
      <c r="H47" s="1113" t="str">
        <f t="shared" ref="H47:H48" si="135">H46</f>
        <v>WC22BTOU</v>
      </c>
      <c r="I47" s="1114" t="s">
        <v>752</v>
      </c>
      <c r="J47" s="1114" t="s">
        <v>934</v>
      </c>
      <c r="K47" s="1270"/>
      <c r="L47" s="1233">
        <v>75.421999999999997</v>
      </c>
      <c r="M47" s="1007"/>
      <c r="N47" s="1007"/>
      <c r="O47" s="1007"/>
      <c r="P47" s="1007"/>
      <c r="Q47" s="1007"/>
      <c r="R47" s="1007"/>
      <c r="S47" s="1233">
        <v>1.474</v>
      </c>
      <c r="T47" s="1007"/>
      <c r="U47" s="1007"/>
      <c r="V47" s="1007"/>
      <c r="W47" s="1007"/>
      <c r="X47" s="1007"/>
      <c r="Y47" s="1007"/>
      <c r="Z47" s="1007"/>
      <c r="AA47" s="1007"/>
      <c r="AB47" s="1007"/>
      <c r="AC47" s="1007"/>
      <c r="AD47" s="1007"/>
      <c r="AE47" s="1007"/>
      <c r="AF47" s="1007"/>
      <c r="AG47" s="1007"/>
      <c r="AH47" s="1007"/>
      <c r="AI47" s="1224">
        <v>1.1937631525536712E-2</v>
      </c>
      <c r="AJ47" s="1005"/>
      <c r="AK47" s="1005"/>
      <c r="AL47" s="1005"/>
      <c r="AM47" s="1005"/>
      <c r="AN47" s="1005"/>
      <c r="AO47" s="1005"/>
      <c r="AP47" s="1005"/>
      <c r="AQ47" s="1005"/>
      <c r="AR47" s="1005"/>
      <c r="AS47" s="1005"/>
      <c r="AT47" s="1005"/>
      <c r="AU47" s="1206"/>
      <c r="AV47" s="1270"/>
      <c r="AW47" s="1482">
        <v>0</v>
      </c>
      <c r="AX47" s="1007"/>
      <c r="AY47" s="1007"/>
      <c r="AZ47" s="1007"/>
      <c r="BA47" s="1007"/>
      <c r="BB47" s="1007"/>
      <c r="BC47" s="1007"/>
      <c r="BD47" s="1482">
        <v>0</v>
      </c>
      <c r="BE47" s="1007"/>
      <c r="BF47" s="1007"/>
      <c r="BG47" s="1007"/>
      <c r="BH47" s="1007"/>
      <c r="BI47" s="1007"/>
      <c r="BJ47" s="1007"/>
      <c r="BK47" s="1007"/>
      <c r="BL47" s="1007"/>
      <c r="BM47" s="1007"/>
      <c r="BN47" s="1007"/>
      <c r="BO47" s="1007"/>
      <c r="BP47" s="1007"/>
      <c r="BQ47" s="1007"/>
      <c r="BR47" s="1007"/>
      <c r="BS47" s="1007"/>
      <c r="BT47" s="1482">
        <v>0</v>
      </c>
      <c r="BU47" s="1007"/>
      <c r="BV47" s="1007"/>
      <c r="BW47" s="1007"/>
      <c r="BX47" s="1007"/>
      <c r="BY47" s="1007"/>
      <c r="BZ47" s="1007"/>
      <c r="CA47" s="1007"/>
      <c r="CB47" s="1007"/>
      <c r="CC47" s="1007"/>
      <c r="CD47" s="1007"/>
      <c r="CE47" s="1007"/>
      <c r="CF47" s="1007"/>
      <c r="CG47" s="1209"/>
      <c r="CH47" s="1236">
        <v>0</v>
      </c>
      <c r="CI47" s="1007"/>
      <c r="CJ47" s="1007"/>
      <c r="CK47" s="1007"/>
      <c r="CL47" s="1007"/>
      <c r="CM47" s="1007"/>
      <c r="CN47" s="1007"/>
      <c r="CO47" s="1236">
        <v>0</v>
      </c>
      <c r="CP47" s="1007"/>
      <c r="CQ47" s="1007"/>
      <c r="CR47" s="1007"/>
      <c r="CS47" s="1007"/>
      <c r="CT47" s="1007"/>
      <c r="CU47" s="1007"/>
      <c r="CV47" s="1007"/>
      <c r="CW47" s="1007"/>
      <c r="CX47" s="1007"/>
      <c r="CY47" s="1007"/>
      <c r="CZ47" s="1007"/>
      <c r="DA47" s="1007"/>
      <c r="DB47" s="1007"/>
      <c r="DC47" s="1007"/>
      <c r="DD47" s="1007"/>
      <c r="DE47" s="1236">
        <v>0</v>
      </c>
      <c r="DF47" s="1007"/>
      <c r="DG47" s="1007"/>
      <c r="DH47" s="1007"/>
      <c r="DI47" s="1006"/>
      <c r="DJ47" s="1006"/>
      <c r="DK47" s="1007"/>
      <c r="DL47" s="1007"/>
      <c r="DM47" s="1007"/>
      <c r="DN47" s="1007"/>
      <c r="DO47" s="1112"/>
      <c r="DP47" s="1112"/>
      <c r="DQ47" s="1270"/>
      <c r="DR47" s="1154">
        <f t="shared" si="2"/>
        <v>0</v>
      </c>
      <c r="DS47" s="1154">
        <f t="shared" si="3"/>
        <v>0</v>
      </c>
      <c r="DT47" s="1154">
        <f t="shared" si="4"/>
        <v>0</v>
      </c>
      <c r="DU47" s="1154">
        <f t="shared" si="5"/>
        <v>0</v>
      </c>
      <c r="DV47" s="1154">
        <f t="shared" si="6"/>
        <v>0</v>
      </c>
      <c r="DW47" s="1154">
        <f t="shared" si="7"/>
        <v>0</v>
      </c>
      <c r="DX47" s="1154">
        <f t="shared" si="8"/>
        <v>0</v>
      </c>
      <c r="DY47" s="1154">
        <f t="shared" si="9"/>
        <v>0</v>
      </c>
      <c r="DZ47" s="1154">
        <f t="shared" si="10"/>
        <v>0</v>
      </c>
      <c r="EA47" s="1154">
        <f t="shared" si="11"/>
        <v>0</v>
      </c>
      <c r="EB47" s="1154">
        <f t="shared" si="12"/>
        <v>0</v>
      </c>
      <c r="EC47" s="1154">
        <f t="shared" si="13"/>
        <v>0</v>
      </c>
      <c r="ED47" s="1154">
        <f t="shared" si="14"/>
        <v>0</v>
      </c>
      <c r="EE47" s="1154">
        <f t="shared" si="15"/>
        <v>0</v>
      </c>
      <c r="EF47" s="1154">
        <f t="shared" si="16"/>
        <v>0</v>
      </c>
      <c r="EG47" s="1154">
        <f t="shared" si="17"/>
        <v>0</v>
      </c>
      <c r="EH47" s="1154">
        <f t="shared" si="18"/>
        <v>0</v>
      </c>
      <c r="EI47" s="1154">
        <f t="shared" si="19"/>
        <v>0</v>
      </c>
      <c r="EJ47" s="1154">
        <f t="shared" si="20"/>
        <v>0</v>
      </c>
      <c r="EK47" s="1154">
        <f t="shared" si="21"/>
        <v>0</v>
      </c>
      <c r="EL47" s="1154">
        <f t="shared" si="22"/>
        <v>0</v>
      </c>
      <c r="EM47" s="1154">
        <f t="shared" si="23"/>
        <v>0</v>
      </c>
      <c r="EN47" s="1154">
        <f t="shared" si="24"/>
        <v>0</v>
      </c>
      <c r="EO47" s="1154">
        <f t="shared" si="25"/>
        <v>0</v>
      </c>
      <c r="EP47" s="1154">
        <f t="shared" si="26"/>
        <v>0</v>
      </c>
      <c r="EQ47" s="1154">
        <f t="shared" si="27"/>
        <v>0</v>
      </c>
      <c r="ER47" s="1154">
        <f t="shared" si="28"/>
        <v>0</v>
      </c>
      <c r="ES47" s="1154">
        <f t="shared" si="29"/>
        <v>0</v>
      </c>
      <c r="ET47" s="1154">
        <f t="shared" si="30"/>
        <v>0</v>
      </c>
      <c r="EU47" s="1154">
        <f t="shared" si="31"/>
        <v>0</v>
      </c>
      <c r="EV47" s="1154">
        <f t="shared" si="32"/>
        <v>0</v>
      </c>
      <c r="EW47" s="1154">
        <f t="shared" si="33"/>
        <v>0</v>
      </c>
      <c r="EX47" s="1154">
        <f t="shared" si="34"/>
        <v>0</v>
      </c>
      <c r="EY47" s="1154">
        <f t="shared" si="35"/>
        <v>0</v>
      </c>
      <c r="EZ47" s="1154">
        <f t="shared" si="36"/>
        <v>0</v>
      </c>
      <c r="FA47" s="1174">
        <f t="shared" si="125"/>
        <v>0</v>
      </c>
      <c r="FC47" s="1154">
        <f t="shared" si="38"/>
        <v>0</v>
      </c>
      <c r="FD47" s="1154">
        <f t="shared" si="39"/>
        <v>0</v>
      </c>
      <c r="FE47" s="1154">
        <f t="shared" si="40"/>
        <v>0</v>
      </c>
      <c r="FF47" s="1154">
        <f t="shared" si="41"/>
        <v>0</v>
      </c>
      <c r="FG47" s="1154">
        <f t="shared" si="42"/>
        <v>0</v>
      </c>
      <c r="FH47" s="1154">
        <f t="shared" si="43"/>
        <v>0</v>
      </c>
      <c r="FI47" s="1154">
        <f t="shared" si="44"/>
        <v>0</v>
      </c>
      <c r="FJ47" s="1154">
        <f t="shared" si="45"/>
        <v>0</v>
      </c>
      <c r="FK47" s="1154">
        <f t="shared" si="46"/>
        <v>0</v>
      </c>
      <c r="FL47" s="1154">
        <f t="shared" si="47"/>
        <v>0</v>
      </c>
      <c r="FM47" s="1154">
        <f t="shared" si="48"/>
        <v>0</v>
      </c>
      <c r="FN47" s="1154">
        <f t="shared" si="49"/>
        <v>0</v>
      </c>
      <c r="FO47" s="1154">
        <f t="shared" si="50"/>
        <v>0</v>
      </c>
      <c r="FP47" s="1154">
        <f t="shared" si="51"/>
        <v>0</v>
      </c>
      <c r="FQ47" s="1154">
        <f t="shared" si="52"/>
        <v>0</v>
      </c>
      <c r="FR47" s="1154">
        <f t="shared" si="53"/>
        <v>0</v>
      </c>
      <c r="FS47" s="1154">
        <f t="shared" si="54"/>
        <v>0</v>
      </c>
      <c r="FT47" s="1154">
        <f t="shared" si="55"/>
        <v>0</v>
      </c>
      <c r="FU47" s="1154">
        <f t="shared" si="56"/>
        <v>0</v>
      </c>
      <c r="FV47" s="1154">
        <f t="shared" si="57"/>
        <v>0</v>
      </c>
      <c r="FW47" s="1154">
        <f t="shared" si="58"/>
        <v>0</v>
      </c>
      <c r="FX47" s="1154">
        <f t="shared" si="59"/>
        <v>0</v>
      </c>
      <c r="FY47" s="1154">
        <f t="shared" si="60"/>
        <v>0</v>
      </c>
      <c r="FZ47" s="1154">
        <f t="shared" si="61"/>
        <v>0</v>
      </c>
      <c r="GA47" s="1154">
        <f t="shared" si="62"/>
        <v>0</v>
      </c>
      <c r="GB47" s="1154">
        <f t="shared" si="63"/>
        <v>0</v>
      </c>
      <c r="GC47" s="1154">
        <f t="shared" si="64"/>
        <v>0</v>
      </c>
      <c r="GD47" s="1154">
        <f t="shared" si="65"/>
        <v>0</v>
      </c>
      <c r="GE47" s="1154">
        <f t="shared" si="66"/>
        <v>0</v>
      </c>
      <c r="GF47" s="1154">
        <f t="shared" si="67"/>
        <v>0</v>
      </c>
      <c r="GG47" s="1154">
        <f t="shared" si="68"/>
        <v>0</v>
      </c>
      <c r="GH47" s="1154">
        <f t="shared" si="69"/>
        <v>0</v>
      </c>
      <c r="GI47" s="1154">
        <f t="shared" si="70"/>
        <v>0</v>
      </c>
      <c r="GJ47" s="1154">
        <f t="shared" si="71"/>
        <v>0</v>
      </c>
      <c r="GK47" s="1154">
        <f t="shared" si="72"/>
        <v>0</v>
      </c>
      <c r="GL47" s="1174">
        <f t="shared" si="73"/>
        <v>0</v>
      </c>
    </row>
    <row r="48" spans="2:194">
      <c r="B48" s="1290">
        <f>B47</f>
        <v>0</v>
      </c>
      <c r="C48" s="1289" t="str">
        <f>C47</f>
        <v>West CAC22/11kVBus STOUD</v>
      </c>
      <c r="D48" s="1113" t="str">
        <f t="shared" si="131"/>
        <v>West CAC22/11kVBus STOUD</v>
      </c>
      <c r="E48" s="1113" t="str">
        <f t="shared" si="132"/>
        <v>CAC</v>
      </c>
      <c r="F48" s="1113" t="str">
        <f t="shared" si="133"/>
        <v>CAC</v>
      </c>
      <c r="G48" s="1113" t="str">
        <f t="shared" si="134"/>
        <v>West</v>
      </c>
      <c r="H48" s="1113" t="str">
        <f t="shared" si="135"/>
        <v>WC22BTOU</v>
      </c>
      <c r="I48" s="1114" t="s">
        <v>759</v>
      </c>
      <c r="J48" s="1114" t="s">
        <v>934</v>
      </c>
      <c r="K48" s="1270"/>
      <c r="L48" s="1233">
        <v>70.440599999999989</v>
      </c>
      <c r="M48" s="1007"/>
      <c r="N48" s="1007"/>
      <c r="O48" s="1007"/>
      <c r="P48" s="1007"/>
      <c r="Q48" s="1007"/>
      <c r="R48" s="1007"/>
      <c r="S48" s="1233">
        <v>2.7227000000000001</v>
      </c>
      <c r="T48" s="1007"/>
      <c r="U48" s="1007"/>
      <c r="V48" s="1007"/>
      <c r="W48" s="1007"/>
      <c r="X48" s="1007"/>
      <c r="Y48" s="1007"/>
      <c r="Z48" s="1007"/>
      <c r="AA48" s="1007"/>
      <c r="AB48" s="1007"/>
      <c r="AC48" s="1007"/>
      <c r="AD48" s="1007"/>
      <c r="AE48" s="1007"/>
      <c r="AF48" s="1007"/>
      <c r="AG48" s="1007"/>
      <c r="AH48" s="1007"/>
      <c r="AI48" s="1224">
        <v>1.3562911090201862E-2</v>
      </c>
      <c r="AJ48" s="1005"/>
      <c r="AK48" s="1005"/>
      <c r="AL48" s="1005"/>
      <c r="AM48" s="1005"/>
      <c r="AN48" s="1005"/>
      <c r="AO48" s="1005"/>
      <c r="AP48" s="1005"/>
      <c r="AQ48" s="1005"/>
      <c r="AR48" s="1005"/>
      <c r="AS48" s="1005"/>
      <c r="AT48" s="1005"/>
      <c r="AU48" s="1206"/>
      <c r="AV48" s="1270"/>
      <c r="AW48" s="1482">
        <v>0</v>
      </c>
      <c r="AX48" s="1007"/>
      <c r="AY48" s="1007"/>
      <c r="AZ48" s="1007"/>
      <c r="BA48" s="1007"/>
      <c r="BB48" s="1007"/>
      <c r="BC48" s="1007"/>
      <c r="BD48" s="1482">
        <v>0</v>
      </c>
      <c r="BE48" s="1007"/>
      <c r="BF48" s="1007"/>
      <c r="BG48" s="1007"/>
      <c r="BH48" s="1007"/>
      <c r="BI48" s="1007"/>
      <c r="BJ48" s="1007"/>
      <c r="BK48" s="1007"/>
      <c r="BL48" s="1007"/>
      <c r="BM48" s="1007"/>
      <c r="BN48" s="1007"/>
      <c r="BO48" s="1007"/>
      <c r="BP48" s="1007"/>
      <c r="BQ48" s="1007"/>
      <c r="BR48" s="1007"/>
      <c r="BS48" s="1007"/>
      <c r="BT48" s="1482">
        <v>0</v>
      </c>
      <c r="BU48" s="1007"/>
      <c r="BV48" s="1007"/>
      <c r="BW48" s="1007"/>
      <c r="BX48" s="1007"/>
      <c r="BY48" s="1007"/>
      <c r="BZ48" s="1007"/>
      <c r="CA48" s="1007"/>
      <c r="CB48" s="1007"/>
      <c r="CC48" s="1007"/>
      <c r="CD48" s="1007"/>
      <c r="CE48" s="1007"/>
      <c r="CF48" s="1007"/>
      <c r="CG48" s="1209"/>
      <c r="CH48" s="1236">
        <v>0</v>
      </c>
      <c r="CI48" s="1007"/>
      <c r="CJ48" s="1007"/>
      <c r="CK48" s="1007"/>
      <c r="CL48" s="1007"/>
      <c r="CM48" s="1007"/>
      <c r="CN48" s="1007"/>
      <c r="CO48" s="1236">
        <v>0</v>
      </c>
      <c r="CP48" s="1007"/>
      <c r="CQ48" s="1007"/>
      <c r="CR48" s="1007"/>
      <c r="CS48" s="1007"/>
      <c r="CT48" s="1007"/>
      <c r="CU48" s="1007"/>
      <c r="CV48" s="1007"/>
      <c r="CW48" s="1007"/>
      <c r="CX48" s="1007"/>
      <c r="CY48" s="1007"/>
      <c r="CZ48" s="1007"/>
      <c r="DA48" s="1007"/>
      <c r="DB48" s="1007"/>
      <c r="DC48" s="1007"/>
      <c r="DD48" s="1007"/>
      <c r="DE48" s="1236">
        <v>0</v>
      </c>
      <c r="DF48" s="1007"/>
      <c r="DG48" s="1007"/>
      <c r="DH48" s="1007"/>
      <c r="DI48" s="1006"/>
      <c r="DJ48" s="1006"/>
      <c r="DK48" s="1007"/>
      <c r="DL48" s="1007"/>
      <c r="DM48" s="1007"/>
      <c r="DN48" s="1007"/>
      <c r="DO48" s="1112"/>
      <c r="DP48" s="1112"/>
      <c r="DQ48" s="1270"/>
      <c r="DR48" s="1154">
        <f t="shared" si="2"/>
        <v>0</v>
      </c>
      <c r="DS48" s="1154">
        <f t="shared" si="3"/>
        <v>0</v>
      </c>
      <c r="DT48" s="1154">
        <f t="shared" si="4"/>
        <v>0</v>
      </c>
      <c r="DU48" s="1154">
        <f t="shared" si="5"/>
        <v>0</v>
      </c>
      <c r="DV48" s="1154">
        <f t="shared" si="6"/>
        <v>0</v>
      </c>
      <c r="DW48" s="1154">
        <f t="shared" si="7"/>
        <v>0</v>
      </c>
      <c r="DX48" s="1154">
        <f t="shared" si="8"/>
        <v>0</v>
      </c>
      <c r="DY48" s="1154">
        <f t="shared" si="9"/>
        <v>0</v>
      </c>
      <c r="DZ48" s="1154">
        <f t="shared" si="10"/>
        <v>0</v>
      </c>
      <c r="EA48" s="1154">
        <f t="shared" si="11"/>
        <v>0</v>
      </c>
      <c r="EB48" s="1154">
        <f t="shared" si="12"/>
        <v>0</v>
      </c>
      <c r="EC48" s="1154">
        <f t="shared" si="13"/>
        <v>0</v>
      </c>
      <c r="ED48" s="1154">
        <f t="shared" si="14"/>
        <v>0</v>
      </c>
      <c r="EE48" s="1154">
        <f t="shared" si="15"/>
        <v>0</v>
      </c>
      <c r="EF48" s="1154">
        <f t="shared" si="16"/>
        <v>0</v>
      </c>
      <c r="EG48" s="1154">
        <f t="shared" si="17"/>
        <v>0</v>
      </c>
      <c r="EH48" s="1154">
        <f t="shared" si="18"/>
        <v>0</v>
      </c>
      <c r="EI48" s="1154">
        <f t="shared" si="19"/>
        <v>0</v>
      </c>
      <c r="EJ48" s="1154">
        <f t="shared" si="20"/>
        <v>0</v>
      </c>
      <c r="EK48" s="1154">
        <f t="shared" si="21"/>
        <v>0</v>
      </c>
      <c r="EL48" s="1154">
        <f t="shared" si="22"/>
        <v>0</v>
      </c>
      <c r="EM48" s="1154">
        <f t="shared" si="23"/>
        <v>0</v>
      </c>
      <c r="EN48" s="1154">
        <f t="shared" si="24"/>
        <v>0</v>
      </c>
      <c r="EO48" s="1154">
        <f t="shared" si="25"/>
        <v>0</v>
      </c>
      <c r="EP48" s="1154">
        <f t="shared" si="26"/>
        <v>0</v>
      </c>
      <c r="EQ48" s="1154">
        <f t="shared" si="27"/>
        <v>0</v>
      </c>
      <c r="ER48" s="1154">
        <f t="shared" si="28"/>
        <v>0</v>
      </c>
      <c r="ES48" s="1154">
        <f t="shared" si="29"/>
        <v>0</v>
      </c>
      <c r="ET48" s="1154">
        <f t="shared" si="30"/>
        <v>0</v>
      </c>
      <c r="EU48" s="1154">
        <f t="shared" si="31"/>
        <v>0</v>
      </c>
      <c r="EV48" s="1154">
        <f t="shared" si="32"/>
        <v>0</v>
      </c>
      <c r="EW48" s="1154">
        <f t="shared" si="33"/>
        <v>0</v>
      </c>
      <c r="EX48" s="1154">
        <f t="shared" si="34"/>
        <v>0</v>
      </c>
      <c r="EY48" s="1154">
        <f t="shared" si="35"/>
        <v>0</v>
      </c>
      <c r="EZ48" s="1154">
        <f t="shared" si="36"/>
        <v>0</v>
      </c>
      <c r="FA48" s="1174">
        <f t="shared" si="125"/>
        <v>0</v>
      </c>
      <c r="FC48" s="1154">
        <f t="shared" si="38"/>
        <v>0</v>
      </c>
      <c r="FD48" s="1154">
        <f t="shared" si="39"/>
        <v>0</v>
      </c>
      <c r="FE48" s="1154">
        <f t="shared" si="40"/>
        <v>0</v>
      </c>
      <c r="FF48" s="1154">
        <f t="shared" si="41"/>
        <v>0</v>
      </c>
      <c r="FG48" s="1154">
        <f t="shared" si="42"/>
        <v>0</v>
      </c>
      <c r="FH48" s="1154">
        <f t="shared" si="43"/>
        <v>0</v>
      </c>
      <c r="FI48" s="1154">
        <f t="shared" si="44"/>
        <v>0</v>
      </c>
      <c r="FJ48" s="1154">
        <f t="shared" si="45"/>
        <v>0</v>
      </c>
      <c r="FK48" s="1154">
        <f t="shared" si="46"/>
        <v>0</v>
      </c>
      <c r="FL48" s="1154">
        <f t="shared" si="47"/>
        <v>0</v>
      </c>
      <c r="FM48" s="1154">
        <f t="shared" si="48"/>
        <v>0</v>
      </c>
      <c r="FN48" s="1154">
        <f t="shared" si="49"/>
        <v>0</v>
      </c>
      <c r="FO48" s="1154">
        <f t="shared" si="50"/>
        <v>0</v>
      </c>
      <c r="FP48" s="1154">
        <f t="shared" si="51"/>
        <v>0</v>
      </c>
      <c r="FQ48" s="1154">
        <f t="shared" si="52"/>
        <v>0</v>
      </c>
      <c r="FR48" s="1154">
        <f t="shared" si="53"/>
        <v>0</v>
      </c>
      <c r="FS48" s="1154">
        <f t="shared" si="54"/>
        <v>0</v>
      </c>
      <c r="FT48" s="1154">
        <f t="shared" si="55"/>
        <v>0</v>
      </c>
      <c r="FU48" s="1154">
        <f t="shared" si="56"/>
        <v>0</v>
      </c>
      <c r="FV48" s="1154">
        <f t="shared" si="57"/>
        <v>0</v>
      </c>
      <c r="FW48" s="1154">
        <f t="shared" si="58"/>
        <v>0</v>
      </c>
      <c r="FX48" s="1154">
        <f t="shared" si="59"/>
        <v>0</v>
      </c>
      <c r="FY48" s="1154">
        <f t="shared" si="60"/>
        <v>0</v>
      </c>
      <c r="FZ48" s="1154">
        <f t="shared" si="61"/>
        <v>0</v>
      </c>
      <c r="GA48" s="1154">
        <f t="shared" si="62"/>
        <v>0</v>
      </c>
      <c r="GB48" s="1154">
        <f t="shared" si="63"/>
        <v>0</v>
      </c>
      <c r="GC48" s="1154">
        <f t="shared" si="64"/>
        <v>0</v>
      </c>
      <c r="GD48" s="1154">
        <f t="shared" si="65"/>
        <v>0</v>
      </c>
      <c r="GE48" s="1154">
        <f t="shared" si="66"/>
        <v>0</v>
      </c>
      <c r="GF48" s="1154">
        <f t="shared" si="67"/>
        <v>0</v>
      </c>
      <c r="GG48" s="1154">
        <f t="shared" si="68"/>
        <v>0</v>
      </c>
      <c r="GH48" s="1154">
        <f t="shared" si="69"/>
        <v>0</v>
      </c>
      <c r="GI48" s="1154">
        <f t="shared" si="70"/>
        <v>0</v>
      </c>
      <c r="GJ48" s="1154">
        <f t="shared" si="71"/>
        <v>0</v>
      </c>
      <c r="GK48" s="1154">
        <f t="shared" si="72"/>
        <v>0</v>
      </c>
      <c r="GL48" s="1174">
        <f t="shared" si="73"/>
        <v>0</v>
      </c>
    </row>
    <row r="49" spans="1:194">
      <c r="B49" s="1290">
        <f>Prop2021DUOSTariffs!B23</f>
        <v>0</v>
      </c>
      <c r="C49" s="1289" t="str">
        <f>Prop2021DUOSTariffs!C23</f>
        <v>West CAC22/11kVLine STOUD</v>
      </c>
      <c r="D49" s="1113" t="str">
        <f>Prop2021DUOSTariffs!D23</f>
        <v>West CAC22/11kVLine STOUD</v>
      </c>
      <c r="E49" s="1113" t="str">
        <f>Prop2021DUOSTariffs!E23</f>
        <v>CAC</v>
      </c>
      <c r="F49" s="1113" t="str">
        <f>Prop2021DUOSTariffs!F23</f>
        <v>CAC</v>
      </c>
      <c r="G49" s="1113" t="str">
        <f>Prop2021DUOSTariffs!G23</f>
        <v>West</v>
      </c>
      <c r="H49" s="1113" t="str">
        <f>IF(Prop2021DUOSTariffs!H23="","",Prop2021DUOSTariffs!H23)</f>
        <v>WC22LTOU</v>
      </c>
      <c r="I49" s="1114" t="s">
        <v>798</v>
      </c>
      <c r="J49" s="1114" t="s">
        <v>934</v>
      </c>
      <c r="K49" s="1207"/>
      <c r="L49" s="1233">
        <v>109.52604000000001</v>
      </c>
      <c r="M49" s="1007"/>
      <c r="N49" s="1007"/>
      <c r="O49" s="1007"/>
      <c r="P49" s="1007"/>
      <c r="Q49" s="1007"/>
      <c r="R49" s="1007"/>
      <c r="S49" s="1233">
        <v>0.71820000000000006</v>
      </c>
      <c r="T49" s="1007"/>
      <c r="U49" s="1007"/>
      <c r="V49" s="1007"/>
      <c r="W49" s="1007"/>
      <c r="X49" s="1007"/>
      <c r="Y49" s="1007"/>
      <c r="Z49" s="1007"/>
      <c r="AA49" s="1007"/>
      <c r="AB49" s="1007"/>
      <c r="AC49" s="1007"/>
      <c r="AD49" s="1007"/>
      <c r="AE49" s="1007"/>
      <c r="AF49" s="1007"/>
      <c r="AG49" s="1007"/>
      <c r="AH49" s="1007"/>
      <c r="AI49" s="1224">
        <v>1.0079303034553634E-2</v>
      </c>
      <c r="AJ49" s="1005"/>
      <c r="AK49" s="1005"/>
      <c r="AL49" s="1005"/>
      <c r="AM49" s="1005"/>
      <c r="AN49" s="1005"/>
      <c r="AO49" s="1005"/>
      <c r="AP49" s="1005"/>
      <c r="AQ49" s="1005"/>
      <c r="AR49" s="1005"/>
      <c r="AS49" s="1005"/>
      <c r="AT49" s="1005"/>
      <c r="AU49" s="1206"/>
      <c r="AV49" s="1207"/>
      <c r="AW49" s="1482">
        <v>101.413</v>
      </c>
      <c r="AX49" s="1007"/>
      <c r="AY49" s="1007"/>
      <c r="AZ49" s="1007"/>
      <c r="BA49" s="1007"/>
      <c r="BB49" s="1007"/>
      <c r="BC49" s="1007"/>
      <c r="BD49" s="1482">
        <v>0.66500000000000004</v>
      </c>
      <c r="BE49" s="1007"/>
      <c r="BF49" s="1007"/>
      <c r="BG49" s="1007"/>
      <c r="BH49" s="1007"/>
      <c r="BI49" s="1007"/>
      <c r="BJ49" s="1007"/>
      <c r="BK49" s="1007"/>
      <c r="BL49" s="1007"/>
      <c r="BM49" s="1007"/>
      <c r="BN49" s="1007"/>
      <c r="BO49" s="1007"/>
      <c r="BP49" s="1007"/>
      <c r="BQ49" s="1007"/>
      <c r="BR49" s="1007"/>
      <c r="BS49" s="1007"/>
      <c r="BT49" s="1482">
        <v>9.0799999999999995E-3</v>
      </c>
      <c r="BU49" s="1007"/>
      <c r="BV49" s="1007"/>
      <c r="BW49" s="1007"/>
      <c r="BX49" s="1007"/>
      <c r="BY49" s="1007"/>
      <c r="BZ49" s="1007"/>
      <c r="CA49" s="1007"/>
      <c r="CB49" s="1007"/>
      <c r="CC49" s="1007"/>
      <c r="CD49" s="1007"/>
      <c r="CE49" s="1007"/>
      <c r="CF49" s="1007"/>
      <c r="CG49" s="1207"/>
      <c r="CH49" s="1236">
        <v>0</v>
      </c>
      <c r="CI49" s="1007"/>
      <c r="CJ49" s="1007"/>
      <c r="CK49" s="1007"/>
      <c r="CL49" s="1007"/>
      <c r="CM49" s="1007"/>
      <c r="CN49" s="1007"/>
      <c r="CO49" s="1236">
        <v>0</v>
      </c>
      <c r="CP49" s="1007"/>
      <c r="CQ49" s="1007"/>
      <c r="CR49" s="1007"/>
      <c r="CS49" s="1007"/>
      <c r="CT49" s="1007"/>
      <c r="CU49" s="1007"/>
      <c r="CV49" s="1007"/>
      <c r="CW49" s="1007"/>
      <c r="CX49" s="1007"/>
      <c r="CY49" s="1007"/>
      <c r="CZ49" s="1007"/>
      <c r="DA49" s="1007"/>
      <c r="DB49" s="1007"/>
      <c r="DC49" s="1007"/>
      <c r="DD49" s="1007"/>
      <c r="DE49" s="1236">
        <v>0</v>
      </c>
      <c r="DF49" s="1007"/>
      <c r="DG49" s="1007"/>
      <c r="DH49" s="1007"/>
      <c r="DI49" s="1006"/>
      <c r="DJ49" s="1006"/>
      <c r="DK49" s="1007"/>
      <c r="DL49" s="1007"/>
      <c r="DM49" s="1007"/>
      <c r="DN49" s="1007"/>
      <c r="DO49" s="1112"/>
      <c r="DP49" s="1112"/>
      <c r="DQ49" s="1207"/>
      <c r="DR49" s="1154">
        <f t="shared" si="2"/>
        <v>0</v>
      </c>
      <c r="DS49" s="1154">
        <f t="shared" si="3"/>
        <v>0</v>
      </c>
      <c r="DT49" s="1154">
        <f t="shared" si="4"/>
        <v>0</v>
      </c>
      <c r="DU49" s="1154">
        <f t="shared" si="5"/>
        <v>0</v>
      </c>
      <c r="DV49" s="1154">
        <f t="shared" si="6"/>
        <v>0</v>
      </c>
      <c r="DW49" s="1154">
        <f t="shared" si="7"/>
        <v>0</v>
      </c>
      <c r="DX49" s="1154">
        <f t="shared" si="8"/>
        <v>0</v>
      </c>
      <c r="DY49" s="1154">
        <f t="shared" si="9"/>
        <v>0</v>
      </c>
      <c r="DZ49" s="1154">
        <f t="shared" si="10"/>
        <v>0</v>
      </c>
      <c r="EA49" s="1154">
        <f t="shared" si="11"/>
        <v>0</v>
      </c>
      <c r="EB49" s="1154">
        <f t="shared" si="12"/>
        <v>0</v>
      </c>
      <c r="EC49" s="1154">
        <f t="shared" si="13"/>
        <v>0</v>
      </c>
      <c r="ED49" s="1154">
        <f t="shared" si="14"/>
        <v>0</v>
      </c>
      <c r="EE49" s="1154">
        <f t="shared" si="15"/>
        <v>0</v>
      </c>
      <c r="EF49" s="1154">
        <f t="shared" si="16"/>
        <v>0</v>
      </c>
      <c r="EG49" s="1154">
        <f t="shared" si="17"/>
        <v>0</v>
      </c>
      <c r="EH49" s="1154">
        <f t="shared" si="18"/>
        <v>0</v>
      </c>
      <c r="EI49" s="1154">
        <f t="shared" si="19"/>
        <v>0</v>
      </c>
      <c r="EJ49" s="1154">
        <f t="shared" si="20"/>
        <v>0</v>
      </c>
      <c r="EK49" s="1154">
        <f t="shared" si="21"/>
        <v>0</v>
      </c>
      <c r="EL49" s="1154">
        <f t="shared" si="22"/>
        <v>0</v>
      </c>
      <c r="EM49" s="1154">
        <f t="shared" si="23"/>
        <v>0</v>
      </c>
      <c r="EN49" s="1154">
        <f t="shared" si="24"/>
        <v>0</v>
      </c>
      <c r="EO49" s="1154">
        <f t="shared" si="25"/>
        <v>0</v>
      </c>
      <c r="EP49" s="1154">
        <f t="shared" si="26"/>
        <v>0</v>
      </c>
      <c r="EQ49" s="1154">
        <f t="shared" si="27"/>
        <v>0</v>
      </c>
      <c r="ER49" s="1154">
        <f t="shared" si="28"/>
        <v>0</v>
      </c>
      <c r="ES49" s="1154">
        <f t="shared" si="29"/>
        <v>0</v>
      </c>
      <c r="ET49" s="1154">
        <f t="shared" si="30"/>
        <v>0</v>
      </c>
      <c r="EU49" s="1154">
        <f t="shared" si="31"/>
        <v>0</v>
      </c>
      <c r="EV49" s="1154">
        <f t="shared" si="32"/>
        <v>0</v>
      </c>
      <c r="EW49" s="1154">
        <f t="shared" si="33"/>
        <v>0</v>
      </c>
      <c r="EX49" s="1154">
        <f t="shared" si="34"/>
        <v>0</v>
      </c>
      <c r="EY49" s="1154">
        <f t="shared" si="35"/>
        <v>0</v>
      </c>
      <c r="EZ49" s="1154">
        <f t="shared" si="36"/>
        <v>0</v>
      </c>
      <c r="FA49" s="1174">
        <f t="shared" si="125"/>
        <v>0</v>
      </c>
      <c r="FC49" s="1154">
        <f t="shared" si="38"/>
        <v>0</v>
      </c>
      <c r="FD49" s="1154">
        <f t="shared" si="39"/>
        <v>0</v>
      </c>
      <c r="FE49" s="1154">
        <f t="shared" si="40"/>
        <v>0</v>
      </c>
      <c r="FF49" s="1154">
        <f t="shared" si="41"/>
        <v>0</v>
      </c>
      <c r="FG49" s="1154">
        <f t="shared" si="42"/>
        <v>0</v>
      </c>
      <c r="FH49" s="1154">
        <f t="shared" si="43"/>
        <v>0</v>
      </c>
      <c r="FI49" s="1154">
        <f t="shared" si="44"/>
        <v>0</v>
      </c>
      <c r="FJ49" s="1154">
        <f t="shared" si="45"/>
        <v>0</v>
      </c>
      <c r="FK49" s="1154">
        <f t="shared" si="46"/>
        <v>0</v>
      </c>
      <c r="FL49" s="1154">
        <f t="shared" si="47"/>
        <v>0</v>
      </c>
      <c r="FM49" s="1154">
        <f t="shared" si="48"/>
        <v>0</v>
      </c>
      <c r="FN49" s="1154">
        <f t="shared" si="49"/>
        <v>0</v>
      </c>
      <c r="FO49" s="1154">
        <f t="shared" si="50"/>
        <v>0</v>
      </c>
      <c r="FP49" s="1154">
        <f t="shared" si="51"/>
        <v>0</v>
      </c>
      <c r="FQ49" s="1154">
        <f t="shared" si="52"/>
        <v>0</v>
      </c>
      <c r="FR49" s="1154">
        <f t="shared" si="53"/>
        <v>0</v>
      </c>
      <c r="FS49" s="1154">
        <f t="shared" si="54"/>
        <v>0</v>
      </c>
      <c r="FT49" s="1154">
        <f t="shared" si="55"/>
        <v>0</v>
      </c>
      <c r="FU49" s="1154">
        <f t="shared" si="56"/>
        <v>0</v>
      </c>
      <c r="FV49" s="1154">
        <f t="shared" si="57"/>
        <v>0</v>
      </c>
      <c r="FW49" s="1154">
        <f t="shared" si="58"/>
        <v>0</v>
      </c>
      <c r="FX49" s="1154">
        <f t="shared" si="59"/>
        <v>0</v>
      </c>
      <c r="FY49" s="1154">
        <f t="shared" si="60"/>
        <v>0</v>
      </c>
      <c r="FZ49" s="1154">
        <f t="shared" si="61"/>
        <v>0</v>
      </c>
      <c r="GA49" s="1154">
        <f t="shared" si="62"/>
        <v>0</v>
      </c>
      <c r="GB49" s="1154">
        <f t="shared" si="63"/>
        <v>0</v>
      </c>
      <c r="GC49" s="1154">
        <f t="shared" si="64"/>
        <v>0</v>
      </c>
      <c r="GD49" s="1154">
        <f t="shared" si="65"/>
        <v>0</v>
      </c>
      <c r="GE49" s="1154">
        <f t="shared" si="66"/>
        <v>0</v>
      </c>
      <c r="GF49" s="1154">
        <f t="shared" si="67"/>
        <v>0</v>
      </c>
      <c r="GG49" s="1154">
        <f t="shared" si="68"/>
        <v>0</v>
      </c>
      <c r="GH49" s="1154">
        <f t="shared" si="69"/>
        <v>0</v>
      </c>
      <c r="GI49" s="1154">
        <f t="shared" si="70"/>
        <v>0</v>
      </c>
      <c r="GJ49" s="1154">
        <f t="shared" si="71"/>
        <v>0</v>
      </c>
      <c r="GK49" s="1154">
        <f t="shared" si="72"/>
        <v>0</v>
      </c>
      <c r="GL49" s="1174">
        <f t="shared" si="73"/>
        <v>0</v>
      </c>
    </row>
    <row r="50" spans="1:194">
      <c r="B50" s="1290">
        <f>B49</f>
        <v>0</v>
      </c>
      <c r="C50" s="1289" t="str">
        <f>C49</f>
        <v>West CAC22/11kVLine STOUD</v>
      </c>
      <c r="D50" s="1113" t="str">
        <f t="shared" ref="D50:D51" si="136">D49</f>
        <v>West CAC22/11kVLine STOUD</v>
      </c>
      <c r="E50" s="1113" t="str">
        <f t="shared" ref="E50:E51" si="137">E49</f>
        <v>CAC</v>
      </c>
      <c r="F50" s="1113" t="str">
        <f t="shared" ref="F50:F51" si="138">F49</f>
        <v>CAC</v>
      </c>
      <c r="G50" s="1113" t="str">
        <f t="shared" ref="G50:G51" si="139">G49</f>
        <v>West</v>
      </c>
      <c r="H50" s="1113" t="str">
        <f t="shared" ref="H50:H51" si="140">H49</f>
        <v>WC22LTOU</v>
      </c>
      <c r="I50" s="1114" t="s">
        <v>752</v>
      </c>
      <c r="J50" s="1114" t="s">
        <v>934</v>
      </c>
      <c r="K50" s="1270"/>
      <c r="L50" s="1233">
        <v>75.421999999999997</v>
      </c>
      <c r="M50" s="1007"/>
      <c r="N50" s="1007"/>
      <c r="O50" s="1007"/>
      <c r="P50" s="1007"/>
      <c r="Q50" s="1007"/>
      <c r="R50" s="1007"/>
      <c r="S50" s="1233">
        <v>1.474</v>
      </c>
      <c r="T50" s="1007"/>
      <c r="U50" s="1007"/>
      <c r="V50" s="1007"/>
      <c r="W50" s="1007"/>
      <c r="X50" s="1007"/>
      <c r="Y50" s="1007"/>
      <c r="Z50" s="1007"/>
      <c r="AA50" s="1007"/>
      <c r="AB50" s="1007"/>
      <c r="AC50" s="1007"/>
      <c r="AD50" s="1007"/>
      <c r="AE50" s="1007"/>
      <c r="AF50" s="1007"/>
      <c r="AG50" s="1007"/>
      <c r="AH50" s="1007"/>
      <c r="AI50" s="1224">
        <v>1.1937631525536712E-2</v>
      </c>
      <c r="AJ50" s="1005"/>
      <c r="AK50" s="1005"/>
      <c r="AL50" s="1005"/>
      <c r="AM50" s="1005"/>
      <c r="AN50" s="1005"/>
      <c r="AO50" s="1005"/>
      <c r="AP50" s="1005"/>
      <c r="AQ50" s="1005"/>
      <c r="AR50" s="1005"/>
      <c r="AS50" s="1005"/>
      <c r="AT50" s="1005"/>
      <c r="AU50" s="1206"/>
      <c r="AV50" s="1270"/>
      <c r="AW50" s="1482">
        <v>75.421999999999997</v>
      </c>
      <c r="AX50" s="1007"/>
      <c r="AY50" s="1007"/>
      <c r="AZ50" s="1007"/>
      <c r="BA50" s="1007"/>
      <c r="BB50" s="1007"/>
      <c r="BC50" s="1007"/>
      <c r="BD50" s="1482">
        <v>1.474</v>
      </c>
      <c r="BE50" s="1007"/>
      <c r="BF50" s="1007"/>
      <c r="BG50" s="1007"/>
      <c r="BH50" s="1007"/>
      <c r="BI50" s="1007"/>
      <c r="BJ50" s="1007"/>
      <c r="BK50" s="1007"/>
      <c r="BL50" s="1007"/>
      <c r="BM50" s="1007"/>
      <c r="BN50" s="1007"/>
      <c r="BO50" s="1007"/>
      <c r="BP50" s="1007"/>
      <c r="BQ50" s="1007"/>
      <c r="BR50" s="1007"/>
      <c r="BS50" s="1007"/>
      <c r="BT50" s="1482">
        <v>1.1979999999999999E-2</v>
      </c>
      <c r="BU50" s="1007"/>
      <c r="BV50" s="1007"/>
      <c r="BW50" s="1007"/>
      <c r="BX50" s="1007"/>
      <c r="BY50" s="1007"/>
      <c r="BZ50" s="1007"/>
      <c r="CA50" s="1007"/>
      <c r="CB50" s="1007"/>
      <c r="CC50" s="1007"/>
      <c r="CD50" s="1007"/>
      <c r="CE50" s="1007"/>
      <c r="CF50" s="1007"/>
      <c r="CG50" s="1207"/>
      <c r="CH50" s="1236">
        <v>0</v>
      </c>
      <c r="CI50" s="1007"/>
      <c r="CJ50" s="1007"/>
      <c r="CK50" s="1007"/>
      <c r="CL50" s="1007"/>
      <c r="CM50" s="1007"/>
      <c r="CN50" s="1007"/>
      <c r="CO50" s="1236">
        <v>0</v>
      </c>
      <c r="CP50" s="1007"/>
      <c r="CQ50" s="1007"/>
      <c r="CR50" s="1007"/>
      <c r="CS50" s="1007"/>
      <c r="CT50" s="1007"/>
      <c r="CU50" s="1007"/>
      <c r="CV50" s="1007"/>
      <c r="CW50" s="1007"/>
      <c r="CX50" s="1007"/>
      <c r="CY50" s="1007"/>
      <c r="CZ50" s="1007"/>
      <c r="DA50" s="1007"/>
      <c r="DB50" s="1007"/>
      <c r="DC50" s="1007"/>
      <c r="DD50" s="1007"/>
      <c r="DE50" s="1236">
        <v>0</v>
      </c>
      <c r="DF50" s="1007"/>
      <c r="DG50" s="1007"/>
      <c r="DH50" s="1007"/>
      <c r="DI50" s="1006"/>
      <c r="DJ50" s="1006"/>
      <c r="DK50" s="1007"/>
      <c r="DL50" s="1007"/>
      <c r="DM50" s="1007"/>
      <c r="DN50" s="1007"/>
      <c r="DO50" s="1112"/>
      <c r="DP50" s="1112"/>
      <c r="DQ50" s="1270"/>
      <c r="DR50" s="1154">
        <f t="shared" si="2"/>
        <v>0</v>
      </c>
      <c r="DS50" s="1154">
        <f t="shared" si="3"/>
        <v>0</v>
      </c>
      <c r="DT50" s="1154">
        <f t="shared" si="4"/>
        <v>0</v>
      </c>
      <c r="DU50" s="1154">
        <f t="shared" si="5"/>
        <v>0</v>
      </c>
      <c r="DV50" s="1154">
        <f t="shared" si="6"/>
        <v>0</v>
      </c>
      <c r="DW50" s="1154">
        <f t="shared" si="7"/>
        <v>0</v>
      </c>
      <c r="DX50" s="1154">
        <f t="shared" si="8"/>
        <v>0</v>
      </c>
      <c r="DY50" s="1154">
        <f t="shared" si="9"/>
        <v>0</v>
      </c>
      <c r="DZ50" s="1154">
        <f t="shared" si="10"/>
        <v>0</v>
      </c>
      <c r="EA50" s="1154">
        <f t="shared" si="11"/>
        <v>0</v>
      </c>
      <c r="EB50" s="1154">
        <f t="shared" si="12"/>
        <v>0</v>
      </c>
      <c r="EC50" s="1154">
        <f t="shared" si="13"/>
        <v>0</v>
      </c>
      <c r="ED50" s="1154">
        <f t="shared" si="14"/>
        <v>0</v>
      </c>
      <c r="EE50" s="1154">
        <f t="shared" si="15"/>
        <v>0</v>
      </c>
      <c r="EF50" s="1154">
        <f t="shared" si="16"/>
        <v>0</v>
      </c>
      <c r="EG50" s="1154">
        <f t="shared" si="17"/>
        <v>0</v>
      </c>
      <c r="EH50" s="1154">
        <f t="shared" si="18"/>
        <v>0</v>
      </c>
      <c r="EI50" s="1154">
        <f t="shared" si="19"/>
        <v>0</v>
      </c>
      <c r="EJ50" s="1154">
        <f t="shared" si="20"/>
        <v>0</v>
      </c>
      <c r="EK50" s="1154">
        <f t="shared" si="21"/>
        <v>0</v>
      </c>
      <c r="EL50" s="1154">
        <f t="shared" si="22"/>
        <v>0</v>
      </c>
      <c r="EM50" s="1154">
        <f t="shared" si="23"/>
        <v>0</v>
      </c>
      <c r="EN50" s="1154">
        <f t="shared" si="24"/>
        <v>0</v>
      </c>
      <c r="EO50" s="1154">
        <f t="shared" si="25"/>
        <v>0</v>
      </c>
      <c r="EP50" s="1154">
        <f t="shared" si="26"/>
        <v>0</v>
      </c>
      <c r="EQ50" s="1154">
        <f t="shared" si="27"/>
        <v>0</v>
      </c>
      <c r="ER50" s="1154">
        <f t="shared" si="28"/>
        <v>0</v>
      </c>
      <c r="ES50" s="1154">
        <f t="shared" si="29"/>
        <v>0</v>
      </c>
      <c r="ET50" s="1154">
        <f t="shared" si="30"/>
        <v>0</v>
      </c>
      <c r="EU50" s="1154">
        <f t="shared" si="31"/>
        <v>0</v>
      </c>
      <c r="EV50" s="1154">
        <f t="shared" si="32"/>
        <v>0</v>
      </c>
      <c r="EW50" s="1154">
        <f t="shared" si="33"/>
        <v>0</v>
      </c>
      <c r="EX50" s="1154">
        <f t="shared" si="34"/>
        <v>0</v>
      </c>
      <c r="EY50" s="1154">
        <f t="shared" si="35"/>
        <v>0</v>
      </c>
      <c r="EZ50" s="1154">
        <f t="shared" si="36"/>
        <v>0</v>
      </c>
      <c r="FA50" s="1174">
        <f t="shared" si="125"/>
        <v>0</v>
      </c>
      <c r="FC50" s="1154">
        <f t="shared" si="38"/>
        <v>0</v>
      </c>
      <c r="FD50" s="1154">
        <f t="shared" si="39"/>
        <v>0</v>
      </c>
      <c r="FE50" s="1154">
        <f t="shared" si="40"/>
        <v>0</v>
      </c>
      <c r="FF50" s="1154">
        <f t="shared" si="41"/>
        <v>0</v>
      </c>
      <c r="FG50" s="1154">
        <f t="shared" si="42"/>
        <v>0</v>
      </c>
      <c r="FH50" s="1154">
        <f t="shared" si="43"/>
        <v>0</v>
      </c>
      <c r="FI50" s="1154">
        <f t="shared" si="44"/>
        <v>0</v>
      </c>
      <c r="FJ50" s="1154">
        <f t="shared" si="45"/>
        <v>0</v>
      </c>
      <c r="FK50" s="1154">
        <f t="shared" si="46"/>
        <v>0</v>
      </c>
      <c r="FL50" s="1154">
        <f t="shared" si="47"/>
        <v>0</v>
      </c>
      <c r="FM50" s="1154">
        <f t="shared" si="48"/>
        <v>0</v>
      </c>
      <c r="FN50" s="1154">
        <f t="shared" si="49"/>
        <v>0</v>
      </c>
      <c r="FO50" s="1154">
        <f t="shared" si="50"/>
        <v>0</v>
      </c>
      <c r="FP50" s="1154">
        <f t="shared" si="51"/>
        <v>0</v>
      </c>
      <c r="FQ50" s="1154">
        <f t="shared" si="52"/>
        <v>0</v>
      </c>
      <c r="FR50" s="1154">
        <f t="shared" si="53"/>
        <v>0</v>
      </c>
      <c r="FS50" s="1154">
        <f t="shared" si="54"/>
        <v>0</v>
      </c>
      <c r="FT50" s="1154">
        <f t="shared" si="55"/>
        <v>0</v>
      </c>
      <c r="FU50" s="1154">
        <f t="shared" si="56"/>
        <v>0</v>
      </c>
      <c r="FV50" s="1154">
        <f t="shared" si="57"/>
        <v>0</v>
      </c>
      <c r="FW50" s="1154">
        <f t="shared" si="58"/>
        <v>0</v>
      </c>
      <c r="FX50" s="1154">
        <f t="shared" si="59"/>
        <v>0</v>
      </c>
      <c r="FY50" s="1154">
        <f t="shared" si="60"/>
        <v>0</v>
      </c>
      <c r="FZ50" s="1154">
        <f t="shared" si="61"/>
        <v>0</v>
      </c>
      <c r="GA50" s="1154">
        <f t="shared" si="62"/>
        <v>0</v>
      </c>
      <c r="GB50" s="1154">
        <f t="shared" si="63"/>
        <v>0</v>
      </c>
      <c r="GC50" s="1154">
        <f t="shared" si="64"/>
        <v>0</v>
      </c>
      <c r="GD50" s="1154">
        <f t="shared" si="65"/>
        <v>0</v>
      </c>
      <c r="GE50" s="1154">
        <f t="shared" si="66"/>
        <v>0</v>
      </c>
      <c r="GF50" s="1154">
        <f t="shared" si="67"/>
        <v>0</v>
      </c>
      <c r="GG50" s="1154">
        <f t="shared" si="68"/>
        <v>0</v>
      </c>
      <c r="GH50" s="1154">
        <f t="shared" si="69"/>
        <v>0</v>
      </c>
      <c r="GI50" s="1154">
        <f t="shared" si="70"/>
        <v>0</v>
      </c>
      <c r="GJ50" s="1154">
        <f t="shared" si="71"/>
        <v>0</v>
      </c>
      <c r="GK50" s="1154">
        <f t="shared" si="72"/>
        <v>0</v>
      </c>
      <c r="GL50" s="1174">
        <f t="shared" si="73"/>
        <v>0</v>
      </c>
    </row>
    <row r="51" spans="1:194">
      <c r="B51" s="1290">
        <f>B50</f>
        <v>0</v>
      </c>
      <c r="C51" s="1289" t="str">
        <f>C50</f>
        <v>West CAC22/11kVLine STOUD</v>
      </c>
      <c r="D51" s="1113" t="str">
        <f t="shared" si="136"/>
        <v>West CAC22/11kVLine STOUD</v>
      </c>
      <c r="E51" s="1113" t="str">
        <f t="shared" si="137"/>
        <v>CAC</v>
      </c>
      <c r="F51" s="1113" t="str">
        <f t="shared" si="138"/>
        <v>CAC</v>
      </c>
      <c r="G51" s="1113" t="str">
        <f t="shared" si="139"/>
        <v>West</v>
      </c>
      <c r="H51" s="1113" t="str">
        <f t="shared" si="140"/>
        <v>WC22LTOU</v>
      </c>
      <c r="I51" s="1114" t="s">
        <v>759</v>
      </c>
      <c r="J51" s="1114" t="s">
        <v>934</v>
      </c>
      <c r="K51" s="1270"/>
      <c r="L51" s="1233">
        <v>70.440599999999989</v>
      </c>
      <c r="M51" s="1007"/>
      <c r="N51" s="1007"/>
      <c r="O51" s="1007"/>
      <c r="P51" s="1007"/>
      <c r="Q51" s="1007"/>
      <c r="R51" s="1007"/>
      <c r="S51" s="1233">
        <v>2.7227000000000001</v>
      </c>
      <c r="T51" s="1007"/>
      <c r="U51" s="1007"/>
      <c r="V51" s="1007"/>
      <c r="W51" s="1007"/>
      <c r="X51" s="1007"/>
      <c r="Y51" s="1007"/>
      <c r="Z51" s="1007"/>
      <c r="AA51" s="1007"/>
      <c r="AB51" s="1007"/>
      <c r="AC51" s="1007"/>
      <c r="AD51" s="1007"/>
      <c r="AE51" s="1007"/>
      <c r="AF51" s="1007"/>
      <c r="AG51" s="1007"/>
      <c r="AH51" s="1007"/>
      <c r="AI51" s="1224">
        <v>1.3562911090201862E-2</v>
      </c>
      <c r="AJ51" s="1005"/>
      <c r="AK51" s="1005"/>
      <c r="AL51" s="1005"/>
      <c r="AM51" s="1005"/>
      <c r="AN51" s="1005"/>
      <c r="AO51" s="1005"/>
      <c r="AP51" s="1005"/>
      <c r="AQ51" s="1005"/>
      <c r="AR51" s="1005"/>
      <c r="AS51" s="1005"/>
      <c r="AT51" s="1005"/>
      <c r="AU51" s="1206"/>
      <c r="AV51" s="1270"/>
      <c r="AW51" s="1482">
        <v>74.147999999999996</v>
      </c>
      <c r="AX51" s="1007"/>
      <c r="AY51" s="1007"/>
      <c r="AZ51" s="1007"/>
      <c r="BA51" s="1007"/>
      <c r="BB51" s="1007"/>
      <c r="BC51" s="1007"/>
      <c r="BD51" s="1482">
        <v>2.8660000000000001</v>
      </c>
      <c r="BE51" s="1007"/>
      <c r="BF51" s="1007"/>
      <c r="BG51" s="1007"/>
      <c r="BH51" s="1007"/>
      <c r="BI51" s="1007"/>
      <c r="BJ51" s="1007"/>
      <c r="BK51" s="1007"/>
      <c r="BL51" s="1007"/>
      <c r="BM51" s="1007"/>
      <c r="BN51" s="1007"/>
      <c r="BO51" s="1007"/>
      <c r="BP51" s="1007"/>
      <c r="BQ51" s="1007"/>
      <c r="BR51" s="1007"/>
      <c r="BS51" s="1007"/>
      <c r="BT51" s="1482">
        <v>1.49E-2</v>
      </c>
      <c r="BU51" s="1007"/>
      <c r="BV51" s="1007"/>
      <c r="BW51" s="1007"/>
      <c r="BX51" s="1007"/>
      <c r="BY51" s="1007"/>
      <c r="BZ51" s="1007"/>
      <c r="CA51" s="1007"/>
      <c r="CB51" s="1007"/>
      <c r="CC51" s="1007"/>
      <c r="CD51" s="1007"/>
      <c r="CE51" s="1007"/>
      <c r="CF51" s="1007"/>
      <c r="CG51" s="1207"/>
      <c r="CH51" s="1236">
        <v>0</v>
      </c>
      <c r="CI51" s="1007"/>
      <c r="CJ51" s="1007"/>
      <c r="CK51" s="1007"/>
      <c r="CL51" s="1007"/>
      <c r="CM51" s="1007"/>
      <c r="CN51" s="1007"/>
      <c r="CO51" s="1236">
        <v>0</v>
      </c>
      <c r="CP51" s="1007"/>
      <c r="CQ51" s="1007"/>
      <c r="CR51" s="1007"/>
      <c r="CS51" s="1007"/>
      <c r="CT51" s="1007"/>
      <c r="CU51" s="1007"/>
      <c r="CV51" s="1007"/>
      <c r="CW51" s="1007"/>
      <c r="CX51" s="1007"/>
      <c r="CY51" s="1007"/>
      <c r="CZ51" s="1007"/>
      <c r="DA51" s="1007"/>
      <c r="DB51" s="1007"/>
      <c r="DC51" s="1007"/>
      <c r="DD51" s="1007"/>
      <c r="DE51" s="1236">
        <v>0</v>
      </c>
      <c r="DF51" s="1007"/>
      <c r="DG51" s="1007"/>
      <c r="DH51" s="1007"/>
      <c r="DI51" s="1006"/>
      <c r="DJ51" s="1006"/>
      <c r="DK51" s="1007"/>
      <c r="DL51" s="1007"/>
      <c r="DM51" s="1007"/>
      <c r="DN51" s="1007"/>
      <c r="DO51" s="1112"/>
      <c r="DP51" s="1112"/>
      <c r="DQ51" s="1270"/>
      <c r="DR51" s="1154">
        <f t="shared" si="2"/>
        <v>0</v>
      </c>
      <c r="DS51" s="1154">
        <f t="shared" si="3"/>
        <v>0</v>
      </c>
      <c r="DT51" s="1154">
        <f t="shared" si="4"/>
        <v>0</v>
      </c>
      <c r="DU51" s="1154">
        <f t="shared" si="5"/>
        <v>0</v>
      </c>
      <c r="DV51" s="1154">
        <f t="shared" si="6"/>
        <v>0</v>
      </c>
      <c r="DW51" s="1154">
        <f t="shared" si="7"/>
        <v>0</v>
      </c>
      <c r="DX51" s="1154">
        <f t="shared" si="8"/>
        <v>0</v>
      </c>
      <c r="DY51" s="1154">
        <f t="shared" si="9"/>
        <v>0</v>
      </c>
      <c r="DZ51" s="1154">
        <f t="shared" si="10"/>
        <v>0</v>
      </c>
      <c r="EA51" s="1154">
        <f t="shared" si="11"/>
        <v>0</v>
      </c>
      <c r="EB51" s="1154">
        <f t="shared" si="12"/>
        <v>0</v>
      </c>
      <c r="EC51" s="1154">
        <f t="shared" si="13"/>
        <v>0</v>
      </c>
      <c r="ED51" s="1154">
        <f t="shared" si="14"/>
        <v>0</v>
      </c>
      <c r="EE51" s="1154">
        <f t="shared" si="15"/>
        <v>0</v>
      </c>
      <c r="EF51" s="1154">
        <f t="shared" si="16"/>
        <v>0</v>
      </c>
      <c r="EG51" s="1154">
        <f t="shared" si="17"/>
        <v>0</v>
      </c>
      <c r="EH51" s="1154">
        <f t="shared" si="18"/>
        <v>0</v>
      </c>
      <c r="EI51" s="1154">
        <f t="shared" si="19"/>
        <v>0</v>
      </c>
      <c r="EJ51" s="1154">
        <f t="shared" si="20"/>
        <v>0</v>
      </c>
      <c r="EK51" s="1154">
        <f t="shared" si="21"/>
        <v>0</v>
      </c>
      <c r="EL51" s="1154">
        <f t="shared" si="22"/>
        <v>0</v>
      </c>
      <c r="EM51" s="1154">
        <f t="shared" si="23"/>
        <v>0</v>
      </c>
      <c r="EN51" s="1154">
        <f t="shared" si="24"/>
        <v>0</v>
      </c>
      <c r="EO51" s="1154">
        <f t="shared" si="25"/>
        <v>0</v>
      </c>
      <c r="EP51" s="1154">
        <f t="shared" si="26"/>
        <v>0</v>
      </c>
      <c r="EQ51" s="1154">
        <f t="shared" si="27"/>
        <v>0</v>
      </c>
      <c r="ER51" s="1154">
        <f t="shared" si="28"/>
        <v>0</v>
      </c>
      <c r="ES51" s="1154">
        <f t="shared" si="29"/>
        <v>0</v>
      </c>
      <c r="ET51" s="1154">
        <f t="shared" si="30"/>
        <v>0</v>
      </c>
      <c r="EU51" s="1154">
        <f t="shared" si="31"/>
        <v>0</v>
      </c>
      <c r="EV51" s="1154">
        <f t="shared" si="32"/>
        <v>0</v>
      </c>
      <c r="EW51" s="1154">
        <f t="shared" si="33"/>
        <v>0</v>
      </c>
      <c r="EX51" s="1154">
        <f t="shared" si="34"/>
        <v>0</v>
      </c>
      <c r="EY51" s="1154">
        <f t="shared" si="35"/>
        <v>0</v>
      </c>
      <c r="EZ51" s="1154">
        <f t="shared" si="36"/>
        <v>0</v>
      </c>
      <c r="FA51" s="1174">
        <f t="shared" si="125"/>
        <v>0</v>
      </c>
      <c r="FC51" s="1154">
        <f t="shared" si="38"/>
        <v>0</v>
      </c>
      <c r="FD51" s="1154">
        <f t="shared" si="39"/>
        <v>0</v>
      </c>
      <c r="FE51" s="1154">
        <f t="shared" si="40"/>
        <v>0</v>
      </c>
      <c r="FF51" s="1154">
        <f t="shared" si="41"/>
        <v>0</v>
      </c>
      <c r="FG51" s="1154">
        <f t="shared" si="42"/>
        <v>0</v>
      </c>
      <c r="FH51" s="1154">
        <f t="shared" si="43"/>
        <v>0</v>
      </c>
      <c r="FI51" s="1154">
        <f t="shared" si="44"/>
        <v>0</v>
      </c>
      <c r="FJ51" s="1154">
        <f t="shared" si="45"/>
        <v>0</v>
      </c>
      <c r="FK51" s="1154">
        <f t="shared" si="46"/>
        <v>0</v>
      </c>
      <c r="FL51" s="1154">
        <f t="shared" si="47"/>
        <v>0</v>
      </c>
      <c r="FM51" s="1154">
        <f t="shared" si="48"/>
        <v>0</v>
      </c>
      <c r="FN51" s="1154">
        <f t="shared" si="49"/>
        <v>0</v>
      </c>
      <c r="FO51" s="1154">
        <f t="shared" si="50"/>
        <v>0</v>
      </c>
      <c r="FP51" s="1154">
        <f t="shared" si="51"/>
        <v>0</v>
      </c>
      <c r="FQ51" s="1154">
        <f t="shared" si="52"/>
        <v>0</v>
      </c>
      <c r="FR51" s="1154">
        <f t="shared" si="53"/>
        <v>0</v>
      </c>
      <c r="FS51" s="1154">
        <f t="shared" si="54"/>
        <v>0</v>
      </c>
      <c r="FT51" s="1154">
        <f t="shared" si="55"/>
        <v>0</v>
      </c>
      <c r="FU51" s="1154">
        <f t="shared" si="56"/>
        <v>0</v>
      </c>
      <c r="FV51" s="1154">
        <f t="shared" si="57"/>
        <v>0</v>
      </c>
      <c r="FW51" s="1154">
        <f t="shared" si="58"/>
        <v>0</v>
      </c>
      <c r="FX51" s="1154">
        <f t="shared" si="59"/>
        <v>0</v>
      </c>
      <c r="FY51" s="1154">
        <f t="shared" si="60"/>
        <v>0</v>
      </c>
      <c r="FZ51" s="1154">
        <f t="shared" si="61"/>
        <v>0</v>
      </c>
      <c r="GA51" s="1154">
        <f t="shared" si="62"/>
        <v>0</v>
      </c>
      <c r="GB51" s="1154">
        <f t="shared" si="63"/>
        <v>0</v>
      </c>
      <c r="GC51" s="1154">
        <f t="shared" si="64"/>
        <v>0</v>
      </c>
      <c r="GD51" s="1154">
        <f t="shared" si="65"/>
        <v>0</v>
      </c>
      <c r="GE51" s="1154">
        <f t="shared" si="66"/>
        <v>0</v>
      </c>
      <c r="GF51" s="1154">
        <f t="shared" si="67"/>
        <v>0</v>
      </c>
      <c r="GG51" s="1154">
        <f t="shared" si="68"/>
        <v>0</v>
      </c>
      <c r="GH51" s="1154">
        <f t="shared" si="69"/>
        <v>0</v>
      </c>
      <c r="GI51" s="1154">
        <f t="shared" si="70"/>
        <v>0</v>
      </c>
      <c r="GJ51" s="1154">
        <f t="shared" si="71"/>
        <v>0</v>
      </c>
      <c r="GK51" s="1154">
        <f t="shared" si="72"/>
        <v>0</v>
      </c>
      <c r="GL51" s="1174">
        <f t="shared" si="73"/>
        <v>0</v>
      </c>
    </row>
    <row r="52" spans="1:194" ht="6" customHeight="1" thickBot="1">
      <c r="A52" s="1205"/>
      <c r="B52" s="1266" t="s">
        <v>742</v>
      </c>
      <c r="C52" s="1780"/>
      <c r="D52" s="1781"/>
      <c r="E52" s="1781"/>
      <c r="F52" s="1781"/>
      <c r="G52" s="1781"/>
      <c r="H52" s="1781"/>
      <c r="I52" s="1781"/>
      <c r="J52" s="1782"/>
      <c r="K52" s="1234"/>
      <c r="L52" s="1266"/>
      <c r="M52" s="1184"/>
      <c r="N52" s="1184"/>
      <c r="O52" s="1184"/>
      <c r="P52" s="1184"/>
      <c r="Q52" s="1184"/>
      <c r="R52" s="1184"/>
      <c r="S52" s="1184"/>
      <c r="T52" s="1184"/>
      <c r="U52" s="1184"/>
      <c r="V52" s="1184"/>
      <c r="W52" s="1184"/>
      <c r="X52" s="1184"/>
      <c r="Y52" s="1184"/>
      <c r="Z52" s="1184"/>
      <c r="AA52" s="1184"/>
      <c r="AB52" s="1184"/>
      <c r="AC52" s="1184"/>
      <c r="AD52" s="1184"/>
      <c r="AE52" s="1184"/>
      <c r="AF52" s="1184"/>
      <c r="AG52" s="1184"/>
      <c r="AH52" s="1184"/>
      <c r="AI52" s="1184"/>
      <c r="AJ52" s="1184"/>
      <c r="AK52" s="1184"/>
      <c r="AL52" s="1184"/>
      <c r="AM52" s="1184"/>
      <c r="AN52" s="1184"/>
      <c r="AO52" s="1184"/>
      <c r="AP52" s="1184"/>
      <c r="AQ52" s="1184"/>
      <c r="AR52" s="1184"/>
      <c r="AS52" s="1184"/>
      <c r="AT52" s="1184"/>
      <c r="AU52" s="1205"/>
      <c r="AV52" s="1234"/>
      <c r="AW52" s="1205"/>
      <c r="AX52" s="1205"/>
      <c r="AY52" s="1205"/>
      <c r="AZ52" s="1205"/>
      <c r="BA52" s="1205"/>
      <c r="BB52" s="1205"/>
      <c r="BC52" s="1205"/>
      <c r="BD52" s="1205"/>
      <c r="BE52" s="1205"/>
      <c r="BF52" s="1205"/>
      <c r="BG52" s="1205"/>
      <c r="BH52" s="1205"/>
      <c r="BI52" s="1205"/>
      <c r="BJ52" s="1205"/>
      <c r="BK52" s="1205"/>
      <c r="BL52" s="1205"/>
      <c r="BM52" s="1205"/>
      <c r="BN52" s="1205"/>
      <c r="BO52" s="1205"/>
      <c r="BP52" s="1205"/>
      <c r="BQ52" s="1205"/>
      <c r="BR52" s="1205"/>
      <c r="BS52" s="1205"/>
      <c r="BT52" s="1205"/>
      <c r="BU52" s="1205"/>
      <c r="BV52" s="1205"/>
      <c r="BW52" s="1205"/>
      <c r="BX52" s="1205"/>
      <c r="BY52" s="1205"/>
      <c r="BZ52" s="1205"/>
      <c r="CA52" s="1205"/>
      <c r="CB52" s="1205"/>
      <c r="CC52" s="1205"/>
      <c r="CD52" s="1205"/>
      <c r="CE52" s="1205"/>
      <c r="CF52" s="1205"/>
      <c r="CG52" s="1208"/>
      <c r="CH52" s="1205"/>
      <c r="CI52" s="1205"/>
      <c r="CJ52" s="1205"/>
      <c r="CK52" s="1205"/>
      <c r="CL52" s="1205"/>
      <c r="CM52" s="1205"/>
      <c r="CN52" s="1205"/>
      <c r="CO52" s="1205"/>
      <c r="CP52" s="1205"/>
      <c r="CQ52" s="1205"/>
      <c r="CR52" s="1205"/>
      <c r="CS52" s="1205"/>
      <c r="CT52" s="1205"/>
      <c r="CU52" s="1205"/>
      <c r="CV52" s="1205"/>
      <c r="CW52" s="1205"/>
      <c r="CX52" s="1205"/>
      <c r="CY52" s="1205"/>
      <c r="CZ52" s="1205"/>
      <c r="DA52" s="1205"/>
      <c r="DB52" s="1205"/>
      <c r="DC52" s="1205"/>
      <c r="DD52" s="1205"/>
      <c r="DE52" s="1205"/>
      <c r="DF52" s="1205"/>
      <c r="DG52" s="1205"/>
      <c r="DH52" s="1205"/>
      <c r="DI52" s="1205"/>
      <c r="DJ52" s="1205"/>
      <c r="DK52" s="1184"/>
      <c r="DL52" s="1184"/>
      <c r="DM52" s="1184"/>
      <c r="DN52" s="1184"/>
      <c r="DO52" s="1266"/>
      <c r="DP52" s="1266"/>
      <c r="DQ52" s="1234"/>
      <c r="DR52" s="1283"/>
      <c r="DS52" s="1283"/>
      <c r="DT52" s="1283"/>
      <c r="DU52" s="1283"/>
      <c r="DV52" s="1283"/>
      <c r="DW52" s="1283"/>
      <c r="DX52" s="1283"/>
      <c r="DY52" s="1283"/>
      <c r="DZ52" s="1283"/>
      <c r="EA52" s="1283"/>
      <c r="EB52" s="1283"/>
      <c r="EC52" s="1283"/>
      <c r="ED52" s="1283"/>
      <c r="EE52" s="1283"/>
      <c r="EF52" s="1283"/>
      <c r="EG52" s="1283"/>
      <c r="EH52" s="1283"/>
      <c r="EI52" s="1283"/>
      <c r="EJ52" s="1283"/>
      <c r="EK52" s="1283"/>
      <c r="EL52" s="1283"/>
      <c r="EM52" s="1283"/>
      <c r="EN52" s="1283"/>
      <c r="EO52" s="1283"/>
      <c r="EP52" s="1283"/>
      <c r="EQ52" s="1283"/>
      <c r="ER52" s="1283"/>
      <c r="ES52" s="1283"/>
      <c r="ET52" s="1283"/>
      <c r="EU52" s="1283"/>
      <c r="EV52" s="1283"/>
      <c r="EW52" s="1283"/>
      <c r="EX52" s="1283"/>
      <c r="EY52" s="1283"/>
      <c r="EZ52" s="1283"/>
      <c r="FA52" s="1283"/>
      <c r="FC52" s="1283"/>
      <c r="FD52" s="1283"/>
      <c r="FE52" s="1283"/>
      <c r="FF52" s="1283"/>
      <c r="FG52" s="1283"/>
      <c r="FH52" s="1283"/>
      <c r="FI52" s="1283"/>
      <c r="FJ52" s="1283"/>
      <c r="FK52" s="1283"/>
      <c r="FL52" s="1283"/>
      <c r="FM52" s="1283"/>
      <c r="FN52" s="1283"/>
      <c r="FO52" s="1283"/>
      <c r="FP52" s="1283"/>
      <c r="FQ52" s="1283"/>
      <c r="FR52" s="1283"/>
      <c r="FS52" s="1283"/>
      <c r="FT52" s="1283"/>
      <c r="FU52" s="1283"/>
      <c r="FV52" s="1283"/>
      <c r="FW52" s="1283"/>
      <c r="FX52" s="1283"/>
      <c r="FY52" s="1283"/>
      <c r="FZ52" s="1283"/>
      <c r="GA52" s="1283"/>
      <c r="GB52" s="1283"/>
      <c r="GC52" s="1283"/>
      <c r="GD52" s="1283"/>
      <c r="GE52" s="1283"/>
      <c r="GF52" s="1283"/>
      <c r="GG52" s="1283"/>
      <c r="GH52" s="1283"/>
      <c r="GI52" s="1283"/>
      <c r="GJ52" s="1283"/>
      <c r="GK52" s="1283"/>
      <c r="GL52" s="1283"/>
    </row>
    <row r="53" spans="1:194">
      <c r="B53" s="1290" t="str">
        <f t="shared" ref="B53:B84" si="141">$E53&amp;"DUOS"&amp;$H53</f>
        <v>SACDUOSEDLT</v>
      </c>
      <c r="C53" s="1289" t="str">
        <f>Prop2021DUOSTariffs!C25</f>
        <v>East SAC&gt;100MWhpa DemandLarge</v>
      </c>
      <c r="D53" s="1113" t="str">
        <f>Prop2021DUOSTariffs!D25</f>
        <v>East SAC&gt;100MWhpa DemandLarge</v>
      </c>
      <c r="E53" s="1113" t="str">
        <f>Prop2021DUOSTariffs!E25</f>
        <v>SAC</v>
      </c>
      <c r="F53" s="1113" t="str">
        <f>Prop2021DUOSTariffs!F25</f>
        <v>SACL</v>
      </c>
      <c r="G53" s="1113" t="str">
        <f>Prop2021DUOSTariffs!G25</f>
        <v>East</v>
      </c>
      <c r="H53" s="1113" t="str">
        <f>IF(Prop2021DUOSTariffs!H25="","",Prop2021DUOSTariffs!H25)</f>
        <v>EDLT</v>
      </c>
      <c r="I53" s="1114" t="s">
        <v>798</v>
      </c>
      <c r="J53" s="1783" t="s">
        <v>934</v>
      </c>
      <c r="K53" s="1270"/>
      <c r="L53" s="1233">
        <v>15.441160980000001</v>
      </c>
      <c r="M53" s="1007"/>
      <c r="N53" s="1007"/>
      <c r="O53" s="1007"/>
      <c r="P53" s="1007"/>
      <c r="Q53" s="1007"/>
      <c r="R53" s="1007"/>
      <c r="S53" s="1007"/>
      <c r="T53" s="1007"/>
      <c r="U53" s="1007"/>
      <c r="V53" s="1007"/>
      <c r="W53" s="1784">
        <v>0.83331423000000004</v>
      </c>
      <c r="X53" s="1007"/>
      <c r="Y53" s="1007"/>
      <c r="Z53" s="1007"/>
      <c r="AA53" s="1233">
        <v>0.92590470000000002</v>
      </c>
      <c r="AB53" s="1007"/>
      <c r="AC53" s="1007"/>
      <c r="AD53" s="1007"/>
      <c r="AE53" s="1007"/>
      <c r="AF53" s="1007"/>
      <c r="AG53" s="1007"/>
      <c r="AH53" s="1007"/>
      <c r="AI53" s="1224">
        <v>1.2756140745273986E-2</v>
      </c>
      <c r="AJ53" s="1005"/>
      <c r="AK53" s="1005"/>
      <c r="AL53" s="1005"/>
      <c r="AM53" s="1005"/>
      <c r="AN53" s="1005"/>
      <c r="AO53" s="1005"/>
      <c r="AP53" s="1005"/>
      <c r="AQ53" s="1005"/>
      <c r="AR53" s="1005"/>
      <c r="AS53" s="1005"/>
      <c r="AT53" s="1005"/>
      <c r="AU53" s="1006"/>
      <c r="AV53" s="1270"/>
      <c r="AW53" s="1480">
        <v>14.567133</v>
      </c>
      <c r="AX53" s="1006"/>
      <c r="AY53" s="1006"/>
      <c r="AZ53" s="1006"/>
      <c r="BA53" s="1006"/>
      <c r="BB53" s="1006"/>
      <c r="BC53" s="1006"/>
      <c r="BD53" s="1006"/>
      <c r="BE53" s="1006"/>
      <c r="BF53" s="1006"/>
      <c r="BG53" s="1006"/>
      <c r="BH53" s="1608">
        <v>0.78500000000000003</v>
      </c>
      <c r="BI53" s="1006"/>
      <c r="BJ53" s="1006"/>
      <c r="BK53" s="1006"/>
      <c r="BL53" s="1480">
        <v>0.87349500000000002</v>
      </c>
      <c r="BM53" s="1006"/>
      <c r="BN53" s="1006"/>
      <c r="BO53" s="1006"/>
      <c r="BP53" s="1006"/>
      <c r="BQ53" s="1006"/>
      <c r="BR53" s="1006"/>
      <c r="BS53" s="1006"/>
      <c r="BT53" s="1480">
        <v>9.9886311700567981E-3</v>
      </c>
      <c r="BU53" s="1006"/>
      <c r="BV53" s="1006"/>
      <c r="BW53" s="1006"/>
      <c r="BX53" s="1006"/>
      <c r="BY53" s="1006"/>
      <c r="BZ53" s="1006"/>
      <c r="CA53" s="1006"/>
      <c r="CB53" s="1006"/>
      <c r="CC53" s="1006"/>
      <c r="CD53" s="1006"/>
      <c r="CE53" s="1006"/>
      <c r="CF53" s="1006"/>
      <c r="CG53" s="1209"/>
      <c r="CH53" s="1236">
        <v>118.12735262749302</v>
      </c>
      <c r="CI53" s="1007"/>
      <c r="CJ53" s="1007"/>
      <c r="CK53" s="1007"/>
      <c r="CL53" s="1007"/>
      <c r="CM53" s="1007"/>
      <c r="CN53" s="1007"/>
      <c r="CO53" s="1007"/>
      <c r="CP53" s="1007"/>
      <c r="CQ53" s="1007"/>
      <c r="CR53" s="1007"/>
      <c r="CS53" s="1007"/>
      <c r="CT53" s="1007"/>
      <c r="CU53" s="1007"/>
      <c r="CV53" s="1112"/>
      <c r="CW53" s="1236">
        <v>187068.16184787374</v>
      </c>
      <c r="CX53" s="1007"/>
      <c r="CY53" s="1007"/>
      <c r="CZ53" s="1007"/>
      <c r="DA53" s="1007"/>
      <c r="DB53" s="1007"/>
      <c r="DC53" s="1007"/>
      <c r="DD53" s="1007"/>
      <c r="DE53" s="1236">
        <v>198346952.41512525</v>
      </c>
      <c r="DF53" s="1007"/>
      <c r="DG53" s="1007"/>
      <c r="DH53" s="1007"/>
      <c r="DI53" s="1006"/>
      <c r="DJ53" s="1006"/>
      <c r="DK53" s="1007"/>
      <c r="DL53" s="1007"/>
      <c r="DM53" s="1007"/>
      <c r="DN53" s="1007"/>
      <c r="DO53" s="1112"/>
      <c r="DP53" s="1112"/>
      <c r="DQ53" s="1270"/>
      <c r="DR53" s="1154">
        <f t="shared" ref="DR53:DR84" si="142">L53*CH53*DR$229</f>
        <v>665768.5658427563</v>
      </c>
      <c r="DS53" s="1154">
        <f t="shared" ref="DS53:DS84" si="143">M53*CI53*DS$229</f>
        <v>0</v>
      </c>
      <c r="DT53" s="1154">
        <f t="shared" ref="DT53:DT84" si="144">N53*CJ53*DT$229</f>
        <v>0</v>
      </c>
      <c r="DU53" s="1154">
        <f t="shared" ref="DU53:DU84" si="145">O53*CK53*DU$229</f>
        <v>0</v>
      </c>
      <c r="DV53" s="1154">
        <f t="shared" ref="DV53:DV84" si="146">P53*CL53*DV$229</f>
        <v>0</v>
      </c>
      <c r="DW53" s="1154">
        <f t="shared" ref="DW53:DW84" si="147">Q53*CM53*DW$229</f>
        <v>0</v>
      </c>
      <c r="DX53" s="1154">
        <f t="shared" ref="DX53:DX84" si="148">R53*CN53*DX$229</f>
        <v>0</v>
      </c>
      <c r="DY53" s="1154">
        <f t="shared" ref="DY53:DY84" si="149">S53*CO53*DY$229</f>
        <v>0</v>
      </c>
      <c r="DZ53" s="1154">
        <f t="shared" ref="DZ53:DZ84" si="150">T53*CP53*DZ$229</f>
        <v>0</v>
      </c>
      <c r="EA53" s="1154">
        <f t="shared" ref="EA53:EA84" si="151">U53*CQ53*EA$229</f>
        <v>0</v>
      </c>
      <c r="EB53" s="1154">
        <f t="shared" ref="EB53:EB84" si="152">V53*CR53*EB$229</f>
        <v>0</v>
      </c>
      <c r="EC53" s="1154">
        <f t="shared" ref="EC53:EC84" si="153">W53*CS53*EC$229</f>
        <v>0</v>
      </c>
      <c r="ED53" s="1154">
        <f t="shared" ref="ED53:ED84" si="154">X53*CT53*ED$229</f>
        <v>0</v>
      </c>
      <c r="EE53" s="1154">
        <f t="shared" ref="EE53:EE84" si="155">Y53*CU53*EE$229</f>
        <v>0</v>
      </c>
      <c r="EF53" s="1154">
        <f t="shared" ref="EF53:EF84" si="156">Z53*CV53*EF$229</f>
        <v>0</v>
      </c>
      <c r="EG53" s="1154">
        <f t="shared" ref="EG53:EG84" si="157">AA53*CW53*EG$229</f>
        <v>173207.29027530699</v>
      </c>
      <c r="EH53" s="1154">
        <f t="shared" ref="EH53:EH84" si="158">AB53*CX53*EH$229</f>
        <v>0</v>
      </c>
      <c r="EI53" s="1154">
        <f t="shared" ref="EI53:EI84" si="159">AC53*CY53*EI$229</f>
        <v>0</v>
      </c>
      <c r="EJ53" s="1154">
        <f t="shared" ref="EJ53:EJ84" si="160">AD53*CZ53*EJ$229</f>
        <v>0</v>
      </c>
      <c r="EK53" s="1154">
        <f t="shared" ref="EK53:EK84" si="161">AE53*DA53*EK$229</f>
        <v>0</v>
      </c>
      <c r="EL53" s="1154">
        <f t="shared" ref="EL53:EL84" si="162">AF53*DB53*EL$229</f>
        <v>0</v>
      </c>
      <c r="EM53" s="1154">
        <f t="shared" ref="EM53:EM84" si="163">AG53*DC53*EM$229*$AU53</f>
        <v>0</v>
      </c>
      <c r="EN53" s="1154">
        <f t="shared" ref="EN53:EN84" si="164">AH53*DD53*EN$229*$AU53</f>
        <v>0</v>
      </c>
      <c r="EO53" s="1154">
        <f t="shared" ref="EO53:EO84" si="165">AI53*DE53*EO$229</f>
        <v>2530141.6414034995</v>
      </c>
      <c r="EP53" s="1154">
        <f t="shared" ref="EP53:EP84" si="166">AJ53*DF53*EP$229</f>
        <v>0</v>
      </c>
      <c r="EQ53" s="1154">
        <f t="shared" ref="EQ53:EQ84" si="167">AK53*DG53*EQ$229</f>
        <v>0</v>
      </c>
      <c r="ER53" s="1154">
        <f t="shared" ref="ER53:ER84" si="168">AL53*DH53*ER$229</f>
        <v>0</v>
      </c>
      <c r="ES53" s="1154">
        <f t="shared" ref="ES53:ES84" si="169">AM53*DI53*ES$229</f>
        <v>0</v>
      </c>
      <c r="ET53" s="1154">
        <f t="shared" ref="ET53:ET84" si="170">AN53*DJ53*ET$229</f>
        <v>0</v>
      </c>
      <c r="EU53" s="1154">
        <f t="shared" ref="EU53:EU84" si="171">AO53*DK53*EU$229</f>
        <v>0</v>
      </c>
      <c r="EV53" s="1154">
        <f t="shared" ref="EV53:EV84" si="172">AP53*DL53*EV$229</f>
        <v>0</v>
      </c>
      <c r="EW53" s="1154">
        <f t="shared" ref="EW53:EW84" si="173">AQ53*DM53*EW$229</f>
        <v>0</v>
      </c>
      <c r="EX53" s="1154">
        <f t="shared" ref="EX53:EX84" si="174">AR53*DN53*EX$229</f>
        <v>0</v>
      </c>
      <c r="EY53" s="1154">
        <f t="shared" ref="EY53:EY84" si="175">AS53*DO53*EY$229</f>
        <v>0</v>
      </c>
      <c r="EZ53" s="1154">
        <f t="shared" ref="EZ53:EZ84" si="176">AT53*DP53*EZ$229</f>
        <v>0</v>
      </c>
      <c r="FA53" s="1174">
        <f t="shared" ref="FA53:FA84" si="177">SUM(DR53:EZ53)</f>
        <v>3369117.497521563</v>
      </c>
      <c r="FC53" s="1154">
        <f t="shared" ref="FC53:FC84" si="178">AW53*CH53*FC$229</f>
        <v>628083.5526818455</v>
      </c>
      <c r="FD53" s="1154">
        <f t="shared" ref="FD53:FD84" si="179">AX53*CI53*FD$229</f>
        <v>0</v>
      </c>
      <c r="FE53" s="1154">
        <f t="shared" ref="FE53:FE84" si="180">AY53*CJ53*FE$229</f>
        <v>0</v>
      </c>
      <c r="FF53" s="1154">
        <f t="shared" ref="FF53:FF84" si="181">AZ53*CK53*FF$229</f>
        <v>0</v>
      </c>
      <c r="FG53" s="1154">
        <f t="shared" ref="FG53:FG84" si="182">BA53*CL53*FG$229</f>
        <v>0</v>
      </c>
      <c r="FH53" s="1154">
        <f t="shared" ref="FH53:FH84" si="183">BB53*CM53*FH$229</f>
        <v>0</v>
      </c>
      <c r="FI53" s="1154">
        <f t="shared" ref="FI53:FI84" si="184">BC53*CN53*FI$229</f>
        <v>0</v>
      </c>
      <c r="FJ53" s="1154">
        <f t="shared" ref="FJ53:FJ84" si="185">BD53*CO53*FJ$229</f>
        <v>0</v>
      </c>
      <c r="FK53" s="1154">
        <f t="shared" ref="FK53:FK84" si="186">BE53*CP53*FK$229</f>
        <v>0</v>
      </c>
      <c r="FL53" s="1154">
        <f t="shared" ref="FL53:FL84" si="187">BF53*CQ53*FL$229</f>
        <v>0</v>
      </c>
      <c r="FM53" s="1154">
        <f t="shared" ref="FM53:FM84" si="188">BG53*CR53*FM$229</f>
        <v>0</v>
      </c>
      <c r="FN53" s="1154">
        <f t="shared" ref="FN53:FN84" si="189">BH53*CS53*FN$229</f>
        <v>0</v>
      </c>
      <c r="FO53" s="1154">
        <f t="shared" ref="FO53:FO84" si="190">BI53*CT53*FO$229</f>
        <v>0</v>
      </c>
      <c r="FP53" s="1154">
        <f t="shared" ref="FP53:FP84" si="191">BJ53*CU53*FP$229</f>
        <v>0</v>
      </c>
      <c r="FQ53" s="1154">
        <f t="shared" ref="FQ53:FQ84" si="192">BK53*CV53*FQ$229</f>
        <v>0</v>
      </c>
      <c r="FR53" s="1154">
        <f t="shared" ref="FR53:FR84" si="193">BL53*CW53*FR$229</f>
        <v>163403.10403330848</v>
      </c>
      <c r="FS53" s="1154">
        <f t="shared" ref="FS53:FS84" si="194">BM53*CX53*FS$229</f>
        <v>0</v>
      </c>
      <c r="FT53" s="1154">
        <f t="shared" ref="FT53:FT84" si="195">BN53*CY53*FT$229</f>
        <v>0</v>
      </c>
      <c r="FU53" s="1154">
        <f t="shared" ref="FU53:FU84" si="196">BO53*CZ53*FU$229</f>
        <v>0</v>
      </c>
      <c r="FV53" s="1154">
        <f t="shared" ref="FV53:FV84" si="197">BP53*DA53*FV$229</f>
        <v>0</v>
      </c>
      <c r="FW53" s="1154">
        <f t="shared" ref="FW53:FW84" si="198">BQ53*DB53*FW$229</f>
        <v>0</v>
      </c>
      <c r="FX53" s="1154">
        <f t="shared" ref="FX53:FX84" si="199">BR53*DC53*FX$229</f>
        <v>0</v>
      </c>
      <c r="FY53" s="1154">
        <f t="shared" ref="FY53:FY84" si="200">BS53*DD53*FY$229</f>
        <v>0</v>
      </c>
      <c r="FZ53" s="1154">
        <f t="shared" ref="FZ53:FZ84" si="201">BT53*DE53*FZ$229</f>
        <v>1981214.5513794925</v>
      </c>
      <c r="GA53" s="1154">
        <f t="shared" ref="GA53:GA84" si="202">BU53*DF53*GA$229</f>
        <v>0</v>
      </c>
      <c r="GB53" s="1154">
        <f t="shared" ref="GB53:GB84" si="203">BV53*DG53*GB$229</f>
        <v>0</v>
      </c>
      <c r="GC53" s="1154">
        <f t="shared" ref="GC53:GC84" si="204">BW53*DH53*GC$229</f>
        <v>0</v>
      </c>
      <c r="GD53" s="1154">
        <f t="shared" ref="GD53:GD84" si="205">BX53*DI53*GD$229</f>
        <v>0</v>
      </c>
      <c r="GE53" s="1154">
        <f t="shared" ref="GE53:GE84" si="206">BY53*DJ53*GE$229</f>
        <v>0</v>
      </c>
      <c r="GF53" s="1154">
        <f t="shared" ref="GF53:GF84" si="207">BZ53*DK53*GF$229</f>
        <v>0</v>
      </c>
      <c r="GG53" s="1154">
        <f t="shared" ref="GG53:GG84" si="208">CA53*DL53*GG$229</f>
        <v>0</v>
      </c>
      <c r="GH53" s="1154">
        <f t="shared" ref="GH53:GH84" si="209">CB53*DM53*GH$229</f>
        <v>0</v>
      </c>
      <c r="GI53" s="1154">
        <f t="shared" ref="GI53:GI84" si="210">CC53*DN53*GI$229</f>
        <v>0</v>
      </c>
      <c r="GJ53" s="1154">
        <f t="shared" ref="GJ53:GJ84" si="211">CD53*DO53*GJ$229</f>
        <v>0</v>
      </c>
      <c r="GK53" s="1154">
        <f t="shared" ref="GK53:GK84" si="212">CE53*DP53*GK$229</f>
        <v>0</v>
      </c>
      <c r="GL53" s="1174">
        <f t="shared" ref="GL53:GL101" si="213">SUM(FC53:GK53)</f>
        <v>2772701.2080946462</v>
      </c>
    </row>
    <row r="54" spans="1:194">
      <c r="B54" s="1290" t="str">
        <f t="shared" si="141"/>
        <v>SACDUOSEDLT</v>
      </c>
      <c r="C54" s="1289" t="str">
        <f>C53</f>
        <v>East SAC&gt;100MWhpa DemandLarge</v>
      </c>
      <c r="D54" s="1113" t="str">
        <f t="shared" ref="D54:H54" si="214">D53</f>
        <v>East SAC&gt;100MWhpa DemandLarge</v>
      </c>
      <c r="E54" s="1113" t="str">
        <f t="shared" si="214"/>
        <v>SAC</v>
      </c>
      <c r="F54" s="1113" t="str">
        <f t="shared" si="214"/>
        <v>SACL</v>
      </c>
      <c r="G54" s="1113" t="str">
        <f t="shared" ref="G54" si="215">G53</f>
        <v>East</v>
      </c>
      <c r="H54" s="1113" t="str">
        <f t="shared" si="214"/>
        <v>EDLT</v>
      </c>
      <c r="I54" s="1114" t="s">
        <v>752</v>
      </c>
      <c r="J54" s="1114" t="s">
        <v>934</v>
      </c>
      <c r="K54" s="1270"/>
      <c r="L54" s="1233">
        <v>29.310968609999996</v>
      </c>
      <c r="M54" s="1007"/>
      <c r="N54" s="1007"/>
      <c r="O54" s="1007"/>
      <c r="P54" s="1007"/>
      <c r="Q54" s="1007"/>
      <c r="R54" s="1007"/>
      <c r="S54" s="1007"/>
      <c r="T54" s="1007"/>
      <c r="U54" s="1007"/>
      <c r="V54" s="1007"/>
      <c r="W54" s="1784">
        <v>1.761170229</v>
      </c>
      <c r="X54" s="1007"/>
      <c r="Y54" s="1007"/>
      <c r="Z54" s="1007"/>
      <c r="AA54" s="1233">
        <v>1.95685581</v>
      </c>
      <c r="AB54" s="1007"/>
      <c r="AC54" s="1007"/>
      <c r="AD54" s="1007"/>
      <c r="AE54" s="1007"/>
      <c r="AF54" s="1007"/>
      <c r="AG54" s="1007"/>
      <c r="AH54" s="1007"/>
      <c r="AI54" s="1224">
        <v>1.3580961239131205E-2</v>
      </c>
      <c r="AJ54" s="1005"/>
      <c r="AK54" s="1005"/>
      <c r="AL54" s="1005"/>
      <c r="AM54" s="1005"/>
      <c r="AN54" s="1005"/>
      <c r="AO54" s="1005"/>
      <c r="AP54" s="1005"/>
      <c r="AQ54" s="1005"/>
      <c r="AR54" s="1005"/>
      <c r="AS54" s="1005"/>
      <c r="AT54" s="1005"/>
      <c r="AU54" s="1006"/>
      <c r="AV54" s="1270"/>
      <c r="AW54" s="1480">
        <v>29.020760999999997</v>
      </c>
      <c r="AX54" s="1006"/>
      <c r="AY54" s="1006"/>
      <c r="AZ54" s="1006"/>
      <c r="BA54" s="1006"/>
      <c r="BB54" s="1006"/>
      <c r="BC54" s="1006"/>
      <c r="BD54" s="1006"/>
      <c r="BE54" s="1006"/>
      <c r="BF54" s="1006"/>
      <c r="BG54" s="1006"/>
      <c r="BH54" s="1608">
        <v>1.7430000000000001</v>
      </c>
      <c r="BI54" s="1006"/>
      <c r="BJ54" s="1006"/>
      <c r="BK54" s="1006"/>
      <c r="BL54" s="1480">
        <v>1.937481</v>
      </c>
      <c r="BM54" s="1006"/>
      <c r="BN54" s="1006"/>
      <c r="BO54" s="1006"/>
      <c r="BP54" s="1006"/>
      <c r="BQ54" s="1006"/>
      <c r="BR54" s="1006"/>
      <c r="BS54" s="1006"/>
      <c r="BT54" s="1480">
        <v>1.3226767178995704E-2</v>
      </c>
      <c r="BU54" s="1006"/>
      <c r="BV54" s="1006"/>
      <c r="BW54" s="1006"/>
      <c r="BX54" s="1006"/>
      <c r="BY54" s="1006"/>
      <c r="BZ54" s="1006"/>
      <c r="CA54" s="1006"/>
      <c r="CB54" s="1006"/>
      <c r="CC54" s="1006"/>
      <c r="CD54" s="1006"/>
      <c r="CE54" s="1006"/>
      <c r="CF54" s="1006"/>
      <c r="CG54" s="1209"/>
      <c r="CH54" s="1236">
        <v>75.707592095310375</v>
      </c>
      <c r="CI54" s="1007"/>
      <c r="CJ54" s="1007"/>
      <c r="CK54" s="1007"/>
      <c r="CL54" s="1007"/>
      <c r="CM54" s="1007"/>
      <c r="CN54" s="1007"/>
      <c r="CO54" s="1007"/>
      <c r="CP54" s="1007"/>
      <c r="CQ54" s="1007"/>
      <c r="CR54" s="1007"/>
      <c r="CS54" s="1007"/>
      <c r="CT54" s="1007"/>
      <c r="CU54" s="1007"/>
      <c r="CV54" s="1007"/>
      <c r="CW54" s="1236">
        <v>119891.62354174476</v>
      </c>
      <c r="CX54" s="1007"/>
      <c r="CY54" s="1007"/>
      <c r="CZ54" s="1007"/>
      <c r="DA54" s="1007"/>
      <c r="DB54" s="1007"/>
      <c r="DC54" s="1007"/>
      <c r="DD54" s="1007"/>
      <c r="DE54" s="1236">
        <v>126648051.6873088</v>
      </c>
      <c r="DF54" s="1007"/>
      <c r="DG54" s="1007"/>
      <c r="DH54" s="1007"/>
      <c r="DI54" s="1006"/>
      <c r="DJ54" s="1006"/>
      <c r="DK54" s="1007"/>
      <c r="DL54" s="1007"/>
      <c r="DM54" s="1007"/>
      <c r="DN54" s="1007"/>
      <c r="DO54" s="1112"/>
      <c r="DP54" s="1112"/>
      <c r="DQ54" s="1270"/>
      <c r="DR54" s="1154">
        <f t="shared" si="142"/>
        <v>809957.94223717903</v>
      </c>
      <c r="DS54" s="1154">
        <f t="shared" si="143"/>
        <v>0</v>
      </c>
      <c r="DT54" s="1154">
        <f t="shared" si="144"/>
        <v>0</v>
      </c>
      <c r="DU54" s="1154">
        <f t="shared" si="145"/>
        <v>0</v>
      </c>
      <c r="DV54" s="1154">
        <f t="shared" si="146"/>
        <v>0</v>
      </c>
      <c r="DW54" s="1154">
        <f t="shared" si="147"/>
        <v>0</v>
      </c>
      <c r="DX54" s="1154">
        <f t="shared" si="148"/>
        <v>0</v>
      </c>
      <c r="DY54" s="1154">
        <f t="shared" si="149"/>
        <v>0</v>
      </c>
      <c r="DZ54" s="1154">
        <f t="shared" si="150"/>
        <v>0</v>
      </c>
      <c r="EA54" s="1154">
        <f t="shared" si="151"/>
        <v>0</v>
      </c>
      <c r="EB54" s="1154">
        <f t="shared" si="152"/>
        <v>0</v>
      </c>
      <c r="EC54" s="1154">
        <f t="shared" si="153"/>
        <v>0</v>
      </c>
      <c r="ED54" s="1154">
        <f t="shared" si="154"/>
        <v>0</v>
      </c>
      <c r="EE54" s="1154">
        <f t="shared" si="155"/>
        <v>0</v>
      </c>
      <c r="EF54" s="1154">
        <f t="shared" si="156"/>
        <v>0</v>
      </c>
      <c r="EG54" s="1154">
        <f t="shared" si="157"/>
        <v>234610.620097996</v>
      </c>
      <c r="EH54" s="1154">
        <f t="shared" si="158"/>
        <v>0</v>
      </c>
      <c r="EI54" s="1154">
        <f t="shared" si="159"/>
        <v>0</v>
      </c>
      <c r="EJ54" s="1154">
        <f t="shared" si="160"/>
        <v>0</v>
      </c>
      <c r="EK54" s="1154">
        <f t="shared" si="161"/>
        <v>0</v>
      </c>
      <c r="EL54" s="1154">
        <f t="shared" si="162"/>
        <v>0</v>
      </c>
      <c r="EM54" s="1154">
        <f t="shared" si="163"/>
        <v>0</v>
      </c>
      <c r="EN54" s="1154">
        <f t="shared" si="164"/>
        <v>0</v>
      </c>
      <c r="EO54" s="1154">
        <f t="shared" si="165"/>
        <v>1720002.2809768263</v>
      </c>
      <c r="EP54" s="1154">
        <f t="shared" si="166"/>
        <v>0</v>
      </c>
      <c r="EQ54" s="1154">
        <f t="shared" si="167"/>
        <v>0</v>
      </c>
      <c r="ER54" s="1154">
        <f t="shared" si="168"/>
        <v>0</v>
      </c>
      <c r="ES54" s="1154">
        <f t="shared" si="169"/>
        <v>0</v>
      </c>
      <c r="ET54" s="1154">
        <f t="shared" si="170"/>
        <v>0</v>
      </c>
      <c r="EU54" s="1154">
        <f t="shared" si="171"/>
        <v>0</v>
      </c>
      <c r="EV54" s="1154">
        <f t="shared" si="172"/>
        <v>0</v>
      </c>
      <c r="EW54" s="1154">
        <f t="shared" si="173"/>
        <v>0</v>
      </c>
      <c r="EX54" s="1154">
        <f t="shared" si="174"/>
        <v>0</v>
      </c>
      <c r="EY54" s="1154">
        <f t="shared" si="175"/>
        <v>0</v>
      </c>
      <c r="EZ54" s="1154">
        <f t="shared" si="176"/>
        <v>0</v>
      </c>
      <c r="FA54" s="1174">
        <f t="shared" si="177"/>
        <v>2764570.8433120013</v>
      </c>
      <c r="FC54" s="1154">
        <f t="shared" si="178"/>
        <v>801938.55667047435</v>
      </c>
      <c r="FD54" s="1154">
        <f t="shared" si="179"/>
        <v>0</v>
      </c>
      <c r="FE54" s="1154">
        <f t="shared" si="180"/>
        <v>0</v>
      </c>
      <c r="FF54" s="1154">
        <f t="shared" si="181"/>
        <v>0</v>
      </c>
      <c r="FG54" s="1154">
        <f t="shared" si="182"/>
        <v>0</v>
      </c>
      <c r="FH54" s="1154">
        <f t="shared" si="183"/>
        <v>0</v>
      </c>
      <c r="FI54" s="1154">
        <f t="shared" si="184"/>
        <v>0</v>
      </c>
      <c r="FJ54" s="1154">
        <f t="shared" si="185"/>
        <v>0</v>
      </c>
      <c r="FK54" s="1154">
        <f t="shared" si="186"/>
        <v>0</v>
      </c>
      <c r="FL54" s="1154">
        <f t="shared" si="187"/>
        <v>0</v>
      </c>
      <c r="FM54" s="1154">
        <f t="shared" si="188"/>
        <v>0</v>
      </c>
      <c r="FN54" s="1154">
        <f t="shared" si="189"/>
        <v>0</v>
      </c>
      <c r="FO54" s="1154">
        <f t="shared" si="190"/>
        <v>0</v>
      </c>
      <c r="FP54" s="1154">
        <f t="shared" si="191"/>
        <v>0</v>
      </c>
      <c r="FQ54" s="1154">
        <f t="shared" si="192"/>
        <v>0</v>
      </c>
      <c r="FR54" s="1154">
        <f t="shared" si="193"/>
        <v>232287.74267128319</v>
      </c>
      <c r="FS54" s="1154">
        <f t="shared" si="194"/>
        <v>0</v>
      </c>
      <c r="FT54" s="1154">
        <f t="shared" si="195"/>
        <v>0</v>
      </c>
      <c r="FU54" s="1154">
        <f t="shared" si="196"/>
        <v>0</v>
      </c>
      <c r="FV54" s="1154">
        <f t="shared" si="197"/>
        <v>0</v>
      </c>
      <c r="FW54" s="1154">
        <f t="shared" si="198"/>
        <v>0</v>
      </c>
      <c r="FX54" s="1154">
        <f t="shared" si="199"/>
        <v>0</v>
      </c>
      <c r="FY54" s="1154">
        <f t="shared" si="200"/>
        <v>0</v>
      </c>
      <c r="FZ54" s="1154">
        <f t="shared" si="201"/>
        <v>1675144.2933414476</v>
      </c>
      <c r="GA54" s="1154">
        <f t="shared" si="202"/>
        <v>0</v>
      </c>
      <c r="GB54" s="1154">
        <f t="shared" si="203"/>
        <v>0</v>
      </c>
      <c r="GC54" s="1154">
        <f t="shared" si="204"/>
        <v>0</v>
      </c>
      <c r="GD54" s="1154">
        <f t="shared" si="205"/>
        <v>0</v>
      </c>
      <c r="GE54" s="1154">
        <f t="shared" si="206"/>
        <v>0</v>
      </c>
      <c r="GF54" s="1154">
        <f t="shared" si="207"/>
        <v>0</v>
      </c>
      <c r="GG54" s="1154">
        <f t="shared" si="208"/>
        <v>0</v>
      </c>
      <c r="GH54" s="1154">
        <f t="shared" si="209"/>
        <v>0</v>
      </c>
      <c r="GI54" s="1154">
        <f t="shared" si="210"/>
        <v>0</v>
      </c>
      <c r="GJ54" s="1154">
        <f t="shared" si="211"/>
        <v>0</v>
      </c>
      <c r="GK54" s="1154">
        <f t="shared" si="212"/>
        <v>0</v>
      </c>
      <c r="GL54" s="1174">
        <f t="shared" si="213"/>
        <v>2709370.5926832054</v>
      </c>
    </row>
    <row r="55" spans="1:194">
      <c r="B55" s="1290" t="str">
        <f t="shared" si="141"/>
        <v>SACDUOSEDLT</v>
      </c>
      <c r="C55" s="1289" t="str">
        <f>C53</f>
        <v>East SAC&gt;100MWhpa DemandLarge</v>
      </c>
      <c r="D55" s="1113" t="str">
        <f t="shared" ref="D55:H55" si="216">D53</f>
        <v>East SAC&gt;100MWhpa DemandLarge</v>
      </c>
      <c r="E55" s="1113" t="str">
        <f t="shared" si="216"/>
        <v>SAC</v>
      </c>
      <c r="F55" s="1113" t="str">
        <f t="shared" si="216"/>
        <v>SACL</v>
      </c>
      <c r="G55" s="1113" t="str">
        <f t="shared" ref="G55" si="217">G53</f>
        <v>East</v>
      </c>
      <c r="H55" s="1113" t="str">
        <f t="shared" si="216"/>
        <v>EDLT</v>
      </c>
      <c r="I55" s="1114" t="s">
        <v>759</v>
      </c>
      <c r="J55" s="1114" t="s">
        <v>934</v>
      </c>
      <c r="K55" s="1270"/>
      <c r="L55" s="1233">
        <v>53.504283000000001</v>
      </c>
      <c r="M55" s="1007"/>
      <c r="N55" s="1007"/>
      <c r="O55" s="1007"/>
      <c r="P55" s="1007"/>
      <c r="Q55" s="1007"/>
      <c r="R55" s="1007"/>
      <c r="S55" s="1007"/>
      <c r="T55" s="1007"/>
      <c r="U55" s="1007"/>
      <c r="V55" s="1007"/>
      <c r="W55" s="1784">
        <v>3.4261731000000002</v>
      </c>
      <c r="X55" s="1007"/>
      <c r="Y55" s="1007"/>
      <c r="Z55" s="1007"/>
      <c r="AA55" s="1233">
        <v>3.8068590000000002</v>
      </c>
      <c r="AB55" s="1007"/>
      <c r="AC55" s="1007"/>
      <c r="AD55" s="1007"/>
      <c r="AE55" s="1007"/>
      <c r="AF55" s="1007"/>
      <c r="AG55" s="1007"/>
      <c r="AH55" s="1007"/>
      <c r="AI55" s="1224">
        <v>1.4121324100704864E-2</v>
      </c>
      <c r="AJ55" s="1005"/>
      <c r="AK55" s="1005"/>
      <c r="AL55" s="1005"/>
      <c r="AM55" s="1005"/>
      <c r="AN55" s="1005"/>
      <c r="AO55" s="1005"/>
      <c r="AP55" s="1005"/>
      <c r="AQ55" s="1005"/>
      <c r="AR55" s="1005"/>
      <c r="AS55" s="1005"/>
      <c r="AT55" s="1005"/>
      <c r="AU55" s="1006"/>
      <c r="AV55" s="1270"/>
      <c r="AW55" s="1480">
        <v>53.504283000000001</v>
      </c>
      <c r="AX55" s="1006"/>
      <c r="AY55" s="1006"/>
      <c r="AZ55" s="1006"/>
      <c r="BA55" s="1006"/>
      <c r="BB55" s="1006"/>
      <c r="BC55" s="1006"/>
      <c r="BD55" s="1006"/>
      <c r="BE55" s="1006"/>
      <c r="BF55" s="1006"/>
      <c r="BG55" s="1006"/>
      <c r="BH55" s="1608">
        <v>3.4260000000000002</v>
      </c>
      <c r="BI55" s="1006"/>
      <c r="BJ55" s="1006"/>
      <c r="BK55" s="1006"/>
      <c r="BL55" s="1480">
        <v>3.8068590000000002</v>
      </c>
      <c r="BM55" s="1006"/>
      <c r="BN55" s="1006"/>
      <c r="BO55" s="1006"/>
      <c r="BP55" s="1006"/>
      <c r="BQ55" s="1006"/>
      <c r="BR55" s="1006"/>
      <c r="BS55" s="1006"/>
      <c r="BT55" s="1480">
        <v>1.4772535454067301E-2</v>
      </c>
      <c r="BU55" s="1006"/>
      <c r="BV55" s="1006"/>
      <c r="BW55" s="1006"/>
      <c r="BX55" s="1006"/>
      <c r="BY55" s="1006"/>
      <c r="BZ55" s="1006"/>
      <c r="CA55" s="1006"/>
      <c r="CB55" s="1006"/>
      <c r="CC55" s="1006"/>
      <c r="CD55" s="1006"/>
      <c r="CE55" s="1006"/>
      <c r="CF55" s="1006"/>
      <c r="CG55" s="1209"/>
      <c r="CH55" s="1236">
        <v>51.165055277196558</v>
      </c>
      <c r="CI55" s="1007"/>
      <c r="CJ55" s="1007"/>
      <c r="CK55" s="1007"/>
      <c r="CL55" s="1007"/>
      <c r="CM55" s="1007"/>
      <c r="CN55" s="1007"/>
      <c r="CO55" s="1007"/>
      <c r="CP55" s="1007"/>
      <c r="CQ55" s="1007"/>
      <c r="CR55" s="1007"/>
      <c r="CS55" s="1007"/>
      <c r="CT55" s="1007"/>
      <c r="CU55" s="1007"/>
      <c r="CV55" s="1007"/>
      <c r="CW55" s="1236">
        <v>81025.7119003814</v>
      </c>
      <c r="CX55" s="1007"/>
      <c r="CY55" s="1007"/>
      <c r="CZ55" s="1007"/>
      <c r="DA55" s="1007"/>
      <c r="DB55" s="1007"/>
      <c r="DC55" s="1007"/>
      <c r="DD55" s="1007"/>
      <c r="DE55" s="1236">
        <v>85591872.43959111</v>
      </c>
      <c r="DF55" s="1007"/>
      <c r="DG55" s="1007"/>
      <c r="DH55" s="1007"/>
      <c r="DI55" s="1006"/>
      <c r="DJ55" s="1006"/>
      <c r="DK55" s="1007"/>
      <c r="DL55" s="1007"/>
      <c r="DM55" s="1007"/>
      <c r="DN55" s="1007"/>
      <c r="DO55" s="1112"/>
      <c r="DP55" s="1112"/>
      <c r="DQ55" s="1270"/>
      <c r="DR55" s="1154">
        <f t="shared" si="142"/>
        <v>999205.60300054541</v>
      </c>
      <c r="DS55" s="1154">
        <f t="shared" si="143"/>
        <v>0</v>
      </c>
      <c r="DT55" s="1154">
        <f t="shared" si="144"/>
        <v>0</v>
      </c>
      <c r="DU55" s="1154">
        <f t="shared" si="145"/>
        <v>0</v>
      </c>
      <c r="DV55" s="1154">
        <f t="shared" si="146"/>
        <v>0</v>
      </c>
      <c r="DW55" s="1154">
        <f t="shared" si="147"/>
        <v>0</v>
      </c>
      <c r="DX55" s="1154">
        <f t="shared" si="148"/>
        <v>0</v>
      </c>
      <c r="DY55" s="1154">
        <f t="shared" si="149"/>
        <v>0</v>
      </c>
      <c r="DZ55" s="1154">
        <f t="shared" si="150"/>
        <v>0</v>
      </c>
      <c r="EA55" s="1154">
        <f t="shared" si="151"/>
        <v>0</v>
      </c>
      <c r="EB55" s="1154">
        <f t="shared" si="152"/>
        <v>0</v>
      </c>
      <c r="EC55" s="1154">
        <f t="shared" si="153"/>
        <v>0</v>
      </c>
      <c r="ED55" s="1154">
        <f t="shared" si="154"/>
        <v>0</v>
      </c>
      <c r="EE55" s="1154">
        <f t="shared" si="155"/>
        <v>0</v>
      </c>
      <c r="EF55" s="1154">
        <f t="shared" si="156"/>
        <v>0</v>
      </c>
      <c r="EG55" s="1154">
        <f t="shared" si="157"/>
        <v>308453.46057937405</v>
      </c>
      <c r="EH55" s="1154">
        <f t="shared" si="158"/>
        <v>0</v>
      </c>
      <c r="EI55" s="1154">
        <f t="shared" si="159"/>
        <v>0</v>
      </c>
      <c r="EJ55" s="1154">
        <f t="shared" si="160"/>
        <v>0</v>
      </c>
      <c r="EK55" s="1154">
        <f t="shared" si="161"/>
        <v>0</v>
      </c>
      <c r="EL55" s="1154">
        <f t="shared" si="162"/>
        <v>0</v>
      </c>
      <c r="EM55" s="1154">
        <f t="shared" si="163"/>
        <v>0</v>
      </c>
      <c r="EN55" s="1154">
        <f t="shared" si="164"/>
        <v>0</v>
      </c>
      <c r="EO55" s="1154">
        <f t="shared" si="165"/>
        <v>1208670.5711056544</v>
      </c>
      <c r="EP55" s="1154">
        <f t="shared" si="166"/>
        <v>0</v>
      </c>
      <c r="EQ55" s="1154">
        <f t="shared" si="167"/>
        <v>0</v>
      </c>
      <c r="ER55" s="1154">
        <f t="shared" si="168"/>
        <v>0</v>
      </c>
      <c r="ES55" s="1154">
        <f t="shared" si="169"/>
        <v>0</v>
      </c>
      <c r="ET55" s="1154">
        <f t="shared" si="170"/>
        <v>0</v>
      </c>
      <c r="EU55" s="1154">
        <f t="shared" si="171"/>
        <v>0</v>
      </c>
      <c r="EV55" s="1154">
        <f t="shared" si="172"/>
        <v>0</v>
      </c>
      <c r="EW55" s="1154">
        <f t="shared" si="173"/>
        <v>0</v>
      </c>
      <c r="EX55" s="1154">
        <f t="shared" si="174"/>
        <v>0</v>
      </c>
      <c r="EY55" s="1154">
        <f t="shared" si="175"/>
        <v>0</v>
      </c>
      <c r="EZ55" s="1154">
        <f t="shared" si="176"/>
        <v>0</v>
      </c>
      <c r="FA55" s="1174">
        <f t="shared" si="177"/>
        <v>2516329.6346855741</v>
      </c>
      <c r="FC55" s="1154">
        <f t="shared" si="178"/>
        <v>999205.60300054541</v>
      </c>
      <c r="FD55" s="1154">
        <f t="shared" si="179"/>
        <v>0</v>
      </c>
      <c r="FE55" s="1154">
        <f t="shared" si="180"/>
        <v>0</v>
      </c>
      <c r="FF55" s="1154">
        <f t="shared" si="181"/>
        <v>0</v>
      </c>
      <c r="FG55" s="1154">
        <f t="shared" si="182"/>
        <v>0</v>
      </c>
      <c r="FH55" s="1154">
        <f t="shared" si="183"/>
        <v>0</v>
      </c>
      <c r="FI55" s="1154">
        <f t="shared" si="184"/>
        <v>0</v>
      </c>
      <c r="FJ55" s="1154">
        <f t="shared" si="185"/>
        <v>0</v>
      </c>
      <c r="FK55" s="1154">
        <f t="shared" si="186"/>
        <v>0</v>
      </c>
      <c r="FL55" s="1154">
        <f t="shared" si="187"/>
        <v>0</v>
      </c>
      <c r="FM55" s="1154">
        <f t="shared" si="188"/>
        <v>0</v>
      </c>
      <c r="FN55" s="1154">
        <f t="shared" si="189"/>
        <v>0</v>
      </c>
      <c r="FO55" s="1154">
        <f t="shared" si="190"/>
        <v>0</v>
      </c>
      <c r="FP55" s="1154">
        <f t="shared" si="191"/>
        <v>0</v>
      </c>
      <c r="FQ55" s="1154">
        <f t="shared" si="192"/>
        <v>0</v>
      </c>
      <c r="FR55" s="1154">
        <f t="shared" si="193"/>
        <v>308453.46057937405</v>
      </c>
      <c r="FS55" s="1154">
        <f t="shared" si="194"/>
        <v>0</v>
      </c>
      <c r="FT55" s="1154">
        <f t="shared" si="195"/>
        <v>0</v>
      </c>
      <c r="FU55" s="1154">
        <f t="shared" si="196"/>
        <v>0</v>
      </c>
      <c r="FV55" s="1154">
        <f t="shared" si="197"/>
        <v>0</v>
      </c>
      <c r="FW55" s="1154">
        <f t="shared" si="198"/>
        <v>0</v>
      </c>
      <c r="FX55" s="1154">
        <f t="shared" si="199"/>
        <v>0</v>
      </c>
      <c r="FY55" s="1154">
        <f t="shared" si="200"/>
        <v>0</v>
      </c>
      <c r="FZ55" s="1154">
        <f t="shared" si="201"/>
        <v>1264408.9701938655</v>
      </c>
      <c r="GA55" s="1154">
        <f t="shared" si="202"/>
        <v>0</v>
      </c>
      <c r="GB55" s="1154">
        <f t="shared" si="203"/>
        <v>0</v>
      </c>
      <c r="GC55" s="1154">
        <f t="shared" si="204"/>
        <v>0</v>
      </c>
      <c r="GD55" s="1154">
        <f t="shared" si="205"/>
        <v>0</v>
      </c>
      <c r="GE55" s="1154">
        <f t="shared" si="206"/>
        <v>0</v>
      </c>
      <c r="GF55" s="1154">
        <f t="shared" si="207"/>
        <v>0</v>
      </c>
      <c r="GG55" s="1154">
        <f t="shared" si="208"/>
        <v>0</v>
      </c>
      <c r="GH55" s="1154">
        <f t="shared" si="209"/>
        <v>0</v>
      </c>
      <c r="GI55" s="1154">
        <f t="shared" si="210"/>
        <v>0</v>
      </c>
      <c r="GJ55" s="1154">
        <f t="shared" si="211"/>
        <v>0</v>
      </c>
      <c r="GK55" s="1154">
        <f t="shared" si="212"/>
        <v>0</v>
      </c>
      <c r="GL55" s="1174">
        <f t="shared" si="213"/>
        <v>2572068.033773785</v>
      </c>
    </row>
    <row r="56" spans="1:194">
      <c r="B56" s="1290" t="str">
        <f t="shared" si="141"/>
        <v>SACDUOSEDMT</v>
      </c>
      <c r="C56" s="1289" t="str">
        <f>Prop2021DUOSTariffs!C26</f>
        <v>East SAC&gt;100MWhpa DemandMedium</v>
      </c>
      <c r="D56" s="1113" t="str">
        <f>Prop2021DUOSTariffs!D26</f>
        <v>East SAC&gt;100MWhpa DemandMedium</v>
      </c>
      <c r="E56" s="1113" t="str">
        <f>Prop2021DUOSTariffs!E26</f>
        <v>SAC</v>
      </c>
      <c r="F56" s="1113" t="str">
        <f>Prop2021DUOSTariffs!F26</f>
        <v>SACL</v>
      </c>
      <c r="G56" s="1113" t="str">
        <f>Prop2021DUOSTariffs!G26</f>
        <v>East</v>
      </c>
      <c r="H56" s="1113" t="str">
        <f>IF(Prop2021DUOSTariffs!H26="","",Prop2021DUOSTariffs!H26)</f>
        <v>EDMT</v>
      </c>
      <c r="I56" s="1114" t="s">
        <v>798</v>
      </c>
      <c r="J56" s="1114" t="s">
        <v>934</v>
      </c>
      <c r="K56" s="1270"/>
      <c r="L56" s="1233">
        <v>6.9186528600000008</v>
      </c>
      <c r="M56" s="1007"/>
      <c r="N56" s="1007"/>
      <c r="O56" s="1007"/>
      <c r="P56" s="1007"/>
      <c r="Q56" s="1007"/>
      <c r="R56" s="1007"/>
      <c r="S56" s="1007"/>
      <c r="T56" s="1007"/>
      <c r="U56" s="1007"/>
      <c r="V56" s="1007"/>
      <c r="W56" s="1784">
        <v>0.83331423000000004</v>
      </c>
      <c r="X56" s="1007"/>
      <c r="Y56" s="1007"/>
      <c r="Z56" s="1007"/>
      <c r="AA56" s="1233">
        <v>0.92590470000000002</v>
      </c>
      <c r="AB56" s="1007"/>
      <c r="AC56" s="1007"/>
      <c r="AD56" s="1007"/>
      <c r="AE56" s="1007"/>
      <c r="AF56" s="1007"/>
      <c r="AG56" s="1007"/>
      <c r="AH56" s="1007"/>
      <c r="AI56" s="1224">
        <v>1.2756140745273986E-2</v>
      </c>
      <c r="AJ56" s="1005"/>
      <c r="AK56" s="1005"/>
      <c r="AL56" s="1005"/>
      <c r="AM56" s="1005"/>
      <c r="AN56" s="1005"/>
      <c r="AO56" s="1005"/>
      <c r="AP56" s="1005"/>
      <c r="AQ56" s="1005"/>
      <c r="AR56" s="1005"/>
      <c r="AS56" s="1005"/>
      <c r="AT56" s="1005"/>
      <c r="AU56" s="1006"/>
      <c r="AV56" s="1270"/>
      <c r="AW56" s="1480">
        <v>6.527031</v>
      </c>
      <c r="AX56" s="1006"/>
      <c r="AY56" s="1006"/>
      <c r="AZ56" s="1006"/>
      <c r="BA56" s="1006"/>
      <c r="BB56" s="1006"/>
      <c r="BC56" s="1006"/>
      <c r="BD56" s="1006"/>
      <c r="BE56" s="1006"/>
      <c r="BF56" s="1006"/>
      <c r="BG56" s="1006"/>
      <c r="BH56" s="1608">
        <v>0.78500000000000003</v>
      </c>
      <c r="BI56" s="1006"/>
      <c r="BJ56" s="1006"/>
      <c r="BK56" s="1006"/>
      <c r="BL56" s="1480">
        <v>0.87349500000000002</v>
      </c>
      <c r="BM56" s="1006"/>
      <c r="BN56" s="1006"/>
      <c r="BO56" s="1006"/>
      <c r="BP56" s="1006"/>
      <c r="BQ56" s="1006"/>
      <c r="BR56" s="1006"/>
      <c r="BS56" s="1006"/>
      <c r="BT56" s="1480">
        <v>9.9886311700567981E-3</v>
      </c>
      <c r="BU56" s="1006"/>
      <c r="BV56" s="1006"/>
      <c r="BW56" s="1006"/>
      <c r="BX56" s="1006"/>
      <c r="BY56" s="1006"/>
      <c r="BZ56" s="1006"/>
      <c r="CA56" s="1006"/>
      <c r="CB56" s="1006"/>
      <c r="CC56" s="1006"/>
      <c r="CD56" s="1006"/>
      <c r="CE56" s="1006"/>
      <c r="CF56" s="1006"/>
      <c r="CG56" s="1209"/>
      <c r="CH56" s="1236">
        <v>661.67228502566331</v>
      </c>
      <c r="CI56" s="1007"/>
      <c r="CJ56" s="1007"/>
      <c r="CK56" s="1007"/>
      <c r="CL56" s="1007"/>
      <c r="CM56" s="1007"/>
      <c r="CN56" s="1007"/>
      <c r="CO56" s="1007"/>
      <c r="CP56" s="1007"/>
      <c r="CQ56" s="1007"/>
      <c r="CR56" s="1007"/>
      <c r="CS56" s="1007"/>
      <c r="CT56" s="1007"/>
      <c r="CU56" s="1007"/>
      <c r="CV56" s="1112"/>
      <c r="CW56" s="1236">
        <v>631322.97029022628</v>
      </c>
      <c r="CX56" s="1007"/>
      <c r="CY56" s="1007"/>
      <c r="CZ56" s="1007"/>
      <c r="DA56" s="1007"/>
      <c r="DB56" s="1007"/>
      <c r="DC56" s="1007"/>
      <c r="DD56" s="1007"/>
      <c r="DE56" s="1236">
        <v>535519377.96002847</v>
      </c>
      <c r="DF56" s="1007"/>
      <c r="DG56" s="1007"/>
      <c r="DH56" s="1007"/>
      <c r="DI56" s="1006"/>
      <c r="DJ56" s="1006"/>
      <c r="DK56" s="1007"/>
      <c r="DL56" s="1007"/>
      <c r="DM56" s="1007"/>
      <c r="DN56" s="1007"/>
      <c r="DO56" s="1112"/>
      <c r="DP56" s="1112"/>
      <c r="DQ56" s="1270"/>
      <c r="DR56" s="1154">
        <f t="shared" si="142"/>
        <v>1670926.5092190725</v>
      </c>
      <c r="DS56" s="1154">
        <f t="shared" si="143"/>
        <v>0</v>
      </c>
      <c r="DT56" s="1154">
        <f t="shared" si="144"/>
        <v>0</v>
      </c>
      <c r="DU56" s="1154">
        <f t="shared" si="145"/>
        <v>0</v>
      </c>
      <c r="DV56" s="1154">
        <f t="shared" si="146"/>
        <v>0</v>
      </c>
      <c r="DW56" s="1154">
        <f t="shared" si="147"/>
        <v>0</v>
      </c>
      <c r="DX56" s="1154">
        <f t="shared" si="148"/>
        <v>0</v>
      </c>
      <c r="DY56" s="1154">
        <f t="shared" si="149"/>
        <v>0</v>
      </c>
      <c r="DZ56" s="1154">
        <f t="shared" si="150"/>
        <v>0</v>
      </c>
      <c r="EA56" s="1154">
        <f t="shared" si="151"/>
        <v>0</v>
      </c>
      <c r="EB56" s="1154">
        <f t="shared" si="152"/>
        <v>0</v>
      </c>
      <c r="EC56" s="1154">
        <f t="shared" si="153"/>
        <v>0</v>
      </c>
      <c r="ED56" s="1154">
        <f t="shared" si="154"/>
        <v>0</v>
      </c>
      <c r="EE56" s="1154">
        <f t="shared" si="155"/>
        <v>0</v>
      </c>
      <c r="EF56" s="1154">
        <f t="shared" si="156"/>
        <v>0</v>
      </c>
      <c r="EG56" s="1154">
        <f t="shared" si="157"/>
        <v>584544.90540968091</v>
      </c>
      <c r="EH56" s="1154">
        <f t="shared" si="158"/>
        <v>0</v>
      </c>
      <c r="EI56" s="1154">
        <f t="shared" si="159"/>
        <v>0</v>
      </c>
      <c r="EJ56" s="1154">
        <f t="shared" si="160"/>
        <v>0</v>
      </c>
      <c r="EK56" s="1154">
        <f t="shared" si="161"/>
        <v>0</v>
      </c>
      <c r="EL56" s="1154">
        <f t="shared" si="162"/>
        <v>0</v>
      </c>
      <c r="EM56" s="1154">
        <f t="shared" si="163"/>
        <v>0</v>
      </c>
      <c r="EN56" s="1154">
        <f t="shared" si="164"/>
        <v>0</v>
      </c>
      <c r="EO56" s="1154">
        <f t="shared" si="165"/>
        <v>6831160.5570796989</v>
      </c>
      <c r="EP56" s="1154">
        <f t="shared" si="166"/>
        <v>0</v>
      </c>
      <c r="EQ56" s="1154">
        <f t="shared" si="167"/>
        <v>0</v>
      </c>
      <c r="ER56" s="1154">
        <f t="shared" si="168"/>
        <v>0</v>
      </c>
      <c r="ES56" s="1154">
        <f t="shared" si="169"/>
        <v>0</v>
      </c>
      <c r="ET56" s="1154">
        <f t="shared" si="170"/>
        <v>0</v>
      </c>
      <c r="EU56" s="1154">
        <f t="shared" si="171"/>
        <v>0</v>
      </c>
      <c r="EV56" s="1154">
        <f t="shared" si="172"/>
        <v>0</v>
      </c>
      <c r="EW56" s="1154">
        <f t="shared" si="173"/>
        <v>0</v>
      </c>
      <c r="EX56" s="1154">
        <f t="shared" si="174"/>
        <v>0</v>
      </c>
      <c r="EY56" s="1154">
        <f t="shared" si="175"/>
        <v>0</v>
      </c>
      <c r="EZ56" s="1154">
        <f t="shared" si="176"/>
        <v>0</v>
      </c>
      <c r="FA56" s="1174">
        <f t="shared" si="177"/>
        <v>9086631.9717084523</v>
      </c>
      <c r="FC56" s="1154">
        <f t="shared" si="178"/>
        <v>1576345.7634142193</v>
      </c>
      <c r="FD56" s="1154">
        <f t="shared" si="179"/>
        <v>0</v>
      </c>
      <c r="FE56" s="1154">
        <f t="shared" si="180"/>
        <v>0</v>
      </c>
      <c r="FF56" s="1154">
        <f t="shared" si="181"/>
        <v>0</v>
      </c>
      <c r="FG56" s="1154">
        <f t="shared" si="182"/>
        <v>0</v>
      </c>
      <c r="FH56" s="1154">
        <f t="shared" si="183"/>
        <v>0</v>
      </c>
      <c r="FI56" s="1154">
        <f t="shared" si="184"/>
        <v>0</v>
      </c>
      <c r="FJ56" s="1154">
        <f t="shared" si="185"/>
        <v>0</v>
      </c>
      <c r="FK56" s="1154">
        <f t="shared" si="186"/>
        <v>0</v>
      </c>
      <c r="FL56" s="1154">
        <f t="shared" si="187"/>
        <v>0</v>
      </c>
      <c r="FM56" s="1154">
        <f t="shared" si="188"/>
        <v>0</v>
      </c>
      <c r="FN56" s="1154">
        <f t="shared" si="189"/>
        <v>0</v>
      </c>
      <c r="FO56" s="1154">
        <f t="shared" si="190"/>
        <v>0</v>
      </c>
      <c r="FP56" s="1154">
        <f t="shared" si="191"/>
        <v>0</v>
      </c>
      <c r="FQ56" s="1154">
        <f t="shared" si="192"/>
        <v>0</v>
      </c>
      <c r="FR56" s="1154">
        <f t="shared" si="193"/>
        <v>551457.45793366118</v>
      </c>
      <c r="FS56" s="1154">
        <f t="shared" si="194"/>
        <v>0</v>
      </c>
      <c r="FT56" s="1154">
        <f t="shared" si="195"/>
        <v>0</v>
      </c>
      <c r="FU56" s="1154">
        <f t="shared" si="196"/>
        <v>0</v>
      </c>
      <c r="FV56" s="1154">
        <f t="shared" si="197"/>
        <v>0</v>
      </c>
      <c r="FW56" s="1154">
        <f t="shared" si="198"/>
        <v>0</v>
      </c>
      <c r="FX56" s="1154">
        <f t="shared" si="199"/>
        <v>0</v>
      </c>
      <c r="FY56" s="1154">
        <f t="shared" si="200"/>
        <v>0</v>
      </c>
      <c r="FZ56" s="1154">
        <f t="shared" si="201"/>
        <v>5349105.5508609675</v>
      </c>
      <c r="GA56" s="1154">
        <f t="shared" si="202"/>
        <v>0</v>
      </c>
      <c r="GB56" s="1154">
        <f t="shared" si="203"/>
        <v>0</v>
      </c>
      <c r="GC56" s="1154">
        <f t="shared" si="204"/>
        <v>0</v>
      </c>
      <c r="GD56" s="1154">
        <f t="shared" si="205"/>
        <v>0</v>
      </c>
      <c r="GE56" s="1154">
        <f t="shared" si="206"/>
        <v>0</v>
      </c>
      <c r="GF56" s="1154">
        <f t="shared" si="207"/>
        <v>0</v>
      </c>
      <c r="GG56" s="1154">
        <f t="shared" si="208"/>
        <v>0</v>
      </c>
      <c r="GH56" s="1154">
        <f t="shared" si="209"/>
        <v>0</v>
      </c>
      <c r="GI56" s="1154">
        <f t="shared" si="210"/>
        <v>0</v>
      </c>
      <c r="GJ56" s="1154">
        <f t="shared" si="211"/>
        <v>0</v>
      </c>
      <c r="GK56" s="1154">
        <f t="shared" si="212"/>
        <v>0</v>
      </c>
      <c r="GL56" s="1174">
        <f t="shared" si="213"/>
        <v>7476908.772208848</v>
      </c>
    </row>
    <row r="57" spans="1:194">
      <c r="B57" s="1290" t="str">
        <f t="shared" si="141"/>
        <v>SACDUOSEDMT</v>
      </c>
      <c r="C57" s="1289" t="str">
        <f>C56</f>
        <v>East SAC&gt;100MWhpa DemandMedium</v>
      </c>
      <c r="D57" s="1113" t="str">
        <f t="shared" ref="D57:H57" si="218">D56</f>
        <v>East SAC&gt;100MWhpa DemandMedium</v>
      </c>
      <c r="E57" s="1113" t="str">
        <f t="shared" si="218"/>
        <v>SAC</v>
      </c>
      <c r="F57" s="1113" t="str">
        <f t="shared" si="218"/>
        <v>SACL</v>
      </c>
      <c r="G57" s="1113" t="str">
        <f t="shared" ref="G57" si="219">G56</f>
        <v>East</v>
      </c>
      <c r="H57" s="1113" t="str">
        <f t="shared" si="218"/>
        <v>EDMT</v>
      </c>
      <c r="I57" s="1114" t="s">
        <v>752</v>
      </c>
      <c r="J57" s="1114" t="s">
        <v>934</v>
      </c>
      <c r="K57" s="1270"/>
      <c r="L57" s="1233">
        <v>11.305502669999999</v>
      </c>
      <c r="M57" s="1007"/>
      <c r="N57" s="1007"/>
      <c r="O57" s="1007"/>
      <c r="P57" s="1007"/>
      <c r="Q57" s="1007"/>
      <c r="R57" s="1007"/>
      <c r="S57" s="1007"/>
      <c r="T57" s="1007"/>
      <c r="U57" s="1007"/>
      <c r="V57" s="1007"/>
      <c r="W57" s="1784">
        <v>1.761170229</v>
      </c>
      <c r="X57" s="1007"/>
      <c r="Y57" s="1007"/>
      <c r="Z57" s="1007"/>
      <c r="AA57" s="1233">
        <v>1.95685581</v>
      </c>
      <c r="AB57" s="1007"/>
      <c r="AC57" s="1007"/>
      <c r="AD57" s="1007"/>
      <c r="AE57" s="1007"/>
      <c r="AF57" s="1007"/>
      <c r="AG57" s="1007"/>
      <c r="AH57" s="1007"/>
      <c r="AI57" s="1224">
        <v>1.3580961239131205E-2</v>
      </c>
      <c r="AJ57" s="1005"/>
      <c r="AK57" s="1005"/>
      <c r="AL57" s="1005"/>
      <c r="AM57" s="1005"/>
      <c r="AN57" s="1005"/>
      <c r="AO57" s="1005"/>
      <c r="AP57" s="1005"/>
      <c r="AQ57" s="1005"/>
      <c r="AR57" s="1005"/>
      <c r="AS57" s="1005"/>
      <c r="AT57" s="1005"/>
      <c r="AU57" s="1006"/>
      <c r="AV57" s="1270"/>
      <c r="AW57" s="1480">
        <v>11.193567</v>
      </c>
      <c r="AX57" s="1006"/>
      <c r="AY57" s="1006"/>
      <c r="AZ57" s="1006"/>
      <c r="BA57" s="1006"/>
      <c r="BB57" s="1006"/>
      <c r="BC57" s="1006"/>
      <c r="BD57" s="1006"/>
      <c r="BE57" s="1006"/>
      <c r="BF57" s="1006"/>
      <c r="BG57" s="1006"/>
      <c r="BH57" s="1608">
        <v>1.7430000000000001</v>
      </c>
      <c r="BI57" s="1006"/>
      <c r="BJ57" s="1006"/>
      <c r="BK57" s="1006"/>
      <c r="BL57" s="1480">
        <v>1.937481</v>
      </c>
      <c r="BM57" s="1006"/>
      <c r="BN57" s="1006"/>
      <c r="BO57" s="1006"/>
      <c r="BP57" s="1006"/>
      <c r="BQ57" s="1006"/>
      <c r="BR57" s="1006"/>
      <c r="BS57" s="1006"/>
      <c r="BT57" s="1480">
        <v>1.3226767178995704E-2</v>
      </c>
      <c r="BU57" s="1006"/>
      <c r="BV57" s="1006"/>
      <c r="BW57" s="1006"/>
      <c r="BX57" s="1006"/>
      <c r="BY57" s="1006"/>
      <c r="BZ57" s="1006"/>
      <c r="CA57" s="1006"/>
      <c r="CB57" s="1006"/>
      <c r="CC57" s="1006"/>
      <c r="CD57" s="1006"/>
      <c r="CE57" s="1006"/>
      <c r="CF57" s="1006"/>
      <c r="CG57" s="1209"/>
      <c r="CH57" s="1236">
        <v>424.06448922513175</v>
      </c>
      <c r="CI57" s="1007"/>
      <c r="CJ57" s="1007"/>
      <c r="CK57" s="1007"/>
      <c r="CL57" s="1007"/>
      <c r="CM57" s="1007"/>
      <c r="CN57" s="1007"/>
      <c r="CO57" s="1007"/>
      <c r="CP57" s="1007"/>
      <c r="CQ57" s="1007"/>
      <c r="CR57" s="1007"/>
      <c r="CS57" s="1007"/>
      <c r="CT57" s="1007"/>
      <c r="CU57" s="1007"/>
      <c r="CV57" s="1007"/>
      <c r="CW57" s="1236">
        <v>404613.67204134009</v>
      </c>
      <c r="CX57" s="1007"/>
      <c r="CY57" s="1007"/>
      <c r="CZ57" s="1007"/>
      <c r="DA57" s="1007"/>
      <c r="DB57" s="1007"/>
      <c r="DC57" s="1007"/>
      <c r="DD57" s="1007"/>
      <c r="DE57" s="1236">
        <v>343213334.79453772</v>
      </c>
      <c r="DF57" s="1007"/>
      <c r="DG57" s="1007"/>
      <c r="DH57" s="1007"/>
      <c r="DI57" s="1006"/>
      <c r="DJ57" s="1006"/>
      <c r="DK57" s="1007"/>
      <c r="DL57" s="1007"/>
      <c r="DM57" s="1007"/>
      <c r="DN57" s="1007"/>
      <c r="DO57" s="1112"/>
      <c r="DP57" s="1112"/>
      <c r="DQ57" s="1270"/>
      <c r="DR57" s="1154">
        <f t="shared" si="142"/>
        <v>1749905.7085432231</v>
      </c>
      <c r="DS57" s="1154">
        <f t="shared" si="143"/>
        <v>0</v>
      </c>
      <c r="DT57" s="1154">
        <f t="shared" si="144"/>
        <v>0</v>
      </c>
      <c r="DU57" s="1154">
        <f t="shared" si="145"/>
        <v>0</v>
      </c>
      <c r="DV57" s="1154">
        <f t="shared" si="146"/>
        <v>0</v>
      </c>
      <c r="DW57" s="1154">
        <f t="shared" si="147"/>
        <v>0</v>
      </c>
      <c r="DX57" s="1154">
        <f t="shared" si="148"/>
        <v>0</v>
      </c>
      <c r="DY57" s="1154">
        <f t="shared" si="149"/>
        <v>0</v>
      </c>
      <c r="DZ57" s="1154">
        <f t="shared" si="150"/>
        <v>0</v>
      </c>
      <c r="EA57" s="1154">
        <f t="shared" si="151"/>
        <v>0</v>
      </c>
      <c r="EB57" s="1154">
        <f t="shared" si="152"/>
        <v>0</v>
      </c>
      <c r="EC57" s="1154">
        <f t="shared" si="153"/>
        <v>0</v>
      </c>
      <c r="ED57" s="1154">
        <f t="shared" si="154"/>
        <v>0</v>
      </c>
      <c r="EE57" s="1154">
        <f t="shared" si="155"/>
        <v>0</v>
      </c>
      <c r="EF57" s="1154">
        <f t="shared" si="156"/>
        <v>0</v>
      </c>
      <c r="EG57" s="1154">
        <f t="shared" si="157"/>
        <v>791770.61493953096</v>
      </c>
      <c r="EH57" s="1154">
        <f t="shared" si="158"/>
        <v>0</v>
      </c>
      <c r="EI57" s="1154">
        <f t="shared" si="159"/>
        <v>0</v>
      </c>
      <c r="EJ57" s="1154">
        <f t="shared" si="160"/>
        <v>0</v>
      </c>
      <c r="EK57" s="1154">
        <f t="shared" si="161"/>
        <v>0</v>
      </c>
      <c r="EL57" s="1154">
        <f t="shared" si="162"/>
        <v>0</v>
      </c>
      <c r="EM57" s="1154">
        <f t="shared" si="163"/>
        <v>0</v>
      </c>
      <c r="EN57" s="1154">
        <f t="shared" si="164"/>
        <v>0</v>
      </c>
      <c r="EO57" s="1154">
        <f t="shared" si="165"/>
        <v>4661166.9965975778</v>
      </c>
      <c r="EP57" s="1154">
        <f t="shared" si="166"/>
        <v>0</v>
      </c>
      <c r="EQ57" s="1154">
        <f t="shared" si="167"/>
        <v>0</v>
      </c>
      <c r="ER57" s="1154">
        <f t="shared" si="168"/>
        <v>0</v>
      </c>
      <c r="ES57" s="1154">
        <f t="shared" si="169"/>
        <v>0</v>
      </c>
      <c r="ET57" s="1154">
        <f t="shared" si="170"/>
        <v>0</v>
      </c>
      <c r="EU57" s="1154">
        <f t="shared" si="171"/>
        <v>0</v>
      </c>
      <c r="EV57" s="1154">
        <f t="shared" si="172"/>
        <v>0</v>
      </c>
      <c r="EW57" s="1154">
        <f t="shared" si="173"/>
        <v>0</v>
      </c>
      <c r="EX57" s="1154">
        <f t="shared" si="174"/>
        <v>0</v>
      </c>
      <c r="EY57" s="1154">
        <f t="shared" si="175"/>
        <v>0</v>
      </c>
      <c r="EZ57" s="1154">
        <f t="shared" si="176"/>
        <v>0</v>
      </c>
      <c r="FA57" s="1174">
        <f t="shared" si="177"/>
        <v>7202843.3200803325</v>
      </c>
      <c r="FC57" s="1154">
        <f t="shared" si="178"/>
        <v>1732579.9094487359</v>
      </c>
      <c r="FD57" s="1154">
        <f t="shared" si="179"/>
        <v>0</v>
      </c>
      <c r="FE57" s="1154">
        <f t="shared" si="180"/>
        <v>0</v>
      </c>
      <c r="FF57" s="1154">
        <f t="shared" si="181"/>
        <v>0</v>
      </c>
      <c r="FG57" s="1154">
        <f t="shared" si="182"/>
        <v>0</v>
      </c>
      <c r="FH57" s="1154">
        <f t="shared" si="183"/>
        <v>0</v>
      </c>
      <c r="FI57" s="1154">
        <f t="shared" si="184"/>
        <v>0</v>
      </c>
      <c r="FJ57" s="1154">
        <f t="shared" si="185"/>
        <v>0</v>
      </c>
      <c r="FK57" s="1154">
        <f t="shared" si="186"/>
        <v>0</v>
      </c>
      <c r="FL57" s="1154">
        <f t="shared" si="187"/>
        <v>0</v>
      </c>
      <c r="FM57" s="1154">
        <f t="shared" si="188"/>
        <v>0</v>
      </c>
      <c r="FN57" s="1154">
        <f t="shared" si="189"/>
        <v>0</v>
      </c>
      <c r="FO57" s="1154">
        <f t="shared" si="190"/>
        <v>0</v>
      </c>
      <c r="FP57" s="1154">
        <f t="shared" si="191"/>
        <v>0</v>
      </c>
      <c r="FQ57" s="1154">
        <f t="shared" si="192"/>
        <v>0</v>
      </c>
      <c r="FR57" s="1154">
        <f t="shared" si="193"/>
        <v>783931.30192032759</v>
      </c>
      <c r="FS57" s="1154">
        <f t="shared" si="194"/>
        <v>0</v>
      </c>
      <c r="FT57" s="1154">
        <f t="shared" si="195"/>
        <v>0</v>
      </c>
      <c r="FU57" s="1154">
        <f t="shared" si="196"/>
        <v>0</v>
      </c>
      <c r="FV57" s="1154">
        <f t="shared" si="197"/>
        <v>0</v>
      </c>
      <c r="FW57" s="1154">
        <f t="shared" si="198"/>
        <v>0</v>
      </c>
      <c r="FX57" s="1154">
        <f t="shared" si="199"/>
        <v>0</v>
      </c>
      <c r="FY57" s="1154">
        <f t="shared" si="200"/>
        <v>0</v>
      </c>
      <c r="FZ57" s="1154">
        <f t="shared" si="201"/>
        <v>4539602.8720540563</v>
      </c>
      <c r="GA57" s="1154">
        <f t="shared" si="202"/>
        <v>0</v>
      </c>
      <c r="GB57" s="1154">
        <f t="shared" si="203"/>
        <v>0</v>
      </c>
      <c r="GC57" s="1154">
        <f t="shared" si="204"/>
        <v>0</v>
      </c>
      <c r="GD57" s="1154">
        <f t="shared" si="205"/>
        <v>0</v>
      </c>
      <c r="GE57" s="1154">
        <f t="shared" si="206"/>
        <v>0</v>
      </c>
      <c r="GF57" s="1154">
        <f t="shared" si="207"/>
        <v>0</v>
      </c>
      <c r="GG57" s="1154">
        <f t="shared" si="208"/>
        <v>0</v>
      </c>
      <c r="GH57" s="1154">
        <f t="shared" si="209"/>
        <v>0</v>
      </c>
      <c r="GI57" s="1154">
        <f t="shared" si="210"/>
        <v>0</v>
      </c>
      <c r="GJ57" s="1154">
        <f t="shared" si="211"/>
        <v>0</v>
      </c>
      <c r="GK57" s="1154">
        <f t="shared" si="212"/>
        <v>0</v>
      </c>
      <c r="GL57" s="1174">
        <f t="shared" si="213"/>
        <v>7056114.08342312</v>
      </c>
    </row>
    <row r="58" spans="1:194">
      <c r="B58" s="1290" t="str">
        <f t="shared" si="141"/>
        <v>SACDUOSEDMT</v>
      </c>
      <c r="C58" s="1289" t="str">
        <f>C56</f>
        <v>East SAC&gt;100MWhpa DemandMedium</v>
      </c>
      <c r="D58" s="1113" t="str">
        <f t="shared" ref="D58:H58" si="220">D56</f>
        <v>East SAC&gt;100MWhpa DemandMedium</v>
      </c>
      <c r="E58" s="1113" t="str">
        <f t="shared" si="220"/>
        <v>SAC</v>
      </c>
      <c r="F58" s="1113" t="str">
        <f t="shared" si="220"/>
        <v>SACL</v>
      </c>
      <c r="G58" s="1113" t="str">
        <f t="shared" ref="G58" si="221">G56</f>
        <v>East</v>
      </c>
      <c r="H58" s="1113" t="str">
        <f t="shared" si="220"/>
        <v>EDMT</v>
      </c>
      <c r="I58" s="1114" t="s">
        <v>759</v>
      </c>
      <c r="J58" s="1114" t="s">
        <v>934</v>
      </c>
      <c r="K58" s="1270"/>
      <c r="L58" s="1233">
        <v>18.478614</v>
      </c>
      <c r="M58" s="1007"/>
      <c r="N58" s="1007"/>
      <c r="O58" s="1007"/>
      <c r="P58" s="1007"/>
      <c r="Q58" s="1007"/>
      <c r="R58" s="1007"/>
      <c r="S58" s="1007"/>
      <c r="T58" s="1007"/>
      <c r="U58" s="1007"/>
      <c r="V58" s="1007"/>
      <c r="W58" s="1784">
        <v>3.4261731000000002</v>
      </c>
      <c r="X58" s="1007"/>
      <c r="Y58" s="1007"/>
      <c r="Z58" s="1007"/>
      <c r="AA58" s="1233">
        <v>3.8068590000000002</v>
      </c>
      <c r="AB58" s="1007"/>
      <c r="AC58" s="1007"/>
      <c r="AD58" s="1007"/>
      <c r="AE58" s="1007"/>
      <c r="AF58" s="1007"/>
      <c r="AG58" s="1007"/>
      <c r="AH58" s="1007"/>
      <c r="AI58" s="1224">
        <v>1.4121324100704864E-2</v>
      </c>
      <c r="AJ58" s="1005"/>
      <c r="AK58" s="1005"/>
      <c r="AL58" s="1005"/>
      <c r="AM58" s="1005"/>
      <c r="AN58" s="1005"/>
      <c r="AO58" s="1005"/>
      <c r="AP58" s="1005"/>
      <c r="AQ58" s="1005"/>
      <c r="AR58" s="1005"/>
      <c r="AS58" s="1005"/>
      <c r="AT58" s="1005"/>
      <c r="AU58" s="1006"/>
      <c r="AV58" s="1270"/>
      <c r="AW58" s="1480">
        <v>18.478614</v>
      </c>
      <c r="AX58" s="1006"/>
      <c r="AY58" s="1006"/>
      <c r="AZ58" s="1006"/>
      <c r="BA58" s="1006"/>
      <c r="BB58" s="1006"/>
      <c r="BC58" s="1006"/>
      <c r="BD58" s="1006"/>
      <c r="BE58" s="1006"/>
      <c r="BF58" s="1006"/>
      <c r="BG58" s="1006"/>
      <c r="BH58" s="1608">
        <v>3.4260000000000002</v>
      </c>
      <c r="BI58" s="1006"/>
      <c r="BJ58" s="1006"/>
      <c r="BK58" s="1006"/>
      <c r="BL58" s="1480">
        <v>3.8068590000000002</v>
      </c>
      <c r="BM58" s="1006"/>
      <c r="BN58" s="1006"/>
      <c r="BO58" s="1006"/>
      <c r="BP58" s="1006"/>
      <c r="BQ58" s="1006"/>
      <c r="BR58" s="1006"/>
      <c r="BS58" s="1006"/>
      <c r="BT58" s="1480">
        <v>1.4772535454067301E-2</v>
      </c>
      <c r="BU58" s="1006"/>
      <c r="BV58" s="1006"/>
      <c r="BW58" s="1006"/>
      <c r="BX58" s="1006"/>
      <c r="BY58" s="1006"/>
      <c r="BZ58" s="1006"/>
      <c r="CA58" s="1006"/>
      <c r="CB58" s="1006"/>
      <c r="CC58" s="1006"/>
      <c r="CD58" s="1006"/>
      <c r="CE58" s="1006"/>
      <c r="CF58" s="1006"/>
      <c r="CG58" s="1209"/>
      <c r="CH58" s="1236">
        <v>286.59322574920469</v>
      </c>
      <c r="CI58" s="1007"/>
      <c r="CJ58" s="1007"/>
      <c r="CK58" s="1007"/>
      <c r="CL58" s="1007"/>
      <c r="CM58" s="1007"/>
      <c r="CN58" s="1007"/>
      <c r="CO58" s="1007"/>
      <c r="CP58" s="1007"/>
      <c r="CQ58" s="1007"/>
      <c r="CR58" s="1007"/>
      <c r="CS58" s="1007"/>
      <c r="CT58" s="1007"/>
      <c r="CU58" s="1007"/>
      <c r="CV58" s="1007"/>
      <c r="CW58" s="1236">
        <v>273447.88445843349</v>
      </c>
      <c r="CX58" s="1007"/>
      <c r="CY58" s="1007"/>
      <c r="CZ58" s="1007"/>
      <c r="DA58" s="1007"/>
      <c r="DB58" s="1007"/>
      <c r="DC58" s="1007"/>
      <c r="DD58" s="1007"/>
      <c r="DE58" s="1236">
        <v>231952024.36931369</v>
      </c>
      <c r="DF58" s="1007"/>
      <c r="DG58" s="1007"/>
      <c r="DH58" s="1007"/>
      <c r="DI58" s="1006"/>
      <c r="DJ58" s="1006"/>
      <c r="DK58" s="1007"/>
      <c r="DL58" s="1007"/>
      <c r="DM58" s="1007"/>
      <c r="DN58" s="1007"/>
      <c r="DO58" s="1112"/>
      <c r="DP58" s="1112"/>
      <c r="DQ58" s="1270"/>
      <c r="DR58" s="1154">
        <f t="shared" si="142"/>
        <v>1932983.6416765612</v>
      </c>
      <c r="DS58" s="1154">
        <f t="shared" si="143"/>
        <v>0</v>
      </c>
      <c r="DT58" s="1154">
        <f t="shared" si="144"/>
        <v>0</v>
      </c>
      <c r="DU58" s="1154">
        <f t="shared" si="145"/>
        <v>0</v>
      </c>
      <c r="DV58" s="1154">
        <f t="shared" si="146"/>
        <v>0</v>
      </c>
      <c r="DW58" s="1154">
        <f t="shared" si="147"/>
        <v>0</v>
      </c>
      <c r="DX58" s="1154">
        <f t="shared" si="148"/>
        <v>0</v>
      </c>
      <c r="DY58" s="1154">
        <f t="shared" si="149"/>
        <v>0</v>
      </c>
      <c r="DZ58" s="1154">
        <f t="shared" si="150"/>
        <v>0</v>
      </c>
      <c r="EA58" s="1154">
        <f t="shared" si="151"/>
        <v>0</v>
      </c>
      <c r="EB58" s="1154">
        <f t="shared" si="152"/>
        <v>0</v>
      </c>
      <c r="EC58" s="1154">
        <f t="shared" si="153"/>
        <v>0</v>
      </c>
      <c r="ED58" s="1154">
        <f t="shared" si="154"/>
        <v>0</v>
      </c>
      <c r="EE58" s="1154">
        <f t="shared" si="155"/>
        <v>0</v>
      </c>
      <c r="EF58" s="1154">
        <f t="shared" si="156"/>
        <v>0</v>
      </c>
      <c r="EG58" s="1154">
        <f t="shared" si="157"/>
        <v>1040977.5399815477</v>
      </c>
      <c r="EH58" s="1154">
        <f t="shared" si="158"/>
        <v>0</v>
      </c>
      <c r="EI58" s="1154">
        <f t="shared" si="159"/>
        <v>0</v>
      </c>
      <c r="EJ58" s="1154">
        <f t="shared" si="160"/>
        <v>0</v>
      </c>
      <c r="EK58" s="1154">
        <f t="shared" si="161"/>
        <v>0</v>
      </c>
      <c r="EL58" s="1154">
        <f t="shared" si="162"/>
        <v>0</v>
      </c>
      <c r="EM58" s="1154">
        <f t="shared" si="163"/>
        <v>0</v>
      </c>
      <c r="EN58" s="1154">
        <f t="shared" si="164"/>
        <v>0</v>
      </c>
      <c r="EO58" s="1154">
        <f t="shared" si="165"/>
        <v>3275469.7119336715</v>
      </c>
      <c r="EP58" s="1154">
        <f t="shared" si="166"/>
        <v>0</v>
      </c>
      <c r="EQ58" s="1154">
        <f t="shared" si="167"/>
        <v>0</v>
      </c>
      <c r="ER58" s="1154">
        <f t="shared" si="168"/>
        <v>0</v>
      </c>
      <c r="ES58" s="1154">
        <f t="shared" si="169"/>
        <v>0</v>
      </c>
      <c r="ET58" s="1154">
        <f t="shared" si="170"/>
        <v>0</v>
      </c>
      <c r="EU58" s="1154">
        <f t="shared" si="171"/>
        <v>0</v>
      </c>
      <c r="EV58" s="1154">
        <f t="shared" si="172"/>
        <v>0</v>
      </c>
      <c r="EW58" s="1154">
        <f t="shared" si="173"/>
        <v>0</v>
      </c>
      <c r="EX58" s="1154">
        <f t="shared" si="174"/>
        <v>0</v>
      </c>
      <c r="EY58" s="1154">
        <f t="shared" si="175"/>
        <v>0</v>
      </c>
      <c r="EZ58" s="1154">
        <f t="shared" si="176"/>
        <v>0</v>
      </c>
      <c r="FA58" s="1174">
        <f t="shared" si="177"/>
        <v>6249430.8935917802</v>
      </c>
      <c r="FC58" s="1154">
        <f t="shared" si="178"/>
        <v>1932983.6416765612</v>
      </c>
      <c r="FD58" s="1154">
        <f t="shared" si="179"/>
        <v>0</v>
      </c>
      <c r="FE58" s="1154">
        <f t="shared" si="180"/>
        <v>0</v>
      </c>
      <c r="FF58" s="1154">
        <f t="shared" si="181"/>
        <v>0</v>
      </c>
      <c r="FG58" s="1154">
        <f t="shared" si="182"/>
        <v>0</v>
      </c>
      <c r="FH58" s="1154">
        <f t="shared" si="183"/>
        <v>0</v>
      </c>
      <c r="FI58" s="1154">
        <f t="shared" si="184"/>
        <v>0</v>
      </c>
      <c r="FJ58" s="1154">
        <f t="shared" si="185"/>
        <v>0</v>
      </c>
      <c r="FK58" s="1154">
        <f t="shared" si="186"/>
        <v>0</v>
      </c>
      <c r="FL58" s="1154">
        <f t="shared" si="187"/>
        <v>0</v>
      </c>
      <c r="FM58" s="1154">
        <f t="shared" si="188"/>
        <v>0</v>
      </c>
      <c r="FN58" s="1154">
        <f t="shared" si="189"/>
        <v>0</v>
      </c>
      <c r="FO58" s="1154">
        <f t="shared" si="190"/>
        <v>0</v>
      </c>
      <c r="FP58" s="1154">
        <f t="shared" si="191"/>
        <v>0</v>
      </c>
      <c r="FQ58" s="1154">
        <f t="shared" si="192"/>
        <v>0</v>
      </c>
      <c r="FR58" s="1154">
        <f t="shared" si="193"/>
        <v>1040977.5399815477</v>
      </c>
      <c r="FS58" s="1154">
        <f t="shared" si="194"/>
        <v>0</v>
      </c>
      <c r="FT58" s="1154">
        <f t="shared" si="195"/>
        <v>0</v>
      </c>
      <c r="FU58" s="1154">
        <f t="shared" si="196"/>
        <v>0</v>
      </c>
      <c r="FV58" s="1154">
        <f t="shared" si="197"/>
        <v>0</v>
      </c>
      <c r="FW58" s="1154">
        <f t="shared" si="198"/>
        <v>0</v>
      </c>
      <c r="FX58" s="1154">
        <f t="shared" si="199"/>
        <v>0</v>
      </c>
      <c r="FY58" s="1154">
        <f t="shared" si="200"/>
        <v>0</v>
      </c>
      <c r="FZ58" s="1154">
        <f t="shared" si="201"/>
        <v>3426519.503638369</v>
      </c>
      <c r="GA58" s="1154">
        <f t="shared" si="202"/>
        <v>0</v>
      </c>
      <c r="GB58" s="1154">
        <f t="shared" si="203"/>
        <v>0</v>
      </c>
      <c r="GC58" s="1154">
        <f t="shared" si="204"/>
        <v>0</v>
      </c>
      <c r="GD58" s="1154">
        <f t="shared" si="205"/>
        <v>0</v>
      </c>
      <c r="GE58" s="1154">
        <f t="shared" si="206"/>
        <v>0</v>
      </c>
      <c r="GF58" s="1154">
        <f t="shared" si="207"/>
        <v>0</v>
      </c>
      <c r="GG58" s="1154">
        <f t="shared" si="208"/>
        <v>0</v>
      </c>
      <c r="GH58" s="1154">
        <f t="shared" si="209"/>
        <v>0</v>
      </c>
      <c r="GI58" s="1154">
        <f t="shared" si="210"/>
        <v>0</v>
      </c>
      <c r="GJ58" s="1154">
        <f t="shared" si="211"/>
        <v>0</v>
      </c>
      <c r="GK58" s="1154">
        <f t="shared" si="212"/>
        <v>0</v>
      </c>
      <c r="GL58" s="1174">
        <f t="shared" si="213"/>
        <v>6400480.6852964777</v>
      </c>
    </row>
    <row r="59" spans="1:194">
      <c r="B59" s="1290" t="str">
        <f t="shared" si="141"/>
        <v>SACDUOSEDST</v>
      </c>
      <c r="C59" s="1289" t="str">
        <f>Prop2021DUOSTariffs!C27</f>
        <v>East SAC&gt;100MWhpa DemandSmall</v>
      </c>
      <c r="D59" s="1113" t="str">
        <f>Prop2021DUOSTariffs!D27</f>
        <v>East SAC&gt;100MWhpa DemandSmall</v>
      </c>
      <c r="E59" s="1113" t="str">
        <f>Prop2021DUOSTariffs!E27</f>
        <v>SAC</v>
      </c>
      <c r="F59" s="1113" t="str">
        <f>Prop2021DUOSTariffs!F27</f>
        <v>SACL</v>
      </c>
      <c r="G59" s="1113" t="str">
        <f>Prop2021DUOSTariffs!G27</f>
        <v>East</v>
      </c>
      <c r="H59" s="1113" t="str">
        <f>IF(Prop2021DUOSTariffs!H27="","",Prop2021DUOSTariffs!H27)</f>
        <v>EDST</v>
      </c>
      <c r="I59" s="1114" t="s">
        <v>798</v>
      </c>
      <c r="J59" s="1114" t="s">
        <v>934</v>
      </c>
      <c r="K59" s="1270"/>
      <c r="L59" s="1233">
        <v>4.1796489000000001</v>
      </c>
      <c r="M59" s="1007"/>
      <c r="N59" s="1007"/>
      <c r="O59" s="1007"/>
      <c r="P59" s="1007"/>
      <c r="Q59" s="1007"/>
      <c r="R59" s="1007"/>
      <c r="S59" s="1007"/>
      <c r="T59" s="1007"/>
      <c r="U59" s="1007"/>
      <c r="V59" s="1007"/>
      <c r="W59" s="1784">
        <v>0.83331423000000004</v>
      </c>
      <c r="X59" s="1007"/>
      <c r="Y59" s="1007"/>
      <c r="Z59" s="1007"/>
      <c r="AA59" s="1233">
        <v>0.92590470000000002</v>
      </c>
      <c r="AB59" s="1007"/>
      <c r="AC59" s="1007"/>
      <c r="AD59" s="1007"/>
      <c r="AE59" s="1007"/>
      <c r="AF59" s="1007"/>
      <c r="AG59" s="1007"/>
      <c r="AH59" s="1007"/>
      <c r="AI59" s="1224">
        <v>1.2756140745273986E-2</v>
      </c>
      <c r="AJ59" s="1005"/>
      <c r="AK59" s="1005"/>
      <c r="AL59" s="1005"/>
      <c r="AM59" s="1005"/>
      <c r="AN59" s="1005"/>
      <c r="AO59" s="1005"/>
      <c r="AP59" s="1005"/>
      <c r="AQ59" s="1005"/>
      <c r="AR59" s="1005"/>
      <c r="AS59" s="1005"/>
      <c r="AT59" s="1005"/>
      <c r="AU59" s="1006"/>
      <c r="AV59" s="1270"/>
      <c r="AW59" s="1480">
        <v>3.9430650000000003</v>
      </c>
      <c r="AX59" s="1006"/>
      <c r="AY59" s="1006"/>
      <c r="AZ59" s="1006"/>
      <c r="BA59" s="1006"/>
      <c r="BB59" s="1006"/>
      <c r="BC59" s="1006"/>
      <c r="BD59" s="1006"/>
      <c r="BE59" s="1006"/>
      <c r="BF59" s="1006"/>
      <c r="BG59" s="1006"/>
      <c r="BH59" s="1608">
        <v>0.78500000000000003</v>
      </c>
      <c r="BI59" s="1006"/>
      <c r="BJ59" s="1006"/>
      <c r="BK59" s="1006"/>
      <c r="BL59" s="1480">
        <v>0.87349500000000002</v>
      </c>
      <c r="BM59" s="1006"/>
      <c r="BN59" s="1006"/>
      <c r="BO59" s="1006"/>
      <c r="BP59" s="1006"/>
      <c r="BQ59" s="1006"/>
      <c r="BR59" s="1006"/>
      <c r="BS59" s="1006"/>
      <c r="BT59" s="1480">
        <v>9.9886311700567981E-3</v>
      </c>
      <c r="BU59" s="1006"/>
      <c r="BV59" s="1006"/>
      <c r="BW59" s="1006"/>
      <c r="BX59" s="1006"/>
      <c r="BY59" s="1006"/>
      <c r="BZ59" s="1006"/>
      <c r="CA59" s="1006"/>
      <c r="CB59" s="1006"/>
      <c r="CC59" s="1006"/>
      <c r="CD59" s="1006"/>
      <c r="CE59" s="1006"/>
      <c r="CF59" s="1006"/>
      <c r="CG59" s="1209"/>
      <c r="CH59" s="1236">
        <v>2066.8043768165885</v>
      </c>
      <c r="CI59" s="1007"/>
      <c r="CJ59" s="1007"/>
      <c r="CK59" s="1007"/>
      <c r="CL59" s="1007"/>
      <c r="CM59" s="1007"/>
      <c r="CN59" s="1007"/>
      <c r="CO59" s="1007"/>
      <c r="CP59" s="1007"/>
      <c r="CQ59" s="1007"/>
      <c r="CR59" s="1007"/>
      <c r="CS59" s="1007"/>
      <c r="CT59" s="1007"/>
      <c r="CU59" s="1007"/>
      <c r="CV59" s="1007"/>
      <c r="CW59" s="1236">
        <v>680307.82498407213</v>
      </c>
      <c r="CX59" s="1007"/>
      <c r="CY59" s="1007"/>
      <c r="CZ59" s="1007"/>
      <c r="DA59" s="1007"/>
      <c r="DB59" s="1007"/>
      <c r="DC59" s="1007"/>
      <c r="DD59" s="1007"/>
      <c r="DE59" s="1236">
        <v>409668819.45992267</v>
      </c>
      <c r="DF59" s="1007"/>
      <c r="DG59" s="1007"/>
      <c r="DH59" s="1007"/>
      <c r="DI59" s="1006"/>
      <c r="DJ59" s="1006"/>
      <c r="DK59" s="1007"/>
      <c r="DL59" s="1007"/>
      <c r="DM59" s="1007"/>
      <c r="DN59" s="1007"/>
      <c r="DO59" s="1112"/>
      <c r="DP59" s="1112"/>
      <c r="DQ59" s="1270"/>
      <c r="DR59" s="1154">
        <f t="shared" si="142"/>
        <v>3153058.5736279734</v>
      </c>
      <c r="DS59" s="1154">
        <f t="shared" si="143"/>
        <v>0</v>
      </c>
      <c r="DT59" s="1154">
        <f t="shared" si="144"/>
        <v>0</v>
      </c>
      <c r="DU59" s="1154">
        <f t="shared" si="145"/>
        <v>0</v>
      </c>
      <c r="DV59" s="1154">
        <f t="shared" si="146"/>
        <v>0</v>
      </c>
      <c r="DW59" s="1154">
        <f t="shared" si="147"/>
        <v>0</v>
      </c>
      <c r="DX59" s="1154">
        <f t="shared" si="148"/>
        <v>0</v>
      </c>
      <c r="DY59" s="1154">
        <f t="shared" si="149"/>
        <v>0</v>
      </c>
      <c r="DZ59" s="1154">
        <f t="shared" si="150"/>
        <v>0</v>
      </c>
      <c r="EA59" s="1154">
        <f t="shared" si="151"/>
        <v>0</v>
      </c>
      <c r="EB59" s="1154">
        <f t="shared" si="152"/>
        <v>0</v>
      </c>
      <c r="EC59" s="1154">
        <f t="shared" si="153"/>
        <v>0</v>
      </c>
      <c r="ED59" s="1154">
        <f t="shared" si="154"/>
        <v>0</v>
      </c>
      <c r="EE59" s="1154">
        <f t="shared" si="155"/>
        <v>0</v>
      </c>
      <c r="EF59" s="1154">
        <f t="shared" si="156"/>
        <v>0</v>
      </c>
      <c r="EG59" s="1154">
        <f t="shared" si="157"/>
        <v>629900.21259952977</v>
      </c>
      <c r="EH59" s="1154">
        <f t="shared" si="158"/>
        <v>0</v>
      </c>
      <c r="EI59" s="1154">
        <f t="shared" si="159"/>
        <v>0</v>
      </c>
      <c r="EJ59" s="1154">
        <f t="shared" si="160"/>
        <v>0</v>
      </c>
      <c r="EK59" s="1154">
        <f t="shared" si="161"/>
        <v>0</v>
      </c>
      <c r="EL59" s="1154">
        <f t="shared" si="162"/>
        <v>0</v>
      </c>
      <c r="EM59" s="1154">
        <f t="shared" si="163"/>
        <v>0</v>
      </c>
      <c r="EN59" s="1154">
        <f t="shared" si="164"/>
        <v>0</v>
      </c>
      <c r="EO59" s="1154">
        <f t="shared" si="165"/>
        <v>5225793.1199810123</v>
      </c>
      <c r="EP59" s="1154">
        <f t="shared" si="166"/>
        <v>0</v>
      </c>
      <c r="EQ59" s="1154">
        <f t="shared" si="167"/>
        <v>0</v>
      </c>
      <c r="ER59" s="1154">
        <f t="shared" si="168"/>
        <v>0</v>
      </c>
      <c r="ES59" s="1154">
        <f t="shared" si="169"/>
        <v>0</v>
      </c>
      <c r="ET59" s="1154">
        <f t="shared" si="170"/>
        <v>0</v>
      </c>
      <c r="EU59" s="1154">
        <f t="shared" si="171"/>
        <v>0</v>
      </c>
      <c r="EV59" s="1154">
        <f t="shared" si="172"/>
        <v>0</v>
      </c>
      <c r="EW59" s="1154">
        <f t="shared" si="173"/>
        <v>0</v>
      </c>
      <c r="EX59" s="1154">
        <f t="shared" si="174"/>
        <v>0</v>
      </c>
      <c r="EY59" s="1154">
        <f t="shared" si="175"/>
        <v>0</v>
      </c>
      <c r="EZ59" s="1154">
        <f t="shared" si="176"/>
        <v>0</v>
      </c>
      <c r="FA59" s="1174">
        <f t="shared" si="177"/>
        <v>9008751.9062085152</v>
      </c>
      <c r="FC59" s="1154">
        <f t="shared" si="178"/>
        <v>2974583.56002639</v>
      </c>
      <c r="FD59" s="1154">
        <f t="shared" si="179"/>
        <v>0</v>
      </c>
      <c r="FE59" s="1154">
        <f t="shared" si="180"/>
        <v>0</v>
      </c>
      <c r="FF59" s="1154">
        <f t="shared" si="181"/>
        <v>0</v>
      </c>
      <c r="FG59" s="1154">
        <f t="shared" si="182"/>
        <v>0</v>
      </c>
      <c r="FH59" s="1154">
        <f t="shared" si="183"/>
        <v>0</v>
      </c>
      <c r="FI59" s="1154">
        <f t="shared" si="184"/>
        <v>0</v>
      </c>
      <c r="FJ59" s="1154">
        <f t="shared" si="185"/>
        <v>0</v>
      </c>
      <c r="FK59" s="1154">
        <f t="shared" si="186"/>
        <v>0</v>
      </c>
      <c r="FL59" s="1154">
        <f t="shared" si="187"/>
        <v>0</v>
      </c>
      <c r="FM59" s="1154">
        <f t="shared" si="188"/>
        <v>0</v>
      </c>
      <c r="FN59" s="1154">
        <f t="shared" si="189"/>
        <v>0</v>
      </c>
      <c r="FO59" s="1154">
        <f t="shared" si="190"/>
        <v>0</v>
      </c>
      <c r="FP59" s="1154">
        <f t="shared" si="191"/>
        <v>0</v>
      </c>
      <c r="FQ59" s="1154">
        <f t="shared" si="192"/>
        <v>0</v>
      </c>
      <c r="FR59" s="1154">
        <f t="shared" si="193"/>
        <v>594245.48358446208</v>
      </c>
      <c r="FS59" s="1154">
        <f t="shared" si="194"/>
        <v>0</v>
      </c>
      <c r="FT59" s="1154">
        <f t="shared" si="195"/>
        <v>0</v>
      </c>
      <c r="FU59" s="1154">
        <f t="shared" si="196"/>
        <v>0</v>
      </c>
      <c r="FV59" s="1154">
        <f t="shared" si="197"/>
        <v>0</v>
      </c>
      <c r="FW59" s="1154">
        <f t="shared" si="198"/>
        <v>0</v>
      </c>
      <c r="FX59" s="1154">
        <f t="shared" si="199"/>
        <v>0</v>
      </c>
      <c r="FY59" s="1154">
        <f t="shared" si="200"/>
        <v>0</v>
      </c>
      <c r="FZ59" s="1154">
        <f t="shared" si="201"/>
        <v>4092030.7394577544</v>
      </c>
      <c r="GA59" s="1154">
        <f t="shared" si="202"/>
        <v>0</v>
      </c>
      <c r="GB59" s="1154">
        <f t="shared" si="203"/>
        <v>0</v>
      </c>
      <c r="GC59" s="1154">
        <f t="shared" si="204"/>
        <v>0</v>
      </c>
      <c r="GD59" s="1154">
        <f t="shared" si="205"/>
        <v>0</v>
      </c>
      <c r="GE59" s="1154">
        <f t="shared" si="206"/>
        <v>0</v>
      </c>
      <c r="GF59" s="1154">
        <f t="shared" si="207"/>
        <v>0</v>
      </c>
      <c r="GG59" s="1154">
        <f t="shared" si="208"/>
        <v>0</v>
      </c>
      <c r="GH59" s="1154">
        <f t="shared" si="209"/>
        <v>0</v>
      </c>
      <c r="GI59" s="1154">
        <f t="shared" si="210"/>
        <v>0</v>
      </c>
      <c r="GJ59" s="1154">
        <f t="shared" si="211"/>
        <v>0</v>
      </c>
      <c r="GK59" s="1154">
        <f t="shared" si="212"/>
        <v>0</v>
      </c>
      <c r="GL59" s="1174">
        <f t="shared" si="213"/>
        <v>7660859.7830686066</v>
      </c>
    </row>
    <row r="60" spans="1:194">
      <c r="B60" s="1290" t="str">
        <f t="shared" si="141"/>
        <v>SACDUOSEDST</v>
      </c>
      <c r="C60" s="1289" t="str">
        <f>C59</f>
        <v>East SAC&gt;100MWhpa DemandSmall</v>
      </c>
      <c r="D60" s="1113" t="str">
        <f t="shared" ref="D60:H60" si="222">D59</f>
        <v>East SAC&gt;100MWhpa DemandSmall</v>
      </c>
      <c r="E60" s="1113" t="str">
        <f t="shared" si="222"/>
        <v>SAC</v>
      </c>
      <c r="F60" s="1113" t="str">
        <f t="shared" si="222"/>
        <v>SACL</v>
      </c>
      <c r="G60" s="1113" t="str">
        <f t="shared" ref="G60" si="223">G59</f>
        <v>East</v>
      </c>
      <c r="H60" s="1113" t="str">
        <f t="shared" si="222"/>
        <v>EDST</v>
      </c>
      <c r="I60" s="1114" t="s">
        <v>752</v>
      </c>
      <c r="J60" s="1114" t="s">
        <v>934</v>
      </c>
      <c r="K60" s="1270"/>
      <c r="L60" s="1233">
        <v>5.5176754500000005</v>
      </c>
      <c r="M60" s="1007"/>
      <c r="N60" s="1007"/>
      <c r="O60" s="1007"/>
      <c r="P60" s="1007"/>
      <c r="Q60" s="1007"/>
      <c r="R60" s="1007"/>
      <c r="S60" s="1007"/>
      <c r="T60" s="1007"/>
      <c r="U60" s="1007"/>
      <c r="V60" s="1007"/>
      <c r="W60" s="1784">
        <v>1.761170229</v>
      </c>
      <c r="X60" s="1007"/>
      <c r="Y60" s="1007"/>
      <c r="Z60" s="1007"/>
      <c r="AA60" s="1233">
        <v>1.95685581</v>
      </c>
      <c r="AB60" s="1007"/>
      <c r="AC60" s="1007"/>
      <c r="AD60" s="1007"/>
      <c r="AE60" s="1007"/>
      <c r="AF60" s="1007"/>
      <c r="AG60" s="1007"/>
      <c r="AH60" s="1007"/>
      <c r="AI60" s="1224">
        <v>1.3580961239131205E-2</v>
      </c>
      <c r="AJ60" s="1005"/>
      <c r="AK60" s="1005"/>
      <c r="AL60" s="1005"/>
      <c r="AM60" s="1005"/>
      <c r="AN60" s="1005"/>
      <c r="AO60" s="1005"/>
      <c r="AP60" s="1005"/>
      <c r="AQ60" s="1005"/>
      <c r="AR60" s="1005"/>
      <c r="AS60" s="1005"/>
      <c r="AT60" s="1005"/>
      <c r="AU60" s="1006"/>
      <c r="AV60" s="1270"/>
      <c r="AW60" s="1480">
        <v>5.4630450000000002</v>
      </c>
      <c r="AX60" s="1006"/>
      <c r="AY60" s="1006"/>
      <c r="AZ60" s="1006"/>
      <c r="BA60" s="1006"/>
      <c r="BB60" s="1006"/>
      <c r="BC60" s="1006"/>
      <c r="BD60" s="1006"/>
      <c r="BE60" s="1006"/>
      <c r="BF60" s="1006"/>
      <c r="BG60" s="1006"/>
      <c r="BH60" s="1608">
        <v>1.7430000000000001</v>
      </c>
      <c r="BI60" s="1006"/>
      <c r="BJ60" s="1006"/>
      <c r="BK60" s="1006"/>
      <c r="BL60" s="1480">
        <v>1.937481</v>
      </c>
      <c r="BM60" s="1006"/>
      <c r="BN60" s="1006"/>
      <c r="BO60" s="1006"/>
      <c r="BP60" s="1006"/>
      <c r="BQ60" s="1006"/>
      <c r="BR60" s="1006"/>
      <c r="BS60" s="1006"/>
      <c r="BT60" s="1480">
        <v>1.3226767178995704E-2</v>
      </c>
      <c r="BU60" s="1006"/>
      <c r="BV60" s="1006"/>
      <c r="BW60" s="1006"/>
      <c r="BX60" s="1006"/>
      <c r="BY60" s="1006"/>
      <c r="BZ60" s="1006"/>
      <c r="CA60" s="1006"/>
      <c r="CB60" s="1006"/>
      <c r="CC60" s="1006"/>
      <c r="CD60" s="1006"/>
      <c r="CE60" s="1006"/>
      <c r="CF60" s="1006"/>
      <c r="CG60" s="1209"/>
      <c r="CH60" s="1236">
        <v>1324.6109323575483</v>
      </c>
      <c r="CI60" s="1007"/>
      <c r="CJ60" s="1007"/>
      <c r="CK60" s="1007"/>
      <c r="CL60" s="1007"/>
      <c r="CM60" s="1007"/>
      <c r="CN60" s="1007"/>
      <c r="CO60" s="1007"/>
      <c r="CP60" s="1007"/>
      <c r="CQ60" s="1007"/>
      <c r="CR60" s="1007"/>
      <c r="CS60" s="1007"/>
      <c r="CT60" s="1007"/>
      <c r="CU60" s="1007"/>
      <c r="CV60" s="1007"/>
      <c r="CW60" s="1236">
        <v>436007.97078351479</v>
      </c>
      <c r="CX60" s="1007"/>
      <c r="CY60" s="1007"/>
      <c r="CZ60" s="1007"/>
      <c r="DA60" s="1007"/>
      <c r="DB60" s="1007"/>
      <c r="DC60" s="1007"/>
      <c r="DD60" s="1007"/>
      <c r="DE60" s="1236">
        <v>262555954.97550085</v>
      </c>
      <c r="DF60" s="1007"/>
      <c r="DG60" s="1007"/>
      <c r="DH60" s="1007"/>
      <c r="DI60" s="1006"/>
      <c r="DJ60" s="1006"/>
      <c r="DK60" s="1007"/>
      <c r="DL60" s="1007"/>
      <c r="DM60" s="1007"/>
      <c r="DN60" s="1007"/>
      <c r="DO60" s="1112"/>
      <c r="DP60" s="1112"/>
      <c r="DQ60" s="1270"/>
      <c r="DR60" s="1154">
        <f t="shared" si="142"/>
        <v>2667702.2261288622</v>
      </c>
      <c r="DS60" s="1154">
        <f t="shared" si="143"/>
        <v>0</v>
      </c>
      <c r="DT60" s="1154">
        <f t="shared" si="144"/>
        <v>0</v>
      </c>
      <c r="DU60" s="1154">
        <f t="shared" si="145"/>
        <v>0</v>
      </c>
      <c r="DV60" s="1154">
        <f t="shared" si="146"/>
        <v>0</v>
      </c>
      <c r="DW60" s="1154">
        <f t="shared" si="147"/>
        <v>0</v>
      </c>
      <c r="DX60" s="1154">
        <f t="shared" si="148"/>
        <v>0</v>
      </c>
      <c r="DY60" s="1154">
        <f t="shared" si="149"/>
        <v>0</v>
      </c>
      <c r="DZ60" s="1154">
        <f t="shared" si="150"/>
        <v>0</v>
      </c>
      <c r="EA60" s="1154">
        <f t="shared" si="151"/>
        <v>0</v>
      </c>
      <c r="EB60" s="1154">
        <f t="shared" si="152"/>
        <v>0</v>
      </c>
      <c r="EC60" s="1154">
        <f t="shared" si="153"/>
        <v>0</v>
      </c>
      <c r="ED60" s="1154">
        <f t="shared" si="154"/>
        <v>0</v>
      </c>
      <c r="EE60" s="1154">
        <f t="shared" si="155"/>
        <v>0</v>
      </c>
      <c r="EF60" s="1154">
        <f t="shared" si="156"/>
        <v>0</v>
      </c>
      <c r="EG60" s="1154">
        <f t="shared" si="157"/>
        <v>853204.73083403113</v>
      </c>
      <c r="EH60" s="1154">
        <f t="shared" si="158"/>
        <v>0</v>
      </c>
      <c r="EI60" s="1154">
        <f t="shared" si="159"/>
        <v>0</v>
      </c>
      <c r="EJ60" s="1154">
        <f t="shared" si="160"/>
        <v>0</v>
      </c>
      <c r="EK60" s="1154">
        <f t="shared" si="161"/>
        <v>0</v>
      </c>
      <c r="EL60" s="1154">
        <f t="shared" si="162"/>
        <v>0</v>
      </c>
      <c r="EM60" s="1154">
        <f t="shared" si="163"/>
        <v>0</v>
      </c>
      <c r="EN60" s="1154">
        <f t="shared" si="164"/>
        <v>0</v>
      </c>
      <c r="EO60" s="1154">
        <f t="shared" si="165"/>
        <v>3565762.2476253551</v>
      </c>
      <c r="EP60" s="1154">
        <f t="shared" si="166"/>
        <v>0</v>
      </c>
      <c r="EQ60" s="1154">
        <f t="shared" si="167"/>
        <v>0</v>
      </c>
      <c r="ER60" s="1154">
        <f t="shared" si="168"/>
        <v>0</v>
      </c>
      <c r="ES60" s="1154">
        <f t="shared" si="169"/>
        <v>0</v>
      </c>
      <c r="ET60" s="1154">
        <f t="shared" si="170"/>
        <v>0</v>
      </c>
      <c r="EU60" s="1154">
        <f t="shared" si="171"/>
        <v>0</v>
      </c>
      <c r="EV60" s="1154">
        <f t="shared" si="172"/>
        <v>0</v>
      </c>
      <c r="EW60" s="1154">
        <f t="shared" si="173"/>
        <v>0</v>
      </c>
      <c r="EX60" s="1154">
        <f t="shared" si="174"/>
        <v>0</v>
      </c>
      <c r="EY60" s="1154">
        <f t="shared" si="175"/>
        <v>0</v>
      </c>
      <c r="EZ60" s="1154">
        <f t="shared" si="176"/>
        <v>0</v>
      </c>
      <c r="FA60" s="1174">
        <f t="shared" si="177"/>
        <v>7086669.2045882484</v>
      </c>
      <c r="FC60" s="1154">
        <f t="shared" si="178"/>
        <v>2641289.3328008535</v>
      </c>
      <c r="FD60" s="1154">
        <f t="shared" si="179"/>
        <v>0</v>
      </c>
      <c r="FE60" s="1154">
        <f t="shared" si="180"/>
        <v>0</v>
      </c>
      <c r="FF60" s="1154">
        <f t="shared" si="181"/>
        <v>0</v>
      </c>
      <c r="FG60" s="1154">
        <f t="shared" si="182"/>
        <v>0</v>
      </c>
      <c r="FH60" s="1154">
        <f t="shared" si="183"/>
        <v>0</v>
      </c>
      <c r="FI60" s="1154">
        <f t="shared" si="184"/>
        <v>0</v>
      </c>
      <c r="FJ60" s="1154">
        <f t="shared" si="185"/>
        <v>0</v>
      </c>
      <c r="FK60" s="1154">
        <f t="shared" si="186"/>
        <v>0</v>
      </c>
      <c r="FL60" s="1154">
        <f t="shared" si="187"/>
        <v>0</v>
      </c>
      <c r="FM60" s="1154">
        <f t="shared" si="188"/>
        <v>0</v>
      </c>
      <c r="FN60" s="1154">
        <f t="shared" si="189"/>
        <v>0</v>
      </c>
      <c r="FO60" s="1154">
        <f t="shared" si="190"/>
        <v>0</v>
      </c>
      <c r="FP60" s="1154">
        <f t="shared" si="191"/>
        <v>0</v>
      </c>
      <c r="FQ60" s="1154">
        <f t="shared" si="192"/>
        <v>0</v>
      </c>
      <c r="FR60" s="1154">
        <f t="shared" si="193"/>
        <v>844757.15924161498</v>
      </c>
      <c r="FS60" s="1154">
        <f t="shared" si="194"/>
        <v>0</v>
      </c>
      <c r="FT60" s="1154">
        <f t="shared" si="195"/>
        <v>0</v>
      </c>
      <c r="FU60" s="1154">
        <f t="shared" si="196"/>
        <v>0</v>
      </c>
      <c r="FV60" s="1154">
        <f t="shared" si="197"/>
        <v>0</v>
      </c>
      <c r="FW60" s="1154">
        <f t="shared" si="198"/>
        <v>0</v>
      </c>
      <c r="FX60" s="1154">
        <f t="shared" si="199"/>
        <v>0</v>
      </c>
      <c r="FY60" s="1154">
        <f t="shared" si="200"/>
        <v>0</v>
      </c>
      <c r="FZ60" s="1154">
        <f t="shared" si="201"/>
        <v>3472766.4879198284</v>
      </c>
      <c r="GA60" s="1154">
        <f t="shared" si="202"/>
        <v>0</v>
      </c>
      <c r="GB60" s="1154">
        <f t="shared" si="203"/>
        <v>0</v>
      </c>
      <c r="GC60" s="1154">
        <f t="shared" si="204"/>
        <v>0</v>
      </c>
      <c r="GD60" s="1154">
        <f t="shared" si="205"/>
        <v>0</v>
      </c>
      <c r="GE60" s="1154">
        <f t="shared" si="206"/>
        <v>0</v>
      </c>
      <c r="GF60" s="1154">
        <f t="shared" si="207"/>
        <v>0</v>
      </c>
      <c r="GG60" s="1154">
        <f t="shared" si="208"/>
        <v>0</v>
      </c>
      <c r="GH60" s="1154">
        <f t="shared" si="209"/>
        <v>0</v>
      </c>
      <c r="GI60" s="1154">
        <f t="shared" si="210"/>
        <v>0</v>
      </c>
      <c r="GJ60" s="1154">
        <f t="shared" si="211"/>
        <v>0</v>
      </c>
      <c r="GK60" s="1154">
        <f t="shared" si="212"/>
        <v>0</v>
      </c>
      <c r="GL60" s="1174">
        <f t="shared" si="213"/>
        <v>6958812.9799622968</v>
      </c>
    </row>
    <row r="61" spans="1:194">
      <c r="B61" s="1290" t="str">
        <f t="shared" si="141"/>
        <v>SACDUOSEDST</v>
      </c>
      <c r="C61" s="1289" t="str">
        <f>C59</f>
        <v>East SAC&gt;100MWhpa DemandSmall</v>
      </c>
      <c r="D61" s="1113" t="str">
        <f t="shared" ref="D61:H61" si="224">D59</f>
        <v>East SAC&gt;100MWhpa DemandSmall</v>
      </c>
      <c r="E61" s="1113" t="str">
        <f t="shared" si="224"/>
        <v>SAC</v>
      </c>
      <c r="F61" s="1113" t="str">
        <f t="shared" si="224"/>
        <v>SACL</v>
      </c>
      <c r="G61" s="1113" t="str">
        <f t="shared" ref="G61" si="225">G59</f>
        <v>East</v>
      </c>
      <c r="H61" s="1113" t="str">
        <f t="shared" si="224"/>
        <v>EDST</v>
      </c>
      <c r="I61" s="1114" t="s">
        <v>759</v>
      </c>
      <c r="J61" s="1114" t="s">
        <v>934</v>
      </c>
      <c r="K61" s="1270"/>
      <c r="L61" s="1233">
        <v>7.2208920000000001</v>
      </c>
      <c r="M61" s="1007"/>
      <c r="N61" s="1007"/>
      <c r="O61" s="1007"/>
      <c r="P61" s="1007"/>
      <c r="Q61" s="1007"/>
      <c r="R61" s="1007"/>
      <c r="S61" s="1007"/>
      <c r="T61" s="1007"/>
      <c r="U61" s="1007"/>
      <c r="V61" s="1007"/>
      <c r="W61" s="1784">
        <v>3.4261731000000002</v>
      </c>
      <c r="X61" s="1007"/>
      <c r="Y61" s="1007"/>
      <c r="Z61" s="1007"/>
      <c r="AA61" s="1233">
        <v>3.8068590000000002</v>
      </c>
      <c r="AB61" s="1007"/>
      <c r="AC61" s="1007"/>
      <c r="AD61" s="1007"/>
      <c r="AE61" s="1007"/>
      <c r="AF61" s="1007"/>
      <c r="AG61" s="1007"/>
      <c r="AH61" s="1007"/>
      <c r="AI61" s="1224">
        <v>1.4121324100704864E-2</v>
      </c>
      <c r="AJ61" s="1005"/>
      <c r="AK61" s="1005"/>
      <c r="AL61" s="1005"/>
      <c r="AM61" s="1005"/>
      <c r="AN61" s="1005"/>
      <c r="AO61" s="1005"/>
      <c r="AP61" s="1005"/>
      <c r="AQ61" s="1005"/>
      <c r="AR61" s="1005"/>
      <c r="AS61" s="1005"/>
      <c r="AT61" s="1005"/>
      <c r="AU61" s="1006"/>
      <c r="AV61" s="1270"/>
      <c r="AW61" s="1480">
        <v>7.2208920000000001</v>
      </c>
      <c r="AX61" s="1006"/>
      <c r="AY61" s="1006"/>
      <c r="AZ61" s="1006"/>
      <c r="BA61" s="1006"/>
      <c r="BB61" s="1006"/>
      <c r="BC61" s="1006"/>
      <c r="BD61" s="1006"/>
      <c r="BE61" s="1006"/>
      <c r="BF61" s="1006"/>
      <c r="BG61" s="1006"/>
      <c r="BH61" s="1608">
        <v>3.4260000000000002</v>
      </c>
      <c r="BI61" s="1006"/>
      <c r="BJ61" s="1006"/>
      <c r="BK61" s="1006"/>
      <c r="BL61" s="1480">
        <v>3.8068590000000002</v>
      </c>
      <c r="BM61" s="1006"/>
      <c r="BN61" s="1006"/>
      <c r="BO61" s="1006"/>
      <c r="BP61" s="1006"/>
      <c r="BQ61" s="1006"/>
      <c r="BR61" s="1006"/>
      <c r="BS61" s="1006"/>
      <c r="BT61" s="1480">
        <v>1.4772535454067301E-2</v>
      </c>
      <c r="BU61" s="1006"/>
      <c r="BV61" s="1006"/>
      <c r="BW61" s="1006"/>
      <c r="BX61" s="1006"/>
      <c r="BY61" s="1006"/>
      <c r="BZ61" s="1006"/>
      <c r="CA61" s="1006"/>
      <c r="CB61" s="1006"/>
      <c r="CC61" s="1006"/>
      <c r="CD61" s="1006"/>
      <c r="CE61" s="1006"/>
      <c r="CF61" s="1006"/>
      <c r="CG61" s="1209"/>
      <c r="CH61" s="1236">
        <v>895.20469082586249</v>
      </c>
      <c r="CI61" s="1007"/>
      <c r="CJ61" s="1007"/>
      <c r="CK61" s="1007"/>
      <c r="CL61" s="1007"/>
      <c r="CM61" s="1007"/>
      <c r="CN61" s="1007"/>
      <c r="CO61" s="1007"/>
      <c r="CP61" s="1007"/>
      <c r="CQ61" s="1007"/>
      <c r="CR61" s="1007"/>
      <c r="CS61" s="1007"/>
      <c r="CT61" s="1007"/>
      <c r="CU61" s="1007"/>
      <c r="CV61" s="1007"/>
      <c r="CW61" s="1236">
        <v>294664.92473241274</v>
      </c>
      <c r="CX61" s="1007"/>
      <c r="CY61" s="1007"/>
      <c r="CZ61" s="1007"/>
      <c r="DA61" s="1007"/>
      <c r="DB61" s="1007"/>
      <c r="DC61" s="1007"/>
      <c r="DD61" s="1007"/>
      <c r="DE61" s="1236">
        <v>177441780.6442264</v>
      </c>
      <c r="DF61" s="1007"/>
      <c r="DG61" s="1007"/>
      <c r="DH61" s="1007"/>
      <c r="DI61" s="1006"/>
      <c r="DJ61" s="1006"/>
      <c r="DK61" s="1007"/>
      <c r="DL61" s="1007"/>
      <c r="DM61" s="1007"/>
      <c r="DN61" s="1007"/>
      <c r="DO61" s="1112"/>
      <c r="DP61" s="1112"/>
      <c r="DQ61" s="1270"/>
      <c r="DR61" s="1154">
        <f t="shared" si="142"/>
        <v>2359424.3824766343</v>
      </c>
      <c r="DS61" s="1154">
        <f t="shared" si="143"/>
        <v>0</v>
      </c>
      <c r="DT61" s="1154">
        <f t="shared" si="144"/>
        <v>0</v>
      </c>
      <c r="DU61" s="1154">
        <f t="shared" si="145"/>
        <v>0</v>
      </c>
      <c r="DV61" s="1154">
        <f t="shared" si="146"/>
        <v>0</v>
      </c>
      <c r="DW61" s="1154">
        <f t="shared" si="147"/>
        <v>0</v>
      </c>
      <c r="DX61" s="1154">
        <f t="shared" si="148"/>
        <v>0</v>
      </c>
      <c r="DY61" s="1154">
        <f t="shared" si="149"/>
        <v>0</v>
      </c>
      <c r="DZ61" s="1154">
        <f t="shared" si="150"/>
        <v>0</v>
      </c>
      <c r="EA61" s="1154">
        <f t="shared" si="151"/>
        <v>0</v>
      </c>
      <c r="EB61" s="1154">
        <f t="shared" si="152"/>
        <v>0</v>
      </c>
      <c r="EC61" s="1154">
        <f t="shared" si="153"/>
        <v>0</v>
      </c>
      <c r="ED61" s="1154">
        <f t="shared" si="154"/>
        <v>0</v>
      </c>
      <c r="EE61" s="1154">
        <f t="shared" si="155"/>
        <v>0</v>
      </c>
      <c r="EF61" s="1154">
        <f t="shared" si="156"/>
        <v>0</v>
      </c>
      <c r="EG61" s="1154">
        <f t="shared" si="157"/>
        <v>1121747.8207019081</v>
      </c>
      <c r="EH61" s="1154">
        <f t="shared" si="158"/>
        <v>0</v>
      </c>
      <c r="EI61" s="1154">
        <f t="shared" si="159"/>
        <v>0</v>
      </c>
      <c r="EJ61" s="1154">
        <f t="shared" si="160"/>
        <v>0</v>
      </c>
      <c r="EK61" s="1154">
        <f t="shared" si="161"/>
        <v>0</v>
      </c>
      <c r="EL61" s="1154">
        <f t="shared" si="162"/>
        <v>0</v>
      </c>
      <c r="EM61" s="1154">
        <f t="shared" si="163"/>
        <v>0</v>
      </c>
      <c r="EN61" s="1154">
        <f t="shared" si="164"/>
        <v>0</v>
      </c>
      <c r="EO61" s="1154">
        <f t="shared" si="165"/>
        <v>2505712.8934833002</v>
      </c>
      <c r="EP61" s="1154">
        <f t="shared" si="166"/>
        <v>0</v>
      </c>
      <c r="EQ61" s="1154">
        <f t="shared" si="167"/>
        <v>0</v>
      </c>
      <c r="ER61" s="1154">
        <f t="shared" si="168"/>
        <v>0</v>
      </c>
      <c r="ES61" s="1154">
        <f t="shared" si="169"/>
        <v>0</v>
      </c>
      <c r="ET61" s="1154">
        <f t="shared" si="170"/>
        <v>0</v>
      </c>
      <c r="EU61" s="1154">
        <f t="shared" si="171"/>
        <v>0</v>
      </c>
      <c r="EV61" s="1154">
        <f t="shared" si="172"/>
        <v>0</v>
      </c>
      <c r="EW61" s="1154">
        <f t="shared" si="173"/>
        <v>0</v>
      </c>
      <c r="EX61" s="1154">
        <f t="shared" si="174"/>
        <v>0</v>
      </c>
      <c r="EY61" s="1154">
        <f t="shared" si="175"/>
        <v>0</v>
      </c>
      <c r="EZ61" s="1154">
        <f t="shared" si="176"/>
        <v>0</v>
      </c>
      <c r="FA61" s="1174">
        <f t="shared" si="177"/>
        <v>5986885.0966618434</v>
      </c>
      <c r="FC61" s="1154">
        <f t="shared" si="178"/>
        <v>2359424.3824766343</v>
      </c>
      <c r="FD61" s="1154">
        <f t="shared" si="179"/>
        <v>0</v>
      </c>
      <c r="FE61" s="1154">
        <f t="shared" si="180"/>
        <v>0</v>
      </c>
      <c r="FF61" s="1154">
        <f t="shared" si="181"/>
        <v>0</v>
      </c>
      <c r="FG61" s="1154">
        <f t="shared" si="182"/>
        <v>0</v>
      </c>
      <c r="FH61" s="1154">
        <f t="shared" si="183"/>
        <v>0</v>
      </c>
      <c r="FI61" s="1154">
        <f t="shared" si="184"/>
        <v>0</v>
      </c>
      <c r="FJ61" s="1154">
        <f t="shared" si="185"/>
        <v>0</v>
      </c>
      <c r="FK61" s="1154">
        <f t="shared" si="186"/>
        <v>0</v>
      </c>
      <c r="FL61" s="1154">
        <f t="shared" si="187"/>
        <v>0</v>
      </c>
      <c r="FM61" s="1154">
        <f t="shared" si="188"/>
        <v>0</v>
      </c>
      <c r="FN61" s="1154">
        <f t="shared" si="189"/>
        <v>0</v>
      </c>
      <c r="FO61" s="1154">
        <f t="shared" si="190"/>
        <v>0</v>
      </c>
      <c r="FP61" s="1154">
        <f t="shared" si="191"/>
        <v>0</v>
      </c>
      <c r="FQ61" s="1154">
        <f t="shared" si="192"/>
        <v>0</v>
      </c>
      <c r="FR61" s="1154">
        <f t="shared" si="193"/>
        <v>1121747.8207019081</v>
      </c>
      <c r="FS61" s="1154">
        <f t="shared" si="194"/>
        <v>0</v>
      </c>
      <c r="FT61" s="1154">
        <f t="shared" si="195"/>
        <v>0</v>
      </c>
      <c r="FU61" s="1154">
        <f t="shared" si="196"/>
        <v>0</v>
      </c>
      <c r="FV61" s="1154">
        <f t="shared" si="197"/>
        <v>0</v>
      </c>
      <c r="FW61" s="1154">
        <f t="shared" si="198"/>
        <v>0</v>
      </c>
      <c r="FX61" s="1154">
        <f t="shared" si="199"/>
        <v>0</v>
      </c>
      <c r="FY61" s="1154">
        <f t="shared" si="200"/>
        <v>0</v>
      </c>
      <c r="FZ61" s="1154">
        <f t="shared" si="201"/>
        <v>2621264.9955996675</v>
      </c>
      <c r="GA61" s="1154">
        <f t="shared" si="202"/>
        <v>0</v>
      </c>
      <c r="GB61" s="1154">
        <f t="shared" si="203"/>
        <v>0</v>
      </c>
      <c r="GC61" s="1154">
        <f t="shared" si="204"/>
        <v>0</v>
      </c>
      <c r="GD61" s="1154">
        <f t="shared" si="205"/>
        <v>0</v>
      </c>
      <c r="GE61" s="1154">
        <f t="shared" si="206"/>
        <v>0</v>
      </c>
      <c r="GF61" s="1154">
        <f t="shared" si="207"/>
        <v>0</v>
      </c>
      <c r="GG61" s="1154">
        <f t="shared" si="208"/>
        <v>0</v>
      </c>
      <c r="GH61" s="1154">
        <f t="shared" si="209"/>
        <v>0</v>
      </c>
      <c r="GI61" s="1154">
        <f t="shared" si="210"/>
        <v>0</v>
      </c>
      <c r="GJ61" s="1154">
        <f t="shared" si="211"/>
        <v>0</v>
      </c>
      <c r="GK61" s="1154">
        <f t="shared" si="212"/>
        <v>0</v>
      </c>
      <c r="GL61" s="1174">
        <f t="shared" si="213"/>
        <v>6102437.1987782102</v>
      </c>
    </row>
    <row r="62" spans="1:194">
      <c r="B62" s="1290" t="str">
        <f t="shared" si="141"/>
        <v>SACDUOSWDLT</v>
      </c>
      <c r="C62" s="1289" t="str">
        <f>Prop2021DUOSTariffs!C28</f>
        <v>West SAC&gt;100MWhpa DemandLarge</v>
      </c>
      <c r="D62" s="1113" t="str">
        <f>Prop2021DUOSTariffs!D28</f>
        <v>West SAC&gt;100MWhpa DemandLarge</v>
      </c>
      <c r="E62" s="1113" t="str">
        <f>Prop2021DUOSTariffs!E28</f>
        <v>SAC</v>
      </c>
      <c r="F62" s="1113" t="str">
        <f>Prop2021DUOSTariffs!F28</f>
        <v>SACL</v>
      </c>
      <c r="G62" s="1113" t="str">
        <f>Prop2021DUOSTariffs!G28</f>
        <v>West</v>
      </c>
      <c r="H62" s="1113" t="str">
        <f>IF(Prop2021DUOSTariffs!H28="","",Prop2021DUOSTariffs!H28)</f>
        <v>WDLT</v>
      </c>
      <c r="I62" s="1114" t="s">
        <v>798</v>
      </c>
      <c r="J62" s="1114" t="s">
        <v>934</v>
      </c>
      <c r="K62" s="1270"/>
      <c r="L62" s="1233">
        <v>15.441160980000001</v>
      </c>
      <c r="M62" s="1007"/>
      <c r="N62" s="1007"/>
      <c r="O62" s="1007"/>
      <c r="P62" s="1007"/>
      <c r="Q62" s="1007"/>
      <c r="R62" s="1007"/>
      <c r="S62" s="1007"/>
      <c r="T62" s="1007"/>
      <c r="U62" s="1007"/>
      <c r="V62" s="1007"/>
      <c r="W62" s="1784">
        <v>0.83331423000000004</v>
      </c>
      <c r="X62" s="1007"/>
      <c r="Y62" s="1007"/>
      <c r="Z62" s="1007"/>
      <c r="AA62" s="1233">
        <v>0.92590470000000002</v>
      </c>
      <c r="AB62" s="1007"/>
      <c r="AC62" s="1007"/>
      <c r="AD62" s="1007"/>
      <c r="AE62" s="1007"/>
      <c r="AF62" s="1007"/>
      <c r="AG62" s="1007"/>
      <c r="AH62" s="1007"/>
      <c r="AI62" s="1224">
        <v>1.2756140745273986E-2</v>
      </c>
      <c r="AJ62" s="1005"/>
      <c r="AK62" s="1005"/>
      <c r="AL62" s="1005"/>
      <c r="AM62" s="1005"/>
      <c r="AN62" s="1005"/>
      <c r="AO62" s="1005"/>
      <c r="AP62" s="1005"/>
      <c r="AQ62" s="1005"/>
      <c r="AR62" s="1005"/>
      <c r="AS62" s="1005"/>
      <c r="AT62" s="1005"/>
      <c r="AU62" s="1006"/>
      <c r="AV62" s="1270"/>
      <c r="AW62" s="1480">
        <v>14.567133</v>
      </c>
      <c r="AX62" s="1006"/>
      <c r="AY62" s="1006"/>
      <c r="AZ62" s="1006"/>
      <c r="BA62" s="1006"/>
      <c r="BB62" s="1006"/>
      <c r="BC62" s="1006"/>
      <c r="BD62" s="1006"/>
      <c r="BE62" s="1006"/>
      <c r="BF62" s="1006"/>
      <c r="BG62" s="1006"/>
      <c r="BH62" s="1608">
        <v>0.78500000000000003</v>
      </c>
      <c r="BI62" s="1006"/>
      <c r="BJ62" s="1006"/>
      <c r="BK62" s="1006"/>
      <c r="BL62" s="1480">
        <v>0.87349500000000002</v>
      </c>
      <c r="BM62" s="1006"/>
      <c r="BN62" s="1006"/>
      <c r="BO62" s="1006"/>
      <c r="BP62" s="1006"/>
      <c r="BQ62" s="1006"/>
      <c r="BR62" s="1006"/>
      <c r="BS62" s="1006"/>
      <c r="BT62" s="1480">
        <v>9.9886311700567981E-3</v>
      </c>
      <c r="BU62" s="1006"/>
      <c r="BV62" s="1006"/>
      <c r="BW62" s="1006"/>
      <c r="BX62" s="1006"/>
      <c r="BY62" s="1006"/>
      <c r="BZ62" s="1006"/>
      <c r="CA62" s="1006"/>
      <c r="CB62" s="1006"/>
      <c r="CC62" s="1006"/>
      <c r="CD62" s="1006"/>
      <c r="CE62" s="1006"/>
      <c r="CF62" s="1006"/>
      <c r="CG62" s="1209"/>
      <c r="CH62" s="1236">
        <v>18.070512266574646</v>
      </c>
      <c r="CI62" s="1007"/>
      <c r="CJ62" s="1007"/>
      <c r="CK62" s="1007"/>
      <c r="CL62" s="1007"/>
      <c r="CM62" s="1007"/>
      <c r="CN62" s="1007"/>
      <c r="CO62" s="1007"/>
      <c r="CP62" s="1007"/>
      <c r="CQ62" s="1007"/>
      <c r="CR62" s="1007"/>
      <c r="CS62" s="1007"/>
      <c r="CT62" s="1007"/>
      <c r="CU62" s="1007"/>
      <c r="CV62" s="1007"/>
      <c r="CW62" s="1236">
        <v>38792.723239483617</v>
      </c>
      <c r="CX62" s="1007"/>
      <c r="CY62" s="1007"/>
      <c r="CZ62" s="1007"/>
      <c r="DA62" s="1007"/>
      <c r="DB62" s="1007"/>
      <c r="DC62" s="1007"/>
      <c r="DD62" s="1007"/>
      <c r="DE62" s="1236">
        <v>23223583.990973938</v>
      </c>
      <c r="DF62" s="1007"/>
      <c r="DG62" s="1007"/>
      <c r="DH62" s="1007"/>
      <c r="DI62" s="1006"/>
      <c r="DJ62" s="1006"/>
      <c r="DK62" s="1007"/>
      <c r="DL62" s="1007"/>
      <c r="DM62" s="1007"/>
      <c r="DN62" s="1007"/>
      <c r="DO62" s="1112"/>
      <c r="DP62" s="1112"/>
      <c r="DQ62" s="1270"/>
      <c r="DR62" s="1154">
        <f t="shared" si="142"/>
        <v>101845.83644822398</v>
      </c>
      <c r="DS62" s="1154">
        <f t="shared" si="143"/>
        <v>0</v>
      </c>
      <c r="DT62" s="1154">
        <f t="shared" si="144"/>
        <v>0</v>
      </c>
      <c r="DU62" s="1154">
        <f t="shared" si="145"/>
        <v>0</v>
      </c>
      <c r="DV62" s="1154">
        <f t="shared" si="146"/>
        <v>0</v>
      </c>
      <c r="DW62" s="1154">
        <f t="shared" si="147"/>
        <v>0</v>
      </c>
      <c r="DX62" s="1154">
        <f t="shared" si="148"/>
        <v>0</v>
      </c>
      <c r="DY62" s="1154">
        <f t="shared" si="149"/>
        <v>0</v>
      </c>
      <c r="DZ62" s="1154">
        <f t="shared" si="150"/>
        <v>0</v>
      </c>
      <c r="EA62" s="1154">
        <f t="shared" si="151"/>
        <v>0</v>
      </c>
      <c r="EB62" s="1154">
        <f t="shared" si="152"/>
        <v>0</v>
      </c>
      <c r="EC62" s="1154">
        <f t="shared" si="153"/>
        <v>0</v>
      </c>
      <c r="ED62" s="1154">
        <f t="shared" si="154"/>
        <v>0</v>
      </c>
      <c r="EE62" s="1154">
        <f t="shared" si="155"/>
        <v>0</v>
      </c>
      <c r="EF62" s="1154">
        <f t="shared" si="156"/>
        <v>0</v>
      </c>
      <c r="EG62" s="1154">
        <f t="shared" si="157"/>
        <v>35918.36477323711</v>
      </c>
      <c r="EH62" s="1154">
        <f t="shared" si="158"/>
        <v>0</v>
      </c>
      <c r="EI62" s="1154">
        <f t="shared" si="159"/>
        <v>0</v>
      </c>
      <c r="EJ62" s="1154">
        <f t="shared" si="160"/>
        <v>0</v>
      </c>
      <c r="EK62" s="1154">
        <f t="shared" si="161"/>
        <v>0</v>
      </c>
      <c r="EL62" s="1154">
        <f t="shared" si="162"/>
        <v>0</v>
      </c>
      <c r="EM62" s="1154">
        <f t="shared" si="163"/>
        <v>0</v>
      </c>
      <c r="EN62" s="1154">
        <f t="shared" si="164"/>
        <v>0</v>
      </c>
      <c r="EO62" s="1154">
        <f t="shared" si="165"/>
        <v>296243.30599855533</v>
      </c>
      <c r="EP62" s="1154">
        <f t="shared" si="166"/>
        <v>0</v>
      </c>
      <c r="EQ62" s="1154">
        <f t="shared" si="167"/>
        <v>0</v>
      </c>
      <c r="ER62" s="1154">
        <f t="shared" si="168"/>
        <v>0</v>
      </c>
      <c r="ES62" s="1154">
        <f t="shared" si="169"/>
        <v>0</v>
      </c>
      <c r="ET62" s="1154">
        <f t="shared" si="170"/>
        <v>0</v>
      </c>
      <c r="EU62" s="1154">
        <f t="shared" si="171"/>
        <v>0</v>
      </c>
      <c r="EV62" s="1154">
        <f t="shared" si="172"/>
        <v>0</v>
      </c>
      <c r="EW62" s="1154">
        <f t="shared" si="173"/>
        <v>0</v>
      </c>
      <c r="EX62" s="1154">
        <f t="shared" si="174"/>
        <v>0</v>
      </c>
      <c r="EY62" s="1154">
        <f t="shared" si="175"/>
        <v>0</v>
      </c>
      <c r="EZ62" s="1154">
        <f t="shared" si="176"/>
        <v>0</v>
      </c>
      <c r="FA62" s="1174">
        <f t="shared" si="177"/>
        <v>434007.50722001644</v>
      </c>
      <c r="FC62" s="1154">
        <f t="shared" si="178"/>
        <v>96080.977781343376</v>
      </c>
      <c r="FD62" s="1154">
        <f t="shared" si="179"/>
        <v>0</v>
      </c>
      <c r="FE62" s="1154">
        <f t="shared" si="180"/>
        <v>0</v>
      </c>
      <c r="FF62" s="1154">
        <f t="shared" si="181"/>
        <v>0</v>
      </c>
      <c r="FG62" s="1154">
        <f t="shared" si="182"/>
        <v>0</v>
      </c>
      <c r="FH62" s="1154">
        <f t="shared" si="183"/>
        <v>0</v>
      </c>
      <c r="FI62" s="1154">
        <f t="shared" si="184"/>
        <v>0</v>
      </c>
      <c r="FJ62" s="1154">
        <f t="shared" si="185"/>
        <v>0</v>
      </c>
      <c r="FK62" s="1154">
        <f t="shared" si="186"/>
        <v>0</v>
      </c>
      <c r="FL62" s="1154">
        <f t="shared" si="187"/>
        <v>0</v>
      </c>
      <c r="FM62" s="1154">
        <f t="shared" si="188"/>
        <v>0</v>
      </c>
      <c r="FN62" s="1154">
        <f t="shared" si="189"/>
        <v>0</v>
      </c>
      <c r="FO62" s="1154">
        <f t="shared" si="190"/>
        <v>0</v>
      </c>
      <c r="FP62" s="1154">
        <f t="shared" si="191"/>
        <v>0</v>
      </c>
      <c r="FQ62" s="1154">
        <f t="shared" si="192"/>
        <v>0</v>
      </c>
      <c r="FR62" s="1154">
        <f t="shared" si="193"/>
        <v>33885.249786072745</v>
      </c>
      <c r="FS62" s="1154">
        <f t="shared" si="194"/>
        <v>0</v>
      </c>
      <c r="FT62" s="1154">
        <f t="shared" si="195"/>
        <v>0</v>
      </c>
      <c r="FU62" s="1154">
        <f t="shared" si="196"/>
        <v>0</v>
      </c>
      <c r="FV62" s="1154">
        <f t="shared" si="197"/>
        <v>0</v>
      </c>
      <c r="FW62" s="1154">
        <f t="shared" si="198"/>
        <v>0</v>
      </c>
      <c r="FX62" s="1154">
        <f t="shared" si="199"/>
        <v>0</v>
      </c>
      <c r="FY62" s="1154">
        <f t="shared" si="200"/>
        <v>0</v>
      </c>
      <c r="FZ62" s="1154">
        <f t="shared" si="201"/>
        <v>231971.81493267434</v>
      </c>
      <c r="GA62" s="1154">
        <f t="shared" si="202"/>
        <v>0</v>
      </c>
      <c r="GB62" s="1154">
        <f t="shared" si="203"/>
        <v>0</v>
      </c>
      <c r="GC62" s="1154">
        <f t="shared" si="204"/>
        <v>0</v>
      </c>
      <c r="GD62" s="1154">
        <f t="shared" si="205"/>
        <v>0</v>
      </c>
      <c r="GE62" s="1154">
        <f t="shared" si="206"/>
        <v>0</v>
      </c>
      <c r="GF62" s="1154">
        <f t="shared" si="207"/>
        <v>0</v>
      </c>
      <c r="GG62" s="1154">
        <f t="shared" si="208"/>
        <v>0</v>
      </c>
      <c r="GH62" s="1154">
        <f t="shared" si="209"/>
        <v>0</v>
      </c>
      <c r="GI62" s="1154">
        <f t="shared" si="210"/>
        <v>0</v>
      </c>
      <c r="GJ62" s="1154">
        <f t="shared" si="211"/>
        <v>0</v>
      </c>
      <c r="GK62" s="1154">
        <f t="shared" si="212"/>
        <v>0</v>
      </c>
      <c r="GL62" s="1174">
        <f t="shared" si="213"/>
        <v>361938.04250009044</v>
      </c>
    </row>
    <row r="63" spans="1:194">
      <c r="B63" s="1290" t="str">
        <f t="shared" si="141"/>
        <v>SACDUOSWDLT</v>
      </c>
      <c r="C63" s="1289" t="str">
        <f>C62</f>
        <v>West SAC&gt;100MWhpa DemandLarge</v>
      </c>
      <c r="D63" s="1113" t="str">
        <f t="shared" ref="D63:H63" si="226">D62</f>
        <v>West SAC&gt;100MWhpa DemandLarge</v>
      </c>
      <c r="E63" s="1113" t="str">
        <f t="shared" si="226"/>
        <v>SAC</v>
      </c>
      <c r="F63" s="1113" t="str">
        <f t="shared" si="226"/>
        <v>SACL</v>
      </c>
      <c r="G63" s="1113" t="str">
        <f t="shared" ref="G63" si="227">G62</f>
        <v>West</v>
      </c>
      <c r="H63" s="1113" t="str">
        <f t="shared" si="226"/>
        <v>WDLT</v>
      </c>
      <c r="I63" s="1114" t="s">
        <v>752</v>
      </c>
      <c r="J63" s="1114" t="s">
        <v>934</v>
      </c>
      <c r="K63" s="1270"/>
      <c r="L63" s="1233">
        <v>29.310968609999996</v>
      </c>
      <c r="M63" s="1007"/>
      <c r="N63" s="1007"/>
      <c r="O63" s="1007"/>
      <c r="P63" s="1007"/>
      <c r="Q63" s="1007"/>
      <c r="R63" s="1007"/>
      <c r="S63" s="1007"/>
      <c r="T63" s="1007"/>
      <c r="U63" s="1007"/>
      <c r="V63" s="1007"/>
      <c r="W63" s="1784">
        <v>1.761170229</v>
      </c>
      <c r="X63" s="1007"/>
      <c r="Y63" s="1007"/>
      <c r="Z63" s="1007"/>
      <c r="AA63" s="1233">
        <v>1.95685581</v>
      </c>
      <c r="AB63" s="1007"/>
      <c r="AC63" s="1007"/>
      <c r="AD63" s="1007"/>
      <c r="AE63" s="1007"/>
      <c r="AF63" s="1007"/>
      <c r="AG63" s="1007"/>
      <c r="AH63" s="1007"/>
      <c r="AI63" s="1224">
        <v>1.3580961239131205E-2</v>
      </c>
      <c r="AJ63" s="1005"/>
      <c r="AK63" s="1005"/>
      <c r="AL63" s="1005"/>
      <c r="AM63" s="1005"/>
      <c r="AN63" s="1005"/>
      <c r="AO63" s="1005"/>
      <c r="AP63" s="1005"/>
      <c r="AQ63" s="1005"/>
      <c r="AR63" s="1005"/>
      <c r="AS63" s="1005"/>
      <c r="AT63" s="1005"/>
      <c r="AU63" s="1006"/>
      <c r="AV63" s="1270"/>
      <c r="AW63" s="1480">
        <v>29.020760999999997</v>
      </c>
      <c r="AX63" s="1006"/>
      <c r="AY63" s="1006"/>
      <c r="AZ63" s="1006"/>
      <c r="BA63" s="1006"/>
      <c r="BB63" s="1006"/>
      <c r="BC63" s="1006"/>
      <c r="BD63" s="1006"/>
      <c r="BE63" s="1006"/>
      <c r="BF63" s="1006"/>
      <c r="BG63" s="1006"/>
      <c r="BH63" s="1608">
        <v>1.7430000000000001</v>
      </c>
      <c r="BI63" s="1006"/>
      <c r="BJ63" s="1006"/>
      <c r="BK63" s="1006"/>
      <c r="BL63" s="1480">
        <v>1.937481</v>
      </c>
      <c r="BM63" s="1006"/>
      <c r="BN63" s="1006"/>
      <c r="BO63" s="1006"/>
      <c r="BP63" s="1006"/>
      <c r="BQ63" s="1006"/>
      <c r="BR63" s="1006"/>
      <c r="BS63" s="1006"/>
      <c r="BT63" s="1480">
        <v>1.3226767178995704E-2</v>
      </c>
      <c r="BU63" s="1006"/>
      <c r="BV63" s="1006"/>
      <c r="BW63" s="1006"/>
      <c r="BX63" s="1006"/>
      <c r="BY63" s="1006"/>
      <c r="BZ63" s="1006"/>
      <c r="CA63" s="1006"/>
      <c r="CB63" s="1006"/>
      <c r="CC63" s="1006"/>
      <c r="CD63" s="1006"/>
      <c r="CE63" s="1006"/>
      <c r="CF63" s="1006"/>
      <c r="CG63" s="1209"/>
      <c r="CH63" s="1236">
        <v>4.91824794855318</v>
      </c>
      <c r="CI63" s="1007"/>
      <c r="CJ63" s="1007"/>
      <c r="CK63" s="1007"/>
      <c r="CL63" s="1007"/>
      <c r="CM63" s="1007"/>
      <c r="CN63" s="1007"/>
      <c r="CO63" s="1007"/>
      <c r="CP63" s="1007"/>
      <c r="CQ63" s="1007"/>
      <c r="CR63" s="1007"/>
      <c r="CS63" s="1007"/>
      <c r="CT63" s="1007"/>
      <c r="CU63" s="1007"/>
      <c r="CV63" s="1007"/>
      <c r="CW63" s="1236">
        <v>10558.208238750014</v>
      </c>
      <c r="CX63" s="1007"/>
      <c r="CY63" s="1007"/>
      <c r="CZ63" s="1007"/>
      <c r="DA63" s="1007"/>
      <c r="DB63" s="1007"/>
      <c r="DC63" s="1007"/>
      <c r="DD63" s="1007"/>
      <c r="DE63" s="1236">
        <v>6297283.0910923844</v>
      </c>
      <c r="DF63" s="1007"/>
      <c r="DG63" s="1007"/>
      <c r="DH63" s="1007"/>
      <c r="DI63" s="1006"/>
      <c r="DJ63" s="1006"/>
      <c r="DK63" s="1007"/>
      <c r="DL63" s="1007"/>
      <c r="DM63" s="1007"/>
      <c r="DN63" s="1007"/>
      <c r="DO63" s="1112"/>
      <c r="DP63" s="1112"/>
      <c r="DQ63" s="1270"/>
      <c r="DR63" s="1154">
        <f t="shared" si="142"/>
        <v>52617.893101227281</v>
      </c>
      <c r="DS63" s="1154">
        <f t="shared" si="143"/>
        <v>0</v>
      </c>
      <c r="DT63" s="1154">
        <f t="shared" si="144"/>
        <v>0</v>
      </c>
      <c r="DU63" s="1154">
        <f t="shared" si="145"/>
        <v>0</v>
      </c>
      <c r="DV63" s="1154">
        <f t="shared" si="146"/>
        <v>0</v>
      </c>
      <c r="DW63" s="1154">
        <f t="shared" si="147"/>
        <v>0</v>
      </c>
      <c r="DX63" s="1154">
        <f t="shared" si="148"/>
        <v>0</v>
      </c>
      <c r="DY63" s="1154">
        <f t="shared" si="149"/>
        <v>0</v>
      </c>
      <c r="DZ63" s="1154">
        <f t="shared" si="150"/>
        <v>0</v>
      </c>
      <c r="EA63" s="1154">
        <f t="shared" si="151"/>
        <v>0</v>
      </c>
      <c r="EB63" s="1154">
        <f t="shared" si="152"/>
        <v>0</v>
      </c>
      <c r="EC63" s="1154">
        <f t="shared" si="153"/>
        <v>0</v>
      </c>
      <c r="ED63" s="1154">
        <f t="shared" si="154"/>
        <v>0</v>
      </c>
      <c r="EE63" s="1154">
        <f t="shared" si="155"/>
        <v>0</v>
      </c>
      <c r="EF63" s="1154">
        <f t="shared" si="156"/>
        <v>0</v>
      </c>
      <c r="EG63" s="1154">
        <f t="shared" si="157"/>
        <v>20660.891135187831</v>
      </c>
      <c r="EH63" s="1154">
        <f t="shared" si="158"/>
        <v>0</v>
      </c>
      <c r="EI63" s="1154">
        <f t="shared" si="159"/>
        <v>0</v>
      </c>
      <c r="EJ63" s="1154">
        <f t="shared" si="160"/>
        <v>0</v>
      </c>
      <c r="EK63" s="1154">
        <f t="shared" si="161"/>
        <v>0</v>
      </c>
      <c r="EL63" s="1154">
        <f t="shared" si="162"/>
        <v>0</v>
      </c>
      <c r="EM63" s="1154">
        <f t="shared" si="163"/>
        <v>0</v>
      </c>
      <c r="EN63" s="1154">
        <f t="shared" si="164"/>
        <v>0</v>
      </c>
      <c r="EO63" s="1154">
        <f t="shared" si="165"/>
        <v>85523.157571962016</v>
      </c>
      <c r="EP63" s="1154">
        <f t="shared" si="166"/>
        <v>0</v>
      </c>
      <c r="EQ63" s="1154">
        <f t="shared" si="167"/>
        <v>0</v>
      </c>
      <c r="ER63" s="1154">
        <f t="shared" si="168"/>
        <v>0</v>
      </c>
      <c r="ES63" s="1154">
        <f t="shared" si="169"/>
        <v>0</v>
      </c>
      <c r="ET63" s="1154">
        <f t="shared" si="170"/>
        <v>0</v>
      </c>
      <c r="EU63" s="1154">
        <f t="shared" si="171"/>
        <v>0</v>
      </c>
      <c r="EV63" s="1154">
        <f t="shared" si="172"/>
        <v>0</v>
      </c>
      <c r="EW63" s="1154">
        <f t="shared" si="173"/>
        <v>0</v>
      </c>
      <c r="EX63" s="1154">
        <f t="shared" si="174"/>
        <v>0</v>
      </c>
      <c r="EY63" s="1154">
        <f t="shared" si="175"/>
        <v>0</v>
      </c>
      <c r="EZ63" s="1154">
        <f t="shared" si="176"/>
        <v>0</v>
      </c>
      <c r="FA63" s="1174">
        <f t="shared" si="177"/>
        <v>158801.94180837713</v>
      </c>
      <c r="FC63" s="1154">
        <f t="shared" si="178"/>
        <v>52096.923862601267</v>
      </c>
      <c r="FD63" s="1154">
        <f t="shared" si="179"/>
        <v>0</v>
      </c>
      <c r="FE63" s="1154">
        <f t="shared" si="180"/>
        <v>0</v>
      </c>
      <c r="FF63" s="1154">
        <f t="shared" si="181"/>
        <v>0</v>
      </c>
      <c r="FG63" s="1154">
        <f t="shared" si="182"/>
        <v>0</v>
      </c>
      <c r="FH63" s="1154">
        <f t="shared" si="183"/>
        <v>0</v>
      </c>
      <c r="FI63" s="1154">
        <f t="shared" si="184"/>
        <v>0</v>
      </c>
      <c r="FJ63" s="1154">
        <f t="shared" si="185"/>
        <v>0</v>
      </c>
      <c r="FK63" s="1154">
        <f t="shared" si="186"/>
        <v>0</v>
      </c>
      <c r="FL63" s="1154">
        <f t="shared" si="187"/>
        <v>0</v>
      </c>
      <c r="FM63" s="1154">
        <f t="shared" si="188"/>
        <v>0</v>
      </c>
      <c r="FN63" s="1154">
        <f t="shared" si="189"/>
        <v>0</v>
      </c>
      <c r="FO63" s="1154">
        <f t="shared" si="190"/>
        <v>0</v>
      </c>
      <c r="FP63" s="1154">
        <f t="shared" si="191"/>
        <v>0</v>
      </c>
      <c r="FQ63" s="1154">
        <f t="shared" si="192"/>
        <v>0</v>
      </c>
      <c r="FR63" s="1154">
        <f t="shared" si="193"/>
        <v>20456.327856621618</v>
      </c>
      <c r="FS63" s="1154">
        <f t="shared" si="194"/>
        <v>0</v>
      </c>
      <c r="FT63" s="1154">
        <f t="shared" si="195"/>
        <v>0</v>
      </c>
      <c r="FU63" s="1154">
        <f t="shared" si="196"/>
        <v>0</v>
      </c>
      <c r="FV63" s="1154">
        <f t="shared" si="197"/>
        <v>0</v>
      </c>
      <c r="FW63" s="1154">
        <f t="shared" si="198"/>
        <v>0</v>
      </c>
      <c r="FX63" s="1154">
        <f t="shared" si="199"/>
        <v>0</v>
      </c>
      <c r="FY63" s="1154">
        <f t="shared" si="200"/>
        <v>0</v>
      </c>
      <c r="FZ63" s="1154">
        <f t="shared" si="201"/>
        <v>83292.697306105358</v>
      </c>
      <c r="GA63" s="1154">
        <f t="shared" si="202"/>
        <v>0</v>
      </c>
      <c r="GB63" s="1154">
        <f t="shared" si="203"/>
        <v>0</v>
      </c>
      <c r="GC63" s="1154">
        <f t="shared" si="204"/>
        <v>0</v>
      </c>
      <c r="GD63" s="1154">
        <f t="shared" si="205"/>
        <v>0</v>
      </c>
      <c r="GE63" s="1154">
        <f t="shared" si="206"/>
        <v>0</v>
      </c>
      <c r="GF63" s="1154">
        <f t="shared" si="207"/>
        <v>0</v>
      </c>
      <c r="GG63" s="1154">
        <f t="shared" si="208"/>
        <v>0</v>
      </c>
      <c r="GH63" s="1154">
        <f t="shared" si="209"/>
        <v>0</v>
      </c>
      <c r="GI63" s="1154">
        <f t="shared" si="210"/>
        <v>0</v>
      </c>
      <c r="GJ63" s="1154">
        <f t="shared" si="211"/>
        <v>0</v>
      </c>
      <c r="GK63" s="1154">
        <f t="shared" si="212"/>
        <v>0</v>
      </c>
      <c r="GL63" s="1174">
        <f t="shared" si="213"/>
        <v>155845.94902532824</v>
      </c>
    </row>
    <row r="64" spans="1:194">
      <c r="B64" s="1290" t="str">
        <f t="shared" si="141"/>
        <v>SACDUOSWDLT</v>
      </c>
      <c r="C64" s="1289" t="str">
        <f>C62</f>
        <v>West SAC&gt;100MWhpa DemandLarge</v>
      </c>
      <c r="D64" s="1113" t="str">
        <f t="shared" ref="D64:H64" si="228">D62</f>
        <v>West SAC&gt;100MWhpa DemandLarge</v>
      </c>
      <c r="E64" s="1113" t="str">
        <f t="shared" si="228"/>
        <v>SAC</v>
      </c>
      <c r="F64" s="1113" t="str">
        <f t="shared" si="228"/>
        <v>SACL</v>
      </c>
      <c r="G64" s="1113" t="str">
        <f t="shared" ref="G64" si="229">G62</f>
        <v>West</v>
      </c>
      <c r="H64" s="1113" t="str">
        <f t="shared" si="228"/>
        <v>WDLT</v>
      </c>
      <c r="I64" s="1114" t="s">
        <v>759</v>
      </c>
      <c r="J64" s="1114" t="s">
        <v>934</v>
      </c>
      <c r="K64" s="1270"/>
      <c r="L64" s="1233">
        <v>53.504283000000001</v>
      </c>
      <c r="M64" s="1007"/>
      <c r="N64" s="1007"/>
      <c r="O64" s="1007"/>
      <c r="P64" s="1007"/>
      <c r="Q64" s="1007"/>
      <c r="R64" s="1007"/>
      <c r="S64" s="1007"/>
      <c r="T64" s="1007"/>
      <c r="U64" s="1007"/>
      <c r="V64" s="1007"/>
      <c r="W64" s="1784">
        <v>3.4261731000000002</v>
      </c>
      <c r="X64" s="1007"/>
      <c r="Y64" s="1007"/>
      <c r="Z64" s="1007"/>
      <c r="AA64" s="1233">
        <v>3.8068590000000002</v>
      </c>
      <c r="AB64" s="1007"/>
      <c r="AC64" s="1007"/>
      <c r="AD64" s="1007"/>
      <c r="AE64" s="1007"/>
      <c r="AF64" s="1007"/>
      <c r="AG64" s="1007"/>
      <c r="AH64" s="1007"/>
      <c r="AI64" s="1224">
        <v>1.4121324100704864E-2</v>
      </c>
      <c r="AJ64" s="1005"/>
      <c r="AK64" s="1005"/>
      <c r="AL64" s="1005"/>
      <c r="AM64" s="1005"/>
      <c r="AN64" s="1005"/>
      <c r="AO64" s="1005"/>
      <c r="AP64" s="1005"/>
      <c r="AQ64" s="1005"/>
      <c r="AR64" s="1005"/>
      <c r="AS64" s="1005"/>
      <c r="AT64" s="1005"/>
      <c r="AU64" s="1006"/>
      <c r="AV64" s="1270"/>
      <c r="AW64" s="1480">
        <v>53.504283000000001</v>
      </c>
      <c r="AX64" s="1006"/>
      <c r="AY64" s="1006"/>
      <c r="AZ64" s="1006"/>
      <c r="BA64" s="1006"/>
      <c r="BB64" s="1006"/>
      <c r="BC64" s="1006"/>
      <c r="BD64" s="1006"/>
      <c r="BE64" s="1006"/>
      <c r="BF64" s="1006"/>
      <c r="BG64" s="1006"/>
      <c r="BH64" s="1608">
        <v>3.4260000000000002</v>
      </c>
      <c r="BI64" s="1006"/>
      <c r="BJ64" s="1006"/>
      <c r="BK64" s="1006"/>
      <c r="BL64" s="1480">
        <v>3.8068590000000002</v>
      </c>
      <c r="BM64" s="1006"/>
      <c r="BN64" s="1006"/>
      <c r="BO64" s="1006"/>
      <c r="BP64" s="1006"/>
      <c r="BQ64" s="1006"/>
      <c r="BR64" s="1006"/>
      <c r="BS64" s="1006"/>
      <c r="BT64" s="1480">
        <v>1.4772535454067301E-2</v>
      </c>
      <c r="BU64" s="1006"/>
      <c r="BV64" s="1006"/>
      <c r="BW64" s="1006"/>
      <c r="BX64" s="1006"/>
      <c r="BY64" s="1006"/>
      <c r="BZ64" s="1006"/>
      <c r="CA64" s="1006"/>
      <c r="CB64" s="1006"/>
      <c r="CC64" s="1006"/>
      <c r="CD64" s="1006"/>
      <c r="CE64" s="1006"/>
      <c r="CF64" s="1006"/>
      <c r="CG64" s="1209"/>
      <c r="CH64" s="1236">
        <v>1.0112397848721768</v>
      </c>
      <c r="CI64" s="1007"/>
      <c r="CJ64" s="1007"/>
      <c r="CK64" s="1007"/>
      <c r="CL64" s="1007"/>
      <c r="CM64" s="1007"/>
      <c r="CN64" s="1007"/>
      <c r="CO64" s="1007"/>
      <c r="CP64" s="1007"/>
      <c r="CQ64" s="1007"/>
      <c r="CR64" s="1007"/>
      <c r="CS64" s="1007"/>
      <c r="CT64" s="1007"/>
      <c r="CU64" s="1007"/>
      <c r="CV64" s="1007"/>
      <c r="CW64" s="1236">
        <v>2170.870671766369</v>
      </c>
      <c r="CX64" s="1007"/>
      <c r="CY64" s="1007"/>
      <c r="CZ64" s="1007"/>
      <c r="DA64" s="1007"/>
      <c r="DB64" s="1007"/>
      <c r="DC64" s="1007"/>
      <c r="DD64" s="1007"/>
      <c r="DE64" s="1236">
        <v>1294782.8708369159</v>
      </c>
      <c r="DF64" s="1007"/>
      <c r="DG64" s="1007"/>
      <c r="DH64" s="1007"/>
      <c r="DI64" s="1006"/>
      <c r="DJ64" s="1006"/>
      <c r="DK64" s="1007"/>
      <c r="DL64" s="1007"/>
      <c r="DM64" s="1007"/>
      <c r="DN64" s="1007"/>
      <c r="DO64" s="1112"/>
      <c r="DP64" s="1112"/>
      <c r="DQ64" s="1270"/>
      <c r="DR64" s="1154">
        <f t="shared" si="142"/>
        <v>19748.565765190924</v>
      </c>
      <c r="DS64" s="1154">
        <f t="shared" si="143"/>
        <v>0</v>
      </c>
      <c r="DT64" s="1154">
        <f t="shared" si="144"/>
        <v>0</v>
      </c>
      <c r="DU64" s="1154">
        <f t="shared" si="145"/>
        <v>0</v>
      </c>
      <c r="DV64" s="1154">
        <f t="shared" si="146"/>
        <v>0</v>
      </c>
      <c r="DW64" s="1154">
        <f t="shared" si="147"/>
        <v>0</v>
      </c>
      <c r="DX64" s="1154">
        <f t="shared" si="148"/>
        <v>0</v>
      </c>
      <c r="DY64" s="1154">
        <f t="shared" si="149"/>
        <v>0</v>
      </c>
      <c r="DZ64" s="1154">
        <f t="shared" si="150"/>
        <v>0</v>
      </c>
      <c r="EA64" s="1154">
        <f t="shared" si="151"/>
        <v>0</v>
      </c>
      <c r="EB64" s="1154">
        <f t="shared" si="152"/>
        <v>0</v>
      </c>
      <c r="EC64" s="1154">
        <f t="shared" si="153"/>
        <v>0</v>
      </c>
      <c r="ED64" s="1154">
        <f t="shared" si="154"/>
        <v>0</v>
      </c>
      <c r="EE64" s="1154">
        <f t="shared" si="155"/>
        <v>0</v>
      </c>
      <c r="EF64" s="1154">
        <f t="shared" si="156"/>
        <v>0</v>
      </c>
      <c r="EG64" s="1154">
        <f t="shared" si="157"/>
        <v>8264.198554649849</v>
      </c>
      <c r="EH64" s="1154">
        <f t="shared" si="158"/>
        <v>0</v>
      </c>
      <c r="EI64" s="1154">
        <f t="shared" si="159"/>
        <v>0</v>
      </c>
      <c r="EJ64" s="1154">
        <f t="shared" si="160"/>
        <v>0</v>
      </c>
      <c r="EK64" s="1154">
        <f t="shared" si="161"/>
        <v>0</v>
      </c>
      <c r="EL64" s="1154">
        <f t="shared" si="162"/>
        <v>0</v>
      </c>
      <c r="EM64" s="1154">
        <f t="shared" si="163"/>
        <v>0</v>
      </c>
      <c r="EN64" s="1154">
        <f t="shared" si="164"/>
        <v>0</v>
      </c>
      <c r="EO64" s="1154">
        <f t="shared" si="165"/>
        <v>18284.048559129173</v>
      </c>
      <c r="EP64" s="1154">
        <f t="shared" si="166"/>
        <v>0</v>
      </c>
      <c r="EQ64" s="1154">
        <f t="shared" si="167"/>
        <v>0</v>
      </c>
      <c r="ER64" s="1154">
        <f t="shared" si="168"/>
        <v>0</v>
      </c>
      <c r="ES64" s="1154">
        <f t="shared" si="169"/>
        <v>0</v>
      </c>
      <c r="ET64" s="1154">
        <f t="shared" si="170"/>
        <v>0</v>
      </c>
      <c r="EU64" s="1154">
        <f t="shared" si="171"/>
        <v>0</v>
      </c>
      <c r="EV64" s="1154">
        <f t="shared" si="172"/>
        <v>0</v>
      </c>
      <c r="EW64" s="1154">
        <f t="shared" si="173"/>
        <v>0</v>
      </c>
      <c r="EX64" s="1154">
        <f t="shared" si="174"/>
        <v>0</v>
      </c>
      <c r="EY64" s="1154">
        <f t="shared" si="175"/>
        <v>0</v>
      </c>
      <c r="EZ64" s="1154">
        <f t="shared" si="176"/>
        <v>0</v>
      </c>
      <c r="FA64" s="1174">
        <f t="shared" si="177"/>
        <v>46296.812878969948</v>
      </c>
      <c r="FC64" s="1154">
        <f t="shared" si="178"/>
        <v>19748.565765190924</v>
      </c>
      <c r="FD64" s="1154">
        <f t="shared" si="179"/>
        <v>0</v>
      </c>
      <c r="FE64" s="1154">
        <f t="shared" si="180"/>
        <v>0</v>
      </c>
      <c r="FF64" s="1154">
        <f t="shared" si="181"/>
        <v>0</v>
      </c>
      <c r="FG64" s="1154">
        <f t="shared" si="182"/>
        <v>0</v>
      </c>
      <c r="FH64" s="1154">
        <f t="shared" si="183"/>
        <v>0</v>
      </c>
      <c r="FI64" s="1154">
        <f t="shared" si="184"/>
        <v>0</v>
      </c>
      <c r="FJ64" s="1154">
        <f t="shared" si="185"/>
        <v>0</v>
      </c>
      <c r="FK64" s="1154">
        <f t="shared" si="186"/>
        <v>0</v>
      </c>
      <c r="FL64" s="1154">
        <f t="shared" si="187"/>
        <v>0</v>
      </c>
      <c r="FM64" s="1154">
        <f t="shared" si="188"/>
        <v>0</v>
      </c>
      <c r="FN64" s="1154">
        <f t="shared" si="189"/>
        <v>0</v>
      </c>
      <c r="FO64" s="1154">
        <f t="shared" si="190"/>
        <v>0</v>
      </c>
      <c r="FP64" s="1154">
        <f t="shared" si="191"/>
        <v>0</v>
      </c>
      <c r="FQ64" s="1154">
        <f t="shared" si="192"/>
        <v>0</v>
      </c>
      <c r="FR64" s="1154">
        <f t="shared" si="193"/>
        <v>8264.198554649849</v>
      </c>
      <c r="FS64" s="1154">
        <f t="shared" si="194"/>
        <v>0</v>
      </c>
      <c r="FT64" s="1154">
        <f t="shared" si="195"/>
        <v>0</v>
      </c>
      <c r="FU64" s="1154">
        <f t="shared" si="196"/>
        <v>0</v>
      </c>
      <c r="FV64" s="1154">
        <f t="shared" si="197"/>
        <v>0</v>
      </c>
      <c r="FW64" s="1154">
        <f t="shared" si="198"/>
        <v>0</v>
      </c>
      <c r="FX64" s="1154">
        <f t="shared" si="199"/>
        <v>0</v>
      </c>
      <c r="FY64" s="1154">
        <f t="shared" si="200"/>
        <v>0</v>
      </c>
      <c r="FZ64" s="1154">
        <f t="shared" si="201"/>
        <v>19127.225864757384</v>
      </c>
      <c r="GA64" s="1154">
        <f t="shared" si="202"/>
        <v>0</v>
      </c>
      <c r="GB64" s="1154">
        <f t="shared" si="203"/>
        <v>0</v>
      </c>
      <c r="GC64" s="1154">
        <f t="shared" si="204"/>
        <v>0</v>
      </c>
      <c r="GD64" s="1154">
        <f t="shared" si="205"/>
        <v>0</v>
      </c>
      <c r="GE64" s="1154">
        <f t="shared" si="206"/>
        <v>0</v>
      </c>
      <c r="GF64" s="1154">
        <f t="shared" si="207"/>
        <v>0</v>
      </c>
      <c r="GG64" s="1154">
        <f t="shared" si="208"/>
        <v>0</v>
      </c>
      <c r="GH64" s="1154">
        <f t="shared" si="209"/>
        <v>0</v>
      </c>
      <c r="GI64" s="1154">
        <f t="shared" si="210"/>
        <v>0</v>
      </c>
      <c r="GJ64" s="1154">
        <f t="shared" si="211"/>
        <v>0</v>
      </c>
      <c r="GK64" s="1154">
        <f t="shared" si="212"/>
        <v>0</v>
      </c>
      <c r="GL64" s="1174">
        <f t="shared" si="213"/>
        <v>47139.990184598159</v>
      </c>
    </row>
    <row r="65" spans="2:194">
      <c r="B65" s="1290" t="str">
        <f t="shared" si="141"/>
        <v>SACDUOSWDMT</v>
      </c>
      <c r="C65" s="1289" t="str">
        <f>Prop2021DUOSTariffs!C29</f>
        <v>West SAC&gt;100MWhpa DemandMedium</v>
      </c>
      <c r="D65" s="1113" t="str">
        <f>Prop2021DUOSTariffs!D29</f>
        <v>West SAC&gt;100MWhpa DemandMedium</v>
      </c>
      <c r="E65" s="1113" t="str">
        <f>Prop2021DUOSTariffs!E29</f>
        <v>SAC</v>
      </c>
      <c r="F65" s="1113" t="str">
        <f>Prop2021DUOSTariffs!F29</f>
        <v>SACL</v>
      </c>
      <c r="G65" s="1113" t="str">
        <f>Prop2021DUOSTariffs!G29</f>
        <v>West</v>
      </c>
      <c r="H65" s="1113" t="str">
        <f>IF(Prop2021DUOSTariffs!H29="","",Prop2021DUOSTariffs!H29)</f>
        <v>WDMT</v>
      </c>
      <c r="I65" s="1114" t="s">
        <v>798</v>
      </c>
      <c r="J65" s="1114" t="s">
        <v>934</v>
      </c>
      <c r="K65" s="1270"/>
      <c r="L65" s="1233">
        <v>6.9186528600000008</v>
      </c>
      <c r="M65" s="1007"/>
      <c r="N65" s="1007"/>
      <c r="O65" s="1007"/>
      <c r="P65" s="1007"/>
      <c r="Q65" s="1007"/>
      <c r="R65" s="1007"/>
      <c r="S65" s="1007"/>
      <c r="T65" s="1007"/>
      <c r="U65" s="1007"/>
      <c r="V65" s="1007"/>
      <c r="W65" s="1784">
        <v>0.83331423000000004</v>
      </c>
      <c r="X65" s="1007"/>
      <c r="Y65" s="1007"/>
      <c r="Z65" s="1007"/>
      <c r="AA65" s="1233">
        <v>0.92590470000000002</v>
      </c>
      <c r="AB65" s="1007"/>
      <c r="AC65" s="1007"/>
      <c r="AD65" s="1007"/>
      <c r="AE65" s="1007"/>
      <c r="AF65" s="1007"/>
      <c r="AG65" s="1007"/>
      <c r="AH65" s="1007"/>
      <c r="AI65" s="1224">
        <v>1.2756140745273986E-2</v>
      </c>
      <c r="AJ65" s="1005"/>
      <c r="AK65" s="1005"/>
      <c r="AL65" s="1005"/>
      <c r="AM65" s="1005"/>
      <c r="AN65" s="1005"/>
      <c r="AO65" s="1005"/>
      <c r="AP65" s="1005"/>
      <c r="AQ65" s="1005"/>
      <c r="AR65" s="1005"/>
      <c r="AS65" s="1005"/>
      <c r="AT65" s="1005"/>
      <c r="AU65" s="1006"/>
      <c r="AV65" s="1270"/>
      <c r="AW65" s="1480">
        <v>6.527031</v>
      </c>
      <c r="AX65" s="1006"/>
      <c r="AY65" s="1006"/>
      <c r="AZ65" s="1006"/>
      <c r="BA65" s="1006"/>
      <c r="BB65" s="1006"/>
      <c r="BC65" s="1006"/>
      <c r="BD65" s="1006"/>
      <c r="BE65" s="1006"/>
      <c r="BF65" s="1006"/>
      <c r="BG65" s="1006"/>
      <c r="BH65" s="1608">
        <v>0.78500000000000003</v>
      </c>
      <c r="BI65" s="1006"/>
      <c r="BJ65" s="1006"/>
      <c r="BK65" s="1006"/>
      <c r="BL65" s="1480">
        <v>0.87349500000000002</v>
      </c>
      <c r="BM65" s="1006"/>
      <c r="BN65" s="1006"/>
      <c r="BO65" s="1006"/>
      <c r="BP65" s="1006"/>
      <c r="BQ65" s="1006"/>
      <c r="BR65" s="1006"/>
      <c r="BS65" s="1006"/>
      <c r="BT65" s="1480">
        <v>9.9886311700567981E-3</v>
      </c>
      <c r="BU65" s="1006"/>
      <c r="BV65" s="1006"/>
      <c r="BW65" s="1006"/>
      <c r="BX65" s="1006"/>
      <c r="BY65" s="1006"/>
      <c r="BZ65" s="1006"/>
      <c r="CA65" s="1006"/>
      <c r="CB65" s="1006"/>
      <c r="CC65" s="1006"/>
      <c r="CD65" s="1006"/>
      <c r="CE65" s="1006"/>
      <c r="CF65" s="1006"/>
      <c r="CG65" s="1209"/>
      <c r="CH65" s="1236">
        <v>106.91719757723331</v>
      </c>
      <c r="CI65" s="1007"/>
      <c r="CJ65" s="1007"/>
      <c r="CK65" s="1007"/>
      <c r="CL65" s="1007"/>
      <c r="CM65" s="1007"/>
      <c r="CN65" s="1007"/>
      <c r="CO65" s="1007"/>
      <c r="CP65" s="1007"/>
      <c r="CQ65" s="1007"/>
      <c r="CR65" s="1007"/>
      <c r="CS65" s="1007"/>
      <c r="CT65" s="1007"/>
      <c r="CU65" s="1007"/>
      <c r="CV65" s="1007"/>
      <c r="CW65" s="1236">
        <v>95795.059796523565</v>
      </c>
      <c r="CX65" s="1007"/>
      <c r="CY65" s="1007"/>
      <c r="CZ65" s="1007"/>
      <c r="DA65" s="1007"/>
      <c r="DB65" s="1007"/>
      <c r="DC65" s="1007"/>
      <c r="DD65" s="1007"/>
      <c r="DE65" s="1236">
        <v>49424746.975560091</v>
      </c>
      <c r="DF65" s="1007"/>
      <c r="DG65" s="1007"/>
      <c r="DH65" s="1007"/>
      <c r="DI65" s="1006"/>
      <c r="DJ65" s="1006"/>
      <c r="DK65" s="1007"/>
      <c r="DL65" s="1007"/>
      <c r="DM65" s="1007"/>
      <c r="DN65" s="1007"/>
      <c r="DO65" s="1112"/>
      <c r="DP65" s="1112"/>
      <c r="DQ65" s="1270"/>
      <c r="DR65" s="1154">
        <f t="shared" si="142"/>
        <v>269998.88580233231</v>
      </c>
      <c r="DS65" s="1154">
        <f t="shared" si="143"/>
        <v>0</v>
      </c>
      <c r="DT65" s="1154">
        <f t="shared" si="144"/>
        <v>0</v>
      </c>
      <c r="DU65" s="1154">
        <f t="shared" si="145"/>
        <v>0</v>
      </c>
      <c r="DV65" s="1154">
        <f t="shared" si="146"/>
        <v>0</v>
      </c>
      <c r="DW65" s="1154">
        <f t="shared" si="147"/>
        <v>0</v>
      </c>
      <c r="DX65" s="1154">
        <f t="shared" si="148"/>
        <v>0</v>
      </c>
      <c r="DY65" s="1154">
        <f t="shared" si="149"/>
        <v>0</v>
      </c>
      <c r="DZ65" s="1154">
        <f t="shared" si="150"/>
        <v>0</v>
      </c>
      <c r="EA65" s="1154">
        <f t="shared" si="151"/>
        <v>0</v>
      </c>
      <c r="EB65" s="1154">
        <f t="shared" si="152"/>
        <v>0</v>
      </c>
      <c r="EC65" s="1154">
        <f t="shared" si="153"/>
        <v>0</v>
      </c>
      <c r="ED65" s="1154">
        <f t="shared" si="154"/>
        <v>0</v>
      </c>
      <c r="EE65" s="1154">
        <f t="shared" si="155"/>
        <v>0</v>
      </c>
      <c r="EF65" s="1154">
        <f t="shared" si="156"/>
        <v>0</v>
      </c>
      <c r="EG65" s="1154">
        <f t="shared" si="157"/>
        <v>88697.096102382216</v>
      </c>
      <c r="EH65" s="1154">
        <f t="shared" si="158"/>
        <v>0</v>
      </c>
      <c r="EI65" s="1154">
        <f t="shared" si="159"/>
        <v>0</v>
      </c>
      <c r="EJ65" s="1154">
        <f t="shared" si="160"/>
        <v>0</v>
      </c>
      <c r="EK65" s="1154">
        <f t="shared" si="161"/>
        <v>0</v>
      </c>
      <c r="EL65" s="1154">
        <f t="shared" si="162"/>
        <v>0</v>
      </c>
      <c r="EM65" s="1154">
        <f t="shared" si="163"/>
        <v>0</v>
      </c>
      <c r="EN65" s="1154">
        <f t="shared" si="164"/>
        <v>0</v>
      </c>
      <c r="EO65" s="1154">
        <f t="shared" si="165"/>
        <v>630469.02871979924</v>
      </c>
      <c r="EP65" s="1154">
        <f t="shared" si="166"/>
        <v>0</v>
      </c>
      <c r="EQ65" s="1154">
        <f t="shared" si="167"/>
        <v>0</v>
      </c>
      <c r="ER65" s="1154">
        <f t="shared" si="168"/>
        <v>0</v>
      </c>
      <c r="ES65" s="1154">
        <f t="shared" si="169"/>
        <v>0</v>
      </c>
      <c r="ET65" s="1154">
        <f t="shared" si="170"/>
        <v>0</v>
      </c>
      <c r="EU65" s="1154">
        <f t="shared" si="171"/>
        <v>0</v>
      </c>
      <c r="EV65" s="1154">
        <f t="shared" si="172"/>
        <v>0</v>
      </c>
      <c r="EW65" s="1154">
        <f t="shared" si="173"/>
        <v>0</v>
      </c>
      <c r="EX65" s="1154">
        <f t="shared" si="174"/>
        <v>0</v>
      </c>
      <c r="EY65" s="1154">
        <f t="shared" si="175"/>
        <v>0</v>
      </c>
      <c r="EZ65" s="1154">
        <f t="shared" si="176"/>
        <v>0</v>
      </c>
      <c r="FA65" s="1174">
        <f t="shared" si="177"/>
        <v>989165.01062451373</v>
      </c>
      <c r="FC65" s="1154">
        <f t="shared" si="178"/>
        <v>254715.93000220024</v>
      </c>
      <c r="FD65" s="1154">
        <f t="shared" si="179"/>
        <v>0</v>
      </c>
      <c r="FE65" s="1154">
        <f t="shared" si="180"/>
        <v>0</v>
      </c>
      <c r="FF65" s="1154">
        <f t="shared" si="181"/>
        <v>0</v>
      </c>
      <c r="FG65" s="1154">
        <f t="shared" si="182"/>
        <v>0</v>
      </c>
      <c r="FH65" s="1154">
        <f t="shared" si="183"/>
        <v>0</v>
      </c>
      <c r="FI65" s="1154">
        <f t="shared" si="184"/>
        <v>0</v>
      </c>
      <c r="FJ65" s="1154">
        <f t="shared" si="185"/>
        <v>0</v>
      </c>
      <c r="FK65" s="1154">
        <f t="shared" si="186"/>
        <v>0</v>
      </c>
      <c r="FL65" s="1154">
        <f t="shared" si="187"/>
        <v>0</v>
      </c>
      <c r="FM65" s="1154">
        <f t="shared" si="188"/>
        <v>0</v>
      </c>
      <c r="FN65" s="1154">
        <f t="shared" si="189"/>
        <v>0</v>
      </c>
      <c r="FO65" s="1154">
        <f t="shared" si="190"/>
        <v>0</v>
      </c>
      <c r="FP65" s="1154">
        <f t="shared" si="191"/>
        <v>0</v>
      </c>
      <c r="FQ65" s="1154">
        <f t="shared" si="192"/>
        <v>0</v>
      </c>
      <c r="FR65" s="1154">
        <f t="shared" si="193"/>
        <v>83676.505756964354</v>
      </c>
      <c r="FS65" s="1154">
        <f t="shared" si="194"/>
        <v>0</v>
      </c>
      <c r="FT65" s="1154">
        <f t="shared" si="195"/>
        <v>0</v>
      </c>
      <c r="FU65" s="1154">
        <f t="shared" si="196"/>
        <v>0</v>
      </c>
      <c r="FV65" s="1154">
        <f t="shared" si="197"/>
        <v>0</v>
      </c>
      <c r="FW65" s="1154">
        <f t="shared" si="198"/>
        <v>0</v>
      </c>
      <c r="FX65" s="1154">
        <f t="shared" si="199"/>
        <v>0</v>
      </c>
      <c r="FY65" s="1154">
        <f t="shared" si="200"/>
        <v>0</v>
      </c>
      <c r="FZ65" s="1154">
        <f t="shared" si="201"/>
        <v>493685.56821225001</v>
      </c>
      <c r="GA65" s="1154">
        <f t="shared" si="202"/>
        <v>0</v>
      </c>
      <c r="GB65" s="1154">
        <f t="shared" si="203"/>
        <v>0</v>
      </c>
      <c r="GC65" s="1154">
        <f t="shared" si="204"/>
        <v>0</v>
      </c>
      <c r="GD65" s="1154">
        <f t="shared" si="205"/>
        <v>0</v>
      </c>
      <c r="GE65" s="1154">
        <f t="shared" si="206"/>
        <v>0</v>
      </c>
      <c r="GF65" s="1154">
        <f t="shared" si="207"/>
        <v>0</v>
      </c>
      <c r="GG65" s="1154">
        <f t="shared" si="208"/>
        <v>0</v>
      </c>
      <c r="GH65" s="1154">
        <f t="shared" si="209"/>
        <v>0</v>
      </c>
      <c r="GI65" s="1154">
        <f t="shared" si="210"/>
        <v>0</v>
      </c>
      <c r="GJ65" s="1154">
        <f t="shared" si="211"/>
        <v>0</v>
      </c>
      <c r="GK65" s="1154">
        <f t="shared" si="212"/>
        <v>0</v>
      </c>
      <c r="GL65" s="1174">
        <f t="shared" si="213"/>
        <v>832078.00397141464</v>
      </c>
    </row>
    <row r="66" spans="2:194">
      <c r="B66" s="1290" t="str">
        <f t="shared" si="141"/>
        <v>SACDUOSWDMT</v>
      </c>
      <c r="C66" s="1289" t="str">
        <f>C65</f>
        <v>West SAC&gt;100MWhpa DemandMedium</v>
      </c>
      <c r="D66" s="1113" t="str">
        <f t="shared" ref="D66:H66" si="230">D65</f>
        <v>West SAC&gt;100MWhpa DemandMedium</v>
      </c>
      <c r="E66" s="1113" t="str">
        <f t="shared" si="230"/>
        <v>SAC</v>
      </c>
      <c r="F66" s="1113" t="str">
        <f t="shared" si="230"/>
        <v>SACL</v>
      </c>
      <c r="G66" s="1113" t="str">
        <f t="shared" ref="G66" si="231">G65</f>
        <v>West</v>
      </c>
      <c r="H66" s="1113" t="str">
        <f t="shared" si="230"/>
        <v>WDMT</v>
      </c>
      <c r="I66" s="1114" t="s">
        <v>752</v>
      </c>
      <c r="J66" s="1114" t="s">
        <v>934</v>
      </c>
      <c r="K66" s="1270"/>
      <c r="L66" s="1233">
        <v>11.305502669999999</v>
      </c>
      <c r="M66" s="1007"/>
      <c r="N66" s="1007"/>
      <c r="O66" s="1007"/>
      <c r="P66" s="1007"/>
      <c r="Q66" s="1007"/>
      <c r="R66" s="1007"/>
      <c r="S66" s="1007"/>
      <c r="T66" s="1007"/>
      <c r="U66" s="1007"/>
      <c r="V66" s="1007"/>
      <c r="W66" s="1784">
        <v>1.761170229</v>
      </c>
      <c r="X66" s="1007"/>
      <c r="Y66" s="1007"/>
      <c r="Z66" s="1007"/>
      <c r="AA66" s="1233">
        <v>1.95685581</v>
      </c>
      <c r="AB66" s="1007"/>
      <c r="AC66" s="1007"/>
      <c r="AD66" s="1007"/>
      <c r="AE66" s="1007"/>
      <c r="AF66" s="1007"/>
      <c r="AG66" s="1007"/>
      <c r="AH66" s="1007"/>
      <c r="AI66" s="1224">
        <v>1.3580961239131205E-2</v>
      </c>
      <c r="AJ66" s="1005"/>
      <c r="AK66" s="1005"/>
      <c r="AL66" s="1005"/>
      <c r="AM66" s="1005"/>
      <c r="AN66" s="1005"/>
      <c r="AO66" s="1005"/>
      <c r="AP66" s="1005"/>
      <c r="AQ66" s="1005"/>
      <c r="AR66" s="1005"/>
      <c r="AS66" s="1005"/>
      <c r="AT66" s="1005"/>
      <c r="AU66" s="1006"/>
      <c r="AV66" s="1270"/>
      <c r="AW66" s="1480">
        <v>11.193567</v>
      </c>
      <c r="AX66" s="1006"/>
      <c r="AY66" s="1006"/>
      <c r="AZ66" s="1006"/>
      <c r="BA66" s="1006"/>
      <c r="BB66" s="1006"/>
      <c r="BC66" s="1006"/>
      <c r="BD66" s="1006"/>
      <c r="BE66" s="1006"/>
      <c r="BF66" s="1006"/>
      <c r="BG66" s="1006"/>
      <c r="BH66" s="1608">
        <v>1.7430000000000001</v>
      </c>
      <c r="BI66" s="1006"/>
      <c r="BJ66" s="1006"/>
      <c r="BK66" s="1006"/>
      <c r="BL66" s="1480">
        <v>1.937481</v>
      </c>
      <c r="BM66" s="1006"/>
      <c r="BN66" s="1006"/>
      <c r="BO66" s="1006"/>
      <c r="BP66" s="1006"/>
      <c r="BQ66" s="1006"/>
      <c r="BR66" s="1006"/>
      <c r="BS66" s="1006"/>
      <c r="BT66" s="1480">
        <v>1.3226767178995704E-2</v>
      </c>
      <c r="BU66" s="1006"/>
      <c r="BV66" s="1006"/>
      <c r="BW66" s="1006"/>
      <c r="BX66" s="1006"/>
      <c r="BY66" s="1006"/>
      <c r="BZ66" s="1006"/>
      <c r="CA66" s="1006"/>
      <c r="CB66" s="1006"/>
      <c r="CC66" s="1006"/>
      <c r="CD66" s="1006"/>
      <c r="CE66" s="1006"/>
      <c r="CF66" s="1006"/>
      <c r="CG66" s="1209"/>
      <c r="CH66" s="1236">
        <v>29.099633695606318</v>
      </c>
      <c r="CI66" s="1007"/>
      <c r="CJ66" s="1007"/>
      <c r="CK66" s="1007"/>
      <c r="CL66" s="1007"/>
      <c r="CM66" s="1007"/>
      <c r="CN66" s="1007"/>
      <c r="CO66" s="1007"/>
      <c r="CP66" s="1007"/>
      <c r="CQ66" s="1007"/>
      <c r="CR66" s="1007"/>
      <c r="CS66" s="1007"/>
      <c r="CT66" s="1007"/>
      <c r="CU66" s="1007"/>
      <c r="CV66" s="1007"/>
      <c r="CW66" s="1236">
        <v>26072.523533118907</v>
      </c>
      <c r="CX66" s="1007"/>
      <c r="CY66" s="1007"/>
      <c r="CZ66" s="1007"/>
      <c r="DA66" s="1007"/>
      <c r="DB66" s="1007"/>
      <c r="DC66" s="1007"/>
      <c r="DD66" s="1007"/>
      <c r="DE66" s="1236">
        <v>13451924.15324848</v>
      </c>
      <c r="DF66" s="1007"/>
      <c r="DG66" s="1007"/>
      <c r="DH66" s="1007"/>
      <c r="DI66" s="1006"/>
      <c r="DJ66" s="1006"/>
      <c r="DK66" s="1007"/>
      <c r="DL66" s="1007"/>
      <c r="DM66" s="1007"/>
      <c r="DN66" s="1007"/>
      <c r="DO66" s="1112"/>
      <c r="DP66" s="1112"/>
      <c r="DQ66" s="1270"/>
      <c r="DR66" s="1154">
        <f t="shared" si="142"/>
        <v>120079.8850512202</v>
      </c>
      <c r="DS66" s="1154">
        <f t="shared" si="143"/>
        <v>0</v>
      </c>
      <c r="DT66" s="1154">
        <f t="shared" si="144"/>
        <v>0</v>
      </c>
      <c r="DU66" s="1154">
        <f t="shared" si="145"/>
        <v>0</v>
      </c>
      <c r="DV66" s="1154">
        <f t="shared" si="146"/>
        <v>0</v>
      </c>
      <c r="DW66" s="1154">
        <f t="shared" si="147"/>
        <v>0</v>
      </c>
      <c r="DX66" s="1154">
        <f t="shared" si="148"/>
        <v>0</v>
      </c>
      <c r="DY66" s="1154">
        <f t="shared" si="149"/>
        <v>0</v>
      </c>
      <c r="DZ66" s="1154">
        <f t="shared" si="150"/>
        <v>0</v>
      </c>
      <c r="EA66" s="1154">
        <f t="shared" si="151"/>
        <v>0</v>
      </c>
      <c r="EB66" s="1154">
        <f t="shared" si="152"/>
        <v>0</v>
      </c>
      <c r="EC66" s="1154">
        <f t="shared" si="153"/>
        <v>0</v>
      </c>
      <c r="ED66" s="1154">
        <f t="shared" si="154"/>
        <v>0</v>
      </c>
      <c r="EE66" s="1154">
        <f t="shared" si="155"/>
        <v>0</v>
      </c>
      <c r="EF66" s="1154">
        <f t="shared" si="156"/>
        <v>0</v>
      </c>
      <c r="EG66" s="1154">
        <f t="shared" si="157"/>
        <v>51020.169157145458</v>
      </c>
      <c r="EH66" s="1154">
        <f t="shared" si="158"/>
        <v>0</v>
      </c>
      <c r="EI66" s="1154">
        <f t="shared" si="159"/>
        <v>0</v>
      </c>
      <c r="EJ66" s="1154">
        <f t="shared" si="160"/>
        <v>0</v>
      </c>
      <c r="EK66" s="1154">
        <f t="shared" si="161"/>
        <v>0</v>
      </c>
      <c r="EL66" s="1154">
        <f t="shared" si="162"/>
        <v>0</v>
      </c>
      <c r="EM66" s="1154">
        <f t="shared" si="163"/>
        <v>0</v>
      </c>
      <c r="EN66" s="1154">
        <f t="shared" si="164"/>
        <v>0</v>
      </c>
      <c r="EO66" s="1154">
        <f t="shared" si="165"/>
        <v>182690.06051700047</v>
      </c>
      <c r="EP66" s="1154">
        <f t="shared" si="166"/>
        <v>0</v>
      </c>
      <c r="EQ66" s="1154">
        <f t="shared" si="167"/>
        <v>0</v>
      </c>
      <c r="ER66" s="1154">
        <f t="shared" si="168"/>
        <v>0</v>
      </c>
      <c r="ES66" s="1154">
        <f t="shared" si="169"/>
        <v>0</v>
      </c>
      <c r="ET66" s="1154">
        <f t="shared" si="170"/>
        <v>0</v>
      </c>
      <c r="EU66" s="1154">
        <f t="shared" si="171"/>
        <v>0</v>
      </c>
      <c r="EV66" s="1154">
        <f t="shared" si="172"/>
        <v>0</v>
      </c>
      <c r="EW66" s="1154">
        <f t="shared" si="173"/>
        <v>0</v>
      </c>
      <c r="EX66" s="1154">
        <f t="shared" si="174"/>
        <v>0</v>
      </c>
      <c r="EY66" s="1154">
        <f t="shared" si="175"/>
        <v>0</v>
      </c>
      <c r="EZ66" s="1154">
        <f t="shared" si="176"/>
        <v>0</v>
      </c>
      <c r="FA66" s="1174">
        <f t="shared" si="177"/>
        <v>353790.11472536612</v>
      </c>
      <c r="FC66" s="1154">
        <f t="shared" si="178"/>
        <v>118890.97529823783</v>
      </c>
      <c r="FD66" s="1154">
        <f t="shared" si="179"/>
        <v>0</v>
      </c>
      <c r="FE66" s="1154">
        <f t="shared" si="180"/>
        <v>0</v>
      </c>
      <c r="FF66" s="1154">
        <f t="shared" si="181"/>
        <v>0</v>
      </c>
      <c r="FG66" s="1154">
        <f t="shared" si="182"/>
        <v>0</v>
      </c>
      <c r="FH66" s="1154">
        <f t="shared" si="183"/>
        <v>0</v>
      </c>
      <c r="FI66" s="1154">
        <f t="shared" si="184"/>
        <v>0</v>
      </c>
      <c r="FJ66" s="1154">
        <f t="shared" si="185"/>
        <v>0</v>
      </c>
      <c r="FK66" s="1154">
        <f t="shared" si="186"/>
        <v>0</v>
      </c>
      <c r="FL66" s="1154">
        <f t="shared" si="187"/>
        <v>0</v>
      </c>
      <c r="FM66" s="1154">
        <f t="shared" si="188"/>
        <v>0</v>
      </c>
      <c r="FN66" s="1154">
        <f t="shared" si="189"/>
        <v>0</v>
      </c>
      <c r="FO66" s="1154">
        <f t="shared" si="190"/>
        <v>0</v>
      </c>
      <c r="FP66" s="1154">
        <f t="shared" si="191"/>
        <v>0</v>
      </c>
      <c r="FQ66" s="1154">
        <f t="shared" si="192"/>
        <v>0</v>
      </c>
      <c r="FR66" s="1154">
        <f t="shared" si="193"/>
        <v>50515.018967470751</v>
      </c>
      <c r="FS66" s="1154">
        <f t="shared" si="194"/>
        <v>0</v>
      </c>
      <c r="FT66" s="1154">
        <f t="shared" si="195"/>
        <v>0</v>
      </c>
      <c r="FU66" s="1154">
        <f t="shared" si="196"/>
        <v>0</v>
      </c>
      <c r="FV66" s="1154">
        <f t="shared" si="197"/>
        <v>0</v>
      </c>
      <c r="FW66" s="1154">
        <f t="shared" si="198"/>
        <v>0</v>
      </c>
      <c r="FX66" s="1154">
        <f t="shared" si="199"/>
        <v>0</v>
      </c>
      <c r="FY66" s="1154">
        <f t="shared" si="200"/>
        <v>0</v>
      </c>
      <c r="FZ66" s="1154">
        <f t="shared" si="201"/>
        <v>177925.46888452658</v>
      </c>
      <c r="GA66" s="1154">
        <f t="shared" si="202"/>
        <v>0</v>
      </c>
      <c r="GB66" s="1154">
        <f t="shared" si="203"/>
        <v>0</v>
      </c>
      <c r="GC66" s="1154">
        <f t="shared" si="204"/>
        <v>0</v>
      </c>
      <c r="GD66" s="1154">
        <f t="shared" si="205"/>
        <v>0</v>
      </c>
      <c r="GE66" s="1154">
        <f t="shared" si="206"/>
        <v>0</v>
      </c>
      <c r="GF66" s="1154">
        <f t="shared" si="207"/>
        <v>0</v>
      </c>
      <c r="GG66" s="1154">
        <f t="shared" si="208"/>
        <v>0</v>
      </c>
      <c r="GH66" s="1154">
        <f t="shared" si="209"/>
        <v>0</v>
      </c>
      <c r="GI66" s="1154">
        <f t="shared" si="210"/>
        <v>0</v>
      </c>
      <c r="GJ66" s="1154">
        <f t="shared" si="211"/>
        <v>0</v>
      </c>
      <c r="GK66" s="1154">
        <f t="shared" si="212"/>
        <v>0</v>
      </c>
      <c r="GL66" s="1174">
        <f t="shared" si="213"/>
        <v>347331.46315023513</v>
      </c>
    </row>
    <row r="67" spans="2:194">
      <c r="B67" s="1290" t="str">
        <f t="shared" si="141"/>
        <v>SACDUOSWDMT</v>
      </c>
      <c r="C67" s="1289" t="str">
        <f>C66</f>
        <v>West SAC&gt;100MWhpa DemandMedium</v>
      </c>
      <c r="D67" s="1113" t="str">
        <f t="shared" ref="D67" si="232">D66</f>
        <v>West SAC&gt;100MWhpa DemandMedium</v>
      </c>
      <c r="E67" s="1113" t="str">
        <f t="shared" ref="E67" si="233">E66</f>
        <v>SAC</v>
      </c>
      <c r="F67" s="1113" t="str">
        <f t="shared" ref="F67:G67" si="234">F66</f>
        <v>SACL</v>
      </c>
      <c r="G67" s="1113" t="str">
        <f t="shared" si="234"/>
        <v>West</v>
      </c>
      <c r="H67" s="1113" t="str">
        <f t="shared" ref="H67" si="235">H66</f>
        <v>WDMT</v>
      </c>
      <c r="I67" s="1114" t="s">
        <v>759</v>
      </c>
      <c r="J67" s="1114" t="s">
        <v>934</v>
      </c>
      <c r="K67" s="1270"/>
      <c r="L67" s="1233">
        <v>18.478614</v>
      </c>
      <c r="M67" s="1007"/>
      <c r="N67" s="1007"/>
      <c r="O67" s="1007"/>
      <c r="P67" s="1007"/>
      <c r="Q67" s="1007"/>
      <c r="R67" s="1007"/>
      <c r="S67" s="1007"/>
      <c r="T67" s="1007"/>
      <c r="U67" s="1007"/>
      <c r="V67" s="1007"/>
      <c r="W67" s="1784">
        <v>3.4261731000000002</v>
      </c>
      <c r="X67" s="1007"/>
      <c r="Y67" s="1007"/>
      <c r="Z67" s="1007"/>
      <c r="AA67" s="1233">
        <v>3.8068590000000002</v>
      </c>
      <c r="AB67" s="1007"/>
      <c r="AC67" s="1007"/>
      <c r="AD67" s="1007"/>
      <c r="AE67" s="1007"/>
      <c r="AF67" s="1007"/>
      <c r="AG67" s="1007"/>
      <c r="AH67" s="1007"/>
      <c r="AI67" s="1224">
        <v>1.4121324100704864E-2</v>
      </c>
      <c r="AJ67" s="1005"/>
      <c r="AK67" s="1005"/>
      <c r="AL67" s="1005"/>
      <c r="AM67" s="1005"/>
      <c r="AN67" s="1005"/>
      <c r="AO67" s="1005"/>
      <c r="AP67" s="1005"/>
      <c r="AQ67" s="1005"/>
      <c r="AR67" s="1005"/>
      <c r="AS67" s="1005"/>
      <c r="AT67" s="1005"/>
      <c r="AU67" s="1006"/>
      <c r="AV67" s="1270"/>
      <c r="AW67" s="1480">
        <v>18.478614</v>
      </c>
      <c r="AX67" s="1006"/>
      <c r="AY67" s="1006"/>
      <c r="AZ67" s="1006"/>
      <c r="BA67" s="1006"/>
      <c r="BB67" s="1006"/>
      <c r="BC67" s="1006"/>
      <c r="BD67" s="1006"/>
      <c r="BE67" s="1006"/>
      <c r="BF67" s="1006"/>
      <c r="BG67" s="1006"/>
      <c r="BH67" s="1608">
        <v>3.4260000000000002</v>
      </c>
      <c r="BI67" s="1006"/>
      <c r="BJ67" s="1006"/>
      <c r="BK67" s="1006"/>
      <c r="BL67" s="1480">
        <v>3.8068590000000002</v>
      </c>
      <c r="BM67" s="1006"/>
      <c r="BN67" s="1006"/>
      <c r="BO67" s="1006"/>
      <c r="BP67" s="1006"/>
      <c r="BQ67" s="1006"/>
      <c r="BR67" s="1006"/>
      <c r="BS67" s="1006"/>
      <c r="BT67" s="1480">
        <v>1.4772535454067301E-2</v>
      </c>
      <c r="BU67" s="1006"/>
      <c r="BV67" s="1006"/>
      <c r="BW67" s="1006"/>
      <c r="BX67" s="1006"/>
      <c r="BY67" s="1006"/>
      <c r="BZ67" s="1006"/>
      <c r="CA67" s="1006"/>
      <c r="CB67" s="1006"/>
      <c r="CC67" s="1006"/>
      <c r="CD67" s="1006"/>
      <c r="CE67" s="1006"/>
      <c r="CF67" s="1006"/>
      <c r="CG67" s="1209"/>
      <c r="CH67" s="1236">
        <v>5.98316872716038</v>
      </c>
      <c r="CI67" s="1007"/>
      <c r="CJ67" s="1007"/>
      <c r="CK67" s="1007"/>
      <c r="CL67" s="1007"/>
      <c r="CM67" s="1007"/>
      <c r="CN67" s="1007"/>
      <c r="CO67" s="1007"/>
      <c r="CP67" s="1007"/>
      <c r="CQ67" s="1007"/>
      <c r="CR67" s="1007"/>
      <c r="CS67" s="1007"/>
      <c r="CT67" s="1007"/>
      <c r="CU67" s="1007"/>
      <c r="CV67" s="1007"/>
      <c r="CW67" s="1236">
        <v>5360.7653303575298</v>
      </c>
      <c r="CX67" s="1007"/>
      <c r="CY67" s="1007"/>
      <c r="CZ67" s="1007"/>
      <c r="DA67" s="1007"/>
      <c r="DB67" s="1007"/>
      <c r="DC67" s="1007"/>
      <c r="DD67" s="1007"/>
      <c r="DE67" s="1236">
        <v>2765846.9091314347</v>
      </c>
      <c r="DF67" s="1007"/>
      <c r="DG67" s="1007"/>
      <c r="DH67" s="1007"/>
      <c r="DI67" s="1006"/>
      <c r="DJ67" s="1006"/>
      <c r="DK67" s="1007"/>
      <c r="DL67" s="1007"/>
      <c r="DM67" s="1007"/>
      <c r="DN67" s="1007"/>
      <c r="DO67" s="1112"/>
      <c r="DP67" s="1112"/>
      <c r="DQ67" s="1270"/>
      <c r="DR67" s="1154">
        <f t="shared" si="142"/>
        <v>40354.642873214812</v>
      </c>
      <c r="DS67" s="1154">
        <f t="shared" si="143"/>
        <v>0</v>
      </c>
      <c r="DT67" s="1154">
        <f t="shared" si="144"/>
        <v>0</v>
      </c>
      <c r="DU67" s="1154">
        <f t="shared" si="145"/>
        <v>0</v>
      </c>
      <c r="DV67" s="1154">
        <f t="shared" si="146"/>
        <v>0</v>
      </c>
      <c r="DW67" s="1154">
        <f t="shared" si="147"/>
        <v>0</v>
      </c>
      <c r="DX67" s="1154">
        <f t="shared" si="148"/>
        <v>0</v>
      </c>
      <c r="DY67" s="1154">
        <f t="shared" si="149"/>
        <v>0</v>
      </c>
      <c r="DZ67" s="1154">
        <f t="shared" si="150"/>
        <v>0</v>
      </c>
      <c r="EA67" s="1154">
        <f t="shared" si="151"/>
        <v>0</v>
      </c>
      <c r="EB67" s="1154">
        <f t="shared" si="152"/>
        <v>0</v>
      </c>
      <c r="EC67" s="1154">
        <f t="shared" si="153"/>
        <v>0</v>
      </c>
      <c r="ED67" s="1154">
        <f t="shared" si="154"/>
        <v>0</v>
      </c>
      <c r="EE67" s="1154">
        <f t="shared" si="155"/>
        <v>0</v>
      </c>
      <c r="EF67" s="1154">
        <f t="shared" si="156"/>
        <v>0</v>
      </c>
      <c r="EG67" s="1154">
        <f t="shared" si="157"/>
        <v>20407.677744759538</v>
      </c>
      <c r="EH67" s="1154">
        <f t="shared" si="158"/>
        <v>0</v>
      </c>
      <c r="EI67" s="1154">
        <f t="shared" si="159"/>
        <v>0</v>
      </c>
      <c r="EJ67" s="1154">
        <f t="shared" si="160"/>
        <v>0</v>
      </c>
      <c r="EK67" s="1154">
        <f t="shared" si="161"/>
        <v>0</v>
      </c>
      <c r="EL67" s="1154">
        <f t="shared" si="162"/>
        <v>0</v>
      </c>
      <c r="EM67" s="1154">
        <f t="shared" si="163"/>
        <v>0</v>
      </c>
      <c r="EN67" s="1154">
        <f t="shared" si="164"/>
        <v>0</v>
      </c>
      <c r="EO67" s="1154">
        <f t="shared" si="165"/>
        <v>39057.420616777788</v>
      </c>
      <c r="EP67" s="1154">
        <f t="shared" si="166"/>
        <v>0</v>
      </c>
      <c r="EQ67" s="1154">
        <f t="shared" si="167"/>
        <v>0</v>
      </c>
      <c r="ER67" s="1154">
        <f t="shared" si="168"/>
        <v>0</v>
      </c>
      <c r="ES67" s="1154">
        <f t="shared" si="169"/>
        <v>0</v>
      </c>
      <c r="ET67" s="1154">
        <f t="shared" si="170"/>
        <v>0</v>
      </c>
      <c r="EU67" s="1154">
        <f t="shared" si="171"/>
        <v>0</v>
      </c>
      <c r="EV67" s="1154">
        <f t="shared" si="172"/>
        <v>0</v>
      </c>
      <c r="EW67" s="1154">
        <f t="shared" si="173"/>
        <v>0</v>
      </c>
      <c r="EX67" s="1154">
        <f t="shared" si="174"/>
        <v>0</v>
      </c>
      <c r="EY67" s="1154">
        <f t="shared" si="175"/>
        <v>0</v>
      </c>
      <c r="EZ67" s="1154">
        <f t="shared" si="176"/>
        <v>0</v>
      </c>
      <c r="FA67" s="1174">
        <f t="shared" si="177"/>
        <v>99819.741234752146</v>
      </c>
      <c r="FC67" s="1154">
        <f t="shared" si="178"/>
        <v>40354.642873214812</v>
      </c>
      <c r="FD67" s="1154">
        <f t="shared" si="179"/>
        <v>0</v>
      </c>
      <c r="FE67" s="1154">
        <f t="shared" si="180"/>
        <v>0</v>
      </c>
      <c r="FF67" s="1154">
        <f t="shared" si="181"/>
        <v>0</v>
      </c>
      <c r="FG67" s="1154">
        <f t="shared" si="182"/>
        <v>0</v>
      </c>
      <c r="FH67" s="1154">
        <f t="shared" si="183"/>
        <v>0</v>
      </c>
      <c r="FI67" s="1154">
        <f t="shared" si="184"/>
        <v>0</v>
      </c>
      <c r="FJ67" s="1154">
        <f t="shared" si="185"/>
        <v>0</v>
      </c>
      <c r="FK67" s="1154">
        <f t="shared" si="186"/>
        <v>0</v>
      </c>
      <c r="FL67" s="1154">
        <f t="shared" si="187"/>
        <v>0</v>
      </c>
      <c r="FM67" s="1154">
        <f t="shared" si="188"/>
        <v>0</v>
      </c>
      <c r="FN67" s="1154">
        <f t="shared" si="189"/>
        <v>0</v>
      </c>
      <c r="FO67" s="1154">
        <f t="shared" si="190"/>
        <v>0</v>
      </c>
      <c r="FP67" s="1154">
        <f t="shared" si="191"/>
        <v>0</v>
      </c>
      <c r="FQ67" s="1154">
        <f t="shared" si="192"/>
        <v>0</v>
      </c>
      <c r="FR67" s="1154">
        <f t="shared" si="193"/>
        <v>20407.677744759538</v>
      </c>
      <c r="FS67" s="1154">
        <f t="shared" si="194"/>
        <v>0</v>
      </c>
      <c r="FT67" s="1154">
        <f t="shared" si="195"/>
        <v>0</v>
      </c>
      <c r="FU67" s="1154">
        <f t="shared" si="196"/>
        <v>0</v>
      </c>
      <c r="FV67" s="1154">
        <f t="shared" si="197"/>
        <v>0</v>
      </c>
      <c r="FW67" s="1154">
        <f t="shared" si="198"/>
        <v>0</v>
      </c>
      <c r="FX67" s="1154">
        <f t="shared" si="199"/>
        <v>0</v>
      </c>
      <c r="FY67" s="1154">
        <f t="shared" si="200"/>
        <v>0</v>
      </c>
      <c r="FZ67" s="1154">
        <f t="shared" si="201"/>
        <v>40858.571525666579</v>
      </c>
      <c r="GA67" s="1154">
        <f t="shared" si="202"/>
        <v>0</v>
      </c>
      <c r="GB67" s="1154">
        <f t="shared" si="203"/>
        <v>0</v>
      </c>
      <c r="GC67" s="1154">
        <f t="shared" si="204"/>
        <v>0</v>
      </c>
      <c r="GD67" s="1154">
        <f t="shared" si="205"/>
        <v>0</v>
      </c>
      <c r="GE67" s="1154">
        <f t="shared" si="206"/>
        <v>0</v>
      </c>
      <c r="GF67" s="1154">
        <f t="shared" si="207"/>
        <v>0</v>
      </c>
      <c r="GG67" s="1154">
        <f t="shared" si="208"/>
        <v>0</v>
      </c>
      <c r="GH67" s="1154">
        <f t="shared" si="209"/>
        <v>0</v>
      </c>
      <c r="GI67" s="1154">
        <f t="shared" si="210"/>
        <v>0</v>
      </c>
      <c r="GJ67" s="1154">
        <f t="shared" si="211"/>
        <v>0</v>
      </c>
      <c r="GK67" s="1154">
        <f t="shared" si="212"/>
        <v>0</v>
      </c>
      <c r="GL67" s="1174">
        <f t="shared" si="213"/>
        <v>101620.89214364093</v>
      </c>
    </row>
    <row r="68" spans="2:194">
      <c r="B68" s="1290" t="str">
        <f t="shared" si="141"/>
        <v>SACDUOSWDST</v>
      </c>
      <c r="C68" s="1289" t="str">
        <f>Prop2021DUOSTariffs!C30</f>
        <v>West SAC&gt;100MWhpa DemandSmall</v>
      </c>
      <c r="D68" s="1113" t="str">
        <f>Prop2021DUOSTariffs!D30</f>
        <v>West SAC&gt;100MWhpa DemandSmall</v>
      </c>
      <c r="E68" s="1113" t="str">
        <f>Prop2021DUOSTariffs!E30</f>
        <v>SAC</v>
      </c>
      <c r="F68" s="1113" t="str">
        <f>Prop2021DUOSTariffs!F30</f>
        <v>SACL</v>
      </c>
      <c r="G68" s="1113" t="str">
        <f>Prop2021DUOSTariffs!G30</f>
        <v>West</v>
      </c>
      <c r="H68" s="1113" t="str">
        <f>IF(Prop2021DUOSTariffs!H30="","",Prop2021DUOSTariffs!H30)</f>
        <v>WDST</v>
      </c>
      <c r="I68" s="1114" t="s">
        <v>798</v>
      </c>
      <c r="J68" s="1114" t="s">
        <v>934</v>
      </c>
      <c r="K68" s="1270"/>
      <c r="L68" s="1233">
        <v>4.1796489000000001</v>
      </c>
      <c r="M68" s="1007"/>
      <c r="N68" s="1007"/>
      <c r="O68" s="1007"/>
      <c r="P68" s="1007"/>
      <c r="Q68" s="1007"/>
      <c r="R68" s="1007"/>
      <c r="S68" s="1007"/>
      <c r="T68" s="1007"/>
      <c r="U68" s="1007"/>
      <c r="V68" s="1007"/>
      <c r="W68" s="1784">
        <v>0.83331423000000004</v>
      </c>
      <c r="X68" s="1007"/>
      <c r="Y68" s="1007"/>
      <c r="Z68" s="1007"/>
      <c r="AA68" s="1233">
        <v>0.92590470000000002</v>
      </c>
      <c r="AB68" s="1007"/>
      <c r="AC68" s="1007"/>
      <c r="AD68" s="1007"/>
      <c r="AE68" s="1007"/>
      <c r="AF68" s="1007"/>
      <c r="AG68" s="1007"/>
      <c r="AH68" s="1007"/>
      <c r="AI68" s="1224">
        <v>1.2756140745273986E-2</v>
      </c>
      <c r="AJ68" s="1005"/>
      <c r="AK68" s="1005"/>
      <c r="AL68" s="1005"/>
      <c r="AM68" s="1005"/>
      <c r="AN68" s="1005"/>
      <c r="AO68" s="1005"/>
      <c r="AP68" s="1005"/>
      <c r="AQ68" s="1005"/>
      <c r="AR68" s="1005"/>
      <c r="AS68" s="1005"/>
      <c r="AT68" s="1005"/>
      <c r="AU68" s="1006"/>
      <c r="AV68" s="1270"/>
      <c r="AW68" s="1480">
        <v>3.9430650000000003</v>
      </c>
      <c r="AX68" s="1006"/>
      <c r="AY68" s="1006"/>
      <c r="AZ68" s="1006"/>
      <c r="BA68" s="1006"/>
      <c r="BB68" s="1006"/>
      <c r="BC68" s="1006"/>
      <c r="BD68" s="1006"/>
      <c r="BE68" s="1006"/>
      <c r="BF68" s="1006"/>
      <c r="BG68" s="1006"/>
      <c r="BH68" s="1608">
        <v>0.78500000000000003</v>
      </c>
      <c r="BI68" s="1006"/>
      <c r="BJ68" s="1006"/>
      <c r="BK68" s="1006"/>
      <c r="BL68" s="1480">
        <v>0.87349500000000002</v>
      </c>
      <c r="BM68" s="1006"/>
      <c r="BN68" s="1006"/>
      <c r="BO68" s="1006"/>
      <c r="BP68" s="1006"/>
      <c r="BQ68" s="1006"/>
      <c r="BR68" s="1006"/>
      <c r="BS68" s="1006"/>
      <c r="BT68" s="1480">
        <v>9.9886311700567981E-3</v>
      </c>
      <c r="BU68" s="1006"/>
      <c r="BV68" s="1006"/>
      <c r="BW68" s="1006"/>
      <c r="BX68" s="1006"/>
      <c r="BY68" s="1006"/>
      <c r="BZ68" s="1006"/>
      <c r="CA68" s="1006"/>
      <c r="CB68" s="1006"/>
      <c r="CC68" s="1006"/>
      <c r="CD68" s="1006"/>
      <c r="CE68" s="1006"/>
      <c r="CF68" s="1006"/>
      <c r="CG68" s="1209"/>
      <c r="CH68" s="1236">
        <v>497.97061240601971</v>
      </c>
      <c r="CI68" s="1007"/>
      <c r="CJ68" s="1007"/>
      <c r="CK68" s="1007"/>
      <c r="CL68" s="1007"/>
      <c r="CM68" s="1007"/>
      <c r="CN68" s="1007"/>
      <c r="CO68" s="1007"/>
      <c r="CP68" s="1007"/>
      <c r="CQ68" s="1007"/>
      <c r="CR68" s="1007"/>
      <c r="CS68" s="1007"/>
      <c r="CT68" s="1007"/>
      <c r="CU68" s="1007"/>
      <c r="CV68" s="1007"/>
      <c r="CW68" s="1236">
        <v>129529.38547053175</v>
      </c>
      <c r="CX68" s="1007"/>
      <c r="CY68" s="1007"/>
      <c r="CZ68" s="1007"/>
      <c r="DA68" s="1007"/>
      <c r="DB68" s="1007"/>
      <c r="DC68" s="1007"/>
      <c r="DD68" s="1007"/>
      <c r="DE68" s="1236">
        <v>77072678.570418224</v>
      </c>
      <c r="DF68" s="1007"/>
      <c r="DG68" s="1007"/>
      <c r="DH68" s="1007"/>
      <c r="DI68" s="1006"/>
      <c r="DJ68" s="1006"/>
      <c r="DK68" s="1007"/>
      <c r="DL68" s="1007"/>
      <c r="DM68" s="1007"/>
      <c r="DN68" s="1007"/>
      <c r="DO68" s="1112"/>
      <c r="DP68" s="1112"/>
      <c r="DQ68" s="1270"/>
      <c r="DR68" s="1154">
        <f t="shared" si="142"/>
        <v>759689.94766692852</v>
      </c>
      <c r="DS68" s="1154">
        <f t="shared" si="143"/>
        <v>0</v>
      </c>
      <c r="DT68" s="1154">
        <f t="shared" si="144"/>
        <v>0</v>
      </c>
      <c r="DU68" s="1154">
        <f t="shared" si="145"/>
        <v>0</v>
      </c>
      <c r="DV68" s="1154">
        <f t="shared" si="146"/>
        <v>0</v>
      </c>
      <c r="DW68" s="1154">
        <f t="shared" si="147"/>
        <v>0</v>
      </c>
      <c r="DX68" s="1154">
        <f t="shared" si="148"/>
        <v>0</v>
      </c>
      <c r="DY68" s="1154">
        <f t="shared" si="149"/>
        <v>0</v>
      </c>
      <c r="DZ68" s="1154">
        <f t="shared" si="150"/>
        <v>0</v>
      </c>
      <c r="EA68" s="1154">
        <f t="shared" si="151"/>
        <v>0</v>
      </c>
      <c r="EB68" s="1154">
        <f t="shared" si="152"/>
        <v>0</v>
      </c>
      <c r="EC68" s="1154">
        <f t="shared" si="153"/>
        <v>0</v>
      </c>
      <c r="ED68" s="1154">
        <f t="shared" si="154"/>
        <v>0</v>
      </c>
      <c r="EE68" s="1154">
        <f t="shared" si="155"/>
        <v>0</v>
      </c>
      <c r="EF68" s="1154">
        <f t="shared" si="156"/>
        <v>0</v>
      </c>
      <c r="EG68" s="1154">
        <f t="shared" si="157"/>
        <v>119931.86679527706</v>
      </c>
      <c r="EH68" s="1154">
        <f t="shared" si="158"/>
        <v>0</v>
      </c>
      <c r="EI68" s="1154">
        <f t="shared" si="159"/>
        <v>0</v>
      </c>
      <c r="EJ68" s="1154">
        <f t="shared" si="160"/>
        <v>0</v>
      </c>
      <c r="EK68" s="1154">
        <f t="shared" si="161"/>
        <v>0</v>
      </c>
      <c r="EL68" s="1154">
        <f t="shared" si="162"/>
        <v>0</v>
      </c>
      <c r="EM68" s="1154">
        <f t="shared" si="163"/>
        <v>0</v>
      </c>
      <c r="EN68" s="1154">
        <f t="shared" si="164"/>
        <v>0</v>
      </c>
      <c r="EO68" s="1154">
        <f t="shared" si="165"/>
        <v>983149.93545951706</v>
      </c>
      <c r="EP68" s="1154">
        <f t="shared" si="166"/>
        <v>0</v>
      </c>
      <c r="EQ68" s="1154">
        <f t="shared" si="167"/>
        <v>0</v>
      </c>
      <c r="ER68" s="1154">
        <f t="shared" si="168"/>
        <v>0</v>
      </c>
      <c r="ES68" s="1154">
        <f t="shared" si="169"/>
        <v>0</v>
      </c>
      <c r="ET68" s="1154">
        <f t="shared" si="170"/>
        <v>0</v>
      </c>
      <c r="EU68" s="1154">
        <f t="shared" si="171"/>
        <v>0</v>
      </c>
      <c r="EV68" s="1154">
        <f t="shared" si="172"/>
        <v>0</v>
      </c>
      <c r="EW68" s="1154">
        <f t="shared" si="173"/>
        <v>0</v>
      </c>
      <c r="EX68" s="1154">
        <f t="shared" si="174"/>
        <v>0</v>
      </c>
      <c r="EY68" s="1154">
        <f t="shared" si="175"/>
        <v>0</v>
      </c>
      <c r="EZ68" s="1154">
        <f t="shared" si="176"/>
        <v>0</v>
      </c>
      <c r="FA68" s="1174">
        <f t="shared" si="177"/>
        <v>1862771.7499217228</v>
      </c>
      <c r="FC68" s="1154">
        <f t="shared" si="178"/>
        <v>716688.62987446086</v>
      </c>
      <c r="FD68" s="1154">
        <f t="shared" si="179"/>
        <v>0</v>
      </c>
      <c r="FE68" s="1154">
        <f t="shared" si="180"/>
        <v>0</v>
      </c>
      <c r="FF68" s="1154">
        <f t="shared" si="181"/>
        <v>0</v>
      </c>
      <c r="FG68" s="1154">
        <f t="shared" si="182"/>
        <v>0</v>
      </c>
      <c r="FH68" s="1154">
        <f t="shared" si="183"/>
        <v>0</v>
      </c>
      <c r="FI68" s="1154">
        <f t="shared" si="184"/>
        <v>0</v>
      </c>
      <c r="FJ68" s="1154">
        <f t="shared" si="185"/>
        <v>0</v>
      </c>
      <c r="FK68" s="1154">
        <f t="shared" si="186"/>
        <v>0</v>
      </c>
      <c r="FL68" s="1154">
        <f t="shared" si="187"/>
        <v>0</v>
      </c>
      <c r="FM68" s="1154">
        <f t="shared" si="188"/>
        <v>0</v>
      </c>
      <c r="FN68" s="1154">
        <f t="shared" si="189"/>
        <v>0</v>
      </c>
      <c r="FO68" s="1154">
        <f t="shared" si="190"/>
        <v>0</v>
      </c>
      <c r="FP68" s="1154">
        <f t="shared" si="191"/>
        <v>0</v>
      </c>
      <c r="FQ68" s="1154">
        <f t="shared" si="192"/>
        <v>0</v>
      </c>
      <c r="FR68" s="1154">
        <f t="shared" si="193"/>
        <v>113143.27056158213</v>
      </c>
      <c r="FS68" s="1154">
        <f t="shared" si="194"/>
        <v>0</v>
      </c>
      <c r="FT68" s="1154">
        <f t="shared" si="195"/>
        <v>0</v>
      </c>
      <c r="FU68" s="1154">
        <f t="shared" si="196"/>
        <v>0</v>
      </c>
      <c r="FV68" s="1154">
        <f t="shared" si="197"/>
        <v>0</v>
      </c>
      <c r="FW68" s="1154">
        <f t="shared" si="198"/>
        <v>0</v>
      </c>
      <c r="FX68" s="1154">
        <f t="shared" si="199"/>
        <v>0</v>
      </c>
      <c r="FY68" s="1154">
        <f t="shared" si="200"/>
        <v>0</v>
      </c>
      <c r="FZ68" s="1154">
        <f t="shared" si="201"/>
        <v>769850.55952824804</v>
      </c>
      <c r="GA68" s="1154">
        <f t="shared" si="202"/>
        <v>0</v>
      </c>
      <c r="GB68" s="1154">
        <f t="shared" si="203"/>
        <v>0</v>
      </c>
      <c r="GC68" s="1154">
        <f t="shared" si="204"/>
        <v>0</v>
      </c>
      <c r="GD68" s="1154">
        <f t="shared" si="205"/>
        <v>0</v>
      </c>
      <c r="GE68" s="1154">
        <f t="shared" si="206"/>
        <v>0</v>
      </c>
      <c r="GF68" s="1154">
        <f t="shared" si="207"/>
        <v>0</v>
      </c>
      <c r="GG68" s="1154">
        <f t="shared" si="208"/>
        <v>0</v>
      </c>
      <c r="GH68" s="1154">
        <f t="shared" si="209"/>
        <v>0</v>
      </c>
      <c r="GI68" s="1154">
        <f t="shared" si="210"/>
        <v>0</v>
      </c>
      <c r="GJ68" s="1154">
        <f t="shared" si="211"/>
        <v>0</v>
      </c>
      <c r="GK68" s="1154">
        <f t="shared" si="212"/>
        <v>0</v>
      </c>
      <c r="GL68" s="1174">
        <f t="shared" si="213"/>
        <v>1599682.4599642912</v>
      </c>
    </row>
    <row r="69" spans="2:194">
      <c r="B69" s="1290" t="str">
        <f t="shared" si="141"/>
        <v>SACDUOSWDST</v>
      </c>
      <c r="C69" s="1289" t="str">
        <f>C68</f>
        <v>West SAC&gt;100MWhpa DemandSmall</v>
      </c>
      <c r="D69" s="1113" t="str">
        <f t="shared" ref="D69:H69" si="236">D68</f>
        <v>West SAC&gt;100MWhpa DemandSmall</v>
      </c>
      <c r="E69" s="1113" t="str">
        <f t="shared" si="236"/>
        <v>SAC</v>
      </c>
      <c r="F69" s="1113" t="str">
        <f t="shared" si="236"/>
        <v>SACL</v>
      </c>
      <c r="G69" s="1113" t="str">
        <f t="shared" ref="G69" si="237">G68</f>
        <v>West</v>
      </c>
      <c r="H69" s="1113" t="str">
        <f t="shared" si="236"/>
        <v>WDST</v>
      </c>
      <c r="I69" s="1114" t="s">
        <v>752</v>
      </c>
      <c r="J69" s="1114" t="s">
        <v>934</v>
      </c>
      <c r="K69" s="1270"/>
      <c r="L69" s="1233">
        <v>5.5176754500000005</v>
      </c>
      <c r="M69" s="1007"/>
      <c r="N69" s="1007"/>
      <c r="O69" s="1007"/>
      <c r="P69" s="1007"/>
      <c r="Q69" s="1007"/>
      <c r="R69" s="1007"/>
      <c r="S69" s="1007"/>
      <c r="T69" s="1007"/>
      <c r="U69" s="1007"/>
      <c r="V69" s="1007"/>
      <c r="W69" s="1784">
        <v>1.761170229</v>
      </c>
      <c r="X69" s="1007"/>
      <c r="Y69" s="1007"/>
      <c r="Z69" s="1007"/>
      <c r="AA69" s="1233">
        <v>1.95685581</v>
      </c>
      <c r="AB69" s="1007"/>
      <c r="AC69" s="1007"/>
      <c r="AD69" s="1007"/>
      <c r="AE69" s="1007"/>
      <c r="AF69" s="1007"/>
      <c r="AG69" s="1007"/>
      <c r="AH69" s="1007"/>
      <c r="AI69" s="1224">
        <v>1.3580961239131205E-2</v>
      </c>
      <c r="AJ69" s="1005"/>
      <c r="AK69" s="1005"/>
      <c r="AL69" s="1005"/>
      <c r="AM69" s="1005"/>
      <c r="AN69" s="1005"/>
      <c r="AO69" s="1005"/>
      <c r="AP69" s="1005"/>
      <c r="AQ69" s="1005"/>
      <c r="AR69" s="1005"/>
      <c r="AS69" s="1005"/>
      <c r="AT69" s="1005"/>
      <c r="AU69" s="1006"/>
      <c r="AV69" s="1270"/>
      <c r="AW69" s="1480">
        <v>5.4630450000000002</v>
      </c>
      <c r="AX69" s="1006"/>
      <c r="AY69" s="1006"/>
      <c r="AZ69" s="1006"/>
      <c r="BA69" s="1006"/>
      <c r="BB69" s="1006"/>
      <c r="BC69" s="1006"/>
      <c r="BD69" s="1006"/>
      <c r="BE69" s="1006"/>
      <c r="BF69" s="1006"/>
      <c r="BG69" s="1006"/>
      <c r="BH69" s="1608">
        <v>1.7430000000000001</v>
      </c>
      <c r="BI69" s="1006"/>
      <c r="BJ69" s="1006"/>
      <c r="BK69" s="1006"/>
      <c r="BL69" s="1480">
        <v>1.937481</v>
      </c>
      <c r="BM69" s="1006"/>
      <c r="BN69" s="1006"/>
      <c r="BO69" s="1006"/>
      <c r="BP69" s="1006"/>
      <c r="BQ69" s="1006"/>
      <c r="BR69" s="1006"/>
      <c r="BS69" s="1006"/>
      <c r="BT69" s="1480">
        <v>1.3226767178995704E-2</v>
      </c>
      <c r="BU69" s="1006"/>
      <c r="BV69" s="1006"/>
      <c r="BW69" s="1006"/>
      <c r="BX69" s="1006"/>
      <c r="BY69" s="1006"/>
      <c r="BZ69" s="1006"/>
      <c r="CA69" s="1006"/>
      <c r="CB69" s="1006"/>
      <c r="CC69" s="1006"/>
      <c r="CD69" s="1006"/>
      <c r="CE69" s="1006"/>
      <c r="CF69" s="1006"/>
      <c r="CG69" s="1209"/>
      <c r="CH69" s="1236">
        <v>135.53256857227572</v>
      </c>
      <c r="CI69" s="1007"/>
      <c r="CJ69" s="1007"/>
      <c r="CK69" s="1007"/>
      <c r="CL69" s="1007"/>
      <c r="CM69" s="1007"/>
      <c r="CN69" s="1007"/>
      <c r="CO69" s="1007"/>
      <c r="CP69" s="1007"/>
      <c r="CQ69" s="1007"/>
      <c r="CR69" s="1007"/>
      <c r="CS69" s="1007"/>
      <c r="CT69" s="1007"/>
      <c r="CU69" s="1007"/>
      <c r="CV69" s="1007"/>
      <c r="CW69" s="1236">
        <v>35253.988651233427</v>
      </c>
      <c r="CX69" s="1007"/>
      <c r="CY69" s="1007"/>
      <c r="CZ69" s="1007"/>
      <c r="DA69" s="1007"/>
      <c r="DB69" s="1007"/>
      <c r="DC69" s="1007"/>
      <c r="DD69" s="1007"/>
      <c r="DE69" s="1236">
        <v>20976856.531600211</v>
      </c>
      <c r="DF69" s="1007"/>
      <c r="DG69" s="1007"/>
      <c r="DH69" s="1007"/>
      <c r="DI69" s="1006"/>
      <c r="DJ69" s="1006"/>
      <c r="DK69" s="1007"/>
      <c r="DL69" s="1007"/>
      <c r="DM69" s="1007"/>
      <c r="DN69" s="1007"/>
      <c r="DO69" s="1112"/>
      <c r="DP69" s="1112"/>
      <c r="DQ69" s="1270"/>
      <c r="DR69" s="1154">
        <f t="shared" si="142"/>
        <v>272956.02509464091</v>
      </c>
      <c r="DS69" s="1154">
        <f t="shared" si="143"/>
        <v>0</v>
      </c>
      <c r="DT69" s="1154">
        <f t="shared" si="144"/>
        <v>0</v>
      </c>
      <c r="DU69" s="1154">
        <f t="shared" si="145"/>
        <v>0</v>
      </c>
      <c r="DV69" s="1154">
        <f t="shared" si="146"/>
        <v>0</v>
      </c>
      <c r="DW69" s="1154">
        <f t="shared" si="147"/>
        <v>0</v>
      </c>
      <c r="DX69" s="1154">
        <f t="shared" si="148"/>
        <v>0</v>
      </c>
      <c r="DY69" s="1154">
        <f t="shared" si="149"/>
        <v>0</v>
      </c>
      <c r="DZ69" s="1154">
        <f t="shared" si="150"/>
        <v>0</v>
      </c>
      <c r="EA69" s="1154">
        <f t="shared" si="151"/>
        <v>0</v>
      </c>
      <c r="EB69" s="1154">
        <f t="shared" si="152"/>
        <v>0</v>
      </c>
      <c r="EC69" s="1154">
        <f t="shared" si="153"/>
        <v>0</v>
      </c>
      <c r="ED69" s="1154">
        <f t="shared" si="154"/>
        <v>0</v>
      </c>
      <c r="EE69" s="1154">
        <f t="shared" si="155"/>
        <v>0</v>
      </c>
      <c r="EF69" s="1154">
        <f t="shared" si="156"/>
        <v>0</v>
      </c>
      <c r="EG69" s="1154">
        <f t="shared" si="157"/>
        <v>68986.9725178402</v>
      </c>
      <c r="EH69" s="1154">
        <f t="shared" si="158"/>
        <v>0</v>
      </c>
      <c r="EI69" s="1154">
        <f t="shared" si="159"/>
        <v>0</v>
      </c>
      <c r="EJ69" s="1154">
        <f t="shared" si="160"/>
        <v>0</v>
      </c>
      <c r="EK69" s="1154">
        <f t="shared" si="161"/>
        <v>0</v>
      </c>
      <c r="EL69" s="1154">
        <f t="shared" si="162"/>
        <v>0</v>
      </c>
      <c r="EM69" s="1154">
        <f t="shared" si="163"/>
        <v>0</v>
      </c>
      <c r="EN69" s="1154">
        <f t="shared" si="164"/>
        <v>0</v>
      </c>
      <c r="EO69" s="1154">
        <f t="shared" si="165"/>
        <v>284885.8754744787</v>
      </c>
      <c r="EP69" s="1154">
        <f t="shared" si="166"/>
        <v>0</v>
      </c>
      <c r="EQ69" s="1154">
        <f t="shared" si="167"/>
        <v>0</v>
      </c>
      <c r="ER69" s="1154">
        <f t="shared" si="168"/>
        <v>0</v>
      </c>
      <c r="ES69" s="1154">
        <f t="shared" si="169"/>
        <v>0</v>
      </c>
      <c r="ET69" s="1154">
        <f t="shared" si="170"/>
        <v>0</v>
      </c>
      <c r="EU69" s="1154">
        <f t="shared" si="171"/>
        <v>0</v>
      </c>
      <c r="EV69" s="1154">
        <f t="shared" si="172"/>
        <v>0</v>
      </c>
      <c r="EW69" s="1154">
        <f t="shared" si="173"/>
        <v>0</v>
      </c>
      <c r="EX69" s="1154">
        <f t="shared" si="174"/>
        <v>0</v>
      </c>
      <c r="EY69" s="1154">
        <f t="shared" si="175"/>
        <v>0</v>
      </c>
      <c r="EZ69" s="1154">
        <f t="shared" si="176"/>
        <v>0</v>
      </c>
      <c r="FA69" s="1174">
        <f t="shared" si="177"/>
        <v>626828.87308695982</v>
      </c>
      <c r="FC69" s="1154">
        <f t="shared" si="178"/>
        <v>270253.49019271374</v>
      </c>
      <c r="FD69" s="1154">
        <f t="shared" si="179"/>
        <v>0</v>
      </c>
      <c r="FE69" s="1154">
        <f t="shared" si="180"/>
        <v>0</v>
      </c>
      <c r="FF69" s="1154">
        <f t="shared" si="181"/>
        <v>0</v>
      </c>
      <c r="FG69" s="1154">
        <f t="shared" si="182"/>
        <v>0</v>
      </c>
      <c r="FH69" s="1154">
        <f t="shared" si="183"/>
        <v>0</v>
      </c>
      <c r="FI69" s="1154">
        <f t="shared" si="184"/>
        <v>0</v>
      </c>
      <c r="FJ69" s="1154">
        <f t="shared" si="185"/>
        <v>0</v>
      </c>
      <c r="FK69" s="1154">
        <f t="shared" si="186"/>
        <v>0</v>
      </c>
      <c r="FL69" s="1154">
        <f t="shared" si="187"/>
        <v>0</v>
      </c>
      <c r="FM69" s="1154">
        <f t="shared" si="188"/>
        <v>0</v>
      </c>
      <c r="FN69" s="1154">
        <f t="shared" si="189"/>
        <v>0</v>
      </c>
      <c r="FO69" s="1154">
        <f t="shared" si="190"/>
        <v>0</v>
      </c>
      <c r="FP69" s="1154">
        <f t="shared" si="191"/>
        <v>0</v>
      </c>
      <c r="FQ69" s="1154">
        <f t="shared" si="192"/>
        <v>0</v>
      </c>
      <c r="FR69" s="1154">
        <f t="shared" si="193"/>
        <v>68303.933185980393</v>
      </c>
      <c r="FS69" s="1154">
        <f t="shared" si="194"/>
        <v>0</v>
      </c>
      <c r="FT69" s="1154">
        <f t="shared" si="195"/>
        <v>0</v>
      </c>
      <c r="FU69" s="1154">
        <f t="shared" si="196"/>
        <v>0</v>
      </c>
      <c r="FV69" s="1154">
        <f t="shared" si="197"/>
        <v>0</v>
      </c>
      <c r="FW69" s="1154">
        <f t="shared" si="198"/>
        <v>0</v>
      </c>
      <c r="FX69" s="1154">
        <f t="shared" si="199"/>
        <v>0</v>
      </c>
      <c r="FY69" s="1154">
        <f t="shared" si="200"/>
        <v>0</v>
      </c>
      <c r="FZ69" s="1154">
        <f t="shared" si="201"/>
        <v>277455.99749067135</v>
      </c>
      <c r="GA69" s="1154">
        <f t="shared" si="202"/>
        <v>0</v>
      </c>
      <c r="GB69" s="1154">
        <f t="shared" si="203"/>
        <v>0</v>
      </c>
      <c r="GC69" s="1154">
        <f t="shared" si="204"/>
        <v>0</v>
      </c>
      <c r="GD69" s="1154">
        <f t="shared" si="205"/>
        <v>0</v>
      </c>
      <c r="GE69" s="1154">
        <f t="shared" si="206"/>
        <v>0</v>
      </c>
      <c r="GF69" s="1154">
        <f t="shared" si="207"/>
        <v>0</v>
      </c>
      <c r="GG69" s="1154">
        <f t="shared" si="208"/>
        <v>0</v>
      </c>
      <c r="GH69" s="1154">
        <f t="shared" si="209"/>
        <v>0</v>
      </c>
      <c r="GI69" s="1154">
        <f t="shared" si="210"/>
        <v>0</v>
      </c>
      <c r="GJ69" s="1154">
        <f t="shared" si="211"/>
        <v>0</v>
      </c>
      <c r="GK69" s="1154">
        <f t="shared" si="212"/>
        <v>0</v>
      </c>
      <c r="GL69" s="1174">
        <f t="shared" si="213"/>
        <v>616013.42086936545</v>
      </c>
    </row>
    <row r="70" spans="2:194">
      <c r="B70" s="1290" t="str">
        <f t="shared" si="141"/>
        <v>SACDUOSWDST</v>
      </c>
      <c r="C70" s="1289" t="str">
        <f>C69</f>
        <v>West SAC&gt;100MWhpa DemandSmall</v>
      </c>
      <c r="D70" s="1113" t="str">
        <f t="shared" ref="D70" si="238">D69</f>
        <v>West SAC&gt;100MWhpa DemandSmall</v>
      </c>
      <c r="E70" s="1113" t="str">
        <f t="shared" ref="E70" si="239">E69</f>
        <v>SAC</v>
      </c>
      <c r="F70" s="1113" t="str">
        <f t="shared" ref="F70:G70" si="240">F69</f>
        <v>SACL</v>
      </c>
      <c r="G70" s="1113" t="str">
        <f t="shared" si="240"/>
        <v>West</v>
      </c>
      <c r="H70" s="1113" t="str">
        <f t="shared" ref="H70" si="241">H69</f>
        <v>WDST</v>
      </c>
      <c r="I70" s="1114" t="s">
        <v>759</v>
      </c>
      <c r="J70" s="1114" t="s">
        <v>934</v>
      </c>
      <c r="K70" s="1270"/>
      <c r="L70" s="1233">
        <v>7.2208920000000001</v>
      </c>
      <c r="M70" s="1007"/>
      <c r="N70" s="1007"/>
      <c r="O70" s="1007"/>
      <c r="P70" s="1007"/>
      <c r="Q70" s="1007"/>
      <c r="R70" s="1007"/>
      <c r="S70" s="1007"/>
      <c r="T70" s="1007"/>
      <c r="U70" s="1007"/>
      <c r="V70" s="1007"/>
      <c r="W70" s="1784">
        <v>3.4261731000000002</v>
      </c>
      <c r="X70" s="1007"/>
      <c r="Y70" s="1007"/>
      <c r="Z70" s="1007"/>
      <c r="AA70" s="1233">
        <v>3.8068590000000002</v>
      </c>
      <c r="AB70" s="1007"/>
      <c r="AC70" s="1007"/>
      <c r="AD70" s="1007"/>
      <c r="AE70" s="1007"/>
      <c r="AF70" s="1007"/>
      <c r="AG70" s="1007"/>
      <c r="AH70" s="1007"/>
      <c r="AI70" s="1224">
        <v>1.4121324100704864E-2</v>
      </c>
      <c r="AJ70" s="1005"/>
      <c r="AK70" s="1005"/>
      <c r="AL70" s="1005"/>
      <c r="AM70" s="1005"/>
      <c r="AN70" s="1005"/>
      <c r="AO70" s="1005"/>
      <c r="AP70" s="1005"/>
      <c r="AQ70" s="1005"/>
      <c r="AR70" s="1005"/>
      <c r="AS70" s="1005"/>
      <c r="AT70" s="1005"/>
      <c r="AU70" s="1006"/>
      <c r="AV70" s="1270"/>
      <c r="AW70" s="1480">
        <v>7.2208920000000001</v>
      </c>
      <c r="AX70" s="1006"/>
      <c r="AY70" s="1006"/>
      <c r="AZ70" s="1006"/>
      <c r="BA70" s="1006"/>
      <c r="BB70" s="1006"/>
      <c r="BC70" s="1006"/>
      <c r="BD70" s="1006"/>
      <c r="BE70" s="1006"/>
      <c r="BF70" s="1006"/>
      <c r="BG70" s="1006"/>
      <c r="BH70" s="1608">
        <v>3.4260000000000002</v>
      </c>
      <c r="BI70" s="1006"/>
      <c r="BJ70" s="1006"/>
      <c r="BK70" s="1006"/>
      <c r="BL70" s="1480">
        <v>3.8068590000000002</v>
      </c>
      <c r="BM70" s="1006"/>
      <c r="BN70" s="1006"/>
      <c r="BO70" s="1006"/>
      <c r="BP70" s="1006"/>
      <c r="BQ70" s="1006"/>
      <c r="BR70" s="1006"/>
      <c r="BS70" s="1006"/>
      <c r="BT70" s="1480">
        <v>1.4772535454067301E-2</v>
      </c>
      <c r="BU70" s="1006"/>
      <c r="BV70" s="1006"/>
      <c r="BW70" s="1006"/>
      <c r="BX70" s="1006"/>
      <c r="BY70" s="1006"/>
      <c r="BZ70" s="1006"/>
      <c r="CA70" s="1006"/>
      <c r="CB70" s="1006"/>
      <c r="CC70" s="1006"/>
      <c r="CD70" s="1006"/>
      <c r="CE70" s="1006"/>
      <c r="CF70" s="1006"/>
      <c r="CG70" s="1209"/>
      <c r="CH70" s="1236">
        <v>27.866819021704654</v>
      </c>
      <c r="CI70" s="1007"/>
      <c r="CJ70" s="1007"/>
      <c r="CK70" s="1007"/>
      <c r="CL70" s="1007"/>
      <c r="CM70" s="1007"/>
      <c r="CN70" s="1007"/>
      <c r="CO70" s="1007"/>
      <c r="CP70" s="1007"/>
      <c r="CQ70" s="1007"/>
      <c r="CR70" s="1007"/>
      <c r="CS70" s="1007"/>
      <c r="CT70" s="1007"/>
      <c r="CU70" s="1007"/>
      <c r="CV70" s="1007"/>
      <c r="CW70" s="1236">
        <v>7248.5641782348166</v>
      </c>
      <c r="CX70" s="1007"/>
      <c r="CY70" s="1007"/>
      <c r="CZ70" s="1007"/>
      <c r="DA70" s="1007"/>
      <c r="DB70" s="1007"/>
      <c r="DC70" s="1007"/>
      <c r="DD70" s="1007"/>
      <c r="DE70" s="1236">
        <v>4313046.4564215634</v>
      </c>
      <c r="DF70" s="1007"/>
      <c r="DG70" s="1007"/>
      <c r="DH70" s="1007"/>
      <c r="DI70" s="1006"/>
      <c r="DJ70" s="1006"/>
      <c r="DK70" s="1007"/>
      <c r="DL70" s="1007"/>
      <c r="DM70" s="1007"/>
      <c r="DN70" s="1007"/>
      <c r="DO70" s="1112"/>
      <c r="DP70" s="1112"/>
      <c r="DQ70" s="1270"/>
      <c r="DR70" s="1154">
        <f t="shared" si="142"/>
        <v>73446.501046835358</v>
      </c>
      <c r="DS70" s="1154">
        <f t="shared" si="143"/>
        <v>0</v>
      </c>
      <c r="DT70" s="1154">
        <f t="shared" si="144"/>
        <v>0</v>
      </c>
      <c r="DU70" s="1154">
        <f t="shared" si="145"/>
        <v>0</v>
      </c>
      <c r="DV70" s="1154">
        <f t="shared" si="146"/>
        <v>0</v>
      </c>
      <c r="DW70" s="1154">
        <f t="shared" si="147"/>
        <v>0</v>
      </c>
      <c r="DX70" s="1154">
        <f t="shared" si="148"/>
        <v>0</v>
      </c>
      <c r="DY70" s="1154">
        <f t="shared" si="149"/>
        <v>0</v>
      </c>
      <c r="DZ70" s="1154">
        <f t="shared" si="150"/>
        <v>0</v>
      </c>
      <c r="EA70" s="1154">
        <f t="shared" si="151"/>
        <v>0</v>
      </c>
      <c r="EB70" s="1154">
        <f t="shared" si="152"/>
        <v>0</v>
      </c>
      <c r="EC70" s="1154">
        <f t="shared" si="153"/>
        <v>0</v>
      </c>
      <c r="ED70" s="1154">
        <f t="shared" si="154"/>
        <v>0</v>
      </c>
      <c r="EE70" s="1154">
        <f t="shared" si="155"/>
        <v>0</v>
      </c>
      <c r="EF70" s="1154">
        <f t="shared" si="156"/>
        <v>0</v>
      </c>
      <c r="EG70" s="1154">
        <f t="shared" si="157"/>
        <v>27594.261778990818</v>
      </c>
      <c r="EH70" s="1154">
        <f t="shared" si="158"/>
        <v>0</v>
      </c>
      <c r="EI70" s="1154">
        <f t="shared" si="159"/>
        <v>0</v>
      </c>
      <c r="EJ70" s="1154">
        <f t="shared" si="160"/>
        <v>0</v>
      </c>
      <c r="EK70" s="1154">
        <f t="shared" si="161"/>
        <v>0</v>
      </c>
      <c r="EL70" s="1154">
        <f t="shared" si="162"/>
        <v>0</v>
      </c>
      <c r="EM70" s="1154">
        <f t="shared" si="163"/>
        <v>0</v>
      </c>
      <c r="EN70" s="1154">
        <f t="shared" si="164"/>
        <v>0</v>
      </c>
      <c r="EO70" s="1154">
        <f t="shared" si="165"/>
        <v>60905.926872525532</v>
      </c>
      <c r="EP70" s="1154">
        <f t="shared" si="166"/>
        <v>0</v>
      </c>
      <c r="EQ70" s="1154">
        <f t="shared" si="167"/>
        <v>0</v>
      </c>
      <c r="ER70" s="1154">
        <f t="shared" si="168"/>
        <v>0</v>
      </c>
      <c r="ES70" s="1154">
        <f t="shared" si="169"/>
        <v>0</v>
      </c>
      <c r="ET70" s="1154">
        <f t="shared" si="170"/>
        <v>0</v>
      </c>
      <c r="EU70" s="1154">
        <f t="shared" si="171"/>
        <v>0</v>
      </c>
      <c r="EV70" s="1154">
        <f t="shared" si="172"/>
        <v>0</v>
      </c>
      <c r="EW70" s="1154">
        <f t="shared" si="173"/>
        <v>0</v>
      </c>
      <c r="EX70" s="1154">
        <f t="shared" si="174"/>
        <v>0</v>
      </c>
      <c r="EY70" s="1154">
        <f t="shared" si="175"/>
        <v>0</v>
      </c>
      <c r="EZ70" s="1154">
        <f t="shared" si="176"/>
        <v>0</v>
      </c>
      <c r="FA70" s="1174">
        <f t="shared" si="177"/>
        <v>161946.68969835172</v>
      </c>
      <c r="FC70" s="1154">
        <f t="shared" si="178"/>
        <v>73446.501046835358</v>
      </c>
      <c r="FD70" s="1154">
        <f t="shared" si="179"/>
        <v>0</v>
      </c>
      <c r="FE70" s="1154">
        <f t="shared" si="180"/>
        <v>0</v>
      </c>
      <c r="FF70" s="1154">
        <f t="shared" si="181"/>
        <v>0</v>
      </c>
      <c r="FG70" s="1154">
        <f t="shared" si="182"/>
        <v>0</v>
      </c>
      <c r="FH70" s="1154">
        <f t="shared" si="183"/>
        <v>0</v>
      </c>
      <c r="FI70" s="1154">
        <f t="shared" si="184"/>
        <v>0</v>
      </c>
      <c r="FJ70" s="1154">
        <f t="shared" si="185"/>
        <v>0</v>
      </c>
      <c r="FK70" s="1154">
        <f t="shared" si="186"/>
        <v>0</v>
      </c>
      <c r="FL70" s="1154">
        <f t="shared" si="187"/>
        <v>0</v>
      </c>
      <c r="FM70" s="1154">
        <f t="shared" si="188"/>
        <v>0</v>
      </c>
      <c r="FN70" s="1154">
        <f t="shared" si="189"/>
        <v>0</v>
      </c>
      <c r="FO70" s="1154">
        <f t="shared" si="190"/>
        <v>0</v>
      </c>
      <c r="FP70" s="1154">
        <f t="shared" si="191"/>
        <v>0</v>
      </c>
      <c r="FQ70" s="1154">
        <f t="shared" si="192"/>
        <v>0</v>
      </c>
      <c r="FR70" s="1154">
        <f t="shared" si="193"/>
        <v>27594.261778990818</v>
      </c>
      <c r="FS70" s="1154">
        <f t="shared" si="194"/>
        <v>0</v>
      </c>
      <c r="FT70" s="1154">
        <f t="shared" si="195"/>
        <v>0</v>
      </c>
      <c r="FU70" s="1154">
        <f t="shared" si="196"/>
        <v>0</v>
      </c>
      <c r="FV70" s="1154">
        <f t="shared" si="197"/>
        <v>0</v>
      </c>
      <c r="FW70" s="1154">
        <f t="shared" si="198"/>
        <v>0</v>
      </c>
      <c r="FX70" s="1154">
        <f t="shared" si="199"/>
        <v>0</v>
      </c>
      <c r="FY70" s="1154">
        <f t="shared" si="200"/>
        <v>0</v>
      </c>
      <c r="FZ70" s="1154">
        <f t="shared" si="201"/>
        <v>63714.631692526884</v>
      </c>
      <c r="GA70" s="1154">
        <f t="shared" si="202"/>
        <v>0</v>
      </c>
      <c r="GB70" s="1154">
        <f t="shared" si="203"/>
        <v>0</v>
      </c>
      <c r="GC70" s="1154">
        <f t="shared" si="204"/>
        <v>0</v>
      </c>
      <c r="GD70" s="1154">
        <f t="shared" si="205"/>
        <v>0</v>
      </c>
      <c r="GE70" s="1154">
        <f t="shared" si="206"/>
        <v>0</v>
      </c>
      <c r="GF70" s="1154">
        <f t="shared" si="207"/>
        <v>0</v>
      </c>
      <c r="GG70" s="1154">
        <f t="shared" si="208"/>
        <v>0</v>
      </c>
      <c r="GH70" s="1154">
        <f t="shared" si="209"/>
        <v>0</v>
      </c>
      <c r="GI70" s="1154">
        <f t="shared" si="210"/>
        <v>0</v>
      </c>
      <c r="GJ70" s="1154">
        <f t="shared" si="211"/>
        <v>0</v>
      </c>
      <c r="GK70" s="1154">
        <f t="shared" si="212"/>
        <v>0</v>
      </c>
      <c r="GL70" s="1174">
        <f t="shared" si="213"/>
        <v>164755.39451835307</v>
      </c>
    </row>
    <row r="71" spans="2:194">
      <c r="B71" s="1290" t="str">
        <f t="shared" si="141"/>
        <v>SACDUOSMDLT</v>
      </c>
      <c r="C71" s="1289" t="str">
        <f>Prop2021DUOSTariffs!C31</f>
        <v>MtIsa SAC&gt;100MWhpa DemandLarge</v>
      </c>
      <c r="D71" s="1113" t="str">
        <f>Prop2021DUOSTariffs!D31</f>
        <v>MtIsa SAC&gt;100MWhpa DemandLarge</v>
      </c>
      <c r="E71" s="1113" t="str">
        <f>Prop2021DUOSTariffs!E31</f>
        <v>SAC</v>
      </c>
      <c r="F71" s="1113" t="str">
        <f>Prop2021DUOSTariffs!F31</f>
        <v>SACL</v>
      </c>
      <c r="G71" s="1113" t="str">
        <f>Prop2021DUOSTariffs!G31</f>
        <v>Mt Isa</v>
      </c>
      <c r="H71" s="1113" t="str">
        <f>IF(Prop2021DUOSTariffs!H31="","",Prop2021DUOSTariffs!H31)</f>
        <v>MDLT</v>
      </c>
      <c r="I71" s="1114" t="s">
        <v>761</v>
      </c>
      <c r="J71" s="1114" t="s">
        <v>934</v>
      </c>
      <c r="K71" s="1270"/>
      <c r="L71" s="1233">
        <v>10.869680600000001</v>
      </c>
      <c r="M71" s="1007"/>
      <c r="N71" s="1007"/>
      <c r="O71" s="1007"/>
      <c r="P71" s="1007"/>
      <c r="Q71" s="1007"/>
      <c r="R71" s="1007"/>
      <c r="S71" s="1007"/>
      <c r="T71" s="1007"/>
      <c r="U71" s="1007"/>
      <c r="V71" s="1007"/>
      <c r="W71" s="1784">
        <v>0.53574642000000006</v>
      </c>
      <c r="X71" s="1007"/>
      <c r="Y71" s="1007"/>
      <c r="Z71" s="1007"/>
      <c r="AA71" s="1233">
        <v>0.59527380000000008</v>
      </c>
      <c r="AB71" s="1007"/>
      <c r="AC71" s="1007"/>
      <c r="AD71" s="1007"/>
      <c r="AE71" s="1007"/>
      <c r="AF71" s="1007"/>
      <c r="AG71" s="1007"/>
      <c r="AH71" s="1007"/>
      <c r="AI71" s="1224">
        <v>7.7007696230930512E-4</v>
      </c>
      <c r="AJ71" s="1005"/>
      <c r="AK71" s="1005"/>
      <c r="AL71" s="1005"/>
      <c r="AM71" s="1005"/>
      <c r="AN71" s="1005"/>
      <c r="AO71" s="1005"/>
      <c r="AP71" s="1005"/>
      <c r="AQ71" s="1005"/>
      <c r="AR71" s="1005"/>
      <c r="AS71" s="1005"/>
      <c r="AT71" s="1005"/>
      <c r="AU71" s="1006"/>
      <c r="AV71" s="1270"/>
      <c r="AW71" s="1480">
        <v>10.76206</v>
      </c>
      <c r="AX71" s="1006"/>
      <c r="AY71" s="1006"/>
      <c r="AZ71" s="1006"/>
      <c r="BA71" s="1006"/>
      <c r="BB71" s="1006"/>
      <c r="BC71" s="1006"/>
      <c r="BD71" s="1006"/>
      <c r="BE71" s="1006"/>
      <c r="BF71" s="1006"/>
      <c r="BG71" s="1006"/>
      <c r="BH71" s="1608">
        <v>0.53</v>
      </c>
      <c r="BI71" s="1006"/>
      <c r="BJ71" s="1006"/>
      <c r="BK71" s="1006"/>
      <c r="BL71" s="1480">
        <v>0.58938000000000001</v>
      </c>
      <c r="BM71" s="1006"/>
      <c r="BN71" s="1006"/>
      <c r="BO71" s="1006"/>
      <c r="BP71" s="1006"/>
      <c r="BQ71" s="1006"/>
      <c r="BR71" s="1006"/>
      <c r="BS71" s="1006"/>
      <c r="BT71" s="1480">
        <v>6.1898319928093575E-4</v>
      </c>
      <c r="BU71" s="1006"/>
      <c r="BV71" s="1006"/>
      <c r="BW71" s="1006"/>
      <c r="BX71" s="1006"/>
      <c r="BY71" s="1006"/>
      <c r="BZ71" s="1006"/>
      <c r="CA71" s="1006"/>
      <c r="CB71" s="1006"/>
      <c r="CC71" s="1006"/>
      <c r="CD71" s="1006"/>
      <c r="CE71" s="1006"/>
      <c r="CF71" s="1006"/>
      <c r="CG71" s="1209"/>
      <c r="CH71" s="1236">
        <v>7</v>
      </c>
      <c r="CI71" s="1007"/>
      <c r="CJ71" s="1007"/>
      <c r="CK71" s="1007"/>
      <c r="CL71" s="1007"/>
      <c r="CM71" s="1007"/>
      <c r="CN71" s="1007"/>
      <c r="CO71" s="1007"/>
      <c r="CP71" s="1007"/>
      <c r="CQ71" s="1007"/>
      <c r="CR71" s="1007"/>
      <c r="CS71" s="1007"/>
      <c r="CT71" s="1007"/>
      <c r="CU71" s="1007"/>
      <c r="CV71" s="1007"/>
      <c r="CW71" s="1236">
        <v>1444.8</v>
      </c>
      <c r="CX71" s="1007"/>
      <c r="CY71" s="1007"/>
      <c r="CZ71" s="1007"/>
      <c r="DA71" s="1007"/>
      <c r="DB71" s="1007"/>
      <c r="DC71" s="1007"/>
      <c r="DD71" s="1007"/>
      <c r="DE71" s="1236">
        <v>11668536.95884</v>
      </c>
      <c r="DF71" s="1007"/>
      <c r="DG71" s="1007"/>
      <c r="DH71" s="1007"/>
      <c r="DI71" s="1006"/>
      <c r="DJ71" s="1006"/>
      <c r="DK71" s="1007"/>
      <c r="DL71" s="1007"/>
      <c r="DM71" s="1007"/>
      <c r="DN71" s="1007"/>
      <c r="DO71" s="1112"/>
      <c r="DP71" s="1112"/>
      <c r="DQ71" s="1270"/>
      <c r="DR71" s="1154">
        <f t="shared" si="142"/>
        <v>27772.033933000002</v>
      </c>
      <c r="DS71" s="1154">
        <f t="shared" si="143"/>
        <v>0</v>
      </c>
      <c r="DT71" s="1154">
        <f t="shared" si="144"/>
        <v>0</v>
      </c>
      <c r="DU71" s="1154">
        <f t="shared" si="145"/>
        <v>0</v>
      </c>
      <c r="DV71" s="1154">
        <f t="shared" si="146"/>
        <v>0</v>
      </c>
      <c r="DW71" s="1154">
        <f t="shared" si="147"/>
        <v>0</v>
      </c>
      <c r="DX71" s="1154">
        <f t="shared" si="148"/>
        <v>0</v>
      </c>
      <c r="DY71" s="1154">
        <f t="shared" si="149"/>
        <v>0</v>
      </c>
      <c r="DZ71" s="1154">
        <f t="shared" si="150"/>
        <v>0</v>
      </c>
      <c r="EA71" s="1154">
        <f t="shared" si="151"/>
        <v>0</v>
      </c>
      <c r="EB71" s="1154">
        <f t="shared" si="152"/>
        <v>0</v>
      </c>
      <c r="EC71" s="1154">
        <f t="shared" si="153"/>
        <v>0</v>
      </c>
      <c r="ED71" s="1154">
        <f t="shared" si="154"/>
        <v>0</v>
      </c>
      <c r="EE71" s="1154">
        <f t="shared" si="155"/>
        <v>0</v>
      </c>
      <c r="EF71" s="1154">
        <f t="shared" si="156"/>
        <v>0</v>
      </c>
      <c r="EG71" s="1154">
        <f t="shared" si="157"/>
        <v>860.05158624000012</v>
      </c>
      <c r="EH71" s="1154">
        <f t="shared" si="158"/>
        <v>0</v>
      </c>
      <c r="EI71" s="1154">
        <f t="shared" si="159"/>
        <v>0</v>
      </c>
      <c r="EJ71" s="1154">
        <f t="shared" si="160"/>
        <v>0</v>
      </c>
      <c r="EK71" s="1154">
        <f t="shared" si="161"/>
        <v>0</v>
      </c>
      <c r="EL71" s="1154">
        <f t="shared" si="162"/>
        <v>0</v>
      </c>
      <c r="EM71" s="1154">
        <f t="shared" si="163"/>
        <v>0</v>
      </c>
      <c r="EN71" s="1154">
        <f t="shared" si="164"/>
        <v>0</v>
      </c>
      <c r="EO71" s="1154">
        <f t="shared" si="165"/>
        <v>8985.6714958573648</v>
      </c>
      <c r="EP71" s="1154">
        <f t="shared" si="166"/>
        <v>0</v>
      </c>
      <c r="EQ71" s="1154">
        <f t="shared" si="167"/>
        <v>0</v>
      </c>
      <c r="ER71" s="1154">
        <f t="shared" si="168"/>
        <v>0</v>
      </c>
      <c r="ES71" s="1154">
        <f t="shared" si="169"/>
        <v>0</v>
      </c>
      <c r="ET71" s="1154">
        <f t="shared" si="170"/>
        <v>0</v>
      </c>
      <c r="EU71" s="1154">
        <f t="shared" si="171"/>
        <v>0</v>
      </c>
      <c r="EV71" s="1154">
        <f t="shared" si="172"/>
        <v>0</v>
      </c>
      <c r="EW71" s="1154">
        <f t="shared" si="173"/>
        <v>0</v>
      </c>
      <c r="EX71" s="1154">
        <f t="shared" si="174"/>
        <v>0</v>
      </c>
      <c r="EY71" s="1154">
        <f t="shared" si="175"/>
        <v>0</v>
      </c>
      <c r="EZ71" s="1154">
        <f t="shared" si="176"/>
        <v>0</v>
      </c>
      <c r="FA71" s="1174">
        <f t="shared" si="177"/>
        <v>37617.757015097362</v>
      </c>
      <c r="FC71" s="1154">
        <f t="shared" si="178"/>
        <v>27497.063299999998</v>
      </c>
      <c r="FD71" s="1154">
        <f t="shared" si="179"/>
        <v>0</v>
      </c>
      <c r="FE71" s="1154">
        <f t="shared" si="180"/>
        <v>0</v>
      </c>
      <c r="FF71" s="1154">
        <f t="shared" si="181"/>
        <v>0</v>
      </c>
      <c r="FG71" s="1154">
        <f t="shared" si="182"/>
        <v>0</v>
      </c>
      <c r="FH71" s="1154">
        <f t="shared" si="183"/>
        <v>0</v>
      </c>
      <c r="FI71" s="1154">
        <f t="shared" si="184"/>
        <v>0</v>
      </c>
      <c r="FJ71" s="1154">
        <f t="shared" si="185"/>
        <v>0</v>
      </c>
      <c r="FK71" s="1154">
        <f t="shared" si="186"/>
        <v>0</v>
      </c>
      <c r="FL71" s="1154">
        <f t="shared" si="187"/>
        <v>0</v>
      </c>
      <c r="FM71" s="1154">
        <f t="shared" si="188"/>
        <v>0</v>
      </c>
      <c r="FN71" s="1154">
        <f t="shared" si="189"/>
        <v>0</v>
      </c>
      <c r="FO71" s="1154">
        <f t="shared" si="190"/>
        <v>0</v>
      </c>
      <c r="FP71" s="1154">
        <f t="shared" si="191"/>
        <v>0</v>
      </c>
      <c r="FQ71" s="1154">
        <f t="shared" si="192"/>
        <v>0</v>
      </c>
      <c r="FR71" s="1154">
        <f t="shared" si="193"/>
        <v>851.53622399999995</v>
      </c>
      <c r="FS71" s="1154">
        <f t="shared" si="194"/>
        <v>0</v>
      </c>
      <c r="FT71" s="1154">
        <f t="shared" si="195"/>
        <v>0</v>
      </c>
      <c r="FU71" s="1154">
        <f t="shared" si="196"/>
        <v>0</v>
      </c>
      <c r="FV71" s="1154">
        <f t="shared" si="197"/>
        <v>0</v>
      </c>
      <c r="FW71" s="1154">
        <f t="shared" si="198"/>
        <v>0</v>
      </c>
      <c r="FX71" s="1154">
        <f t="shared" si="199"/>
        <v>0</v>
      </c>
      <c r="FY71" s="1154">
        <f t="shared" si="200"/>
        <v>0</v>
      </c>
      <c r="FZ71" s="1154">
        <f t="shared" si="201"/>
        <v>7222.6283377106238</v>
      </c>
      <c r="GA71" s="1154">
        <f t="shared" si="202"/>
        <v>0</v>
      </c>
      <c r="GB71" s="1154">
        <f t="shared" si="203"/>
        <v>0</v>
      </c>
      <c r="GC71" s="1154">
        <f t="shared" si="204"/>
        <v>0</v>
      </c>
      <c r="GD71" s="1154">
        <f t="shared" si="205"/>
        <v>0</v>
      </c>
      <c r="GE71" s="1154">
        <f t="shared" si="206"/>
        <v>0</v>
      </c>
      <c r="GF71" s="1154">
        <f t="shared" si="207"/>
        <v>0</v>
      </c>
      <c r="GG71" s="1154">
        <f t="shared" si="208"/>
        <v>0</v>
      </c>
      <c r="GH71" s="1154">
        <f t="shared" si="209"/>
        <v>0</v>
      </c>
      <c r="GI71" s="1154">
        <f t="shared" si="210"/>
        <v>0</v>
      </c>
      <c r="GJ71" s="1154">
        <f t="shared" si="211"/>
        <v>0</v>
      </c>
      <c r="GK71" s="1154">
        <f t="shared" si="212"/>
        <v>0</v>
      </c>
      <c r="GL71" s="1174">
        <f t="shared" si="213"/>
        <v>35571.22786171062</v>
      </c>
    </row>
    <row r="72" spans="2:194">
      <c r="B72" s="1290" t="str">
        <f t="shared" si="141"/>
        <v>SACDUOSMDMT</v>
      </c>
      <c r="C72" s="1289" t="str">
        <f>C71</f>
        <v>MtIsa SAC&gt;100MWhpa DemandLarge</v>
      </c>
      <c r="D72" s="1113" t="str">
        <f>D71</f>
        <v>MtIsa SAC&gt;100MWhpa DemandLarge</v>
      </c>
      <c r="E72" s="1113" t="str">
        <f>Prop2021DUOSTariffs!E32</f>
        <v>SAC</v>
      </c>
      <c r="F72" s="1113" t="str">
        <f>Prop2021DUOSTariffs!F32</f>
        <v>SACL</v>
      </c>
      <c r="G72" s="1113" t="str">
        <f>Prop2021DUOSTariffs!G32</f>
        <v>Mt Isa</v>
      </c>
      <c r="H72" s="1113" t="str">
        <f>IF(Prop2021DUOSTariffs!H32="","",Prop2021DUOSTariffs!H32)</f>
        <v>MDMT</v>
      </c>
      <c r="I72" s="1114" t="s">
        <v>761</v>
      </c>
      <c r="J72" s="1114" t="s">
        <v>934</v>
      </c>
      <c r="K72" s="1270"/>
      <c r="L72" s="1233">
        <v>5.3925919999999987</v>
      </c>
      <c r="M72" s="1007"/>
      <c r="N72" s="1007"/>
      <c r="O72" s="1007"/>
      <c r="P72" s="1007"/>
      <c r="Q72" s="1007"/>
      <c r="R72" s="1007"/>
      <c r="S72" s="1007"/>
      <c r="T72" s="1007"/>
      <c r="U72" s="1007"/>
      <c r="V72" s="1007"/>
      <c r="W72" s="1784">
        <v>0.53574642000000006</v>
      </c>
      <c r="X72" s="1007"/>
      <c r="Y72" s="1007"/>
      <c r="Z72" s="1007"/>
      <c r="AA72" s="1233">
        <v>0.59527380000000008</v>
      </c>
      <c r="AB72" s="1007"/>
      <c r="AC72" s="1007"/>
      <c r="AD72" s="1007"/>
      <c r="AE72" s="1007"/>
      <c r="AF72" s="1007"/>
      <c r="AG72" s="1007"/>
      <c r="AH72" s="1007"/>
      <c r="AI72" s="1224">
        <v>7.7007696230930512E-4</v>
      </c>
      <c r="AJ72" s="1005"/>
      <c r="AK72" s="1005"/>
      <c r="AL72" s="1005"/>
      <c r="AM72" s="1005"/>
      <c r="AN72" s="1005"/>
      <c r="AO72" s="1005"/>
      <c r="AP72" s="1005"/>
      <c r="AQ72" s="1005"/>
      <c r="AR72" s="1005"/>
      <c r="AS72" s="1005"/>
      <c r="AT72" s="1005"/>
      <c r="AU72" s="1006"/>
      <c r="AV72" s="1270"/>
      <c r="AW72" s="1480">
        <v>5.3391999999999991</v>
      </c>
      <c r="AX72" s="1006"/>
      <c r="AY72" s="1006"/>
      <c r="AZ72" s="1006"/>
      <c r="BA72" s="1006"/>
      <c r="BB72" s="1006"/>
      <c r="BC72" s="1006"/>
      <c r="BD72" s="1006"/>
      <c r="BE72" s="1006"/>
      <c r="BF72" s="1006"/>
      <c r="BG72" s="1006"/>
      <c r="BH72" s="1608">
        <v>0.53</v>
      </c>
      <c r="BI72" s="1006"/>
      <c r="BJ72" s="1006"/>
      <c r="BK72" s="1006"/>
      <c r="BL72" s="1480">
        <v>0.58938000000000001</v>
      </c>
      <c r="BM72" s="1006"/>
      <c r="BN72" s="1006"/>
      <c r="BO72" s="1006"/>
      <c r="BP72" s="1006"/>
      <c r="BQ72" s="1006"/>
      <c r="BR72" s="1006"/>
      <c r="BS72" s="1006"/>
      <c r="BT72" s="1480">
        <v>6.1898319928093575E-4</v>
      </c>
      <c r="BU72" s="1006"/>
      <c r="BV72" s="1006"/>
      <c r="BW72" s="1006"/>
      <c r="BX72" s="1006"/>
      <c r="BY72" s="1006"/>
      <c r="BZ72" s="1006"/>
      <c r="CA72" s="1006"/>
      <c r="CB72" s="1006"/>
      <c r="CC72" s="1006"/>
      <c r="CD72" s="1006"/>
      <c r="CE72" s="1006"/>
      <c r="CF72" s="1006"/>
      <c r="CG72" s="1209"/>
      <c r="CH72" s="1236">
        <v>38</v>
      </c>
      <c r="CI72" s="1007"/>
      <c r="CJ72" s="1007"/>
      <c r="CK72" s="1007"/>
      <c r="CL72" s="1007"/>
      <c r="CM72" s="1007"/>
      <c r="CN72" s="1007"/>
      <c r="CO72" s="1007"/>
      <c r="CP72" s="1007"/>
      <c r="CQ72" s="1007"/>
      <c r="CR72" s="1007"/>
      <c r="CS72" s="1007"/>
      <c r="CT72" s="1007"/>
      <c r="CU72" s="1007"/>
      <c r="CV72" s="1007"/>
      <c r="CW72" s="1236">
        <v>26522.1</v>
      </c>
      <c r="CX72" s="1007"/>
      <c r="CY72" s="1007"/>
      <c r="CZ72" s="1007"/>
      <c r="DA72" s="1007"/>
      <c r="DB72" s="1007"/>
      <c r="DC72" s="1007"/>
      <c r="DD72" s="1007"/>
      <c r="DE72" s="1236">
        <v>18471984.24645</v>
      </c>
      <c r="DF72" s="1007"/>
      <c r="DG72" s="1007"/>
      <c r="DH72" s="1007"/>
      <c r="DI72" s="1006"/>
      <c r="DJ72" s="1006"/>
      <c r="DK72" s="1007"/>
      <c r="DL72" s="1007"/>
      <c r="DM72" s="1007"/>
      <c r="DN72" s="1007"/>
      <c r="DO72" s="1112"/>
      <c r="DP72" s="1112"/>
      <c r="DQ72" s="1270"/>
      <c r="DR72" s="1154">
        <f t="shared" si="142"/>
        <v>74795.251039999974</v>
      </c>
      <c r="DS72" s="1154">
        <f t="shared" si="143"/>
        <v>0</v>
      </c>
      <c r="DT72" s="1154">
        <f t="shared" si="144"/>
        <v>0</v>
      </c>
      <c r="DU72" s="1154">
        <f t="shared" si="145"/>
        <v>0</v>
      </c>
      <c r="DV72" s="1154">
        <f t="shared" si="146"/>
        <v>0</v>
      </c>
      <c r="DW72" s="1154">
        <f t="shared" si="147"/>
        <v>0</v>
      </c>
      <c r="DX72" s="1154">
        <f t="shared" si="148"/>
        <v>0</v>
      </c>
      <c r="DY72" s="1154">
        <f t="shared" si="149"/>
        <v>0</v>
      </c>
      <c r="DZ72" s="1154">
        <f t="shared" si="150"/>
        <v>0</v>
      </c>
      <c r="EA72" s="1154">
        <f t="shared" si="151"/>
        <v>0</v>
      </c>
      <c r="EB72" s="1154">
        <f t="shared" si="152"/>
        <v>0</v>
      </c>
      <c r="EC72" s="1154">
        <f t="shared" si="153"/>
        <v>0</v>
      </c>
      <c r="ED72" s="1154">
        <f t="shared" si="154"/>
        <v>0</v>
      </c>
      <c r="EE72" s="1154">
        <f t="shared" si="155"/>
        <v>0</v>
      </c>
      <c r="EF72" s="1154">
        <f t="shared" si="156"/>
        <v>0</v>
      </c>
      <c r="EG72" s="1154">
        <f t="shared" si="157"/>
        <v>15787.911250980002</v>
      </c>
      <c r="EH72" s="1154">
        <f t="shared" si="158"/>
        <v>0</v>
      </c>
      <c r="EI72" s="1154">
        <f t="shared" si="159"/>
        <v>0</v>
      </c>
      <c r="EJ72" s="1154">
        <f t="shared" si="160"/>
        <v>0</v>
      </c>
      <c r="EK72" s="1154">
        <f t="shared" si="161"/>
        <v>0</v>
      </c>
      <c r="EL72" s="1154">
        <f t="shared" si="162"/>
        <v>0</v>
      </c>
      <c r="EM72" s="1154">
        <f t="shared" si="163"/>
        <v>0</v>
      </c>
      <c r="EN72" s="1154">
        <f t="shared" si="164"/>
        <v>0</v>
      </c>
      <c r="EO72" s="1154">
        <f t="shared" si="165"/>
        <v>14224.849516331555</v>
      </c>
      <c r="EP72" s="1154">
        <f t="shared" si="166"/>
        <v>0</v>
      </c>
      <c r="EQ72" s="1154">
        <f t="shared" si="167"/>
        <v>0</v>
      </c>
      <c r="ER72" s="1154">
        <f t="shared" si="168"/>
        <v>0</v>
      </c>
      <c r="ES72" s="1154">
        <f t="shared" si="169"/>
        <v>0</v>
      </c>
      <c r="ET72" s="1154">
        <f t="shared" si="170"/>
        <v>0</v>
      </c>
      <c r="EU72" s="1154">
        <f t="shared" si="171"/>
        <v>0</v>
      </c>
      <c r="EV72" s="1154">
        <f t="shared" si="172"/>
        <v>0</v>
      </c>
      <c r="EW72" s="1154">
        <f t="shared" si="173"/>
        <v>0</v>
      </c>
      <c r="EX72" s="1154">
        <f t="shared" si="174"/>
        <v>0</v>
      </c>
      <c r="EY72" s="1154">
        <f t="shared" si="175"/>
        <v>0</v>
      </c>
      <c r="EZ72" s="1154">
        <f t="shared" si="176"/>
        <v>0</v>
      </c>
      <c r="FA72" s="1174">
        <f t="shared" si="177"/>
        <v>104808.01180731153</v>
      </c>
      <c r="FC72" s="1154">
        <f t="shared" si="178"/>
        <v>74054.703999999983</v>
      </c>
      <c r="FD72" s="1154">
        <f t="shared" si="179"/>
        <v>0</v>
      </c>
      <c r="FE72" s="1154">
        <f t="shared" si="180"/>
        <v>0</v>
      </c>
      <c r="FF72" s="1154">
        <f t="shared" si="181"/>
        <v>0</v>
      </c>
      <c r="FG72" s="1154">
        <f t="shared" si="182"/>
        <v>0</v>
      </c>
      <c r="FH72" s="1154">
        <f t="shared" si="183"/>
        <v>0</v>
      </c>
      <c r="FI72" s="1154">
        <f t="shared" si="184"/>
        <v>0</v>
      </c>
      <c r="FJ72" s="1154">
        <f t="shared" si="185"/>
        <v>0</v>
      </c>
      <c r="FK72" s="1154">
        <f t="shared" si="186"/>
        <v>0</v>
      </c>
      <c r="FL72" s="1154">
        <f t="shared" si="187"/>
        <v>0</v>
      </c>
      <c r="FM72" s="1154">
        <f t="shared" si="188"/>
        <v>0</v>
      </c>
      <c r="FN72" s="1154">
        <f t="shared" si="189"/>
        <v>0</v>
      </c>
      <c r="FO72" s="1154">
        <f t="shared" si="190"/>
        <v>0</v>
      </c>
      <c r="FP72" s="1154">
        <f t="shared" si="191"/>
        <v>0</v>
      </c>
      <c r="FQ72" s="1154">
        <f t="shared" si="192"/>
        <v>0</v>
      </c>
      <c r="FR72" s="1154">
        <f t="shared" si="193"/>
        <v>15631.595298</v>
      </c>
      <c r="FS72" s="1154">
        <f t="shared" si="194"/>
        <v>0</v>
      </c>
      <c r="FT72" s="1154">
        <f t="shared" si="195"/>
        <v>0</v>
      </c>
      <c r="FU72" s="1154">
        <f t="shared" si="196"/>
        <v>0</v>
      </c>
      <c r="FV72" s="1154">
        <f t="shared" si="197"/>
        <v>0</v>
      </c>
      <c r="FW72" s="1154">
        <f t="shared" si="198"/>
        <v>0</v>
      </c>
      <c r="FX72" s="1154">
        <f t="shared" si="199"/>
        <v>0</v>
      </c>
      <c r="FY72" s="1154">
        <f t="shared" si="200"/>
        <v>0</v>
      </c>
      <c r="FZ72" s="1154">
        <f t="shared" si="201"/>
        <v>11433.847905934666</v>
      </c>
      <c r="GA72" s="1154">
        <f t="shared" si="202"/>
        <v>0</v>
      </c>
      <c r="GB72" s="1154">
        <f t="shared" si="203"/>
        <v>0</v>
      </c>
      <c r="GC72" s="1154">
        <f t="shared" si="204"/>
        <v>0</v>
      </c>
      <c r="GD72" s="1154">
        <f t="shared" si="205"/>
        <v>0</v>
      </c>
      <c r="GE72" s="1154">
        <f t="shared" si="206"/>
        <v>0</v>
      </c>
      <c r="GF72" s="1154">
        <f t="shared" si="207"/>
        <v>0</v>
      </c>
      <c r="GG72" s="1154">
        <f t="shared" si="208"/>
        <v>0</v>
      </c>
      <c r="GH72" s="1154">
        <f t="shared" si="209"/>
        <v>0</v>
      </c>
      <c r="GI72" s="1154">
        <f t="shared" si="210"/>
        <v>0</v>
      </c>
      <c r="GJ72" s="1154">
        <f t="shared" si="211"/>
        <v>0</v>
      </c>
      <c r="GK72" s="1154">
        <f t="shared" si="212"/>
        <v>0</v>
      </c>
      <c r="GL72" s="1174">
        <f t="shared" si="213"/>
        <v>101120.14720393466</v>
      </c>
    </row>
    <row r="73" spans="2:194">
      <c r="B73" s="1290" t="str">
        <f t="shared" si="141"/>
        <v>SACDUOSMDST</v>
      </c>
      <c r="C73" s="1289" t="str">
        <f>C72</f>
        <v>MtIsa SAC&gt;100MWhpa DemandLarge</v>
      </c>
      <c r="D73" s="1113" t="str">
        <f>D72</f>
        <v>MtIsa SAC&gt;100MWhpa DemandLarge</v>
      </c>
      <c r="E73" s="1113" t="str">
        <f>Prop2021DUOSTariffs!E33</f>
        <v>SAC</v>
      </c>
      <c r="F73" s="1113" t="str">
        <f>Prop2021DUOSTariffs!F33</f>
        <v>SACL</v>
      </c>
      <c r="G73" s="1113" t="str">
        <f>Prop2021DUOSTariffs!G33</f>
        <v>Mt Isa</v>
      </c>
      <c r="H73" s="1113" t="str">
        <f>IF(Prop2021DUOSTariffs!H33="","",Prop2021DUOSTariffs!H33)</f>
        <v>MDST</v>
      </c>
      <c r="I73" s="1114" t="s">
        <v>761</v>
      </c>
      <c r="J73" s="1114" t="s">
        <v>934</v>
      </c>
      <c r="K73" s="1270"/>
      <c r="L73" s="1233">
        <v>3.6324044</v>
      </c>
      <c r="M73" s="1007"/>
      <c r="N73" s="1007"/>
      <c r="O73" s="1007"/>
      <c r="P73" s="1007"/>
      <c r="Q73" s="1007"/>
      <c r="R73" s="1007"/>
      <c r="S73" s="1007"/>
      <c r="T73" s="1007"/>
      <c r="U73" s="1007"/>
      <c r="V73" s="1007"/>
      <c r="W73" s="1784">
        <v>0.53574642000000006</v>
      </c>
      <c r="X73" s="1007"/>
      <c r="Y73" s="1007"/>
      <c r="Z73" s="1007"/>
      <c r="AA73" s="1233">
        <v>0.59527380000000008</v>
      </c>
      <c r="AB73" s="1007"/>
      <c r="AC73" s="1007"/>
      <c r="AD73" s="1007"/>
      <c r="AE73" s="1007"/>
      <c r="AF73" s="1007"/>
      <c r="AG73" s="1007"/>
      <c r="AH73" s="1007"/>
      <c r="AI73" s="1224">
        <v>7.7007696230930512E-4</v>
      </c>
      <c r="AJ73" s="1005"/>
      <c r="AK73" s="1005"/>
      <c r="AL73" s="1005"/>
      <c r="AM73" s="1005"/>
      <c r="AN73" s="1005"/>
      <c r="AO73" s="1005"/>
      <c r="AP73" s="1005"/>
      <c r="AQ73" s="1005"/>
      <c r="AR73" s="1005"/>
      <c r="AS73" s="1005"/>
      <c r="AT73" s="1005"/>
      <c r="AU73" s="1006"/>
      <c r="AV73" s="1270"/>
      <c r="AW73" s="1480">
        <v>3.5964399999999999</v>
      </c>
      <c r="AX73" s="1006"/>
      <c r="AY73" s="1006"/>
      <c r="AZ73" s="1006"/>
      <c r="BA73" s="1006"/>
      <c r="BB73" s="1006"/>
      <c r="BC73" s="1006"/>
      <c r="BD73" s="1006"/>
      <c r="BE73" s="1006"/>
      <c r="BF73" s="1006"/>
      <c r="BG73" s="1006"/>
      <c r="BH73" s="1608">
        <v>0.53</v>
      </c>
      <c r="BI73" s="1006"/>
      <c r="BJ73" s="1006"/>
      <c r="BK73" s="1006"/>
      <c r="BL73" s="1480">
        <v>0.58938000000000001</v>
      </c>
      <c r="BM73" s="1006"/>
      <c r="BN73" s="1006"/>
      <c r="BO73" s="1006"/>
      <c r="BP73" s="1006"/>
      <c r="BQ73" s="1006"/>
      <c r="BR73" s="1006"/>
      <c r="BS73" s="1006"/>
      <c r="BT73" s="1480">
        <v>6.1898319928093575E-4</v>
      </c>
      <c r="BU73" s="1006"/>
      <c r="BV73" s="1006"/>
      <c r="BW73" s="1006"/>
      <c r="BX73" s="1006"/>
      <c r="BY73" s="1006"/>
      <c r="BZ73" s="1006"/>
      <c r="CA73" s="1006"/>
      <c r="CB73" s="1006"/>
      <c r="CC73" s="1006"/>
      <c r="CD73" s="1006"/>
      <c r="CE73" s="1006"/>
      <c r="CF73" s="1006"/>
      <c r="CG73" s="1209"/>
      <c r="CH73" s="1236">
        <v>96</v>
      </c>
      <c r="CI73" s="1007"/>
      <c r="CJ73" s="1007"/>
      <c r="CK73" s="1007"/>
      <c r="CL73" s="1007"/>
      <c r="CM73" s="1007"/>
      <c r="CN73" s="1007"/>
      <c r="CO73" s="1007"/>
      <c r="CP73" s="1007"/>
      <c r="CQ73" s="1007"/>
      <c r="CR73" s="1007"/>
      <c r="CS73" s="1007"/>
      <c r="CT73" s="1007"/>
      <c r="CU73" s="1007"/>
      <c r="CV73" s="1007"/>
      <c r="CW73" s="1236">
        <v>27360.639999999999</v>
      </c>
      <c r="CX73" s="1007"/>
      <c r="CY73" s="1007"/>
      <c r="CZ73" s="1007"/>
      <c r="DA73" s="1007"/>
      <c r="DB73" s="1007"/>
      <c r="DC73" s="1007"/>
      <c r="DD73" s="1007"/>
      <c r="DE73" s="1236">
        <v>15912030.75567</v>
      </c>
      <c r="DF73" s="1007"/>
      <c r="DG73" s="1007"/>
      <c r="DH73" s="1007"/>
      <c r="DI73" s="1006"/>
      <c r="DJ73" s="1006"/>
      <c r="DK73" s="1007"/>
      <c r="DL73" s="1007"/>
      <c r="DM73" s="1007"/>
      <c r="DN73" s="1007"/>
      <c r="DO73" s="1112"/>
      <c r="DP73" s="1112"/>
      <c r="DQ73" s="1270"/>
      <c r="DR73" s="1154">
        <f t="shared" si="142"/>
        <v>127279.450176</v>
      </c>
      <c r="DS73" s="1154">
        <f t="shared" si="143"/>
        <v>0</v>
      </c>
      <c r="DT73" s="1154">
        <f t="shared" si="144"/>
        <v>0</v>
      </c>
      <c r="DU73" s="1154">
        <f t="shared" si="145"/>
        <v>0</v>
      </c>
      <c r="DV73" s="1154">
        <f t="shared" si="146"/>
        <v>0</v>
      </c>
      <c r="DW73" s="1154">
        <f t="shared" si="147"/>
        <v>0</v>
      </c>
      <c r="DX73" s="1154">
        <f t="shared" si="148"/>
        <v>0</v>
      </c>
      <c r="DY73" s="1154">
        <f t="shared" si="149"/>
        <v>0</v>
      </c>
      <c r="DZ73" s="1154">
        <f t="shared" si="150"/>
        <v>0</v>
      </c>
      <c r="EA73" s="1154">
        <f t="shared" si="151"/>
        <v>0</v>
      </c>
      <c r="EB73" s="1154">
        <f t="shared" si="152"/>
        <v>0</v>
      </c>
      <c r="EC73" s="1154">
        <f t="shared" si="153"/>
        <v>0</v>
      </c>
      <c r="ED73" s="1154">
        <f t="shared" si="154"/>
        <v>0</v>
      </c>
      <c r="EE73" s="1154">
        <f t="shared" si="155"/>
        <v>0</v>
      </c>
      <c r="EF73" s="1154">
        <f t="shared" si="156"/>
        <v>0</v>
      </c>
      <c r="EG73" s="1154">
        <f t="shared" si="157"/>
        <v>16287.072143232002</v>
      </c>
      <c r="EH73" s="1154">
        <f t="shared" si="158"/>
        <v>0</v>
      </c>
      <c r="EI73" s="1154">
        <f t="shared" si="159"/>
        <v>0</v>
      </c>
      <c r="EJ73" s="1154">
        <f t="shared" si="160"/>
        <v>0</v>
      </c>
      <c r="EK73" s="1154">
        <f t="shared" si="161"/>
        <v>0</v>
      </c>
      <c r="EL73" s="1154">
        <f t="shared" si="162"/>
        <v>0</v>
      </c>
      <c r="EM73" s="1154">
        <f t="shared" si="163"/>
        <v>0</v>
      </c>
      <c r="EN73" s="1154">
        <f t="shared" si="164"/>
        <v>0</v>
      </c>
      <c r="EO73" s="1154">
        <f t="shared" si="165"/>
        <v>12253.48830849859</v>
      </c>
      <c r="EP73" s="1154">
        <f t="shared" si="166"/>
        <v>0</v>
      </c>
      <c r="EQ73" s="1154">
        <f t="shared" si="167"/>
        <v>0</v>
      </c>
      <c r="ER73" s="1154">
        <f t="shared" si="168"/>
        <v>0</v>
      </c>
      <c r="ES73" s="1154">
        <f t="shared" si="169"/>
        <v>0</v>
      </c>
      <c r="ET73" s="1154">
        <f t="shared" si="170"/>
        <v>0</v>
      </c>
      <c r="EU73" s="1154">
        <f t="shared" si="171"/>
        <v>0</v>
      </c>
      <c r="EV73" s="1154">
        <f t="shared" si="172"/>
        <v>0</v>
      </c>
      <c r="EW73" s="1154">
        <f t="shared" si="173"/>
        <v>0</v>
      </c>
      <c r="EX73" s="1154">
        <f t="shared" si="174"/>
        <v>0</v>
      </c>
      <c r="EY73" s="1154">
        <f t="shared" si="175"/>
        <v>0</v>
      </c>
      <c r="EZ73" s="1154">
        <f t="shared" si="176"/>
        <v>0</v>
      </c>
      <c r="FA73" s="1174">
        <f t="shared" si="177"/>
        <v>155820.01062773057</v>
      </c>
      <c r="FC73" s="1154">
        <f t="shared" si="178"/>
        <v>126019.2576</v>
      </c>
      <c r="FD73" s="1154">
        <f t="shared" si="179"/>
        <v>0</v>
      </c>
      <c r="FE73" s="1154">
        <f t="shared" si="180"/>
        <v>0</v>
      </c>
      <c r="FF73" s="1154">
        <f t="shared" si="181"/>
        <v>0</v>
      </c>
      <c r="FG73" s="1154">
        <f t="shared" si="182"/>
        <v>0</v>
      </c>
      <c r="FH73" s="1154">
        <f t="shared" si="183"/>
        <v>0</v>
      </c>
      <c r="FI73" s="1154">
        <f t="shared" si="184"/>
        <v>0</v>
      </c>
      <c r="FJ73" s="1154">
        <f t="shared" si="185"/>
        <v>0</v>
      </c>
      <c r="FK73" s="1154">
        <f t="shared" si="186"/>
        <v>0</v>
      </c>
      <c r="FL73" s="1154">
        <f t="shared" si="187"/>
        <v>0</v>
      </c>
      <c r="FM73" s="1154">
        <f t="shared" si="188"/>
        <v>0</v>
      </c>
      <c r="FN73" s="1154">
        <f t="shared" si="189"/>
        <v>0</v>
      </c>
      <c r="FO73" s="1154">
        <f t="shared" si="190"/>
        <v>0</v>
      </c>
      <c r="FP73" s="1154">
        <f t="shared" si="191"/>
        <v>0</v>
      </c>
      <c r="FQ73" s="1154">
        <f t="shared" si="192"/>
        <v>0</v>
      </c>
      <c r="FR73" s="1154">
        <f t="shared" si="193"/>
        <v>16125.814003199999</v>
      </c>
      <c r="FS73" s="1154">
        <f t="shared" si="194"/>
        <v>0</v>
      </c>
      <c r="FT73" s="1154">
        <f t="shared" si="195"/>
        <v>0</v>
      </c>
      <c r="FU73" s="1154">
        <f t="shared" si="196"/>
        <v>0</v>
      </c>
      <c r="FV73" s="1154">
        <f t="shared" si="197"/>
        <v>0</v>
      </c>
      <c r="FW73" s="1154">
        <f t="shared" si="198"/>
        <v>0</v>
      </c>
      <c r="FX73" s="1154">
        <f t="shared" si="199"/>
        <v>0</v>
      </c>
      <c r="FY73" s="1154">
        <f t="shared" si="200"/>
        <v>0</v>
      </c>
      <c r="FZ73" s="1154">
        <f t="shared" si="201"/>
        <v>9849.2797042012626</v>
      </c>
      <c r="GA73" s="1154">
        <f t="shared" si="202"/>
        <v>0</v>
      </c>
      <c r="GB73" s="1154">
        <f t="shared" si="203"/>
        <v>0</v>
      </c>
      <c r="GC73" s="1154">
        <f t="shared" si="204"/>
        <v>0</v>
      </c>
      <c r="GD73" s="1154">
        <f t="shared" si="205"/>
        <v>0</v>
      </c>
      <c r="GE73" s="1154">
        <f t="shared" si="206"/>
        <v>0</v>
      </c>
      <c r="GF73" s="1154">
        <f t="shared" si="207"/>
        <v>0</v>
      </c>
      <c r="GG73" s="1154">
        <f t="shared" si="208"/>
        <v>0</v>
      </c>
      <c r="GH73" s="1154">
        <f t="shared" si="209"/>
        <v>0</v>
      </c>
      <c r="GI73" s="1154">
        <f t="shared" si="210"/>
        <v>0</v>
      </c>
      <c r="GJ73" s="1154">
        <f t="shared" si="211"/>
        <v>0</v>
      </c>
      <c r="GK73" s="1154">
        <f t="shared" si="212"/>
        <v>0</v>
      </c>
      <c r="GL73" s="1174">
        <f t="shared" si="213"/>
        <v>151994.35130740126</v>
      </c>
    </row>
    <row r="74" spans="2:194">
      <c r="B74" s="1290" t="str">
        <f t="shared" si="141"/>
        <v>SACDUOSESTOUD</v>
      </c>
      <c r="C74" s="1289" t="str">
        <f>Prop2021DUOSTariffs!C34</f>
        <v>East SAC&gt;100MWhpa STOUD</v>
      </c>
      <c r="D74" s="1113" t="str">
        <f>Prop2021DUOSTariffs!D34</f>
        <v>East SAC&gt;100MWhpa STOUD</v>
      </c>
      <c r="E74" s="1113" t="str">
        <f>Prop2021DUOSTariffs!E34</f>
        <v>SAC</v>
      </c>
      <c r="F74" s="1113" t="str">
        <f>Prop2021DUOSTariffs!F34</f>
        <v>SACL</v>
      </c>
      <c r="G74" s="1113" t="str">
        <f>Prop2021DUOSTariffs!G34</f>
        <v>East</v>
      </c>
      <c r="H74" s="1113" t="str">
        <f>IF(Prop2021DUOSTariffs!H34="","",Prop2021DUOSTariffs!H34)</f>
        <v>ESTOUD</v>
      </c>
      <c r="I74" s="1114" t="s">
        <v>798</v>
      </c>
      <c r="J74" s="1114" t="s">
        <v>934</v>
      </c>
      <c r="K74" s="1270"/>
      <c r="L74" s="1233">
        <v>4.5046048320000001</v>
      </c>
      <c r="M74" s="1007"/>
      <c r="N74" s="1007"/>
      <c r="O74" s="1007"/>
      <c r="P74" s="1007"/>
      <c r="Q74" s="1007"/>
      <c r="R74" s="1007"/>
      <c r="S74" s="1007"/>
      <c r="T74" s="1007"/>
      <c r="U74" s="1007"/>
      <c r="V74" s="1007"/>
      <c r="W74" s="1007"/>
      <c r="X74" s="1007"/>
      <c r="Y74" s="1007"/>
      <c r="Z74" s="1007"/>
      <c r="AA74" s="1007"/>
      <c r="AB74" s="1007"/>
      <c r="AC74" s="1007"/>
      <c r="AD74" s="1233">
        <v>0.92590470000000002</v>
      </c>
      <c r="AE74" s="1233">
        <v>0.92590470000000002</v>
      </c>
      <c r="AF74" s="1007"/>
      <c r="AG74" s="1007"/>
      <c r="AH74" s="1007"/>
      <c r="AI74" s="1224">
        <v>1.2756140745273986E-2</v>
      </c>
      <c r="AJ74" s="1005"/>
      <c r="AK74" s="1005"/>
      <c r="AL74" s="1005"/>
      <c r="AM74" s="1005"/>
      <c r="AN74" s="1005"/>
      <c r="AO74" s="1005"/>
      <c r="AP74" s="1005"/>
      <c r="AQ74" s="1005"/>
      <c r="AR74" s="1005"/>
      <c r="AS74" s="1005"/>
      <c r="AT74" s="1005"/>
      <c r="AU74" s="1006"/>
      <c r="AV74" s="1270"/>
      <c r="AW74" s="1480">
        <v>4.0861799999999997</v>
      </c>
      <c r="AX74" s="1006"/>
      <c r="AY74" s="1006"/>
      <c r="AZ74" s="1006"/>
      <c r="BA74" s="1006"/>
      <c r="BB74" s="1006"/>
      <c r="BC74" s="1006"/>
      <c r="BD74" s="1006"/>
      <c r="BE74" s="1006"/>
      <c r="BF74" s="1006"/>
      <c r="BG74" s="1006"/>
      <c r="BH74" s="1006"/>
      <c r="BI74" s="1006"/>
      <c r="BJ74" s="1006"/>
      <c r="BK74" s="1006"/>
      <c r="BL74" s="1006"/>
      <c r="BM74" s="1480">
        <v>0.87349500000000002</v>
      </c>
      <c r="BN74" s="1480">
        <v>0.87349500000000002</v>
      </c>
      <c r="BO74" s="1006"/>
      <c r="BP74" s="1006"/>
      <c r="BQ74" s="1006"/>
      <c r="BR74" s="1006"/>
      <c r="BS74" s="1006"/>
      <c r="BT74" s="1480">
        <v>9.9886311700567981E-3</v>
      </c>
      <c r="BU74" s="1006"/>
      <c r="BV74" s="1006"/>
      <c r="BW74" s="1006"/>
      <c r="BX74" s="1006"/>
      <c r="BY74" s="1006"/>
      <c r="BZ74" s="1006"/>
      <c r="CA74" s="1006"/>
      <c r="CB74" s="1006"/>
      <c r="CC74" s="1006"/>
      <c r="CD74" s="1006"/>
      <c r="CE74" s="1006"/>
      <c r="CF74" s="1006"/>
      <c r="CG74" s="1209"/>
      <c r="CH74" s="1236">
        <v>349.07838082573448</v>
      </c>
      <c r="CI74" s="1007"/>
      <c r="CJ74" s="1007"/>
      <c r="CK74" s="1007"/>
      <c r="CL74" s="1007"/>
      <c r="CM74" s="1007"/>
      <c r="CN74" s="1007"/>
      <c r="CO74" s="1007"/>
      <c r="CP74" s="1007"/>
      <c r="CQ74" s="1007"/>
      <c r="CR74" s="1007"/>
      <c r="CS74" s="1007"/>
      <c r="CT74" s="1007"/>
      <c r="CU74" s="1007"/>
      <c r="CV74" s="1007"/>
      <c r="CW74" s="1007"/>
      <c r="CX74" s="1007"/>
      <c r="CY74" s="1007"/>
      <c r="CZ74" s="1236">
        <v>459766.09757220594</v>
      </c>
      <c r="DA74" s="1236">
        <v>197571.81296618987</v>
      </c>
      <c r="DB74" s="1007"/>
      <c r="DC74" s="1007"/>
      <c r="DD74" s="1007"/>
      <c r="DE74" s="1236">
        <v>208387729.89078441</v>
      </c>
      <c r="DF74" s="1007"/>
      <c r="DG74" s="1007"/>
      <c r="DH74" s="1007"/>
      <c r="DI74" s="1006"/>
      <c r="DJ74" s="1006"/>
      <c r="DK74" s="1007"/>
      <c r="DL74" s="1007"/>
      <c r="DM74" s="1007"/>
      <c r="DN74" s="1007"/>
      <c r="DO74" s="1112"/>
      <c r="DP74" s="1112"/>
      <c r="DQ74" s="1270"/>
      <c r="DR74" s="1154">
        <f t="shared" si="142"/>
        <v>573947.95877023402</v>
      </c>
      <c r="DS74" s="1154">
        <f t="shared" si="143"/>
        <v>0</v>
      </c>
      <c r="DT74" s="1154">
        <f t="shared" si="144"/>
        <v>0</v>
      </c>
      <c r="DU74" s="1154">
        <f t="shared" si="145"/>
        <v>0</v>
      </c>
      <c r="DV74" s="1154">
        <f t="shared" si="146"/>
        <v>0</v>
      </c>
      <c r="DW74" s="1154">
        <f t="shared" si="147"/>
        <v>0</v>
      </c>
      <c r="DX74" s="1154">
        <f t="shared" si="148"/>
        <v>0</v>
      </c>
      <c r="DY74" s="1154">
        <f t="shared" si="149"/>
        <v>0</v>
      </c>
      <c r="DZ74" s="1154">
        <f t="shared" si="150"/>
        <v>0</v>
      </c>
      <c r="EA74" s="1154">
        <f t="shared" si="151"/>
        <v>0</v>
      </c>
      <c r="EB74" s="1154">
        <f t="shared" si="152"/>
        <v>0</v>
      </c>
      <c r="EC74" s="1154">
        <f t="shared" si="153"/>
        <v>0</v>
      </c>
      <c r="ED74" s="1154">
        <f t="shared" si="154"/>
        <v>0</v>
      </c>
      <c r="EE74" s="1154">
        <f t="shared" si="155"/>
        <v>0</v>
      </c>
      <c r="EF74" s="1154">
        <f t="shared" si="156"/>
        <v>0</v>
      </c>
      <c r="EG74" s="1154">
        <f t="shared" si="157"/>
        <v>0</v>
      </c>
      <c r="EH74" s="1154">
        <f t="shared" si="158"/>
        <v>0</v>
      </c>
      <c r="EI74" s="1154">
        <f t="shared" si="159"/>
        <v>0</v>
      </c>
      <c r="EJ74" s="1154">
        <f t="shared" si="160"/>
        <v>425699.59064276406</v>
      </c>
      <c r="EK74" s="1154">
        <f t="shared" si="161"/>
        <v>182932.67021291616</v>
      </c>
      <c r="EL74" s="1154">
        <f t="shared" si="162"/>
        <v>0</v>
      </c>
      <c r="EM74" s="1154">
        <f t="shared" si="163"/>
        <v>0</v>
      </c>
      <c r="EN74" s="1154">
        <f t="shared" si="164"/>
        <v>0</v>
      </c>
      <c r="EO74" s="1154">
        <f t="shared" si="165"/>
        <v>2658223.2120749848</v>
      </c>
      <c r="EP74" s="1154">
        <f t="shared" si="166"/>
        <v>0</v>
      </c>
      <c r="EQ74" s="1154">
        <f t="shared" si="167"/>
        <v>0</v>
      </c>
      <c r="ER74" s="1154">
        <f t="shared" si="168"/>
        <v>0</v>
      </c>
      <c r="ES74" s="1154">
        <f t="shared" si="169"/>
        <v>0</v>
      </c>
      <c r="ET74" s="1154">
        <f t="shared" si="170"/>
        <v>0</v>
      </c>
      <c r="EU74" s="1154">
        <f t="shared" si="171"/>
        <v>0</v>
      </c>
      <c r="EV74" s="1154">
        <f t="shared" si="172"/>
        <v>0</v>
      </c>
      <c r="EW74" s="1154">
        <f t="shared" si="173"/>
        <v>0</v>
      </c>
      <c r="EX74" s="1154">
        <f t="shared" si="174"/>
        <v>0</v>
      </c>
      <c r="EY74" s="1154">
        <f t="shared" si="175"/>
        <v>0</v>
      </c>
      <c r="EZ74" s="1154">
        <f t="shared" si="176"/>
        <v>0</v>
      </c>
      <c r="FA74" s="1174">
        <f t="shared" si="177"/>
        <v>3840803.4317008993</v>
      </c>
      <c r="FC74" s="1154">
        <f t="shared" si="178"/>
        <v>520634.94082931231</v>
      </c>
      <c r="FD74" s="1154">
        <f t="shared" si="179"/>
        <v>0</v>
      </c>
      <c r="FE74" s="1154">
        <f t="shared" si="180"/>
        <v>0</v>
      </c>
      <c r="FF74" s="1154">
        <f t="shared" si="181"/>
        <v>0</v>
      </c>
      <c r="FG74" s="1154">
        <f t="shared" si="182"/>
        <v>0</v>
      </c>
      <c r="FH74" s="1154">
        <f t="shared" si="183"/>
        <v>0</v>
      </c>
      <c r="FI74" s="1154">
        <f t="shared" si="184"/>
        <v>0</v>
      </c>
      <c r="FJ74" s="1154">
        <f t="shared" si="185"/>
        <v>0</v>
      </c>
      <c r="FK74" s="1154">
        <f t="shared" si="186"/>
        <v>0</v>
      </c>
      <c r="FL74" s="1154">
        <f t="shared" si="187"/>
        <v>0</v>
      </c>
      <c r="FM74" s="1154">
        <f t="shared" si="188"/>
        <v>0</v>
      </c>
      <c r="FN74" s="1154">
        <f t="shared" si="189"/>
        <v>0</v>
      </c>
      <c r="FO74" s="1154">
        <f t="shared" si="190"/>
        <v>0</v>
      </c>
      <c r="FP74" s="1154">
        <f t="shared" si="191"/>
        <v>0</v>
      </c>
      <c r="FQ74" s="1154">
        <f t="shared" si="192"/>
        <v>0</v>
      </c>
      <c r="FR74" s="1154">
        <f t="shared" si="193"/>
        <v>0</v>
      </c>
      <c r="FS74" s="1154">
        <f t="shared" si="194"/>
        <v>0</v>
      </c>
      <c r="FT74" s="1154">
        <f t="shared" si="195"/>
        <v>0</v>
      </c>
      <c r="FU74" s="1154">
        <f t="shared" si="196"/>
        <v>0</v>
      </c>
      <c r="FV74" s="1154">
        <f t="shared" si="197"/>
        <v>0</v>
      </c>
      <c r="FW74" s="1154">
        <f t="shared" si="198"/>
        <v>0</v>
      </c>
      <c r="FX74" s="1154">
        <f t="shared" si="199"/>
        <v>0</v>
      </c>
      <c r="FY74" s="1154">
        <f t="shared" si="200"/>
        <v>0</v>
      </c>
      <c r="FZ74" s="1154">
        <f t="shared" si="201"/>
        <v>2081508.174244466</v>
      </c>
      <c r="GA74" s="1154">
        <f t="shared" si="202"/>
        <v>0</v>
      </c>
      <c r="GB74" s="1154">
        <f t="shared" si="203"/>
        <v>0</v>
      </c>
      <c r="GC74" s="1154">
        <f t="shared" si="204"/>
        <v>0</v>
      </c>
      <c r="GD74" s="1154">
        <f t="shared" si="205"/>
        <v>0</v>
      </c>
      <c r="GE74" s="1154">
        <f t="shared" si="206"/>
        <v>0</v>
      </c>
      <c r="GF74" s="1154">
        <f t="shared" si="207"/>
        <v>0</v>
      </c>
      <c r="GG74" s="1154">
        <f t="shared" si="208"/>
        <v>0</v>
      </c>
      <c r="GH74" s="1154">
        <f t="shared" si="209"/>
        <v>0</v>
      </c>
      <c r="GI74" s="1154">
        <f t="shared" si="210"/>
        <v>0</v>
      </c>
      <c r="GJ74" s="1154">
        <f t="shared" si="211"/>
        <v>0</v>
      </c>
      <c r="GK74" s="1154">
        <f t="shared" si="212"/>
        <v>0</v>
      </c>
      <c r="GL74" s="1174">
        <f t="shared" si="213"/>
        <v>2602143.1150737782</v>
      </c>
    </row>
    <row r="75" spans="2:194">
      <c r="B75" s="1290" t="str">
        <f t="shared" si="141"/>
        <v>SACDUOSESTOUD</v>
      </c>
      <c r="C75" s="1289" t="str">
        <f>C74</f>
        <v>East SAC&gt;100MWhpa STOUD</v>
      </c>
      <c r="D75" s="1113" t="str">
        <f t="shared" ref="D75:H75" si="242">D74</f>
        <v>East SAC&gt;100MWhpa STOUD</v>
      </c>
      <c r="E75" s="1113" t="str">
        <f t="shared" si="242"/>
        <v>SAC</v>
      </c>
      <c r="F75" s="1113" t="str">
        <f t="shared" si="242"/>
        <v>SACL</v>
      </c>
      <c r="G75" s="1113" t="str">
        <f t="shared" ref="G75" si="243">G74</f>
        <v>East</v>
      </c>
      <c r="H75" s="1113" t="str">
        <f t="shared" si="242"/>
        <v>ESTOUD</v>
      </c>
      <c r="I75" s="1114" t="s">
        <v>752</v>
      </c>
      <c r="J75" s="1114" t="s">
        <v>934</v>
      </c>
      <c r="K75" s="1270"/>
      <c r="L75" s="1233">
        <v>5.8396644599999998</v>
      </c>
      <c r="M75" s="1007"/>
      <c r="N75" s="1007"/>
      <c r="O75" s="1007"/>
      <c r="P75" s="1007"/>
      <c r="Q75" s="1007"/>
      <c r="R75" s="1007"/>
      <c r="S75" s="1007"/>
      <c r="T75" s="1007"/>
      <c r="U75" s="1007"/>
      <c r="V75" s="1007"/>
      <c r="W75" s="1007"/>
      <c r="X75" s="1007"/>
      <c r="Y75" s="1007"/>
      <c r="Z75" s="1007"/>
      <c r="AA75" s="1007"/>
      <c r="AB75" s="1007"/>
      <c r="AC75" s="1007"/>
      <c r="AD75" s="1233">
        <v>1.95685581</v>
      </c>
      <c r="AE75" s="1233">
        <v>1.95685581</v>
      </c>
      <c r="AF75" s="1007"/>
      <c r="AG75" s="1007"/>
      <c r="AH75" s="1007"/>
      <c r="AI75" s="1224">
        <v>1.3580961239131205E-2</v>
      </c>
      <c r="AJ75" s="1005"/>
      <c r="AK75" s="1005"/>
      <c r="AL75" s="1005"/>
      <c r="AM75" s="1005"/>
      <c r="AN75" s="1005"/>
      <c r="AO75" s="1005"/>
      <c r="AP75" s="1005"/>
      <c r="AQ75" s="1005"/>
      <c r="AR75" s="1005"/>
      <c r="AS75" s="1005"/>
      <c r="AT75" s="1005"/>
      <c r="AU75" s="1006"/>
      <c r="AV75" s="1270"/>
      <c r="AW75" s="1480">
        <v>5.7818459999999998</v>
      </c>
      <c r="AX75" s="1006"/>
      <c r="AY75" s="1006"/>
      <c r="AZ75" s="1006"/>
      <c r="BA75" s="1006"/>
      <c r="BB75" s="1006"/>
      <c r="BC75" s="1006"/>
      <c r="BD75" s="1006"/>
      <c r="BE75" s="1006"/>
      <c r="BF75" s="1006"/>
      <c r="BG75" s="1006"/>
      <c r="BH75" s="1006"/>
      <c r="BI75" s="1006"/>
      <c r="BJ75" s="1006"/>
      <c r="BK75" s="1006"/>
      <c r="BL75" s="1006"/>
      <c r="BM75" s="1480">
        <v>1.937481</v>
      </c>
      <c r="BN75" s="1480">
        <v>1.937481</v>
      </c>
      <c r="BO75" s="1006"/>
      <c r="BP75" s="1006"/>
      <c r="BQ75" s="1006"/>
      <c r="BR75" s="1006"/>
      <c r="BS75" s="1006"/>
      <c r="BT75" s="1480">
        <v>1.3226767178995704E-2</v>
      </c>
      <c r="BU75" s="1006"/>
      <c r="BV75" s="1006"/>
      <c r="BW75" s="1006"/>
      <c r="BX75" s="1006"/>
      <c r="BY75" s="1006"/>
      <c r="BZ75" s="1006"/>
      <c r="CA75" s="1006"/>
      <c r="CB75" s="1006"/>
      <c r="CC75" s="1006"/>
      <c r="CD75" s="1006"/>
      <c r="CE75" s="1006"/>
      <c r="CF75" s="1006"/>
      <c r="CG75" s="1209"/>
      <c r="CH75" s="1236">
        <v>223.72365990614168</v>
      </c>
      <c r="CI75" s="1007"/>
      <c r="CJ75" s="1007"/>
      <c r="CK75" s="1007"/>
      <c r="CL75" s="1007"/>
      <c r="CM75" s="1007"/>
      <c r="CN75" s="1007"/>
      <c r="CO75" s="1007"/>
      <c r="CP75" s="1007"/>
      <c r="CQ75" s="1007"/>
      <c r="CR75" s="1007"/>
      <c r="CS75" s="1007"/>
      <c r="CT75" s="1007"/>
      <c r="CU75" s="1007"/>
      <c r="CV75" s="1007"/>
      <c r="CW75" s="1007"/>
      <c r="CX75" s="1007"/>
      <c r="CY75" s="1007"/>
      <c r="CZ75" s="1236">
        <v>294663.20373752329</v>
      </c>
      <c r="DA75" s="1236">
        <v>126623.39325205529</v>
      </c>
      <c r="DB75" s="1007"/>
      <c r="DC75" s="1007"/>
      <c r="DD75" s="1007"/>
      <c r="DE75" s="1236">
        <v>133555293.51436073</v>
      </c>
      <c r="DF75" s="1007"/>
      <c r="DG75" s="1007"/>
      <c r="DH75" s="1007"/>
      <c r="DI75" s="1006"/>
      <c r="DJ75" s="1006"/>
      <c r="DK75" s="1007"/>
      <c r="DL75" s="1007"/>
      <c r="DM75" s="1007"/>
      <c r="DN75" s="1007"/>
      <c r="DO75" s="1112"/>
      <c r="DP75" s="1112"/>
      <c r="DQ75" s="1270"/>
      <c r="DR75" s="1154">
        <f t="shared" si="142"/>
        <v>476861.95354948321</v>
      </c>
      <c r="DS75" s="1154">
        <f t="shared" si="143"/>
        <v>0</v>
      </c>
      <c r="DT75" s="1154">
        <f t="shared" si="144"/>
        <v>0</v>
      </c>
      <c r="DU75" s="1154">
        <f t="shared" si="145"/>
        <v>0</v>
      </c>
      <c r="DV75" s="1154">
        <f t="shared" si="146"/>
        <v>0</v>
      </c>
      <c r="DW75" s="1154">
        <f t="shared" si="147"/>
        <v>0</v>
      </c>
      <c r="DX75" s="1154">
        <f t="shared" si="148"/>
        <v>0</v>
      </c>
      <c r="DY75" s="1154">
        <f t="shared" si="149"/>
        <v>0</v>
      </c>
      <c r="DZ75" s="1154">
        <f t="shared" si="150"/>
        <v>0</v>
      </c>
      <c r="EA75" s="1154">
        <f t="shared" si="151"/>
        <v>0</v>
      </c>
      <c r="EB75" s="1154">
        <f t="shared" si="152"/>
        <v>0</v>
      </c>
      <c r="EC75" s="1154">
        <f t="shared" si="153"/>
        <v>0</v>
      </c>
      <c r="ED75" s="1154">
        <f t="shared" si="154"/>
        <v>0</v>
      </c>
      <c r="EE75" s="1154">
        <f t="shared" si="155"/>
        <v>0</v>
      </c>
      <c r="EF75" s="1154">
        <f t="shared" si="156"/>
        <v>0</v>
      </c>
      <c r="EG75" s="1154">
        <f t="shared" si="157"/>
        <v>0</v>
      </c>
      <c r="EH75" s="1154">
        <f t="shared" si="158"/>
        <v>0</v>
      </c>
      <c r="EI75" s="1154">
        <f t="shared" si="159"/>
        <v>0</v>
      </c>
      <c r="EJ75" s="1154">
        <f t="shared" si="160"/>
        <v>576613.40222698613</v>
      </c>
      <c r="EK75" s="1154">
        <f t="shared" si="161"/>
        <v>247783.72276719919</v>
      </c>
      <c r="EL75" s="1154">
        <f t="shared" si="162"/>
        <v>0</v>
      </c>
      <c r="EM75" s="1154">
        <f t="shared" si="163"/>
        <v>0</v>
      </c>
      <c r="EN75" s="1154">
        <f t="shared" si="164"/>
        <v>0</v>
      </c>
      <c r="EO75" s="1154">
        <f t="shared" si="165"/>
        <v>1813809.2644993241</v>
      </c>
      <c r="EP75" s="1154">
        <f t="shared" si="166"/>
        <v>0</v>
      </c>
      <c r="EQ75" s="1154">
        <f t="shared" si="167"/>
        <v>0</v>
      </c>
      <c r="ER75" s="1154">
        <f t="shared" si="168"/>
        <v>0</v>
      </c>
      <c r="ES75" s="1154">
        <f t="shared" si="169"/>
        <v>0</v>
      </c>
      <c r="ET75" s="1154">
        <f t="shared" si="170"/>
        <v>0</v>
      </c>
      <c r="EU75" s="1154">
        <f t="shared" si="171"/>
        <v>0</v>
      </c>
      <c r="EV75" s="1154">
        <f t="shared" si="172"/>
        <v>0</v>
      </c>
      <c r="EW75" s="1154">
        <f t="shared" si="173"/>
        <v>0</v>
      </c>
      <c r="EX75" s="1154">
        <f t="shared" si="174"/>
        <v>0</v>
      </c>
      <c r="EY75" s="1154">
        <f t="shared" si="175"/>
        <v>0</v>
      </c>
      <c r="EZ75" s="1154">
        <f t="shared" si="176"/>
        <v>0</v>
      </c>
      <c r="FA75" s="1174">
        <f t="shared" si="177"/>
        <v>3115068.3430429925</v>
      </c>
      <c r="FC75" s="1154">
        <f t="shared" si="178"/>
        <v>472140.54806879524</v>
      </c>
      <c r="FD75" s="1154">
        <f t="shared" si="179"/>
        <v>0</v>
      </c>
      <c r="FE75" s="1154">
        <f t="shared" si="180"/>
        <v>0</v>
      </c>
      <c r="FF75" s="1154">
        <f t="shared" si="181"/>
        <v>0</v>
      </c>
      <c r="FG75" s="1154">
        <f t="shared" si="182"/>
        <v>0</v>
      </c>
      <c r="FH75" s="1154">
        <f t="shared" si="183"/>
        <v>0</v>
      </c>
      <c r="FI75" s="1154">
        <f t="shared" si="184"/>
        <v>0</v>
      </c>
      <c r="FJ75" s="1154">
        <f t="shared" si="185"/>
        <v>0</v>
      </c>
      <c r="FK75" s="1154">
        <f t="shared" si="186"/>
        <v>0</v>
      </c>
      <c r="FL75" s="1154">
        <f t="shared" si="187"/>
        <v>0</v>
      </c>
      <c r="FM75" s="1154">
        <f t="shared" si="188"/>
        <v>0</v>
      </c>
      <c r="FN75" s="1154">
        <f t="shared" si="189"/>
        <v>0</v>
      </c>
      <c r="FO75" s="1154">
        <f t="shared" si="190"/>
        <v>0</v>
      </c>
      <c r="FP75" s="1154">
        <f t="shared" si="191"/>
        <v>0</v>
      </c>
      <c r="FQ75" s="1154">
        <f t="shared" si="192"/>
        <v>0</v>
      </c>
      <c r="FR75" s="1154">
        <f t="shared" si="193"/>
        <v>0</v>
      </c>
      <c r="FS75" s="1154">
        <f t="shared" si="194"/>
        <v>0</v>
      </c>
      <c r="FT75" s="1154">
        <f t="shared" si="195"/>
        <v>0</v>
      </c>
      <c r="FU75" s="1154">
        <f t="shared" si="196"/>
        <v>0</v>
      </c>
      <c r="FV75" s="1154">
        <f t="shared" si="197"/>
        <v>0</v>
      </c>
      <c r="FW75" s="1154">
        <f t="shared" si="198"/>
        <v>0</v>
      </c>
      <c r="FX75" s="1154">
        <f t="shared" si="199"/>
        <v>0</v>
      </c>
      <c r="FY75" s="1154">
        <f t="shared" si="200"/>
        <v>0</v>
      </c>
      <c r="FZ75" s="1154">
        <f t="shared" si="201"/>
        <v>1766504.7728368843</v>
      </c>
      <c r="GA75" s="1154">
        <f t="shared" si="202"/>
        <v>0</v>
      </c>
      <c r="GB75" s="1154">
        <f t="shared" si="203"/>
        <v>0</v>
      </c>
      <c r="GC75" s="1154">
        <f t="shared" si="204"/>
        <v>0</v>
      </c>
      <c r="GD75" s="1154">
        <f t="shared" si="205"/>
        <v>0</v>
      </c>
      <c r="GE75" s="1154">
        <f t="shared" si="206"/>
        <v>0</v>
      </c>
      <c r="GF75" s="1154">
        <f t="shared" si="207"/>
        <v>0</v>
      </c>
      <c r="GG75" s="1154">
        <f t="shared" si="208"/>
        <v>0</v>
      </c>
      <c r="GH75" s="1154">
        <f t="shared" si="209"/>
        <v>0</v>
      </c>
      <c r="GI75" s="1154">
        <f t="shared" si="210"/>
        <v>0</v>
      </c>
      <c r="GJ75" s="1154">
        <f t="shared" si="211"/>
        <v>0</v>
      </c>
      <c r="GK75" s="1154">
        <f t="shared" si="212"/>
        <v>0</v>
      </c>
      <c r="GL75" s="1174">
        <f t="shared" si="213"/>
        <v>2238645.3209056794</v>
      </c>
    </row>
    <row r="76" spans="2:194">
      <c r="B76" s="1290" t="str">
        <f t="shared" si="141"/>
        <v>SACDUOSESTOUD</v>
      </c>
      <c r="C76" s="1289" t="str">
        <f>C75</f>
        <v>East SAC&gt;100MWhpa STOUD</v>
      </c>
      <c r="D76" s="1113" t="str">
        <f t="shared" ref="D76" si="244">D75</f>
        <v>East SAC&gt;100MWhpa STOUD</v>
      </c>
      <c r="E76" s="1113" t="str">
        <f t="shared" ref="E76" si="245">E75</f>
        <v>SAC</v>
      </c>
      <c r="F76" s="1113" t="str">
        <f t="shared" ref="F76:G76" si="246">F75</f>
        <v>SACL</v>
      </c>
      <c r="G76" s="1113" t="str">
        <f t="shared" si="246"/>
        <v>East</v>
      </c>
      <c r="H76" s="1113" t="str">
        <f t="shared" ref="H76" si="247">H75</f>
        <v>ESTOUD</v>
      </c>
      <c r="I76" s="1114" t="s">
        <v>759</v>
      </c>
      <c r="J76" s="1114" t="s">
        <v>934</v>
      </c>
      <c r="K76" s="1270"/>
      <c r="L76" s="1233">
        <v>7.8456630000000001</v>
      </c>
      <c r="M76" s="1007"/>
      <c r="N76" s="1007"/>
      <c r="O76" s="1007"/>
      <c r="P76" s="1007"/>
      <c r="Q76" s="1007"/>
      <c r="R76" s="1007"/>
      <c r="S76" s="1007"/>
      <c r="T76" s="1007"/>
      <c r="U76" s="1007"/>
      <c r="V76" s="1007"/>
      <c r="W76" s="1007"/>
      <c r="X76" s="1007"/>
      <c r="Y76" s="1007"/>
      <c r="Z76" s="1007"/>
      <c r="AA76" s="1007"/>
      <c r="AB76" s="1007"/>
      <c r="AC76" s="1007"/>
      <c r="AD76" s="1233">
        <v>3.8068590000000002</v>
      </c>
      <c r="AE76" s="1233">
        <v>3.8068590000000002</v>
      </c>
      <c r="AF76" s="1007"/>
      <c r="AG76" s="1007"/>
      <c r="AH76" s="1007"/>
      <c r="AI76" s="1224">
        <v>1.4121324100704864E-2</v>
      </c>
      <c r="AJ76" s="1005"/>
      <c r="AK76" s="1005"/>
      <c r="AL76" s="1005"/>
      <c r="AM76" s="1005"/>
      <c r="AN76" s="1005"/>
      <c r="AO76" s="1005"/>
      <c r="AP76" s="1005"/>
      <c r="AQ76" s="1005"/>
      <c r="AR76" s="1005"/>
      <c r="AS76" s="1005"/>
      <c r="AT76" s="1005"/>
      <c r="AU76" s="1006"/>
      <c r="AV76" s="1270"/>
      <c r="AW76" s="1480">
        <v>7.8456630000000001</v>
      </c>
      <c r="AX76" s="1006"/>
      <c r="AY76" s="1006"/>
      <c r="AZ76" s="1006"/>
      <c r="BA76" s="1006"/>
      <c r="BB76" s="1006"/>
      <c r="BC76" s="1006"/>
      <c r="BD76" s="1006"/>
      <c r="BE76" s="1006"/>
      <c r="BF76" s="1006"/>
      <c r="BG76" s="1006"/>
      <c r="BH76" s="1006"/>
      <c r="BI76" s="1006"/>
      <c r="BJ76" s="1006"/>
      <c r="BK76" s="1006"/>
      <c r="BL76" s="1006"/>
      <c r="BM76" s="1480">
        <v>3.8068590000000002</v>
      </c>
      <c r="BN76" s="1480">
        <v>3.8068590000000002</v>
      </c>
      <c r="BO76" s="1006"/>
      <c r="BP76" s="1006"/>
      <c r="BQ76" s="1006"/>
      <c r="BR76" s="1006"/>
      <c r="BS76" s="1006"/>
      <c r="BT76" s="1480">
        <v>1.4772535454067301E-2</v>
      </c>
      <c r="BU76" s="1006"/>
      <c r="BV76" s="1006"/>
      <c r="BW76" s="1006"/>
      <c r="BX76" s="1006"/>
      <c r="BY76" s="1006"/>
      <c r="BZ76" s="1006"/>
      <c r="CA76" s="1006"/>
      <c r="CB76" s="1006"/>
      <c r="CC76" s="1006"/>
      <c r="CD76" s="1006"/>
      <c r="CE76" s="1006"/>
      <c r="CF76" s="1006"/>
      <c r="CG76" s="1209"/>
      <c r="CH76" s="1236">
        <v>151.19795926812372</v>
      </c>
      <c r="CI76" s="1007"/>
      <c r="CJ76" s="1007"/>
      <c r="CK76" s="1007"/>
      <c r="CL76" s="1007"/>
      <c r="CM76" s="1007"/>
      <c r="CN76" s="1007"/>
      <c r="CO76" s="1007"/>
      <c r="CP76" s="1007"/>
      <c r="CQ76" s="1007"/>
      <c r="CR76" s="1007"/>
      <c r="CS76" s="1007"/>
      <c r="CT76" s="1007"/>
      <c r="CU76" s="1007"/>
      <c r="CV76" s="1007"/>
      <c r="CW76" s="1007"/>
      <c r="CX76" s="1007"/>
      <c r="CY76" s="1007"/>
      <c r="CZ76" s="1236">
        <v>199140.65010027052</v>
      </c>
      <c r="DA76" s="1236">
        <v>85575.207661754728</v>
      </c>
      <c r="DB76" s="1007"/>
      <c r="DC76" s="1007"/>
      <c r="DD76" s="1007"/>
      <c r="DE76" s="1236">
        <v>90259956.579014793</v>
      </c>
      <c r="DF76" s="1007"/>
      <c r="DG76" s="1007"/>
      <c r="DH76" s="1007"/>
      <c r="DI76" s="1006"/>
      <c r="DJ76" s="1006"/>
      <c r="DK76" s="1007"/>
      <c r="DL76" s="1007"/>
      <c r="DM76" s="1007"/>
      <c r="DN76" s="1007"/>
      <c r="DO76" s="1112"/>
      <c r="DP76" s="1112"/>
      <c r="DQ76" s="1270"/>
      <c r="DR76" s="1154">
        <f t="shared" si="142"/>
        <v>432980.60566748027</v>
      </c>
      <c r="DS76" s="1154">
        <f t="shared" si="143"/>
        <v>0</v>
      </c>
      <c r="DT76" s="1154">
        <f t="shared" si="144"/>
        <v>0</v>
      </c>
      <c r="DU76" s="1154">
        <f t="shared" si="145"/>
        <v>0</v>
      </c>
      <c r="DV76" s="1154">
        <f t="shared" si="146"/>
        <v>0</v>
      </c>
      <c r="DW76" s="1154">
        <f t="shared" si="147"/>
        <v>0</v>
      </c>
      <c r="DX76" s="1154">
        <f t="shared" si="148"/>
        <v>0</v>
      </c>
      <c r="DY76" s="1154">
        <f t="shared" si="149"/>
        <v>0</v>
      </c>
      <c r="DZ76" s="1154">
        <f t="shared" si="150"/>
        <v>0</v>
      </c>
      <c r="EA76" s="1154">
        <f t="shared" si="151"/>
        <v>0</v>
      </c>
      <c r="EB76" s="1154">
        <f t="shared" si="152"/>
        <v>0</v>
      </c>
      <c r="EC76" s="1154">
        <f t="shared" si="153"/>
        <v>0</v>
      </c>
      <c r="ED76" s="1154">
        <f t="shared" si="154"/>
        <v>0</v>
      </c>
      <c r="EE76" s="1154">
        <f t="shared" si="155"/>
        <v>0</v>
      </c>
      <c r="EF76" s="1154">
        <f t="shared" si="156"/>
        <v>0</v>
      </c>
      <c r="EG76" s="1154">
        <f t="shared" si="157"/>
        <v>0</v>
      </c>
      <c r="EH76" s="1154">
        <f t="shared" si="158"/>
        <v>0</v>
      </c>
      <c r="EI76" s="1154">
        <f t="shared" si="159"/>
        <v>0</v>
      </c>
      <c r="EJ76" s="1154">
        <f t="shared" si="160"/>
        <v>758100.37610006577</v>
      </c>
      <c r="EK76" s="1154">
        <f t="shared" si="161"/>
        <v>325772.74946401996</v>
      </c>
      <c r="EL76" s="1154">
        <f t="shared" si="162"/>
        <v>0</v>
      </c>
      <c r="EM76" s="1154">
        <f t="shared" si="163"/>
        <v>0</v>
      </c>
      <c r="EN76" s="1154">
        <f t="shared" si="164"/>
        <v>0</v>
      </c>
      <c r="EO76" s="1154">
        <f t="shared" si="165"/>
        <v>1274590.100167816</v>
      </c>
      <c r="EP76" s="1154">
        <f t="shared" si="166"/>
        <v>0</v>
      </c>
      <c r="EQ76" s="1154">
        <f t="shared" si="167"/>
        <v>0</v>
      </c>
      <c r="ER76" s="1154">
        <f t="shared" si="168"/>
        <v>0</v>
      </c>
      <c r="ES76" s="1154">
        <f t="shared" si="169"/>
        <v>0</v>
      </c>
      <c r="ET76" s="1154">
        <f t="shared" si="170"/>
        <v>0</v>
      </c>
      <c r="EU76" s="1154">
        <f t="shared" si="171"/>
        <v>0</v>
      </c>
      <c r="EV76" s="1154">
        <f t="shared" si="172"/>
        <v>0</v>
      </c>
      <c r="EW76" s="1154">
        <f t="shared" si="173"/>
        <v>0</v>
      </c>
      <c r="EX76" s="1154">
        <f t="shared" si="174"/>
        <v>0</v>
      </c>
      <c r="EY76" s="1154">
        <f t="shared" si="175"/>
        <v>0</v>
      </c>
      <c r="EZ76" s="1154">
        <f t="shared" si="176"/>
        <v>0</v>
      </c>
      <c r="FA76" s="1174">
        <f t="shared" si="177"/>
        <v>2791443.8313993821</v>
      </c>
      <c r="FC76" s="1154">
        <f t="shared" si="178"/>
        <v>432980.60566748027</v>
      </c>
      <c r="FD76" s="1154">
        <f t="shared" si="179"/>
        <v>0</v>
      </c>
      <c r="FE76" s="1154">
        <f t="shared" si="180"/>
        <v>0</v>
      </c>
      <c r="FF76" s="1154">
        <f t="shared" si="181"/>
        <v>0</v>
      </c>
      <c r="FG76" s="1154">
        <f t="shared" si="182"/>
        <v>0</v>
      </c>
      <c r="FH76" s="1154">
        <f t="shared" si="183"/>
        <v>0</v>
      </c>
      <c r="FI76" s="1154">
        <f t="shared" si="184"/>
        <v>0</v>
      </c>
      <c r="FJ76" s="1154">
        <f t="shared" si="185"/>
        <v>0</v>
      </c>
      <c r="FK76" s="1154">
        <f t="shared" si="186"/>
        <v>0</v>
      </c>
      <c r="FL76" s="1154">
        <f t="shared" si="187"/>
        <v>0</v>
      </c>
      <c r="FM76" s="1154">
        <f t="shared" si="188"/>
        <v>0</v>
      </c>
      <c r="FN76" s="1154">
        <f t="shared" si="189"/>
        <v>0</v>
      </c>
      <c r="FO76" s="1154">
        <f t="shared" si="190"/>
        <v>0</v>
      </c>
      <c r="FP76" s="1154">
        <f t="shared" si="191"/>
        <v>0</v>
      </c>
      <c r="FQ76" s="1154">
        <f t="shared" si="192"/>
        <v>0</v>
      </c>
      <c r="FR76" s="1154">
        <f t="shared" si="193"/>
        <v>0</v>
      </c>
      <c r="FS76" s="1154">
        <f t="shared" si="194"/>
        <v>0</v>
      </c>
      <c r="FT76" s="1154">
        <f t="shared" si="195"/>
        <v>0</v>
      </c>
      <c r="FU76" s="1154">
        <f t="shared" si="196"/>
        <v>0</v>
      </c>
      <c r="FV76" s="1154">
        <f t="shared" si="197"/>
        <v>0</v>
      </c>
      <c r="FW76" s="1154">
        <f t="shared" si="198"/>
        <v>0</v>
      </c>
      <c r="FX76" s="1154">
        <f t="shared" si="199"/>
        <v>0</v>
      </c>
      <c r="FY76" s="1154">
        <f t="shared" si="200"/>
        <v>0</v>
      </c>
      <c r="FZ76" s="1154">
        <f t="shared" si="201"/>
        <v>1333368.4086460711</v>
      </c>
      <c r="GA76" s="1154">
        <f t="shared" si="202"/>
        <v>0</v>
      </c>
      <c r="GB76" s="1154">
        <f t="shared" si="203"/>
        <v>0</v>
      </c>
      <c r="GC76" s="1154">
        <f t="shared" si="204"/>
        <v>0</v>
      </c>
      <c r="GD76" s="1154">
        <f t="shared" si="205"/>
        <v>0</v>
      </c>
      <c r="GE76" s="1154">
        <f t="shared" si="206"/>
        <v>0</v>
      </c>
      <c r="GF76" s="1154">
        <f t="shared" si="207"/>
        <v>0</v>
      </c>
      <c r="GG76" s="1154">
        <f t="shared" si="208"/>
        <v>0</v>
      </c>
      <c r="GH76" s="1154">
        <f t="shared" si="209"/>
        <v>0</v>
      </c>
      <c r="GI76" s="1154">
        <f t="shared" si="210"/>
        <v>0</v>
      </c>
      <c r="GJ76" s="1154">
        <f t="shared" si="211"/>
        <v>0</v>
      </c>
      <c r="GK76" s="1154">
        <f t="shared" si="212"/>
        <v>0</v>
      </c>
      <c r="GL76" s="1174">
        <f t="shared" si="213"/>
        <v>1766349.0143135514</v>
      </c>
    </row>
    <row r="77" spans="2:194">
      <c r="B77" s="1290" t="str">
        <f t="shared" si="141"/>
        <v>SACDUOSWSTOUD</v>
      </c>
      <c r="C77" s="1289" t="str">
        <f>Prop2021DUOSTariffs!C35</f>
        <v>West SAC&gt;100MWhpa STOUD</v>
      </c>
      <c r="D77" s="1113" t="str">
        <f>Prop2021DUOSTariffs!D35</f>
        <v>West SAC&gt;100MWhpa STOUD</v>
      </c>
      <c r="E77" s="1113" t="str">
        <f>Prop2021DUOSTariffs!E35</f>
        <v>SAC</v>
      </c>
      <c r="F77" s="1113" t="str">
        <f>Prop2021DUOSTariffs!F35</f>
        <v>SACL</v>
      </c>
      <c r="G77" s="1113" t="str">
        <f>Prop2021DUOSTariffs!G35</f>
        <v>West</v>
      </c>
      <c r="H77" s="1113" t="str">
        <f>IF(Prop2021DUOSTariffs!H35="","",Prop2021DUOSTariffs!H35)</f>
        <v>WSTOUD</v>
      </c>
      <c r="I77" s="1114" t="s">
        <v>798</v>
      </c>
      <c r="J77" s="1114" t="s">
        <v>934</v>
      </c>
      <c r="K77" s="1270"/>
      <c r="L77" s="1233">
        <v>4.5046048320000001</v>
      </c>
      <c r="M77" s="1007"/>
      <c r="N77" s="1007"/>
      <c r="O77" s="1007"/>
      <c r="P77" s="1007"/>
      <c r="Q77" s="1007"/>
      <c r="R77" s="1007"/>
      <c r="S77" s="1007"/>
      <c r="T77" s="1007"/>
      <c r="U77" s="1007"/>
      <c r="V77" s="1007"/>
      <c r="W77" s="1007"/>
      <c r="X77" s="1007"/>
      <c r="Y77" s="1007"/>
      <c r="Z77" s="1007"/>
      <c r="AA77" s="1007"/>
      <c r="AB77" s="1007"/>
      <c r="AC77" s="1007"/>
      <c r="AD77" s="1233">
        <v>0.92590470000000002</v>
      </c>
      <c r="AE77" s="1233">
        <v>0.92590470000000002</v>
      </c>
      <c r="AF77" s="1007"/>
      <c r="AG77" s="1007"/>
      <c r="AH77" s="1007"/>
      <c r="AI77" s="1224">
        <v>1.2756140745273986E-2</v>
      </c>
      <c r="AJ77" s="1005"/>
      <c r="AK77" s="1005"/>
      <c r="AL77" s="1005"/>
      <c r="AM77" s="1005"/>
      <c r="AN77" s="1005"/>
      <c r="AO77" s="1005"/>
      <c r="AP77" s="1005"/>
      <c r="AQ77" s="1005"/>
      <c r="AR77" s="1005"/>
      <c r="AS77" s="1005"/>
      <c r="AT77" s="1005"/>
      <c r="AU77" s="1006"/>
      <c r="AV77" s="1270"/>
      <c r="AW77" s="1480">
        <v>4.0861799999999997</v>
      </c>
      <c r="AX77" s="1006"/>
      <c r="AY77" s="1006"/>
      <c r="AZ77" s="1006"/>
      <c r="BA77" s="1006"/>
      <c r="BB77" s="1006"/>
      <c r="BC77" s="1006"/>
      <c r="BD77" s="1006"/>
      <c r="BE77" s="1006"/>
      <c r="BF77" s="1006"/>
      <c r="BG77" s="1006"/>
      <c r="BH77" s="1006"/>
      <c r="BI77" s="1006"/>
      <c r="BJ77" s="1006"/>
      <c r="BK77" s="1006"/>
      <c r="BL77" s="1006"/>
      <c r="BM77" s="1480">
        <v>0.87349500000000002</v>
      </c>
      <c r="BN77" s="1480">
        <v>0.87349500000000002</v>
      </c>
      <c r="BO77" s="1006"/>
      <c r="BP77" s="1006"/>
      <c r="BQ77" s="1006"/>
      <c r="BR77" s="1006"/>
      <c r="BS77" s="1006"/>
      <c r="BT77" s="1480">
        <v>9.9886311700567981E-3</v>
      </c>
      <c r="BU77" s="1006"/>
      <c r="BV77" s="1006"/>
      <c r="BW77" s="1006"/>
      <c r="BX77" s="1006"/>
      <c r="BY77" s="1006"/>
      <c r="BZ77" s="1006"/>
      <c r="CA77" s="1006"/>
      <c r="CB77" s="1006"/>
      <c r="CC77" s="1006"/>
      <c r="CD77" s="1006"/>
      <c r="CE77" s="1006"/>
      <c r="CF77" s="1006"/>
      <c r="CG77" s="1209"/>
      <c r="CH77" s="1236">
        <v>18.823450277681921</v>
      </c>
      <c r="CI77" s="1007"/>
      <c r="CJ77" s="1007"/>
      <c r="CK77" s="1007"/>
      <c r="CL77" s="1007"/>
      <c r="CM77" s="1007"/>
      <c r="CN77" s="1007"/>
      <c r="CO77" s="1007"/>
      <c r="CP77" s="1007"/>
      <c r="CQ77" s="1007"/>
      <c r="CR77" s="1007"/>
      <c r="CS77" s="1007"/>
      <c r="CT77" s="1007"/>
      <c r="CU77" s="1007"/>
      <c r="CV77" s="1007"/>
      <c r="CW77" s="1007"/>
      <c r="CX77" s="1007"/>
      <c r="CY77" s="1007"/>
      <c r="CZ77" s="1236">
        <v>22268.495559362935</v>
      </c>
      <c r="DA77" s="1236">
        <v>8289.1020936601217</v>
      </c>
      <c r="DB77" s="1007"/>
      <c r="DC77" s="1007"/>
      <c r="DD77" s="1007"/>
      <c r="DE77" s="1236">
        <v>8113622.3483152771</v>
      </c>
      <c r="DF77" s="1007"/>
      <c r="DG77" s="1007"/>
      <c r="DH77" s="1007"/>
      <c r="DI77" s="1006"/>
      <c r="DJ77" s="1006"/>
      <c r="DK77" s="1007"/>
      <c r="DL77" s="1007"/>
      <c r="DM77" s="1007"/>
      <c r="DN77" s="1007"/>
      <c r="DO77" s="1112"/>
      <c r="DP77" s="1112"/>
      <c r="DQ77" s="1270"/>
      <c r="DR77" s="1154">
        <f t="shared" si="142"/>
        <v>30949.154852651569</v>
      </c>
      <c r="DS77" s="1154">
        <f t="shared" si="143"/>
        <v>0</v>
      </c>
      <c r="DT77" s="1154">
        <f t="shared" si="144"/>
        <v>0</v>
      </c>
      <c r="DU77" s="1154">
        <f t="shared" si="145"/>
        <v>0</v>
      </c>
      <c r="DV77" s="1154">
        <f t="shared" si="146"/>
        <v>0</v>
      </c>
      <c r="DW77" s="1154">
        <f t="shared" si="147"/>
        <v>0</v>
      </c>
      <c r="DX77" s="1154">
        <f t="shared" si="148"/>
        <v>0</v>
      </c>
      <c r="DY77" s="1154">
        <f t="shared" si="149"/>
        <v>0</v>
      </c>
      <c r="DZ77" s="1154">
        <f t="shared" si="150"/>
        <v>0</v>
      </c>
      <c r="EA77" s="1154">
        <f t="shared" si="151"/>
        <v>0</v>
      </c>
      <c r="EB77" s="1154">
        <f t="shared" si="152"/>
        <v>0</v>
      </c>
      <c r="EC77" s="1154">
        <f t="shared" si="153"/>
        <v>0</v>
      </c>
      <c r="ED77" s="1154">
        <f t="shared" si="154"/>
        <v>0</v>
      </c>
      <c r="EE77" s="1154">
        <f t="shared" si="155"/>
        <v>0</v>
      </c>
      <c r="EF77" s="1154">
        <f t="shared" si="156"/>
        <v>0</v>
      </c>
      <c r="EG77" s="1154">
        <f t="shared" si="157"/>
        <v>0</v>
      </c>
      <c r="EH77" s="1154">
        <f t="shared" si="158"/>
        <v>0</v>
      </c>
      <c r="EI77" s="1154">
        <f t="shared" si="159"/>
        <v>0</v>
      </c>
      <c r="EJ77" s="1154">
        <f t="shared" si="160"/>
        <v>20618.50470034327</v>
      </c>
      <c r="EK77" s="1154">
        <f t="shared" si="161"/>
        <v>7674.9185872997468</v>
      </c>
      <c r="EL77" s="1154">
        <f t="shared" si="162"/>
        <v>0</v>
      </c>
      <c r="EM77" s="1154">
        <f t="shared" si="163"/>
        <v>0</v>
      </c>
      <c r="EN77" s="1154">
        <f t="shared" si="164"/>
        <v>0</v>
      </c>
      <c r="EO77" s="1154">
        <f t="shared" si="165"/>
        <v>103498.5086291101</v>
      </c>
      <c r="EP77" s="1154">
        <f t="shared" si="166"/>
        <v>0</v>
      </c>
      <c r="EQ77" s="1154">
        <f t="shared" si="167"/>
        <v>0</v>
      </c>
      <c r="ER77" s="1154">
        <f t="shared" si="168"/>
        <v>0</v>
      </c>
      <c r="ES77" s="1154">
        <f t="shared" si="169"/>
        <v>0</v>
      </c>
      <c r="ET77" s="1154">
        <f t="shared" si="170"/>
        <v>0</v>
      </c>
      <c r="EU77" s="1154">
        <f t="shared" si="171"/>
        <v>0</v>
      </c>
      <c r="EV77" s="1154">
        <f t="shared" si="172"/>
        <v>0</v>
      </c>
      <c r="EW77" s="1154">
        <f t="shared" si="173"/>
        <v>0</v>
      </c>
      <c r="EX77" s="1154">
        <f t="shared" si="174"/>
        <v>0</v>
      </c>
      <c r="EY77" s="1154">
        <f t="shared" si="175"/>
        <v>0</v>
      </c>
      <c r="EZ77" s="1154">
        <f t="shared" si="176"/>
        <v>0</v>
      </c>
      <c r="FA77" s="1174">
        <f t="shared" si="177"/>
        <v>162741.0867694047</v>
      </c>
      <c r="FC77" s="1154">
        <f t="shared" si="178"/>
        <v>28074.342210315281</v>
      </c>
      <c r="FD77" s="1154">
        <f t="shared" si="179"/>
        <v>0</v>
      </c>
      <c r="FE77" s="1154">
        <f t="shared" si="180"/>
        <v>0</v>
      </c>
      <c r="FF77" s="1154">
        <f t="shared" si="181"/>
        <v>0</v>
      </c>
      <c r="FG77" s="1154">
        <f t="shared" si="182"/>
        <v>0</v>
      </c>
      <c r="FH77" s="1154">
        <f t="shared" si="183"/>
        <v>0</v>
      </c>
      <c r="FI77" s="1154">
        <f t="shared" si="184"/>
        <v>0</v>
      </c>
      <c r="FJ77" s="1154">
        <f t="shared" si="185"/>
        <v>0</v>
      </c>
      <c r="FK77" s="1154">
        <f t="shared" si="186"/>
        <v>0</v>
      </c>
      <c r="FL77" s="1154">
        <f t="shared" si="187"/>
        <v>0</v>
      </c>
      <c r="FM77" s="1154">
        <f t="shared" si="188"/>
        <v>0</v>
      </c>
      <c r="FN77" s="1154">
        <f t="shared" si="189"/>
        <v>0</v>
      </c>
      <c r="FO77" s="1154">
        <f t="shared" si="190"/>
        <v>0</v>
      </c>
      <c r="FP77" s="1154">
        <f t="shared" si="191"/>
        <v>0</v>
      </c>
      <c r="FQ77" s="1154">
        <f t="shared" si="192"/>
        <v>0</v>
      </c>
      <c r="FR77" s="1154">
        <f t="shared" si="193"/>
        <v>0</v>
      </c>
      <c r="FS77" s="1154">
        <f t="shared" si="194"/>
        <v>0</v>
      </c>
      <c r="FT77" s="1154">
        <f t="shared" si="195"/>
        <v>0</v>
      </c>
      <c r="FU77" s="1154">
        <f t="shared" si="196"/>
        <v>0</v>
      </c>
      <c r="FV77" s="1154">
        <f t="shared" si="197"/>
        <v>0</v>
      </c>
      <c r="FW77" s="1154">
        <f t="shared" si="198"/>
        <v>0</v>
      </c>
      <c r="FX77" s="1154">
        <f t="shared" si="199"/>
        <v>0</v>
      </c>
      <c r="FY77" s="1154">
        <f t="shared" si="200"/>
        <v>0</v>
      </c>
      <c r="FZ77" s="1154">
        <f t="shared" si="201"/>
        <v>81043.981090451416</v>
      </c>
      <c r="GA77" s="1154">
        <f t="shared" si="202"/>
        <v>0</v>
      </c>
      <c r="GB77" s="1154">
        <f t="shared" si="203"/>
        <v>0</v>
      </c>
      <c r="GC77" s="1154">
        <f t="shared" si="204"/>
        <v>0</v>
      </c>
      <c r="GD77" s="1154">
        <f t="shared" si="205"/>
        <v>0</v>
      </c>
      <c r="GE77" s="1154">
        <f t="shared" si="206"/>
        <v>0</v>
      </c>
      <c r="GF77" s="1154">
        <f t="shared" si="207"/>
        <v>0</v>
      </c>
      <c r="GG77" s="1154">
        <f t="shared" si="208"/>
        <v>0</v>
      </c>
      <c r="GH77" s="1154">
        <f t="shared" si="209"/>
        <v>0</v>
      </c>
      <c r="GI77" s="1154">
        <f t="shared" si="210"/>
        <v>0</v>
      </c>
      <c r="GJ77" s="1154">
        <f t="shared" si="211"/>
        <v>0</v>
      </c>
      <c r="GK77" s="1154">
        <f t="shared" si="212"/>
        <v>0</v>
      </c>
      <c r="GL77" s="1174">
        <f t="shared" si="213"/>
        <v>109118.3233007667</v>
      </c>
    </row>
    <row r="78" spans="2:194">
      <c r="B78" s="1290" t="str">
        <f t="shared" si="141"/>
        <v>SACDUOSWSTOUD</v>
      </c>
      <c r="C78" s="1289" t="str">
        <f>C77</f>
        <v>West SAC&gt;100MWhpa STOUD</v>
      </c>
      <c r="D78" s="1113" t="str">
        <f t="shared" ref="D78:H78" si="248">D77</f>
        <v>West SAC&gt;100MWhpa STOUD</v>
      </c>
      <c r="E78" s="1113" t="str">
        <f t="shared" si="248"/>
        <v>SAC</v>
      </c>
      <c r="F78" s="1113" t="str">
        <f t="shared" si="248"/>
        <v>SACL</v>
      </c>
      <c r="G78" s="1113" t="str">
        <f t="shared" ref="G78" si="249">G77</f>
        <v>West</v>
      </c>
      <c r="H78" s="1113" t="str">
        <f t="shared" si="248"/>
        <v>WSTOUD</v>
      </c>
      <c r="I78" s="1114" t="s">
        <v>752</v>
      </c>
      <c r="J78" s="1114" t="s">
        <v>934</v>
      </c>
      <c r="K78" s="1270"/>
      <c r="L78" s="1233">
        <v>5.8396644599999998</v>
      </c>
      <c r="M78" s="1007"/>
      <c r="N78" s="1007"/>
      <c r="O78" s="1007"/>
      <c r="P78" s="1007"/>
      <c r="Q78" s="1007"/>
      <c r="R78" s="1007"/>
      <c r="S78" s="1007"/>
      <c r="T78" s="1007"/>
      <c r="U78" s="1007"/>
      <c r="V78" s="1007"/>
      <c r="W78" s="1007"/>
      <c r="X78" s="1007"/>
      <c r="Y78" s="1007"/>
      <c r="Z78" s="1007"/>
      <c r="AA78" s="1007"/>
      <c r="AB78" s="1007"/>
      <c r="AC78" s="1007"/>
      <c r="AD78" s="1233">
        <v>1.95685581</v>
      </c>
      <c r="AE78" s="1233">
        <v>1.95685581</v>
      </c>
      <c r="AF78" s="1007"/>
      <c r="AG78" s="1007"/>
      <c r="AH78" s="1007"/>
      <c r="AI78" s="1224">
        <v>1.3580961239131205E-2</v>
      </c>
      <c r="AJ78" s="1005"/>
      <c r="AK78" s="1005"/>
      <c r="AL78" s="1005"/>
      <c r="AM78" s="1005"/>
      <c r="AN78" s="1005"/>
      <c r="AO78" s="1005"/>
      <c r="AP78" s="1005"/>
      <c r="AQ78" s="1005"/>
      <c r="AR78" s="1005"/>
      <c r="AS78" s="1005"/>
      <c r="AT78" s="1005"/>
      <c r="AU78" s="1006"/>
      <c r="AV78" s="1270"/>
      <c r="AW78" s="1480">
        <v>5.7818459999999998</v>
      </c>
      <c r="AX78" s="1006"/>
      <c r="AY78" s="1006"/>
      <c r="AZ78" s="1006"/>
      <c r="BA78" s="1006"/>
      <c r="BB78" s="1006"/>
      <c r="BC78" s="1006"/>
      <c r="BD78" s="1006"/>
      <c r="BE78" s="1006"/>
      <c r="BF78" s="1006"/>
      <c r="BG78" s="1006"/>
      <c r="BH78" s="1006"/>
      <c r="BI78" s="1006"/>
      <c r="BJ78" s="1006"/>
      <c r="BK78" s="1006"/>
      <c r="BL78" s="1006"/>
      <c r="BM78" s="1480">
        <v>1.937481</v>
      </c>
      <c r="BN78" s="1480">
        <v>1.937481</v>
      </c>
      <c r="BO78" s="1006"/>
      <c r="BP78" s="1006"/>
      <c r="BQ78" s="1006"/>
      <c r="BR78" s="1006"/>
      <c r="BS78" s="1006"/>
      <c r="BT78" s="1480">
        <v>1.3226767178995704E-2</v>
      </c>
      <c r="BU78" s="1006"/>
      <c r="BV78" s="1006"/>
      <c r="BW78" s="1006"/>
      <c r="BX78" s="1006"/>
      <c r="BY78" s="1006"/>
      <c r="BZ78" s="1006"/>
      <c r="CA78" s="1006"/>
      <c r="CB78" s="1006"/>
      <c r="CC78" s="1006"/>
      <c r="CD78" s="1006"/>
      <c r="CE78" s="1006"/>
      <c r="CF78" s="1006"/>
      <c r="CG78" s="1209"/>
      <c r="CH78" s="1236">
        <v>5.1231749464095628</v>
      </c>
      <c r="CI78" s="1007"/>
      <c r="CJ78" s="1007"/>
      <c r="CK78" s="1007"/>
      <c r="CL78" s="1007"/>
      <c r="CM78" s="1007"/>
      <c r="CN78" s="1007"/>
      <c r="CO78" s="1007"/>
      <c r="CP78" s="1007"/>
      <c r="CQ78" s="1007"/>
      <c r="CR78" s="1007"/>
      <c r="CS78" s="1007"/>
      <c r="CT78" s="1007"/>
      <c r="CU78" s="1007"/>
      <c r="CV78" s="1007"/>
      <c r="CW78" s="1007"/>
      <c r="CX78" s="1007"/>
      <c r="CY78" s="1007"/>
      <c r="CZ78" s="1236">
        <v>6060.8122772915058</v>
      </c>
      <c r="DA78" s="1236">
        <v>2256.0433686708939</v>
      </c>
      <c r="DB78" s="1007"/>
      <c r="DC78" s="1007"/>
      <c r="DD78" s="1007"/>
      <c r="DE78" s="1236">
        <v>2208283.0791548449</v>
      </c>
      <c r="DF78" s="1007"/>
      <c r="DG78" s="1007"/>
      <c r="DH78" s="1007"/>
      <c r="DI78" s="1006"/>
      <c r="DJ78" s="1006"/>
      <c r="DK78" s="1007"/>
      <c r="DL78" s="1007"/>
      <c r="DM78" s="1007"/>
      <c r="DN78" s="1007"/>
      <c r="DO78" s="1112"/>
      <c r="DP78" s="1112"/>
      <c r="DQ78" s="1270"/>
      <c r="DR78" s="1154">
        <f t="shared" si="142"/>
        <v>10919.932269772269</v>
      </c>
      <c r="DS78" s="1154">
        <f t="shared" si="143"/>
        <v>0</v>
      </c>
      <c r="DT78" s="1154">
        <f t="shared" si="144"/>
        <v>0</v>
      </c>
      <c r="DU78" s="1154">
        <f t="shared" si="145"/>
        <v>0</v>
      </c>
      <c r="DV78" s="1154">
        <f t="shared" si="146"/>
        <v>0</v>
      </c>
      <c r="DW78" s="1154">
        <f t="shared" si="147"/>
        <v>0</v>
      </c>
      <c r="DX78" s="1154">
        <f t="shared" si="148"/>
        <v>0</v>
      </c>
      <c r="DY78" s="1154">
        <f t="shared" si="149"/>
        <v>0</v>
      </c>
      <c r="DZ78" s="1154">
        <f t="shared" si="150"/>
        <v>0</v>
      </c>
      <c r="EA78" s="1154">
        <f t="shared" si="151"/>
        <v>0</v>
      </c>
      <c r="EB78" s="1154">
        <f t="shared" si="152"/>
        <v>0</v>
      </c>
      <c r="EC78" s="1154">
        <f t="shared" si="153"/>
        <v>0</v>
      </c>
      <c r="ED78" s="1154">
        <f t="shared" si="154"/>
        <v>0</v>
      </c>
      <c r="EE78" s="1154">
        <f t="shared" si="155"/>
        <v>0</v>
      </c>
      <c r="EF78" s="1154">
        <f t="shared" si="156"/>
        <v>0</v>
      </c>
      <c r="EG78" s="1154">
        <f t="shared" si="157"/>
        <v>0</v>
      </c>
      <c r="EH78" s="1154">
        <f t="shared" si="158"/>
        <v>0</v>
      </c>
      <c r="EI78" s="1154">
        <f t="shared" si="159"/>
        <v>0</v>
      </c>
      <c r="EJ78" s="1154">
        <f t="shared" si="160"/>
        <v>11860.135718137213</v>
      </c>
      <c r="EK78" s="1154">
        <f t="shared" si="161"/>
        <v>4414.7515735956104</v>
      </c>
      <c r="EL78" s="1154">
        <f t="shared" si="162"/>
        <v>0</v>
      </c>
      <c r="EM78" s="1154">
        <f t="shared" si="163"/>
        <v>0</v>
      </c>
      <c r="EN78" s="1154">
        <f t="shared" si="164"/>
        <v>0</v>
      </c>
      <c r="EO78" s="1154">
        <f t="shared" si="165"/>
        <v>29990.606903031254</v>
      </c>
      <c r="EP78" s="1154">
        <f t="shared" si="166"/>
        <v>0</v>
      </c>
      <c r="EQ78" s="1154">
        <f t="shared" si="167"/>
        <v>0</v>
      </c>
      <c r="ER78" s="1154">
        <f t="shared" si="168"/>
        <v>0</v>
      </c>
      <c r="ES78" s="1154">
        <f t="shared" si="169"/>
        <v>0</v>
      </c>
      <c r="ET78" s="1154">
        <f t="shared" si="170"/>
        <v>0</v>
      </c>
      <c r="EU78" s="1154">
        <f t="shared" si="171"/>
        <v>0</v>
      </c>
      <c r="EV78" s="1154">
        <f t="shared" si="172"/>
        <v>0</v>
      </c>
      <c r="EW78" s="1154">
        <f t="shared" si="173"/>
        <v>0</v>
      </c>
      <c r="EX78" s="1154">
        <f t="shared" si="174"/>
        <v>0</v>
      </c>
      <c r="EY78" s="1154">
        <f t="shared" si="175"/>
        <v>0</v>
      </c>
      <c r="EZ78" s="1154">
        <f t="shared" si="176"/>
        <v>0</v>
      </c>
      <c r="FA78" s="1174">
        <f t="shared" si="177"/>
        <v>57185.426464536344</v>
      </c>
      <c r="FC78" s="1154">
        <f t="shared" si="178"/>
        <v>10811.814128487396</v>
      </c>
      <c r="FD78" s="1154">
        <f t="shared" si="179"/>
        <v>0</v>
      </c>
      <c r="FE78" s="1154">
        <f t="shared" si="180"/>
        <v>0</v>
      </c>
      <c r="FF78" s="1154">
        <f t="shared" si="181"/>
        <v>0</v>
      </c>
      <c r="FG78" s="1154">
        <f t="shared" si="182"/>
        <v>0</v>
      </c>
      <c r="FH78" s="1154">
        <f t="shared" si="183"/>
        <v>0</v>
      </c>
      <c r="FI78" s="1154">
        <f t="shared" si="184"/>
        <v>0</v>
      </c>
      <c r="FJ78" s="1154">
        <f t="shared" si="185"/>
        <v>0</v>
      </c>
      <c r="FK78" s="1154">
        <f t="shared" si="186"/>
        <v>0</v>
      </c>
      <c r="FL78" s="1154">
        <f t="shared" si="187"/>
        <v>0</v>
      </c>
      <c r="FM78" s="1154">
        <f t="shared" si="188"/>
        <v>0</v>
      </c>
      <c r="FN78" s="1154">
        <f t="shared" si="189"/>
        <v>0</v>
      </c>
      <c r="FO78" s="1154">
        <f t="shared" si="190"/>
        <v>0</v>
      </c>
      <c r="FP78" s="1154">
        <f t="shared" si="191"/>
        <v>0</v>
      </c>
      <c r="FQ78" s="1154">
        <f t="shared" si="192"/>
        <v>0</v>
      </c>
      <c r="FR78" s="1154">
        <f t="shared" si="193"/>
        <v>0</v>
      </c>
      <c r="FS78" s="1154">
        <f t="shared" si="194"/>
        <v>0</v>
      </c>
      <c r="FT78" s="1154">
        <f t="shared" si="195"/>
        <v>0</v>
      </c>
      <c r="FU78" s="1154">
        <f t="shared" si="196"/>
        <v>0</v>
      </c>
      <c r="FV78" s="1154">
        <f t="shared" si="197"/>
        <v>0</v>
      </c>
      <c r="FW78" s="1154">
        <f t="shared" si="198"/>
        <v>0</v>
      </c>
      <c r="FX78" s="1154">
        <f t="shared" si="199"/>
        <v>0</v>
      </c>
      <c r="FY78" s="1154">
        <f t="shared" si="200"/>
        <v>0</v>
      </c>
      <c r="FZ78" s="1154">
        <f t="shared" si="201"/>
        <v>29208.446153296874</v>
      </c>
      <c r="GA78" s="1154">
        <f t="shared" si="202"/>
        <v>0</v>
      </c>
      <c r="GB78" s="1154">
        <f t="shared" si="203"/>
        <v>0</v>
      </c>
      <c r="GC78" s="1154">
        <f t="shared" si="204"/>
        <v>0</v>
      </c>
      <c r="GD78" s="1154">
        <f t="shared" si="205"/>
        <v>0</v>
      </c>
      <c r="GE78" s="1154">
        <f t="shared" si="206"/>
        <v>0</v>
      </c>
      <c r="GF78" s="1154">
        <f t="shared" si="207"/>
        <v>0</v>
      </c>
      <c r="GG78" s="1154">
        <f t="shared" si="208"/>
        <v>0</v>
      </c>
      <c r="GH78" s="1154">
        <f t="shared" si="209"/>
        <v>0</v>
      </c>
      <c r="GI78" s="1154">
        <f t="shared" si="210"/>
        <v>0</v>
      </c>
      <c r="GJ78" s="1154">
        <f t="shared" si="211"/>
        <v>0</v>
      </c>
      <c r="GK78" s="1154">
        <f t="shared" si="212"/>
        <v>0</v>
      </c>
      <c r="GL78" s="1174">
        <f t="shared" si="213"/>
        <v>40020.260281784271</v>
      </c>
    </row>
    <row r="79" spans="2:194">
      <c r="B79" s="1290" t="str">
        <f t="shared" si="141"/>
        <v>SACDUOSWSTOUD</v>
      </c>
      <c r="C79" s="1289" t="str">
        <f>C78</f>
        <v>West SAC&gt;100MWhpa STOUD</v>
      </c>
      <c r="D79" s="1113" t="str">
        <f t="shared" ref="D79" si="250">D78</f>
        <v>West SAC&gt;100MWhpa STOUD</v>
      </c>
      <c r="E79" s="1113" t="str">
        <f t="shared" ref="E79" si="251">E78</f>
        <v>SAC</v>
      </c>
      <c r="F79" s="1113" t="str">
        <f t="shared" ref="F79:G79" si="252">F78</f>
        <v>SACL</v>
      </c>
      <c r="G79" s="1113" t="str">
        <f t="shared" si="252"/>
        <v>West</v>
      </c>
      <c r="H79" s="1113" t="str">
        <f t="shared" ref="H79" si="253">H78</f>
        <v>WSTOUD</v>
      </c>
      <c r="I79" s="1114" t="s">
        <v>759</v>
      </c>
      <c r="J79" s="1114" t="s">
        <v>934</v>
      </c>
      <c r="K79" s="1270"/>
      <c r="L79" s="1233">
        <v>7.8456630000000001</v>
      </c>
      <c r="M79" s="1007"/>
      <c r="N79" s="1007"/>
      <c r="O79" s="1007"/>
      <c r="P79" s="1007"/>
      <c r="Q79" s="1007"/>
      <c r="R79" s="1007"/>
      <c r="S79" s="1007"/>
      <c r="T79" s="1007"/>
      <c r="U79" s="1007"/>
      <c r="V79" s="1007"/>
      <c r="W79" s="1007"/>
      <c r="X79" s="1007"/>
      <c r="Y79" s="1007"/>
      <c r="Z79" s="1007"/>
      <c r="AA79" s="1007"/>
      <c r="AB79" s="1007"/>
      <c r="AC79" s="1007"/>
      <c r="AD79" s="1233">
        <v>3.8068590000000002</v>
      </c>
      <c r="AE79" s="1233">
        <v>3.8068590000000002</v>
      </c>
      <c r="AF79" s="1007"/>
      <c r="AG79" s="1007"/>
      <c r="AH79" s="1007"/>
      <c r="AI79" s="1224">
        <v>1.4121324100704864E-2</v>
      </c>
      <c r="AJ79" s="1005"/>
      <c r="AK79" s="1005"/>
      <c r="AL79" s="1005"/>
      <c r="AM79" s="1005"/>
      <c r="AN79" s="1005"/>
      <c r="AO79" s="1005"/>
      <c r="AP79" s="1005"/>
      <c r="AQ79" s="1005"/>
      <c r="AR79" s="1005"/>
      <c r="AS79" s="1005"/>
      <c r="AT79" s="1005"/>
      <c r="AU79" s="1006"/>
      <c r="AV79" s="1270"/>
      <c r="AW79" s="1480">
        <v>7.8456630000000001</v>
      </c>
      <c r="AX79" s="1006"/>
      <c r="AY79" s="1006"/>
      <c r="AZ79" s="1006"/>
      <c r="BA79" s="1006"/>
      <c r="BB79" s="1006"/>
      <c r="BC79" s="1006"/>
      <c r="BD79" s="1006"/>
      <c r="BE79" s="1006"/>
      <c r="BF79" s="1006"/>
      <c r="BG79" s="1006"/>
      <c r="BH79" s="1006"/>
      <c r="BI79" s="1006"/>
      <c r="BJ79" s="1006"/>
      <c r="BK79" s="1006"/>
      <c r="BL79" s="1006"/>
      <c r="BM79" s="1480">
        <v>3.8068590000000002</v>
      </c>
      <c r="BN79" s="1480">
        <v>3.8068590000000002</v>
      </c>
      <c r="BO79" s="1006"/>
      <c r="BP79" s="1006"/>
      <c r="BQ79" s="1006"/>
      <c r="BR79" s="1006"/>
      <c r="BS79" s="1006"/>
      <c r="BT79" s="1480">
        <v>1.4772535454067301E-2</v>
      </c>
      <c r="BU79" s="1006"/>
      <c r="BV79" s="1006"/>
      <c r="BW79" s="1006"/>
      <c r="BX79" s="1006"/>
      <c r="BY79" s="1006"/>
      <c r="BZ79" s="1006"/>
      <c r="CA79" s="1006"/>
      <c r="CB79" s="1006"/>
      <c r="CC79" s="1006"/>
      <c r="CD79" s="1006"/>
      <c r="CE79" s="1006"/>
      <c r="CF79" s="1006"/>
      <c r="CG79" s="1209"/>
      <c r="CH79" s="1236">
        <v>1.0533747759085177</v>
      </c>
      <c r="CI79" s="1007"/>
      <c r="CJ79" s="1007"/>
      <c r="CK79" s="1007"/>
      <c r="CL79" s="1007"/>
      <c r="CM79" s="1007"/>
      <c r="CN79" s="1007"/>
      <c r="CO79" s="1007"/>
      <c r="CP79" s="1007"/>
      <c r="CQ79" s="1007"/>
      <c r="CR79" s="1007"/>
      <c r="CS79" s="1007"/>
      <c r="CT79" s="1007"/>
      <c r="CU79" s="1007"/>
      <c r="CV79" s="1007"/>
      <c r="CW79" s="1007"/>
      <c r="CX79" s="1007"/>
      <c r="CY79" s="1007"/>
      <c r="CZ79" s="1236">
        <v>1246.1621633455634</v>
      </c>
      <c r="DA79" s="1236">
        <v>463.86453766898518</v>
      </c>
      <c r="DB79" s="1007"/>
      <c r="DC79" s="1007"/>
      <c r="DD79" s="1007"/>
      <c r="DE79" s="1236">
        <v>454044.55595987878</v>
      </c>
      <c r="DF79" s="1007"/>
      <c r="DG79" s="1007"/>
      <c r="DH79" s="1007"/>
      <c r="DI79" s="1006"/>
      <c r="DJ79" s="1006"/>
      <c r="DK79" s="1007"/>
      <c r="DL79" s="1007"/>
      <c r="DM79" s="1007"/>
      <c r="DN79" s="1007"/>
      <c r="DO79" s="1112"/>
      <c r="DP79" s="1112"/>
      <c r="DQ79" s="1270"/>
      <c r="DR79" s="1154">
        <f t="shared" si="142"/>
        <v>3016.5145791347436</v>
      </c>
      <c r="DS79" s="1154">
        <f t="shared" si="143"/>
        <v>0</v>
      </c>
      <c r="DT79" s="1154">
        <f t="shared" si="144"/>
        <v>0</v>
      </c>
      <c r="DU79" s="1154">
        <f t="shared" si="145"/>
        <v>0</v>
      </c>
      <c r="DV79" s="1154">
        <f t="shared" si="146"/>
        <v>0</v>
      </c>
      <c r="DW79" s="1154">
        <f t="shared" si="147"/>
        <v>0</v>
      </c>
      <c r="DX79" s="1154">
        <f t="shared" si="148"/>
        <v>0</v>
      </c>
      <c r="DY79" s="1154">
        <f t="shared" si="149"/>
        <v>0</v>
      </c>
      <c r="DZ79" s="1154">
        <f t="shared" si="150"/>
        <v>0</v>
      </c>
      <c r="EA79" s="1154">
        <f t="shared" si="151"/>
        <v>0</v>
      </c>
      <c r="EB79" s="1154">
        <f t="shared" si="152"/>
        <v>0</v>
      </c>
      <c r="EC79" s="1154">
        <f t="shared" si="153"/>
        <v>0</v>
      </c>
      <c r="ED79" s="1154">
        <f t="shared" si="154"/>
        <v>0</v>
      </c>
      <c r="EE79" s="1154">
        <f t="shared" si="155"/>
        <v>0</v>
      </c>
      <c r="EF79" s="1154">
        <f t="shared" si="156"/>
        <v>0</v>
      </c>
      <c r="EG79" s="1154">
        <f t="shared" si="157"/>
        <v>0</v>
      </c>
      <c r="EH79" s="1154">
        <f t="shared" si="158"/>
        <v>0</v>
      </c>
      <c r="EI79" s="1154">
        <f t="shared" si="159"/>
        <v>0</v>
      </c>
      <c r="EJ79" s="1154">
        <f t="shared" si="160"/>
        <v>4743.9636469915285</v>
      </c>
      <c r="EK79" s="1154">
        <f t="shared" si="161"/>
        <v>1765.8668900060154</v>
      </c>
      <c r="EL79" s="1154">
        <f t="shared" si="162"/>
        <v>0</v>
      </c>
      <c r="EM79" s="1154">
        <f t="shared" si="163"/>
        <v>0</v>
      </c>
      <c r="EN79" s="1154">
        <f t="shared" si="164"/>
        <v>0</v>
      </c>
      <c r="EO79" s="1154">
        <f t="shared" si="165"/>
        <v>6411.7103308700744</v>
      </c>
      <c r="EP79" s="1154">
        <f t="shared" si="166"/>
        <v>0</v>
      </c>
      <c r="EQ79" s="1154">
        <f t="shared" si="167"/>
        <v>0</v>
      </c>
      <c r="ER79" s="1154">
        <f t="shared" si="168"/>
        <v>0</v>
      </c>
      <c r="ES79" s="1154">
        <f t="shared" si="169"/>
        <v>0</v>
      </c>
      <c r="ET79" s="1154">
        <f t="shared" si="170"/>
        <v>0</v>
      </c>
      <c r="EU79" s="1154">
        <f t="shared" si="171"/>
        <v>0</v>
      </c>
      <c r="EV79" s="1154">
        <f t="shared" si="172"/>
        <v>0</v>
      </c>
      <c r="EW79" s="1154">
        <f t="shared" si="173"/>
        <v>0</v>
      </c>
      <c r="EX79" s="1154">
        <f t="shared" si="174"/>
        <v>0</v>
      </c>
      <c r="EY79" s="1154">
        <f t="shared" si="175"/>
        <v>0</v>
      </c>
      <c r="EZ79" s="1154">
        <f t="shared" si="176"/>
        <v>0</v>
      </c>
      <c r="FA79" s="1174">
        <f t="shared" si="177"/>
        <v>15938.05544700236</v>
      </c>
      <c r="FC79" s="1154">
        <f t="shared" si="178"/>
        <v>3016.5145791347436</v>
      </c>
      <c r="FD79" s="1154">
        <f t="shared" si="179"/>
        <v>0</v>
      </c>
      <c r="FE79" s="1154">
        <f t="shared" si="180"/>
        <v>0</v>
      </c>
      <c r="FF79" s="1154">
        <f t="shared" si="181"/>
        <v>0</v>
      </c>
      <c r="FG79" s="1154">
        <f t="shared" si="182"/>
        <v>0</v>
      </c>
      <c r="FH79" s="1154">
        <f t="shared" si="183"/>
        <v>0</v>
      </c>
      <c r="FI79" s="1154">
        <f t="shared" si="184"/>
        <v>0</v>
      </c>
      <c r="FJ79" s="1154">
        <f t="shared" si="185"/>
        <v>0</v>
      </c>
      <c r="FK79" s="1154">
        <f t="shared" si="186"/>
        <v>0</v>
      </c>
      <c r="FL79" s="1154">
        <f t="shared" si="187"/>
        <v>0</v>
      </c>
      <c r="FM79" s="1154">
        <f t="shared" si="188"/>
        <v>0</v>
      </c>
      <c r="FN79" s="1154">
        <f t="shared" si="189"/>
        <v>0</v>
      </c>
      <c r="FO79" s="1154">
        <f t="shared" si="190"/>
        <v>0</v>
      </c>
      <c r="FP79" s="1154">
        <f t="shared" si="191"/>
        <v>0</v>
      </c>
      <c r="FQ79" s="1154">
        <f t="shared" si="192"/>
        <v>0</v>
      </c>
      <c r="FR79" s="1154">
        <f t="shared" si="193"/>
        <v>0</v>
      </c>
      <c r="FS79" s="1154">
        <f t="shared" si="194"/>
        <v>0</v>
      </c>
      <c r="FT79" s="1154">
        <f t="shared" si="195"/>
        <v>0</v>
      </c>
      <c r="FU79" s="1154">
        <f t="shared" si="196"/>
        <v>0</v>
      </c>
      <c r="FV79" s="1154">
        <f t="shared" si="197"/>
        <v>0</v>
      </c>
      <c r="FW79" s="1154">
        <f t="shared" si="198"/>
        <v>0</v>
      </c>
      <c r="FX79" s="1154">
        <f t="shared" si="199"/>
        <v>0</v>
      </c>
      <c r="FY79" s="1154">
        <f t="shared" si="200"/>
        <v>0</v>
      </c>
      <c r="FZ79" s="1154">
        <f t="shared" si="201"/>
        <v>6707.3893006435537</v>
      </c>
      <c r="GA79" s="1154">
        <f t="shared" si="202"/>
        <v>0</v>
      </c>
      <c r="GB79" s="1154">
        <f t="shared" si="203"/>
        <v>0</v>
      </c>
      <c r="GC79" s="1154">
        <f t="shared" si="204"/>
        <v>0</v>
      </c>
      <c r="GD79" s="1154">
        <f t="shared" si="205"/>
        <v>0</v>
      </c>
      <c r="GE79" s="1154">
        <f t="shared" si="206"/>
        <v>0</v>
      </c>
      <c r="GF79" s="1154">
        <f t="shared" si="207"/>
        <v>0</v>
      </c>
      <c r="GG79" s="1154">
        <f t="shared" si="208"/>
        <v>0</v>
      </c>
      <c r="GH79" s="1154">
        <f t="shared" si="209"/>
        <v>0</v>
      </c>
      <c r="GI79" s="1154">
        <f t="shared" si="210"/>
        <v>0</v>
      </c>
      <c r="GJ79" s="1154">
        <f t="shared" si="211"/>
        <v>0</v>
      </c>
      <c r="GK79" s="1154">
        <f t="shared" si="212"/>
        <v>0</v>
      </c>
      <c r="GL79" s="1174">
        <f t="shared" si="213"/>
        <v>9723.9038797782978</v>
      </c>
    </row>
    <row r="80" spans="2:194">
      <c r="B80" s="1290" t="str">
        <f t="shared" si="141"/>
        <v>SACDUOSMSTOUD</v>
      </c>
      <c r="C80" s="1289" t="str">
        <f>Prop2021DUOSTariffs!C36</f>
        <v>MtIsa SAC&gt;100MWhpa STOUD</v>
      </c>
      <c r="D80" s="1113" t="str">
        <f>Prop2021DUOSTariffs!D36</f>
        <v>MtIsa SAC&gt;100MWhpa STOUD</v>
      </c>
      <c r="E80" s="1113" t="str">
        <f>Prop2021DUOSTariffs!E36</f>
        <v>SAC</v>
      </c>
      <c r="F80" s="1113" t="str">
        <f>Prop2021DUOSTariffs!F36</f>
        <v>SACL</v>
      </c>
      <c r="G80" s="1113" t="str">
        <f>Prop2021DUOSTariffs!G36</f>
        <v>Mt Isa</v>
      </c>
      <c r="H80" s="1113" t="str">
        <f>IF(Prop2021DUOSTariffs!H36="","",Prop2021DUOSTariffs!H36)</f>
        <v>MSTOUD</v>
      </c>
      <c r="I80" s="1114" t="s">
        <v>761</v>
      </c>
      <c r="J80" s="1114" t="s">
        <v>934</v>
      </c>
      <c r="K80" s="1270"/>
      <c r="L80" s="1233">
        <v>3.7301925999999996</v>
      </c>
      <c r="M80" s="1007"/>
      <c r="N80" s="1007"/>
      <c r="O80" s="1007"/>
      <c r="P80" s="1007"/>
      <c r="Q80" s="1007"/>
      <c r="R80" s="1007"/>
      <c r="S80" s="1007"/>
      <c r="T80" s="1007"/>
      <c r="U80" s="1007"/>
      <c r="V80" s="1007"/>
      <c r="W80" s="1007"/>
      <c r="X80" s="1007"/>
      <c r="Y80" s="1007"/>
      <c r="Z80" s="1007"/>
      <c r="AA80" s="1007"/>
      <c r="AB80" s="1007"/>
      <c r="AC80" s="1007"/>
      <c r="AD80" s="1233">
        <v>0.59527380000000008</v>
      </c>
      <c r="AE80" s="1233">
        <v>0.59527380000000008</v>
      </c>
      <c r="AF80" s="1007"/>
      <c r="AG80" s="1007"/>
      <c r="AH80" s="1007"/>
      <c r="AI80" s="1224">
        <v>7.7007696230930512E-4</v>
      </c>
      <c r="AJ80" s="1005"/>
      <c r="AK80" s="1005"/>
      <c r="AL80" s="1005"/>
      <c r="AM80" s="1005"/>
      <c r="AN80" s="1005"/>
      <c r="AO80" s="1005"/>
      <c r="AP80" s="1005"/>
      <c r="AQ80" s="1005"/>
      <c r="AR80" s="1005"/>
      <c r="AS80" s="1005"/>
      <c r="AT80" s="1005"/>
      <c r="AU80" s="1006"/>
      <c r="AV80" s="1270"/>
      <c r="AW80" s="1480">
        <v>3.6932599999999995</v>
      </c>
      <c r="AX80" s="1006"/>
      <c r="AY80" s="1006"/>
      <c r="AZ80" s="1006"/>
      <c r="BA80" s="1006"/>
      <c r="BB80" s="1006"/>
      <c r="BC80" s="1006"/>
      <c r="BD80" s="1006"/>
      <c r="BE80" s="1006"/>
      <c r="BF80" s="1006"/>
      <c r="BG80" s="1006"/>
      <c r="BH80" s="1006"/>
      <c r="BI80" s="1006"/>
      <c r="BJ80" s="1006"/>
      <c r="BK80" s="1006"/>
      <c r="BL80" s="1006"/>
      <c r="BM80" s="1480">
        <v>0.58938000000000001</v>
      </c>
      <c r="BN80" s="1480">
        <v>0.58938000000000001</v>
      </c>
      <c r="BO80" s="1006"/>
      <c r="BP80" s="1006"/>
      <c r="BQ80" s="1006"/>
      <c r="BR80" s="1006"/>
      <c r="BS80" s="1006"/>
      <c r="BT80" s="1480">
        <v>6.1898319928093575E-4</v>
      </c>
      <c r="BU80" s="1006"/>
      <c r="BV80" s="1006"/>
      <c r="BW80" s="1006"/>
      <c r="BX80" s="1006"/>
      <c r="BY80" s="1006"/>
      <c r="BZ80" s="1006"/>
      <c r="CA80" s="1006"/>
      <c r="CB80" s="1006"/>
      <c r="CC80" s="1006"/>
      <c r="CD80" s="1006"/>
      <c r="CE80" s="1006"/>
      <c r="CF80" s="1006"/>
      <c r="CG80" s="1209"/>
      <c r="CH80" s="1236">
        <v>2.68</v>
      </c>
      <c r="CI80" s="1007"/>
      <c r="CJ80" s="1007"/>
      <c r="CK80" s="1007"/>
      <c r="CL80" s="1007"/>
      <c r="CM80" s="1007"/>
      <c r="CN80" s="1007"/>
      <c r="CO80" s="1007"/>
      <c r="CP80" s="1007"/>
      <c r="CQ80" s="1007"/>
      <c r="CR80" s="1007"/>
      <c r="CS80" s="1007"/>
      <c r="CT80" s="1007"/>
      <c r="CU80" s="1007"/>
      <c r="CV80" s="1007"/>
      <c r="CW80" s="1007"/>
      <c r="CX80" s="1007"/>
      <c r="CY80" s="1007"/>
      <c r="CZ80" s="1236">
        <v>3045.78</v>
      </c>
      <c r="DA80" s="1236">
        <v>1494.97</v>
      </c>
      <c r="DB80" s="1007"/>
      <c r="DC80" s="1007"/>
      <c r="DD80" s="1007"/>
      <c r="DE80" s="1236">
        <v>989757.87728999997</v>
      </c>
      <c r="DF80" s="1007"/>
      <c r="DG80" s="1007"/>
      <c r="DH80" s="1007"/>
      <c r="DI80" s="1006"/>
      <c r="DJ80" s="1006"/>
      <c r="DK80" s="1007"/>
      <c r="DL80" s="1007"/>
      <c r="DM80" s="1007"/>
      <c r="DN80" s="1007"/>
      <c r="DO80" s="1112"/>
      <c r="DP80" s="1112"/>
      <c r="DQ80" s="1270"/>
      <c r="DR80" s="1154">
        <f t="shared" si="142"/>
        <v>3648.8744013200003</v>
      </c>
      <c r="DS80" s="1154">
        <f t="shared" si="143"/>
        <v>0</v>
      </c>
      <c r="DT80" s="1154">
        <f t="shared" si="144"/>
        <v>0</v>
      </c>
      <c r="DU80" s="1154">
        <f t="shared" si="145"/>
        <v>0</v>
      </c>
      <c r="DV80" s="1154">
        <f t="shared" si="146"/>
        <v>0</v>
      </c>
      <c r="DW80" s="1154">
        <f t="shared" si="147"/>
        <v>0</v>
      </c>
      <c r="DX80" s="1154">
        <f t="shared" si="148"/>
        <v>0</v>
      </c>
      <c r="DY80" s="1154">
        <f t="shared" si="149"/>
        <v>0</v>
      </c>
      <c r="DZ80" s="1154">
        <f t="shared" si="150"/>
        <v>0</v>
      </c>
      <c r="EA80" s="1154">
        <f t="shared" si="151"/>
        <v>0</v>
      </c>
      <c r="EB80" s="1154">
        <f t="shared" si="152"/>
        <v>0</v>
      </c>
      <c r="EC80" s="1154">
        <f t="shared" si="153"/>
        <v>0</v>
      </c>
      <c r="ED80" s="1154">
        <f t="shared" si="154"/>
        <v>0</v>
      </c>
      <c r="EE80" s="1154">
        <f t="shared" si="155"/>
        <v>0</v>
      </c>
      <c r="EF80" s="1154">
        <f t="shared" si="156"/>
        <v>0</v>
      </c>
      <c r="EG80" s="1154">
        <f t="shared" si="157"/>
        <v>0</v>
      </c>
      <c r="EH80" s="1154">
        <f t="shared" si="158"/>
        <v>0</v>
      </c>
      <c r="EI80" s="1154">
        <f t="shared" si="159"/>
        <v>0</v>
      </c>
      <c r="EJ80" s="1154">
        <f t="shared" si="160"/>
        <v>1813.0730345640004</v>
      </c>
      <c r="EK80" s="1154">
        <f t="shared" si="161"/>
        <v>889.9164727860001</v>
      </c>
      <c r="EL80" s="1154">
        <f t="shared" si="162"/>
        <v>0</v>
      </c>
      <c r="EM80" s="1154">
        <f t="shared" si="163"/>
        <v>0</v>
      </c>
      <c r="EN80" s="1154">
        <f t="shared" si="164"/>
        <v>0</v>
      </c>
      <c r="EO80" s="1154">
        <f t="shared" si="165"/>
        <v>762.18973956518914</v>
      </c>
      <c r="EP80" s="1154">
        <f t="shared" si="166"/>
        <v>0</v>
      </c>
      <c r="EQ80" s="1154">
        <f t="shared" si="167"/>
        <v>0</v>
      </c>
      <c r="ER80" s="1154">
        <f t="shared" si="168"/>
        <v>0</v>
      </c>
      <c r="ES80" s="1154">
        <f t="shared" si="169"/>
        <v>0</v>
      </c>
      <c r="ET80" s="1154">
        <f t="shared" si="170"/>
        <v>0</v>
      </c>
      <c r="EU80" s="1154">
        <f t="shared" si="171"/>
        <v>0</v>
      </c>
      <c r="EV80" s="1154">
        <f t="shared" si="172"/>
        <v>0</v>
      </c>
      <c r="EW80" s="1154">
        <f t="shared" si="173"/>
        <v>0</v>
      </c>
      <c r="EX80" s="1154">
        <f t="shared" si="174"/>
        <v>0</v>
      </c>
      <c r="EY80" s="1154">
        <f t="shared" si="175"/>
        <v>0</v>
      </c>
      <c r="EZ80" s="1154">
        <f t="shared" si="176"/>
        <v>0</v>
      </c>
      <c r="FA80" s="1174">
        <f t="shared" si="177"/>
        <v>7114.0536482351899</v>
      </c>
      <c r="FC80" s="1154">
        <f t="shared" si="178"/>
        <v>3612.746932</v>
      </c>
      <c r="FD80" s="1154">
        <f t="shared" si="179"/>
        <v>0</v>
      </c>
      <c r="FE80" s="1154">
        <f t="shared" si="180"/>
        <v>0</v>
      </c>
      <c r="FF80" s="1154">
        <f t="shared" si="181"/>
        <v>0</v>
      </c>
      <c r="FG80" s="1154">
        <f t="shared" si="182"/>
        <v>0</v>
      </c>
      <c r="FH80" s="1154">
        <f t="shared" si="183"/>
        <v>0</v>
      </c>
      <c r="FI80" s="1154">
        <f t="shared" si="184"/>
        <v>0</v>
      </c>
      <c r="FJ80" s="1154">
        <f t="shared" si="185"/>
        <v>0</v>
      </c>
      <c r="FK80" s="1154">
        <f t="shared" si="186"/>
        <v>0</v>
      </c>
      <c r="FL80" s="1154">
        <f t="shared" si="187"/>
        <v>0</v>
      </c>
      <c r="FM80" s="1154">
        <f t="shared" si="188"/>
        <v>0</v>
      </c>
      <c r="FN80" s="1154">
        <f t="shared" si="189"/>
        <v>0</v>
      </c>
      <c r="FO80" s="1154">
        <f t="shared" si="190"/>
        <v>0</v>
      </c>
      <c r="FP80" s="1154">
        <f t="shared" si="191"/>
        <v>0</v>
      </c>
      <c r="FQ80" s="1154">
        <f t="shared" si="192"/>
        <v>0</v>
      </c>
      <c r="FR80" s="1154">
        <f t="shared" si="193"/>
        <v>0</v>
      </c>
      <c r="FS80" s="1154">
        <f t="shared" si="194"/>
        <v>0</v>
      </c>
      <c r="FT80" s="1154">
        <f t="shared" si="195"/>
        <v>0</v>
      </c>
      <c r="FU80" s="1154">
        <f t="shared" si="196"/>
        <v>0</v>
      </c>
      <c r="FV80" s="1154">
        <f t="shared" si="197"/>
        <v>0</v>
      </c>
      <c r="FW80" s="1154">
        <f t="shared" si="198"/>
        <v>0</v>
      </c>
      <c r="FX80" s="1154">
        <f t="shared" si="199"/>
        <v>0</v>
      </c>
      <c r="FY80" s="1154">
        <f t="shared" si="200"/>
        <v>0</v>
      </c>
      <c r="FZ80" s="1154">
        <f t="shared" si="201"/>
        <v>612.64349739847205</v>
      </c>
      <c r="GA80" s="1154">
        <f t="shared" si="202"/>
        <v>0</v>
      </c>
      <c r="GB80" s="1154">
        <f t="shared" si="203"/>
        <v>0</v>
      </c>
      <c r="GC80" s="1154">
        <f t="shared" si="204"/>
        <v>0</v>
      </c>
      <c r="GD80" s="1154">
        <f t="shared" si="205"/>
        <v>0</v>
      </c>
      <c r="GE80" s="1154">
        <f t="shared" si="206"/>
        <v>0</v>
      </c>
      <c r="GF80" s="1154">
        <f t="shared" si="207"/>
        <v>0</v>
      </c>
      <c r="GG80" s="1154">
        <f t="shared" si="208"/>
        <v>0</v>
      </c>
      <c r="GH80" s="1154">
        <f t="shared" si="209"/>
        <v>0</v>
      </c>
      <c r="GI80" s="1154">
        <f t="shared" si="210"/>
        <v>0</v>
      </c>
      <c r="GJ80" s="1154">
        <f t="shared" si="211"/>
        <v>0</v>
      </c>
      <c r="GK80" s="1154">
        <f t="shared" si="212"/>
        <v>0</v>
      </c>
      <c r="GL80" s="1174">
        <f t="shared" si="213"/>
        <v>4225.3904293984724</v>
      </c>
    </row>
    <row r="81" spans="2:194">
      <c r="B81" s="1290" t="str">
        <f t="shared" si="141"/>
        <v>SACDUOSELTOUD</v>
      </c>
      <c r="C81" s="1289" t="str">
        <f>Prop2021DUOSTariffs!C37</f>
        <v>East SAC&gt;100MWhpa TOUD</v>
      </c>
      <c r="D81" s="1113" t="str">
        <f>Prop2021DUOSTariffs!D37</f>
        <v>East SAC&gt;100MWhpa TOUD</v>
      </c>
      <c r="E81" s="1113" t="str">
        <f>Prop2021DUOSTariffs!E37</f>
        <v>SAC</v>
      </c>
      <c r="F81" s="1113" t="str">
        <f>Prop2021DUOSTariffs!F37</f>
        <v>SACL</v>
      </c>
      <c r="G81" s="1113" t="str">
        <f>Prop2021DUOSTariffs!G37</f>
        <v>East</v>
      </c>
      <c r="H81" s="1113" t="str">
        <f>Prop2021DUOSTariffs!H37</f>
        <v>ELTOUD</v>
      </c>
      <c r="I81" s="1114" t="s">
        <v>798</v>
      </c>
      <c r="J81" s="1114" t="s">
        <v>934</v>
      </c>
      <c r="K81" s="1270"/>
      <c r="L81" s="1233">
        <v>6.9186528600000008</v>
      </c>
      <c r="M81" s="1007"/>
      <c r="N81" s="1007"/>
      <c r="O81" s="1007"/>
      <c r="P81" s="1007"/>
      <c r="Q81" s="1007"/>
      <c r="R81" s="1007"/>
      <c r="S81" s="1007"/>
      <c r="T81" s="1007"/>
      <c r="U81" s="1007"/>
      <c r="V81" s="1007"/>
      <c r="W81" s="1007"/>
      <c r="X81" s="1233">
        <v>0.70520369638554237</v>
      </c>
      <c r="Y81" s="1233">
        <v>0.14104073927710847</v>
      </c>
      <c r="Z81" s="1007"/>
      <c r="AA81" s="1007"/>
      <c r="AB81" s="1007"/>
      <c r="AC81" s="1007"/>
      <c r="AD81" s="1007"/>
      <c r="AE81" s="1007"/>
      <c r="AF81" s="1007"/>
      <c r="AG81" s="1007"/>
      <c r="AH81" s="1007"/>
      <c r="AI81" s="1224">
        <v>1.2756140745273986E-2</v>
      </c>
      <c r="AJ81" s="1005"/>
      <c r="AK81" s="1005"/>
      <c r="AL81" s="1005"/>
      <c r="AM81" s="1005"/>
      <c r="AN81" s="1005"/>
      <c r="AO81" s="1005"/>
      <c r="AP81" s="1005"/>
      <c r="AQ81" s="1005"/>
      <c r="AR81" s="1005"/>
      <c r="AS81" s="1005"/>
      <c r="AT81" s="1005"/>
      <c r="AU81" s="1006"/>
      <c r="AV81" s="1270"/>
      <c r="AW81" s="1480">
        <v>6.527031</v>
      </c>
      <c r="AX81" s="1006"/>
      <c r="AY81" s="1006"/>
      <c r="AZ81" s="1006"/>
      <c r="BA81" s="1006"/>
      <c r="BB81" s="1006"/>
      <c r="BC81" s="1006"/>
      <c r="BD81" s="1006"/>
      <c r="BE81" s="1006"/>
      <c r="BF81" s="1006"/>
      <c r="BG81" s="1006"/>
      <c r="BH81" s="1006"/>
      <c r="BI81" s="1480">
        <v>0.65961000000000014</v>
      </c>
      <c r="BJ81" s="1480">
        <v>0.13192200000000004</v>
      </c>
      <c r="BK81" s="1006"/>
      <c r="BL81" s="1006"/>
      <c r="BM81" s="1006"/>
      <c r="BN81" s="1006"/>
      <c r="BO81" s="1006"/>
      <c r="BP81" s="1006"/>
      <c r="BQ81" s="1006"/>
      <c r="BR81" s="1006"/>
      <c r="BS81" s="1006"/>
      <c r="BT81" s="1480">
        <v>9.9886311700567981E-3</v>
      </c>
      <c r="BU81" s="1006"/>
      <c r="BV81" s="1006"/>
      <c r="BW81" s="1006"/>
      <c r="BX81" s="1006"/>
      <c r="BY81" s="1006"/>
      <c r="BZ81" s="1006"/>
      <c r="CA81" s="1006"/>
      <c r="CB81" s="1006"/>
      <c r="CC81" s="1006"/>
      <c r="CD81" s="1006"/>
      <c r="CE81" s="1006"/>
      <c r="CF81" s="1006"/>
      <c r="CG81" s="1209"/>
      <c r="CH81" s="1236">
        <v>9.6430491940810636</v>
      </c>
      <c r="CI81" s="1007"/>
      <c r="CJ81" s="1007"/>
      <c r="CK81" s="1007"/>
      <c r="CL81" s="1007"/>
      <c r="CM81" s="1007"/>
      <c r="CN81" s="1007"/>
      <c r="CO81" s="1007"/>
      <c r="CP81" s="1007"/>
      <c r="CQ81" s="1007"/>
      <c r="CR81" s="1007"/>
      <c r="CS81" s="1007"/>
      <c r="CT81" s="1236">
        <v>21669.164947771893</v>
      </c>
      <c r="CU81" s="1236">
        <v>3973.350919076744</v>
      </c>
      <c r="CV81" s="1007"/>
      <c r="CW81" s="1007"/>
      <c r="CX81" s="1007"/>
      <c r="CY81" s="1007"/>
      <c r="CZ81" s="1007"/>
      <c r="DA81" s="1007"/>
      <c r="DB81" s="1007"/>
      <c r="DC81" s="1007"/>
      <c r="DD81" s="1007"/>
      <c r="DE81" s="1236">
        <v>10364180.728920154</v>
      </c>
      <c r="DF81" s="1007"/>
      <c r="DG81" s="1007"/>
      <c r="DH81" s="1007"/>
      <c r="DI81" s="1006"/>
      <c r="DJ81" s="1006"/>
      <c r="DK81" s="1007"/>
      <c r="DL81" s="1007"/>
      <c r="DM81" s="1007"/>
      <c r="DN81" s="1007"/>
      <c r="DO81" s="1112"/>
      <c r="DP81" s="1112"/>
      <c r="DQ81" s="1270"/>
      <c r="DR81" s="1154">
        <f t="shared" si="142"/>
        <v>24351.672108298626</v>
      </c>
      <c r="DS81" s="1154">
        <f t="shared" si="143"/>
        <v>0</v>
      </c>
      <c r="DT81" s="1154">
        <f t="shared" si="144"/>
        <v>0</v>
      </c>
      <c r="DU81" s="1154">
        <f t="shared" si="145"/>
        <v>0</v>
      </c>
      <c r="DV81" s="1154">
        <f t="shared" si="146"/>
        <v>0</v>
      </c>
      <c r="DW81" s="1154">
        <f t="shared" si="147"/>
        <v>0</v>
      </c>
      <c r="DX81" s="1154">
        <f t="shared" si="148"/>
        <v>0</v>
      </c>
      <c r="DY81" s="1154">
        <f t="shared" si="149"/>
        <v>0</v>
      </c>
      <c r="DZ81" s="1154">
        <f t="shared" si="150"/>
        <v>0</v>
      </c>
      <c r="EA81" s="1154">
        <f t="shared" si="151"/>
        <v>0</v>
      </c>
      <c r="EB81" s="1154">
        <f t="shared" si="152"/>
        <v>0</v>
      </c>
      <c r="EC81" s="1154">
        <f t="shared" si="153"/>
        <v>0</v>
      </c>
      <c r="ED81" s="1154">
        <f t="shared" si="154"/>
        <v>15281.175218756767</v>
      </c>
      <c r="EE81" s="1154">
        <f t="shared" si="155"/>
        <v>560.40435103396237</v>
      </c>
      <c r="EF81" s="1154">
        <f t="shared" si="156"/>
        <v>0</v>
      </c>
      <c r="EG81" s="1154">
        <f t="shared" si="157"/>
        <v>0</v>
      </c>
      <c r="EH81" s="1154">
        <f t="shared" si="158"/>
        <v>0</v>
      </c>
      <c r="EI81" s="1154">
        <f t="shared" si="159"/>
        <v>0</v>
      </c>
      <c r="EJ81" s="1154">
        <f t="shared" si="160"/>
        <v>0</v>
      </c>
      <c r="EK81" s="1154">
        <f t="shared" si="161"/>
        <v>0</v>
      </c>
      <c r="EL81" s="1154">
        <f t="shared" si="162"/>
        <v>0</v>
      </c>
      <c r="EM81" s="1154">
        <f t="shared" si="163"/>
        <v>0</v>
      </c>
      <c r="EN81" s="1154">
        <f t="shared" si="164"/>
        <v>0</v>
      </c>
      <c r="EO81" s="1154">
        <f t="shared" si="165"/>
        <v>132206.94808756182</v>
      </c>
      <c r="EP81" s="1154">
        <f t="shared" si="166"/>
        <v>0</v>
      </c>
      <c r="EQ81" s="1154">
        <f t="shared" si="167"/>
        <v>0</v>
      </c>
      <c r="ER81" s="1154">
        <f t="shared" si="168"/>
        <v>0</v>
      </c>
      <c r="ES81" s="1154">
        <f t="shared" si="169"/>
        <v>0</v>
      </c>
      <c r="ET81" s="1154">
        <f t="shared" si="170"/>
        <v>0</v>
      </c>
      <c r="EU81" s="1154">
        <f t="shared" si="171"/>
        <v>0</v>
      </c>
      <c r="EV81" s="1154">
        <f t="shared" si="172"/>
        <v>0</v>
      </c>
      <c r="EW81" s="1154">
        <f t="shared" si="173"/>
        <v>0</v>
      </c>
      <c r="EX81" s="1154">
        <f t="shared" si="174"/>
        <v>0</v>
      </c>
      <c r="EY81" s="1154">
        <f t="shared" si="175"/>
        <v>0</v>
      </c>
      <c r="EZ81" s="1154">
        <f t="shared" si="176"/>
        <v>0</v>
      </c>
      <c r="FA81" s="1174">
        <f t="shared" si="177"/>
        <v>172400.19976565117</v>
      </c>
      <c r="FC81" s="1154">
        <f t="shared" si="178"/>
        <v>22973.275573866624</v>
      </c>
      <c r="FD81" s="1154">
        <f t="shared" si="179"/>
        <v>0</v>
      </c>
      <c r="FE81" s="1154">
        <f t="shared" si="180"/>
        <v>0</v>
      </c>
      <c r="FF81" s="1154">
        <f t="shared" si="181"/>
        <v>0</v>
      </c>
      <c r="FG81" s="1154">
        <f t="shared" si="182"/>
        <v>0</v>
      </c>
      <c r="FH81" s="1154">
        <f t="shared" si="183"/>
        <v>0</v>
      </c>
      <c r="FI81" s="1154">
        <f t="shared" si="184"/>
        <v>0</v>
      </c>
      <c r="FJ81" s="1154">
        <f t="shared" si="185"/>
        <v>0</v>
      </c>
      <c r="FK81" s="1154">
        <f t="shared" si="186"/>
        <v>0</v>
      </c>
      <c r="FL81" s="1154">
        <f t="shared" si="187"/>
        <v>0</v>
      </c>
      <c r="FM81" s="1154">
        <f t="shared" si="188"/>
        <v>0</v>
      </c>
      <c r="FN81" s="1154">
        <f t="shared" si="189"/>
        <v>0</v>
      </c>
      <c r="FO81" s="1154">
        <f t="shared" si="190"/>
        <v>14293.197891199821</v>
      </c>
      <c r="FP81" s="1154">
        <f t="shared" si="191"/>
        <v>524.1723999464424</v>
      </c>
      <c r="FQ81" s="1154">
        <f t="shared" si="192"/>
        <v>0</v>
      </c>
      <c r="FR81" s="1154">
        <f t="shared" si="193"/>
        <v>0</v>
      </c>
      <c r="FS81" s="1154">
        <f t="shared" si="194"/>
        <v>0</v>
      </c>
      <c r="FT81" s="1154">
        <f t="shared" si="195"/>
        <v>0</v>
      </c>
      <c r="FU81" s="1154">
        <f t="shared" si="196"/>
        <v>0</v>
      </c>
      <c r="FV81" s="1154">
        <f t="shared" si="197"/>
        <v>0</v>
      </c>
      <c r="FW81" s="1154">
        <f t="shared" si="198"/>
        <v>0</v>
      </c>
      <c r="FX81" s="1154">
        <f t="shared" si="199"/>
        <v>0</v>
      </c>
      <c r="FY81" s="1154">
        <f t="shared" si="200"/>
        <v>0</v>
      </c>
      <c r="FZ81" s="1154">
        <f t="shared" si="201"/>
        <v>103523.97868099384</v>
      </c>
      <c r="GA81" s="1154">
        <f t="shared" si="202"/>
        <v>0</v>
      </c>
      <c r="GB81" s="1154">
        <f t="shared" si="203"/>
        <v>0</v>
      </c>
      <c r="GC81" s="1154">
        <f t="shared" si="204"/>
        <v>0</v>
      </c>
      <c r="GD81" s="1154">
        <f t="shared" si="205"/>
        <v>0</v>
      </c>
      <c r="GE81" s="1154">
        <f t="shared" si="206"/>
        <v>0</v>
      </c>
      <c r="GF81" s="1154">
        <f t="shared" si="207"/>
        <v>0</v>
      </c>
      <c r="GG81" s="1154">
        <f t="shared" si="208"/>
        <v>0</v>
      </c>
      <c r="GH81" s="1154">
        <f t="shared" si="209"/>
        <v>0</v>
      </c>
      <c r="GI81" s="1154">
        <f t="shared" si="210"/>
        <v>0</v>
      </c>
      <c r="GJ81" s="1154">
        <f t="shared" si="211"/>
        <v>0</v>
      </c>
      <c r="GK81" s="1154">
        <f t="shared" si="212"/>
        <v>0</v>
      </c>
      <c r="GL81" s="1174">
        <f t="shared" si="213"/>
        <v>141314.62454600673</v>
      </c>
    </row>
    <row r="82" spans="2:194">
      <c r="B82" s="1290" t="str">
        <f t="shared" si="141"/>
        <v>SACDUOSELTOUD</v>
      </c>
      <c r="C82" s="1289" t="str">
        <f>C81</f>
        <v>East SAC&gt;100MWhpa TOUD</v>
      </c>
      <c r="D82" s="1113" t="str">
        <f t="shared" ref="D82:H83" si="254">D81</f>
        <v>East SAC&gt;100MWhpa TOUD</v>
      </c>
      <c r="E82" s="1113" t="str">
        <f t="shared" si="254"/>
        <v>SAC</v>
      </c>
      <c r="F82" s="1113" t="str">
        <f t="shared" si="254"/>
        <v>SACL</v>
      </c>
      <c r="G82" s="1113" t="str">
        <f t="shared" si="254"/>
        <v>East</v>
      </c>
      <c r="H82" s="1113" t="str">
        <f t="shared" si="254"/>
        <v>ELTOUD</v>
      </c>
      <c r="I82" s="1114" t="s">
        <v>752</v>
      </c>
      <c r="J82" s="1114" t="s">
        <v>934</v>
      </c>
      <c r="K82" s="1270"/>
      <c r="L82" s="1233">
        <v>11.305502669999999</v>
      </c>
      <c r="M82" s="1007"/>
      <c r="N82" s="1007"/>
      <c r="O82" s="1007"/>
      <c r="P82" s="1007"/>
      <c r="Q82" s="1007"/>
      <c r="R82" s="1007"/>
      <c r="S82" s="1007"/>
      <c r="T82" s="1007"/>
      <c r="U82" s="1007"/>
      <c r="V82" s="1007"/>
      <c r="W82" s="1007"/>
      <c r="X82" s="1233">
        <v>1.4954624999999999</v>
      </c>
      <c r="Y82" s="1233">
        <v>0.29909249999999998</v>
      </c>
      <c r="Z82" s="1007"/>
      <c r="AA82" s="1007"/>
      <c r="AB82" s="1007"/>
      <c r="AC82" s="1007"/>
      <c r="AD82" s="1007"/>
      <c r="AE82" s="1007"/>
      <c r="AF82" s="1007"/>
      <c r="AG82" s="1007"/>
      <c r="AH82" s="1007"/>
      <c r="AI82" s="1224">
        <v>1.3580961239131205E-2</v>
      </c>
      <c r="AJ82" s="1005"/>
      <c r="AK82" s="1005"/>
      <c r="AL82" s="1005"/>
      <c r="AM82" s="1005"/>
      <c r="AN82" s="1005"/>
      <c r="AO82" s="1005"/>
      <c r="AP82" s="1005"/>
      <c r="AQ82" s="1005"/>
      <c r="AR82" s="1005"/>
      <c r="AS82" s="1005"/>
      <c r="AT82" s="1005"/>
      <c r="AU82" s="1006"/>
      <c r="AV82" s="1270"/>
      <c r="AW82" s="1480">
        <v>11.193567</v>
      </c>
      <c r="AX82" s="1006"/>
      <c r="AY82" s="1006"/>
      <c r="AZ82" s="1006"/>
      <c r="BA82" s="1006"/>
      <c r="BB82" s="1006"/>
      <c r="BC82" s="1006"/>
      <c r="BD82" s="1006"/>
      <c r="BE82" s="1006"/>
      <c r="BF82" s="1006"/>
      <c r="BG82" s="1006"/>
      <c r="BH82" s="1006"/>
      <c r="BI82" s="1480">
        <v>1.4954624999999999</v>
      </c>
      <c r="BJ82" s="1480">
        <v>0.29909249999999998</v>
      </c>
      <c r="BK82" s="1006"/>
      <c r="BL82" s="1006"/>
      <c r="BM82" s="1006"/>
      <c r="BN82" s="1006"/>
      <c r="BO82" s="1006"/>
      <c r="BP82" s="1006"/>
      <c r="BQ82" s="1006"/>
      <c r="BR82" s="1006"/>
      <c r="BS82" s="1006"/>
      <c r="BT82" s="1480">
        <v>1.3226767178995704E-2</v>
      </c>
      <c r="BU82" s="1006"/>
      <c r="BV82" s="1006"/>
      <c r="BW82" s="1006"/>
      <c r="BX82" s="1006"/>
      <c r="BY82" s="1006"/>
      <c r="BZ82" s="1006"/>
      <c r="CA82" s="1006"/>
      <c r="CB82" s="1006"/>
      <c r="CC82" s="1006"/>
      <c r="CD82" s="1006"/>
      <c r="CE82" s="1006"/>
      <c r="CF82" s="1006"/>
      <c r="CG82" s="1209"/>
      <c r="CH82" s="1236">
        <v>6.1802115996171736</v>
      </c>
      <c r="CI82" s="1007"/>
      <c r="CJ82" s="1007"/>
      <c r="CK82" s="1007"/>
      <c r="CL82" s="1007"/>
      <c r="CM82" s="1007"/>
      <c r="CN82" s="1007"/>
      <c r="CO82" s="1007"/>
      <c r="CP82" s="1007"/>
      <c r="CQ82" s="1007"/>
      <c r="CR82" s="1007"/>
      <c r="CS82" s="1007"/>
      <c r="CT82" s="1236">
        <v>13887.725953574754</v>
      </c>
      <c r="CU82" s="1236">
        <v>2546.5129281410591</v>
      </c>
      <c r="CV82" s="1007"/>
      <c r="CW82" s="1007"/>
      <c r="CX82" s="1007"/>
      <c r="CY82" s="1007"/>
      <c r="CZ82" s="1007"/>
      <c r="DA82" s="1007"/>
      <c r="DB82" s="1007"/>
      <c r="DC82" s="1007"/>
      <c r="DD82" s="1007"/>
      <c r="DE82" s="1236">
        <v>6642383.4071817193</v>
      </c>
      <c r="DF82" s="1007"/>
      <c r="DG82" s="1007"/>
      <c r="DH82" s="1007"/>
      <c r="DI82" s="1006"/>
      <c r="DJ82" s="1006"/>
      <c r="DK82" s="1007"/>
      <c r="DL82" s="1007"/>
      <c r="DM82" s="1007"/>
      <c r="DN82" s="1007"/>
      <c r="DO82" s="1112"/>
      <c r="DP82" s="1112"/>
      <c r="DQ82" s="1270"/>
      <c r="DR82" s="1154">
        <f t="shared" si="142"/>
        <v>25502.695540332476</v>
      </c>
      <c r="DS82" s="1154">
        <f t="shared" si="143"/>
        <v>0</v>
      </c>
      <c r="DT82" s="1154">
        <f t="shared" si="144"/>
        <v>0</v>
      </c>
      <c r="DU82" s="1154">
        <f t="shared" si="145"/>
        <v>0</v>
      </c>
      <c r="DV82" s="1154">
        <f t="shared" si="146"/>
        <v>0</v>
      </c>
      <c r="DW82" s="1154">
        <f t="shared" si="147"/>
        <v>0</v>
      </c>
      <c r="DX82" s="1154">
        <f t="shared" si="148"/>
        <v>0</v>
      </c>
      <c r="DY82" s="1154">
        <f t="shared" si="149"/>
        <v>0</v>
      </c>
      <c r="DZ82" s="1154">
        <f t="shared" si="150"/>
        <v>0</v>
      </c>
      <c r="EA82" s="1154">
        <f t="shared" si="151"/>
        <v>0</v>
      </c>
      <c r="EB82" s="1154">
        <f t="shared" si="152"/>
        <v>0</v>
      </c>
      <c r="EC82" s="1154">
        <f t="shared" si="153"/>
        <v>0</v>
      </c>
      <c r="ED82" s="1154">
        <f t="shared" si="154"/>
        <v>20768.573373847787</v>
      </c>
      <c r="EE82" s="1154">
        <f t="shared" si="155"/>
        <v>761.64291796002965</v>
      </c>
      <c r="EF82" s="1154">
        <f t="shared" si="156"/>
        <v>0</v>
      </c>
      <c r="EG82" s="1154">
        <f t="shared" si="157"/>
        <v>0</v>
      </c>
      <c r="EH82" s="1154">
        <f t="shared" si="158"/>
        <v>0</v>
      </c>
      <c r="EI82" s="1154">
        <f t="shared" si="159"/>
        <v>0</v>
      </c>
      <c r="EJ82" s="1154">
        <f t="shared" si="160"/>
        <v>0</v>
      </c>
      <c r="EK82" s="1154">
        <f t="shared" si="161"/>
        <v>0</v>
      </c>
      <c r="EL82" s="1154">
        <f t="shared" si="162"/>
        <v>0</v>
      </c>
      <c r="EM82" s="1154">
        <f t="shared" si="163"/>
        <v>0</v>
      </c>
      <c r="EN82" s="1154">
        <f t="shared" si="164"/>
        <v>0</v>
      </c>
      <c r="EO82" s="1154">
        <f t="shared" si="165"/>
        <v>90209.951588383206</v>
      </c>
      <c r="EP82" s="1154">
        <f t="shared" si="166"/>
        <v>0</v>
      </c>
      <c r="EQ82" s="1154">
        <f t="shared" si="167"/>
        <v>0</v>
      </c>
      <c r="ER82" s="1154">
        <f t="shared" si="168"/>
        <v>0</v>
      </c>
      <c r="ES82" s="1154">
        <f t="shared" si="169"/>
        <v>0</v>
      </c>
      <c r="ET82" s="1154">
        <f t="shared" si="170"/>
        <v>0</v>
      </c>
      <c r="EU82" s="1154">
        <f t="shared" si="171"/>
        <v>0</v>
      </c>
      <c r="EV82" s="1154">
        <f t="shared" si="172"/>
        <v>0</v>
      </c>
      <c r="EW82" s="1154">
        <f t="shared" si="173"/>
        <v>0</v>
      </c>
      <c r="EX82" s="1154">
        <f t="shared" si="174"/>
        <v>0</v>
      </c>
      <c r="EY82" s="1154">
        <f t="shared" si="175"/>
        <v>0</v>
      </c>
      <c r="EZ82" s="1154">
        <f t="shared" si="176"/>
        <v>0</v>
      </c>
      <c r="FA82" s="1174">
        <f t="shared" si="177"/>
        <v>137242.8634205235</v>
      </c>
      <c r="FC82" s="1154">
        <f t="shared" si="178"/>
        <v>25250.193604289583</v>
      </c>
      <c r="FD82" s="1154">
        <f t="shared" si="179"/>
        <v>0</v>
      </c>
      <c r="FE82" s="1154">
        <f t="shared" si="180"/>
        <v>0</v>
      </c>
      <c r="FF82" s="1154">
        <f t="shared" si="181"/>
        <v>0</v>
      </c>
      <c r="FG82" s="1154">
        <f t="shared" si="182"/>
        <v>0</v>
      </c>
      <c r="FH82" s="1154">
        <f t="shared" si="183"/>
        <v>0</v>
      </c>
      <c r="FI82" s="1154">
        <f t="shared" si="184"/>
        <v>0</v>
      </c>
      <c r="FJ82" s="1154">
        <f t="shared" si="185"/>
        <v>0</v>
      </c>
      <c r="FK82" s="1154">
        <f t="shared" si="186"/>
        <v>0</v>
      </c>
      <c r="FL82" s="1154">
        <f t="shared" si="187"/>
        <v>0</v>
      </c>
      <c r="FM82" s="1154">
        <f t="shared" si="188"/>
        <v>0</v>
      </c>
      <c r="FN82" s="1154">
        <f t="shared" si="189"/>
        <v>0</v>
      </c>
      <c r="FO82" s="1154">
        <f t="shared" si="190"/>
        <v>20768.573373847787</v>
      </c>
      <c r="FP82" s="1154">
        <f t="shared" si="191"/>
        <v>761.64291796002965</v>
      </c>
      <c r="FQ82" s="1154">
        <f t="shared" si="192"/>
        <v>0</v>
      </c>
      <c r="FR82" s="1154">
        <f t="shared" si="193"/>
        <v>0</v>
      </c>
      <c r="FS82" s="1154">
        <f t="shared" si="194"/>
        <v>0</v>
      </c>
      <c r="FT82" s="1154">
        <f t="shared" si="195"/>
        <v>0</v>
      </c>
      <c r="FU82" s="1154">
        <f t="shared" si="196"/>
        <v>0</v>
      </c>
      <c r="FV82" s="1154">
        <f t="shared" si="197"/>
        <v>0</v>
      </c>
      <c r="FW82" s="1154">
        <f t="shared" si="198"/>
        <v>0</v>
      </c>
      <c r="FX82" s="1154">
        <f t="shared" si="199"/>
        <v>0</v>
      </c>
      <c r="FY82" s="1154">
        <f t="shared" si="200"/>
        <v>0</v>
      </c>
      <c r="FZ82" s="1154">
        <f t="shared" si="201"/>
        <v>87857.25884041682</v>
      </c>
      <c r="GA82" s="1154">
        <f t="shared" si="202"/>
        <v>0</v>
      </c>
      <c r="GB82" s="1154">
        <f t="shared" si="203"/>
        <v>0</v>
      </c>
      <c r="GC82" s="1154">
        <f t="shared" si="204"/>
        <v>0</v>
      </c>
      <c r="GD82" s="1154">
        <f t="shared" si="205"/>
        <v>0</v>
      </c>
      <c r="GE82" s="1154">
        <f t="shared" si="206"/>
        <v>0</v>
      </c>
      <c r="GF82" s="1154">
        <f t="shared" si="207"/>
        <v>0</v>
      </c>
      <c r="GG82" s="1154">
        <f t="shared" si="208"/>
        <v>0</v>
      </c>
      <c r="GH82" s="1154">
        <f t="shared" si="209"/>
        <v>0</v>
      </c>
      <c r="GI82" s="1154">
        <f t="shared" si="210"/>
        <v>0</v>
      </c>
      <c r="GJ82" s="1154">
        <f t="shared" si="211"/>
        <v>0</v>
      </c>
      <c r="GK82" s="1154">
        <f t="shared" si="212"/>
        <v>0</v>
      </c>
      <c r="GL82" s="1174">
        <f t="shared" si="213"/>
        <v>134637.66873651423</v>
      </c>
    </row>
    <row r="83" spans="2:194">
      <c r="B83" s="1290" t="str">
        <f t="shared" si="141"/>
        <v>SACDUOSELTOUD</v>
      </c>
      <c r="C83" s="1289" t="str">
        <f>C81</f>
        <v>East SAC&gt;100MWhpa TOUD</v>
      </c>
      <c r="D83" s="1113" t="str">
        <f t="shared" ref="D83:F83" si="255">D82</f>
        <v>East SAC&gt;100MWhpa TOUD</v>
      </c>
      <c r="E83" s="1113" t="str">
        <f t="shared" si="255"/>
        <v>SAC</v>
      </c>
      <c r="F83" s="1113" t="str">
        <f t="shared" si="255"/>
        <v>SACL</v>
      </c>
      <c r="G83" s="1113" t="str">
        <f t="shared" si="254"/>
        <v>East</v>
      </c>
      <c r="H83" s="1113" t="str">
        <f t="shared" si="254"/>
        <v>ELTOUD</v>
      </c>
      <c r="I83" s="1114" t="s">
        <v>759</v>
      </c>
      <c r="J83" s="1114" t="s">
        <v>934</v>
      </c>
      <c r="K83" s="1270"/>
      <c r="L83" s="1233">
        <v>18.478614</v>
      </c>
      <c r="M83" s="1007"/>
      <c r="N83" s="1007"/>
      <c r="O83" s="1007"/>
      <c r="P83" s="1007"/>
      <c r="Q83" s="1007"/>
      <c r="R83" s="1007"/>
      <c r="S83" s="1007"/>
      <c r="T83" s="1007"/>
      <c r="U83" s="1007"/>
      <c r="V83" s="1007"/>
      <c r="W83" s="1007"/>
      <c r="X83" s="1233">
        <v>2.8954800000000001</v>
      </c>
      <c r="Y83" s="1233">
        <v>0.57909600000000006</v>
      </c>
      <c r="Z83" s="1007"/>
      <c r="AA83" s="1007"/>
      <c r="AB83" s="1007"/>
      <c r="AC83" s="1007"/>
      <c r="AD83" s="1007"/>
      <c r="AE83" s="1007"/>
      <c r="AF83" s="1007"/>
      <c r="AG83" s="1007"/>
      <c r="AH83" s="1007"/>
      <c r="AI83" s="1224">
        <v>1.4121324100704864E-2</v>
      </c>
      <c r="AJ83" s="1005"/>
      <c r="AK83" s="1005"/>
      <c r="AL83" s="1005"/>
      <c r="AM83" s="1005"/>
      <c r="AN83" s="1005"/>
      <c r="AO83" s="1005"/>
      <c r="AP83" s="1005"/>
      <c r="AQ83" s="1005"/>
      <c r="AR83" s="1005"/>
      <c r="AS83" s="1005"/>
      <c r="AT83" s="1005"/>
      <c r="AU83" s="1006"/>
      <c r="AV83" s="1270"/>
      <c r="AW83" s="1480">
        <v>18.478614</v>
      </c>
      <c r="AX83" s="1006"/>
      <c r="AY83" s="1006"/>
      <c r="AZ83" s="1006"/>
      <c r="BA83" s="1006"/>
      <c r="BB83" s="1006"/>
      <c r="BC83" s="1006"/>
      <c r="BD83" s="1006"/>
      <c r="BE83" s="1006"/>
      <c r="BF83" s="1006"/>
      <c r="BG83" s="1006"/>
      <c r="BH83" s="1006"/>
      <c r="BI83" s="1480">
        <v>2.8954800000000001</v>
      </c>
      <c r="BJ83" s="1480">
        <v>0.57909600000000006</v>
      </c>
      <c r="BK83" s="1006"/>
      <c r="BL83" s="1006"/>
      <c r="BM83" s="1006"/>
      <c r="BN83" s="1006"/>
      <c r="BO83" s="1006"/>
      <c r="BP83" s="1006"/>
      <c r="BQ83" s="1006"/>
      <c r="BR83" s="1006"/>
      <c r="BS83" s="1006"/>
      <c r="BT83" s="1480">
        <v>1.4772535454067301E-2</v>
      </c>
      <c r="BU83" s="1006"/>
      <c r="BV83" s="1006"/>
      <c r="BW83" s="1006"/>
      <c r="BX83" s="1006"/>
      <c r="BY83" s="1006"/>
      <c r="BZ83" s="1006"/>
      <c r="CA83" s="1006"/>
      <c r="CB83" s="1006"/>
      <c r="CC83" s="1006"/>
      <c r="CD83" s="1006"/>
      <c r="CE83" s="1006"/>
      <c r="CF83" s="1006"/>
      <c r="CG83" s="1209"/>
      <c r="CH83" s="1236">
        <v>4.1767392063017601</v>
      </c>
      <c r="CI83" s="1007"/>
      <c r="CJ83" s="1007"/>
      <c r="CK83" s="1007"/>
      <c r="CL83" s="1007"/>
      <c r="CM83" s="1007"/>
      <c r="CN83" s="1007"/>
      <c r="CO83" s="1007"/>
      <c r="CP83" s="1007"/>
      <c r="CQ83" s="1007"/>
      <c r="CR83" s="1007"/>
      <c r="CS83" s="1007"/>
      <c r="CT83" s="1236">
        <v>9385.6672286533449</v>
      </c>
      <c r="CU83" s="1236">
        <v>1720.9961527821963</v>
      </c>
      <c r="CV83" s="1007"/>
      <c r="CW83" s="1007"/>
      <c r="CX83" s="1007"/>
      <c r="CY83" s="1007"/>
      <c r="CZ83" s="1007"/>
      <c r="DA83" s="1007"/>
      <c r="DB83" s="1007"/>
      <c r="DC83" s="1007"/>
      <c r="DD83" s="1007"/>
      <c r="DE83" s="1236">
        <v>4489086.296298122</v>
      </c>
      <c r="DF83" s="1007"/>
      <c r="DG83" s="1007"/>
      <c r="DH83" s="1007"/>
      <c r="DI83" s="1006"/>
      <c r="DJ83" s="1006"/>
      <c r="DK83" s="1007"/>
      <c r="DL83" s="1007"/>
      <c r="DM83" s="1007"/>
      <c r="DN83" s="1007"/>
      <c r="DO83" s="1112"/>
      <c r="DP83" s="1112"/>
      <c r="DQ83" s="1270"/>
      <c r="DR83" s="1154">
        <f t="shared" si="142"/>
        <v>28170.828323749556</v>
      </c>
      <c r="DS83" s="1154">
        <f t="shared" si="143"/>
        <v>0</v>
      </c>
      <c r="DT83" s="1154">
        <f t="shared" si="144"/>
        <v>0</v>
      </c>
      <c r="DU83" s="1154">
        <f t="shared" si="145"/>
        <v>0</v>
      </c>
      <c r="DV83" s="1154">
        <f t="shared" si="146"/>
        <v>0</v>
      </c>
      <c r="DW83" s="1154">
        <f t="shared" si="147"/>
        <v>0</v>
      </c>
      <c r="DX83" s="1154">
        <f t="shared" si="148"/>
        <v>0</v>
      </c>
      <c r="DY83" s="1154">
        <f t="shared" si="149"/>
        <v>0</v>
      </c>
      <c r="DZ83" s="1154">
        <f t="shared" si="150"/>
        <v>0</v>
      </c>
      <c r="EA83" s="1154">
        <f t="shared" si="151"/>
        <v>0</v>
      </c>
      <c r="EB83" s="1154">
        <f t="shared" si="152"/>
        <v>0</v>
      </c>
      <c r="EC83" s="1154">
        <f t="shared" si="153"/>
        <v>0</v>
      </c>
      <c r="ED83" s="1154">
        <f t="shared" si="154"/>
        <v>27176.011747221186</v>
      </c>
      <c r="EE83" s="1154">
        <f t="shared" si="155"/>
        <v>996.62198809155882</v>
      </c>
      <c r="EF83" s="1154">
        <f t="shared" si="156"/>
        <v>0</v>
      </c>
      <c r="EG83" s="1154">
        <f t="shared" si="157"/>
        <v>0</v>
      </c>
      <c r="EH83" s="1154">
        <f t="shared" si="158"/>
        <v>0</v>
      </c>
      <c r="EI83" s="1154">
        <f t="shared" si="159"/>
        <v>0</v>
      </c>
      <c r="EJ83" s="1154">
        <f t="shared" si="160"/>
        <v>0</v>
      </c>
      <c r="EK83" s="1154">
        <f t="shared" si="161"/>
        <v>0</v>
      </c>
      <c r="EL83" s="1154">
        <f t="shared" si="162"/>
        <v>0</v>
      </c>
      <c r="EM83" s="1154">
        <f t="shared" si="163"/>
        <v>0</v>
      </c>
      <c r="EN83" s="1154">
        <f t="shared" si="164"/>
        <v>0</v>
      </c>
      <c r="EO83" s="1154">
        <f t="shared" si="165"/>
        <v>63391.842506058609</v>
      </c>
      <c r="EP83" s="1154">
        <f t="shared" si="166"/>
        <v>0</v>
      </c>
      <c r="EQ83" s="1154">
        <f t="shared" si="167"/>
        <v>0</v>
      </c>
      <c r="ER83" s="1154">
        <f t="shared" si="168"/>
        <v>0</v>
      </c>
      <c r="ES83" s="1154">
        <f t="shared" si="169"/>
        <v>0</v>
      </c>
      <c r="ET83" s="1154">
        <f t="shared" si="170"/>
        <v>0</v>
      </c>
      <c r="EU83" s="1154">
        <f t="shared" si="171"/>
        <v>0</v>
      </c>
      <c r="EV83" s="1154">
        <f t="shared" si="172"/>
        <v>0</v>
      </c>
      <c r="EW83" s="1154">
        <f t="shared" si="173"/>
        <v>0</v>
      </c>
      <c r="EX83" s="1154">
        <f t="shared" si="174"/>
        <v>0</v>
      </c>
      <c r="EY83" s="1154">
        <f t="shared" si="175"/>
        <v>0</v>
      </c>
      <c r="EZ83" s="1154">
        <f t="shared" si="176"/>
        <v>0</v>
      </c>
      <c r="FA83" s="1174">
        <f t="shared" si="177"/>
        <v>119735.30456512091</v>
      </c>
      <c r="FC83" s="1154">
        <f t="shared" si="178"/>
        <v>28170.828323749556</v>
      </c>
      <c r="FD83" s="1154">
        <f t="shared" si="179"/>
        <v>0</v>
      </c>
      <c r="FE83" s="1154">
        <f t="shared" si="180"/>
        <v>0</v>
      </c>
      <c r="FF83" s="1154">
        <f t="shared" si="181"/>
        <v>0</v>
      </c>
      <c r="FG83" s="1154">
        <f t="shared" si="182"/>
        <v>0</v>
      </c>
      <c r="FH83" s="1154">
        <f t="shared" si="183"/>
        <v>0</v>
      </c>
      <c r="FI83" s="1154">
        <f t="shared" si="184"/>
        <v>0</v>
      </c>
      <c r="FJ83" s="1154">
        <f t="shared" si="185"/>
        <v>0</v>
      </c>
      <c r="FK83" s="1154">
        <f t="shared" si="186"/>
        <v>0</v>
      </c>
      <c r="FL83" s="1154">
        <f t="shared" si="187"/>
        <v>0</v>
      </c>
      <c r="FM83" s="1154">
        <f t="shared" si="188"/>
        <v>0</v>
      </c>
      <c r="FN83" s="1154">
        <f t="shared" si="189"/>
        <v>0</v>
      </c>
      <c r="FO83" s="1154">
        <f t="shared" si="190"/>
        <v>27176.011747221186</v>
      </c>
      <c r="FP83" s="1154">
        <f t="shared" si="191"/>
        <v>996.62198809155882</v>
      </c>
      <c r="FQ83" s="1154">
        <f t="shared" si="192"/>
        <v>0</v>
      </c>
      <c r="FR83" s="1154">
        <f t="shared" si="193"/>
        <v>0</v>
      </c>
      <c r="FS83" s="1154">
        <f t="shared" si="194"/>
        <v>0</v>
      </c>
      <c r="FT83" s="1154">
        <f t="shared" si="195"/>
        <v>0</v>
      </c>
      <c r="FU83" s="1154">
        <f t="shared" si="196"/>
        <v>0</v>
      </c>
      <c r="FV83" s="1154">
        <f t="shared" si="197"/>
        <v>0</v>
      </c>
      <c r="FW83" s="1154">
        <f t="shared" si="198"/>
        <v>0</v>
      </c>
      <c r="FX83" s="1154">
        <f t="shared" si="199"/>
        <v>0</v>
      </c>
      <c r="FY83" s="1154">
        <f t="shared" si="200"/>
        <v>0</v>
      </c>
      <c r="FZ83" s="1154">
        <f t="shared" si="201"/>
        <v>66315.186468431682</v>
      </c>
      <c r="GA83" s="1154">
        <f t="shared" si="202"/>
        <v>0</v>
      </c>
      <c r="GB83" s="1154">
        <f t="shared" si="203"/>
        <v>0</v>
      </c>
      <c r="GC83" s="1154">
        <f t="shared" si="204"/>
        <v>0</v>
      </c>
      <c r="GD83" s="1154">
        <f t="shared" si="205"/>
        <v>0</v>
      </c>
      <c r="GE83" s="1154">
        <f t="shared" si="206"/>
        <v>0</v>
      </c>
      <c r="GF83" s="1154">
        <f t="shared" si="207"/>
        <v>0</v>
      </c>
      <c r="GG83" s="1154">
        <f t="shared" si="208"/>
        <v>0</v>
      </c>
      <c r="GH83" s="1154">
        <f t="shared" si="209"/>
        <v>0</v>
      </c>
      <c r="GI83" s="1154">
        <f t="shared" si="210"/>
        <v>0</v>
      </c>
      <c r="GJ83" s="1154">
        <f t="shared" si="211"/>
        <v>0</v>
      </c>
      <c r="GK83" s="1154">
        <f t="shared" si="212"/>
        <v>0</v>
      </c>
      <c r="GL83" s="1174">
        <f t="shared" si="213"/>
        <v>122658.64852749399</v>
      </c>
    </row>
    <row r="84" spans="2:194">
      <c r="B84" s="1290" t="str">
        <f t="shared" si="141"/>
        <v>SACDUOSWLTOUD</v>
      </c>
      <c r="C84" s="1289" t="str">
        <f>Prop2021DUOSTariffs!C38</f>
        <v>West SAC&gt;100MWhpa TOUD</v>
      </c>
      <c r="D84" s="1113" t="str">
        <f>Prop2021DUOSTariffs!D38</f>
        <v>West SAC&gt;100MWhpa TOUD</v>
      </c>
      <c r="E84" s="1113" t="str">
        <f>Prop2021DUOSTariffs!E38</f>
        <v>SAC</v>
      </c>
      <c r="F84" s="1113" t="str">
        <f>Prop2021DUOSTariffs!F38</f>
        <v>SACL</v>
      </c>
      <c r="G84" s="1113" t="str">
        <f>Prop2021DUOSTariffs!G38</f>
        <v>West</v>
      </c>
      <c r="H84" s="1113" t="str">
        <f>Prop2021DUOSTariffs!H38</f>
        <v>WLTOUD</v>
      </c>
      <c r="I84" s="1114" t="s">
        <v>798</v>
      </c>
      <c r="J84" s="1114" t="s">
        <v>934</v>
      </c>
      <c r="K84" s="1270"/>
      <c r="L84" s="1233">
        <v>6.9186528600000008</v>
      </c>
      <c r="M84" s="1007"/>
      <c r="N84" s="1007"/>
      <c r="O84" s="1007"/>
      <c r="P84" s="1007"/>
      <c r="Q84" s="1007"/>
      <c r="R84" s="1007"/>
      <c r="S84" s="1007"/>
      <c r="T84" s="1007"/>
      <c r="U84" s="1007"/>
      <c r="V84" s="1007"/>
      <c r="W84" s="1007"/>
      <c r="X84" s="1233">
        <v>0.70520369638554237</v>
      </c>
      <c r="Y84" s="1233">
        <v>0.14104073927710847</v>
      </c>
      <c r="Z84" s="1007"/>
      <c r="AA84" s="1007"/>
      <c r="AB84" s="1007"/>
      <c r="AC84" s="1007"/>
      <c r="AD84" s="1007"/>
      <c r="AE84" s="1007"/>
      <c r="AF84" s="1007"/>
      <c r="AG84" s="1007"/>
      <c r="AH84" s="1007"/>
      <c r="AI84" s="1224">
        <v>1.2756140745273986E-2</v>
      </c>
      <c r="AJ84" s="1005"/>
      <c r="AK84" s="1005"/>
      <c r="AL84" s="1005"/>
      <c r="AM84" s="1005"/>
      <c r="AN84" s="1005"/>
      <c r="AO84" s="1005"/>
      <c r="AP84" s="1005"/>
      <c r="AQ84" s="1005"/>
      <c r="AR84" s="1005"/>
      <c r="AS84" s="1005"/>
      <c r="AT84" s="1005"/>
      <c r="AU84" s="1006"/>
      <c r="AV84" s="1270"/>
      <c r="AW84" s="1480">
        <v>6.527031</v>
      </c>
      <c r="AX84" s="1006"/>
      <c r="AY84" s="1006"/>
      <c r="AZ84" s="1006"/>
      <c r="BA84" s="1006"/>
      <c r="BB84" s="1006"/>
      <c r="BC84" s="1006"/>
      <c r="BD84" s="1006"/>
      <c r="BE84" s="1006"/>
      <c r="BF84" s="1006"/>
      <c r="BG84" s="1006"/>
      <c r="BH84" s="1006"/>
      <c r="BI84" s="1480">
        <v>0.65961000000000014</v>
      </c>
      <c r="BJ84" s="1480">
        <v>0.13192200000000004</v>
      </c>
      <c r="BK84" s="1006"/>
      <c r="BL84" s="1006"/>
      <c r="BM84" s="1006"/>
      <c r="BN84" s="1006"/>
      <c r="BO84" s="1006"/>
      <c r="BP84" s="1006"/>
      <c r="BQ84" s="1006"/>
      <c r="BR84" s="1006"/>
      <c r="BS84" s="1006"/>
      <c r="BT84" s="1480">
        <v>9.9886311700567981E-3</v>
      </c>
      <c r="BU84" s="1006"/>
      <c r="BV84" s="1006"/>
      <c r="BW84" s="1006"/>
      <c r="BX84" s="1006"/>
      <c r="BY84" s="1006"/>
      <c r="BZ84" s="1006"/>
      <c r="CA84" s="1006"/>
      <c r="CB84" s="1006"/>
      <c r="CC84" s="1006"/>
      <c r="CD84" s="1006"/>
      <c r="CE84" s="1006"/>
      <c r="CF84" s="1006"/>
      <c r="CG84" s="1209"/>
      <c r="CH84" s="1236">
        <v>22.588140333218305</v>
      </c>
      <c r="CI84" s="1007"/>
      <c r="CJ84" s="1007"/>
      <c r="CK84" s="1007"/>
      <c r="CL84" s="1007"/>
      <c r="CM84" s="1007"/>
      <c r="CN84" s="1007"/>
      <c r="CO84" s="1007"/>
      <c r="CP84" s="1007"/>
      <c r="CQ84" s="1007"/>
      <c r="CR84" s="1007"/>
      <c r="CS84" s="1007"/>
      <c r="CT84" s="1236">
        <v>41628.626009068212</v>
      </c>
      <c r="CU84" s="1236">
        <v>17598.668603154048</v>
      </c>
      <c r="CV84" s="1007"/>
      <c r="CW84" s="1007"/>
      <c r="CX84" s="1007"/>
      <c r="CY84" s="1007"/>
      <c r="CZ84" s="1007"/>
      <c r="DA84" s="1007"/>
      <c r="DB84" s="1007"/>
      <c r="DC84" s="1007"/>
      <c r="DD84" s="1007"/>
      <c r="DE84" s="1236">
        <v>16575490.9808819</v>
      </c>
      <c r="DF84" s="1007"/>
      <c r="DG84" s="1007"/>
      <c r="DH84" s="1007"/>
      <c r="DI84" s="1006"/>
      <c r="DJ84" s="1006"/>
      <c r="DK84" s="1007"/>
      <c r="DL84" s="1007"/>
      <c r="DM84" s="1007"/>
      <c r="DN84" s="1007"/>
      <c r="DO84" s="1112"/>
      <c r="DP84" s="1112"/>
      <c r="DQ84" s="1270"/>
      <c r="DR84" s="1154">
        <f t="shared" si="142"/>
        <v>57042.018127253301</v>
      </c>
      <c r="DS84" s="1154">
        <f t="shared" si="143"/>
        <v>0</v>
      </c>
      <c r="DT84" s="1154">
        <f t="shared" si="144"/>
        <v>0</v>
      </c>
      <c r="DU84" s="1154">
        <f t="shared" si="145"/>
        <v>0</v>
      </c>
      <c r="DV84" s="1154">
        <f t="shared" si="146"/>
        <v>0</v>
      </c>
      <c r="DW84" s="1154">
        <f t="shared" si="147"/>
        <v>0</v>
      </c>
      <c r="DX84" s="1154">
        <f t="shared" si="148"/>
        <v>0</v>
      </c>
      <c r="DY84" s="1154">
        <f t="shared" si="149"/>
        <v>0</v>
      </c>
      <c r="DZ84" s="1154">
        <f t="shared" si="150"/>
        <v>0</v>
      </c>
      <c r="EA84" s="1154">
        <f t="shared" si="151"/>
        <v>0</v>
      </c>
      <c r="EB84" s="1154">
        <f t="shared" si="152"/>
        <v>0</v>
      </c>
      <c r="EC84" s="1154">
        <f t="shared" si="153"/>
        <v>0</v>
      </c>
      <c r="ED84" s="1154">
        <f t="shared" si="154"/>
        <v>29356.660937046232</v>
      </c>
      <c r="EE84" s="1154">
        <f t="shared" si="155"/>
        <v>2482.1292300816849</v>
      </c>
      <c r="EF84" s="1154">
        <f t="shared" si="156"/>
        <v>0</v>
      </c>
      <c r="EG84" s="1154">
        <f t="shared" si="157"/>
        <v>0</v>
      </c>
      <c r="EH84" s="1154">
        <f t="shared" si="158"/>
        <v>0</v>
      </c>
      <c r="EI84" s="1154">
        <f t="shared" si="159"/>
        <v>0</v>
      </c>
      <c r="EJ84" s="1154">
        <f t="shared" si="160"/>
        <v>0</v>
      </c>
      <c r="EK84" s="1154">
        <f t="shared" si="161"/>
        <v>0</v>
      </c>
      <c r="EL84" s="1154">
        <f t="shared" si="162"/>
        <v>0</v>
      </c>
      <c r="EM84" s="1154">
        <f t="shared" si="163"/>
        <v>0</v>
      </c>
      <c r="EN84" s="1154">
        <f t="shared" si="164"/>
        <v>0</v>
      </c>
      <c r="EO84" s="1154">
        <f t="shared" si="165"/>
        <v>211439.29587414907</v>
      </c>
      <c r="EP84" s="1154">
        <f t="shared" si="166"/>
        <v>0</v>
      </c>
      <c r="EQ84" s="1154">
        <f t="shared" si="167"/>
        <v>0</v>
      </c>
      <c r="ER84" s="1154">
        <f t="shared" si="168"/>
        <v>0</v>
      </c>
      <c r="ES84" s="1154">
        <f t="shared" si="169"/>
        <v>0</v>
      </c>
      <c r="ET84" s="1154">
        <f t="shared" si="170"/>
        <v>0</v>
      </c>
      <c r="EU84" s="1154">
        <f t="shared" si="171"/>
        <v>0</v>
      </c>
      <c r="EV84" s="1154">
        <f t="shared" si="172"/>
        <v>0</v>
      </c>
      <c r="EW84" s="1154">
        <f t="shared" si="173"/>
        <v>0</v>
      </c>
      <c r="EX84" s="1154">
        <f t="shared" si="174"/>
        <v>0</v>
      </c>
      <c r="EY84" s="1154">
        <f t="shared" si="175"/>
        <v>0</v>
      </c>
      <c r="EZ84" s="1154">
        <f t="shared" si="176"/>
        <v>0</v>
      </c>
      <c r="FA84" s="1174">
        <f t="shared" si="177"/>
        <v>300320.10416853032</v>
      </c>
      <c r="FC84" s="1154">
        <f t="shared" si="178"/>
        <v>53813.224648352167</v>
      </c>
      <c r="FD84" s="1154">
        <f t="shared" si="179"/>
        <v>0</v>
      </c>
      <c r="FE84" s="1154">
        <f t="shared" si="180"/>
        <v>0</v>
      </c>
      <c r="FF84" s="1154">
        <f t="shared" si="181"/>
        <v>0</v>
      </c>
      <c r="FG84" s="1154">
        <f t="shared" si="182"/>
        <v>0</v>
      </c>
      <c r="FH84" s="1154">
        <f t="shared" si="183"/>
        <v>0</v>
      </c>
      <c r="FI84" s="1154">
        <f t="shared" si="184"/>
        <v>0</v>
      </c>
      <c r="FJ84" s="1154">
        <f t="shared" si="185"/>
        <v>0</v>
      </c>
      <c r="FK84" s="1154">
        <f t="shared" si="186"/>
        <v>0</v>
      </c>
      <c r="FL84" s="1154">
        <f t="shared" si="187"/>
        <v>0</v>
      </c>
      <c r="FM84" s="1154">
        <f t="shared" si="188"/>
        <v>0</v>
      </c>
      <c r="FN84" s="1154">
        <f t="shared" si="189"/>
        <v>0</v>
      </c>
      <c r="FO84" s="1154">
        <f t="shared" si="190"/>
        <v>27458.65800184149</v>
      </c>
      <c r="FP84" s="1154">
        <f t="shared" si="191"/>
        <v>2321.6515594652892</v>
      </c>
      <c r="FQ84" s="1154">
        <f t="shared" si="192"/>
        <v>0</v>
      </c>
      <c r="FR84" s="1154">
        <f t="shared" si="193"/>
        <v>0</v>
      </c>
      <c r="FS84" s="1154">
        <f t="shared" si="194"/>
        <v>0</v>
      </c>
      <c r="FT84" s="1154">
        <f t="shared" si="195"/>
        <v>0</v>
      </c>
      <c r="FU84" s="1154">
        <f t="shared" si="196"/>
        <v>0</v>
      </c>
      <c r="FV84" s="1154">
        <f t="shared" si="197"/>
        <v>0</v>
      </c>
      <c r="FW84" s="1154">
        <f t="shared" si="198"/>
        <v>0</v>
      </c>
      <c r="FX84" s="1154">
        <f t="shared" si="199"/>
        <v>0</v>
      </c>
      <c r="FY84" s="1154">
        <f t="shared" si="200"/>
        <v>0</v>
      </c>
      <c r="FZ84" s="1154">
        <f t="shared" si="201"/>
        <v>165566.46587063227</v>
      </c>
      <c r="GA84" s="1154">
        <f t="shared" si="202"/>
        <v>0</v>
      </c>
      <c r="GB84" s="1154">
        <f t="shared" si="203"/>
        <v>0</v>
      </c>
      <c r="GC84" s="1154">
        <f t="shared" si="204"/>
        <v>0</v>
      </c>
      <c r="GD84" s="1154">
        <f t="shared" si="205"/>
        <v>0</v>
      </c>
      <c r="GE84" s="1154">
        <f t="shared" si="206"/>
        <v>0</v>
      </c>
      <c r="GF84" s="1154">
        <f t="shared" si="207"/>
        <v>0</v>
      </c>
      <c r="GG84" s="1154">
        <f t="shared" si="208"/>
        <v>0</v>
      </c>
      <c r="GH84" s="1154">
        <f t="shared" si="209"/>
        <v>0</v>
      </c>
      <c r="GI84" s="1154">
        <f t="shared" si="210"/>
        <v>0</v>
      </c>
      <c r="GJ84" s="1154">
        <f t="shared" si="211"/>
        <v>0</v>
      </c>
      <c r="GK84" s="1154">
        <f t="shared" si="212"/>
        <v>0</v>
      </c>
      <c r="GL84" s="1174">
        <f t="shared" si="213"/>
        <v>249160.00008029121</v>
      </c>
    </row>
    <row r="85" spans="2:194">
      <c r="B85" s="1290" t="str">
        <f t="shared" ref="B85:B101" si="256">$E85&amp;"DUOS"&amp;$H85</f>
        <v>SACDUOSWLTOUD</v>
      </c>
      <c r="C85" s="1289" t="str">
        <f>C84</f>
        <v>West SAC&gt;100MWhpa TOUD</v>
      </c>
      <c r="D85" s="1113" t="str">
        <f t="shared" ref="D85:H85" si="257">D84</f>
        <v>West SAC&gt;100MWhpa TOUD</v>
      </c>
      <c r="E85" s="1113" t="str">
        <f t="shared" si="257"/>
        <v>SAC</v>
      </c>
      <c r="F85" s="1113" t="str">
        <f t="shared" si="257"/>
        <v>SACL</v>
      </c>
      <c r="G85" s="1113" t="str">
        <f t="shared" si="257"/>
        <v>West</v>
      </c>
      <c r="H85" s="1113" t="str">
        <f t="shared" si="257"/>
        <v>WLTOUD</v>
      </c>
      <c r="I85" s="1114" t="s">
        <v>752</v>
      </c>
      <c r="J85" s="1114" t="s">
        <v>934</v>
      </c>
      <c r="K85" s="1270"/>
      <c r="L85" s="1233">
        <v>11.305502669999999</v>
      </c>
      <c r="M85" s="1007"/>
      <c r="N85" s="1007"/>
      <c r="O85" s="1007"/>
      <c r="P85" s="1007"/>
      <c r="Q85" s="1007"/>
      <c r="R85" s="1007"/>
      <c r="S85" s="1007"/>
      <c r="T85" s="1007"/>
      <c r="U85" s="1007"/>
      <c r="V85" s="1007"/>
      <c r="W85" s="1007"/>
      <c r="X85" s="1233">
        <v>1.4954624999999999</v>
      </c>
      <c r="Y85" s="1233">
        <v>0.29909249999999998</v>
      </c>
      <c r="Z85" s="1007"/>
      <c r="AA85" s="1007"/>
      <c r="AB85" s="1007"/>
      <c r="AC85" s="1007"/>
      <c r="AD85" s="1007"/>
      <c r="AE85" s="1007"/>
      <c r="AF85" s="1007"/>
      <c r="AG85" s="1007"/>
      <c r="AH85" s="1007"/>
      <c r="AI85" s="1224">
        <v>1.3580961239131205E-2</v>
      </c>
      <c r="AJ85" s="1005"/>
      <c r="AK85" s="1005"/>
      <c r="AL85" s="1005"/>
      <c r="AM85" s="1005"/>
      <c r="AN85" s="1005"/>
      <c r="AO85" s="1005"/>
      <c r="AP85" s="1005"/>
      <c r="AQ85" s="1005"/>
      <c r="AR85" s="1005"/>
      <c r="AS85" s="1005"/>
      <c r="AT85" s="1005"/>
      <c r="AU85" s="1006"/>
      <c r="AV85" s="1270"/>
      <c r="AW85" s="1480">
        <v>11.193567</v>
      </c>
      <c r="AX85" s="1006"/>
      <c r="AY85" s="1006"/>
      <c r="AZ85" s="1006"/>
      <c r="BA85" s="1006"/>
      <c r="BB85" s="1006"/>
      <c r="BC85" s="1006"/>
      <c r="BD85" s="1006"/>
      <c r="BE85" s="1006"/>
      <c r="BF85" s="1006"/>
      <c r="BG85" s="1006"/>
      <c r="BH85" s="1006"/>
      <c r="BI85" s="1480">
        <v>1.4954624999999999</v>
      </c>
      <c r="BJ85" s="1480">
        <v>0.29909249999999998</v>
      </c>
      <c r="BK85" s="1006"/>
      <c r="BL85" s="1006"/>
      <c r="BM85" s="1006"/>
      <c r="BN85" s="1006"/>
      <c r="BO85" s="1006"/>
      <c r="BP85" s="1006"/>
      <c r="BQ85" s="1006"/>
      <c r="BR85" s="1006"/>
      <c r="BS85" s="1006"/>
      <c r="BT85" s="1480">
        <v>1.3226767178995704E-2</v>
      </c>
      <c r="BU85" s="1006"/>
      <c r="BV85" s="1006"/>
      <c r="BW85" s="1006"/>
      <c r="BX85" s="1006"/>
      <c r="BY85" s="1006"/>
      <c r="BZ85" s="1006"/>
      <c r="CA85" s="1006"/>
      <c r="CB85" s="1006"/>
      <c r="CC85" s="1006"/>
      <c r="CD85" s="1006"/>
      <c r="CE85" s="1006"/>
      <c r="CF85" s="1006"/>
      <c r="CG85" s="1209"/>
      <c r="CH85" s="1236">
        <v>6.1478099356914759</v>
      </c>
      <c r="CI85" s="1007"/>
      <c r="CJ85" s="1007"/>
      <c r="CK85" s="1007"/>
      <c r="CL85" s="1007"/>
      <c r="CM85" s="1007"/>
      <c r="CN85" s="1007"/>
      <c r="CO85" s="1007"/>
      <c r="CP85" s="1007"/>
      <c r="CQ85" s="1007"/>
      <c r="CR85" s="1007"/>
      <c r="CS85" s="1007"/>
      <c r="CT85" s="1236">
        <v>11330.055365884586</v>
      </c>
      <c r="CU85" s="1236">
        <v>4789.8263468065215</v>
      </c>
      <c r="CV85" s="1007"/>
      <c r="CW85" s="1007"/>
      <c r="CX85" s="1007"/>
      <c r="CY85" s="1007"/>
      <c r="CZ85" s="1007"/>
      <c r="DA85" s="1007"/>
      <c r="DB85" s="1007"/>
      <c r="DC85" s="1007"/>
      <c r="DD85" s="1007"/>
      <c r="DE85" s="1236">
        <v>4511348.2844522102</v>
      </c>
      <c r="DF85" s="1007"/>
      <c r="DG85" s="1007"/>
      <c r="DH85" s="1007"/>
      <c r="DI85" s="1006"/>
      <c r="DJ85" s="1006"/>
      <c r="DK85" s="1007"/>
      <c r="DL85" s="1007"/>
      <c r="DM85" s="1007"/>
      <c r="DN85" s="1007"/>
      <c r="DO85" s="1112"/>
      <c r="DP85" s="1112"/>
      <c r="DQ85" s="1270"/>
      <c r="DR85" s="1154">
        <f t="shared" ref="DR85:DR101" si="258">L85*CH85*DR$229</f>
        <v>25368.989799553565</v>
      </c>
      <c r="DS85" s="1154">
        <f t="shared" ref="DS85:DS101" si="259">M85*CI85*DS$229</f>
        <v>0</v>
      </c>
      <c r="DT85" s="1154">
        <f t="shared" ref="DT85:DT101" si="260">N85*CJ85*DT$229</f>
        <v>0</v>
      </c>
      <c r="DU85" s="1154">
        <f t="shared" ref="DU85:DU101" si="261">O85*CK85*DU$229</f>
        <v>0</v>
      </c>
      <c r="DV85" s="1154">
        <f t="shared" ref="DV85:DV101" si="262">P85*CL85*DV$229</f>
        <v>0</v>
      </c>
      <c r="DW85" s="1154">
        <f t="shared" ref="DW85:DW101" si="263">Q85*CM85*DW$229</f>
        <v>0</v>
      </c>
      <c r="DX85" s="1154">
        <f t="shared" ref="DX85:DX101" si="264">R85*CN85*DX$229</f>
        <v>0</v>
      </c>
      <c r="DY85" s="1154">
        <f t="shared" ref="DY85:DY101" si="265">S85*CO85*DY$229</f>
        <v>0</v>
      </c>
      <c r="DZ85" s="1154">
        <f t="shared" ref="DZ85:DZ101" si="266">T85*CP85*DZ$229</f>
        <v>0</v>
      </c>
      <c r="EA85" s="1154">
        <f t="shared" ref="EA85:EA101" si="267">U85*CQ85*EA$229</f>
        <v>0</v>
      </c>
      <c r="EB85" s="1154">
        <f t="shared" ref="EB85:EB101" si="268">V85*CR85*EB$229</f>
        <v>0</v>
      </c>
      <c r="EC85" s="1154">
        <f t="shared" ref="EC85:EC101" si="269">W85*CS85*EC$229</f>
        <v>0</v>
      </c>
      <c r="ED85" s="1154">
        <f t="shared" ref="ED85:ED101" si="270">X85*CT85*ED$229</f>
        <v>16943.672922604175</v>
      </c>
      <c r="EE85" s="1154">
        <f t="shared" ref="EE85:EE101" si="271">Y85*CU85*EE$229</f>
        <v>1432.6011366322296</v>
      </c>
      <c r="EF85" s="1154">
        <f t="shared" ref="EF85:EF101" si="272">Z85*CV85*EF$229</f>
        <v>0</v>
      </c>
      <c r="EG85" s="1154">
        <f t="shared" ref="EG85:EG101" si="273">AA85*CW85*EG$229</f>
        <v>0</v>
      </c>
      <c r="EH85" s="1154">
        <f t="shared" ref="EH85:EH101" si="274">AB85*CX85*EH$229</f>
        <v>0</v>
      </c>
      <c r="EI85" s="1154">
        <f t="shared" ref="EI85:EI101" si="275">AC85*CY85*EI$229</f>
        <v>0</v>
      </c>
      <c r="EJ85" s="1154">
        <f t="shared" ref="EJ85:EJ101" si="276">AD85*CZ85*EJ$229</f>
        <v>0</v>
      </c>
      <c r="EK85" s="1154">
        <f t="shared" ref="EK85:EK101" si="277">AE85*DA85*EK$229</f>
        <v>0</v>
      </c>
      <c r="EL85" s="1154">
        <f t="shared" ref="EL85:EL101" si="278">AF85*DB85*EL$229</f>
        <v>0</v>
      </c>
      <c r="EM85" s="1154">
        <f t="shared" ref="EM85:EM101" si="279">AG85*DC85*EM$229*$AU85</f>
        <v>0</v>
      </c>
      <c r="EN85" s="1154">
        <f t="shared" ref="EN85:EN101" si="280">AH85*DD85*EN$229*$AU85</f>
        <v>0</v>
      </c>
      <c r="EO85" s="1154">
        <f t="shared" ref="EO85:EO101" si="281">AI85*DE85*EO$229</f>
        <v>61268.446187366528</v>
      </c>
      <c r="EP85" s="1154">
        <f t="shared" ref="EP85:EP101" si="282">AJ85*DF85*EP$229</f>
        <v>0</v>
      </c>
      <c r="EQ85" s="1154">
        <f t="shared" ref="EQ85:EQ101" si="283">AK85*DG85*EQ$229</f>
        <v>0</v>
      </c>
      <c r="ER85" s="1154">
        <f t="shared" ref="ER85:ER101" si="284">AL85*DH85*ER$229</f>
        <v>0</v>
      </c>
      <c r="ES85" s="1154">
        <f t="shared" ref="ES85:ES101" si="285">AM85*DI85*ES$229</f>
        <v>0</v>
      </c>
      <c r="ET85" s="1154">
        <f t="shared" ref="ET85:ET101" si="286">AN85*DJ85*ET$229</f>
        <v>0</v>
      </c>
      <c r="EU85" s="1154">
        <f t="shared" ref="EU85:EU101" si="287">AO85*DK85*EU$229</f>
        <v>0</v>
      </c>
      <c r="EV85" s="1154">
        <f t="shared" ref="EV85:EV101" si="288">AP85*DL85*EV$229</f>
        <v>0</v>
      </c>
      <c r="EW85" s="1154">
        <f t="shared" ref="EW85:EW101" si="289">AQ85*DM85*EW$229</f>
        <v>0</v>
      </c>
      <c r="EX85" s="1154">
        <f t="shared" ref="EX85:EX101" si="290">AR85*DN85*EX$229</f>
        <v>0</v>
      </c>
      <c r="EY85" s="1154">
        <f t="shared" ref="EY85:EY101" si="291">AS85*DO85*EY$229</f>
        <v>0</v>
      </c>
      <c r="EZ85" s="1154">
        <f t="shared" ref="EZ85:EZ101" si="292">AT85*DP85*EZ$229</f>
        <v>0</v>
      </c>
      <c r="FA85" s="1174">
        <f t="shared" ref="FA85:FA101" si="293">SUM(DR85:EZ85)</f>
        <v>105013.71004615648</v>
      </c>
      <c r="FC85" s="1154">
        <f t="shared" ref="FC85:FC101" si="294">AW85*CH85*FC$229</f>
        <v>25117.811682726304</v>
      </c>
      <c r="FD85" s="1154">
        <f t="shared" ref="FD85:FD101" si="295">AX85*CI85*FD$229</f>
        <v>0</v>
      </c>
      <c r="FE85" s="1154">
        <f t="shared" ref="FE85:FE101" si="296">AY85*CJ85*FE$229</f>
        <v>0</v>
      </c>
      <c r="FF85" s="1154">
        <f t="shared" ref="FF85:FF101" si="297">AZ85*CK85*FF$229</f>
        <v>0</v>
      </c>
      <c r="FG85" s="1154">
        <f t="shared" ref="FG85:FG101" si="298">BA85*CL85*FG$229</f>
        <v>0</v>
      </c>
      <c r="FH85" s="1154">
        <f t="shared" ref="FH85:FH101" si="299">BB85*CM85*FH$229</f>
        <v>0</v>
      </c>
      <c r="FI85" s="1154">
        <f t="shared" ref="FI85:FI101" si="300">BC85*CN85*FI$229</f>
        <v>0</v>
      </c>
      <c r="FJ85" s="1154">
        <f t="shared" ref="FJ85:FJ101" si="301">BD85*CO85*FJ$229</f>
        <v>0</v>
      </c>
      <c r="FK85" s="1154">
        <f t="shared" ref="FK85:FK101" si="302">BE85*CP85*FK$229</f>
        <v>0</v>
      </c>
      <c r="FL85" s="1154">
        <f t="shared" ref="FL85:FL101" si="303">BF85*CQ85*FL$229</f>
        <v>0</v>
      </c>
      <c r="FM85" s="1154">
        <f t="shared" ref="FM85:FM101" si="304">BG85*CR85*FM$229</f>
        <v>0</v>
      </c>
      <c r="FN85" s="1154">
        <f t="shared" ref="FN85:FN101" si="305">BH85*CS85*FN$229</f>
        <v>0</v>
      </c>
      <c r="FO85" s="1154">
        <f t="shared" ref="FO85:FO101" si="306">BI85*CT85*FO$229</f>
        <v>16943.672922604175</v>
      </c>
      <c r="FP85" s="1154">
        <f t="shared" ref="FP85:FP101" si="307">BJ85*CU85*FP$229</f>
        <v>1432.6011366322296</v>
      </c>
      <c r="FQ85" s="1154">
        <f t="shared" ref="FQ85:FQ101" si="308">BK85*CV85*FQ$229</f>
        <v>0</v>
      </c>
      <c r="FR85" s="1154">
        <f t="shared" ref="FR85:FR101" si="309">BL85*CW85*FR$229</f>
        <v>0</v>
      </c>
      <c r="FS85" s="1154">
        <f t="shared" ref="FS85:FS101" si="310">BM85*CX85*FS$229</f>
        <v>0</v>
      </c>
      <c r="FT85" s="1154">
        <f t="shared" ref="FT85:FT101" si="311">BN85*CY85*FT$229</f>
        <v>0</v>
      </c>
      <c r="FU85" s="1154">
        <f t="shared" ref="FU85:FU101" si="312">BO85*CZ85*FU$229</f>
        <v>0</v>
      </c>
      <c r="FV85" s="1154">
        <f t="shared" ref="FV85:FV101" si="313">BP85*DA85*FV$229</f>
        <v>0</v>
      </c>
      <c r="FW85" s="1154">
        <f t="shared" ref="FW85:FW101" si="314">BQ85*DB85*FW$229</f>
        <v>0</v>
      </c>
      <c r="FX85" s="1154">
        <f t="shared" ref="FX85:FX101" si="315">BR85*DC85*FX$229</f>
        <v>0</v>
      </c>
      <c r="FY85" s="1154">
        <f t="shared" ref="FY85:FY101" si="316">BS85*DD85*FY$229</f>
        <v>0</v>
      </c>
      <c r="FZ85" s="1154">
        <f t="shared" ref="FZ85:FZ101" si="317">BT85*DE85*FZ$229</f>
        <v>59670.55342181107</v>
      </c>
      <c r="GA85" s="1154">
        <f t="shared" ref="GA85:GA101" si="318">BU85*DF85*GA$229</f>
        <v>0</v>
      </c>
      <c r="GB85" s="1154">
        <f t="shared" ref="GB85:GB101" si="319">BV85*DG85*GB$229</f>
        <v>0</v>
      </c>
      <c r="GC85" s="1154">
        <f t="shared" ref="GC85:GC101" si="320">BW85*DH85*GC$229</f>
        <v>0</v>
      </c>
      <c r="GD85" s="1154">
        <f t="shared" ref="GD85:GD101" si="321">BX85*DI85*GD$229</f>
        <v>0</v>
      </c>
      <c r="GE85" s="1154">
        <f t="shared" ref="GE85:GE101" si="322">BY85*DJ85*GE$229</f>
        <v>0</v>
      </c>
      <c r="GF85" s="1154">
        <f t="shared" ref="GF85:GF101" si="323">BZ85*DK85*GF$229</f>
        <v>0</v>
      </c>
      <c r="GG85" s="1154">
        <f t="shared" ref="GG85:GG101" si="324">CA85*DL85*GG$229</f>
        <v>0</v>
      </c>
      <c r="GH85" s="1154">
        <f t="shared" ref="GH85:GH101" si="325">CB85*DM85*GH$229</f>
        <v>0</v>
      </c>
      <c r="GI85" s="1154">
        <f t="shared" ref="GI85:GI101" si="326">CC85*DN85*GI$229</f>
        <v>0</v>
      </c>
      <c r="GJ85" s="1154">
        <f t="shared" ref="GJ85:GJ101" si="327">CD85*DO85*GJ$229</f>
        <v>0</v>
      </c>
      <c r="GK85" s="1154">
        <f t="shared" ref="GK85:GK101" si="328">CE85*DP85*GK$229</f>
        <v>0</v>
      </c>
      <c r="GL85" s="1174">
        <f t="shared" si="213"/>
        <v>103164.63916377377</v>
      </c>
    </row>
    <row r="86" spans="2:194">
      <c r="B86" s="1290" t="str">
        <f t="shared" si="256"/>
        <v>SACDUOSWLTOUD</v>
      </c>
      <c r="C86" s="1289" t="str">
        <f t="shared" ref="C86:H86" si="329">C85</f>
        <v>West SAC&gt;100MWhpa TOUD</v>
      </c>
      <c r="D86" s="1113" t="str">
        <f t="shared" si="329"/>
        <v>West SAC&gt;100MWhpa TOUD</v>
      </c>
      <c r="E86" s="1113" t="str">
        <f t="shared" si="329"/>
        <v>SAC</v>
      </c>
      <c r="F86" s="1113" t="str">
        <f t="shared" si="329"/>
        <v>SACL</v>
      </c>
      <c r="G86" s="1113" t="str">
        <f t="shared" si="329"/>
        <v>West</v>
      </c>
      <c r="H86" s="1113" t="str">
        <f t="shared" si="329"/>
        <v>WLTOUD</v>
      </c>
      <c r="I86" s="1114" t="s">
        <v>759</v>
      </c>
      <c r="J86" s="1114" t="s">
        <v>934</v>
      </c>
      <c r="K86" s="1270"/>
      <c r="L86" s="1233">
        <v>18.478614</v>
      </c>
      <c r="M86" s="1007"/>
      <c r="N86" s="1007"/>
      <c r="O86" s="1007"/>
      <c r="P86" s="1007"/>
      <c r="Q86" s="1007"/>
      <c r="R86" s="1007"/>
      <c r="S86" s="1007"/>
      <c r="T86" s="1007"/>
      <c r="U86" s="1007"/>
      <c r="V86" s="1007"/>
      <c r="W86" s="1007"/>
      <c r="X86" s="1233">
        <v>2.8954800000000001</v>
      </c>
      <c r="Y86" s="1233">
        <v>0.57909600000000006</v>
      </c>
      <c r="Z86" s="1007"/>
      <c r="AA86" s="1007"/>
      <c r="AB86" s="1007"/>
      <c r="AC86" s="1007"/>
      <c r="AD86" s="1007"/>
      <c r="AE86" s="1007"/>
      <c r="AF86" s="1007"/>
      <c r="AG86" s="1007"/>
      <c r="AH86" s="1007"/>
      <c r="AI86" s="1224">
        <v>1.4121324100704864E-2</v>
      </c>
      <c r="AJ86" s="1005"/>
      <c r="AK86" s="1005"/>
      <c r="AL86" s="1005"/>
      <c r="AM86" s="1005"/>
      <c r="AN86" s="1005"/>
      <c r="AO86" s="1005"/>
      <c r="AP86" s="1005"/>
      <c r="AQ86" s="1005"/>
      <c r="AR86" s="1005"/>
      <c r="AS86" s="1005"/>
      <c r="AT86" s="1005"/>
      <c r="AU86" s="1006"/>
      <c r="AV86" s="1270"/>
      <c r="AW86" s="1480">
        <v>18.478614</v>
      </c>
      <c r="AX86" s="1006"/>
      <c r="AY86" s="1006"/>
      <c r="AZ86" s="1006"/>
      <c r="BA86" s="1006"/>
      <c r="BB86" s="1006"/>
      <c r="BC86" s="1006"/>
      <c r="BD86" s="1006"/>
      <c r="BE86" s="1006"/>
      <c r="BF86" s="1006"/>
      <c r="BG86" s="1006"/>
      <c r="BH86" s="1006"/>
      <c r="BI86" s="1480">
        <v>2.8954800000000001</v>
      </c>
      <c r="BJ86" s="1480">
        <v>0.57909600000000006</v>
      </c>
      <c r="BK86" s="1006"/>
      <c r="BL86" s="1006"/>
      <c r="BM86" s="1006"/>
      <c r="BN86" s="1006"/>
      <c r="BO86" s="1006"/>
      <c r="BP86" s="1006"/>
      <c r="BQ86" s="1006"/>
      <c r="BR86" s="1006"/>
      <c r="BS86" s="1006"/>
      <c r="BT86" s="1480">
        <v>1.4772535454067301E-2</v>
      </c>
      <c r="BU86" s="1006"/>
      <c r="BV86" s="1006"/>
      <c r="BW86" s="1006"/>
      <c r="BX86" s="1006"/>
      <c r="BY86" s="1006"/>
      <c r="BZ86" s="1006"/>
      <c r="CA86" s="1006"/>
      <c r="CB86" s="1006"/>
      <c r="CC86" s="1006"/>
      <c r="CD86" s="1006"/>
      <c r="CE86" s="1006"/>
      <c r="CF86" s="1006"/>
      <c r="CG86" s="1209"/>
      <c r="CH86" s="1236">
        <v>1.2640497310902212</v>
      </c>
      <c r="CI86" s="1007"/>
      <c r="CJ86" s="1007"/>
      <c r="CK86" s="1007"/>
      <c r="CL86" s="1007"/>
      <c r="CM86" s="1007"/>
      <c r="CN86" s="1007"/>
      <c r="CO86" s="1007"/>
      <c r="CP86" s="1007"/>
      <c r="CQ86" s="1007"/>
      <c r="CR86" s="1007"/>
      <c r="CS86" s="1007"/>
      <c r="CT86" s="1236">
        <v>2329.5699750472013</v>
      </c>
      <c r="CU86" s="1236">
        <v>984.83505003943333</v>
      </c>
      <c r="CV86" s="1007"/>
      <c r="CW86" s="1007"/>
      <c r="CX86" s="1007"/>
      <c r="CY86" s="1007"/>
      <c r="CZ86" s="1007"/>
      <c r="DA86" s="1007"/>
      <c r="DB86" s="1007"/>
      <c r="DC86" s="1007"/>
      <c r="DD86" s="1007"/>
      <c r="DE86" s="1236">
        <v>927577.24221588997</v>
      </c>
      <c r="DF86" s="1007"/>
      <c r="DG86" s="1007"/>
      <c r="DH86" s="1007"/>
      <c r="DI86" s="1006"/>
      <c r="DJ86" s="1006"/>
      <c r="DK86" s="1007"/>
      <c r="DL86" s="1007"/>
      <c r="DM86" s="1007"/>
      <c r="DN86" s="1007"/>
      <c r="DO86" s="1112"/>
      <c r="DP86" s="1112"/>
      <c r="DQ86" s="1270"/>
      <c r="DR86" s="1154">
        <f t="shared" si="258"/>
        <v>8525.6287760312989</v>
      </c>
      <c r="DS86" s="1154">
        <f t="shared" si="259"/>
        <v>0</v>
      </c>
      <c r="DT86" s="1154">
        <f t="shared" si="260"/>
        <v>0</v>
      </c>
      <c r="DU86" s="1154">
        <f t="shared" si="261"/>
        <v>0</v>
      </c>
      <c r="DV86" s="1154">
        <f t="shared" si="262"/>
        <v>0</v>
      </c>
      <c r="DW86" s="1154">
        <f t="shared" si="263"/>
        <v>0</v>
      </c>
      <c r="DX86" s="1154">
        <f t="shared" si="264"/>
        <v>0</v>
      </c>
      <c r="DY86" s="1154">
        <f t="shared" si="265"/>
        <v>0</v>
      </c>
      <c r="DZ86" s="1154">
        <f t="shared" si="266"/>
        <v>0</v>
      </c>
      <c r="EA86" s="1154">
        <f t="shared" si="267"/>
        <v>0</v>
      </c>
      <c r="EB86" s="1154">
        <f t="shared" si="268"/>
        <v>0</v>
      </c>
      <c r="EC86" s="1154">
        <f t="shared" si="269"/>
        <v>0</v>
      </c>
      <c r="ED86" s="1154">
        <f t="shared" si="270"/>
        <v>6745.2232713496705</v>
      </c>
      <c r="EE86" s="1154">
        <f t="shared" si="271"/>
        <v>570.31403813763575</v>
      </c>
      <c r="EF86" s="1154">
        <f t="shared" si="272"/>
        <v>0</v>
      </c>
      <c r="EG86" s="1154">
        <f t="shared" si="273"/>
        <v>0</v>
      </c>
      <c r="EH86" s="1154">
        <f t="shared" si="274"/>
        <v>0</v>
      </c>
      <c r="EI86" s="1154">
        <f t="shared" si="275"/>
        <v>0</v>
      </c>
      <c r="EJ86" s="1154">
        <f t="shared" si="276"/>
        <v>0</v>
      </c>
      <c r="EK86" s="1154">
        <f t="shared" si="277"/>
        <v>0</v>
      </c>
      <c r="EL86" s="1154">
        <f t="shared" si="278"/>
        <v>0</v>
      </c>
      <c r="EM86" s="1154">
        <f t="shared" si="279"/>
        <v>0</v>
      </c>
      <c r="EN86" s="1154">
        <f t="shared" si="280"/>
        <v>0</v>
      </c>
      <c r="EO86" s="1154">
        <f t="shared" si="281"/>
        <v>13098.6188657686</v>
      </c>
      <c r="EP86" s="1154">
        <f t="shared" si="282"/>
        <v>0</v>
      </c>
      <c r="EQ86" s="1154">
        <f t="shared" si="283"/>
        <v>0</v>
      </c>
      <c r="ER86" s="1154">
        <f t="shared" si="284"/>
        <v>0</v>
      </c>
      <c r="ES86" s="1154">
        <f t="shared" si="285"/>
        <v>0</v>
      </c>
      <c r="ET86" s="1154">
        <f t="shared" si="286"/>
        <v>0</v>
      </c>
      <c r="EU86" s="1154">
        <f t="shared" si="287"/>
        <v>0</v>
      </c>
      <c r="EV86" s="1154">
        <f t="shared" si="288"/>
        <v>0</v>
      </c>
      <c r="EW86" s="1154">
        <f t="shared" si="289"/>
        <v>0</v>
      </c>
      <c r="EX86" s="1154">
        <f t="shared" si="290"/>
        <v>0</v>
      </c>
      <c r="EY86" s="1154">
        <f t="shared" si="291"/>
        <v>0</v>
      </c>
      <c r="EZ86" s="1154">
        <f t="shared" si="292"/>
        <v>0</v>
      </c>
      <c r="FA86" s="1174">
        <f t="shared" si="293"/>
        <v>28939.784951287205</v>
      </c>
      <c r="FC86" s="1154">
        <f t="shared" si="294"/>
        <v>8525.6287760312989</v>
      </c>
      <c r="FD86" s="1154">
        <f t="shared" si="295"/>
        <v>0</v>
      </c>
      <c r="FE86" s="1154">
        <f t="shared" si="296"/>
        <v>0</v>
      </c>
      <c r="FF86" s="1154">
        <f t="shared" si="297"/>
        <v>0</v>
      </c>
      <c r="FG86" s="1154">
        <f t="shared" si="298"/>
        <v>0</v>
      </c>
      <c r="FH86" s="1154">
        <f t="shared" si="299"/>
        <v>0</v>
      </c>
      <c r="FI86" s="1154">
        <f t="shared" si="300"/>
        <v>0</v>
      </c>
      <c r="FJ86" s="1154">
        <f t="shared" si="301"/>
        <v>0</v>
      </c>
      <c r="FK86" s="1154">
        <f t="shared" si="302"/>
        <v>0</v>
      </c>
      <c r="FL86" s="1154">
        <f t="shared" si="303"/>
        <v>0</v>
      </c>
      <c r="FM86" s="1154">
        <f t="shared" si="304"/>
        <v>0</v>
      </c>
      <c r="FN86" s="1154">
        <f t="shared" si="305"/>
        <v>0</v>
      </c>
      <c r="FO86" s="1154">
        <f t="shared" si="306"/>
        <v>6745.2232713496705</v>
      </c>
      <c r="FP86" s="1154">
        <f t="shared" si="307"/>
        <v>570.31403813763575</v>
      </c>
      <c r="FQ86" s="1154">
        <f t="shared" si="308"/>
        <v>0</v>
      </c>
      <c r="FR86" s="1154">
        <f t="shared" si="309"/>
        <v>0</v>
      </c>
      <c r="FS86" s="1154">
        <f t="shared" si="310"/>
        <v>0</v>
      </c>
      <c r="FT86" s="1154">
        <f t="shared" si="311"/>
        <v>0</v>
      </c>
      <c r="FU86" s="1154">
        <f t="shared" si="312"/>
        <v>0</v>
      </c>
      <c r="FV86" s="1154">
        <f t="shared" si="313"/>
        <v>0</v>
      </c>
      <c r="FW86" s="1154">
        <f t="shared" si="314"/>
        <v>0</v>
      </c>
      <c r="FX86" s="1154">
        <f t="shared" si="315"/>
        <v>0</v>
      </c>
      <c r="FY86" s="1154">
        <f t="shared" si="316"/>
        <v>0</v>
      </c>
      <c r="FZ86" s="1154">
        <f t="shared" si="317"/>
        <v>13702.667697020206</v>
      </c>
      <c r="GA86" s="1154">
        <f t="shared" si="318"/>
        <v>0</v>
      </c>
      <c r="GB86" s="1154">
        <f t="shared" si="319"/>
        <v>0</v>
      </c>
      <c r="GC86" s="1154">
        <f t="shared" si="320"/>
        <v>0</v>
      </c>
      <c r="GD86" s="1154">
        <f t="shared" si="321"/>
        <v>0</v>
      </c>
      <c r="GE86" s="1154">
        <f t="shared" si="322"/>
        <v>0</v>
      </c>
      <c r="GF86" s="1154">
        <f t="shared" si="323"/>
        <v>0</v>
      </c>
      <c r="GG86" s="1154">
        <f t="shared" si="324"/>
        <v>0</v>
      </c>
      <c r="GH86" s="1154">
        <f t="shared" si="325"/>
        <v>0</v>
      </c>
      <c r="GI86" s="1154">
        <f t="shared" si="326"/>
        <v>0</v>
      </c>
      <c r="GJ86" s="1154">
        <f t="shared" si="327"/>
        <v>0</v>
      </c>
      <c r="GK86" s="1154">
        <f t="shared" si="328"/>
        <v>0</v>
      </c>
      <c r="GL86" s="1174">
        <f t="shared" si="213"/>
        <v>29543.833782538812</v>
      </c>
    </row>
    <row r="87" spans="2:194">
      <c r="B87" s="1290" t="str">
        <f t="shared" si="256"/>
        <v>SACDUOSMLTOUD</v>
      </c>
      <c r="C87" s="1289" t="str">
        <f>Prop2021DUOSTariffs!C39</f>
        <v>MtIsa SAC&gt;100MWhpa TOUD</v>
      </c>
      <c r="D87" s="1113" t="str">
        <f>Prop2021DUOSTariffs!D39</f>
        <v>MtIsa SAC&gt;100MWhpa TOUD</v>
      </c>
      <c r="E87" s="1113" t="str">
        <f>Prop2021DUOSTariffs!E39</f>
        <v>SAC</v>
      </c>
      <c r="F87" s="1113" t="str">
        <f>Prop2021DUOSTariffs!F39</f>
        <v>SACL</v>
      </c>
      <c r="G87" s="1113" t="str">
        <f>Prop2021DUOSTariffs!G39</f>
        <v>Mt Isa</v>
      </c>
      <c r="H87" s="1113" t="str">
        <f>Prop2021DUOSTariffs!H39</f>
        <v>MLTOUD</v>
      </c>
      <c r="I87" s="1114" t="s">
        <v>761</v>
      </c>
      <c r="J87" s="1114" t="s">
        <v>934</v>
      </c>
      <c r="K87" s="1270"/>
      <c r="L87" s="1233">
        <v>5.3925919999999987</v>
      </c>
      <c r="M87" s="1007"/>
      <c r="N87" s="1007"/>
      <c r="O87" s="1007"/>
      <c r="P87" s="1007"/>
      <c r="Q87" s="1007"/>
      <c r="R87" s="1007"/>
      <c r="S87" s="1007"/>
      <c r="T87" s="1007"/>
      <c r="U87" s="1007"/>
      <c r="V87" s="1007"/>
      <c r="W87" s="1007"/>
      <c r="X87" s="1233">
        <v>0.95646999999999993</v>
      </c>
      <c r="Y87" s="1233">
        <v>0.19129399999999999</v>
      </c>
      <c r="Z87" s="1007"/>
      <c r="AA87" s="1007"/>
      <c r="AB87" s="1007"/>
      <c r="AC87" s="1007"/>
      <c r="AD87" s="1007"/>
      <c r="AE87" s="1007"/>
      <c r="AF87" s="1007"/>
      <c r="AG87" s="1007"/>
      <c r="AH87" s="1007"/>
      <c r="AI87" s="1224">
        <v>7.7007696230930512E-4</v>
      </c>
      <c r="AJ87" s="1005"/>
      <c r="AK87" s="1005"/>
      <c r="AL87" s="1005"/>
      <c r="AM87" s="1005"/>
      <c r="AN87" s="1005"/>
      <c r="AO87" s="1005"/>
      <c r="AP87" s="1005"/>
      <c r="AQ87" s="1005"/>
      <c r="AR87" s="1005"/>
      <c r="AS87" s="1005"/>
      <c r="AT87" s="1005"/>
      <c r="AU87" s="1006"/>
      <c r="AV87" s="1270"/>
      <c r="AW87" s="1480">
        <v>5.3391999999999991</v>
      </c>
      <c r="AX87" s="1006"/>
      <c r="AY87" s="1006"/>
      <c r="AZ87" s="1006"/>
      <c r="BA87" s="1006"/>
      <c r="BB87" s="1006"/>
      <c r="BC87" s="1006"/>
      <c r="BD87" s="1006"/>
      <c r="BE87" s="1006"/>
      <c r="BF87" s="1006"/>
      <c r="BG87" s="1006"/>
      <c r="BH87" s="1006"/>
      <c r="BI87" s="1480">
        <v>0.94699999999999995</v>
      </c>
      <c r="BJ87" s="1480">
        <v>0.18940000000000001</v>
      </c>
      <c r="BK87" s="1006"/>
      <c r="BL87" s="1006"/>
      <c r="BM87" s="1006"/>
      <c r="BN87" s="1006"/>
      <c r="BO87" s="1006"/>
      <c r="BP87" s="1006"/>
      <c r="BQ87" s="1006"/>
      <c r="BR87" s="1006"/>
      <c r="BS87" s="1006"/>
      <c r="BT87" s="1480">
        <v>6.1898319928093575E-4</v>
      </c>
      <c r="BU87" s="1006"/>
      <c r="BV87" s="1006"/>
      <c r="BW87" s="1006"/>
      <c r="BX87" s="1006"/>
      <c r="BY87" s="1006"/>
      <c r="BZ87" s="1006"/>
      <c r="CA87" s="1006"/>
      <c r="CB87" s="1006"/>
      <c r="CC87" s="1006"/>
      <c r="CD87" s="1006"/>
      <c r="CE87" s="1006"/>
      <c r="CF87" s="1006"/>
      <c r="CG87" s="1209"/>
      <c r="CH87" s="1236">
        <v>5.35</v>
      </c>
      <c r="CI87" s="1007"/>
      <c r="CJ87" s="1007"/>
      <c r="CK87" s="1007"/>
      <c r="CL87" s="1007"/>
      <c r="CM87" s="1007"/>
      <c r="CN87" s="1007"/>
      <c r="CO87" s="1007"/>
      <c r="CP87" s="1007"/>
      <c r="CQ87" s="1007"/>
      <c r="CR87" s="1007"/>
      <c r="CS87" s="1007"/>
      <c r="CT87" s="1236">
        <v>13239.12</v>
      </c>
      <c r="CU87" s="1236">
        <v>466.52</v>
      </c>
      <c r="CV87" s="1007"/>
      <c r="CW87" s="1007"/>
      <c r="CX87" s="1007"/>
      <c r="CY87" s="1007"/>
      <c r="CZ87" s="1007"/>
      <c r="DA87" s="1007"/>
      <c r="DB87" s="1007"/>
      <c r="DC87" s="1007"/>
      <c r="DD87" s="1007"/>
      <c r="DE87" s="1236">
        <v>5922411.3570299996</v>
      </c>
      <c r="DF87" s="1007"/>
      <c r="DG87" s="1007"/>
      <c r="DH87" s="1007"/>
      <c r="DI87" s="1006"/>
      <c r="DJ87" s="1006"/>
      <c r="DK87" s="1007"/>
      <c r="DL87" s="1007"/>
      <c r="DM87" s="1007"/>
      <c r="DN87" s="1007"/>
      <c r="DO87" s="1112"/>
      <c r="DP87" s="1112"/>
      <c r="DQ87" s="1270"/>
      <c r="DR87" s="1154">
        <f t="shared" si="258"/>
        <v>10530.384027999997</v>
      </c>
      <c r="DS87" s="1154">
        <f t="shared" si="259"/>
        <v>0</v>
      </c>
      <c r="DT87" s="1154">
        <f t="shared" si="260"/>
        <v>0</v>
      </c>
      <c r="DU87" s="1154">
        <f t="shared" si="261"/>
        <v>0</v>
      </c>
      <c r="DV87" s="1154">
        <f t="shared" si="262"/>
        <v>0</v>
      </c>
      <c r="DW87" s="1154">
        <f t="shared" si="263"/>
        <v>0</v>
      </c>
      <c r="DX87" s="1154">
        <f t="shared" si="264"/>
        <v>0</v>
      </c>
      <c r="DY87" s="1154">
        <f t="shared" si="265"/>
        <v>0</v>
      </c>
      <c r="DZ87" s="1154">
        <f t="shared" si="266"/>
        <v>0</v>
      </c>
      <c r="EA87" s="1154">
        <f t="shared" si="267"/>
        <v>0</v>
      </c>
      <c r="EB87" s="1154">
        <f t="shared" si="268"/>
        <v>0</v>
      </c>
      <c r="EC87" s="1154">
        <f t="shared" si="269"/>
        <v>0</v>
      </c>
      <c r="ED87" s="1154">
        <f t="shared" si="270"/>
        <v>12662.821106400001</v>
      </c>
      <c r="EE87" s="1154">
        <f t="shared" si="271"/>
        <v>89.242476879999998</v>
      </c>
      <c r="EF87" s="1154">
        <f t="shared" si="272"/>
        <v>0</v>
      </c>
      <c r="EG87" s="1154">
        <f t="shared" si="273"/>
        <v>0</v>
      </c>
      <c r="EH87" s="1154">
        <f t="shared" si="274"/>
        <v>0</v>
      </c>
      <c r="EI87" s="1154">
        <f t="shared" si="275"/>
        <v>0</v>
      </c>
      <c r="EJ87" s="1154">
        <f t="shared" si="276"/>
        <v>0</v>
      </c>
      <c r="EK87" s="1154">
        <f t="shared" si="277"/>
        <v>0</v>
      </c>
      <c r="EL87" s="1154">
        <f t="shared" si="278"/>
        <v>0</v>
      </c>
      <c r="EM87" s="1154">
        <f t="shared" si="279"/>
        <v>0</v>
      </c>
      <c r="EN87" s="1154">
        <f t="shared" si="280"/>
        <v>0</v>
      </c>
      <c r="EO87" s="1154">
        <f t="shared" si="281"/>
        <v>4560.7125473677916</v>
      </c>
      <c r="EP87" s="1154">
        <f t="shared" si="282"/>
        <v>0</v>
      </c>
      <c r="EQ87" s="1154">
        <f t="shared" si="283"/>
        <v>0</v>
      </c>
      <c r="ER87" s="1154">
        <f t="shared" si="284"/>
        <v>0</v>
      </c>
      <c r="ES87" s="1154">
        <f t="shared" si="285"/>
        <v>0</v>
      </c>
      <c r="ET87" s="1154">
        <f t="shared" si="286"/>
        <v>0</v>
      </c>
      <c r="EU87" s="1154">
        <f t="shared" si="287"/>
        <v>0</v>
      </c>
      <c r="EV87" s="1154">
        <f t="shared" si="288"/>
        <v>0</v>
      </c>
      <c r="EW87" s="1154">
        <f t="shared" si="289"/>
        <v>0</v>
      </c>
      <c r="EX87" s="1154">
        <f t="shared" si="290"/>
        <v>0</v>
      </c>
      <c r="EY87" s="1154">
        <f t="shared" si="291"/>
        <v>0</v>
      </c>
      <c r="EZ87" s="1154">
        <f t="shared" si="292"/>
        <v>0</v>
      </c>
      <c r="FA87" s="1174">
        <f t="shared" si="293"/>
        <v>27843.160158647792</v>
      </c>
      <c r="FC87" s="1154">
        <f t="shared" si="294"/>
        <v>10426.122799999997</v>
      </c>
      <c r="FD87" s="1154">
        <f t="shared" si="295"/>
        <v>0</v>
      </c>
      <c r="FE87" s="1154">
        <f t="shared" si="296"/>
        <v>0</v>
      </c>
      <c r="FF87" s="1154">
        <f t="shared" si="297"/>
        <v>0</v>
      </c>
      <c r="FG87" s="1154">
        <f t="shared" si="298"/>
        <v>0</v>
      </c>
      <c r="FH87" s="1154">
        <f t="shared" si="299"/>
        <v>0</v>
      </c>
      <c r="FI87" s="1154">
        <f t="shared" si="300"/>
        <v>0</v>
      </c>
      <c r="FJ87" s="1154">
        <f t="shared" si="301"/>
        <v>0</v>
      </c>
      <c r="FK87" s="1154">
        <f t="shared" si="302"/>
        <v>0</v>
      </c>
      <c r="FL87" s="1154">
        <f t="shared" si="303"/>
        <v>0</v>
      </c>
      <c r="FM87" s="1154">
        <f t="shared" si="304"/>
        <v>0</v>
      </c>
      <c r="FN87" s="1154">
        <f t="shared" si="305"/>
        <v>0</v>
      </c>
      <c r="FO87" s="1154">
        <f t="shared" si="306"/>
        <v>12537.44664</v>
      </c>
      <c r="FP87" s="1154">
        <f t="shared" si="307"/>
        <v>88.358888000000007</v>
      </c>
      <c r="FQ87" s="1154">
        <f t="shared" si="308"/>
        <v>0</v>
      </c>
      <c r="FR87" s="1154">
        <f t="shared" si="309"/>
        <v>0</v>
      </c>
      <c r="FS87" s="1154">
        <f t="shared" si="310"/>
        <v>0</v>
      </c>
      <c r="FT87" s="1154">
        <f t="shared" si="311"/>
        <v>0</v>
      </c>
      <c r="FU87" s="1154">
        <f t="shared" si="312"/>
        <v>0</v>
      </c>
      <c r="FV87" s="1154">
        <f t="shared" si="313"/>
        <v>0</v>
      </c>
      <c r="FW87" s="1154">
        <f t="shared" si="314"/>
        <v>0</v>
      </c>
      <c r="FX87" s="1154">
        <f t="shared" si="315"/>
        <v>0</v>
      </c>
      <c r="FY87" s="1154">
        <f t="shared" si="316"/>
        <v>0</v>
      </c>
      <c r="FZ87" s="1154">
        <f t="shared" si="317"/>
        <v>3665.8731292321772</v>
      </c>
      <c r="GA87" s="1154">
        <f t="shared" si="318"/>
        <v>0</v>
      </c>
      <c r="GB87" s="1154">
        <f t="shared" si="319"/>
        <v>0</v>
      </c>
      <c r="GC87" s="1154">
        <f t="shared" si="320"/>
        <v>0</v>
      </c>
      <c r="GD87" s="1154">
        <f t="shared" si="321"/>
        <v>0</v>
      </c>
      <c r="GE87" s="1154">
        <f t="shared" si="322"/>
        <v>0</v>
      </c>
      <c r="GF87" s="1154">
        <f t="shared" si="323"/>
        <v>0</v>
      </c>
      <c r="GG87" s="1154">
        <f t="shared" si="324"/>
        <v>0</v>
      </c>
      <c r="GH87" s="1154">
        <f t="shared" si="325"/>
        <v>0</v>
      </c>
      <c r="GI87" s="1154">
        <f t="shared" si="326"/>
        <v>0</v>
      </c>
      <c r="GJ87" s="1154">
        <f t="shared" si="327"/>
        <v>0</v>
      </c>
      <c r="GK87" s="1154">
        <f t="shared" si="328"/>
        <v>0</v>
      </c>
      <c r="GL87" s="1174">
        <f t="shared" si="213"/>
        <v>26717.801457232177</v>
      </c>
    </row>
    <row r="88" spans="2:194">
      <c r="B88" s="1290" t="str">
        <f t="shared" si="256"/>
        <v>SACDUOSELPLC</v>
      </c>
      <c r="C88" s="1289" t="str">
        <f>Prop2021DUOSTariffs!C40</f>
        <v>East SAC&gt;100MWhpa Business Primary LC</v>
      </c>
      <c r="D88" s="1113" t="str">
        <f>Prop2021DUOSTariffs!D40</f>
        <v>East SAC&gt;100MWhpa Business Primary LC</v>
      </c>
      <c r="E88" s="1113" t="str">
        <f>Prop2021DUOSTariffs!E40</f>
        <v>SAC</v>
      </c>
      <c r="F88" s="1113" t="str">
        <f>Prop2021DUOSTariffs!F40</f>
        <v>SACL</v>
      </c>
      <c r="G88" s="1113" t="str">
        <f>Prop2021DUOSTariffs!G40</f>
        <v>East</v>
      </c>
      <c r="H88" s="1113" t="str">
        <f>Prop2021DUOSTariffs!H40</f>
        <v>ELPLC</v>
      </c>
      <c r="I88" s="1114" t="s">
        <v>798</v>
      </c>
      <c r="J88" s="1114" t="s">
        <v>934</v>
      </c>
      <c r="K88" s="1270"/>
      <c r="L88" s="1233">
        <v>4.1796489000000001</v>
      </c>
      <c r="M88" s="1007"/>
      <c r="N88" s="1007"/>
      <c r="O88" s="1007"/>
      <c r="P88" s="1007"/>
      <c r="Q88" s="1007"/>
      <c r="R88" s="1007"/>
      <c r="S88" s="1007"/>
      <c r="T88" s="1007"/>
      <c r="U88" s="1007"/>
      <c r="V88" s="1007"/>
      <c r="W88" s="1007"/>
      <c r="X88" s="1007"/>
      <c r="Y88" s="1007"/>
      <c r="Z88" s="1007"/>
      <c r="AA88" s="1007"/>
      <c r="AB88" s="1007"/>
      <c r="AC88" s="1007"/>
      <c r="AD88" s="1007"/>
      <c r="AE88" s="1007"/>
      <c r="AF88" s="1007"/>
      <c r="AG88" s="1007"/>
      <c r="AH88" s="1007"/>
      <c r="AI88" s="1224">
        <v>1.2756140745273986E-2</v>
      </c>
      <c r="AJ88" s="1005"/>
      <c r="AK88" s="1005"/>
      <c r="AL88" s="1005"/>
      <c r="AM88" s="1005"/>
      <c r="AN88" s="1005"/>
      <c r="AO88" s="1005"/>
      <c r="AP88" s="1005"/>
      <c r="AQ88" s="1005"/>
      <c r="AR88" s="1005"/>
      <c r="AS88" s="1005"/>
      <c r="AT88" s="1005"/>
      <c r="AU88" s="1006"/>
      <c r="AV88" s="1270"/>
      <c r="AW88" s="1480">
        <v>3.9430650000000003</v>
      </c>
      <c r="AX88" s="1006"/>
      <c r="AY88" s="1006"/>
      <c r="AZ88" s="1006"/>
      <c r="BA88" s="1006"/>
      <c r="BB88" s="1006"/>
      <c r="BC88" s="1006"/>
      <c r="BD88" s="1006"/>
      <c r="BE88" s="1006"/>
      <c r="BF88" s="1006"/>
      <c r="BG88" s="1006"/>
      <c r="BH88" s="1006"/>
      <c r="BI88" s="1006"/>
      <c r="BJ88" s="1006"/>
      <c r="BK88" s="1006"/>
      <c r="BL88" s="1006"/>
      <c r="BM88" s="1006"/>
      <c r="BN88" s="1006"/>
      <c r="BO88" s="1006"/>
      <c r="BP88" s="1006"/>
      <c r="BQ88" s="1006"/>
      <c r="BR88" s="1006"/>
      <c r="BS88" s="1006"/>
      <c r="BT88" s="1480">
        <v>9.9886311700567981E-3</v>
      </c>
      <c r="BU88" s="1006"/>
      <c r="BV88" s="1006"/>
      <c r="BW88" s="1006"/>
      <c r="BX88" s="1006"/>
      <c r="BY88" s="1006"/>
      <c r="BZ88" s="1006"/>
      <c r="CA88" s="1006"/>
      <c r="CB88" s="1006"/>
      <c r="CC88" s="1006"/>
      <c r="CD88" s="1006"/>
      <c r="CE88" s="1006"/>
      <c r="CF88" s="1006"/>
      <c r="CG88" s="1209"/>
      <c r="CH88" s="1236">
        <v>14.787615939123311</v>
      </c>
      <c r="CI88" s="1007"/>
      <c r="CJ88" s="1007"/>
      <c r="CK88" s="1007"/>
      <c r="CL88" s="1007"/>
      <c r="CM88" s="1007"/>
      <c r="CN88" s="1007"/>
      <c r="CO88" s="1007"/>
      <c r="CP88" s="1007"/>
      <c r="CQ88" s="1007"/>
      <c r="CR88" s="1007"/>
      <c r="CS88" s="1007"/>
      <c r="CT88" s="1007"/>
      <c r="CU88" s="1007"/>
      <c r="CV88" s="1007"/>
      <c r="CW88" s="1007"/>
      <c r="CX88" s="1007"/>
      <c r="CY88" s="1007"/>
      <c r="CZ88" s="1007"/>
      <c r="DA88" s="1007"/>
      <c r="DB88" s="1007"/>
      <c r="DC88" s="1007"/>
      <c r="DD88" s="1007"/>
      <c r="DE88" s="1236">
        <v>4729745.6868223539</v>
      </c>
      <c r="DF88" s="1007"/>
      <c r="DG88" s="1007"/>
      <c r="DH88" s="1007"/>
      <c r="DI88" s="1006"/>
      <c r="DJ88" s="1006"/>
      <c r="DK88" s="1007"/>
      <c r="DL88" s="1007"/>
      <c r="DM88" s="1007"/>
      <c r="DN88" s="1007"/>
      <c r="DO88" s="1112"/>
      <c r="DP88" s="1112"/>
      <c r="DQ88" s="1270"/>
      <c r="DR88" s="1154">
        <f t="shared" si="258"/>
        <v>22559.570583156416</v>
      </c>
      <c r="DS88" s="1154">
        <f t="shared" si="259"/>
        <v>0</v>
      </c>
      <c r="DT88" s="1154">
        <f t="shared" si="260"/>
        <v>0</v>
      </c>
      <c r="DU88" s="1154">
        <f t="shared" si="261"/>
        <v>0</v>
      </c>
      <c r="DV88" s="1154">
        <f t="shared" si="262"/>
        <v>0</v>
      </c>
      <c r="DW88" s="1154">
        <f t="shared" si="263"/>
        <v>0</v>
      </c>
      <c r="DX88" s="1154">
        <f t="shared" si="264"/>
        <v>0</v>
      </c>
      <c r="DY88" s="1154">
        <f t="shared" si="265"/>
        <v>0</v>
      </c>
      <c r="DZ88" s="1154">
        <f t="shared" si="266"/>
        <v>0</v>
      </c>
      <c r="EA88" s="1154">
        <f t="shared" si="267"/>
        <v>0</v>
      </c>
      <c r="EB88" s="1154">
        <f t="shared" si="268"/>
        <v>0</v>
      </c>
      <c r="EC88" s="1154">
        <f t="shared" si="269"/>
        <v>0</v>
      </c>
      <c r="ED88" s="1154">
        <f t="shared" si="270"/>
        <v>0</v>
      </c>
      <c r="EE88" s="1154">
        <f t="shared" si="271"/>
        <v>0</v>
      </c>
      <c r="EF88" s="1154">
        <f t="shared" si="272"/>
        <v>0</v>
      </c>
      <c r="EG88" s="1154">
        <f t="shared" si="273"/>
        <v>0</v>
      </c>
      <c r="EH88" s="1154">
        <f t="shared" si="274"/>
        <v>0</v>
      </c>
      <c r="EI88" s="1154">
        <f t="shared" si="275"/>
        <v>0</v>
      </c>
      <c r="EJ88" s="1154">
        <f t="shared" si="276"/>
        <v>0</v>
      </c>
      <c r="EK88" s="1154">
        <f t="shared" si="277"/>
        <v>0</v>
      </c>
      <c r="EL88" s="1154">
        <f t="shared" si="278"/>
        <v>0</v>
      </c>
      <c r="EM88" s="1154">
        <f t="shared" si="279"/>
        <v>0</v>
      </c>
      <c r="EN88" s="1154">
        <f t="shared" si="280"/>
        <v>0</v>
      </c>
      <c r="EO88" s="1154">
        <f t="shared" si="281"/>
        <v>60333.301670458524</v>
      </c>
      <c r="EP88" s="1154">
        <f t="shared" si="282"/>
        <v>0</v>
      </c>
      <c r="EQ88" s="1154">
        <f t="shared" si="283"/>
        <v>0</v>
      </c>
      <c r="ER88" s="1154">
        <f t="shared" si="284"/>
        <v>0</v>
      </c>
      <c r="ES88" s="1154">
        <f t="shared" si="285"/>
        <v>0</v>
      </c>
      <c r="ET88" s="1154">
        <f t="shared" si="286"/>
        <v>0</v>
      </c>
      <c r="EU88" s="1154">
        <f t="shared" si="287"/>
        <v>0</v>
      </c>
      <c r="EV88" s="1154">
        <f t="shared" si="288"/>
        <v>0</v>
      </c>
      <c r="EW88" s="1154">
        <f t="shared" si="289"/>
        <v>0</v>
      </c>
      <c r="EX88" s="1154">
        <f t="shared" si="290"/>
        <v>0</v>
      </c>
      <c r="EY88" s="1154">
        <f t="shared" si="291"/>
        <v>0</v>
      </c>
      <c r="EZ88" s="1154">
        <f t="shared" si="292"/>
        <v>0</v>
      </c>
      <c r="FA88" s="1174">
        <f t="shared" si="293"/>
        <v>82892.872253614943</v>
      </c>
      <c r="FC88" s="1154">
        <f t="shared" si="294"/>
        <v>21282.613757694729</v>
      </c>
      <c r="FD88" s="1154">
        <f t="shared" si="295"/>
        <v>0</v>
      </c>
      <c r="FE88" s="1154">
        <f t="shared" si="296"/>
        <v>0</v>
      </c>
      <c r="FF88" s="1154">
        <f t="shared" si="297"/>
        <v>0</v>
      </c>
      <c r="FG88" s="1154">
        <f t="shared" si="298"/>
        <v>0</v>
      </c>
      <c r="FH88" s="1154">
        <f t="shared" si="299"/>
        <v>0</v>
      </c>
      <c r="FI88" s="1154">
        <f t="shared" si="300"/>
        <v>0</v>
      </c>
      <c r="FJ88" s="1154">
        <f t="shared" si="301"/>
        <v>0</v>
      </c>
      <c r="FK88" s="1154">
        <f t="shared" si="302"/>
        <v>0</v>
      </c>
      <c r="FL88" s="1154">
        <f t="shared" si="303"/>
        <v>0</v>
      </c>
      <c r="FM88" s="1154">
        <f t="shared" si="304"/>
        <v>0</v>
      </c>
      <c r="FN88" s="1154">
        <f t="shared" si="305"/>
        <v>0</v>
      </c>
      <c r="FO88" s="1154">
        <f t="shared" si="306"/>
        <v>0</v>
      </c>
      <c r="FP88" s="1154">
        <f t="shared" si="307"/>
        <v>0</v>
      </c>
      <c r="FQ88" s="1154">
        <f t="shared" si="308"/>
        <v>0</v>
      </c>
      <c r="FR88" s="1154">
        <f t="shared" si="309"/>
        <v>0</v>
      </c>
      <c r="FS88" s="1154">
        <f t="shared" si="310"/>
        <v>0</v>
      </c>
      <c r="FT88" s="1154">
        <f t="shared" si="311"/>
        <v>0</v>
      </c>
      <c r="FU88" s="1154">
        <f t="shared" si="312"/>
        <v>0</v>
      </c>
      <c r="FV88" s="1154">
        <f t="shared" si="313"/>
        <v>0</v>
      </c>
      <c r="FW88" s="1154">
        <f t="shared" si="314"/>
        <v>0</v>
      </c>
      <c r="FX88" s="1154">
        <f t="shared" si="315"/>
        <v>0</v>
      </c>
      <c r="FY88" s="1154">
        <f t="shared" si="316"/>
        <v>0</v>
      </c>
      <c r="FZ88" s="1154">
        <f t="shared" si="317"/>
        <v>47243.685193835459</v>
      </c>
      <c r="GA88" s="1154">
        <f t="shared" si="318"/>
        <v>0</v>
      </c>
      <c r="GB88" s="1154">
        <f t="shared" si="319"/>
        <v>0</v>
      </c>
      <c r="GC88" s="1154">
        <f t="shared" si="320"/>
        <v>0</v>
      </c>
      <c r="GD88" s="1154">
        <f t="shared" si="321"/>
        <v>0</v>
      </c>
      <c r="GE88" s="1154">
        <f t="shared" si="322"/>
        <v>0</v>
      </c>
      <c r="GF88" s="1154">
        <f t="shared" si="323"/>
        <v>0</v>
      </c>
      <c r="GG88" s="1154">
        <f t="shared" si="324"/>
        <v>0</v>
      </c>
      <c r="GH88" s="1154">
        <f t="shared" si="325"/>
        <v>0</v>
      </c>
      <c r="GI88" s="1154">
        <f t="shared" si="326"/>
        <v>0</v>
      </c>
      <c r="GJ88" s="1154">
        <f t="shared" si="327"/>
        <v>0</v>
      </c>
      <c r="GK88" s="1154">
        <f t="shared" si="328"/>
        <v>0</v>
      </c>
      <c r="GL88" s="1174">
        <f t="shared" si="213"/>
        <v>68526.298951530189</v>
      </c>
    </row>
    <row r="89" spans="2:194">
      <c r="B89" s="1290" t="str">
        <f t="shared" si="256"/>
        <v>SACDUOSELPLC</v>
      </c>
      <c r="C89" s="1289" t="str">
        <f>C88</f>
        <v>East SAC&gt;100MWhpa Business Primary LC</v>
      </c>
      <c r="D89" s="1113" t="str">
        <f t="shared" ref="D89" si="330">D88</f>
        <v>East SAC&gt;100MWhpa Business Primary LC</v>
      </c>
      <c r="E89" s="1113" t="str">
        <f t="shared" ref="E89" si="331">E88</f>
        <v>SAC</v>
      </c>
      <c r="F89" s="1113" t="str">
        <f t="shared" ref="F89" si="332">F88</f>
        <v>SACL</v>
      </c>
      <c r="G89" s="1113" t="str">
        <f t="shared" ref="G89" si="333">G88</f>
        <v>East</v>
      </c>
      <c r="H89" s="1113" t="str">
        <f t="shared" ref="H89" si="334">H88</f>
        <v>ELPLC</v>
      </c>
      <c r="I89" s="1114" t="s">
        <v>752</v>
      </c>
      <c r="J89" s="1114" t="s">
        <v>934</v>
      </c>
      <c r="K89" s="1270"/>
      <c r="L89" s="1233">
        <v>5.5176754500000005</v>
      </c>
      <c r="M89" s="1007"/>
      <c r="N89" s="1007"/>
      <c r="O89" s="1007"/>
      <c r="P89" s="1007"/>
      <c r="Q89" s="1007"/>
      <c r="R89" s="1007"/>
      <c r="S89" s="1007"/>
      <c r="T89" s="1007"/>
      <c r="U89" s="1007"/>
      <c r="V89" s="1007"/>
      <c r="W89" s="1007"/>
      <c r="X89" s="1007"/>
      <c r="Y89" s="1007"/>
      <c r="Z89" s="1007"/>
      <c r="AA89" s="1007"/>
      <c r="AB89" s="1007"/>
      <c r="AC89" s="1007"/>
      <c r="AD89" s="1007"/>
      <c r="AE89" s="1007"/>
      <c r="AF89" s="1007"/>
      <c r="AG89" s="1007"/>
      <c r="AH89" s="1007"/>
      <c r="AI89" s="1224">
        <v>1.3580961239131205E-2</v>
      </c>
      <c r="AJ89" s="1005"/>
      <c r="AK89" s="1005"/>
      <c r="AL89" s="1005"/>
      <c r="AM89" s="1005"/>
      <c r="AN89" s="1005"/>
      <c r="AO89" s="1005"/>
      <c r="AP89" s="1005"/>
      <c r="AQ89" s="1005"/>
      <c r="AR89" s="1005"/>
      <c r="AS89" s="1005"/>
      <c r="AT89" s="1005"/>
      <c r="AU89" s="1006"/>
      <c r="AV89" s="1270"/>
      <c r="AW89" s="1480">
        <v>5.4630450000000002</v>
      </c>
      <c r="AX89" s="1006"/>
      <c r="AY89" s="1006"/>
      <c r="AZ89" s="1006"/>
      <c r="BA89" s="1006"/>
      <c r="BB89" s="1006"/>
      <c r="BC89" s="1006"/>
      <c r="BD89" s="1006"/>
      <c r="BE89" s="1006"/>
      <c r="BF89" s="1006"/>
      <c r="BG89" s="1006"/>
      <c r="BH89" s="1006"/>
      <c r="BI89" s="1006"/>
      <c r="BJ89" s="1006"/>
      <c r="BK89" s="1006"/>
      <c r="BL89" s="1006"/>
      <c r="BM89" s="1006"/>
      <c r="BN89" s="1006"/>
      <c r="BO89" s="1006"/>
      <c r="BP89" s="1006"/>
      <c r="BQ89" s="1006"/>
      <c r="BR89" s="1006"/>
      <c r="BS89" s="1006"/>
      <c r="BT89" s="1480">
        <v>1.3226767178995704E-2</v>
      </c>
      <c r="BU89" s="1006"/>
      <c r="BV89" s="1006"/>
      <c r="BW89" s="1006"/>
      <c r="BX89" s="1006"/>
      <c r="BY89" s="1006"/>
      <c r="BZ89" s="1006"/>
      <c r="CA89" s="1006"/>
      <c r="CB89" s="1006"/>
      <c r="CC89" s="1006"/>
      <c r="CD89" s="1006"/>
      <c r="CE89" s="1006"/>
      <c r="CF89" s="1006"/>
      <c r="CG89" s="1209"/>
      <c r="CH89" s="1236">
        <v>9.4773544880129368</v>
      </c>
      <c r="CI89" s="1007"/>
      <c r="CJ89" s="1007"/>
      <c r="CK89" s="1007"/>
      <c r="CL89" s="1007"/>
      <c r="CM89" s="1007"/>
      <c r="CN89" s="1007"/>
      <c r="CO89" s="1007"/>
      <c r="CP89" s="1007"/>
      <c r="CQ89" s="1007"/>
      <c r="CR89" s="1007"/>
      <c r="CS89" s="1007"/>
      <c r="CT89" s="1007"/>
      <c r="CU89" s="1007"/>
      <c r="CV89" s="1007"/>
      <c r="CW89" s="1007"/>
      <c r="CX89" s="1007"/>
      <c r="CY89" s="1007"/>
      <c r="CZ89" s="1007"/>
      <c r="DA89" s="1007"/>
      <c r="DB89" s="1007"/>
      <c r="DC89" s="1007"/>
      <c r="DD89" s="1007"/>
      <c r="DE89" s="1236">
        <v>3031284.8735523182</v>
      </c>
      <c r="DF89" s="1007"/>
      <c r="DG89" s="1007"/>
      <c r="DH89" s="1007"/>
      <c r="DI89" s="1006"/>
      <c r="DJ89" s="1006"/>
      <c r="DK89" s="1007"/>
      <c r="DL89" s="1007"/>
      <c r="DM89" s="1007"/>
      <c r="DN89" s="1007"/>
      <c r="DO89" s="1112"/>
      <c r="DP89" s="1112"/>
      <c r="DQ89" s="1270"/>
      <c r="DR89" s="1154">
        <f t="shared" si="258"/>
        <v>19086.932659151553</v>
      </c>
      <c r="DS89" s="1154">
        <f t="shared" si="259"/>
        <v>0</v>
      </c>
      <c r="DT89" s="1154">
        <f t="shared" si="260"/>
        <v>0</v>
      </c>
      <c r="DU89" s="1154">
        <f t="shared" si="261"/>
        <v>0</v>
      </c>
      <c r="DV89" s="1154">
        <f t="shared" si="262"/>
        <v>0</v>
      </c>
      <c r="DW89" s="1154">
        <f t="shared" si="263"/>
        <v>0</v>
      </c>
      <c r="DX89" s="1154">
        <f t="shared" si="264"/>
        <v>0</v>
      </c>
      <c r="DY89" s="1154">
        <f t="shared" si="265"/>
        <v>0</v>
      </c>
      <c r="DZ89" s="1154">
        <f t="shared" si="266"/>
        <v>0</v>
      </c>
      <c r="EA89" s="1154">
        <f t="shared" si="267"/>
        <v>0</v>
      </c>
      <c r="EB89" s="1154">
        <f t="shared" si="268"/>
        <v>0</v>
      </c>
      <c r="EC89" s="1154">
        <f t="shared" si="269"/>
        <v>0</v>
      </c>
      <c r="ED89" s="1154">
        <f t="shared" si="270"/>
        <v>0</v>
      </c>
      <c r="EE89" s="1154">
        <f t="shared" si="271"/>
        <v>0</v>
      </c>
      <c r="EF89" s="1154">
        <f t="shared" si="272"/>
        <v>0</v>
      </c>
      <c r="EG89" s="1154">
        <f t="shared" si="273"/>
        <v>0</v>
      </c>
      <c r="EH89" s="1154">
        <f t="shared" si="274"/>
        <v>0</v>
      </c>
      <c r="EI89" s="1154">
        <f t="shared" si="275"/>
        <v>0</v>
      </c>
      <c r="EJ89" s="1154">
        <f t="shared" si="276"/>
        <v>0</v>
      </c>
      <c r="EK89" s="1154">
        <f t="shared" si="277"/>
        <v>0</v>
      </c>
      <c r="EL89" s="1154">
        <f t="shared" si="278"/>
        <v>0</v>
      </c>
      <c r="EM89" s="1154">
        <f t="shared" si="279"/>
        <v>0</v>
      </c>
      <c r="EN89" s="1154">
        <f t="shared" si="280"/>
        <v>0</v>
      </c>
      <c r="EO89" s="1154">
        <f t="shared" si="281"/>
        <v>41167.76237247877</v>
      </c>
      <c r="EP89" s="1154">
        <f t="shared" si="282"/>
        <v>0</v>
      </c>
      <c r="EQ89" s="1154">
        <f t="shared" si="283"/>
        <v>0</v>
      </c>
      <c r="ER89" s="1154">
        <f t="shared" si="284"/>
        <v>0</v>
      </c>
      <c r="ES89" s="1154">
        <f t="shared" si="285"/>
        <v>0</v>
      </c>
      <c r="ET89" s="1154">
        <f t="shared" si="286"/>
        <v>0</v>
      </c>
      <c r="EU89" s="1154">
        <f t="shared" si="287"/>
        <v>0</v>
      </c>
      <c r="EV89" s="1154">
        <f t="shared" si="288"/>
        <v>0</v>
      </c>
      <c r="EW89" s="1154">
        <f t="shared" si="289"/>
        <v>0</v>
      </c>
      <c r="EX89" s="1154">
        <f t="shared" si="290"/>
        <v>0</v>
      </c>
      <c r="EY89" s="1154">
        <f t="shared" si="291"/>
        <v>0</v>
      </c>
      <c r="EZ89" s="1154">
        <f t="shared" si="292"/>
        <v>0</v>
      </c>
      <c r="FA89" s="1174">
        <f t="shared" si="293"/>
        <v>60254.695031630326</v>
      </c>
      <c r="FC89" s="1154">
        <f t="shared" si="294"/>
        <v>18897.953127872825</v>
      </c>
      <c r="FD89" s="1154">
        <f t="shared" si="295"/>
        <v>0</v>
      </c>
      <c r="FE89" s="1154">
        <f t="shared" si="296"/>
        <v>0</v>
      </c>
      <c r="FF89" s="1154">
        <f t="shared" si="297"/>
        <v>0</v>
      </c>
      <c r="FG89" s="1154">
        <f t="shared" si="298"/>
        <v>0</v>
      </c>
      <c r="FH89" s="1154">
        <f t="shared" si="299"/>
        <v>0</v>
      </c>
      <c r="FI89" s="1154">
        <f t="shared" si="300"/>
        <v>0</v>
      </c>
      <c r="FJ89" s="1154">
        <f t="shared" si="301"/>
        <v>0</v>
      </c>
      <c r="FK89" s="1154">
        <f t="shared" si="302"/>
        <v>0</v>
      </c>
      <c r="FL89" s="1154">
        <f t="shared" si="303"/>
        <v>0</v>
      </c>
      <c r="FM89" s="1154">
        <f t="shared" si="304"/>
        <v>0</v>
      </c>
      <c r="FN89" s="1154">
        <f t="shared" si="305"/>
        <v>0</v>
      </c>
      <c r="FO89" s="1154">
        <f t="shared" si="306"/>
        <v>0</v>
      </c>
      <c r="FP89" s="1154">
        <f t="shared" si="307"/>
        <v>0</v>
      </c>
      <c r="FQ89" s="1154">
        <f t="shared" si="308"/>
        <v>0</v>
      </c>
      <c r="FR89" s="1154">
        <f t="shared" si="309"/>
        <v>0</v>
      </c>
      <c r="FS89" s="1154">
        <f t="shared" si="310"/>
        <v>0</v>
      </c>
      <c r="FT89" s="1154">
        <f t="shared" si="311"/>
        <v>0</v>
      </c>
      <c r="FU89" s="1154">
        <f t="shared" si="312"/>
        <v>0</v>
      </c>
      <c r="FV89" s="1154">
        <f t="shared" si="313"/>
        <v>0</v>
      </c>
      <c r="FW89" s="1154">
        <f t="shared" si="314"/>
        <v>0</v>
      </c>
      <c r="FX89" s="1154">
        <f t="shared" si="315"/>
        <v>0</v>
      </c>
      <c r="FY89" s="1154">
        <f t="shared" si="316"/>
        <v>0</v>
      </c>
      <c r="FZ89" s="1154">
        <f t="shared" si="317"/>
        <v>40094.099275687942</v>
      </c>
      <c r="GA89" s="1154">
        <f t="shared" si="318"/>
        <v>0</v>
      </c>
      <c r="GB89" s="1154">
        <f t="shared" si="319"/>
        <v>0</v>
      </c>
      <c r="GC89" s="1154">
        <f t="shared" si="320"/>
        <v>0</v>
      </c>
      <c r="GD89" s="1154">
        <f t="shared" si="321"/>
        <v>0</v>
      </c>
      <c r="GE89" s="1154">
        <f t="shared" si="322"/>
        <v>0</v>
      </c>
      <c r="GF89" s="1154">
        <f t="shared" si="323"/>
        <v>0</v>
      </c>
      <c r="GG89" s="1154">
        <f t="shared" si="324"/>
        <v>0</v>
      </c>
      <c r="GH89" s="1154">
        <f t="shared" si="325"/>
        <v>0</v>
      </c>
      <c r="GI89" s="1154">
        <f t="shared" si="326"/>
        <v>0</v>
      </c>
      <c r="GJ89" s="1154">
        <f t="shared" si="327"/>
        <v>0</v>
      </c>
      <c r="GK89" s="1154">
        <f t="shared" si="328"/>
        <v>0</v>
      </c>
      <c r="GL89" s="1174">
        <f t="shared" si="213"/>
        <v>58992.052403560767</v>
      </c>
    </row>
    <row r="90" spans="2:194">
      <c r="B90" s="1290" t="str">
        <f t="shared" si="256"/>
        <v>SACDUOSELPLC</v>
      </c>
      <c r="C90" s="1289" t="str">
        <f t="shared" ref="C90:H90" si="335">C89</f>
        <v>East SAC&gt;100MWhpa Business Primary LC</v>
      </c>
      <c r="D90" s="1113" t="str">
        <f t="shared" si="335"/>
        <v>East SAC&gt;100MWhpa Business Primary LC</v>
      </c>
      <c r="E90" s="1113" t="str">
        <f t="shared" si="335"/>
        <v>SAC</v>
      </c>
      <c r="F90" s="1113" t="str">
        <f t="shared" si="335"/>
        <v>SACL</v>
      </c>
      <c r="G90" s="1113" t="str">
        <f t="shared" si="335"/>
        <v>East</v>
      </c>
      <c r="H90" s="1113" t="str">
        <f t="shared" si="335"/>
        <v>ELPLC</v>
      </c>
      <c r="I90" s="1114" t="s">
        <v>759</v>
      </c>
      <c r="J90" s="1114" t="s">
        <v>934</v>
      </c>
      <c r="K90" s="1270"/>
      <c r="L90" s="1233">
        <v>7.2208920000000001</v>
      </c>
      <c r="M90" s="1007"/>
      <c r="N90" s="1007"/>
      <c r="O90" s="1007"/>
      <c r="P90" s="1007"/>
      <c r="Q90" s="1007"/>
      <c r="R90" s="1007"/>
      <c r="S90" s="1007"/>
      <c r="T90" s="1007"/>
      <c r="U90" s="1007"/>
      <c r="V90" s="1007"/>
      <c r="W90" s="1007"/>
      <c r="X90" s="1007"/>
      <c r="Y90" s="1007"/>
      <c r="Z90" s="1007"/>
      <c r="AA90" s="1007"/>
      <c r="AB90" s="1007"/>
      <c r="AC90" s="1007"/>
      <c r="AD90" s="1007"/>
      <c r="AE90" s="1007"/>
      <c r="AF90" s="1007"/>
      <c r="AG90" s="1007"/>
      <c r="AH90" s="1007"/>
      <c r="AI90" s="1224">
        <v>1.4121324100704864E-2</v>
      </c>
      <c r="AJ90" s="1005"/>
      <c r="AK90" s="1005"/>
      <c r="AL90" s="1005"/>
      <c r="AM90" s="1005"/>
      <c r="AN90" s="1005"/>
      <c r="AO90" s="1005"/>
      <c r="AP90" s="1005"/>
      <c r="AQ90" s="1005"/>
      <c r="AR90" s="1005"/>
      <c r="AS90" s="1005"/>
      <c r="AT90" s="1005"/>
      <c r="AU90" s="1006"/>
      <c r="AV90" s="1270"/>
      <c r="AW90" s="1480">
        <v>7.2208920000000001</v>
      </c>
      <c r="AX90" s="1006"/>
      <c r="AY90" s="1006"/>
      <c r="AZ90" s="1006"/>
      <c r="BA90" s="1006"/>
      <c r="BB90" s="1006"/>
      <c r="BC90" s="1006"/>
      <c r="BD90" s="1006"/>
      <c r="BE90" s="1006"/>
      <c r="BF90" s="1006"/>
      <c r="BG90" s="1006"/>
      <c r="BH90" s="1006"/>
      <c r="BI90" s="1006"/>
      <c r="BJ90" s="1006"/>
      <c r="BK90" s="1006"/>
      <c r="BL90" s="1006"/>
      <c r="BM90" s="1006"/>
      <c r="BN90" s="1006"/>
      <c r="BO90" s="1006"/>
      <c r="BP90" s="1006"/>
      <c r="BQ90" s="1006"/>
      <c r="BR90" s="1006"/>
      <c r="BS90" s="1006"/>
      <c r="BT90" s="1480">
        <v>1.4772535454067301E-2</v>
      </c>
      <c r="BU90" s="1006"/>
      <c r="BV90" s="1006"/>
      <c r="BW90" s="1006"/>
      <c r="BX90" s="1006"/>
      <c r="BY90" s="1006"/>
      <c r="BZ90" s="1006"/>
      <c r="CA90" s="1006"/>
      <c r="CB90" s="1006"/>
      <c r="CC90" s="1006"/>
      <c r="CD90" s="1006"/>
      <c r="CE90" s="1006"/>
      <c r="CF90" s="1006"/>
      <c r="CG90" s="1209"/>
      <c r="CH90" s="1236">
        <v>6.4050295728637492</v>
      </c>
      <c r="CI90" s="1007"/>
      <c r="CJ90" s="1007"/>
      <c r="CK90" s="1007"/>
      <c r="CL90" s="1007"/>
      <c r="CM90" s="1007"/>
      <c r="CN90" s="1007"/>
      <c r="CO90" s="1007"/>
      <c r="CP90" s="1007"/>
      <c r="CQ90" s="1007"/>
      <c r="CR90" s="1007"/>
      <c r="CS90" s="1007"/>
      <c r="CT90" s="1007"/>
      <c r="CU90" s="1007"/>
      <c r="CV90" s="1007"/>
      <c r="CW90" s="1007"/>
      <c r="CX90" s="1007"/>
      <c r="CY90" s="1007"/>
      <c r="CZ90" s="1007"/>
      <c r="DA90" s="1007"/>
      <c r="DB90" s="1007"/>
      <c r="DC90" s="1007"/>
      <c r="DD90" s="1007"/>
      <c r="DE90" s="1236">
        <v>2048616.9725353266</v>
      </c>
      <c r="DF90" s="1007"/>
      <c r="DG90" s="1007"/>
      <c r="DH90" s="1007"/>
      <c r="DI90" s="1006"/>
      <c r="DJ90" s="1006"/>
      <c r="DK90" s="1007"/>
      <c r="DL90" s="1007"/>
      <c r="DM90" s="1007"/>
      <c r="DN90" s="1007"/>
      <c r="DO90" s="1112"/>
      <c r="DP90" s="1112"/>
      <c r="DQ90" s="1270"/>
      <c r="DR90" s="1154">
        <f t="shared" si="258"/>
        <v>16881.259782896173</v>
      </c>
      <c r="DS90" s="1154">
        <f t="shared" si="259"/>
        <v>0</v>
      </c>
      <c r="DT90" s="1154">
        <f t="shared" si="260"/>
        <v>0</v>
      </c>
      <c r="DU90" s="1154">
        <f t="shared" si="261"/>
        <v>0</v>
      </c>
      <c r="DV90" s="1154">
        <f t="shared" si="262"/>
        <v>0</v>
      </c>
      <c r="DW90" s="1154">
        <f t="shared" si="263"/>
        <v>0</v>
      </c>
      <c r="DX90" s="1154">
        <f t="shared" si="264"/>
        <v>0</v>
      </c>
      <c r="DY90" s="1154">
        <f t="shared" si="265"/>
        <v>0</v>
      </c>
      <c r="DZ90" s="1154">
        <f t="shared" si="266"/>
        <v>0</v>
      </c>
      <c r="EA90" s="1154">
        <f t="shared" si="267"/>
        <v>0</v>
      </c>
      <c r="EB90" s="1154">
        <f t="shared" si="268"/>
        <v>0</v>
      </c>
      <c r="EC90" s="1154">
        <f t="shared" si="269"/>
        <v>0</v>
      </c>
      <c r="ED90" s="1154">
        <f t="shared" si="270"/>
        <v>0</v>
      </c>
      <c r="EE90" s="1154">
        <f t="shared" si="271"/>
        <v>0</v>
      </c>
      <c r="EF90" s="1154">
        <f t="shared" si="272"/>
        <v>0</v>
      </c>
      <c r="EG90" s="1154">
        <f t="shared" si="273"/>
        <v>0</v>
      </c>
      <c r="EH90" s="1154">
        <f t="shared" si="274"/>
        <v>0</v>
      </c>
      <c r="EI90" s="1154">
        <f t="shared" si="275"/>
        <v>0</v>
      </c>
      <c r="EJ90" s="1154">
        <f t="shared" si="276"/>
        <v>0</v>
      </c>
      <c r="EK90" s="1154">
        <f t="shared" si="277"/>
        <v>0</v>
      </c>
      <c r="EL90" s="1154">
        <f t="shared" si="278"/>
        <v>0</v>
      </c>
      <c r="EM90" s="1154">
        <f t="shared" si="279"/>
        <v>0</v>
      </c>
      <c r="EN90" s="1154">
        <f t="shared" si="280"/>
        <v>0</v>
      </c>
      <c r="EO90" s="1154">
        <f t="shared" si="281"/>
        <v>28929.184227376143</v>
      </c>
      <c r="EP90" s="1154">
        <f t="shared" si="282"/>
        <v>0</v>
      </c>
      <c r="EQ90" s="1154">
        <f t="shared" si="283"/>
        <v>0</v>
      </c>
      <c r="ER90" s="1154">
        <f t="shared" si="284"/>
        <v>0</v>
      </c>
      <c r="ES90" s="1154">
        <f t="shared" si="285"/>
        <v>0</v>
      </c>
      <c r="ET90" s="1154">
        <f t="shared" si="286"/>
        <v>0</v>
      </c>
      <c r="EU90" s="1154">
        <f t="shared" si="287"/>
        <v>0</v>
      </c>
      <c r="EV90" s="1154">
        <f t="shared" si="288"/>
        <v>0</v>
      </c>
      <c r="EW90" s="1154">
        <f t="shared" si="289"/>
        <v>0</v>
      </c>
      <c r="EX90" s="1154">
        <f t="shared" si="290"/>
        <v>0</v>
      </c>
      <c r="EY90" s="1154">
        <f t="shared" si="291"/>
        <v>0</v>
      </c>
      <c r="EZ90" s="1154">
        <f t="shared" si="292"/>
        <v>0</v>
      </c>
      <c r="FA90" s="1174">
        <f t="shared" si="293"/>
        <v>45810.444010272317</v>
      </c>
      <c r="FC90" s="1154">
        <f t="shared" si="294"/>
        <v>16881.259782896173</v>
      </c>
      <c r="FD90" s="1154">
        <f t="shared" si="295"/>
        <v>0</v>
      </c>
      <c r="FE90" s="1154">
        <f t="shared" si="296"/>
        <v>0</v>
      </c>
      <c r="FF90" s="1154">
        <f t="shared" si="297"/>
        <v>0</v>
      </c>
      <c r="FG90" s="1154">
        <f t="shared" si="298"/>
        <v>0</v>
      </c>
      <c r="FH90" s="1154">
        <f t="shared" si="299"/>
        <v>0</v>
      </c>
      <c r="FI90" s="1154">
        <f t="shared" si="300"/>
        <v>0</v>
      </c>
      <c r="FJ90" s="1154">
        <f t="shared" si="301"/>
        <v>0</v>
      </c>
      <c r="FK90" s="1154">
        <f t="shared" si="302"/>
        <v>0</v>
      </c>
      <c r="FL90" s="1154">
        <f t="shared" si="303"/>
        <v>0</v>
      </c>
      <c r="FM90" s="1154">
        <f t="shared" si="304"/>
        <v>0</v>
      </c>
      <c r="FN90" s="1154">
        <f t="shared" si="305"/>
        <v>0</v>
      </c>
      <c r="FO90" s="1154">
        <f t="shared" si="306"/>
        <v>0</v>
      </c>
      <c r="FP90" s="1154">
        <f t="shared" si="307"/>
        <v>0</v>
      </c>
      <c r="FQ90" s="1154">
        <f t="shared" si="308"/>
        <v>0</v>
      </c>
      <c r="FR90" s="1154">
        <f t="shared" si="309"/>
        <v>0</v>
      </c>
      <c r="FS90" s="1154">
        <f t="shared" si="310"/>
        <v>0</v>
      </c>
      <c r="FT90" s="1154">
        <f t="shared" si="311"/>
        <v>0</v>
      </c>
      <c r="FU90" s="1154">
        <f t="shared" si="312"/>
        <v>0</v>
      </c>
      <c r="FV90" s="1154">
        <f t="shared" si="313"/>
        <v>0</v>
      </c>
      <c r="FW90" s="1154">
        <f t="shared" si="314"/>
        <v>0</v>
      </c>
      <c r="FX90" s="1154">
        <f t="shared" si="315"/>
        <v>0</v>
      </c>
      <c r="FY90" s="1154">
        <f t="shared" si="316"/>
        <v>0</v>
      </c>
      <c r="FZ90" s="1154">
        <f t="shared" si="317"/>
        <v>30263.26685858213</v>
      </c>
      <c r="GA90" s="1154">
        <f t="shared" si="318"/>
        <v>0</v>
      </c>
      <c r="GB90" s="1154">
        <f t="shared" si="319"/>
        <v>0</v>
      </c>
      <c r="GC90" s="1154">
        <f t="shared" si="320"/>
        <v>0</v>
      </c>
      <c r="GD90" s="1154">
        <f t="shared" si="321"/>
        <v>0</v>
      </c>
      <c r="GE90" s="1154">
        <f t="shared" si="322"/>
        <v>0</v>
      </c>
      <c r="GF90" s="1154">
        <f t="shared" si="323"/>
        <v>0</v>
      </c>
      <c r="GG90" s="1154">
        <f t="shared" si="324"/>
        <v>0</v>
      </c>
      <c r="GH90" s="1154">
        <f t="shared" si="325"/>
        <v>0</v>
      </c>
      <c r="GI90" s="1154">
        <f t="shared" si="326"/>
        <v>0</v>
      </c>
      <c r="GJ90" s="1154">
        <f t="shared" si="327"/>
        <v>0</v>
      </c>
      <c r="GK90" s="1154">
        <f t="shared" si="328"/>
        <v>0</v>
      </c>
      <c r="GL90" s="1174">
        <f t="shared" si="213"/>
        <v>47144.526641478304</v>
      </c>
    </row>
    <row r="91" spans="2:194">
      <c r="B91" s="1290" t="str">
        <f t="shared" si="256"/>
        <v>SACDUOSWLPLC</v>
      </c>
      <c r="C91" s="1289" t="str">
        <f>Prop2021DUOSTariffs!C41</f>
        <v>West SAC&gt;100MWhpa Business Primary LC</v>
      </c>
      <c r="D91" s="1113" t="str">
        <f>Prop2021DUOSTariffs!D41</f>
        <v>West SAC&gt;100MWhpa Business Primary LC</v>
      </c>
      <c r="E91" s="1113" t="str">
        <f>Prop2021DUOSTariffs!E41</f>
        <v>SAC</v>
      </c>
      <c r="F91" s="1113" t="str">
        <f>Prop2021DUOSTariffs!F41</f>
        <v>SACL</v>
      </c>
      <c r="G91" s="1113" t="str">
        <f>Prop2021DUOSTariffs!G41</f>
        <v>West</v>
      </c>
      <c r="H91" s="1113" t="str">
        <f>Prop2021DUOSTariffs!H41</f>
        <v>WLPLC</v>
      </c>
      <c r="I91" s="1114" t="s">
        <v>798</v>
      </c>
      <c r="J91" s="1114" t="s">
        <v>934</v>
      </c>
      <c r="K91" s="1270"/>
      <c r="L91" s="1233">
        <v>4.1796489000000001</v>
      </c>
      <c r="M91" s="1007"/>
      <c r="N91" s="1007"/>
      <c r="O91" s="1007"/>
      <c r="P91" s="1007"/>
      <c r="Q91" s="1007"/>
      <c r="R91" s="1007"/>
      <c r="S91" s="1007"/>
      <c r="T91" s="1007"/>
      <c r="U91" s="1007"/>
      <c r="V91" s="1007"/>
      <c r="W91" s="1007"/>
      <c r="X91" s="1007"/>
      <c r="Y91" s="1007"/>
      <c r="Z91" s="1007"/>
      <c r="AA91" s="1007"/>
      <c r="AB91" s="1007"/>
      <c r="AC91" s="1007"/>
      <c r="AD91" s="1007"/>
      <c r="AE91" s="1007"/>
      <c r="AF91" s="1007"/>
      <c r="AG91" s="1007"/>
      <c r="AH91" s="1007"/>
      <c r="AI91" s="1224">
        <v>1.2756140745273986E-2</v>
      </c>
      <c r="AJ91" s="1005"/>
      <c r="AK91" s="1005"/>
      <c r="AL91" s="1005"/>
      <c r="AM91" s="1005"/>
      <c r="AN91" s="1005"/>
      <c r="AO91" s="1005"/>
      <c r="AP91" s="1005"/>
      <c r="AQ91" s="1005"/>
      <c r="AR91" s="1005"/>
      <c r="AS91" s="1005"/>
      <c r="AT91" s="1005"/>
      <c r="AU91" s="1006"/>
      <c r="AV91" s="1270"/>
      <c r="AW91" s="1480">
        <v>3.9430650000000003</v>
      </c>
      <c r="AX91" s="1006"/>
      <c r="AY91" s="1006"/>
      <c r="AZ91" s="1006"/>
      <c r="BA91" s="1006"/>
      <c r="BB91" s="1006"/>
      <c r="BC91" s="1006"/>
      <c r="BD91" s="1006"/>
      <c r="BE91" s="1006"/>
      <c r="BF91" s="1006"/>
      <c r="BG91" s="1006"/>
      <c r="BH91" s="1006"/>
      <c r="BI91" s="1006"/>
      <c r="BJ91" s="1006"/>
      <c r="BK91" s="1006"/>
      <c r="BL91" s="1006"/>
      <c r="BM91" s="1006"/>
      <c r="BN91" s="1006"/>
      <c r="BO91" s="1006"/>
      <c r="BP91" s="1006"/>
      <c r="BQ91" s="1006"/>
      <c r="BR91" s="1006"/>
      <c r="BS91" s="1006"/>
      <c r="BT91" s="1480">
        <v>9.9886311700567981E-3</v>
      </c>
      <c r="BU91" s="1006"/>
      <c r="BV91" s="1006"/>
      <c r="BW91" s="1006"/>
      <c r="BX91" s="1006"/>
      <c r="BY91" s="1006"/>
      <c r="BZ91" s="1006"/>
      <c r="CA91" s="1006"/>
      <c r="CB91" s="1006"/>
      <c r="CC91" s="1006"/>
      <c r="CD91" s="1006"/>
      <c r="CE91" s="1006"/>
      <c r="CF91" s="1006"/>
      <c r="CG91" s="1209"/>
      <c r="CH91" s="1236">
        <v>4.7585682301979899</v>
      </c>
      <c r="CI91" s="1007"/>
      <c r="CJ91" s="1007"/>
      <c r="CK91" s="1007"/>
      <c r="CL91" s="1007"/>
      <c r="CM91" s="1007"/>
      <c r="CN91" s="1007"/>
      <c r="CO91" s="1007"/>
      <c r="CP91" s="1007"/>
      <c r="CQ91" s="1007"/>
      <c r="CR91" s="1007"/>
      <c r="CS91" s="1007"/>
      <c r="CT91" s="1007"/>
      <c r="CU91" s="1007"/>
      <c r="CV91" s="1007"/>
      <c r="CW91" s="1007"/>
      <c r="CX91" s="1007"/>
      <c r="CY91" s="1007"/>
      <c r="CZ91" s="1007"/>
      <c r="DA91" s="1007"/>
      <c r="DB91" s="1007"/>
      <c r="DC91" s="1007"/>
      <c r="DD91" s="1007"/>
      <c r="DE91" s="1236">
        <v>938679.4282257735</v>
      </c>
      <c r="DF91" s="1007"/>
      <c r="DG91" s="1007"/>
      <c r="DH91" s="1007"/>
      <c r="DI91" s="1006"/>
      <c r="DJ91" s="1006"/>
      <c r="DK91" s="1007"/>
      <c r="DL91" s="1007"/>
      <c r="DM91" s="1007"/>
      <c r="DN91" s="1007"/>
      <c r="DO91" s="1112"/>
      <c r="DP91" s="1112"/>
      <c r="DQ91" s="1270"/>
      <c r="DR91" s="1154">
        <f t="shared" si="258"/>
        <v>7259.5377311565217</v>
      </c>
      <c r="DS91" s="1154">
        <f t="shared" si="259"/>
        <v>0</v>
      </c>
      <c r="DT91" s="1154">
        <f t="shared" si="260"/>
        <v>0</v>
      </c>
      <c r="DU91" s="1154">
        <f t="shared" si="261"/>
        <v>0</v>
      </c>
      <c r="DV91" s="1154">
        <f t="shared" si="262"/>
        <v>0</v>
      </c>
      <c r="DW91" s="1154">
        <f t="shared" si="263"/>
        <v>0</v>
      </c>
      <c r="DX91" s="1154">
        <f t="shared" si="264"/>
        <v>0</v>
      </c>
      <c r="DY91" s="1154">
        <f t="shared" si="265"/>
        <v>0</v>
      </c>
      <c r="DZ91" s="1154">
        <f t="shared" si="266"/>
        <v>0</v>
      </c>
      <c r="EA91" s="1154">
        <f t="shared" si="267"/>
        <v>0</v>
      </c>
      <c r="EB91" s="1154">
        <f t="shared" si="268"/>
        <v>0</v>
      </c>
      <c r="EC91" s="1154">
        <f t="shared" si="269"/>
        <v>0</v>
      </c>
      <c r="ED91" s="1154">
        <f t="shared" si="270"/>
        <v>0</v>
      </c>
      <c r="EE91" s="1154">
        <f t="shared" si="271"/>
        <v>0</v>
      </c>
      <c r="EF91" s="1154">
        <f t="shared" si="272"/>
        <v>0</v>
      </c>
      <c r="EG91" s="1154">
        <f t="shared" si="273"/>
        <v>0</v>
      </c>
      <c r="EH91" s="1154">
        <f t="shared" si="274"/>
        <v>0</v>
      </c>
      <c r="EI91" s="1154">
        <f t="shared" si="275"/>
        <v>0</v>
      </c>
      <c r="EJ91" s="1154">
        <f t="shared" si="276"/>
        <v>0</v>
      </c>
      <c r="EK91" s="1154">
        <f t="shared" si="277"/>
        <v>0</v>
      </c>
      <c r="EL91" s="1154">
        <f t="shared" si="278"/>
        <v>0</v>
      </c>
      <c r="EM91" s="1154">
        <f t="shared" si="279"/>
        <v>0</v>
      </c>
      <c r="EN91" s="1154">
        <f t="shared" si="280"/>
        <v>0</v>
      </c>
      <c r="EO91" s="1154">
        <f t="shared" si="281"/>
        <v>11973.926901141278</v>
      </c>
      <c r="EP91" s="1154">
        <f t="shared" si="282"/>
        <v>0</v>
      </c>
      <c r="EQ91" s="1154">
        <f t="shared" si="283"/>
        <v>0</v>
      </c>
      <c r="ER91" s="1154">
        <f t="shared" si="284"/>
        <v>0</v>
      </c>
      <c r="ES91" s="1154">
        <f t="shared" si="285"/>
        <v>0</v>
      </c>
      <c r="ET91" s="1154">
        <f t="shared" si="286"/>
        <v>0</v>
      </c>
      <c r="EU91" s="1154">
        <f t="shared" si="287"/>
        <v>0</v>
      </c>
      <c r="EV91" s="1154">
        <f t="shared" si="288"/>
        <v>0</v>
      </c>
      <c r="EW91" s="1154">
        <f t="shared" si="289"/>
        <v>0</v>
      </c>
      <c r="EX91" s="1154">
        <f t="shared" si="290"/>
        <v>0</v>
      </c>
      <c r="EY91" s="1154">
        <f t="shared" si="291"/>
        <v>0</v>
      </c>
      <c r="EZ91" s="1154">
        <f t="shared" si="292"/>
        <v>0</v>
      </c>
      <c r="FA91" s="1174">
        <f t="shared" si="293"/>
        <v>19233.464632297801</v>
      </c>
      <c r="FC91" s="1154">
        <f t="shared" si="294"/>
        <v>6848.620501091058</v>
      </c>
      <c r="FD91" s="1154">
        <f t="shared" si="295"/>
        <v>0</v>
      </c>
      <c r="FE91" s="1154">
        <f t="shared" si="296"/>
        <v>0</v>
      </c>
      <c r="FF91" s="1154">
        <f t="shared" si="297"/>
        <v>0</v>
      </c>
      <c r="FG91" s="1154">
        <f t="shared" si="298"/>
        <v>0</v>
      </c>
      <c r="FH91" s="1154">
        <f t="shared" si="299"/>
        <v>0</v>
      </c>
      <c r="FI91" s="1154">
        <f t="shared" si="300"/>
        <v>0</v>
      </c>
      <c r="FJ91" s="1154">
        <f t="shared" si="301"/>
        <v>0</v>
      </c>
      <c r="FK91" s="1154">
        <f t="shared" si="302"/>
        <v>0</v>
      </c>
      <c r="FL91" s="1154">
        <f t="shared" si="303"/>
        <v>0</v>
      </c>
      <c r="FM91" s="1154">
        <f t="shared" si="304"/>
        <v>0</v>
      </c>
      <c r="FN91" s="1154">
        <f t="shared" si="305"/>
        <v>0</v>
      </c>
      <c r="FO91" s="1154">
        <f t="shared" si="306"/>
        <v>0</v>
      </c>
      <c r="FP91" s="1154">
        <f t="shared" si="307"/>
        <v>0</v>
      </c>
      <c r="FQ91" s="1154">
        <f t="shared" si="308"/>
        <v>0</v>
      </c>
      <c r="FR91" s="1154">
        <f t="shared" si="309"/>
        <v>0</v>
      </c>
      <c r="FS91" s="1154">
        <f t="shared" si="310"/>
        <v>0</v>
      </c>
      <c r="FT91" s="1154">
        <f t="shared" si="311"/>
        <v>0</v>
      </c>
      <c r="FU91" s="1154">
        <f t="shared" si="312"/>
        <v>0</v>
      </c>
      <c r="FV91" s="1154">
        <f t="shared" si="313"/>
        <v>0</v>
      </c>
      <c r="FW91" s="1154">
        <f t="shared" si="314"/>
        <v>0</v>
      </c>
      <c r="FX91" s="1154">
        <f t="shared" si="315"/>
        <v>0</v>
      </c>
      <c r="FY91" s="1154">
        <f t="shared" si="316"/>
        <v>0</v>
      </c>
      <c r="FZ91" s="1154">
        <f t="shared" si="317"/>
        <v>9376.1225954670535</v>
      </c>
      <c r="GA91" s="1154">
        <f t="shared" si="318"/>
        <v>0</v>
      </c>
      <c r="GB91" s="1154">
        <f t="shared" si="319"/>
        <v>0</v>
      </c>
      <c r="GC91" s="1154">
        <f t="shared" si="320"/>
        <v>0</v>
      </c>
      <c r="GD91" s="1154">
        <f t="shared" si="321"/>
        <v>0</v>
      </c>
      <c r="GE91" s="1154">
        <f t="shared" si="322"/>
        <v>0</v>
      </c>
      <c r="GF91" s="1154">
        <f t="shared" si="323"/>
        <v>0</v>
      </c>
      <c r="GG91" s="1154">
        <f t="shared" si="324"/>
        <v>0</v>
      </c>
      <c r="GH91" s="1154">
        <f t="shared" si="325"/>
        <v>0</v>
      </c>
      <c r="GI91" s="1154">
        <f t="shared" si="326"/>
        <v>0</v>
      </c>
      <c r="GJ91" s="1154">
        <f t="shared" si="327"/>
        <v>0</v>
      </c>
      <c r="GK91" s="1154">
        <f t="shared" si="328"/>
        <v>0</v>
      </c>
      <c r="GL91" s="1174">
        <f t="shared" si="213"/>
        <v>16224.743096558112</v>
      </c>
    </row>
    <row r="92" spans="2:194">
      <c r="B92" s="1290" t="str">
        <f t="shared" si="256"/>
        <v>SACDUOSWLPLC</v>
      </c>
      <c r="C92" s="1289" t="str">
        <f>C91</f>
        <v>West SAC&gt;100MWhpa Business Primary LC</v>
      </c>
      <c r="D92" s="1113" t="str">
        <f t="shared" ref="D92" si="336">D91</f>
        <v>West SAC&gt;100MWhpa Business Primary LC</v>
      </c>
      <c r="E92" s="1113" t="str">
        <f t="shared" ref="E92" si="337">E91</f>
        <v>SAC</v>
      </c>
      <c r="F92" s="1113" t="str">
        <f t="shared" ref="F92" si="338">F91</f>
        <v>SACL</v>
      </c>
      <c r="G92" s="1113" t="str">
        <f t="shared" ref="G92" si="339">G91</f>
        <v>West</v>
      </c>
      <c r="H92" s="1113" t="str">
        <f t="shared" ref="H92" si="340">H91</f>
        <v>WLPLC</v>
      </c>
      <c r="I92" s="1114" t="s">
        <v>752</v>
      </c>
      <c r="J92" s="1114" t="s">
        <v>934</v>
      </c>
      <c r="K92" s="1270"/>
      <c r="L92" s="1233">
        <v>5.5176754500000005</v>
      </c>
      <c r="M92" s="1007"/>
      <c r="N92" s="1007"/>
      <c r="O92" s="1007"/>
      <c r="P92" s="1007"/>
      <c r="Q92" s="1007"/>
      <c r="R92" s="1007"/>
      <c r="S92" s="1007"/>
      <c r="T92" s="1007"/>
      <c r="U92" s="1007"/>
      <c r="V92" s="1007"/>
      <c r="W92" s="1007"/>
      <c r="X92" s="1007"/>
      <c r="Y92" s="1007"/>
      <c r="Z92" s="1007"/>
      <c r="AA92" s="1007"/>
      <c r="AB92" s="1007"/>
      <c r="AC92" s="1007"/>
      <c r="AD92" s="1007"/>
      <c r="AE92" s="1007"/>
      <c r="AF92" s="1007"/>
      <c r="AG92" s="1007"/>
      <c r="AH92" s="1007"/>
      <c r="AI92" s="1224">
        <v>1.3580961239131205E-2</v>
      </c>
      <c r="AJ92" s="1005"/>
      <c r="AK92" s="1005"/>
      <c r="AL92" s="1005"/>
      <c r="AM92" s="1005"/>
      <c r="AN92" s="1005"/>
      <c r="AO92" s="1005"/>
      <c r="AP92" s="1005"/>
      <c r="AQ92" s="1005"/>
      <c r="AR92" s="1005"/>
      <c r="AS92" s="1005"/>
      <c r="AT92" s="1005"/>
      <c r="AU92" s="1006"/>
      <c r="AV92" s="1270"/>
      <c r="AW92" s="1480">
        <v>5.4630450000000002</v>
      </c>
      <c r="AX92" s="1006"/>
      <c r="AY92" s="1006"/>
      <c r="AZ92" s="1006"/>
      <c r="BA92" s="1006"/>
      <c r="BB92" s="1006"/>
      <c r="BC92" s="1006"/>
      <c r="BD92" s="1006"/>
      <c r="BE92" s="1006"/>
      <c r="BF92" s="1006"/>
      <c r="BG92" s="1006"/>
      <c r="BH92" s="1006"/>
      <c r="BI92" s="1006"/>
      <c r="BJ92" s="1006"/>
      <c r="BK92" s="1006"/>
      <c r="BL92" s="1006"/>
      <c r="BM92" s="1006"/>
      <c r="BN92" s="1006"/>
      <c r="BO92" s="1006"/>
      <c r="BP92" s="1006"/>
      <c r="BQ92" s="1006"/>
      <c r="BR92" s="1006"/>
      <c r="BS92" s="1006"/>
      <c r="BT92" s="1480">
        <v>1.3226767178995704E-2</v>
      </c>
      <c r="BU92" s="1006"/>
      <c r="BV92" s="1006"/>
      <c r="BW92" s="1006"/>
      <c r="BX92" s="1006"/>
      <c r="BY92" s="1006"/>
      <c r="BZ92" s="1006"/>
      <c r="CA92" s="1006"/>
      <c r="CB92" s="1006"/>
      <c r="CC92" s="1006"/>
      <c r="CD92" s="1006"/>
      <c r="CE92" s="1006"/>
      <c r="CF92" s="1006"/>
      <c r="CG92" s="1209"/>
      <c r="CH92" s="1236">
        <v>1.2951386264523377</v>
      </c>
      <c r="CI92" s="1007"/>
      <c r="CJ92" s="1007"/>
      <c r="CK92" s="1007"/>
      <c r="CL92" s="1007"/>
      <c r="CM92" s="1007"/>
      <c r="CN92" s="1007"/>
      <c r="CO92" s="1007"/>
      <c r="CP92" s="1007"/>
      <c r="CQ92" s="1007"/>
      <c r="CR92" s="1007"/>
      <c r="CS92" s="1007"/>
      <c r="CT92" s="1007"/>
      <c r="CU92" s="1007"/>
      <c r="CV92" s="1007"/>
      <c r="CW92" s="1007"/>
      <c r="CX92" s="1007"/>
      <c r="CY92" s="1007"/>
      <c r="CZ92" s="1007"/>
      <c r="DA92" s="1007"/>
      <c r="DB92" s="1007"/>
      <c r="DC92" s="1007"/>
      <c r="DD92" s="1007"/>
      <c r="DE92" s="1236">
        <v>255480.20466248758</v>
      </c>
      <c r="DF92" s="1007"/>
      <c r="DG92" s="1007"/>
      <c r="DH92" s="1007"/>
      <c r="DI92" s="1006"/>
      <c r="DJ92" s="1006"/>
      <c r="DK92" s="1007"/>
      <c r="DL92" s="1007"/>
      <c r="DM92" s="1007"/>
      <c r="DN92" s="1007"/>
      <c r="DO92" s="1112"/>
      <c r="DP92" s="1112"/>
      <c r="DQ92" s="1270"/>
      <c r="DR92" s="1154">
        <f t="shared" si="258"/>
        <v>2608.3464302858165</v>
      </c>
      <c r="DS92" s="1154">
        <f t="shared" si="259"/>
        <v>0</v>
      </c>
      <c r="DT92" s="1154">
        <f t="shared" si="260"/>
        <v>0</v>
      </c>
      <c r="DU92" s="1154">
        <f t="shared" si="261"/>
        <v>0</v>
      </c>
      <c r="DV92" s="1154">
        <f t="shared" si="262"/>
        <v>0</v>
      </c>
      <c r="DW92" s="1154">
        <f t="shared" si="263"/>
        <v>0</v>
      </c>
      <c r="DX92" s="1154">
        <f t="shared" si="264"/>
        <v>0</v>
      </c>
      <c r="DY92" s="1154">
        <f t="shared" si="265"/>
        <v>0</v>
      </c>
      <c r="DZ92" s="1154">
        <f t="shared" si="266"/>
        <v>0</v>
      </c>
      <c r="EA92" s="1154">
        <f t="shared" si="267"/>
        <v>0</v>
      </c>
      <c r="EB92" s="1154">
        <f t="shared" si="268"/>
        <v>0</v>
      </c>
      <c r="EC92" s="1154">
        <f t="shared" si="269"/>
        <v>0</v>
      </c>
      <c r="ED92" s="1154">
        <f t="shared" si="270"/>
        <v>0</v>
      </c>
      <c r="EE92" s="1154">
        <f t="shared" si="271"/>
        <v>0</v>
      </c>
      <c r="EF92" s="1154">
        <f t="shared" si="272"/>
        <v>0</v>
      </c>
      <c r="EG92" s="1154">
        <f t="shared" si="273"/>
        <v>0</v>
      </c>
      <c r="EH92" s="1154">
        <f t="shared" si="274"/>
        <v>0</v>
      </c>
      <c r="EI92" s="1154">
        <f t="shared" si="275"/>
        <v>0</v>
      </c>
      <c r="EJ92" s="1154">
        <f t="shared" si="276"/>
        <v>0</v>
      </c>
      <c r="EK92" s="1154">
        <f t="shared" si="277"/>
        <v>0</v>
      </c>
      <c r="EL92" s="1154">
        <f t="shared" si="278"/>
        <v>0</v>
      </c>
      <c r="EM92" s="1154">
        <f t="shared" si="279"/>
        <v>0</v>
      </c>
      <c r="EN92" s="1154">
        <f t="shared" si="280"/>
        <v>0</v>
      </c>
      <c r="EO92" s="1154">
        <f t="shared" si="281"/>
        <v>3469.6667568865514</v>
      </c>
      <c r="EP92" s="1154">
        <f t="shared" si="282"/>
        <v>0</v>
      </c>
      <c r="EQ92" s="1154">
        <f t="shared" si="283"/>
        <v>0</v>
      </c>
      <c r="ER92" s="1154">
        <f t="shared" si="284"/>
        <v>0</v>
      </c>
      <c r="ES92" s="1154">
        <f t="shared" si="285"/>
        <v>0</v>
      </c>
      <c r="ET92" s="1154">
        <f t="shared" si="286"/>
        <v>0</v>
      </c>
      <c r="EU92" s="1154">
        <f t="shared" si="287"/>
        <v>0</v>
      </c>
      <c r="EV92" s="1154">
        <f t="shared" si="288"/>
        <v>0</v>
      </c>
      <c r="EW92" s="1154">
        <f t="shared" si="289"/>
        <v>0</v>
      </c>
      <c r="EX92" s="1154">
        <f t="shared" si="290"/>
        <v>0</v>
      </c>
      <c r="EY92" s="1154">
        <f t="shared" si="291"/>
        <v>0</v>
      </c>
      <c r="EZ92" s="1154">
        <f t="shared" si="292"/>
        <v>0</v>
      </c>
      <c r="FA92" s="1174">
        <f t="shared" si="293"/>
        <v>6078.0131871723679</v>
      </c>
      <c r="FC92" s="1154">
        <f t="shared" si="294"/>
        <v>2582.5212181047686</v>
      </c>
      <c r="FD92" s="1154">
        <f t="shared" si="295"/>
        <v>0</v>
      </c>
      <c r="FE92" s="1154">
        <f t="shared" si="296"/>
        <v>0</v>
      </c>
      <c r="FF92" s="1154">
        <f t="shared" si="297"/>
        <v>0</v>
      </c>
      <c r="FG92" s="1154">
        <f t="shared" si="298"/>
        <v>0</v>
      </c>
      <c r="FH92" s="1154">
        <f t="shared" si="299"/>
        <v>0</v>
      </c>
      <c r="FI92" s="1154">
        <f t="shared" si="300"/>
        <v>0</v>
      </c>
      <c r="FJ92" s="1154">
        <f t="shared" si="301"/>
        <v>0</v>
      </c>
      <c r="FK92" s="1154">
        <f t="shared" si="302"/>
        <v>0</v>
      </c>
      <c r="FL92" s="1154">
        <f t="shared" si="303"/>
        <v>0</v>
      </c>
      <c r="FM92" s="1154">
        <f t="shared" si="304"/>
        <v>0</v>
      </c>
      <c r="FN92" s="1154">
        <f t="shared" si="305"/>
        <v>0</v>
      </c>
      <c r="FO92" s="1154">
        <f t="shared" si="306"/>
        <v>0</v>
      </c>
      <c r="FP92" s="1154">
        <f t="shared" si="307"/>
        <v>0</v>
      </c>
      <c r="FQ92" s="1154">
        <f t="shared" si="308"/>
        <v>0</v>
      </c>
      <c r="FR92" s="1154">
        <f t="shared" si="309"/>
        <v>0</v>
      </c>
      <c r="FS92" s="1154">
        <f t="shared" si="310"/>
        <v>0</v>
      </c>
      <c r="FT92" s="1154">
        <f t="shared" si="311"/>
        <v>0</v>
      </c>
      <c r="FU92" s="1154">
        <f t="shared" si="312"/>
        <v>0</v>
      </c>
      <c r="FV92" s="1154">
        <f t="shared" si="313"/>
        <v>0</v>
      </c>
      <c r="FW92" s="1154">
        <f t="shared" si="314"/>
        <v>0</v>
      </c>
      <c r="FX92" s="1154">
        <f t="shared" si="315"/>
        <v>0</v>
      </c>
      <c r="FY92" s="1154">
        <f t="shared" si="316"/>
        <v>0</v>
      </c>
      <c r="FZ92" s="1154">
        <f t="shared" si="317"/>
        <v>3379.1771859128958</v>
      </c>
      <c r="GA92" s="1154">
        <f t="shared" si="318"/>
        <v>0</v>
      </c>
      <c r="GB92" s="1154">
        <f t="shared" si="319"/>
        <v>0</v>
      </c>
      <c r="GC92" s="1154">
        <f t="shared" si="320"/>
        <v>0</v>
      </c>
      <c r="GD92" s="1154">
        <f t="shared" si="321"/>
        <v>0</v>
      </c>
      <c r="GE92" s="1154">
        <f t="shared" si="322"/>
        <v>0</v>
      </c>
      <c r="GF92" s="1154">
        <f t="shared" si="323"/>
        <v>0</v>
      </c>
      <c r="GG92" s="1154">
        <f t="shared" si="324"/>
        <v>0</v>
      </c>
      <c r="GH92" s="1154">
        <f t="shared" si="325"/>
        <v>0</v>
      </c>
      <c r="GI92" s="1154">
        <f t="shared" si="326"/>
        <v>0</v>
      </c>
      <c r="GJ92" s="1154">
        <f t="shared" si="327"/>
        <v>0</v>
      </c>
      <c r="GK92" s="1154">
        <f t="shared" si="328"/>
        <v>0</v>
      </c>
      <c r="GL92" s="1174">
        <f t="shared" si="213"/>
        <v>5961.6984040176649</v>
      </c>
    </row>
    <row r="93" spans="2:194">
      <c r="B93" s="1290" t="str">
        <f t="shared" si="256"/>
        <v>SACDUOSWLPLC</v>
      </c>
      <c r="C93" s="1289" t="str">
        <f t="shared" ref="C93:H93" si="341">C92</f>
        <v>West SAC&gt;100MWhpa Business Primary LC</v>
      </c>
      <c r="D93" s="1113" t="str">
        <f t="shared" si="341"/>
        <v>West SAC&gt;100MWhpa Business Primary LC</v>
      </c>
      <c r="E93" s="1113" t="str">
        <f t="shared" si="341"/>
        <v>SAC</v>
      </c>
      <c r="F93" s="1113" t="str">
        <f t="shared" si="341"/>
        <v>SACL</v>
      </c>
      <c r="G93" s="1113" t="str">
        <f t="shared" si="341"/>
        <v>West</v>
      </c>
      <c r="H93" s="1113" t="str">
        <f t="shared" si="341"/>
        <v>WLPLC</v>
      </c>
      <c r="I93" s="1114" t="s">
        <v>759</v>
      </c>
      <c r="J93" s="1114" t="s">
        <v>934</v>
      </c>
      <c r="K93" s="1270"/>
      <c r="L93" s="1233">
        <v>7.2208920000000001</v>
      </c>
      <c r="M93" s="1007"/>
      <c r="N93" s="1007"/>
      <c r="O93" s="1007"/>
      <c r="P93" s="1007"/>
      <c r="Q93" s="1007"/>
      <c r="R93" s="1007"/>
      <c r="S93" s="1007"/>
      <c r="T93" s="1007"/>
      <c r="U93" s="1007"/>
      <c r="V93" s="1007"/>
      <c r="W93" s="1007"/>
      <c r="X93" s="1007"/>
      <c r="Y93" s="1007"/>
      <c r="Z93" s="1007"/>
      <c r="AA93" s="1007"/>
      <c r="AB93" s="1007"/>
      <c r="AC93" s="1007"/>
      <c r="AD93" s="1007"/>
      <c r="AE93" s="1007"/>
      <c r="AF93" s="1007"/>
      <c r="AG93" s="1007"/>
      <c r="AH93" s="1007"/>
      <c r="AI93" s="1224">
        <v>1.4121324100704864E-2</v>
      </c>
      <c r="AJ93" s="1005"/>
      <c r="AK93" s="1005"/>
      <c r="AL93" s="1005"/>
      <c r="AM93" s="1005"/>
      <c r="AN93" s="1005"/>
      <c r="AO93" s="1005"/>
      <c r="AP93" s="1005"/>
      <c r="AQ93" s="1005"/>
      <c r="AR93" s="1005"/>
      <c r="AS93" s="1005"/>
      <c r="AT93" s="1005"/>
      <c r="AU93" s="1006"/>
      <c r="AV93" s="1270"/>
      <c r="AW93" s="1480">
        <v>7.2208920000000001</v>
      </c>
      <c r="AX93" s="1006"/>
      <c r="AY93" s="1006"/>
      <c r="AZ93" s="1006"/>
      <c r="BA93" s="1006"/>
      <c r="BB93" s="1006"/>
      <c r="BC93" s="1006"/>
      <c r="BD93" s="1006"/>
      <c r="BE93" s="1006"/>
      <c r="BF93" s="1006"/>
      <c r="BG93" s="1006"/>
      <c r="BH93" s="1006"/>
      <c r="BI93" s="1006"/>
      <c r="BJ93" s="1006"/>
      <c r="BK93" s="1006"/>
      <c r="BL93" s="1006"/>
      <c r="BM93" s="1006"/>
      <c r="BN93" s="1006"/>
      <c r="BO93" s="1006"/>
      <c r="BP93" s="1006"/>
      <c r="BQ93" s="1006"/>
      <c r="BR93" s="1006"/>
      <c r="BS93" s="1006"/>
      <c r="BT93" s="1480">
        <v>1.4772535454067301E-2</v>
      </c>
      <c r="BU93" s="1006"/>
      <c r="BV93" s="1006"/>
      <c r="BW93" s="1006"/>
      <c r="BX93" s="1006"/>
      <c r="BY93" s="1006"/>
      <c r="BZ93" s="1006"/>
      <c r="CA93" s="1006"/>
      <c r="CB93" s="1006"/>
      <c r="CC93" s="1006"/>
      <c r="CD93" s="1006"/>
      <c r="CE93" s="1006"/>
      <c r="CF93" s="1006"/>
      <c r="CG93" s="1209"/>
      <c r="CH93" s="1236">
        <v>0.26629314334967324</v>
      </c>
      <c r="CI93" s="1007"/>
      <c r="CJ93" s="1007"/>
      <c r="CK93" s="1007"/>
      <c r="CL93" s="1007"/>
      <c r="CM93" s="1007"/>
      <c r="CN93" s="1007"/>
      <c r="CO93" s="1007"/>
      <c r="CP93" s="1007"/>
      <c r="CQ93" s="1007"/>
      <c r="CR93" s="1007"/>
      <c r="CS93" s="1007"/>
      <c r="CT93" s="1007"/>
      <c r="CU93" s="1007"/>
      <c r="CV93" s="1007"/>
      <c r="CW93" s="1007"/>
      <c r="CX93" s="1007"/>
      <c r="CY93" s="1007"/>
      <c r="CZ93" s="1007"/>
      <c r="DA93" s="1007"/>
      <c r="DB93" s="1007"/>
      <c r="DC93" s="1007"/>
      <c r="DD93" s="1007"/>
      <c r="DE93" s="1236">
        <v>52529.22380173899</v>
      </c>
      <c r="DF93" s="1007"/>
      <c r="DG93" s="1007"/>
      <c r="DH93" s="1007"/>
      <c r="DI93" s="1006"/>
      <c r="DJ93" s="1006"/>
      <c r="DK93" s="1007"/>
      <c r="DL93" s="1007"/>
      <c r="DM93" s="1007"/>
      <c r="DN93" s="1007"/>
      <c r="DO93" s="1112"/>
      <c r="DP93" s="1112"/>
      <c r="DQ93" s="1270"/>
      <c r="DR93" s="1154">
        <f t="shared" si="258"/>
        <v>701.84902039100575</v>
      </c>
      <c r="DS93" s="1154">
        <f t="shared" si="259"/>
        <v>0</v>
      </c>
      <c r="DT93" s="1154">
        <f t="shared" si="260"/>
        <v>0</v>
      </c>
      <c r="DU93" s="1154">
        <f t="shared" si="261"/>
        <v>0</v>
      </c>
      <c r="DV93" s="1154">
        <f t="shared" si="262"/>
        <v>0</v>
      </c>
      <c r="DW93" s="1154">
        <f t="shared" si="263"/>
        <v>0</v>
      </c>
      <c r="DX93" s="1154">
        <f t="shared" si="264"/>
        <v>0</v>
      </c>
      <c r="DY93" s="1154">
        <f t="shared" si="265"/>
        <v>0</v>
      </c>
      <c r="DZ93" s="1154">
        <f t="shared" si="266"/>
        <v>0</v>
      </c>
      <c r="EA93" s="1154">
        <f t="shared" si="267"/>
        <v>0</v>
      </c>
      <c r="EB93" s="1154">
        <f t="shared" si="268"/>
        <v>0</v>
      </c>
      <c r="EC93" s="1154">
        <f t="shared" si="269"/>
        <v>0</v>
      </c>
      <c r="ED93" s="1154">
        <f t="shared" si="270"/>
        <v>0</v>
      </c>
      <c r="EE93" s="1154">
        <f t="shared" si="271"/>
        <v>0</v>
      </c>
      <c r="EF93" s="1154">
        <f t="shared" si="272"/>
        <v>0</v>
      </c>
      <c r="EG93" s="1154">
        <f t="shared" si="273"/>
        <v>0</v>
      </c>
      <c r="EH93" s="1154">
        <f t="shared" si="274"/>
        <v>0</v>
      </c>
      <c r="EI93" s="1154">
        <f t="shared" si="275"/>
        <v>0</v>
      </c>
      <c r="EJ93" s="1154">
        <f t="shared" si="276"/>
        <v>0</v>
      </c>
      <c r="EK93" s="1154">
        <f t="shared" si="277"/>
        <v>0</v>
      </c>
      <c r="EL93" s="1154">
        <f t="shared" si="278"/>
        <v>0</v>
      </c>
      <c r="EM93" s="1154">
        <f t="shared" si="279"/>
        <v>0</v>
      </c>
      <c r="EN93" s="1154">
        <f t="shared" si="280"/>
        <v>0</v>
      </c>
      <c r="EO93" s="1154">
        <f t="shared" si="281"/>
        <v>741.78219406281642</v>
      </c>
      <c r="EP93" s="1154">
        <f t="shared" si="282"/>
        <v>0</v>
      </c>
      <c r="EQ93" s="1154">
        <f t="shared" si="283"/>
        <v>0</v>
      </c>
      <c r="ER93" s="1154">
        <f t="shared" si="284"/>
        <v>0</v>
      </c>
      <c r="ES93" s="1154">
        <f t="shared" si="285"/>
        <v>0</v>
      </c>
      <c r="ET93" s="1154">
        <f t="shared" si="286"/>
        <v>0</v>
      </c>
      <c r="EU93" s="1154">
        <f t="shared" si="287"/>
        <v>0</v>
      </c>
      <c r="EV93" s="1154">
        <f t="shared" si="288"/>
        <v>0</v>
      </c>
      <c r="EW93" s="1154">
        <f t="shared" si="289"/>
        <v>0</v>
      </c>
      <c r="EX93" s="1154">
        <f t="shared" si="290"/>
        <v>0</v>
      </c>
      <c r="EY93" s="1154">
        <f t="shared" si="291"/>
        <v>0</v>
      </c>
      <c r="EZ93" s="1154">
        <f t="shared" si="292"/>
        <v>0</v>
      </c>
      <c r="FA93" s="1174">
        <f t="shared" si="293"/>
        <v>1443.6312144538222</v>
      </c>
      <c r="FC93" s="1154">
        <f t="shared" si="294"/>
        <v>701.84902039100575</v>
      </c>
      <c r="FD93" s="1154">
        <f t="shared" si="295"/>
        <v>0</v>
      </c>
      <c r="FE93" s="1154">
        <f t="shared" si="296"/>
        <v>0</v>
      </c>
      <c r="FF93" s="1154">
        <f t="shared" si="297"/>
        <v>0</v>
      </c>
      <c r="FG93" s="1154">
        <f t="shared" si="298"/>
        <v>0</v>
      </c>
      <c r="FH93" s="1154">
        <f t="shared" si="299"/>
        <v>0</v>
      </c>
      <c r="FI93" s="1154">
        <f t="shared" si="300"/>
        <v>0</v>
      </c>
      <c r="FJ93" s="1154">
        <f t="shared" si="301"/>
        <v>0</v>
      </c>
      <c r="FK93" s="1154">
        <f t="shared" si="302"/>
        <v>0</v>
      </c>
      <c r="FL93" s="1154">
        <f t="shared" si="303"/>
        <v>0</v>
      </c>
      <c r="FM93" s="1154">
        <f t="shared" si="304"/>
        <v>0</v>
      </c>
      <c r="FN93" s="1154">
        <f t="shared" si="305"/>
        <v>0</v>
      </c>
      <c r="FO93" s="1154">
        <f t="shared" si="306"/>
        <v>0</v>
      </c>
      <c r="FP93" s="1154">
        <f t="shared" si="307"/>
        <v>0</v>
      </c>
      <c r="FQ93" s="1154">
        <f t="shared" si="308"/>
        <v>0</v>
      </c>
      <c r="FR93" s="1154">
        <f t="shared" si="309"/>
        <v>0</v>
      </c>
      <c r="FS93" s="1154">
        <f t="shared" si="310"/>
        <v>0</v>
      </c>
      <c r="FT93" s="1154">
        <f t="shared" si="311"/>
        <v>0</v>
      </c>
      <c r="FU93" s="1154">
        <f t="shared" si="312"/>
        <v>0</v>
      </c>
      <c r="FV93" s="1154">
        <f t="shared" si="313"/>
        <v>0</v>
      </c>
      <c r="FW93" s="1154">
        <f t="shared" si="314"/>
        <v>0</v>
      </c>
      <c r="FX93" s="1154">
        <f t="shared" si="315"/>
        <v>0</v>
      </c>
      <c r="FY93" s="1154">
        <f t="shared" si="316"/>
        <v>0</v>
      </c>
      <c r="FZ93" s="1154">
        <f t="shared" si="317"/>
        <v>775.98982098582519</v>
      </c>
      <c r="GA93" s="1154">
        <f t="shared" si="318"/>
        <v>0</v>
      </c>
      <c r="GB93" s="1154">
        <f t="shared" si="319"/>
        <v>0</v>
      </c>
      <c r="GC93" s="1154">
        <f t="shared" si="320"/>
        <v>0</v>
      </c>
      <c r="GD93" s="1154">
        <f t="shared" si="321"/>
        <v>0</v>
      </c>
      <c r="GE93" s="1154">
        <f t="shared" si="322"/>
        <v>0</v>
      </c>
      <c r="GF93" s="1154">
        <f t="shared" si="323"/>
        <v>0</v>
      </c>
      <c r="GG93" s="1154">
        <f t="shared" si="324"/>
        <v>0</v>
      </c>
      <c r="GH93" s="1154">
        <f t="shared" si="325"/>
        <v>0</v>
      </c>
      <c r="GI93" s="1154">
        <f t="shared" si="326"/>
        <v>0</v>
      </c>
      <c r="GJ93" s="1154">
        <f t="shared" si="327"/>
        <v>0</v>
      </c>
      <c r="GK93" s="1154">
        <f t="shared" si="328"/>
        <v>0</v>
      </c>
      <c r="GL93" s="1174">
        <f t="shared" si="213"/>
        <v>1477.8388413768309</v>
      </c>
    </row>
    <row r="94" spans="2:194">
      <c r="B94" s="1290" t="str">
        <f t="shared" si="256"/>
        <v>SACDUOSMLPLC</v>
      </c>
      <c r="C94" s="1289" t="str">
        <f>Prop2021DUOSTariffs!C42</f>
        <v>MtIsa SAC&gt;100MWhpa Business Primary LC</v>
      </c>
      <c r="D94" s="1113" t="str">
        <f>Prop2021DUOSTariffs!D42</f>
        <v>MtIsa SAC&gt;100MWhpa Business Primary LC</v>
      </c>
      <c r="E94" s="1113" t="str">
        <f>Prop2021DUOSTariffs!E42</f>
        <v>SAC</v>
      </c>
      <c r="F94" s="1113" t="str">
        <f>Prop2021DUOSTariffs!F42</f>
        <v>SACL</v>
      </c>
      <c r="G94" s="1113" t="str">
        <f>Prop2021DUOSTariffs!G42</f>
        <v>Mt Isa</v>
      </c>
      <c r="H94" s="1113" t="str">
        <f>Prop2021DUOSTariffs!H42</f>
        <v>MLPLC</v>
      </c>
      <c r="I94" s="1114" t="s">
        <v>761</v>
      </c>
      <c r="J94" s="1114" t="s">
        <v>934</v>
      </c>
      <c r="K94" s="1270"/>
      <c r="L94" s="1233">
        <v>3.6324044</v>
      </c>
      <c r="M94" s="1007"/>
      <c r="N94" s="1007"/>
      <c r="O94" s="1007"/>
      <c r="P94" s="1007"/>
      <c r="Q94" s="1007"/>
      <c r="R94" s="1007"/>
      <c r="S94" s="1007"/>
      <c r="T94" s="1007"/>
      <c r="U94" s="1007"/>
      <c r="V94" s="1007"/>
      <c r="W94" s="1007"/>
      <c r="X94" s="1007"/>
      <c r="Y94" s="1007"/>
      <c r="Z94" s="1007"/>
      <c r="AA94" s="1007"/>
      <c r="AB94" s="1007"/>
      <c r="AC94" s="1007"/>
      <c r="AD94" s="1007"/>
      <c r="AE94" s="1007"/>
      <c r="AF94" s="1007"/>
      <c r="AG94" s="1007"/>
      <c r="AH94" s="1007"/>
      <c r="AI94" s="1224">
        <v>7.7007696230930512E-4</v>
      </c>
      <c r="AJ94" s="1005"/>
      <c r="AK94" s="1005"/>
      <c r="AL94" s="1005"/>
      <c r="AM94" s="1005"/>
      <c r="AN94" s="1005"/>
      <c r="AO94" s="1005"/>
      <c r="AP94" s="1005"/>
      <c r="AQ94" s="1005"/>
      <c r="AR94" s="1005"/>
      <c r="AS94" s="1005"/>
      <c r="AT94" s="1005"/>
      <c r="AU94" s="1006"/>
      <c r="AV94" s="1270"/>
      <c r="AW94" s="1480">
        <v>3.5964399999999999</v>
      </c>
      <c r="AX94" s="1006"/>
      <c r="AY94" s="1006"/>
      <c r="AZ94" s="1006"/>
      <c r="BA94" s="1006"/>
      <c r="BB94" s="1006"/>
      <c r="BC94" s="1006"/>
      <c r="BD94" s="1006"/>
      <c r="BE94" s="1006"/>
      <c r="BF94" s="1006"/>
      <c r="BG94" s="1006"/>
      <c r="BH94" s="1006"/>
      <c r="BI94" s="1006"/>
      <c r="BJ94" s="1006"/>
      <c r="BK94" s="1006"/>
      <c r="BL94" s="1006"/>
      <c r="BM94" s="1006"/>
      <c r="BN94" s="1006"/>
      <c r="BO94" s="1006"/>
      <c r="BP94" s="1006"/>
      <c r="BQ94" s="1006"/>
      <c r="BR94" s="1006"/>
      <c r="BS94" s="1006"/>
      <c r="BT94" s="1480">
        <v>6.1898319928093575E-4</v>
      </c>
      <c r="BU94" s="1006"/>
      <c r="BV94" s="1006"/>
      <c r="BW94" s="1006"/>
      <c r="BX94" s="1006"/>
      <c r="BY94" s="1006"/>
      <c r="BZ94" s="1006"/>
      <c r="CA94" s="1006"/>
      <c r="CB94" s="1006"/>
      <c r="CC94" s="1006"/>
      <c r="CD94" s="1006"/>
      <c r="CE94" s="1006"/>
      <c r="CF94" s="1006"/>
      <c r="CG94" s="1209"/>
      <c r="CH94" s="1236">
        <v>1.78</v>
      </c>
      <c r="CI94" s="1007"/>
      <c r="CJ94" s="1007"/>
      <c r="CK94" s="1007"/>
      <c r="CL94" s="1007"/>
      <c r="CM94" s="1007"/>
      <c r="CN94" s="1007"/>
      <c r="CO94" s="1007"/>
      <c r="CP94" s="1007"/>
      <c r="CQ94" s="1007"/>
      <c r="CR94" s="1007"/>
      <c r="CS94" s="1007"/>
      <c r="CT94" s="1007"/>
      <c r="CU94" s="1007"/>
      <c r="CV94" s="1007"/>
      <c r="CW94" s="1007"/>
      <c r="CX94" s="1007"/>
      <c r="CY94" s="1007"/>
      <c r="CZ94" s="1007"/>
      <c r="DA94" s="1007"/>
      <c r="DB94" s="1007"/>
      <c r="DC94" s="1007"/>
      <c r="DD94" s="1007"/>
      <c r="DE94" s="1236">
        <v>514735.97720999998</v>
      </c>
      <c r="DF94" s="1007"/>
      <c r="DG94" s="1007"/>
      <c r="DH94" s="1007"/>
      <c r="DI94" s="1006"/>
      <c r="DJ94" s="1006"/>
      <c r="DK94" s="1007"/>
      <c r="DL94" s="1007"/>
      <c r="DM94" s="1007"/>
      <c r="DN94" s="1007"/>
      <c r="DO94" s="1112"/>
      <c r="DP94" s="1112"/>
      <c r="DQ94" s="1270"/>
      <c r="DR94" s="1154">
        <f t="shared" si="258"/>
        <v>2359.9731386799999</v>
      </c>
      <c r="DS94" s="1154">
        <f t="shared" si="259"/>
        <v>0</v>
      </c>
      <c r="DT94" s="1154">
        <f t="shared" si="260"/>
        <v>0</v>
      </c>
      <c r="DU94" s="1154">
        <f t="shared" si="261"/>
        <v>0</v>
      </c>
      <c r="DV94" s="1154">
        <f t="shared" si="262"/>
        <v>0</v>
      </c>
      <c r="DW94" s="1154">
        <f t="shared" si="263"/>
        <v>0</v>
      </c>
      <c r="DX94" s="1154">
        <f t="shared" si="264"/>
        <v>0</v>
      </c>
      <c r="DY94" s="1154">
        <f t="shared" si="265"/>
        <v>0</v>
      </c>
      <c r="DZ94" s="1154">
        <f t="shared" si="266"/>
        <v>0</v>
      </c>
      <c r="EA94" s="1154">
        <f t="shared" si="267"/>
        <v>0</v>
      </c>
      <c r="EB94" s="1154">
        <f t="shared" si="268"/>
        <v>0</v>
      </c>
      <c r="EC94" s="1154">
        <f t="shared" si="269"/>
        <v>0</v>
      </c>
      <c r="ED94" s="1154">
        <f t="shared" si="270"/>
        <v>0</v>
      </c>
      <c r="EE94" s="1154">
        <f t="shared" si="271"/>
        <v>0</v>
      </c>
      <c r="EF94" s="1154">
        <f t="shared" si="272"/>
        <v>0</v>
      </c>
      <c r="EG94" s="1154">
        <f t="shared" si="273"/>
        <v>0</v>
      </c>
      <c r="EH94" s="1154">
        <f t="shared" si="274"/>
        <v>0</v>
      </c>
      <c r="EI94" s="1154">
        <f t="shared" si="275"/>
        <v>0</v>
      </c>
      <c r="EJ94" s="1154">
        <f t="shared" si="276"/>
        <v>0</v>
      </c>
      <c r="EK94" s="1154">
        <f t="shared" si="277"/>
        <v>0</v>
      </c>
      <c r="EL94" s="1154">
        <f t="shared" si="278"/>
        <v>0</v>
      </c>
      <c r="EM94" s="1154">
        <f t="shared" si="279"/>
        <v>0</v>
      </c>
      <c r="EN94" s="1154">
        <f t="shared" si="280"/>
        <v>0</v>
      </c>
      <c r="EO94" s="1154">
        <f t="shared" si="281"/>
        <v>396.3863177211885</v>
      </c>
      <c r="EP94" s="1154">
        <f t="shared" si="282"/>
        <v>0</v>
      </c>
      <c r="EQ94" s="1154">
        <f t="shared" si="283"/>
        <v>0</v>
      </c>
      <c r="ER94" s="1154">
        <f t="shared" si="284"/>
        <v>0</v>
      </c>
      <c r="ES94" s="1154">
        <f t="shared" si="285"/>
        <v>0</v>
      </c>
      <c r="ET94" s="1154">
        <f t="shared" si="286"/>
        <v>0</v>
      </c>
      <c r="EU94" s="1154">
        <f t="shared" si="287"/>
        <v>0</v>
      </c>
      <c r="EV94" s="1154">
        <f t="shared" si="288"/>
        <v>0</v>
      </c>
      <c r="EW94" s="1154">
        <f t="shared" si="289"/>
        <v>0</v>
      </c>
      <c r="EX94" s="1154">
        <f t="shared" si="290"/>
        <v>0</v>
      </c>
      <c r="EY94" s="1154">
        <f t="shared" si="291"/>
        <v>0</v>
      </c>
      <c r="EZ94" s="1154">
        <f t="shared" si="292"/>
        <v>0</v>
      </c>
      <c r="FA94" s="1174">
        <f t="shared" si="293"/>
        <v>2756.3594564011883</v>
      </c>
      <c r="FC94" s="1154">
        <f t="shared" si="294"/>
        <v>2336.6070679999998</v>
      </c>
      <c r="FD94" s="1154">
        <f t="shared" si="295"/>
        <v>0</v>
      </c>
      <c r="FE94" s="1154">
        <f t="shared" si="296"/>
        <v>0</v>
      </c>
      <c r="FF94" s="1154">
        <f t="shared" si="297"/>
        <v>0</v>
      </c>
      <c r="FG94" s="1154">
        <f t="shared" si="298"/>
        <v>0</v>
      </c>
      <c r="FH94" s="1154">
        <f t="shared" si="299"/>
        <v>0</v>
      </c>
      <c r="FI94" s="1154">
        <f t="shared" si="300"/>
        <v>0</v>
      </c>
      <c r="FJ94" s="1154">
        <f t="shared" si="301"/>
        <v>0</v>
      </c>
      <c r="FK94" s="1154">
        <f t="shared" si="302"/>
        <v>0</v>
      </c>
      <c r="FL94" s="1154">
        <f t="shared" si="303"/>
        <v>0</v>
      </c>
      <c r="FM94" s="1154">
        <f t="shared" si="304"/>
        <v>0</v>
      </c>
      <c r="FN94" s="1154">
        <f t="shared" si="305"/>
        <v>0</v>
      </c>
      <c r="FO94" s="1154">
        <f t="shared" si="306"/>
        <v>0</v>
      </c>
      <c r="FP94" s="1154">
        <f t="shared" si="307"/>
        <v>0</v>
      </c>
      <c r="FQ94" s="1154">
        <f t="shared" si="308"/>
        <v>0</v>
      </c>
      <c r="FR94" s="1154">
        <f t="shared" si="309"/>
        <v>0</v>
      </c>
      <c r="FS94" s="1154">
        <f t="shared" si="310"/>
        <v>0</v>
      </c>
      <c r="FT94" s="1154">
        <f t="shared" si="311"/>
        <v>0</v>
      </c>
      <c r="FU94" s="1154">
        <f t="shared" si="312"/>
        <v>0</v>
      </c>
      <c r="FV94" s="1154">
        <f t="shared" si="313"/>
        <v>0</v>
      </c>
      <c r="FW94" s="1154">
        <f t="shared" si="314"/>
        <v>0</v>
      </c>
      <c r="FX94" s="1154">
        <f t="shared" si="315"/>
        <v>0</v>
      </c>
      <c r="FY94" s="1154">
        <f t="shared" si="316"/>
        <v>0</v>
      </c>
      <c r="FZ94" s="1154">
        <f t="shared" si="317"/>
        <v>318.61292195844464</v>
      </c>
      <c r="GA94" s="1154">
        <f t="shared" si="318"/>
        <v>0</v>
      </c>
      <c r="GB94" s="1154">
        <f t="shared" si="319"/>
        <v>0</v>
      </c>
      <c r="GC94" s="1154">
        <f t="shared" si="320"/>
        <v>0</v>
      </c>
      <c r="GD94" s="1154">
        <f t="shared" si="321"/>
        <v>0</v>
      </c>
      <c r="GE94" s="1154">
        <f t="shared" si="322"/>
        <v>0</v>
      </c>
      <c r="GF94" s="1154">
        <f t="shared" si="323"/>
        <v>0</v>
      </c>
      <c r="GG94" s="1154">
        <f t="shared" si="324"/>
        <v>0</v>
      </c>
      <c r="GH94" s="1154">
        <f t="shared" si="325"/>
        <v>0</v>
      </c>
      <c r="GI94" s="1154">
        <f t="shared" si="326"/>
        <v>0</v>
      </c>
      <c r="GJ94" s="1154">
        <f t="shared" si="327"/>
        <v>0</v>
      </c>
      <c r="GK94" s="1154">
        <f t="shared" si="328"/>
        <v>0</v>
      </c>
      <c r="GL94" s="1174">
        <f t="shared" si="213"/>
        <v>2655.2199899584443</v>
      </c>
    </row>
    <row r="95" spans="2:194">
      <c r="B95" s="1290" t="str">
        <f t="shared" si="256"/>
        <v>SACDUOSELSLC</v>
      </c>
      <c r="C95" s="1289" t="str">
        <f>Prop2021DUOSTariffs!C43</f>
        <v>East SAC&gt;100MWhpa Business Secondary LC</v>
      </c>
      <c r="D95" s="1113" t="str">
        <f>Prop2021DUOSTariffs!D43</f>
        <v>East SAC&gt;100MWhpa Business Secondary LC</v>
      </c>
      <c r="E95" s="1113" t="str">
        <f>Prop2021DUOSTariffs!E43</f>
        <v>SAC</v>
      </c>
      <c r="F95" s="1113" t="str">
        <f>Prop2021DUOSTariffs!F43</f>
        <v>SACL</v>
      </c>
      <c r="G95" s="1113" t="str">
        <f>Prop2021DUOSTariffs!G43</f>
        <v>East</v>
      </c>
      <c r="H95" s="1113" t="str">
        <f>Prop2021DUOSTariffs!H43</f>
        <v>ELSLC</v>
      </c>
      <c r="I95" s="1114" t="s">
        <v>798</v>
      </c>
      <c r="J95" s="1114" t="s">
        <v>934</v>
      </c>
      <c r="K95" s="1270"/>
      <c r="L95" s="1112"/>
      <c r="M95" s="1007"/>
      <c r="N95" s="1007"/>
      <c r="O95" s="1007"/>
      <c r="P95" s="1007"/>
      <c r="Q95" s="1007"/>
      <c r="R95" s="1007"/>
      <c r="S95" s="1007"/>
      <c r="T95" s="1007"/>
      <c r="U95" s="1007"/>
      <c r="V95" s="1007"/>
      <c r="W95" s="1007"/>
      <c r="X95" s="1007"/>
      <c r="Y95" s="1007"/>
      <c r="Z95" s="1007"/>
      <c r="AA95" s="1007"/>
      <c r="AB95" s="1007"/>
      <c r="AC95" s="1007"/>
      <c r="AD95" s="1007"/>
      <c r="AE95" s="1007"/>
      <c r="AF95" s="1007"/>
      <c r="AG95" s="1007"/>
      <c r="AH95" s="1007"/>
      <c r="AI95" s="1224">
        <v>1.2756140745273986E-2</v>
      </c>
      <c r="AJ95" s="1005"/>
      <c r="AK95" s="1005"/>
      <c r="AL95" s="1005"/>
      <c r="AM95" s="1005"/>
      <c r="AN95" s="1005"/>
      <c r="AO95" s="1005"/>
      <c r="AP95" s="1005"/>
      <c r="AQ95" s="1005"/>
      <c r="AR95" s="1005"/>
      <c r="AS95" s="1005"/>
      <c r="AT95" s="1005"/>
      <c r="AU95" s="1006"/>
      <c r="AV95" s="1270"/>
      <c r="AW95" s="1006"/>
      <c r="AX95" s="1006"/>
      <c r="AY95" s="1006"/>
      <c r="AZ95" s="1006"/>
      <c r="BA95" s="1006"/>
      <c r="BB95" s="1006"/>
      <c r="BC95" s="1006"/>
      <c r="BD95" s="1006"/>
      <c r="BE95" s="1006"/>
      <c r="BF95" s="1006"/>
      <c r="BG95" s="1006"/>
      <c r="BH95" s="1006"/>
      <c r="BI95" s="1006"/>
      <c r="BJ95" s="1006"/>
      <c r="BK95" s="1006"/>
      <c r="BL95" s="1006"/>
      <c r="BM95" s="1006"/>
      <c r="BN95" s="1006"/>
      <c r="BO95" s="1006"/>
      <c r="BP95" s="1006"/>
      <c r="BQ95" s="1006"/>
      <c r="BR95" s="1006"/>
      <c r="BS95" s="1006"/>
      <c r="BT95" s="1480">
        <v>9.9886311700567981E-3</v>
      </c>
      <c r="BU95" s="1006"/>
      <c r="BV95" s="1006"/>
      <c r="BW95" s="1006"/>
      <c r="BX95" s="1006"/>
      <c r="BY95" s="1006"/>
      <c r="BZ95" s="1006"/>
      <c r="CA95" s="1006"/>
      <c r="CB95" s="1006"/>
      <c r="CC95" s="1006"/>
      <c r="CD95" s="1006"/>
      <c r="CE95" s="1006"/>
      <c r="CF95" s="1006"/>
      <c r="CG95" s="1209"/>
      <c r="CH95" s="1112"/>
      <c r="CI95" s="1007"/>
      <c r="CJ95" s="1007"/>
      <c r="CK95" s="1007"/>
      <c r="CL95" s="1007"/>
      <c r="CM95" s="1007"/>
      <c r="CN95" s="1007"/>
      <c r="CO95" s="1007"/>
      <c r="CP95" s="1007"/>
      <c r="CQ95" s="1007"/>
      <c r="CR95" s="1007"/>
      <c r="CS95" s="1007"/>
      <c r="CT95" s="1007"/>
      <c r="CU95" s="1007"/>
      <c r="CV95" s="1007"/>
      <c r="CW95" s="1007"/>
      <c r="CX95" s="1007"/>
      <c r="CY95" s="1007"/>
      <c r="CZ95" s="1007"/>
      <c r="DA95" s="1007"/>
      <c r="DB95" s="1007"/>
      <c r="DC95" s="1007"/>
      <c r="DD95" s="1007"/>
      <c r="DE95" s="1236">
        <v>3499935.0619425275</v>
      </c>
      <c r="DF95" s="1007"/>
      <c r="DG95" s="1007"/>
      <c r="DH95" s="1007"/>
      <c r="DI95" s="1006"/>
      <c r="DJ95" s="1006"/>
      <c r="DK95" s="1007"/>
      <c r="DL95" s="1007"/>
      <c r="DM95" s="1007"/>
      <c r="DN95" s="1007"/>
      <c r="DO95" s="1112"/>
      <c r="DP95" s="1112"/>
      <c r="DQ95" s="1270"/>
      <c r="DR95" s="1154">
        <f t="shared" si="258"/>
        <v>0</v>
      </c>
      <c r="DS95" s="1154">
        <f t="shared" si="259"/>
        <v>0</v>
      </c>
      <c r="DT95" s="1154">
        <f t="shared" si="260"/>
        <v>0</v>
      </c>
      <c r="DU95" s="1154">
        <f t="shared" si="261"/>
        <v>0</v>
      </c>
      <c r="DV95" s="1154">
        <f t="shared" si="262"/>
        <v>0</v>
      </c>
      <c r="DW95" s="1154">
        <f t="shared" si="263"/>
        <v>0</v>
      </c>
      <c r="DX95" s="1154">
        <f t="shared" si="264"/>
        <v>0</v>
      </c>
      <c r="DY95" s="1154">
        <f t="shared" si="265"/>
        <v>0</v>
      </c>
      <c r="DZ95" s="1154">
        <f t="shared" si="266"/>
        <v>0</v>
      </c>
      <c r="EA95" s="1154">
        <f t="shared" si="267"/>
        <v>0</v>
      </c>
      <c r="EB95" s="1154">
        <f t="shared" si="268"/>
        <v>0</v>
      </c>
      <c r="EC95" s="1154">
        <f t="shared" si="269"/>
        <v>0</v>
      </c>
      <c r="ED95" s="1154">
        <f t="shared" si="270"/>
        <v>0</v>
      </c>
      <c r="EE95" s="1154">
        <f t="shared" si="271"/>
        <v>0</v>
      </c>
      <c r="EF95" s="1154">
        <f t="shared" si="272"/>
        <v>0</v>
      </c>
      <c r="EG95" s="1154">
        <f t="shared" si="273"/>
        <v>0</v>
      </c>
      <c r="EH95" s="1154">
        <f t="shared" si="274"/>
        <v>0</v>
      </c>
      <c r="EI95" s="1154">
        <f t="shared" si="275"/>
        <v>0</v>
      </c>
      <c r="EJ95" s="1154">
        <f t="shared" si="276"/>
        <v>0</v>
      </c>
      <c r="EK95" s="1154">
        <f t="shared" si="277"/>
        <v>0</v>
      </c>
      <c r="EL95" s="1154">
        <f t="shared" si="278"/>
        <v>0</v>
      </c>
      <c r="EM95" s="1154">
        <f t="shared" si="279"/>
        <v>0</v>
      </c>
      <c r="EN95" s="1154">
        <f t="shared" si="280"/>
        <v>0</v>
      </c>
      <c r="EO95" s="1154">
        <f t="shared" si="281"/>
        <v>44645.66424945811</v>
      </c>
      <c r="EP95" s="1154">
        <f t="shared" si="282"/>
        <v>0</v>
      </c>
      <c r="EQ95" s="1154">
        <f t="shared" si="283"/>
        <v>0</v>
      </c>
      <c r="ER95" s="1154">
        <f t="shared" si="284"/>
        <v>0</v>
      </c>
      <c r="ES95" s="1154">
        <f t="shared" si="285"/>
        <v>0</v>
      </c>
      <c r="ET95" s="1154">
        <f t="shared" si="286"/>
        <v>0</v>
      </c>
      <c r="EU95" s="1154">
        <f t="shared" si="287"/>
        <v>0</v>
      </c>
      <c r="EV95" s="1154">
        <f t="shared" si="288"/>
        <v>0</v>
      </c>
      <c r="EW95" s="1154">
        <f t="shared" si="289"/>
        <v>0</v>
      </c>
      <c r="EX95" s="1154">
        <f t="shared" si="290"/>
        <v>0</v>
      </c>
      <c r="EY95" s="1154">
        <f t="shared" si="291"/>
        <v>0</v>
      </c>
      <c r="EZ95" s="1154">
        <f t="shared" si="292"/>
        <v>0</v>
      </c>
      <c r="FA95" s="1174">
        <f t="shared" si="293"/>
        <v>44645.66424945811</v>
      </c>
      <c r="FC95" s="1154">
        <f t="shared" si="294"/>
        <v>0</v>
      </c>
      <c r="FD95" s="1154">
        <f t="shared" si="295"/>
        <v>0</v>
      </c>
      <c r="FE95" s="1154">
        <f t="shared" si="296"/>
        <v>0</v>
      </c>
      <c r="FF95" s="1154">
        <f t="shared" si="297"/>
        <v>0</v>
      </c>
      <c r="FG95" s="1154">
        <f t="shared" si="298"/>
        <v>0</v>
      </c>
      <c r="FH95" s="1154">
        <f t="shared" si="299"/>
        <v>0</v>
      </c>
      <c r="FI95" s="1154">
        <f t="shared" si="300"/>
        <v>0</v>
      </c>
      <c r="FJ95" s="1154">
        <f t="shared" si="301"/>
        <v>0</v>
      </c>
      <c r="FK95" s="1154">
        <f t="shared" si="302"/>
        <v>0</v>
      </c>
      <c r="FL95" s="1154">
        <f t="shared" si="303"/>
        <v>0</v>
      </c>
      <c r="FM95" s="1154">
        <f t="shared" si="304"/>
        <v>0</v>
      </c>
      <c r="FN95" s="1154">
        <f t="shared" si="305"/>
        <v>0</v>
      </c>
      <c r="FO95" s="1154">
        <f t="shared" si="306"/>
        <v>0</v>
      </c>
      <c r="FP95" s="1154">
        <f t="shared" si="307"/>
        <v>0</v>
      </c>
      <c r="FQ95" s="1154">
        <f t="shared" si="308"/>
        <v>0</v>
      </c>
      <c r="FR95" s="1154">
        <f t="shared" si="309"/>
        <v>0</v>
      </c>
      <c r="FS95" s="1154">
        <f t="shared" si="310"/>
        <v>0</v>
      </c>
      <c r="FT95" s="1154">
        <f t="shared" si="311"/>
        <v>0</v>
      </c>
      <c r="FU95" s="1154">
        <f t="shared" si="312"/>
        <v>0</v>
      </c>
      <c r="FV95" s="1154">
        <f t="shared" si="313"/>
        <v>0</v>
      </c>
      <c r="FW95" s="1154">
        <f t="shared" si="314"/>
        <v>0</v>
      </c>
      <c r="FX95" s="1154">
        <f t="shared" si="315"/>
        <v>0</v>
      </c>
      <c r="FY95" s="1154">
        <f t="shared" si="316"/>
        <v>0</v>
      </c>
      <c r="FZ95" s="1154">
        <f t="shared" si="317"/>
        <v>34959.560452893798</v>
      </c>
      <c r="GA95" s="1154">
        <f t="shared" si="318"/>
        <v>0</v>
      </c>
      <c r="GB95" s="1154">
        <f t="shared" si="319"/>
        <v>0</v>
      </c>
      <c r="GC95" s="1154">
        <f t="shared" si="320"/>
        <v>0</v>
      </c>
      <c r="GD95" s="1154">
        <f t="shared" si="321"/>
        <v>0</v>
      </c>
      <c r="GE95" s="1154">
        <f t="shared" si="322"/>
        <v>0</v>
      </c>
      <c r="GF95" s="1154">
        <f t="shared" si="323"/>
        <v>0</v>
      </c>
      <c r="GG95" s="1154">
        <f t="shared" si="324"/>
        <v>0</v>
      </c>
      <c r="GH95" s="1154">
        <f t="shared" si="325"/>
        <v>0</v>
      </c>
      <c r="GI95" s="1154">
        <f t="shared" si="326"/>
        <v>0</v>
      </c>
      <c r="GJ95" s="1154">
        <f t="shared" si="327"/>
        <v>0</v>
      </c>
      <c r="GK95" s="1154">
        <f t="shared" si="328"/>
        <v>0</v>
      </c>
      <c r="GL95" s="1174">
        <f t="shared" si="213"/>
        <v>34959.560452893798</v>
      </c>
    </row>
    <row r="96" spans="2:194">
      <c r="B96" s="1290" t="str">
        <f t="shared" si="256"/>
        <v>SACDUOSELSLC</v>
      </c>
      <c r="C96" s="1289" t="str">
        <f>C95</f>
        <v>East SAC&gt;100MWhpa Business Secondary LC</v>
      </c>
      <c r="D96" s="1113" t="str">
        <f t="shared" ref="D96" si="342">D95</f>
        <v>East SAC&gt;100MWhpa Business Secondary LC</v>
      </c>
      <c r="E96" s="1113" t="str">
        <f t="shared" ref="E96" si="343">E95</f>
        <v>SAC</v>
      </c>
      <c r="F96" s="1113" t="str">
        <f t="shared" ref="F96" si="344">F95</f>
        <v>SACL</v>
      </c>
      <c r="G96" s="1113" t="str">
        <f t="shared" ref="G96" si="345">G95</f>
        <v>East</v>
      </c>
      <c r="H96" s="1113" t="str">
        <f t="shared" ref="H96" si="346">H95</f>
        <v>ELSLC</v>
      </c>
      <c r="I96" s="1114" t="s">
        <v>752</v>
      </c>
      <c r="J96" s="1114" t="s">
        <v>934</v>
      </c>
      <c r="K96" s="1270"/>
      <c r="L96" s="1112"/>
      <c r="M96" s="1007"/>
      <c r="N96" s="1007"/>
      <c r="O96" s="1007"/>
      <c r="P96" s="1007"/>
      <c r="Q96" s="1007"/>
      <c r="R96" s="1007"/>
      <c r="S96" s="1007"/>
      <c r="T96" s="1007"/>
      <c r="U96" s="1007"/>
      <c r="V96" s="1007"/>
      <c r="W96" s="1007"/>
      <c r="X96" s="1007"/>
      <c r="Y96" s="1007"/>
      <c r="Z96" s="1007"/>
      <c r="AA96" s="1007"/>
      <c r="AB96" s="1007"/>
      <c r="AC96" s="1007"/>
      <c r="AD96" s="1007"/>
      <c r="AE96" s="1007"/>
      <c r="AF96" s="1007"/>
      <c r="AG96" s="1007"/>
      <c r="AH96" s="1007"/>
      <c r="AI96" s="1224">
        <v>1.3580961239131205E-2</v>
      </c>
      <c r="AJ96" s="1005"/>
      <c r="AK96" s="1005"/>
      <c r="AL96" s="1005"/>
      <c r="AM96" s="1005"/>
      <c r="AN96" s="1005"/>
      <c r="AO96" s="1005"/>
      <c r="AP96" s="1005"/>
      <c r="AQ96" s="1005"/>
      <c r="AR96" s="1005"/>
      <c r="AS96" s="1005"/>
      <c r="AT96" s="1005"/>
      <c r="AU96" s="1006"/>
      <c r="AV96" s="1270"/>
      <c r="AW96" s="1006"/>
      <c r="AX96" s="1006"/>
      <c r="AY96" s="1006"/>
      <c r="AZ96" s="1006"/>
      <c r="BA96" s="1006"/>
      <c r="BB96" s="1006"/>
      <c r="BC96" s="1006"/>
      <c r="BD96" s="1006"/>
      <c r="BE96" s="1006"/>
      <c r="BF96" s="1006"/>
      <c r="BG96" s="1006"/>
      <c r="BH96" s="1006"/>
      <c r="BI96" s="1006"/>
      <c r="BJ96" s="1006"/>
      <c r="BK96" s="1006"/>
      <c r="BL96" s="1006"/>
      <c r="BM96" s="1006"/>
      <c r="BN96" s="1006"/>
      <c r="BO96" s="1006"/>
      <c r="BP96" s="1006"/>
      <c r="BQ96" s="1006"/>
      <c r="BR96" s="1006"/>
      <c r="BS96" s="1006"/>
      <c r="BT96" s="1480">
        <v>1.3226767178995704E-2</v>
      </c>
      <c r="BU96" s="1006"/>
      <c r="BV96" s="1006"/>
      <c r="BW96" s="1006"/>
      <c r="BX96" s="1006"/>
      <c r="BY96" s="1006"/>
      <c r="BZ96" s="1006"/>
      <c r="CA96" s="1006"/>
      <c r="CB96" s="1006"/>
      <c r="CC96" s="1006"/>
      <c r="CD96" s="1006"/>
      <c r="CE96" s="1006"/>
      <c r="CF96" s="1006"/>
      <c r="CG96" s="1209"/>
      <c r="CH96" s="1112"/>
      <c r="CI96" s="1007"/>
      <c r="CJ96" s="1007"/>
      <c r="CK96" s="1007"/>
      <c r="CL96" s="1007"/>
      <c r="CM96" s="1007"/>
      <c r="CN96" s="1007"/>
      <c r="CO96" s="1007"/>
      <c r="CP96" s="1007"/>
      <c r="CQ96" s="1007"/>
      <c r="CR96" s="1007"/>
      <c r="CS96" s="1007"/>
      <c r="CT96" s="1007"/>
      <c r="CU96" s="1007"/>
      <c r="CV96" s="1007"/>
      <c r="CW96" s="1007"/>
      <c r="CX96" s="1007"/>
      <c r="CY96" s="1007"/>
      <c r="CZ96" s="1007"/>
      <c r="DA96" s="1007"/>
      <c r="DB96" s="1007"/>
      <c r="DC96" s="1007"/>
      <c r="DD96" s="1007"/>
      <c r="DE96" s="1236">
        <v>2243101.6198694534</v>
      </c>
      <c r="DF96" s="1007"/>
      <c r="DG96" s="1007"/>
      <c r="DH96" s="1007"/>
      <c r="DI96" s="1006"/>
      <c r="DJ96" s="1006"/>
      <c r="DK96" s="1007"/>
      <c r="DL96" s="1007"/>
      <c r="DM96" s="1007"/>
      <c r="DN96" s="1007"/>
      <c r="DO96" s="1112"/>
      <c r="DP96" s="1112"/>
      <c r="DQ96" s="1270"/>
      <c r="DR96" s="1154">
        <f t="shared" si="258"/>
        <v>0</v>
      </c>
      <c r="DS96" s="1154">
        <f t="shared" si="259"/>
        <v>0</v>
      </c>
      <c r="DT96" s="1154">
        <f t="shared" si="260"/>
        <v>0</v>
      </c>
      <c r="DU96" s="1154">
        <f t="shared" si="261"/>
        <v>0</v>
      </c>
      <c r="DV96" s="1154">
        <f t="shared" si="262"/>
        <v>0</v>
      </c>
      <c r="DW96" s="1154">
        <f t="shared" si="263"/>
        <v>0</v>
      </c>
      <c r="DX96" s="1154">
        <f t="shared" si="264"/>
        <v>0</v>
      </c>
      <c r="DY96" s="1154">
        <f t="shared" si="265"/>
        <v>0</v>
      </c>
      <c r="DZ96" s="1154">
        <f t="shared" si="266"/>
        <v>0</v>
      </c>
      <c r="EA96" s="1154">
        <f t="shared" si="267"/>
        <v>0</v>
      </c>
      <c r="EB96" s="1154">
        <f t="shared" si="268"/>
        <v>0</v>
      </c>
      <c r="EC96" s="1154">
        <f t="shared" si="269"/>
        <v>0</v>
      </c>
      <c r="ED96" s="1154">
        <f t="shared" si="270"/>
        <v>0</v>
      </c>
      <c r="EE96" s="1154">
        <f t="shared" si="271"/>
        <v>0</v>
      </c>
      <c r="EF96" s="1154">
        <f t="shared" si="272"/>
        <v>0</v>
      </c>
      <c r="EG96" s="1154">
        <f t="shared" si="273"/>
        <v>0</v>
      </c>
      <c r="EH96" s="1154">
        <f t="shared" si="274"/>
        <v>0</v>
      </c>
      <c r="EI96" s="1154">
        <f t="shared" si="275"/>
        <v>0</v>
      </c>
      <c r="EJ96" s="1154">
        <f t="shared" si="276"/>
        <v>0</v>
      </c>
      <c r="EK96" s="1154">
        <f t="shared" si="277"/>
        <v>0</v>
      </c>
      <c r="EL96" s="1154">
        <f t="shared" si="278"/>
        <v>0</v>
      </c>
      <c r="EM96" s="1154">
        <f t="shared" si="279"/>
        <v>0</v>
      </c>
      <c r="EN96" s="1154">
        <f t="shared" si="280"/>
        <v>0</v>
      </c>
      <c r="EO96" s="1154">
        <f t="shared" si="281"/>
        <v>30463.476154879467</v>
      </c>
      <c r="EP96" s="1154">
        <f t="shared" si="282"/>
        <v>0</v>
      </c>
      <c r="EQ96" s="1154">
        <f t="shared" si="283"/>
        <v>0</v>
      </c>
      <c r="ER96" s="1154">
        <f t="shared" si="284"/>
        <v>0</v>
      </c>
      <c r="ES96" s="1154">
        <f t="shared" si="285"/>
        <v>0</v>
      </c>
      <c r="ET96" s="1154">
        <f t="shared" si="286"/>
        <v>0</v>
      </c>
      <c r="EU96" s="1154">
        <f t="shared" si="287"/>
        <v>0</v>
      </c>
      <c r="EV96" s="1154">
        <f t="shared" si="288"/>
        <v>0</v>
      </c>
      <c r="EW96" s="1154">
        <f t="shared" si="289"/>
        <v>0</v>
      </c>
      <c r="EX96" s="1154">
        <f t="shared" si="290"/>
        <v>0</v>
      </c>
      <c r="EY96" s="1154">
        <f t="shared" si="291"/>
        <v>0</v>
      </c>
      <c r="EZ96" s="1154">
        <f t="shared" si="292"/>
        <v>0</v>
      </c>
      <c r="FA96" s="1174">
        <f t="shared" si="293"/>
        <v>30463.476154879467</v>
      </c>
      <c r="FC96" s="1154">
        <f t="shared" si="294"/>
        <v>0</v>
      </c>
      <c r="FD96" s="1154">
        <f t="shared" si="295"/>
        <v>0</v>
      </c>
      <c r="FE96" s="1154">
        <f t="shared" si="296"/>
        <v>0</v>
      </c>
      <c r="FF96" s="1154">
        <f t="shared" si="297"/>
        <v>0</v>
      </c>
      <c r="FG96" s="1154">
        <f t="shared" si="298"/>
        <v>0</v>
      </c>
      <c r="FH96" s="1154">
        <f t="shared" si="299"/>
        <v>0</v>
      </c>
      <c r="FI96" s="1154">
        <f t="shared" si="300"/>
        <v>0</v>
      </c>
      <c r="FJ96" s="1154">
        <f t="shared" si="301"/>
        <v>0</v>
      </c>
      <c r="FK96" s="1154">
        <f t="shared" si="302"/>
        <v>0</v>
      </c>
      <c r="FL96" s="1154">
        <f t="shared" si="303"/>
        <v>0</v>
      </c>
      <c r="FM96" s="1154">
        <f t="shared" si="304"/>
        <v>0</v>
      </c>
      <c r="FN96" s="1154">
        <f t="shared" si="305"/>
        <v>0</v>
      </c>
      <c r="FO96" s="1154">
        <f t="shared" si="306"/>
        <v>0</v>
      </c>
      <c r="FP96" s="1154">
        <f t="shared" si="307"/>
        <v>0</v>
      </c>
      <c r="FQ96" s="1154">
        <f t="shared" si="308"/>
        <v>0</v>
      </c>
      <c r="FR96" s="1154">
        <f t="shared" si="309"/>
        <v>0</v>
      </c>
      <c r="FS96" s="1154">
        <f t="shared" si="310"/>
        <v>0</v>
      </c>
      <c r="FT96" s="1154">
        <f t="shared" si="311"/>
        <v>0</v>
      </c>
      <c r="FU96" s="1154">
        <f t="shared" si="312"/>
        <v>0</v>
      </c>
      <c r="FV96" s="1154">
        <f t="shared" si="313"/>
        <v>0</v>
      </c>
      <c r="FW96" s="1154">
        <f t="shared" si="314"/>
        <v>0</v>
      </c>
      <c r="FX96" s="1154">
        <f t="shared" si="315"/>
        <v>0</v>
      </c>
      <c r="FY96" s="1154">
        <f t="shared" si="316"/>
        <v>0</v>
      </c>
      <c r="FZ96" s="1154">
        <f t="shared" si="317"/>
        <v>29668.982884841385</v>
      </c>
      <c r="GA96" s="1154">
        <f t="shared" si="318"/>
        <v>0</v>
      </c>
      <c r="GB96" s="1154">
        <f t="shared" si="319"/>
        <v>0</v>
      </c>
      <c r="GC96" s="1154">
        <f t="shared" si="320"/>
        <v>0</v>
      </c>
      <c r="GD96" s="1154">
        <f t="shared" si="321"/>
        <v>0</v>
      </c>
      <c r="GE96" s="1154">
        <f t="shared" si="322"/>
        <v>0</v>
      </c>
      <c r="GF96" s="1154">
        <f t="shared" si="323"/>
        <v>0</v>
      </c>
      <c r="GG96" s="1154">
        <f t="shared" si="324"/>
        <v>0</v>
      </c>
      <c r="GH96" s="1154">
        <f t="shared" si="325"/>
        <v>0</v>
      </c>
      <c r="GI96" s="1154">
        <f t="shared" si="326"/>
        <v>0</v>
      </c>
      <c r="GJ96" s="1154">
        <f t="shared" si="327"/>
        <v>0</v>
      </c>
      <c r="GK96" s="1154">
        <f t="shared" si="328"/>
        <v>0</v>
      </c>
      <c r="GL96" s="1174">
        <f t="shared" si="213"/>
        <v>29668.982884841385</v>
      </c>
    </row>
    <row r="97" spans="1:194">
      <c r="B97" s="1290" t="str">
        <f t="shared" si="256"/>
        <v>SACDUOSELSLC</v>
      </c>
      <c r="C97" s="1289" t="str">
        <f t="shared" ref="C97:H97" si="347">C96</f>
        <v>East SAC&gt;100MWhpa Business Secondary LC</v>
      </c>
      <c r="D97" s="1113" t="str">
        <f t="shared" si="347"/>
        <v>East SAC&gt;100MWhpa Business Secondary LC</v>
      </c>
      <c r="E97" s="1113" t="str">
        <f t="shared" si="347"/>
        <v>SAC</v>
      </c>
      <c r="F97" s="1113" t="str">
        <f t="shared" si="347"/>
        <v>SACL</v>
      </c>
      <c r="G97" s="1113" t="str">
        <f t="shared" si="347"/>
        <v>East</v>
      </c>
      <c r="H97" s="1113" t="str">
        <f t="shared" si="347"/>
        <v>ELSLC</v>
      </c>
      <c r="I97" s="1114" t="s">
        <v>759</v>
      </c>
      <c r="J97" s="1114" t="s">
        <v>934</v>
      </c>
      <c r="K97" s="1270"/>
      <c r="L97" s="1112"/>
      <c r="M97" s="1007"/>
      <c r="N97" s="1007"/>
      <c r="O97" s="1007"/>
      <c r="P97" s="1007"/>
      <c r="Q97" s="1007"/>
      <c r="R97" s="1007"/>
      <c r="S97" s="1007"/>
      <c r="T97" s="1007"/>
      <c r="U97" s="1007"/>
      <c r="V97" s="1007"/>
      <c r="W97" s="1007"/>
      <c r="X97" s="1007"/>
      <c r="Y97" s="1007"/>
      <c r="Z97" s="1007"/>
      <c r="AA97" s="1007"/>
      <c r="AB97" s="1007"/>
      <c r="AC97" s="1007"/>
      <c r="AD97" s="1007"/>
      <c r="AE97" s="1007"/>
      <c r="AF97" s="1007"/>
      <c r="AG97" s="1007"/>
      <c r="AH97" s="1007"/>
      <c r="AI97" s="1224">
        <v>1.4121324100704864E-2</v>
      </c>
      <c r="AJ97" s="1005"/>
      <c r="AK97" s="1005"/>
      <c r="AL97" s="1005"/>
      <c r="AM97" s="1005"/>
      <c r="AN97" s="1005"/>
      <c r="AO97" s="1005"/>
      <c r="AP97" s="1005"/>
      <c r="AQ97" s="1005"/>
      <c r="AR97" s="1005"/>
      <c r="AS97" s="1005"/>
      <c r="AT97" s="1005"/>
      <c r="AU97" s="1006"/>
      <c r="AV97" s="1270"/>
      <c r="AW97" s="1006"/>
      <c r="AX97" s="1006"/>
      <c r="AY97" s="1006"/>
      <c r="AZ97" s="1006"/>
      <c r="BA97" s="1006"/>
      <c r="BB97" s="1006"/>
      <c r="BC97" s="1006"/>
      <c r="BD97" s="1006"/>
      <c r="BE97" s="1006"/>
      <c r="BF97" s="1006"/>
      <c r="BG97" s="1006"/>
      <c r="BH97" s="1006"/>
      <c r="BI97" s="1006"/>
      <c r="BJ97" s="1006"/>
      <c r="BK97" s="1006"/>
      <c r="BL97" s="1006"/>
      <c r="BM97" s="1006"/>
      <c r="BN97" s="1006"/>
      <c r="BO97" s="1006"/>
      <c r="BP97" s="1006"/>
      <c r="BQ97" s="1006"/>
      <c r="BR97" s="1006"/>
      <c r="BS97" s="1006"/>
      <c r="BT97" s="1480">
        <v>1.4772535454067301E-2</v>
      </c>
      <c r="BU97" s="1006"/>
      <c r="BV97" s="1006"/>
      <c r="BW97" s="1006"/>
      <c r="BX97" s="1006"/>
      <c r="BY97" s="1006"/>
      <c r="BZ97" s="1006"/>
      <c r="CA97" s="1006"/>
      <c r="CB97" s="1006"/>
      <c r="CC97" s="1006"/>
      <c r="CD97" s="1006"/>
      <c r="CE97" s="1006"/>
      <c r="CF97" s="1006"/>
      <c r="CG97" s="1209"/>
      <c r="CH97" s="1112"/>
      <c r="CI97" s="1007"/>
      <c r="CJ97" s="1007"/>
      <c r="CK97" s="1007"/>
      <c r="CL97" s="1007"/>
      <c r="CM97" s="1007"/>
      <c r="CN97" s="1007"/>
      <c r="CO97" s="1007"/>
      <c r="CP97" s="1007"/>
      <c r="CQ97" s="1007"/>
      <c r="CR97" s="1007"/>
      <c r="CS97" s="1007"/>
      <c r="CT97" s="1007"/>
      <c r="CU97" s="1007"/>
      <c r="CV97" s="1007"/>
      <c r="CW97" s="1007"/>
      <c r="CX97" s="1007"/>
      <c r="CY97" s="1007"/>
      <c r="CZ97" s="1007"/>
      <c r="DA97" s="1007"/>
      <c r="DB97" s="1007"/>
      <c r="DC97" s="1007"/>
      <c r="DD97" s="1007"/>
      <c r="DE97" s="1236">
        <v>1515943.3181880175</v>
      </c>
      <c r="DF97" s="1007"/>
      <c r="DG97" s="1007"/>
      <c r="DH97" s="1007"/>
      <c r="DI97" s="1006"/>
      <c r="DJ97" s="1006"/>
      <c r="DK97" s="1007"/>
      <c r="DL97" s="1007"/>
      <c r="DM97" s="1007"/>
      <c r="DN97" s="1007"/>
      <c r="DO97" s="1112"/>
      <c r="DP97" s="1112"/>
      <c r="DQ97" s="1270"/>
      <c r="DR97" s="1154">
        <f t="shared" si="258"/>
        <v>0</v>
      </c>
      <c r="DS97" s="1154">
        <f t="shared" si="259"/>
        <v>0</v>
      </c>
      <c r="DT97" s="1154">
        <f t="shared" si="260"/>
        <v>0</v>
      </c>
      <c r="DU97" s="1154">
        <f t="shared" si="261"/>
        <v>0</v>
      </c>
      <c r="DV97" s="1154">
        <f t="shared" si="262"/>
        <v>0</v>
      </c>
      <c r="DW97" s="1154">
        <f t="shared" si="263"/>
        <v>0</v>
      </c>
      <c r="DX97" s="1154">
        <f t="shared" si="264"/>
        <v>0</v>
      </c>
      <c r="DY97" s="1154">
        <f t="shared" si="265"/>
        <v>0</v>
      </c>
      <c r="DZ97" s="1154">
        <f t="shared" si="266"/>
        <v>0</v>
      </c>
      <c r="EA97" s="1154">
        <f t="shared" si="267"/>
        <v>0</v>
      </c>
      <c r="EB97" s="1154">
        <f t="shared" si="268"/>
        <v>0</v>
      </c>
      <c r="EC97" s="1154">
        <f t="shared" si="269"/>
        <v>0</v>
      </c>
      <c r="ED97" s="1154">
        <f t="shared" si="270"/>
        <v>0</v>
      </c>
      <c r="EE97" s="1154">
        <f t="shared" si="271"/>
        <v>0</v>
      </c>
      <c r="EF97" s="1154">
        <f t="shared" si="272"/>
        <v>0</v>
      </c>
      <c r="EG97" s="1154">
        <f t="shared" si="273"/>
        <v>0</v>
      </c>
      <c r="EH97" s="1154">
        <f t="shared" si="274"/>
        <v>0</v>
      </c>
      <c r="EI97" s="1154">
        <f t="shared" si="275"/>
        <v>0</v>
      </c>
      <c r="EJ97" s="1154">
        <f t="shared" si="276"/>
        <v>0</v>
      </c>
      <c r="EK97" s="1154">
        <f t="shared" si="277"/>
        <v>0</v>
      </c>
      <c r="EL97" s="1154">
        <f t="shared" si="278"/>
        <v>0</v>
      </c>
      <c r="EM97" s="1154">
        <f t="shared" si="279"/>
        <v>0</v>
      </c>
      <c r="EN97" s="1154">
        <f t="shared" si="280"/>
        <v>0</v>
      </c>
      <c r="EO97" s="1154">
        <f t="shared" si="281"/>
        <v>21407.126914430952</v>
      </c>
      <c r="EP97" s="1154">
        <f t="shared" si="282"/>
        <v>0</v>
      </c>
      <c r="EQ97" s="1154">
        <f t="shared" si="283"/>
        <v>0</v>
      </c>
      <c r="ER97" s="1154">
        <f t="shared" si="284"/>
        <v>0</v>
      </c>
      <c r="ES97" s="1154">
        <f t="shared" si="285"/>
        <v>0</v>
      </c>
      <c r="ET97" s="1154">
        <f t="shared" si="286"/>
        <v>0</v>
      </c>
      <c r="EU97" s="1154">
        <f t="shared" si="287"/>
        <v>0</v>
      </c>
      <c r="EV97" s="1154">
        <f t="shared" si="288"/>
        <v>0</v>
      </c>
      <c r="EW97" s="1154">
        <f t="shared" si="289"/>
        <v>0</v>
      </c>
      <c r="EX97" s="1154">
        <f t="shared" si="290"/>
        <v>0</v>
      </c>
      <c r="EY97" s="1154">
        <f t="shared" si="291"/>
        <v>0</v>
      </c>
      <c r="EZ97" s="1154">
        <f t="shared" si="292"/>
        <v>0</v>
      </c>
      <c r="FA97" s="1174">
        <f t="shared" si="293"/>
        <v>21407.126914430952</v>
      </c>
      <c r="FC97" s="1154">
        <f t="shared" si="294"/>
        <v>0</v>
      </c>
      <c r="FD97" s="1154">
        <f t="shared" si="295"/>
        <v>0</v>
      </c>
      <c r="FE97" s="1154">
        <f t="shared" si="296"/>
        <v>0</v>
      </c>
      <c r="FF97" s="1154">
        <f t="shared" si="297"/>
        <v>0</v>
      </c>
      <c r="FG97" s="1154">
        <f t="shared" si="298"/>
        <v>0</v>
      </c>
      <c r="FH97" s="1154">
        <f t="shared" si="299"/>
        <v>0</v>
      </c>
      <c r="FI97" s="1154">
        <f t="shared" si="300"/>
        <v>0</v>
      </c>
      <c r="FJ97" s="1154">
        <f t="shared" si="301"/>
        <v>0</v>
      </c>
      <c r="FK97" s="1154">
        <f t="shared" si="302"/>
        <v>0</v>
      </c>
      <c r="FL97" s="1154">
        <f t="shared" si="303"/>
        <v>0</v>
      </c>
      <c r="FM97" s="1154">
        <f t="shared" si="304"/>
        <v>0</v>
      </c>
      <c r="FN97" s="1154">
        <f t="shared" si="305"/>
        <v>0</v>
      </c>
      <c r="FO97" s="1154">
        <f t="shared" si="306"/>
        <v>0</v>
      </c>
      <c r="FP97" s="1154">
        <f t="shared" si="307"/>
        <v>0</v>
      </c>
      <c r="FQ97" s="1154">
        <f t="shared" si="308"/>
        <v>0</v>
      </c>
      <c r="FR97" s="1154">
        <f t="shared" si="309"/>
        <v>0</v>
      </c>
      <c r="FS97" s="1154">
        <f t="shared" si="310"/>
        <v>0</v>
      </c>
      <c r="FT97" s="1154">
        <f t="shared" si="311"/>
        <v>0</v>
      </c>
      <c r="FU97" s="1154">
        <f t="shared" si="312"/>
        <v>0</v>
      </c>
      <c r="FV97" s="1154">
        <f t="shared" si="313"/>
        <v>0</v>
      </c>
      <c r="FW97" s="1154">
        <f t="shared" si="314"/>
        <v>0</v>
      </c>
      <c r="FX97" s="1154">
        <f t="shared" si="315"/>
        <v>0</v>
      </c>
      <c r="FY97" s="1154">
        <f t="shared" si="316"/>
        <v>0</v>
      </c>
      <c r="FZ97" s="1154">
        <f t="shared" si="317"/>
        <v>22394.326414288917</v>
      </c>
      <c r="GA97" s="1154">
        <f t="shared" si="318"/>
        <v>0</v>
      </c>
      <c r="GB97" s="1154">
        <f t="shared" si="319"/>
        <v>0</v>
      </c>
      <c r="GC97" s="1154">
        <f t="shared" si="320"/>
        <v>0</v>
      </c>
      <c r="GD97" s="1154">
        <f t="shared" si="321"/>
        <v>0</v>
      </c>
      <c r="GE97" s="1154">
        <f t="shared" si="322"/>
        <v>0</v>
      </c>
      <c r="GF97" s="1154">
        <f t="shared" si="323"/>
        <v>0</v>
      </c>
      <c r="GG97" s="1154">
        <f t="shared" si="324"/>
        <v>0</v>
      </c>
      <c r="GH97" s="1154">
        <f t="shared" si="325"/>
        <v>0</v>
      </c>
      <c r="GI97" s="1154">
        <f t="shared" si="326"/>
        <v>0</v>
      </c>
      <c r="GJ97" s="1154">
        <f t="shared" si="327"/>
        <v>0</v>
      </c>
      <c r="GK97" s="1154">
        <f t="shared" si="328"/>
        <v>0</v>
      </c>
      <c r="GL97" s="1174">
        <f t="shared" si="213"/>
        <v>22394.326414288917</v>
      </c>
    </row>
    <row r="98" spans="1:194">
      <c r="B98" s="1290" t="str">
        <f t="shared" si="256"/>
        <v>SACDUOSWLSLC</v>
      </c>
      <c r="C98" s="1289" t="str">
        <f>Prop2021DUOSTariffs!C44</f>
        <v>West SAC&gt;100MWhpa Business Secondary LC</v>
      </c>
      <c r="D98" s="1113" t="str">
        <f>Prop2021DUOSTariffs!D44</f>
        <v>West SAC&gt;100MWhpa Business Secondary LC</v>
      </c>
      <c r="E98" s="1113" t="str">
        <f>Prop2021DUOSTariffs!E44</f>
        <v>SAC</v>
      </c>
      <c r="F98" s="1113" t="str">
        <f>Prop2021DUOSTariffs!F44</f>
        <v>SACL</v>
      </c>
      <c r="G98" s="1113" t="str">
        <f>Prop2021DUOSTariffs!G44</f>
        <v>West</v>
      </c>
      <c r="H98" s="1113" t="str">
        <f>Prop2021DUOSTariffs!H44</f>
        <v>WLSLC</v>
      </c>
      <c r="I98" s="1114" t="s">
        <v>798</v>
      </c>
      <c r="J98" s="1114" t="s">
        <v>934</v>
      </c>
      <c r="K98" s="1270"/>
      <c r="L98" s="1112"/>
      <c r="M98" s="1007"/>
      <c r="N98" s="1007"/>
      <c r="O98" s="1007"/>
      <c r="P98" s="1007"/>
      <c r="Q98" s="1007"/>
      <c r="R98" s="1007"/>
      <c r="S98" s="1007"/>
      <c r="T98" s="1007"/>
      <c r="U98" s="1007"/>
      <c r="V98" s="1007"/>
      <c r="W98" s="1007"/>
      <c r="X98" s="1007"/>
      <c r="Y98" s="1007"/>
      <c r="Z98" s="1007"/>
      <c r="AA98" s="1007"/>
      <c r="AB98" s="1007"/>
      <c r="AC98" s="1007"/>
      <c r="AD98" s="1007"/>
      <c r="AE98" s="1007"/>
      <c r="AF98" s="1007"/>
      <c r="AG98" s="1007"/>
      <c r="AH98" s="1007"/>
      <c r="AI98" s="1224">
        <v>1.2756140745273986E-2</v>
      </c>
      <c r="AJ98" s="1005"/>
      <c r="AK98" s="1005"/>
      <c r="AL98" s="1005"/>
      <c r="AM98" s="1005"/>
      <c r="AN98" s="1005"/>
      <c r="AO98" s="1005"/>
      <c r="AP98" s="1005"/>
      <c r="AQ98" s="1005"/>
      <c r="AR98" s="1005"/>
      <c r="AS98" s="1005"/>
      <c r="AT98" s="1005"/>
      <c r="AU98" s="1006"/>
      <c r="AV98" s="1270"/>
      <c r="AW98" s="1006"/>
      <c r="AX98" s="1006"/>
      <c r="AY98" s="1006"/>
      <c r="AZ98" s="1006"/>
      <c r="BA98" s="1006"/>
      <c r="BB98" s="1006"/>
      <c r="BC98" s="1006"/>
      <c r="BD98" s="1006"/>
      <c r="BE98" s="1006"/>
      <c r="BF98" s="1006"/>
      <c r="BG98" s="1006"/>
      <c r="BH98" s="1006"/>
      <c r="BI98" s="1006"/>
      <c r="BJ98" s="1006"/>
      <c r="BK98" s="1006"/>
      <c r="BL98" s="1006"/>
      <c r="BM98" s="1006"/>
      <c r="BN98" s="1006"/>
      <c r="BO98" s="1006"/>
      <c r="BP98" s="1006"/>
      <c r="BQ98" s="1006"/>
      <c r="BR98" s="1006"/>
      <c r="BS98" s="1006"/>
      <c r="BT98" s="1480">
        <v>9.9886311700567981E-3</v>
      </c>
      <c r="BU98" s="1006"/>
      <c r="BV98" s="1006"/>
      <c r="BW98" s="1006"/>
      <c r="BX98" s="1006"/>
      <c r="BY98" s="1006"/>
      <c r="BZ98" s="1006"/>
      <c r="CA98" s="1006"/>
      <c r="CB98" s="1006"/>
      <c r="CC98" s="1006"/>
      <c r="CD98" s="1006"/>
      <c r="CE98" s="1006"/>
      <c r="CF98" s="1006"/>
      <c r="CG98" s="1209"/>
      <c r="CH98" s="1112"/>
      <c r="CI98" s="1007"/>
      <c r="CJ98" s="1007"/>
      <c r="CK98" s="1007"/>
      <c r="CL98" s="1007"/>
      <c r="CM98" s="1007"/>
      <c r="CN98" s="1007"/>
      <c r="CO98" s="1007"/>
      <c r="CP98" s="1007"/>
      <c r="CQ98" s="1007"/>
      <c r="CR98" s="1007"/>
      <c r="CS98" s="1007"/>
      <c r="CT98" s="1007"/>
      <c r="CU98" s="1007"/>
      <c r="CV98" s="1007"/>
      <c r="CW98" s="1007"/>
      <c r="CX98" s="1007"/>
      <c r="CY98" s="1007"/>
      <c r="CZ98" s="1007"/>
      <c r="DA98" s="1007"/>
      <c r="DB98" s="1007"/>
      <c r="DC98" s="1007"/>
      <c r="DD98" s="1007"/>
      <c r="DE98" s="1236">
        <v>467834.63701437227</v>
      </c>
      <c r="DF98" s="1007"/>
      <c r="DG98" s="1007"/>
      <c r="DH98" s="1007"/>
      <c r="DI98" s="1006"/>
      <c r="DJ98" s="1006"/>
      <c r="DK98" s="1007"/>
      <c r="DL98" s="1007"/>
      <c r="DM98" s="1007"/>
      <c r="DN98" s="1007"/>
      <c r="DO98" s="1112"/>
      <c r="DP98" s="1112"/>
      <c r="DQ98" s="1270"/>
      <c r="DR98" s="1154">
        <f t="shared" si="258"/>
        <v>0</v>
      </c>
      <c r="DS98" s="1154">
        <f t="shared" si="259"/>
        <v>0</v>
      </c>
      <c r="DT98" s="1154">
        <f t="shared" si="260"/>
        <v>0</v>
      </c>
      <c r="DU98" s="1154">
        <f t="shared" si="261"/>
        <v>0</v>
      </c>
      <c r="DV98" s="1154">
        <f t="shared" si="262"/>
        <v>0</v>
      </c>
      <c r="DW98" s="1154">
        <f t="shared" si="263"/>
        <v>0</v>
      </c>
      <c r="DX98" s="1154">
        <f t="shared" si="264"/>
        <v>0</v>
      </c>
      <c r="DY98" s="1154">
        <f t="shared" si="265"/>
        <v>0</v>
      </c>
      <c r="DZ98" s="1154">
        <f t="shared" si="266"/>
        <v>0</v>
      </c>
      <c r="EA98" s="1154">
        <f t="shared" si="267"/>
        <v>0</v>
      </c>
      <c r="EB98" s="1154">
        <f t="shared" si="268"/>
        <v>0</v>
      </c>
      <c r="EC98" s="1154">
        <f t="shared" si="269"/>
        <v>0</v>
      </c>
      <c r="ED98" s="1154">
        <f t="shared" si="270"/>
        <v>0</v>
      </c>
      <c r="EE98" s="1154">
        <f t="shared" si="271"/>
        <v>0</v>
      </c>
      <c r="EF98" s="1154">
        <f t="shared" si="272"/>
        <v>0</v>
      </c>
      <c r="EG98" s="1154">
        <f t="shared" si="273"/>
        <v>0</v>
      </c>
      <c r="EH98" s="1154">
        <f t="shared" si="274"/>
        <v>0</v>
      </c>
      <c r="EI98" s="1154">
        <f t="shared" si="275"/>
        <v>0</v>
      </c>
      <c r="EJ98" s="1154">
        <f t="shared" si="276"/>
        <v>0</v>
      </c>
      <c r="EK98" s="1154">
        <f t="shared" si="277"/>
        <v>0</v>
      </c>
      <c r="EL98" s="1154">
        <f t="shared" si="278"/>
        <v>0</v>
      </c>
      <c r="EM98" s="1154">
        <f t="shared" si="279"/>
        <v>0</v>
      </c>
      <c r="EN98" s="1154">
        <f t="shared" si="280"/>
        <v>0</v>
      </c>
      <c r="EO98" s="1154">
        <f t="shared" si="281"/>
        <v>5967.7644752694996</v>
      </c>
      <c r="EP98" s="1154">
        <f t="shared" si="282"/>
        <v>0</v>
      </c>
      <c r="EQ98" s="1154">
        <f t="shared" si="283"/>
        <v>0</v>
      </c>
      <c r="ER98" s="1154">
        <f t="shared" si="284"/>
        <v>0</v>
      </c>
      <c r="ES98" s="1154">
        <f t="shared" si="285"/>
        <v>0</v>
      </c>
      <c r="ET98" s="1154">
        <f t="shared" si="286"/>
        <v>0</v>
      </c>
      <c r="EU98" s="1154">
        <f t="shared" si="287"/>
        <v>0</v>
      </c>
      <c r="EV98" s="1154">
        <f t="shared" si="288"/>
        <v>0</v>
      </c>
      <c r="EW98" s="1154">
        <f t="shared" si="289"/>
        <v>0</v>
      </c>
      <c r="EX98" s="1154">
        <f t="shared" si="290"/>
        <v>0</v>
      </c>
      <c r="EY98" s="1154">
        <f t="shared" si="291"/>
        <v>0</v>
      </c>
      <c r="EZ98" s="1154">
        <f t="shared" si="292"/>
        <v>0</v>
      </c>
      <c r="FA98" s="1174">
        <f t="shared" si="293"/>
        <v>5967.7644752694996</v>
      </c>
      <c r="FC98" s="1154">
        <f t="shared" si="294"/>
        <v>0</v>
      </c>
      <c r="FD98" s="1154">
        <f t="shared" si="295"/>
        <v>0</v>
      </c>
      <c r="FE98" s="1154">
        <f t="shared" si="296"/>
        <v>0</v>
      </c>
      <c r="FF98" s="1154">
        <f t="shared" si="297"/>
        <v>0</v>
      </c>
      <c r="FG98" s="1154">
        <f t="shared" si="298"/>
        <v>0</v>
      </c>
      <c r="FH98" s="1154">
        <f t="shared" si="299"/>
        <v>0</v>
      </c>
      <c r="FI98" s="1154">
        <f t="shared" si="300"/>
        <v>0</v>
      </c>
      <c r="FJ98" s="1154">
        <f t="shared" si="301"/>
        <v>0</v>
      </c>
      <c r="FK98" s="1154">
        <f t="shared" si="302"/>
        <v>0</v>
      </c>
      <c r="FL98" s="1154">
        <f t="shared" si="303"/>
        <v>0</v>
      </c>
      <c r="FM98" s="1154">
        <f t="shared" si="304"/>
        <v>0</v>
      </c>
      <c r="FN98" s="1154">
        <f t="shared" si="305"/>
        <v>0</v>
      </c>
      <c r="FO98" s="1154">
        <f t="shared" si="306"/>
        <v>0</v>
      </c>
      <c r="FP98" s="1154">
        <f t="shared" si="307"/>
        <v>0</v>
      </c>
      <c r="FQ98" s="1154">
        <f t="shared" si="308"/>
        <v>0</v>
      </c>
      <c r="FR98" s="1154">
        <f t="shared" si="309"/>
        <v>0</v>
      </c>
      <c r="FS98" s="1154">
        <f t="shared" si="310"/>
        <v>0</v>
      </c>
      <c r="FT98" s="1154">
        <f t="shared" si="311"/>
        <v>0</v>
      </c>
      <c r="FU98" s="1154">
        <f t="shared" si="312"/>
        <v>0</v>
      </c>
      <c r="FV98" s="1154">
        <f t="shared" si="313"/>
        <v>0</v>
      </c>
      <c r="FW98" s="1154">
        <f t="shared" si="314"/>
        <v>0</v>
      </c>
      <c r="FX98" s="1154">
        <f t="shared" si="315"/>
        <v>0</v>
      </c>
      <c r="FY98" s="1154">
        <f t="shared" si="316"/>
        <v>0</v>
      </c>
      <c r="FZ98" s="1154">
        <f t="shared" si="317"/>
        <v>4673.0276377139671</v>
      </c>
      <c r="GA98" s="1154">
        <f t="shared" si="318"/>
        <v>0</v>
      </c>
      <c r="GB98" s="1154">
        <f t="shared" si="319"/>
        <v>0</v>
      </c>
      <c r="GC98" s="1154">
        <f t="shared" si="320"/>
        <v>0</v>
      </c>
      <c r="GD98" s="1154">
        <f t="shared" si="321"/>
        <v>0</v>
      </c>
      <c r="GE98" s="1154">
        <f t="shared" si="322"/>
        <v>0</v>
      </c>
      <c r="GF98" s="1154">
        <f t="shared" si="323"/>
        <v>0</v>
      </c>
      <c r="GG98" s="1154">
        <f t="shared" si="324"/>
        <v>0</v>
      </c>
      <c r="GH98" s="1154">
        <f t="shared" si="325"/>
        <v>0</v>
      </c>
      <c r="GI98" s="1154">
        <f t="shared" si="326"/>
        <v>0</v>
      </c>
      <c r="GJ98" s="1154">
        <f t="shared" si="327"/>
        <v>0</v>
      </c>
      <c r="GK98" s="1154">
        <f t="shared" si="328"/>
        <v>0</v>
      </c>
      <c r="GL98" s="1174">
        <f t="shared" si="213"/>
        <v>4673.0276377139671</v>
      </c>
    </row>
    <row r="99" spans="1:194">
      <c r="B99" s="1290" t="str">
        <f t="shared" si="256"/>
        <v>SACDUOSWLSLC</v>
      </c>
      <c r="C99" s="1289" t="str">
        <f>C98</f>
        <v>West SAC&gt;100MWhpa Business Secondary LC</v>
      </c>
      <c r="D99" s="1113" t="str">
        <f t="shared" ref="D99" si="348">D98</f>
        <v>West SAC&gt;100MWhpa Business Secondary LC</v>
      </c>
      <c r="E99" s="1113" t="str">
        <f t="shared" ref="E99" si="349">E98</f>
        <v>SAC</v>
      </c>
      <c r="F99" s="1113" t="str">
        <f t="shared" ref="F99" si="350">F98</f>
        <v>SACL</v>
      </c>
      <c r="G99" s="1113" t="str">
        <f t="shared" ref="G99" si="351">G98</f>
        <v>West</v>
      </c>
      <c r="H99" s="1113" t="str">
        <f t="shared" ref="H99" si="352">H98</f>
        <v>WLSLC</v>
      </c>
      <c r="I99" s="1114" t="s">
        <v>752</v>
      </c>
      <c r="J99" s="1114" t="s">
        <v>934</v>
      </c>
      <c r="K99" s="1270"/>
      <c r="L99" s="1112"/>
      <c r="M99" s="1007"/>
      <c r="N99" s="1007"/>
      <c r="O99" s="1007"/>
      <c r="P99" s="1007"/>
      <c r="Q99" s="1007"/>
      <c r="R99" s="1007"/>
      <c r="S99" s="1007"/>
      <c r="T99" s="1007"/>
      <c r="U99" s="1007"/>
      <c r="V99" s="1007"/>
      <c r="W99" s="1007"/>
      <c r="X99" s="1007"/>
      <c r="Y99" s="1007"/>
      <c r="Z99" s="1007"/>
      <c r="AA99" s="1007"/>
      <c r="AB99" s="1007"/>
      <c r="AC99" s="1007"/>
      <c r="AD99" s="1007"/>
      <c r="AE99" s="1007"/>
      <c r="AF99" s="1007"/>
      <c r="AG99" s="1007"/>
      <c r="AH99" s="1007"/>
      <c r="AI99" s="1224">
        <v>1.3580961239131205E-2</v>
      </c>
      <c r="AJ99" s="1005"/>
      <c r="AK99" s="1005"/>
      <c r="AL99" s="1005"/>
      <c r="AM99" s="1005"/>
      <c r="AN99" s="1005"/>
      <c r="AO99" s="1005"/>
      <c r="AP99" s="1005"/>
      <c r="AQ99" s="1005"/>
      <c r="AR99" s="1005"/>
      <c r="AS99" s="1005"/>
      <c r="AT99" s="1005"/>
      <c r="AU99" s="1006"/>
      <c r="AV99" s="1270"/>
      <c r="AW99" s="1006"/>
      <c r="AX99" s="1006"/>
      <c r="AY99" s="1006"/>
      <c r="AZ99" s="1006"/>
      <c r="BA99" s="1006"/>
      <c r="BB99" s="1006"/>
      <c r="BC99" s="1006"/>
      <c r="BD99" s="1006"/>
      <c r="BE99" s="1006"/>
      <c r="BF99" s="1006"/>
      <c r="BG99" s="1006"/>
      <c r="BH99" s="1006"/>
      <c r="BI99" s="1006"/>
      <c r="BJ99" s="1006"/>
      <c r="BK99" s="1006"/>
      <c r="BL99" s="1006"/>
      <c r="BM99" s="1006"/>
      <c r="BN99" s="1006"/>
      <c r="BO99" s="1006"/>
      <c r="BP99" s="1006"/>
      <c r="BQ99" s="1006"/>
      <c r="BR99" s="1006"/>
      <c r="BS99" s="1006"/>
      <c r="BT99" s="1480">
        <v>1.3226767178995704E-2</v>
      </c>
      <c r="BU99" s="1006"/>
      <c r="BV99" s="1006"/>
      <c r="BW99" s="1006"/>
      <c r="BX99" s="1006"/>
      <c r="BY99" s="1006"/>
      <c r="BZ99" s="1006"/>
      <c r="CA99" s="1006"/>
      <c r="CB99" s="1006"/>
      <c r="CC99" s="1006"/>
      <c r="CD99" s="1006"/>
      <c r="CE99" s="1006"/>
      <c r="CF99" s="1006"/>
      <c r="CG99" s="1209"/>
      <c r="CH99" s="1112"/>
      <c r="CI99" s="1007"/>
      <c r="CJ99" s="1007"/>
      <c r="CK99" s="1007"/>
      <c r="CL99" s="1007"/>
      <c r="CM99" s="1007"/>
      <c r="CN99" s="1007"/>
      <c r="CO99" s="1007"/>
      <c r="CP99" s="1007"/>
      <c r="CQ99" s="1007"/>
      <c r="CR99" s="1007"/>
      <c r="CS99" s="1007"/>
      <c r="CT99" s="1007"/>
      <c r="CU99" s="1007"/>
      <c r="CV99" s="1007"/>
      <c r="CW99" s="1007"/>
      <c r="CX99" s="1007"/>
      <c r="CY99" s="1007"/>
      <c r="CZ99" s="1007"/>
      <c r="DA99" s="1007"/>
      <c r="DB99" s="1007"/>
      <c r="DC99" s="1007"/>
      <c r="DD99" s="1007"/>
      <c r="DE99" s="1236">
        <v>127330.46577844527</v>
      </c>
      <c r="DF99" s="1007"/>
      <c r="DG99" s="1007"/>
      <c r="DH99" s="1007"/>
      <c r="DI99" s="1006"/>
      <c r="DJ99" s="1006"/>
      <c r="DK99" s="1007"/>
      <c r="DL99" s="1007"/>
      <c r="DM99" s="1007"/>
      <c r="DN99" s="1007"/>
      <c r="DO99" s="1112"/>
      <c r="DP99" s="1112"/>
      <c r="DQ99" s="1270"/>
      <c r="DR99" s="1154">
        <f t="shared" si="258"/>
        <v>0</v>
      </c>
      <c r="DS99" s="1154">
        <f t="shared" si="259"/>
        <v>0</v>
      </c>
      <c r="DT99" s="1154">
        <f t="shared" si="260"/>
        <v>0</v>
      </c>
      <c r="DU99" s="1154">
        <f t="shared" si="261"/>
        <v>0</v>
      </c>
      <c r="DV99" s="1154">
        <f t="shared" si="262"/>
        <v>0</v>
      </c>
      <c r="DW99" s="1154">
        <f t="shared" si="263"/>
        <v>0</v>
      </c>
      <c r="DX99" s="1154">
        <f t="shared" si="264"/>
        <v>0</v>
      </c>
      <c r="DY99" s="1154">
        <f t="shared" si="265"/>
        <v>0</v>
      </c>
      <c r="DZ99" s="1154">
        <f t="shared" si="266"/>
        <v>0</v>
      </c>
      <c r="EA99" s="1154">
        <f t="shared" si="267"/>
        <v>0</v>
      </c>
      <c r="EB99" s="1154">
        <f t="shared" si="268"/>
        <v>0</v>
      </c>
      <c r="EC99" s="1154">
        <f t="shared" si="269"/>
        <v>0</v>
      </c>
      <c r="ED99" s="1154">
        <f t="shared" si="270"/>
        <v>0</v>
      </c>
      <c r="EE99" s="1154">
        <f t="shared" si="271"/>
        <v>0</v>
      </c>
      <c r="EF99" s="1154">
        <f t="shared" si="272"/>
        <v>0</v>
      </c>
      <c r="EG99" s="1154">
        <f t="shared" si="273"/>
        <v>0</v>
      </c>
      <c r="EH99" s="1154">
        <f t="shared" si="274"/>
        <v>0</v>
      </c>
      <c r="EI99" s="1154">
        <f t="shared" si="275"/>
        <v>0</v>
      </c>
      <c r="EJ99" s="1154">
        <f t="shared" si="276"/>
        <v>0</v>
      </c>
      <c r="EK99" s="1154">
        <f t="shared" si="277"/>
        <v>0</v>
      </c>
      <c r="EL99" s="1154">
        <f t="shared" si="278"/>
        <v>0</v>
      </c>
      <c r="EM99" s="1154">
        <f t="shared" si="279"/>
        <v>0</v>
      </c>
      <c r="EN99" s="1154">
        <f t="shared" si="280"/>
        <v>0</v>
      </c>
      <c r="EO99" s="1154">
        <f t="shared" si="281"/>
        <v>1729.2701202975877</v>
      </c>
      <c r="EP99" s="1154">
        <f t="shared" si="282"/>
        <v>0</v>
      </c>
      <c r="EQ99" s="1154">
        <f t="shared" si="283"/>
        <v>0</v>
      </c>
      <c r="ER99" s="1154">
        <f t="shared" si="284"/>
        <v>0</v>
      </c>
      <c r="ES99" s="1154">
        <f t="shared" si="285"/>
        <v>0</v>
      </c>
      <c r="ET99" s="1154">
        <f t="shared" si="286"/>
        <v>0</v>
      </c>
      <c r="EU99" s="1154">
        <f t="shared" si="287"/>
        <v>0</v>
      </c>
      <c r="EV99" s="1154">
        <f t="shared" si="288"/>
        <v>0</v>
      </c>
      <c r="EW99" s="1154">
        <f t="shared" si="289"/>
        <v>0</v>
      </c>
      <c r="EX99" s="1154">
        <f t="shared" si="290"/>
        <v>0</v>
      </c>
      <c r="EY99" s="1154">
        <f t="shared" si="291"/>
        <v>0</v>
      </c>
      <c r="EZ99" s="1154">
        <f t="shared" si="292"/>
        <v>0</v>
      </c>
      <c r="FA99" s="1174">
        <f t="shared" si="293"/>
        <v>1729.2701202975877</v>
      </c>
      <c r="FC99" s="1154">
        <f t="shared" si="294"/>
        <v>0</v>
      </c>
      <c r="FD99" s="1154">
        <f t="shared" si="295"/>
        <v>0</v>
      </c>
      <c r="FE99" s="1154">
        <f t="shared" si="296"/>
        <v>0</v>
      </c>
      <c r="FF99" s="1154">
        <f t="shared" si="297"/>
        <v>0</v>
      </c>
      <c r="FG99" s="1154">
        <f t="shared" si="298"/>
        <v>0</v>
      </c>
      <c r="FH99" s="1154">
        <f t="shared" si="299"/>
        <v>0</v>
      </c>
      <c r="FI99" s="1154">
        <f t="shared" si="300"/>
        <v>0</v>
      </c>
      <c r="FJ99" s="1154">
        <f t="shared" si="301"/>
        <v>0</v>
      </c>
      <c r="FK99" s="1154">
        <f t="shared" si="302"/>
        <v>0</v>
      </c>
      <c r="FL99" s="1154">
        <f t="shared" si="303"/>
        <v>0</v>
      </c>
      <c r="FM99" s="1154">
        <f t="shared" si="304"/>
        <v>0</v>
      </c>
      <c r="FN99" s="1154">
        <f t="shared" si="305"/>
        <v>0</v>
      </c>
      <c r="FO99" s="1154">
        <f t="shared" si="306"/>
        <v>0</v>
      </c>
      <c r="FP99" s="1154">
        <f t="shared" si="307"/>
        <v>0</v>
      </c>
      <c r="FQ99" s="1154">
        <f t="shared" si="308"/>
        <v>0</v>
      </c>
      <c r="FR99" s="1154">
        <f t="shared" si="309"/>
        <v>0</v>
      </c>
      <c r="FS99" s="1154">
        <f t="shared" si="310"/>
        <v>0</v>
      </c>
      <c r="FT99" s="1154">
        <f t="shared" si="311"/>
        <v>0</v>
      </c>
      <c r="FU99" s="1154">
        <f t="shared" si="312"/>
        <v>0</v>
      </c>
      <c r="FV99" s="1154">
        <f t="shared" si="313"/>
        <v>0</v>
      </c>
      <c r="FW99" s="1154">
        <f t="shared" si="314"/>
        <v>0</v>
      </c>
      <c r="FX99" s="1154">
        <f t="shared" si="315"/>
        <v>0</v>
      </c>
      <c r="FY99" s="1154">
        <f t="shared" si="316"/>
        <v>0</v>
      </c>
      <c r="FZ99" s="1154">
        <f t="shared" si="317"/>
        <v>1684.1704256445755</v>
      </c>
      <c r="GA99" s="1154">
        <f t="shared" si="318"/>
        <v>0</v>
      </c>
      <c r="GB99" s="1154">
        <f t="shared" si="319"/>
        <v>0</v>
      </c>
      <c r="GC99" s="1154">
        <f t="shared" si="320"/>
        <v>0</v>
      </c>
      <c r="GD99" s="1154">
        <f t="shared" si="321"/>
        <v>0</v>
      </c>
      <c r="GE99" s="1154">
        <f t="shared" si="322"/>
        <v>0</v>
      </c>
      <c r="GF99" s="1154">
        <f t="shared" si="323"/>
        <v>0</v>
      </c>
      <c r="GG99" s="1154">
        <f t="shared" si="324"/>
        <v>0</v>
      </c>
      <c r="GH99" s="1154">
        <f t="shared" si="325"/>
        <v>0</v>
      </c>
      <c r="GI99" s="1154">
        <f t="shared" si="326"/>
        <v>0</v>
      </c>
      <c r="GJ99" s="1154">
        <f t="shared" si="327"/>
        <v>0</v>
      </c>
      <c r="GK99" s="1154">
        <f t="shared" si="328"/>
        <v>0</v>
      </c>
      <c r="GL99" s="1174">
        <f t="shared" si="213"/>
        <v>1684.1704256445755</v>
      </c>
    </row>
    <row r="100" spans="1:194">
      <c r="B100" s="1290" t="str">
        <f t="shared" si="256"/>
        <v>SACDUOSWLSLC</v>
      </c>
      <c r="C100" s="1289" t="str">
        <f t="shared" ref="C100:H100" si="353">C99</f>
        <v>West SAC&gt;100MWhpa Business Secondary LC</v>
      </c>
      <c r="D100" s="1113" t="str">
        <f t="shared" si="353"/>
        <v>West SAC&gt;100MWhpa Business Secondary LC</v>
      </c>
      <c r="E100" s="1113" t="str">
        <f t="shared" si="353"/>
        <v>SAC</v>
      </c>
      <c r="F100" s="1113" t="str">
        <f t="shared" si="353"/>
        <v>SACL</v>
      </c>
      <c r="G100" s="1113" t="str">
        <f t="shared" si="353"/>
        <v>West</v>
      </c>
      <c r="H100" s="1113" t="str">
        <f t="shared" si="353"/>
        <v>WLSLC</v>
      </c>
      <c r="I100" s="1114" t="s">
        <v>759</v>
      </c>
      <c r="J100" s="1114" t="s">
        <v>934</v>
      </c>
      <c r="K100" s="1270"/>
      <c r="L100" s="1112"/>
      <c r="M100" s="1007"/>
      <c r="N100" s="1007"/>
      <c r="O100" s="1007"/>
      <c r="P100" s="1007"/>
      <c r="Q100" s="1007"/>
      <c r="R100" s="1007"/>
      <c r="S100" s="1007"/>
      <c r="T100" s="1007"/>
      <c r="U100" s="1007"/>
      <c r="V100" s="1007"/>
      <c r="W100" s="1007"/>
      <c r="X100" s="1007"/>
      <c r="Y100" s="1007"/>
      <c r="Z100" s="1007"/>
      <c r="AA100" s="1007"/>
      <c r="AB100" s="1007"/>
      <c r="AC100" s="1007"/>
      <c r="AD100" s="1007"/>
      <c r="AE100" s="1007"/>
      <c r="AF100" s="1007"/>
      <c r="AG100" s="1007"/>
      <c r="AH100" s="1007"/>
      <c r="AI100" s="1224">
        <v>1.4121324100704864E-2</v>
      </c>
      <c r="AJ100" s="1005"/>
      <c r="AK100" s="1005"/>
      <c r="AL100" s="1005"/>
      <c r="AM100" s="1005"/>
      <c r="AN100" s="1005"/>
      <c r="AO100" s="1005"/>
      <c r="AP100" s="1005"/>
      <c r="AQ100" s="1005"/>
      <c r="AR100" s="1005"/>
      <c r="AS100" s="1005"/>
      <c r="AT100" s="1005"/>
      <c r="AU100" s="1006"/>
      <c r="AV100" s="1270"/>
      <c r="AW100" s="1006"/>
      <c r="AX100" s="1006"/>
      <c r="AY100" s="1006"/>
      <c r="AZ100" s="1006"/>
      <c r="BA100" s="1006"/>
      <c r="BB100" s="1006"/>
      <c r="BC100" s="1006"/>
      <c r="BD100" s="1006"/>
      <c r="BE100" s="1006"/>
      <c r="BF100" s="1006"/>
      <c r="BG100" s="1006"/>
      <c r="BH100" s="1006"/>
      <c r="BI100" s="1006"/>
      <c r="BJ100" s="1006"/>
      <c r="BK100" s="1006"/>
      <c r="BL100" s="1006"/>
      <c r="BM100" s="1006"/>
      <c r="BN100" s="1006"/>
      <c r="BO100" s="1006"/>
      <c r="BP100" s="1006"/>
      <c r="BQ100" s="1006"/>
      <c r="BR100" s="1006"/>
      <c r="BS100" s="1006"/>
      <c r="BT100" s="1480">
        <v>1.4772535454067301E-2</v>
      </c>
      <c r="BU100" s="1006"/>
      <c r="BV100" s="1006"/>
      <c r="BW100" s="1006"/>
      <c r="BX100" s="1006"/>
      <c r="BY100" s="1006"/>
      <c r="BZ100" s="1006"/>
      <c r="CA100" s="1006"/>
      <c r="CB100" s="1006"/>
      <c r="CC100" s="1006"/>
      <c r="CD100" s="1006"/>
      <c r="CE100" s="1006"/>
      <c r="CF100" s="1006"/>
      <c r="CG100" s="1209"/>
      <c r="CH100" s="1112"/>
      <c r="CI100" s="1007"/>
      <c r="CJ100" s="1007"/>
      <c r="CK100" s="1007"/>
      <c r="CL100" s="1007"/>
      <c r="CM100" s="1007"/>
      <c r="CN100" s="1007"/>
      <c r="CO100" s="1007"/>
      <c r="CP100" s="1007"/>
      <c r="CQ100" s="1007"/>
      <c r="CR100" s="1007"/>
      <c r="CS100" s="1007"/>
      <c r="CT100" s="1007"/>
      <c r="CU100" s="1007"/>
      <c r="CV100" s="1007"/>
      <c r="CW100" s="1007"/>
      <c r="CX100" s="1007"/>
      <c r="CY100" s="1007"/>
      <c r="CZ100" s="1007"/>
      <c r="DA100" s="1007"/>
      <c r="DB100" s="1007"/>
      <c r="DC100" s="1007"/>
      <c r="DD100" s="1007"/>
      <c r="DE100" s="1236">
        <v>26180.386627182426</v>
      </c>
      <c r="DF100" s="1007"/>
      <c r="DG100" s="1007"/>
      <c r="DH100" s="1007"/>
      <c r="DI100" s="1006"/>
      <c r="DJ100" s="1006"/>
      <c r="DK100" s="1007"/>
      <c r="DL100" s="1007"/>
      <c r="DM100" s="1007"/>
      <c r="DN100" s="1007"/>
      <c r="DO100" s="1112"/>
      <c r="DP100" s="1112"/>
      <c r="DQ100" s="1270"/>
      <c r="DR100" s="1154">
        <f t="shared" si="258"/>
        <v>0</v>
      </c>
      <c r="DS100" s="1154">
        <f t="shared" si="259"/>
        <v>0</v>
      </c>
      <c r="DT100" s="1154">
        <f t="shared" si="260"/>
        <v>0</v>
      </c>
      <c r="DU100" s="1154">
        <f t="shared" si="261"/>
        <v>0</v>
      </c>
      <c r="DV100" s="1154">
        <f t="shared" si="262"/>
        <v>0</v>
      </c>
      <c r="DW100" s="1154">
        <f t="shared" si="263"/>
        <v>0</v>
      </c>
      <c r="DX100" s="1154">
        <f t="shared" si="264"/>
        <v>0</v>
      </c>
      <c r="DY100" s="1154">
        <f t="shared" si="265"/>
        <v>0</v>
      </c>
      <c r="DZ100" s="1154">
        <f t="shared" si="266"/>
        <v>0</v>
      </c>
      <c r="EA100" s="1154">
        <f t="shared" si="267"/>
        <v>0</v>
      </c>
      <c r="EB100" s="1154">
        <f t="shared" si="268"/>
        <v>0</v>
      </c>
      <c r="EC100" s="1154">
        <f t="shared" si="269"/>
        <v>0</v>
      </c>
      <c r="ED100" s="1154">
        <f t="shared" si="270"/>
        <v>0</v>
      </c>
      <c r="EE100" s="1154">
        <f t="shared" si="271"/>
        <v>0</v>
      </c>
      <c r="EF100" s="1154">
        <f t="shared" si="272"/>
        <v>0</v>
      </c>
      <c r="EG100" s="1154">
        <f t="shared" si="273"/>
        <v>0</v>
      </c>
      <c r="EH100" s="1154">
        <f t="shared" si="274"/>
        <v>0</v>
      </c>
      <c r="EI100" s="1154">
        <f t="shared" si="275"/>
        <v>0</v>
      </c>
      <c r="EJ100" s="1154">
        <f t="shared" si="276"/>
        <v>0</v>
      </c>
      <c r="EK100" s="1154">
        <f t="shared" si="277"/>
        <v>0</v>
      </c>
      <c r="EL100" s="1154">
        <f t="shared" si="278"/>
        <v>0</v>
      </c>
      <c r="EM100" s="1154">
        <f t="shared" si="279"/>
        <v>0</v>
      </c>
      <c r="EN100" s="1154">
        <f t="shared" si="280"/>
        <v>0</v>
      </c>
      <c r="EO100" s="1154">
        <f t="shared" si="281"/>
        <v>369.7017246442025</v>
      </c>
      <c r="EP100" s="1154">
        <f t="shared" si="282"/>
        <v>0</v>
      </c>
      <c r="EQ100" s="1154">
        <f t="shared" si="283"/>
        <v>0</v>
      </c>
      <c r="ER100" s="1154">
        <f t="shared" si="284"/>
        <v>0</v>
      </c>
      <c r="ES100" s="1154">
        <f t="shared" si="285"/>
        <v>0</v>
      </c>
      <c r="ET100" s="1154">
        <f t="shared" si="286"/>
        <v>0</v>
      </c>
      <c r="EU100" s="1154">
        <f t="shared" si="287"/>
        <v>0</v>
      </c>
      <c r="EV100" s="1154">
        <f t="shared" si="288"/>
        <v>0</v>
      </c>
      <c r="EW100" s="1154">
        <f t="shared" si="289"/>
        <v>0</v>
      </c>
      <c r="EX100" s="1154">
        <f t="shared" si="290"/>
        <v>0</v>
      </c>
      <c r="EY100" s="1154">
        <f t="shared" si="291"/>
        <v>0</v>
      </c>
      <c r="EZ100" s="1154">
        <f t="shared" si="292"/>
        <v>0</v>
      </c>
      <c r="FA100" s="1174">
        <f t="shared" si="293"/>
        <v>369.7017246442025</v>
      </c>
      <c r="FC100" s="1154">
        <f t="shared" si="294"/>
        <v>0</v>
      </c>
      <c r="FD100" s="1154">
        <f t="shared" si="295"/>
        <v>0</v>
      </c>
      <c r="FE100" s="1154">
        <f t="shared" si="296"/>
        <v>0</v>
      </c>
      <c r="FF100" s="1154">
        <f t="shared" si="297"/>
        <v>0</v>
      </c>
      <c r="FG100" s="1154">
        <f t="shared" si="298"/>
        <v>0</v>
      </c>
      <c r="FH100" s="1154">
        <f t="shared" si="299"/>
        <v>0</v>
      </c>
      <c r="FI100" s="1154">
        <f t="shared" si="300"/>
        <v>0</v>
      </c>
      <c r="FJ100" s="1154">
        <f t="shared" si="301"/>
        <v>0</v>
      </c>
      <c r="FK100" s="1154">
        <f t="shared" si="302"/>
        <v>0</v>
      </c>
      <c r="FL100" s="1154">
        <f t="shared" si="303"/>
        <v>0</v>
      </c>
      <c r="FM100" s="1154">
        <f t="shared" si="304"/>
        <v>0</v>
      </c>
      <c r="FN100" s="1154">
        <f t="shared" si="305"/>
        <v>0</v>
      </c>
      <c r="FO100" s="1154">
        <f t="shared" si="306"/>
        <v>0</v>
      </c>
      <c r="FP100" s="1154">
        <f t="shared" si="307"/>
        <v>0</v>
      </c>
      <c r="FQ100" s="1154">
        <f t="shared" si="308"/>
        <v>0</v>
      </c>
      <c r="FR100" s="1154">
        <f t="shared" si="309"/>
        <v>0</v>
      </c>
      <c r="FS100" s="1154">
        <f t="shared" si="310"/>
        <v>0</v>
      </c>
      <c r="FT100" s="1154">
        <f t="shared" si="311"/>
        <v>0</v>
      </c>
      <c r="FU100" s="1154">
        <f t="shared" si="312"/>
        <v>0</v>
      </c>
      <c r="FV100" s="1154">
        <f t="shared" si="313"/>
        <v>0</v>
      </c>
      <c r="FW100" s="1154">
        <f t="shared" si="314"/>
        <v>0</v>
      </c>
      <c r="FX100" s="1154">
        <f t="shared" si="315"/>
        <v>0</v>
      </c>
      <c r="FY100" s="1154">
        <f t="shared" si="316"/>
        <v>0</v>
      </c>
      <c r="FZ100" s="1154">
        <f t="shared" si="317"/>
        <v>386.75068965124183</v>
      </c>
      <c r="GA100" s="1154">
        <f t="shared" si="318"/>
        <v>0</v>
      </c>
      <c r="GB100" s="1154">
        <f t="shared" si="319"/>
        <v>0</v>
      </c>
      <c r="GC100" s="1154">
        <f t="shared" si="320"/>
        <v>0</v>
      </c>
      <c r="GD100" s="1154">
        <f t="shared" si="321"/>
        <v>0</v>
      </c>
      <c r="GE100" s="1154">
        <f t="shared" si="322"/>
        <v>0</v>
      </c>
      <c r="GF100" s="1154">
        <f t="shared" si="323"/>
        <v>0</v>
      </c>
      <c r="GG100" s="1154">
        <f t="shared" si="324"/>
        <v>0</v>
      </c>
      <c r="GH100" s="1154">
        <f t="shared" si="325"/>
        <v>0</v>
      </c>
      <c r="GI100" s="1154">
        <f t="shared" si="326"/>
        <v>0</v>
      </c>
      <c r="GJ100" s="1154">
        <f t="shared" si="327"/>
        <v>0</v>
      </c>
      <c r="GK100" s="1154">
        <f t="shared" si="328"/>
        <v>0</v>
      </c>
      <c r="GL100" s="1174">
        <f t="shared" si="213"/>
        <v>386.75068965124183</v>
      </c>
    </row>
    <row r="101" spans="1:194">
      <c r="B101" s="1290" t="str">
        <f t="shared" si="256"/>
        <v>SACDUOSMLSLC</v>
      </c>
      <c r="C101" s="1289" t="str">
        <f>Prop2021DUOSTariffs!C45</f>
        <v>MtIsa SAC&gt;100MWhpa Business Secondary LC</v>
      </c>
      <c r="D101" s="1113" t="str">
        <f>Prop2021DUOSTariffs!D45</f>
        <v>MtIsa SAC&gt;100MWhpa Business Secondary LC</v>
      </c>
      <c r="E101" s="1113" t="str">
        <f>Prop2021DUOSTariffs!E45</f>
        <v>SAC</v>
      </c>
      <c r="F101" s="1113" t="str">
        <f>Prop2021DUOSTariffs!F45</f>
        <v>SACL</v>
      </c>
      <c r="G101" s="1113" t="str">
        <f>Prop2021DUOSTariffs!G45</f>
        <v>Mt Isa</v>
      </c>
      <c r="H101" s="1113" t="str">
        <f>Prop2021DUOSTariffs!H45</f>
        <v>MLSLC</v>
      </c>
      <c r="I101" s="1114" t="s">
        <v>761</v>
      </c>
      <c r="J101" s="1114" t="s">
        <v>934</v>
      </c>
      <c r="K101" s="1270"/>
      <c r="L101" s="1112"/>
      <c r="M101" s="1007"/>
      <c r="N101" s="1007"/>
      <c r="O101" s="1007"/>
      <c r="P101" s="1007"/>
      <c r="Q101" s="1007"/>
      <c r="R101" s="1007"/>
      <c r="S101" s="1007"/>
      <c r="T101" s="1007"/>
      <c r="U101" s="1007"/>
      <c r="V101" s="1007"/>
      <c r="W101" s="1007"/>
      <c r="X101" s="1007"/>
      <c r="Y101" s="1007"/>
      <c r="Z101" s="1007"/>
      <c r="AA101" s="1007"/>
      <c r="AB101" s="1007"/>
      <c r="AC101" s="1007"/>
      <c r="AD101" s="1007"/>
      <c r="AE101" s="1007"/>
      <c r="AF101" s="1007"/>
      <c r="AG101" s="1007"/>
      <c r="AH101" s="1007"/>
      <c r="AI101" s="1224">
        <v>7.7007696230930512E-4</v>
      </c>
      <c r="AJ101" s="1005"/>
      <c r="AK101" s="1005"/>
      <c r="AL101" s="1005"/>
      <c r="AM101" s="1005"/>
      <c r="AN101" s="1005"/>
      <c r="AO101" s="1005"/>
      <c r="AP101" s="1005"/>
      <c r="AQ101" s="1005"/>
      <c r="AR101" s="1005"/>
      <c r="AS101" s="1005"/>
      <c r="AT101" s="1005"/>
      <c r="AU101" s="1006"/>
      <c r="AV101" s="1270"/>
      <c r="AW101" s="1006"/>
      <c r="AX101" s="1006"/>
      <c r="AY101" s="1006"/>
      <c r="AZ101" s="1006"/>
      <c r="BA101" s="1006"/>
      <c r="BB101" s="1006"/>
      <c r="BC101" s="1006"/>
      <c r="BD101" s="1006"/>
      <c r="BE101" s="1006"/>
      <c r="BF101" s="1006"/>
      <c r="BG101" s="1006"/>
      <c r="BH101" s="1006"/>
      <c r="BI101" s="1006"/>
      <c r="BJ101" s="1006"/>
      <c r="BK101" s="1006"/>
      <c r="BL101" s="1006"/>
      <c r="BM101" s="1006"/>
      <c r="BN101" s="1006"/>
      <c r="BO101" s="1006"/>
      <c r="BP101" s="1006"/>
      <c r="BQ101" s="1006"/>
      <c r="BR101" s="1006"/>
      <c r="BS101" s="1006"/>
      <c r="BT101" s="1480">
        <v>6.1898319928093575E-4</v>
      </c>
      <c r="BU101" s="1006"/>
      <c r="BV101" s="1006"/>
      <c r="BW101" s="1006"/>
      <c r="BX101" s="1006"/>
      <c r="BY101" s="1006"/>
      <c r="BZ101" s="1006"/>
      <c r="CA101" s="1006"/>
      <c r="CB101" s="1006"/>
      <c r="CC101" s="1006"/>
      <c r="CD101" s="1006"/>
      <c r="CE101" s="1006"/>
      <c r="CF101" s="1006"/>
      <c r="CG101" s="1209"/>
      <c r="CH101" s="1112"/>
      <c r="CI101" s="1007"/>
      <c r="CJ101" s="1007"/>
      <c r="CK101" s="1007"/>
      <c r="CL101" s="1007"/>
      <c r="CM101" s="1007"/>
      <c r="CN101" s="1007"/>
      <c r="CO101" s="1007"/>
      <c r="CP101" s="1007"/>
      <c r="CQ101" s="1007"/>
      <c r="CR101" s="1007"/>
      <c r="CS101" s="1007"/>
      <c r="CT101" s="1007"/>
      <c r="CU101" s="1007"/>
      <c r="CV101" s="1007"/>
      <c r="CW101" s="1007"/>
      <c r="CX101" s="1007"/>
      <c r="CY101" s="1007"/>
      <c r="CZ101" s="1007"/>
      <c r="DA101" s="1007"/>
      <c r="DB101" s="1007"/>
      <c r="DC101" s="1007"/>
      <c r="DD101" s="1007"/>
      <c r="DE101" s="1236">
        <v>300510</v>
      </c>
      <c r="DF101" s="1007"/>
      <c r="DG101" s="1007"/>
      <c r="DH101" s="1007"/>
      <c r="DI101" s="1006"/>
      <c r="DJ101" s="1006"/>
      <c r="DK101" s="1007"/>
      <c r="DL101" s="1007"/>
      <c r="DM101" s="1007"/>
      <c r="DN101" s="1007"/>
      <c r="DO101" s="1112"/>
      <c r="DP101" s="1112"/>
      <c r="DQ101" s="1270"/>
      <c r="DR101" s="1154">
        <f t="shared" si="258"/>
        <v>0</v>
      </c>
      <c r="DS101" s="1154">
        <f t="shared" si="259"/>
        <v>0</v>
      </c>
      <c r="DT101" s="1154">
        <f t="shared" si="260"/>
        <v>0</v>
      </c>
      <c r="DU101" s="1154">
        <f t="shared" si="261"/>
        <v>0</v>
      </c>
      <c r="DV101" s="1154">
        <f t="shared" si="262"/>
        <v>0</v>
      </c>
      <c r="DW101" s="1154">
        <f t="shared" si="263"/>
        <v>0</v>
      </c>
      <c r="DX101" s="1154">
        <f t="shared" si="264"/>
        <v>0</v>
      </c>
      <c r="DY101" s="1154">
        <f t="shared" si="265"/>
        <v>0</v>
      </c>
      <c r="DZ101" s="1154">
        <f t="shared" si="266"/>
        <v>0</v>
      </c>
      <c r="EA101" s="1154">
        <f t="shared" si="267"/>
        <v>0</v>
      </c>
      <c r="EB101" s="1154">
        <f t="shared" si="268"/>
        <v>0</v>
      </c>
      <c r="EC101" s="1154">
        <f t="shared" si="269"/>
        <v>0</v>
      </c>
      <c r="ED101" s="1154">
        <f t="shared" si="270"/>
        <v>0</v>
      </c>
      <c r="EE101" s="1154">
        <f t="shared" si="271"/>
        <v>0</v>
      </c>
      <c r="EF101" s="1154">
        <f t="shared" si="272"/>
        <v>0</v>
      </c>
      <c r="EG101" s="1154">
        <f t="shared" si="273"/>
        <v>0</v>
      </c>
      <c r="EH101" s="1154">
        <f t="shared" si="274"/>
        <v>0</v>
      </c>
      <c r="EI101" s="1154">
        <f t="shared" si="275"/>
        <v>0</v>
      </c>
      <c r="EJ101" s="1154">
        <f t="shared" si="276"/>
        <v>0</v>
      </c>
      <c r="EK101" s="1154">
        <f t="shared" si="277"/>
        <v>0</v>
      </c>
      <c r="EL101" s="1154">
        <f t="shared" si="278"/>
        <v>0</v>
      </c>
      <c r="EM101" s="1154">
        <f t="shared" si="279"/>
        <v>0</v>
      </c>
      <c r="EN101" s="1154">
        <f t="shared" si="280"/>
        <v>0</v>
      </c>
      <c r="EO101" s="1154">
        <f t="shared" si="281"/>
        <v>231.41582794356927</v>
      </c>
      <c r="EP101" s="1154">
        <f t="shared" si="282"/>
        <v>0</v>
      </c>
      <c r="EQ101" s="1154">
        <f t="shared" si="283"/>
        <v>0</v>
      </c>
      <c r="ER101" s="1154">
        <f t="shared" si="284"/>
        <v>0</v>
      </c>
      <c r="ES101" s="1154">
        <f t="shared" si="285"/>
        <v>0</v>
      </c>
      <c r="ET101" s="1154">
        <f t="shared" si="286"/>
        <v>0</v>
      </c>
      <c r="EU101" s="1154">
        <f t="shared" si="287"/>
        <v>0</v>
      </c>
      <c r="EV101" s="1154">
        <f t="shared" si="288"/>
        <v>0</v>
      </c>
      <c r="EW101" s="1154">
        <f t="shared" si="289"/>
        <v>0</v>
      </c>
      <c r="EX101" s="1154">
        <f t="shared" si="290"/>
        <v>0</v>
      </c>
      <c r="EY101" s="1154">
        <f t="shared" si="291"/>
        <v>0</v>
      </c>
      <c r="EZ101" s="1154">
        <f t="shared" si="292"/>
        <v>0</v>
      </c>
      <c r="FA101" s="1174">
        <f t="shared" si="293"/>
        <v>231.41582794356927</v>
      </c>
      <c r="FC101" s="1154">
        <f t="shared" si="294"/>
        <v>0</v>
      </c>
      <c r="FD101" s="1154">
        <f t="shared" si="295"/>
        <v>0</v>
      </c>
      <c r="FE101" s="1154">
        <f t="shared" si="296"/>
        <v>0</v>
      </c>
      <c r="FF101" s="1154">
        <f t="shared" si="297"/>
        <v>0</v>
      </c>
      <c r="FG101" s="1154">
        <f t="shared" si="298"/>
        <v>0</v>
      </c>
      <c r="FH101" s="1154">
        <f t="shared" si="299"/>
        <v>0</v>
      </c>
      <c r="FI101" s="1154">
        <f t="shared" si="300"/>
        <v>0</v>
      </c>
      <c r="FJ101" s="1154">
        <f t="shared" si="301"/>
        <v>0</v>
      </c>
      <c r="FK101" s="1154">
        <f t="shared" si="302"/>
        <v>0</v>
      </c>
      <c r="FL101" s="1154">
        <f t="shared" si="303"/>
        <v>0</v>
      </c>
      <c r="FM101" s="1154">
        <f t="shared" si="304"/>
        <v>0</v>
      </c>
      <c r="FN101" s="1154">
        <f t="shared" si="305"/>
        <v>0</v>
      </c>
      <c r="FO101" s="1154">
        <f t="shared" si="306"/>
        <v>0</v>
      </c>
      <c r="FP101" s="1154">
        <f t="shared" si="307"/>
        <v>0</v>
      </c>
      <c r="FQ101" s="1154">
        <f t="shared" si="308"/>
        <v>0</v>
      </c>
      <c r="FR101" s="1154">
        <f t="shared" si="309"/>
        <v>0</v>
      </c>
      <c r="FS101" s="1154">
        <f t="shared" si="310"/>
        <v>0</v>
      </c>
      <c r="FT101" s="1154">
        <f t="shared" si="311"/>
        <v>0</v>
      </c>
      <c r="FU101" s="1154">
        <f t="shared" si="312"/>
        <v>0</v>
      </c>
      <c r="FV101" s="1154">
        <f t="shared" si="313"/>
        <v>0</v>
      </c>
      <c r="FW101" s="1154">
        <f t="shared" si="314"/>
        <v>0</v>
      </c>
      <c r="FX101" s="1154">
        <f t="shared" si="315"/>
        <v>0</v>
      </c>
      <c r="FY101" s="1154">
        <f t="shared" si="316"/>
        <v>0</v>
      </c>
      <c r="FZ101" s="1154">
        <f t="shared" si="317"/>
        <v>186.01064121591401</v>
      </c>
      <c r="GA101" s="1154">
        <f t="shared" si="318"/>
        <v>0</v>
      </c>
      <c r="GB101" s="1154">
        <f t="shared" si="319"/>
        <v>0</v>
      </c>
      <c r="GC101" s="1154">
        <f t="shared" si="320"/>
        <v>0</v>
      </c>
      <c r="GD101" s="1154">
        <f t="shared" si="321"/>
        <v>0</v>
      </c>
      <c r="GE101" s="1154">
        <f t="shared" si="322"/>
        <v>0</v>
      </c>
      <c r="GF101" s="1154">
        <f t="shared" si="323"/>
        <v>0</v>
      </c>
      <c r="GG101" s="1154">
        <f t="shared" si="324"/>
        <v>0</v>
      </c>
      <c r="GH101" s="1154">
        <f t="shared" si="325"/>
        <v>0</v>
      </c>
      <c r="GI101" s="1154">
        <f t="shared" si="326"/>
        <v>0</v>
      </c>
      <c r="GJ101" s="1154">
        <f t="shared" si="327"/>
        <v>0</v>
      </c>
      <c r="GK101" s="1154">
        <f t="shared" si="328"/>
        <v>0</v>
      </c>
      <c r="GL101" s="1174">
        <f t="shared" si="213"/>
        <v>186.01064121591401</v>
      </c>
    </row>
    <row r="102" spans="1:194" ht="6" customHeight="1">
      <c r="A102" s="1205"/>
      <c r="B102" s="1266" t="s">
        <v>742</v>
      </c>
      <c r="C102" s="1780"/>
      <c r="D102" s="1781"/>
      <c r="E102" s="1781"/>
      <c r="F102" s="1781"/>
      <c r="G102" s="1781"/>
      <c r="H102" s="1781"/>
      <c r="I102" s="1781"/>
      <c r="J102" s="1782"/>
      <c r="K102" s="1234"/>
      <c r="L102" s="1266"/>
      <c r="M102" s="1184"/>
      <c r="N102" s="1184"/>
      <c r="O102" s="1184"/>
      <c r="P102" s="1184"/>
      <c r="Q102" s="1184"/>
      <c r="R102" s="1184"/>
      <c r="S102" s="1184"/>
      <c r="T102" s="1184"/>
      <c r="U102" s="1184"/>
      <c r="V102" s="1184"/>
      <c r="W102" s="1184"/>
      <c r="X102" s="1184"/>
      <c r="Y102" s="1184"/>
      <c r="Z102" s="1184"/>
      <c r="AA102" s="1184"/>
      <c r="AB102" s="1184"/>
      <c r="AC102" s="1184"/>
      <c r="AD102" s="1184"/>
      <c r="AE102" s="1184"/>
      <c r="AF102" s="1184"/>
      <c r="AG102" s="1184"/>
      <c r="AH102" s="1184"/>
      <c r="AI102" s="1184"/>
      <c r="AJ102" s="1184"/>
      <c r="AK102" s="1184"/>
      <c r="AL102" s="1184"/>
      <c r="AM102" s="1184"/>
      <c r="AN102" s="1184"/>
      <c r="AO102" s="1184"/>
      <c r="AP102" s="1184"/>
      <c r="AQ102" s="1184"/>
      <c r="AR102" s="1184"/>
      <c r="AS102" s="1184"/>
      <c r="AT102" s="1184"/>
      <c r="AU102" s="1205"/>
      <c r="AV102" s="1234"/>
      <c r="AW102" s="1205"/>
      <c r="AX102" s="1205"/>
      <c r="AY102" s="1205"/>
      <c r="AZ102" s="1205"/>
      <c r="BA102" s="1205"/>
      <c r="BB102" s="1205"/>
      <c r="BC102" s="1205"/>
      <c r="BD102" s="1205"/>
      <c r="BE102" s="1205"/>
      <c r="BF102" s="1205"/>
      <c r="BG102" s="1205"/>
      <c r="BH102" s="1205"/>
      <c r="BI102" s="1205"/>
      <c r="BJ102" s="1205"/>
      <c r="BK102" s="1205"/>
      <c r="BL102" s="1205"/>
      <c r="BM102" s="1205"/>
      <c r="BN102" s="1205"/>
      <c r="BO102" s="1205"/>
      <c r="BP102" s="1205"/>
      <c r="BQ102" s="1205"/>
      <c r="BR102" s="1205"/>
      <c r="BS102" s="1205"/>
      <c r="BT102" s="1205"/>
      <c r="BU102" s="1205"/>
      <c r="BV102" s="1205"/>
      <c r="BW102" s="1205"/>
      <c r="BX102" s="1205"/>
      <c r="BY102" s="1205"/>
      <c r="BZ102" s="1205"/>
      <c r="CA102" s="1205"/>
      <c r="CB102" s="1205"/>
      <c r="CC102" s="1205"/>
      <c r="CD102" s="1205"/>
      <c r="CE102" s="1205"/>
      <c r="CF102" s="1205"/>
      <c r="CG102" s="1208"/>
      <c r="CH102" s="1205"/>
      <c r="CI102" s="1205"/>
      <c r="CJ102" s="1205"/>
      <c r="CK102" s="1205"/>
      <c r="CL102" s="1205"/>
      <c r="CM102" s="1205"/>
      <c r="CN102" s="1205"/>
      <c r="CO102" s="1205"/>
      <c r="CP102" s="1205"/>
      <c r="CQ102" s="1205"/>
      <c r="CR102" s="1205"/>
      <c r="CS102" s="1205"/>
      <c r="CT102" s="1205"/>
      <c r="CU102" s="1205"/>
      <c r="CV102" s="1205"/>
      <c r="CW102" s="1205"/>
      <c r="CX102" s="1205"/>
      <c r="CY102" s="1205"/>
      <c r="CZ102" s="1205"/>
      <c r="DA102" s="1205"/>
      <c r="DB102" s="1205"/>
      <c r="DC102" s="1205"/>
      <c r="DD102" s="1205"/>
      <c r="DE102" s="1205"/>
      <c r="DF102" s="1205"/>
      <c r="DG102" s="1205"/>
      <c r="DH102" s="1205"/>
      <c r="DI102" s="1205"/>
      <c r="DJ102" s="1205"/>
      <c r="DK102" s="1184"/>
      <c r="DL102" s="1184"/>
      <c r="DM102" s="1184"/>
      <c r="DN102" s="1184"/>
      <c r="DO102" s="1266"/>
      <c r="DP102" s="1266"/>
      <c r="DQ102" s="1234"/>
      <c r="DR102" s="1283"/>
      <c r="DS102" s="1283"/>
      <c r="DT102" s="1283"/>
      <c r="DU102" s="1283"/>
      <c r="DV102" s="1283"/>
      <c r="DW102" s="1283"/>
      <c r="DX102" s="1283"/>
      <c r="DY102" s="1283"/>
      <c r="DZ102" s="1283"/>
      <c r="EA102" s="1283"/>
      <c r="EB102" s="1283"/>
      <c r="EC102" s="1283"/>
      <c r="ED102" s="1283"/>
      <c r="EE102" s="1283"/>
      <c r="EF102" s="1283"/>
      <c r="EG102" s="1283"/>
      <c r="EH102" s="1283"/>
      <c r="EI102" s="1283"/>
      <c r="EJ102" s="1283"/>
      <c r="EK102" s="1283"/>
      <c r="EL102" s="1283"/>
      <c r="EM102" s="1283"/>
      <c r="EN102" s="1283"/>
      <c r="EO102" s="1283"/>
      <c r="EP102" s="1283"/>
      <c r="EQ102" s="1283"/>
      <c r="ER102" s="1283"/>
      <c r="ES102" s="1283"/>
      <c r="ET102" s="1283"/>
      <c r="EU102" s="1283"/>
      <c r="EV102" s="1283"/>
      <c r="EW102" s="1283"/>
      <c r="EX102" s="1283"/>
      <c r="EY102" s="1283"/>
      <c r="EZ102" s="1283"/>
      <c r="FA102" s="1283"/>
      <c r="FC102" s="1283"/>
      <c r="FD102" s="1283"/>
      <c r="FE102" s="1283"/>
      <c r="FF102" s="1283"/>
      <c r="FG102" s="1283"/>
      <c r="FH102" s="1283"/>
      <c r="FI102" s="1283"/>
      <c r="FJ102" s="1283"/>
      <c r="FK102" s="1283"/>
      <c r="FL102" s="1283"/>
      <c r="FM102" s="1283"/>
      <c r="FN102" s="1283"/>
      <c r="FO102" s="1283"/>
      <c r="FP102" s="1283"/>
      <c r="FQ102" s="1283"/>
      <c r="FR102" s="1283"/>
      <c r="FS102" s="1283"/>
      <c r="FT102" s="1283"/>
      <c r="FU102" s="1283"/>
      <c r="FV102" s="1283"/>
      <c r="FW102" s="1283"/>
      <c r="FX102" s="1283"/>
      <c r="FY102" s="1283"/>
      <c r="FZ102" s="1283"/>
      <c r="GA102" s="1283"/>
      <c r="GB102" s="1283"/>
      <c r="GC102" s="1283"/>
      <c r="GD102" s="1283"/>
      <c r="GE102" s="1283"/>
      <c r="GF102" s="1283"/>
      <c r="GG102" s="1283"/>
      <c r="GH102" s="1283"/>
      <c r="GI102" s="1283"/>
      <c r="GJ102" s="1283"/>
      <c r="GK102" s="1283"/>
      <c r="GL102" s="1283"/>
    </row>
    <row r="103" spans="1:194">
      <c r="B103" s="1290" t="str">
        <f t="shared" ref="B103:B116" si="354">$E103&amp;"DUOS"&amp;$H103</f>
        <v>SACDUOSEBEST</v>
      </c>
      <c r="C103" s="1289" t="str">
        <f>Prop2021DUOSTariffs!C47</f>
        <v>East SAC&gt;100MWhpa Large Business Energy</v>
      </c>
      <c r="D103" s="1113" t="str">
        <f>Prop2021DUOSTariffs!D47</f>
        <v>East SAC&gt;100MWhpa DemandSmall</v>
      </c>
      <c r="E103" s="1113" t="str">
        <f>Prop2021DUOSTariffs!E47</f>
        <v>SAC</v>
      </c>
      <c r="F103" s="1113" t="str">
        <f>Prop2021DUOSTariffs!F47</f>
        <v>SACL</v>
      </c>
      <c r="G103" s="1113" t="str">
        <f>Prop2021DUOSTariffs!G47</f>
        <v>East</v>
      </c>
      <c r="H103" s="1113" t="str">
        <f>IF(Prop2021DUOSTariffs!H47="","",Prop2021DUOSTariffs!H47)</f>
        <v>EBEST</v>
      </c>
      <c r="I103" s="1114" t="s">
        <v>798</v>
      </c>
      <c r="J103" s="1114" t="s">
        <v>934</v>
      </c>
      <c r="K103" s="1270"/>
      <c r="L103" s="1233">
        <v>4.1796489000000001</v>
      </c>
      <c r="M103" s="1007"/>
      <c r="N103" s="1007"/>
      <c r="O103" s="1007"/>
      <c r="P103" s="1007"/>
      <c r="Q103" s="1007"/>
      <c r="R103" s="1007"/>
      <c r="S103" s="1007"/>
      <c r="T103" s="1007"/>
      <c r="U103" s="1007"/>
      <c r="V103" s="1007"/>
      <c r="W103" s="1007"/>
      <c r="X103" s="1007"/>
      <c r="Y103" s="1007"/>
      <c r="Z103" s="1007"/>
      <c r="AA103" s="1007"/>
      <c r="AB103" s="1007"/>
      <c r="AC103" s="1007"/>
      <c r="AD103" s="1007"/>
      <c r="AE103" s="1007"/>
      <c r="AF103" s="1007"/>
      <c r="AG103" s="1007"/>
      <c r="AH103" s="1007"/>
      <c r="AI103" s="1007"/>
      <c r="AJ103" s="1233">
        <v>1.2756154364570426E-2</v>
      </c>
      <c r="AK103" s="1233">
        <v>1.6183265485757239E-2</v>
      </c>
      <c r="AL103" s="1005"/>
      <c r="AM103" s="1005"/>
      <c r="AN103" s="1005"/>
      <c r="AO103" s="1005"/>
      <c r="AP103" s="1005"/>
      <c r="AQ103" s="1005"/>
      <c r="AR103" s="1005"/>
      <c r="AS103" s="1005"/>
      <c r="AT103" s="1005"/>
      <c r="AU103" s="1006"/>
      <c r="AV103" s="1270"/>
      <c r="AW103" s="1006"/>
      <c r="AX103" s="1006"/>
      <c r="AY103" s="1006"/>
      <c r="AZ103" s="1006"/>
      <c r="BA103" s="1006"/>
      <c r="BB103" s="1006"/>
      <c r="BC103" s="1006"/>
      <c r="BD103" s="1006"/>
      <c r="BE103" s="1006"/>
      <c r="BF103" s="1006"/>
      <c r="BG103" s="1006"/>
      <c r="BH103" s="1006"/>
      <c r="BI103" s="1006"/>
      <c r="BJ103" s="1006"/>
      <c r="BK103" s="1006"/>
      <c r="BL103" s="1006"/>
      <c r="BM103" s="1006"/>
      <c r="BN103" s="1006"/>
      <c r="BO103" s="1006"/>
      <c r="BP103" s="1006"/>
      <c r="BQ103" s="1006"/>
      <c r="BR103" s="1006"/>
      <c r="BS103" s="1006"/>
      <c r="BT103" s="1006"/>
      <c r="BU103" s="1006"/>
      <c r="BV103" s="1006"/>
      <c r="BW103" s="1006"/>
      <c r="BX103" s="1006"/>
      <c r="BY103" s="1006"/>
      <c r="BZ103" s="1006"/>
      <c r="CA103" s="1006"/>
      <c r="CB103" s="1006"/>
      <c r="CC103" s="1006"/>
      <c r="CD103" s="1006"/>
      <c r="CE103" s="1006"/>
      <c r="CF103" s="1006"/>
      <c r="CG103" s="1209"/>
      <c r="CH103" s="1236">
        <v>82.448070609393099</v>
      </c>
      <c r="CI103" s="1007"/>
      <c r="CJ103" s="1007"/>
      <c r="CK103" s="1007"/>
      <c r="CL103" s="1007"/>
      <c r="CM103" s="1007"/>
      <c r="CN103" s="1007"/>
      <c r="CO103" s="1007"/>
      <c r="CP103" s="1007"/>
      <c r="CQ103" s="1007"/>
      <c r="CR103" s="1007"/>
      <c r="CS103" s="1007"/>
      <c r="CT103" s="1007"/>
      <c r="CU103" s="1007"/>
      <c r="CV103" s="1007"/>
      <c r="CW103" s="1007"/>
      <c r="CX103" s="1007"/>
      <c r="CY103" s="1007"/>
      <c r="CZ103" s="1007"/>
      <c r="DA103" s="1007"/>
      <c r="DB103" s="1007"/>
      <c r="DC103" s="1007"/>
      <c r="DD103" s="1007"/>
      <c r="DE103" s="1007"/>
      <c r="DF103" s="1236">
        <v>8613267.4884926863</v>
      </c>
      <c r="DG103" s="1236">
        <v>7823478.5635979883</v>
      </c>
      <c r="DH103" s="1007"/>
      <c r="DI103" s="1006"/>
      <c r="DJ103" s="1006"/>
      <c r="DK103" s="1007"/>
      <c r="DL103" s="1007"/>
      <c r="DM103" s="1007"/>
      <c r="DN103" s="1007"/>
      <c r="DO103" s="1112"/>
      <c r="DP103" s="1112"/>
      <c r="DQ103" s="1270"/>
      <c r="DR103" s="1154">
        <f t="shared" ref="DR103:DR116" si="355">IFERROR(L103*CH103*DR$229,0)</f>
        <v>125780.45548483035</v>
      </c>
      <c r="DS103" s="1154">
        <f t="shared" ref="DS103:DS116" si="356">M103*CI103*DS$229</f>
        <v>0</v>
      </c>
      <c r="DT103" s="1154">
        <f t="shared" ref="DT103:DT116" si="357">N103*CJ103*DT$229</f>
        <v>0</v>
      </c>
      <c r="DU103" s="1154">
        <f t="shared" ref="DU103:DU116" si="358">O103*CK103*DU$229</f>
        <v>0</v>
      </c>
      <c r="DV103" s="1154">
        <f t="shared" ref="DV103:DV116" si="359">P103*CL103*DV$229</f>
        <v>0</v>
      </c>
      <c r="DW103" s="1154">
        <f t="shared" ref="DW103:DW116" si="360">Q103*CM103*DW$229</f>
        <v>0</v>
      </c>
      <c r="DX103" s="1154">
        <f t="shared" ref="DX103:DX116" si="361">R103*CN103*DX$229</f>
        <v>0</v>
      </c>
      <c r="DY103" s="1154">
        <f t="shared" ref="DY103:DY116" si="362">S103*CO103*DY$229</f>
        <v>0</v>
      </c>
      <c r="DZ103" s="1154">
        <f t="shared" ref="DZ103:DZ116" si="363">T103*CP103*DZ$229</f>
        <v>0</v>
      </c>
      <c r="EA103" s="1154">
        <f t="shared" ref="EA103:EA116" si="364">U103*CQ103*EA$229</f>
        <v>0</v>
      </c>
      <c r="EB103" s="1154">
        <f t="shared" ref="EB103:EB116" si="365">V103*CR103*EB$229</f>
        <v>0</v>
      </c>
      <c r="EC103" s="1154">
        <f t="shared" ref="EC103:EC116" si="366">W103*CS103*EC$229</f>
        <v>0</v>
      </c>
      <c r="ED103" s="1154">
        <f t="shared" ref="ED103:ED116" si="367">X103*CT103*ED$229</f>
        <v>0</v>
      </c>
      <c r="EE103" s="1154">
        <f t="shared" ref="EE103:EE116" si="368">Y103*CU103*EE$229</f>
        <v>0</v>
      </c>
      <c r="EF103" s="1154">
        <f t="shared" ref="EF103:EF116" si="369">Z103*CV103*EF$229</f>
        <v>0</v>
      </c>
      <c r="EG103" s="1154">
        <f t="shared" ref="EG103:EG116" si="370">AA103*CW103*EG$229</f>
        <v>0</v>
      </c>
      <c r="EH103" s="1154">
        <f t="shared" ref="EH103:EH116" si="371">AB103*CX103*EH$229</f>
        <v>0</v>
      </c>
      <c r="EI103" s="1154">
        <f t="shared" ref="EI103:EI116" si="372">AC103*CY103*EI$229</f>
        <v>0</v>
      </c>
      <c r="EJ103" s="1154">
        <f t="shared" ref="EJ103:EJ116" si="373">AD103*CZ103*EJ$229</f>
        <v>0</v>
      </c>
      <c r="EK103" s="1154">
        <f t="shared" ref="EK103:EK116" si="374">AE103*DA103*EK$229</f>
        <v>0</v>
      </c>
      <c r="EL103" s="1154">
        <f t="shared" ref="EL103:EL116" si="375">AF103*DB103*EL$229</f>
        <v>0</v>
      </c>
      <c r="EM103" s="1154">
        <f t="shared" ref="EM103:EM116" si="376">AG103*DC103*EM$229*$AU103</f>
        <v>0</v>
      </c>
      <c r="EN103" s="1154">
        <f t="shared" ref="EN103:EN116" si="377">AH103*DD103*EN$229*$AU103</f>
        <v>0</v>
      </c>
      <c r="EO103" s="1154">
        <f t="shared" ref="EO103:EO116" si="378">IFERROR(AI103*DE103*EO$229,0)</f>
        <v>0</v>
      </c>
      <c r="EP103" s="1154">
        <f t="shared" ref="EP103:EP116" si="379">AJ103*DF103*EP$229</f>
        <v>109872.16966654854</v>
      </c>
      <c r="EQ103" s="1154">
        <f t="shared" ref="EQ103:EQ116" si="380">AK103*DG103*EQ$229</f>
        <v>126609.43061683694</v>
      </c>
      <c r="ER103" s="1154">
        <f t="shared" ref="ER103:ER116" si="381">AL103*DH103*ER$229</f>
        <v>0</v>
      </c>
      <c r="ES103" s="1154">
        <f t="shared" ref="ES103:ES116" si="382">AM103*DI103*ES$229</f>
        <v>0</v>
      </c>
      <c r="ET103" s="1154">
        <f t="shared" ref="ET103:ET116" si="383">AN103*DJ103*ET$229</f>
        <v>0</v>
      </c>
      <c r="EU103" s="1154">
        <f t="shared" ref="EU103:EU116" si="384">AO103*DK103*EU$229</f>
        <v>0</v>
      </c>
      <c r="EV103" s="1154">
        <f t="shared" ref="EV103:EV116" si="385">AP103*DL103*EV$229</f>
        <v>0</v>
      </c>
      <c r="EW103" s="1154">
        <f t="shared" ref="EW103:EW116" si="386">AQ103*DM103*EW$229</f>
        <v>0</v>
      </c>
      <c r="EX103" s="1154">
        <f t="shared" ref="EX103:EX116" si="387">AR103*DN103*EX$229</f>
        <v>0</v>
      </c>
      <c r="EY103" s="1154">
        <f t="shared" ref="EY103:EY116" si="388">AS103*DO103*EY$229</f>
        <v>0</v>
      </c>
      <c r="EZ103" s="1154">
        <f t="shared" ref="EZ103:EZ116" si="389">AT103*DP103*EZ$229</f>
        <v>0</v>
      </c>
      <c r="FA103" s="1174">
        <f t="shared" ref="FA103:FA116" si="390">SUM(DR103:EZ103)</f>
        <v>362262.0557682158</v>
      </c>
      <c r="FC103" s="1154">
        <f t="shared" ref="FC103:FC116" si="391">AW103*CH103*FC$229</f>
        <v>0</v>
      </c>
      <c r="FD103" s="1154">
        <f t="shared" ref="FD103:FD116" si="392">AX103*CI103*FD$229</f>
        <v>0</v>
      </c>
      <c r="FE103" s="1154">
        <f t="shared" ref="FE103:FE116" si="393">AY103*CJ103*FE$229</f>
        <v>0</v>
      </c>
      <c r="FF103" s="1154">
        <f t="shared" ref="FF103:FF116" si="394">AZ103*CK103*FF$229</f>
        <v>0</v>
      </c>
      <c r="FG103" s="1154">
        <f t="shared" ref="FG103:FG116" si="395">BA103*CL103*FG$229</f>
        <v>0</v>
      </c>
      <c r="FH103" s="1154">
        <f t="shared" ref="FH103:FH116" si="396">BB103*CM103*FH$229</f>
        <v>0</v>
      </c>
      <c r="FI103" s="1154">
        <f t="shared" ref="FI103:FI116" si="397">BC103*CN103*FI$229</f>
        <v>0</v>
      </c>
      <c r="FJ103" s="1154">
        <f t="shared" ref="FJ103:FJ116" si="398">BD103*CO103*FJ$229</f>
        <v>0</v>
      </c>
      <c r="FK103" s="1154">
        <f t="shared" ref="FK103:FK116" si="399">BE103*CP103*FK$229</f>
        <v>0</v>
      </c>
      <c r="FL103" s="1154">
        <f t="shared" ref="FL103:FL116" si="400">BF103*CQ103*FL$229</f>
        <v>0</v>
      </c>
      <c r="FM103" s="1154">
        <f t="shared" ref="FM103:FM116" si="401">BG103*CR103*FM$229</f>
        <v>0</v>
      </c>
      <c r="FN103" s="1154">
        <f t="shared" ref="FN103:FN116" si="402">BH103*CS103*FN$229</f>
        <v>0</v>
      </c>
      <c r="FO103" s="1154">
        <f t="shared" ref="FO103:FO116" si="403">BI103*CT103*FO$229</f>
        <v>0</v>
      </c>
      <c r="FP103" s="1154">
        <f t="shared" ref="FP103:FP116" si="404">BJ103*CU103*FP$229</f>
        <v>0</v>
      </c>
      <c r="FQ103" s="1154">
        <f t="shared" ref="FQ103:FQ116" si="405">BK103*CV103*FQ$229</f>
        <v>0</v>
      </c>
      <c r="FR103" s="1154">
        <f t="shared" ref="FR103:FR116" si="406">BL103*CW103*FR$229</f>
        <v>0</v>
      </c>
      <c r="FS103" s="1154">
        <f t="shared" ref="FS103:FS116" si="407">BM103*CX103*FS$229</f>
        <v>0</v>
      </c>
      <c r="FT103" s="1154">
        <f t="shared" ref="FT103:FT116" si="408">BN103*CY103*FT$229</f>
        <v>0</v>
      </c>
      <c r="FU103" s="1154">
        <f t="shared" ref="FU103:FU116" si="409">BO103*CZ103*FU$229</f>
        <v>0</v>
      </c>
      <c r="FV103" s="1154">
        <f t="shared" ref="FV103:FV116" si="410">BP103*DA103*FV$229</f>
        <v>0</v>
      </c>
      <c r="FW103" s="1154">
        <f t="shared" ref="FW103:FW116" si="411">BQ103*DB103*FW$229</f>
        <v>0</v>
      </c>
      <c r="FX103" s="1154">
        <f t="shared" ref="FX103:FX116" si="412">BR103*DC103*FX$229</f>
        <v>0</v>
      </c>
      <c r="FY103" s="1154">
        <f t="shared" ref="FY103:FY116" si="413">BS103*DD103*FY$229</f>
        <v>0</v>
      </c>
      <c r="FZ103" s="1154">
        <f t="shared" ref="FZ103:FZ116" si="414">BT103*DE103*FZ$229</f>
        <v>0</v>
      </c>
      <c r="GA103" s="1154">
        <f t="shared" ref="GA103:GA116" si="415">BU103*DF103*GA$229</f>
        <v>0</v>
      </c>
      <c r="GB103" s="1154">
        <f t="shared" ref="GB103:GB116" si="416">BV103*DG103*GB$229</f>
        <v>0</v>
      </c>
      <c r="GC103" s="1154">
        <f t="shared" ref="GC103:GC116" si="417">BW103*DH103*GC$229</f>
        <v>0</v>
      </c>
      <c r="GD103" s="1154">
        <f t="shared" ref="GD103:GD116" si="418">BX103*DI103*GD$229</f>
        <v>0</v>
      </c>
      <c r="GE103" s="1154">
        <f t="shared" ref="GE103:GE116" si="419">BY103*DJ103*GE$229</f>
        <v>0</v>
      </c>
      <c r="GF103" s="1154">
        <f t="shared" ref="GF103:GF116" si="420">BZ103*DK103*GF$229</f>
        <v>0</v>
      </c>
      <c r="GG103" s="1154">
        <f t="shared" ref="GG103:GG116" si="421">CA103*DL103*GG$229</f>
        <v>0</v>
      </c>
      <c r="GH103" s="1154">
        <f t="shared" ref="GH103:GH116" si="422">CB103*DM103*GH$229</f>
        <v>0</v>
      </c>
      <c r="GI103" s="1154">
        <f t="shared" ref="GI103:GI116" si="423">CC103*DN103*GI$229</f>
        <v>0</v>
      </c>
      <c r="GJ103" s="1154">
        <f t="shared" ref="GJ103:GJ116" si="424">CD103*DO103*GJ$229</f>
        <v>0</v>
      </c>
      <c r="GK103" s="1154">
        <f t="shared" ref="GK103:GK116" si="425">CE103*DP103*GK$229</f>
        <v>0</v>
      </c>
      <c r="GL103" s="1174">
        <f t="shared" ref="GL103:GL116" si="426">SUM(FC103:GK103)</f>
        <v>0</v>
      </c>
    </row>
    <row r="104" spans="1:194">
      <c r="B104" s="1290" t="str">
        <f t="shared" si="354"/>
        <v>SACDUOSEBEST</v>
      </c>
      <c r="C104" s="1289" t="str">
        <f>C103</f>
        <v>East SAC&gt;100MWhpa Large Business Energy</v>
      </c>
      <c r="D104" s="1113" t="str">
        <f t="shared" ref="D104:H105" si="427">D103</f>
        <v>East SAC&gt;100MWhpa DemandSmall</v>
      </c>
      <c r="E104" s="1113" t="str">
        <f t="shared" ref="E104:G104" si="428">E103</f>
        <v>SAC</v>
      </c>
      <c r="F104" s="1113" t="str">
        <f t="shared" si="428"/>
        <v>SACL</v>
      </c>
      <c r="G104" s="1113" t="str">
        <f t="shared" si="428"/>
        <v>East</v>
      </c>
      <c r="H104" s="1113" t="str">
        <f t="shared" si="427"/>
        <v>EBEST</v>
      </c>
      <c r="I104" s="1114" t="s">
        <v>752</v>
      </c>
      <c r="J104" s="1114" t="s">
        <v>934</v>
      </c>
      <c r="K104" s="1270"/>
      <c r="L104" s="1233">
        <v>5.5176754500000005</v>
      </c>
      <c r="M104" s="1007"/>
      <c r="N104" s="1007"/>
      <c r="O104" s="1007"/>
      <c r="P104" s="1007"/>
      <c r="Q104" s="1007"/>
      <c r="R104" s="1007"/>
      <c r="S104" s="1007"/>
      <c r="T104" s="1007"/>
      <c r="U104" s="1007"/>
      <c r="V104" s="1007"/>
      <c r="W104" s="1007"/>
      <c r="X104" s="1007"/>
      <c r="Y104" s="1007"/>
      <c r="Z104" s="1007"/>
      <c r="AA104" s="1007"/>
      <c r="AB104" s="1007"/>
      <c r="AC104" s="1007"/>
      <c r="AD104" s="1007"/>
      <c r="AE104" s="1007"/>
      <c r="AF104" s="1007"/>
      <c r="AG104" s="1007"/>
      <c r="AH104" s="1007"/>
      <c r="AI104" s="1007"/>
      <c r="AJ104" s="1233">
        <v>1.3580973790086366E-2</v>
      </c>
      <c r="AK104" s="1233">
        <v>2.0824011123205016E-2</v>
      </c>
      <c r="AL104" s="1005"/>
      <c r="AM104" s="1005"/>
      <c r="AN104" s="1005"/>
      <c r="AO104" s="1005"/>
      <c r="AP104" s="1005"/>
      <c r="AQ104" s="1005"/>
      <c r="AR104" s="1005"/>
      <c r="AS104" s="1005"/>
      <c r="AT104" s="1005"/>
      <c r="AU104" s="1006"/>
      <c r="AV104" s="1270"/>
      <c r="AW104" s="1006"/>
      <c r="AX104" s="1006"/>
      <c r="AY104" s="1006"/>
      <c r="AZ104" s="1006"/>
      <c r="BA104" s="1006"/>
      <c r="BB104" s="1006"/>
      <c r="BC104" s="1006"/>
      <c r="BD104" s="1006"/>
      <c r="BE104" s="1006"/>
      <c r="BF104" s="1006"/>
      <c r="BG104" s="1006"/>
      <c r="BH104" s="1006"/>
      <c r="BI104" s="1006"/>
      <c r="BJ104" s="1006"/>
      <c r="BK104" s="1006"/>
      <c r="BL104" s="1006"/>
      <c r="BM104" s="1006"/>
      <c r="BN104" s="1006"/>
      <c r="BO104" s="1006"/>
      <c r="BP104" s="1006"/>
      <c r="BQ104" s="1006"/>
      <c r="BR104" s="1006"/>
      <c r="BS104" s="1006"/>
      <c r="BT104" s="1006"/>
      <c r="BU104" s="1006"/>
      <c r="BV104" s="1006"/>
      <c r="BW104" s="1006"/>
      <c r="BX104" s="1006"/>
      <c r="BY104" s="1006"/>
      <c r="BZ104" s="1006"/>
      <c r="CA104" s="1006"/>
      <c r="CB104" s="1006"/>
      <c r="CC104" s="1006"/>
      <c r="CD104" s="1006"/>
      <c r="CE104" s="1006"/>
      <c r="CF104" s="1006"/>
      <c r="CG104" s="1209"/>
      <c r="CH104" s="1236">
        <v>52.840809176726836</v>
      </c>
      <c r="CI104" s="1007"/>
      <c r="CJ104" s="1007"/>
      <c r="CK104" s="1007"/>
      <c r="CL104" s="1007"/>
      <c r="CM104" s="1007"/>
      <c r="CN104" s="1007"/>
      <c r="CO104" s="1007"/>
      <c r="CP104" s="1007"/>
      <c r="CQ104" s="1007"/>
      <c r="CR104" s="1007"/>
      <c r="CS104" s="1007"/>
      <c r="CT104" s="1007"/>
      <c r="CU104" s="1007"/>
      <c r="CV104" s="1007"/>
      <c r="CW104" s="1007"/>
      <c r="CX104" s="1007"/>
      <c r="CY104" s="1007"/>
      <c r="CZ104" s="1007"/>
      <c r="DA104" s="1007"/>
      <c r="DB104" s="1007"/>
      <c r="DC104" s="1007"/>
      <c r="DD104" s="1007"/>
      <c r="DE104" s="1007"/>
      <c r="DF104" s="1236">
        <v>5520226.4938834757</v>
      </c>
      <c r="DG104" s="1236">
        <v>5014052.2976676757</v>
      </c>
      <c r="DH104" s="1007"/>
      <c r="DI104" s="1006"/>
      <c r="DJ104" s="1006"/>
      <c r="DK104" s="1007"/>
      <c r="DL104" s="1007"/>
      <c r="DM104" s="1007"/>
      <c r="DN104" s="1007"/>
      <c r="DO104" s="1112"/>
      <c r="DP104" s="1112"/>
      <c r="DQ104" s="1270"/>
      <c r="DR104" s="1154">
        <f t="shared" si="355"/>
        <v>106418.82897668456</v>
      </c>
      <c r="DS104" s="1154">
        <f t="shared" si="356"/>
        <v>0</v>
      </c>
      <c r="DT104" s="1154">
        <f t="shared" si="357"/>
        <v>0</v>
      </c>
      <c r="DU104" s="1154">
        <f t="shared" si="358"/>
        <v>0</v>
      </c>
      <c r="DV104" s="1154">
        <f t="shared" si="359"/>
        <v>0</v>
      </c>
      <c r="DW104" s="1154">
        <f t="shared" si="360"/>
        <v>0</v>
      </c>
      <c r="DX104" s="1154">
        <f t="shared" si="361"/>
        <v>0</v>
      </c>
      <c r="DY104" s="1154">
        <f t="shared" si="362"/>
        <v>0</v>
      </c>
      <c r="DZ104" s="1154">
        <f t="shared" si="363"/>
        <v>0</v>
      </c>
      <c r="EA104" s="1154">
        <f t="shared" si="364"/>
        <v>0</v>
      </c>
      <c r="EB104" s="1154">
        <f t="shared" si="365"/>
        <v>0</v>
      </c>
      <c r="EC104" s="1154">
        <f t="shared" si="366"/>
        <v>0</v>
      </c>
      <c r="ED104" s="1154">
        <f t="shared" si="367"/>
        <v>0</v>
      </c>
      <c r="EE104" s="1154">
        <f t="shared" si="368"/>
        <v>0</v>
      </c>
      <c r="EF104" s="1154">
        <f t="shared" si="369"/>
        <v>0</v>
      </c>
      <c r="EG104" s="1154">
        <f t="shared" si="370"/>
        <v>0</v>
      </c>
      <c r="EH104" s="1154">
        <f t="shared" si="371"/>
        <v>0</v>
      </c>
      <c r="EI104" s="1154">
        <f t="shared" si="372"/>
        <v>0</v>
      </c>
      <c r="EJ104" s="1154">
        <f t="shared" si="373"/>
        <v>0</v>
      </c>
      <c r="EK104" s="1154">
        <f t="shared" si="374"/>
        <v>0</v>
      </c>
      <c r="EL104" s="1154">
        <f t="shared" si="375"/>
        <v>0</v>
      </c>
      <c r="EM104" s="1154">
        <f t="shared" si="376"/>
        <v>0</v>
      </c>
      <c r="EN104" s="1154">
        <f t="shared" si="377"/>
        <v>0</v>
      </c>
      <c r="EO104" s="1154">
        <f t="shared" si="378"/>
        <v>0</v>
      </c>
      <c r="EP104" s="1154">
        <f t="shared" si="379"/>
        <v>74970.051328771835</v>
      </c>
      <c r="EQ104" s="1154">
        <f t="shared" si="380"/>
        <v>104412.68081896334</v>
      </c>
      <c r="ER104" s="1154">
        <f t="shared" si="381"/>
        <v>0</v>
      </c>
      <c r="ES104" s="1154">
        <f t="shared" si="382"/>
        <v>0</v>
      </c>
      <c r="ET104" s="1154">
        <f t="shared" si="383"/>
        <v>0</v>
      </c>
      <c r="EU104" s="1154">
        <f t="shared" si="384"/>
        <v>0</v>
      </c>
      <c r="EV104" s="1154">
        <f t="shared" si="385"/>
        <v>0</v>
      </c>
      <c r="EW104" s="1154">
        <f t="shared" si="386"/>
        <v>0</v>
      </c>
      <c r="EX104" s="1154">
        <f t="shared" si="387"/>
        <v>0</v>
      </c>
      <c r="EY104" s="1154">
        <f t="shared" si="388"/>
        <v>0</v>
      </c>
      <c r="EZ104" s="1154">
        <f t="shared" si="389"/>
        <v>0</v>
      </c>
      <c r="FA104" s="1174">
        <f t="shared" si="390"/>
        <v>285801.56112441974</v>
      </c>
      <c r="FC104" s="1154">
        <f t="shared" si="391"/>
        <v>0</v>
      </c>
      <c r="FD104" s="1154">
        <f t="shared" si="392"/>
        <v>0</v>
      </c>
      <c r="FE104" s="1154">
        <f t="shared" si="393"/>
        <v>0</v>
      </c>
      <c r="FF104" s="1154">
        <f t="shared" si="394"/>
        <v>0</v>
      </c>
      <c r="FG104" s="1154">
        <f t="shared" si="395"/>
        <v>0</v>
      </c>
      <c r="FH104" s="1154">
        <f t="shared" si="396"/>
        <v>0</v>
      </c>
      <c r="FI104" s="1154">
        <f t="shared" si="397"/>
        <v>0</v>
      </c>
      <c r="FJ104" s="1154">
        <f t="shared" si="398"/>
        <v>0</v>
      </c>
      <c r="FK104" s="1154">
        <f t="shared" si="399"/>
        <v>0</v>
      </c>
      <c r="FL104" s="1154">
        <f t="shared" si="400"/>
        <v>0</v>
      </c>
      <c r="FM104" s="1154">
        <f t="shared" si="401"/>
        <v>0</v>
      </c>
      <c r="FN104" s="1154">
        <f t="shared" si="402"/>
        <v>0</v>
      </c>
      <c r="FO104" s="1154">
        <f t="shared" si="403"/>
        <v>0</v>
      </c>
      <c r="FP104" s="1154">
        <f t="shared" si="404"/>
        <v>0</v>
      </c>
      <c r="FQ104" s="1154">
        <f t="shared" si="405"/>
        <v>0</v>
      </c>
      <c r="FR104" s="1154">
        <f t="shared" si="406"/>
        <v>0</v>
      </c>
      <c r="FS104" s="1154">
        <f t="shared" si="407"/>
        <v>0</v>
      </c>
      <c r="FT104" s="1154">
        <f t="shared" si="408"/>
        <v>0</v>
      </c>
      <c r="FU104" s="1154">
        <f t="shared" si="409"/>
        <v>0</v>
      </c>
      <c r="FV104" s="1154">
        <f t="shared" si="410"/>
        <v>0</v>
      </c>
      <c r="FW104" s="1154">
        <f t="shared" si="411"/>
        <v>0</v>
      </c>
      <c r="FX104" s="1154">
        <f t="shared" si="412"/>
        <v>0</v>
      </c>
      <c r="FY104" s="1154">
        <f t="shared" si="413"/>
        <v>0</v>
      </c>
      <c r="FZ104" s="1154">
        <f t="shared" si="414"/>
        <v>0</v>
      </c>
      <c r="GA104" s="1154">
        <f t="shared" si="415"/>
        <v>0</v>
      </c>
      <c r="GB104" s="1154">
        <f t="shared" si="416"/>
        <v>0</v>
      </c>
      <c r="GC104" s="1154">
        <f t="shared" si="417"/>
        <v>0</v>
      </c>
      <c r="GD104" s="1154">
        <f t="shared" si="418"/>
        <v>0</v>
      </c>
      <c r="GE104" s="1154">
        <f t="shared" si="419"/>
        <v>0</v>
      </c>
      <c r="GF104" s="1154">
        <f t="shared" si="420"/>
        <v>0</v>
      </c>
      <c r="GG104" s="1154">
        <f t="shared" si="421"/>
        <v>0</v>
      </c>
      <c r="GH104" s="1154">
        <f t="shared" si="422"/>
        <v>0</v>
      </c>
      <c r="GI104" s="1154">
        <f t="shared" si="423"/>
        <v>0</v>
      </c>
      <c r="GJ104" s="1154">
        <f t="shared" si="424"/>
        <v>0</v>
      </c>
      <c r="GK104" s="1154">
        <f t="shared" si="425"/>
        <v>0</v>
      </c>
      <c r="GL104" s="1174">
        <f t="shared" si="426"/>
        <v>0</v>
      </c>
    </row>
    <row r="105" spans="1:194">
      <c r="B105" s="1290" t="str">
        <f t="shared" si="354"/>
        <v>SACDUOSEBEST</v>
      </c>
      <c r="C105" s="1289" t="str">
        <f t="shared" ref="C105:D105" si="429">C104</f>
        <v>East SAC&gt;100MWhpa Large Business Energy</v>
      </c>
      <c r="D105" s="1113" t="str">
        <f t="shared" si="429"/>
        <v>East SAC&gt;100MWhpa DemandSmall</v>
      </c>
      <c r="E105" s="1113" t="str">
        <f t="shared" ref="E105:G105" si="430">E104</f>
        <v>SAC</v>
      </c>
      <c r="F105" s="1113" t="str">
        <f t="shared" si="430"/>
        <v>SACL</v>
      </c>
      <c r="G105" s="1113" t="str">
        <f t="shared" si="430"/>
        <v>East</v>
      </c>
      <c r="H105" s="1113" t="str">
        <f t="shared" si="427"/>
        <v>EBEST</v>
      </c>
      <c r="I105" s="1114" t="s">
        <v>759</v>
      </c>
      <c r="J105" s="1114" t="s">
        <v>934</v>
      </c>
      <c r="K105" s="1270"/>
      <c r="L105" s="1233">
        <v>7.2208920000000001</v>
      </c>
      <c r="M105" s="1007"/>
      <c r="N105" s="1007"/>
      <c r="O105" s="1007"/>
      <c r="P105" s="1007"/>
      <c r="Q105" s="1007"/>
      <c r="R105" s="1007"/>
      <c r="S105" s="1007"/>
      <c r="T105" s="1007"/>
      <c r="U105" s="1007"/>
      <c r="V105" s="1007"/>
      <c r="W105" s="1007"/>
      <c r="X105" s="1007"/>
      <c r="Y105" s="1007"/>
      <c r="Z105" s="1007"/>
      <c r="AA105" s="1007"/>
      <c r="AB105" s="1007"/>
      <c r="AC105" s="1007"/>
      <c r="AD105" s="1007"/>
      <c r="AE105" s="1007"/>
      <c r="AF105" s="1007"/>
      <c r="AG105" s="1007"/>
      <c r="AH105" s="1007"/>
      <c r="AI105" s="1007"/>
      <c r="AJ105" s="1233">
        <v>1.4121335766844378E-2</v>
      </c>
      <c r="AK105" s="1233">
        <v>2.8211909900111125E-2</v>
      </c>
      <c r="AL105" s="1005"/>
      <c r="AM105" s="1005"/>
      <c r="AN105" s="1005"/>
      <c r="AO105" s="1005"/>
      <c r="AP105" s="1005"/>
      <c r="AQ105" s="1005"/>
      <c r="AR105" s="1005"/>
      <c r="AS105" s="1005"/>
      <c r="AT105" s="1005"/>
      <c r="AU105" s="1006"/>
      <c r="AV105" s="1270"/>
      <c r="AW105" s="1006"/>
      <c r="AX105" s="1006"/>
      <c r="AY105" s="1006"/>
      <c r="AZ105" s="1006"/>
      <c r="BA105" s="1006"/>
      <c r="BB105" s="1006"/>
      <c r="BC105" s="1006"/>
      <c r="BD105" s="1006"/>
      <c r="BE105" s="1006"/>
      <c r="BF105" s="1006"/>
      <c r="BG105" s="1006"/>
      <c r="BH105" s="1006"/>
      <c r="BI105" s="1006"/>
      <c r="BJ105" s="1006"/>
      <c r="BK105" s="1006"/>
      <c r="BL105" s="1006"/>
      <c r="BM105" s="1006"/>
      <c r="BN105" s="1006"/>
      <c r="BO105" s="1006"/>
      <c r="BP105" s="1006"/>
      <c r="BQ105" s="1006"/>
      <c r="BR105" s="1006"/>
      <c r="BS105" s="1006"/>
      <c r="BT105" s="1006"/>
      <c r="BU105" s="1006"/>
      <c r="BV105" s="1006"/>
      <c r="BW105" s="1006"/>
      <c r="BX105" s="1006"/>
      <c r="BY105" s="1006"/>
      <c r="BZ105" s="1006"/>
      <c r="CA105" s="1006"/>
      <c r="CB105" s="1006"/>
      <c r="CC105" s="1006"/>
      <c r="CD105" s="1006"/>
      <c r="CE105" s="1006"/>
      <c r="CF105" s="1006"/>
      <c r="CG105" s="1209"/>
      <c r="CH105" s="1236">
        <v>35.711120213880051</v>
      </c>
      <c r="CI105" s="1007"/>
      <c r="CJ105" s="1007"/>
      <c r="CK105" s="1007"/>
      <c r="CL105" s="1007"/>
      <c r="CM105" s="1007"/>
      <c r="CN105" s="1007"/>
      <c r="CO105" s="1007"/>
      <c r="CP105" s="1007"/>
      <c r="CQ105" s="1007"/>
      <c r="CR105" s="1007"/>
      <c r="CS105" s="1007"/>
      <c r="CT105" s="1007"/>
      <c r="CU105" s="1007"/>
      <c r="CV105" s="1007"/>
      <c r="CW105" s="1007"/>
      <c r="CX105" s="1007"/>
      <c r="CY105" s="1007"/>
      <c r="CZ105" s="1007"/>
      <c r="DA105" s="1007"/>
      <c r="DB105" s="1007"/>
      <c r="DC105" s="1007"/>
      <c r="DD105" s="1007"/>
      <c r="DE105" s="1007"/>
      <c r="DF105" s="1236">
        <v>3730705.0176238348</v>
      </c>
      <c r="DG105" s="1236">
        <v>3388620.0296787992</v>
      </c>
      <c r="DH105" s="1007"/>
      <c r="DI105" s="1006"/>
      <c r="DJ105" s="1006"/>
      <c r="DK105" s="1007"/>
      <c r="DL105" s="1007"/>
      <c r="DM105" s="1007"/>
      <c r="DN105" s="1007"/>
      <c r="DO105" s="1112"/>
      <c r="DP105" s="1112"/>
      <c r="DQ105" s="1270"/>
      <c r="DR105" s="1154">
        <f t="shared" si="355"/>
        <v>94121.141926157346</v>
      </c>
      <c r="DS105" s="1154">
        <f t="shared" si="356"/>
        <v>0</v>
      </c>
      <c r="DT105" s="1154">
        <f t="shared" si="357"/>
        <v>0</v>
      </c>
      <c r="DU105" s="1154">
        <f t="shared" si="358"/>
        <v>0</v>
      </c>
      <c r="DV105" s="1154">
        <f t="shared" si="359"/>
        <v>0</v>
      </c>
      <c r="DW105" s="1154">
        <f t="shared" si="360"/>
        <v>0</v>
      </c>
      <c r="DX105" s="1154">
        <f t="shared" si="361"/>
        <v>0</v>
      </c>
      <c r="DY105" s="1154">
        <f t="shared" si="362"/>
        <v>0</v>
      </c>
      <c r="DZ105" s="1154">
        <f t="shared" si="363"/>
        <v>0</v>
      </c>
      <c r="EA105" s="1154">
        <f t="shared" si="364"/>
        <v>0</v>
      </c>
      <c r="EB105" s="1154">
        <f t="shared" si="365"/>
        <v>0</v>
      </c>
      <c r="EC105" s="1154">
        <f t="shared" si="366"/>
        <v>0</v>
      </c>
      <c r="ED105" s="1154">
        <f t="shared" si="367"/>
        <v>0</v>
      </c>
      <c r="EE105" s="1154">
        <f t="shared" si="368"/>
        <v>0</v>
      </c>
      <c r="EF105" s="1154">
        <f t="shared" si="369"/>
        <v>0</v>
      </c>
      <c r="EG105" s="1154">
        <f t="shared" si="370"/>
        <v>0</v>
      </c>
      <c r="EH105" s="1154">
        <f t="shared" si="371"/>
        <v>0</v>
      </c>
      <c r="EI105" s="1154">
        <f t="shared" si="372"/>
        <v>0</v>
      </c>
      <c r="EJ105" s="1154">
        <f t="shared" si="373"/>
        <v>0</v>
      </c>
      <c r="EK105" s="1154">
        <f t="shared" si="374"/>
        <v>0</v>
      </c>
      <c r="EL105" s="1154">
        <f t="shared" si="375"/>
        <v>0</v>
      </c>
      <c r="EM105" s="1154">
        <f t="shared" si="376"/>
        <v>0</v>
      </c>
      <c r="EN105" s="1154">
        <f t="shared" si="377"/>
        <v>0</v>
      </c>
      <c r="EO105" s="1154">
        <f t="shared" si="378"/>
        <v>0</v>
      </c>
      <c r="EP105" s="1154">
        <f t="shared" si="379"/>
        <v>52682.538200917246</v>
      </c>
      <c r="EQ105" s="1154">
        <f t="shared" si="380"/>
        <v>95599.442963010166</v>
      </c>
      <c r="ER105" s="1154">
        <f t="shared" si="381"/>
        <v>0</v>
      </c>
      <c r="ES105" s="1154">
        <f t="shared" si="382"/>
        <v>0</v>
      </c>
      <c r="ET105" s="1154">
        <f t="shared" si="383"/>
        <v>0</v>
      </c>
      <c r="EU105" s="1154">
        <f t="shared" si="384"/>
        <v>0</v>
      </c>
      <c r="EV105" s="1154">
        <f t="shared" si="385"/>
        <v>0</v>
      </c>
      <c r="EW105" s="1154">
        <f t="shared" si="386"/>
        <v>0</v>
      </c>
      <c r="EX105" s="1154">
        <f t="shared" si="387"/>
        <v>0</v>
      </c>
      <c r="EY105" s="1154">
        <f t="shared" si="388"/>
        <v>0</v>
      </c>
      <c r="EZ105" s="1154">
        <f t="shared" si="389"/>
        <v>0</v>
      </c>
      <c r="FA105" s="1174">
        <f t="shared" si="390"/>
        <v>242403.12309008476</v>
      </c>
      <c r="FC105" s="1154">
        <f t="shared" si="391"/>
        <v>0</v>
      </c>
      <c r="FD105" s="1154">
        <f t="shared" si="392"/>
        <v>0</v>
      </c>
      <c r="FE105" s="1154">
        <f t="shared" si="393"/>
        <v>0</v>
      </c>
      <c r="FF105" s="1154">
        <f t="shared" si="394"/>
        <v>0</v>
      </c>
      <c r="FG105" s="1154">
        <f t="shared" si="395"/>
        <v>0</v>
      </c>
      <c r="FH105" s="1154">
        <f t="shared" si="396"/>
        <v>0</v>
      </c>
      <c r="FI105" s="1154">
        <f t="shared" si="397"/>
        <v>0</v>
      </c>
      <c r="FJ105" s="1154">
        <f t="shared" si="398"/>
        <v>0</v>
      </c>
      <c r="FK105" s="1154">
        <f t="shared" si="399"/>
        <v>0</v>
      </c>
      <c r="FL105" s="1154">
        <f t="shared" si="400"/>
        <v>0</v>
      </c>
      <c r="FM105" s="1154">
        <f t="shared" si="401"/>
        <v>0</v>
      </c>
      <c r="FN105" s="1154">
        <f t="shared" si="402"/>
        <v>0</v>
      </c>
      <c r="FO105" s="1154">
        <f t="shared" si="403"/>
        <v>0</v>
      </c>
      <c r="FP105" s="1154">
        <f t="shared" si="404"/>
        <v>0</v>
      </c>
      <c r="FQ105" s="1154">
        <f t="shared" si="405"/>
        <v>0</v>
      </c>
      <c r="FR105" s="1154">
        <f t="shared" si="406"/>
        <v>0</v>
      </c>
      <c r="FS105" s="1154">
        <f t="shared" si="407"/>
        <v>0</v>
      </c>
      <c r="FT105" s="1154">
        <f t="shared" si="408"/>
        <v>0</v>
      </c>
      <c r="FU105" s="1154">
        <f t="shared" si="409"/>
        <v>0</v>
      </c>
      <c r="FV105" s="1154">
        <f t="shared" si="410"/>
        <v>0</v>
      </c>
      <c r="FW105" s="1154">
        <f t="shared" si="411"/>
        <v>0</v>
      </c>
      <c r="FX105" s="1154">
        <f t="shared" si="412"/>
        <v>0</v>
      </c>
      <c r="FY105" s="1154">
        <f t="shared" si="413"/>
        <v>0</v>
      </c>
      <c r="FZ105" s="1154">
        <f t="shared" si="414"/>
        <v>0</v>
      </c>
      <c r="GA105" s="1154">
        <f t="shared" si="415"/>
        <v>0</v>
      </c>
      <c r="GB105" s="1154">
        <f t="shared" si="416"/>
        <v>0</v>
      </c>
      <c r="GC105" s="1154">
        <f t="shared" si="417"/>
        <v>0</v>
      </c>
      <c r="GD105" s="1154">
        <f t="shared" si="418"/>
        <v>0</v>
      </c>
      <c r="GE105" s="1154">
        <f t="shared" si="419"/>
        <v>0</v>
      </c>
      <c r="GF105" s="1154">
        <f t="shared" si="420"/>
        <v>0</v>
      </c>
      <c r="GG105" s="1154">
        <f t="shared" si="421"/>
        <v>0</v>
      </c>
      <c r="GH105" s="1154">
        <f t="shared" si="422"/>
        <v>0</v>
      </c>
      <c r="GI105" s="1154">
        <f t="shared" si="423"/>
        <v>0</v>
      </c>
      <c r="GJ105" s="1154">
        <f t="shared" si="424"/>
        <v>0</v>
      </c>
      <c r="GK105" s="1154">
        <f t="shared" si="425"/>
        <v>0</v>
      </c>
      <c r="GL105" s="1174">
        <f t="shared" si="426"/>
        <v>0</v>
      </c>
    </row>
    <row r="106" spans="1:194">
      <c r="B106" s="1290" t="str">
        <f>$E106&amp;"DUOS"&amp;$H106</f>
        <v>SACDUOSWBEST</v>
      </c>
      <c r="C106" s="1289" t="str">
        <f>Prop2021DUOSTariffs!C48</f>
        <v>West SAC&gt;100MWhpa Large Business Energy</v>
      </c>
      <c r="D106" s="1113" t="str">
        <f>Prop2021DUOSTariffs!D48</f>
        <v>West SAC&gt;100MWhpa DemandSmall</v>
      </c>
      <c r="E106" s="1113" t="str">
        <f>Prop2021DUOSTariffs!E48</f>
        <v>SAC</v>
      </c>
      <c r="F106" s="1113" t="str">
        <f>Prop2021DUOSTariffs!F48</f>
        <v>SACL</v>
      </c>
      <c r="G106" s="1113" t="str">
        <f>Prop2021DUOSTariffs!G48</f>
        <v>West</v>
      </c>
      <c r="H106" s="1113" t="str">
        <f>IF(Prop2021DUOSTariffs!H48="","",Prop2021DUOSTariffs!H48)</f>
        <v>WBEST</v>
      </c>
      <c r="I106" s="1114" t="s">
        <v>798</v>
      </c>
      <c r="J106" s="1114" t="s">
        <v>934</v>
      </c>
      <c r="K106" s="1270"/>
      <c r="L106" s="1233">
        <v>4.1796489000000001</v>
      </c>
      <c r="M106" s="1007"/>
      <c r="N106" s="1007"/>
      <c r="O106" s="1007"/>
      <c r="P106" s="1007"/>
      <c r="Q106" s="1007"/>
      <c r="R106" s="1007"/>
      <c r="S106" s="1007"/>
      <c r="T106" s="1007"/>
      <c r="U106" s="1007"/>
      <c r="V106" s="1007"/>
      <c r="W106" s="1007"/>
      <c r="X106" s="1007"/>
      <c r="Y106" s="1007"/>
      <c r="Z106" s="1007"/>
      <c r="AA106" s="1007"/>
      <c r="AB106" s="1007"/>
      <c r="AC106" s="1007"/>
      <c r="AD106" s="1007"/>
      <c r="AE106" s="1007"/>
      <c r="AF106" s="1007"/>
      <c r="AG106" s="1007"/>
      <c r="AH106" s="1007"/>
      <c r="AI106" s="1007"/>
      <c r="AJ106" s="1233">
        <v>1.2756154364570426E-2</v>
      </c>
      <c r="AK106" s="1233">
        <v>1.6183265485757239E-2</v>
      </c>
      <c r="AL106" s="1005"/>
      <c r="AM106" s="1005"/>
      <c r="AN106" s="1005"/>
      <c r="AO106" s="1005"/>
      <c r="AP106" s="1005"/>
      <c r="AQ106" s="1005"/>
      <c r="AR106" s="1005"/>
      <c r="AS106" s="1005"/>
      <c r="AT106" s="1005"/>
      <c r="AU106" s="1006"/>
      <c r="AV106" s="1270"/>
      <c r="AW106" s="1006"/>
      <c r="AX106" s="1006"/>
      <c r="AY106" s="1006"/>
      <c r="AZ106" s="1006"/>
      <c r="BA106" s="1006"/>
      <c r="BB106" s="1006"/>
      <c r="BC106" s="1006"/>
      <c r="BD106" s="1006"/>
      <c r="BE106" s="1006"/>
      <c r="BF106" s="1006"/>
      <c r="BG106" s="1006"/>
      <c r="BH106" s="1006"/>
      <c r="BI106" s="1006"/>
      <c r="BJ106" s="1006"/>
      <c r="BK106" s="1006"/>
      <c r="BL106" s="1006"/>
      <c r="BM106" s="1006"/>
      <c r="BN106" s="1006"/>
      <c r="BO106" s="1006"/>
      <c r="BP106" s="1006"/>
      <c r="BQ106" s="1006"/>
      <c r="BR106" s="1006"/>
      <c r="BS106" s="1006"/>
      <c r="BT106" s="1006"/>
      <c r="BU106" s="1006"/>
      <c r="BV106" s="1006"/>
      <c r="BW106" s="1006"/>
      <c r="BX106" s="1006"/>
      <c r="BY106" s="1006"/>
      <c r="BZ106" s="1006"/>
      <c r="CA106" s="1006"/>
      <c r="CB106" s="1006"/>
      <c r="CC106" s="1006"/>
      <c r="CD106" s="1006"/>
      <c r="CE106" s="1006"/>
      <c r="CF106" s="1006"/>
      <c r="CG106" s="1209"/>
      <c r="CH106" s="1236">
        <v>25.599892377647414</v>
      </c>
      <c r="CI106" s="1007"/>
      <c r="CJ106" s="1007"/>
      <c r="CK106" s="1007"/>
      <c r="CL106" s="1007"/>
      <c r="CM106" s="1007"/>
      <c r="CN106" s="1007"/>
      <c r="CO106" s="1007"/>
      <c r="CP106" s="1007"/>
      <c r="CQ106" s="1007"/>
      <c r="CR106" s="1007"/>
      <c r="CS106" s="1007"/>
      <c r="CT106" s="1007"/>
      <c r="CU106" s="1007"/>
      <c r="CV106" s="1007"/>
      <c r="CW106" s="1007"/>
      <c r="CX106" s="1007"/>
      <c r="CY106" s="1007"/>
      <c r="CZ106" s="1007"/>
      <c r="DA106" s="1007"/>
      <c r="DB106" s="1007"/>
      <c r="DC106" s="1007"/>
      <c r="DD106" s="1007"/>
      <c r="DE106" s="1007"/>
      <c r="DF106" s="1236">
        <v>2674395.1568004475</v>
      </c>
      <c r="DG106" s="1236">
        <v>1330760.9679246878</v>
      </c>
      <c r="DH106" s="1007"/>
      <c r="DI106" s="1006"/>
      <c r="DJ106" s="1006"/>
      <c r="DK106" s="1007"/>
      <c r="DL106" s="1007"/>
      <c r="DM106" s="1007"/>
      <c r="DN106" s="1007"/>
      <c r="DO106" s="1112"/>
      <c r="DP106" s="1112"/>
      <c r="DQ106" s="1270"/>
      <c r="DR106" s="1154">
        <f t="shared" si="355"/>
        <v>39054.475135968627</v>
      </c>
      <c r="DS106" s="1154">
        <f t="shared" si="356"/>
        <v>0</v>
      </c>
      <c r="DT106" s="1154">
        <f t="shared" si="357"/>
        <v>0</v>
      </c>
      <c r="DU106" s="1154">
        <f t="shared" si="358"/>
        <v>0</v>
      </c>
      <c r="DV106" s="1154">
        <f t="shared" si="359"/>
        <v>0</v>
      </c>
      <c r="DW106" s="1154">
        <f t="shared" si="360"/>
        <v>0</v>
      </c>
      <c r="DX106" s="1154">
        <f t="shared" si="361"/>
        <v>0</v>
      </c>
      <c r="DY106" s="1154">
        <f t="shared" si="362"/>
        <v>0</v>
      </c>
      <c r="DZ106" s="1154">
        <f t="shared" si="363"/>
        <v>0</v>
      </c>
      <c r="EA106" s="1154">
        <f t="shared" si="364"/>
        <v>0</v>
      </c>
      <c r="EB106" s="1154">
        <f t="shared" si="365"/>
        <v>0</v>
      </c>
      <c r="EC106" s="1154">
        <f t="shared" si="366"/>
        <v>0</v>
      </c>
      <c r="ED106" s="1154">
        <f t="shared" si="367"/>
        <v>0</v>
      </c>
      <c r="EE106" s="1154">
        <f t="shared" si="368"/>
        <v>0</v>
      </c>
      <c r="EF106" s="1154">
        <f t="shared" si="369"/>
        <v>0</v>
      </c>
      <c r="EG106" s="1154">
        <f t="shared" si="370"/>
        <v>0</v>
      </c>
      <c r="EH106" s="1154">
        <f t="shared" si="371"/>
        <v>0</v>
      </c>
      <c r="EI106" s="1154">
        <f t="shared" si="372"/>
        <v>0</v>
      </c>
      <c r="EJ106" s="1154">
        <f t="shared" si="373"/>
        <v>0</v>
      </c>
      <c r="EK106" s="1154">
        <f t="shared" si="374"/>
        <v>0</v>
      </c>
      <c r="EL106" s="1154">
        <f t="shared" si="375"/>
        <v>0</v>
      </c>
      <c r="EM106" s="1154">
        <f t="shared" si="376"/>
        <v>0</v>
      </c>
      <c r="EN106" s="1154">
        <f t="shared" si="377"/>
        <v>0</v>
      </c>
      <c r="EO106" s="1154">
        <f t="shared" si="378"/>
        <v>0</v>
      </c>
      <c r="EP106" s="1154">
        <f t="shared" si="379"/>
        <v>34114.997452006035</v>
      </c>
      <c r="EQ106" s="1154">
        <f t="shared" si="380"/>
        <v>21536.058042008495</v>
      </c>
      <c r="ER106" s="1154">
        <f t="shared" si="381"/>
        <v>0</v>
      </c>
      <c r="ES106" s="1154">
        <f t="shared" si="382"/>
        <v>0</v>
      </c>
      <c r="ET106" s="1154">
        <f t="shared" si="383"/>
        <v>0</v>
      </c>
      <c r="EU106" s="1154">
        <f t="shared" si="384"/>
        <v>0</v>
      </c>
      <c r="EV106" s="1154">
        <f t="shared" si="385"/>
        <v>0</v>
      </c>
      <c r="EW106" s="1154">
        <f t="shared" si="386"/>
        <v>0</v>
      </c>
      <c r="EX106" s="1154">
        <f t="shared" si="387"/>
        <v>0</v>
      </c>
      <c r="EY106" s="1154">
        <f t="shared" si="388"/>
        <v>0</v>
      </c>
      <c r="EZ106" s="1154">
        <f t="shared" si="389"/>
        <v>0</v>
      </c>
      <c r="FA106" s="1174">
        <f>SUM(DR106:EZ106)</f>
        <v>94705.530629983143</v>
      </c>
      <c r="FC106" s="1154">
        <f t="shared" si="391"/>
        <v>0</v>
      </c>
      <c r="FD106" s="1154">
        <f t="shared" si="392"/>
        <v>0</v>
      </c>
      <c r="FE106" s="1154">
        <f t="shared" si="393"/>
        <v>0</v>
      </c>
      <c r="FF106" s="1154">
        <f t="shared" si="394"/>
        <v>0</v>
      </c>
      <c r="FG106" s="1154">
        <f t="shared" si="395"/>
        <v>0</v>
      </c>
      <c r="FH106" s="1154">
        <f t="shared" si="396"/>
        <v>0</v>
      </c>
      <c r="FI106" s="1154">
        <f t="shared" si="397"/>
        <v>0</v>
      </c>
      <c r="FJ106" s="1154">
        <f t="shared" si="398"/>
        <v>0</v>
      </c>
      <c r="FK106" s="1154">
        <f t="shared" si="399"/>
        <v>0</v>
      </c>
      <c r="FL106" s="1154">
        <f t="shared" si="400"/>
        <v>0</v>
      </c>
      <c r="FM106" s="1154">
        <f t="shared" si="401"/>
        <v>0</v>
      </c>
      <c r="FN106" s="1154">
        <f t="shared" si="402"/>
        <v>0</v>
      </c>
      <c r="FO106" s="1154">
        <f t="shared" si="403"/>
        <v>0</v>
      </c>
      <c r="FP106" s="1154">
        <f t="shared" si="404"/>
        <v>0</v>
      </c>
      <c r="FQ106" s="1154">
        <f t="shared" si="405"/>
        <v>0</v>
      </c>
      <c r="FR106" s="1154">
        <f t="shared" si="406"/>
        <v>0</v>
      </c>
      <c r="FS106" s="1154">
        <f t="shared" si="407"/>
        <v>0</v>
      </c>
      <c r="FT106" s="1154">
        <f t="shared" si="408"/>
        <v>0</v>
      </c>
      <c r="FU106" s="1154">
        <f t="shared" si="409"/>
        <v>0</v>
      </c>
      <c r="FV106" s="1154">
        <f t="shared" si="410"/>
        <v>0</v>
      </c>
      <c r="FW106" s="1154">
        <f t="shared" si="411"/>
        <v>0</v>
      </c>
      <c r="FX106" s="1154">
        <f t="shared" si="412"/>
        <v>0</v>
      </c>
      <c r="FY106" s="1154">
        <f t="shared" si="413"/>
        <v>0</v>
      </c>
      <c r="FZ106" s="1154">
        <f t="shared" si="414"/>
        <v>0</v>
      </c>
      <c r="GA106" s="1154">
        <f t="shared" si="415"/>
        <v>0</v>
      </c>
      <c r="GB106" s="1154">
        <f t="shared" si="416"/>
        <v>0</v>
      </c>
      <c r="GC106" s="1154">
        <f t="shared" si="417"/>
        <v>0</v>
      </c>
      <c r="GD106" s="1154">
        <f t="shared" si="418"/>
        <v>0</v>
      </c>
      <c r="GE106" s="1154">
        <f t="shared" si="419"/>
        <v>0</v>
      </c>
      <c r="GF106" s="1154">
        <f t="shared" si="420"/>
        <v>0</v>
      </c>
      <c r="GG106" s="1154">
        <f t="shared" si="421"/>
        <v>0</v>
      </c>
      <c r="GH106" s="1154">
        <f t="shared" si="422"/>
        <v>0</v>
      </c>
      <c r="GI106" s="1154">
        <f t="shared" si="423"/>
        <v>0</v>
      </c>
      <c r="GJ106" s="1154">
        <f t="shared" si="424"/>
        <v>0</v>
      </c>
      <c r="GK106" s="1154">
        <f t="shared" si="425"/>
        <v>0</v>
      </c>
      <c r="GL106" s="1174">
        <f>SUM(FC106:GK106)</f>
        <v>0</v>
      </c>
    </row>
    <row r="107" spans="1:194">
      <c r="B107" s="1290" t="str">
        <f t="shared" si="354"/>
        <v>SACDUOSWBEST</v>
      </c>
      <c r="C107" s="1289" t="str">
        <f>C106</f>
        <v>West SAC&gt;100MWhpa Large Business Energy</v>
      </c>
      <c r="D107" s="1113" t="str">
        <f t="shared" ref="D107:H107" si="431">D106</f>
        <v>West SAC&gt;100MWhpa DemandSmall</v>
      </c>
      <c r="E107" s="1113" t="str">
        <f t="shared" si="431"/>
        <v>SAC</v>
      </c>
      <c r="F107" s="1113" t="str">
        <f t="shared" si="431"/>
        <v>SACL</v>
      </c>
      <c r="G107" s="1113" t="str">
        <f t="shared" si="431"/>
        <v>West</v>
      </c>
      <c r="H107" s="1113" t="str">
        <f t="shared" si="431"/>
        <v>WBEST</v>
      </c>
      <c r="I107" s="1114" t="s">
        <v>752</v>
      </c>
      <c r="J107" s="1114" t="s">
        <v>934</v>
      </c>
      <c r="K107" s="1270"/>
      <c r="L107" s="1233">
        <v>5.5176754500000005</v>
      </c>
      <c r="M107" s="1007"/>
      <c r="N107" s="1007"/>
      <c r="O107" s="1007"/>
      <c r="P107" s="1007"/>
      <c r="Q107" s="1007"/>
      <c r="R107" s="1007"/>
      <c r="S107" s="1007"/>
      <c r="T107" s="1007"/>
      <c r="U107" s="1007"/>
      <c r="V107" s="1007"/>
      <c r="W107" s="1007"/>
      <c r="X107" s="1007"/>
      <c r="Y107" s="1007"/>
      <c r="Z107" s="1007"/>
      <c r="AA107" s="1007"/>
      <c r="AB107" s="1007"/>
      <c r="AC107" s="1007"/>
      <c r="AD107" s="1007"/>
      <c r="AE107" s="1007"/>
      <c r="AF107" s="1007"/>
      <c r="AG107" s="1007"/>
      <c r="AH107" s="1007"/>
      <c r="AI107" s="1007"/>
      <c r="AJ107" s="1233">
        <v>1.3580973790086366E-2</v>
      </c>
      <c r="AK107" s="1233">
        <v>2.0824011123205016E-2</v>
      </c>
      <c r="AL107" s="1005"/>
      <c r="AM107" s="1005"/>
      <c r="AN107" s="1005"/>
      <c r="AO107" s="1005"/>
      <c r="AP107" s="1005"/>
      <c r="AQ107" s="1005"/>
      <c r="AR107" s="1005"/>
      <c r="AS107" s="1005"/>
      <c r="AT107" s="1005"/>
      <c r="AU107" s="1006"/>
      <c r="AV107" s="1270"/>
      <c r="AW107" s="1006"/>
      <c r="AX107" s="1006"/>
      <c r="AY107" s="1006"/>
      <c r="AZ107" s="1006"/>
      <c r="BA107" s="1006"/>
      <c r="BB107" s="1006"/>
      <c r="BC107" s="1006"/>
      <c r="BD107" s="1006"/>
      <c r="BE107" s="1006"/>
      <c r="BF107" s="1006"/>
      <c r="BG107" s="1006"/>
      <c r="BH107" s="1006"/>
      <c r="BI107" s="1006"/>
      <c r="BJ107" s="1006"/>
      <c r="BK107" s="1006"/>
      <c r="BL107" s="1006"/>
      <c r="BM107" s="1006"/>
      <c r="BN107" s="1006"/>
      <c r="BO107" s="1006"/>
      <c r="BP107" s="1006"/>
      <c r="BQ107" s="1006"/>
      <c r="BR107" s="1006"/>
      <c r="BS107" s="1006"/>
      <c r="BT107" s="1006"/>
      <c r="BU107" s="1006"/>
      <c r="BV107" s="1006"/>
      <c r="BW107" s="1006"/>
      <c r="BX107" s="1006"/>
      <c r="BY107" s="1006"/>
      <c r="BZ107" s="1006"/>
      <c r="CA107" s="1006"/>
      <c r="CB107" s="1006"/>
      <c r="CC107" s="1006"/>
      <c r="CD107" s="1006"/>
      <c r="CE107" s="1006"/>
      <c r="CF107" s="1006"/>
      <c r="CG107" s="1209"/>
      <c r="CH107" s="1236">
        <v>6.9675179271170053</v>
      </c>
      <c r="CI107" s="1007"/>
      <c r="CJ107" s="1007"/>
      <c r="CK107" s="1007"/>
      <c r="CL107" s="1007"/>
      <c r="CM107" s="1007"/>
      <c r="CN107" s="1007"/>
      <c r="CO107" s="1007"/>
      <c r="CP107" s="1007"/>
      <c r="CQ107" s="1007"/>
      <c r="CR107" s="1007"/>
      <c r="CS107" s="1007"/>
      <c r="CT107" s="1007"/>
      <c r="CU107" s="1007"/>
      <c r="CV107" s="1007"/>
      <c r="CW107" s="1007"/>
      <c r="CX107" s="1007"/>
      <c r="CY107" s="1007"/>
      <c r="CZ107" s="1007"/>
      <c r="DA107" s="1007"/>
      <c r="DB107" s="1007"/>
      <c r="DC107" s="1007"/>
      <c r="DD107" s="1007"/>
      <c r="DE107" s="1007"/>
      <c r="DF107" s="1236">
        <v>727889.63032798644</v>
      </c>
      <c r="DG107" s="1236">
        <v>362192.96409303619</v>
      </c>
      <c r="DH107" s="1007"/>
      <c r="DI107" s="1006"/>
      <c r="DJ107" s="1006"/>
      <c r="DK107" s="1007"/>
      <c r="DL107" s="1007"/>
      <c r="DM107" s="1007"/>
      <c r="DN107" s="1007"/>
      <c r="DO107" s="1112"/>
      <c r="DP107" s="1112"/>
      <c r="DQ107" s="1270"/>
      <c r="DR107" s="1154">
        <f t="shared" si="355"/>
        <v>14032.243454069265</v>
      </c>
      <c r="DS107" s="1154">
        <f t="shared" si="356"/>
        <v>0</v>
      </c>
      <c r="DT107" s="1154">
        <f t="shared" si="357"/>
        <v>0</v>
      </c>
      <c r="DU107" s="1154">
        <f t="shared" si="358"/>
        <v>0</v>
      </c>
      <c r="DV107" s="1154">
        <f t="shared" si="359"/>
        <v>0</v>
      </c>
      <c r="DW107" s="1154">
        <f t="shared" si="360"/>
        <v>0</v>
      </c>
      <c r="DX107" s="1154">
        <f t="shared" si="361"/>
        <v>0</v>
      </c>
      <c r="DY107" s="1154">
        <f t="shared" si="362"/>
        <v>0</v>
      </c>
      <c r="DZ107" s="1154">
        <f t="shared" si="363"/>
        <v>0</v>
      </c>
      <c r="EA107" s="1154">
        <f t="shared" si="364"/>
        <v>0</v>
      </c>
      <c r="EB107" s="1154">
        <f t="shared" si="365"/>
        <v>0</v>
      </c>
      <c r="EC107" s="1154">
        <f t="shared" si="366"/>
        <v>0</v>
      </c>
      <c r="ED107" s="1154">
        <f t="shared" si="367"/>
        <v>0</v>
      </c>
      <c r="EE107" s="1154">
        <f t="shared" si="368"/>
        <v>0</v>
      </c>
      <c r="EF107" s="1154">
        <f t="shared" si="369"/>
        <v>0</v>
      </c>
      <c r="EG107" s="1154">
        <f t="shared" si="370"/>
        <v>0</v>
      </c>
      <c r="EH107" s="1154">
        <f t="shared" si="371"/>
        <v>0</v>
      </c>
      <c r="EI107" s="1154">
        <f t="shared" si="372"/>
        <v>0</v>
      </c>
      <c r="EJ107" s="1154">
        <f t="shared" si="373"/>
        <v>0</v>
      </c>
      <c r="EK107" s="1154">
        <f t="shared" si="374"/>
        <v>0</v>
      </c>
      <c r="EL107" s="1154">
        <f t="shared" si="375"/>
        <v>0</v>
      </c>
      <c r="EM107" s="1154">
        <f t="shared" si="376"/>
        <v>0</v>
      </c>
      <c r="EN107" s="1154">
        <f t="shared" si="377"/>
        <v>0</v>
      </c>
      <c r="EO107" s="1154">
        <f t="shared" si="378"/>
        <v>0</v>
      </c>
      <c r="EP107" s="1154">
        <f t="shared" si="379"/>
        <v>9885.4499915600372</v>
      </c>
      <c r="EQ107" s="1154">
        <f t="shared" si="380"/>
        <v>7542.3103130199806</v>
      </c>
      <c r="ER107" s="1154">
        <f t="shared" si="381"/>
        <v>0</v>
      </c>
      <c r="ES107" s="1154">
        <f t="shared" si="382"/>
        <v>0</v>
      </c>
      <c r="ET107" s="1154">
        <f t="shared" si="383"/>
        <v>0</v>
      </c>
      <c r="EU107" s="1154">
        <f t="shared" si="384"/>
        <v>0</v>
      </c>
      <c r="EV107" s="1154">
        <f t="shared" si="385"/>
        <v>0</v>
      </c>
      <c r="EW107" s="1154">
        <f t="shared" si="386"/>
        <v>0</v>
      </c>
      <c r="EX107" s="1154">
        <f t="shared" si="387"/>
        <v>0</v>
      </c>
      <c r="EY107" s="1154">
        <f t="shared" si="388"/>
        <v>0</v>
      </c>
      <c r="EZ107" s="1154">
        <f t="shared" si="389"/>
        <v>0</v>
      </c>
      <c r="FA107" s="1174">
        <f t="shared" ref="FA107:FA108" si="432">SUM(DR107:EZ107)</f>
        <v>31460.003758649284</v>
      </c>
      <c r="FC107" s="1154">
        <f t="shared" si="391"/>
        <v>0</v>
      </c>
      <c r="FD107" s="1154">
        <f t="shared" si="392"/>
        <v>0</v>
      </c>
      <c r="FE107" s="1154">
        <f t="shared" si="393"/>
        <v>0</v>
      </c>
      <c r="FF107" s="1154">
        <f t="shared" si="394"/>
        <v>0</v>
      </c>
      <c r="FG107" s="1154">
        <f t="shared" si="395"/>
        <v>0</v>
      </c>
      <c r="FH107" s="1154">
        <f t="shared" si="396"/>
        <v>0</v>
      </c>
      <c r="FI107" s="1154">
        <f t="shared" si="397"/>
        <v>0</v>
      </c>
      <c r="FJ107" s="1154">
        <f t="shared" si="398"/>
        <v>0</v>
      </c>
      <c r="FK107" s="1154">
        <f t="shared" si="399"/>
        <v>0</v>
      </c>
      <c r="FL107" s="1154">
        <f t="shared" si="400"/>
        <v>0</v>
      </c>
      <c r="FM107" s="1154">
        <f t="shared" si="401"/>
        <v>0</v>
      </c>
      <c r="FN107" s="1154">
        <f t="shared" si="402"/>
        <v>0</v>
      </c>
      <c r="FO107" s="1154">
        <f t="shared" si="403"/>
        <v>0</v>
      </c>
      <c r="FP107" s="1154">
        <f t="shared" si="404"/>
        <v>0</v>
      </c>
      <c r="FQ107" s="1154">
        <f t="shared" si="405"/>
        <v>0</v>
      </c>
      <c r="FR107" s="1154">
        <f t="shared" si="406"/>
        <v>0</v>
      </c>
      <c r="FS107" s="1154">
        <f t="shared" si="407"/>
        <v>0</v>
      </c>
      <c r="FT107" s="1154">
        <f t="shared" si="408"/>
        <v>0</v>
      </c>
      <c r="FU107" s="1154">
        <f t="shared" si="409"/>
        <v>0</v>
      </c>
      <c r="FV107" s="1154">
        <f t="shared" si="410"/>
        <v>0</v>
      </c>
      <c r="FW107" s="1154">
        <f t="shared" si="411"/>
        <v>0</v>
      </c>
      <c r="FX107" s="1154">
        <f t="shared" si="412"/>
        <v>0</v>
      </c>
      <c r="FY107" s="1154">
        <f t="shared" si="413"/>
        <v>0</v>
      </c>
      <c r="FZ107" s="1154">
        <f t="shared" si="414"/>
        <v>0</v>
      </c>
      <c r="GA107" s="1154">
        <f t="shared" si="415"/>
        <v>0</v>
      </c>
      <c r="GB107" s="1154">
        <f t="shared" si="416"/>
        <v>0</v>
      </c>
      <c r="GC107" s="1154">
        <f t="shared" si="417"/>
        <v>0</v>
      </c>
      <c r="GD107" s="1154">
        <f t="shared" si="418"/>
        <v>0</v>
      </c>
      <c r="GE107" s="1154">
        <f t="shared" si="419"/>
        <v>0</v>
      </c>
      <c r="GF107" s="1154">
        <f t="shared" si="420"/>
        <v>0</v>
      </c>
      <c r="GG107" s="1154">
        <f t="shared" si="421"/>
        <v>0</v>
      </c>
      <c r="GH107" s="1154">
        <f t="shared" si="422"/>
        <v>0</v>
      </c>
      <c r="GI107" s="1154">
        <f t="shared" si="423"/>
        <v>0</v>
      </c>
      <c r="GJ107" s="1154">
        <f t="shared" si="424"/>
        <v>0</v>
      </c>
      <c r="GK107" s="1154">
        <f t="shared" si="425"/>
        <v>0</v>
      </c>
      <c r="GL107" s="1174">
        <f t="shared" ref="GL107:GL108" si="433">SUM(FC107:GK107)</f>
        <v>0</v>
      </c>
    </row>
    <row r="108" spans="1:194">
      <c r="B108" s="1290" t="str">
        <f t="shared" si="354"/>
        <v>SACDUOSWBEST</v>
      </c>
      <c r="C108" s="1289" t="str">
        <f t="shared" ref="C108:H108" si="434">C107</f>
        <v>West SAC&gt;100MWhpa Large Business Energy</v>
      </c>
      <c r="D108" s="1113" t="str">
        <f t="shared" si="434"/>
        <v>West SAC&gt;100MWhpa DemandSmall</v>
      </c>
      <c r="E108" s="1113" t="str">
        <f t="shared" si="434"/>
        <v>SAC</v>
      </c>
      <c r="F108" s="1113" t="str">
        <f t="shared" si="434"/>
        <v>SACL</v>
      </c>
      <c r="G108" s="1113" t="str">
        <f t="shared" si="434"/>
        <v>West</v>
      </c>
      <c r="H108" s="1113" t="str">
        <f t="shared" si="434"/>
        <v>WBEST</v>
      </c>
      <c r="I108" s="1114" t="s">
        <v>759</v>
      </c>
      <c r="J108" s="1114" t="s">
        <v>934</v>
      </c>
      <c r="K108" s="1270"/>
      <c r="L108" s="1233">
        <v>7.2208920000000001</v>
      </c>
      <c r="M108" s="1007"/>
      <c r="N108" s="1007"/>
      <c r="O108" s="1007"/>
      <c r="P108" s="1007"/>
      <c r="Q108" s="1007"/>
      <c r="R108" s="1007"/>
      <c r="S108" s="1007"/>
      <c r="T108" s="1007"/>
      <c r="U108" s="1007"/>
      <c r="V108" s="1007"/>
      <c r="W108" s="1007"/>
      <c r="X108" s="1007"/>
      <c r="Y108" s="1007"/>
      <c r="Z108" s="1007"/>
      <c r="AA108" s="1007"/>
      <c r="AB108" s="1007"/>
      <c r="AC108" s="1007"/>
      <c r="AD108" s="1007"/>
      <c r="AE108" s="1007"/>
      <c r="AF108" s="1007"/>
      <c r="AG108" s="1007"/>
      <c r="AH108" s="1007"/>
      <c r="AI108" s="1007"/>
      <c r="AJ108" s="1233">
        <v>1.4121335766844378E-2</v>
      </c>
      <c r="AK108" s="1233">
        <v>2.8211909900111125E-2</v>
      </c>
      <c r="AL108" s="1005"/>
      <c r="AM108" s="1005"/>
      <c r="AN108" s="1005"/>
      <c r="AO108" s="1005"/>
      <c r="AP108" s="1005"/>
      <c r="AQ108" s="1005"/>
      <c r="AR108" s="1005"/>
      <c r="AS108" s="1005"/>
      <c r="AT108" s="1005"/>
      <c r="AU108" s="1006"/>
      <c r="AV108" s="1270"/>
      <c r="AW108" s="1006"/>
      <c r="AX108" s="1006"/>
      <c r="AY108" s="1006"/>
      <c r="AZ108" s="1006"/>
      <c r="BA108" s="1006"/>
      <c r="BB108" s="1006"/>
      <c r="BC108" s="1006"/>
      <c r="BD108" s="1006"/>
      <c r="BE108" s="1006"/>
      <c r="BF108" s="1006"/>
      <c r="BG108" s="1006"/>
      <c r="BH108" s="1006"/>
      <c r="BI108" s="1006"/>
      <c r="BJ108" s="1006"/>
      <c r="BK108" s="1006"/>
      <c r="BL108" s="1006"/>
      <c r="BM108" s="1006"/>
      <c r="BN108" s="1006"/>
      <c r="BO108" s="1006"/>
      <c r="BP108" s="1006"/>
      <c r="BQ108" s="1006"/>
      <c r="BR108" s="1006"/>
      <c r="BS108" s="1006"/>
      <c r="BT108" s="1006"/>
      <c r="BU108" s="1006"/>
      <c r="BV108" s="1006"/>
      <c r="BW108" s="1006"/>
      <c r="BX108" s="1006"/>
      <c r="BY108" s="1006"/>
      <c r="BZ108" s="1006"/>
      <c r="CA108" s="1006"/>
      <c r="CB108" s="1006"/>
      <c r="CC108" s="1006"/>
      <c r="CD108" s="1006"/>
      <c r="CE108" s="1006"/>
      <c r="CF108" s="1006"/>
      <c r="CG108" s="1209"/>
      <c r="CH108" s="1236">
        <v>1.4325896952355839</v>
      </c>
      <c r="CI108" s="1007"/>
      <c r="CJ108" s="1007"/>
      <c r="CK108" s="1007"/>
      <c r="CL108" s="1007"/>
      <c r="CM108" s="1007"/>
      <c r="CN108" s="1007"/>
      <c r="CO108" s="1007"/>
      <c r="CP108" s="1007"/>
      <c r="CQ108" s="1007"/>
      <c r="CR108" s="1007"/>
      <c r="CS108" s="1007"/>
      <c r="CT108" s="1007"/>
      <c r="CU108" s="1007"/>
      <c r="CV108" s="1007"/>
      <c r="CW108" s="1007"/>
      <c r="CX108" s="1007"/>
      <c r="CY108" s="1007"/>
      <c r="CZ108" s="1007"/>
      <c r="DA108" s="1007"/>
      <c r="DB108" s="1007"/>
      <c r="DC108" s="1007"/>
      <c r="DD108" s="1007"/>
      <c r="DE108" s="1007"/>
      <c r="DF108" s="1236">
        <v>149661.21287156624</v>
      </c>
      <c r="DG108" s="1236">
        <v>74470.408755907338</v>
      </c>
      <c r="DH108" s="1007"/>
      <c r="DI108" s="1006"/>
      <c r="DJ108" s="1006"/>
      <c r="DK108" s="1007"/>
      <c r="DL108" s="1007"/>
      <c r="DM108" s="1007"/>
      <c r="DN108" s="1007"/>
      <c r="DO108" s="1112"/>
      <c r="DP108" s="1112"/>
      <c r="DQ108" s="1270"/>
      <c r="DR108" s="1154">
        <f t="shared" si="355"/>
        <v>3775.7700464073087</v>
      </c>
      <c r="DS108" s="1154">
        <f t="shared" si="356"/>
        <v>0</v>
      </c>
      <c r="DT108" s="1154">
        <f t="shared" si="357"/>
        <v>0</v>
      </c>
      <c r="DU108" s="1154">
        <f t="shared" si="358"/>
        <v>0</v>
      </c>
      <c r="DV108" s="1154">
        <f t="shared" si="359"/>
        <v>0</v>
      </c>
      <c r="DW108" s="1154">
        <f t="shared" si="360"/>
        <v>0</v>
      </c>
      <c r="DX108" s="1154">
        <f t="shared" si="361"/>
        <v>0</v>
      </c>
      <c r="DY108" s="1154">
        <f t="shared" si="362"/>
        <v>0</v>
      </c>
      <c r="DZ108" s="1154">
        <f t="shared" si="363"/>
        <v>0</v>
      </c>
      <c r="EA108" s="1154">
        <f t="shared" si="364"/>
        <v>0</v>
      </c>
      <c r="EB108" s="1154">
        <f t="shared" si="365"/>
        <v>0</v>
      </c>
      <c r="EC108" s="1154">
        <f t="shared" si="366"/>
        <v>0</v>
      </c>
      <c r="ED108" s="1154">
        <f t="shared" si="367"/>
        <v>0</v>
      </c>
      <c r="EE108" s="1154">
        <f t="shared" si="368"/>
        <v>0</v>
      </c>
      <c r="EF108" s="1154">
        <f t="shared" si="369"/>
        <v>0</v>
      </c>
      <c r="EG108" s="1154">
        <f t="shared" si="370"/>
        <v>0</v>
      </c>
      <c r="EH108" s="1154">
        <f t="shared" si="371"/>
        <v>0</v>
      </c>
      <c r="EI108" s="1154">
        <f t="shared" si="372"/>
        <v>0</v>
      </c>
      <c r="EJ108" s="1154">
        <f t="shared" si="373"/>
        <v>0</v>
      </c>
      <c r="EK108" s="1154">
        <f t="shared" si="374"/>
        <v>0</v>
      </c>
      <c r="EL108" s="1154">
        <f t="shared" si="375"/>
        <v>0</v>
      </c>
      <c r="EM108" s="1154">
        <f t="shared" si="376"/>
        <v>0</v>
      </c>
      <c r="EN108" s="1154">
        <f t="shared" si="377"/>
        <v>0</v>
      </c>
      <c r="EO108" s="1154">
        <f t="shared" si="378"/>
        <v>0</v>
      </c>
      <c r="EP108" s="1154">
        <f t="shared" si="379"/>
        <v>2113.4162382325585</v>
      </c>
      <c r="EQ108" s="1154">
        <f t="shared" si="380"/>
        <v>2100.9524620461043</v>
      </c>
      <c r="ER108" s="1154">
        <f t="shared" si="381"/>
        <v>0</v>
      </c>
      <c r="ES108" s="1154">
        <f t="shared" si="382"/>
        <v>0</v>
      </c>
      <c r="ET108" s="1154">
        <f t="shared" si="383"/>
        <v>0</v>
      </c>
      <c r="EU108" s="1154">
        <f t="shared" si="384"/>
        <v>0</v>
      </c>
      <c r="EV108" s="1154">
        <f t="shared" si="385"/>
        <v>0</v>
      </c>
      <c r="EW108" s="1154">
        <f t="shared" si="386"/>
        <v>0</v>
      </c>
      <c r="EX108" s="1154">
        <f t="shared" si="387"/>
        <v>0</v>
      </c>
      <c r="EY108" s="1154">
        <f t="shared" si="388"/>
        <v>0</v>
      </c>
      <c r="EZ108" s="1154">
        <f t="shared" si="389"/>
        <v>0</v>
      </c>
      <c r="FA108" s="1174">
        <f t="shared" si="432"/>
        <v>7990.1387466859715</v>
      </c>
      <c r="FC108" s="1154">
        <f t="shared" si="391"/>
        <v>0</v>
      </c>
      <c r="FD108" s="1154">
        <f t="shared" si="392"/>
        <v>0</v>
      </c>
      <c r="FE108" s="1154">
        <f t="shared" si="393"/>
        <v>0</v>
      </c>
      <c r="FF108" s="1154">
        <f t="shared" si="394"/>
        <v>0</v>
      </c>
      <c r="FG108" s="1154">
        <f t="shared" si="395"/>
        <v>0</v>
      </c>
      <c r="FH108" s="1154">
        <f t="shared" si="396"/>
        <v>0</v>
      </c>
      <c r="FI108" s="1154">
        <f t="shared" si="397"/>
        <v>0</v>
      </c>
      <c r="FJ108" s="1154">
        <f t="shared" si="398"/>
        <v>0</v>
      </c>
      <c r="FK108" s="1154">
        <f t="shared" si="399"/>
        <v>0</v>
      </c>
      <c r="FL108" s="1154">
        <f t="shared" si="400"/>
        <v>0</v>
      </c>
      <c r="FM108" s="1154">
        <f t="shared" si="401"/>
        <v>0</v>
      </c>
      <c r="FN108" s="1154">
        <f t="shared" si="402"/>
        <v>0</v>
      </c>
      <c r="FO108" s="1154">
        <f t="shared" si="403"/>
        <v>0</v>
      </c>
      <c r="FP108" s="1154">
        <f t="shared" si="404"/>
        <v>0</v>
      </c>
      <c r="FQ108" s="1154">
        <f t="shared" si="405"/>
        <v>0</v>
      </c>
      <c r="FR108" s="1154">
        <f t="shared" si="406"/>
        <v>0</v>
      </c>
      <c r="FS108" s="1154">
        <f t="shared" si="407"/>
        <v>0</v>
      </c>
      <c r="FT108" s="1154">
        <f t="shared" si="408"/>
        <v>0</v>
      </c>
      <c r="FU108" s="1154">
        <f t="shared" si="409"/>
        <v>0</v>
      </c>
      <c r="FV108" s="1154">
        <f t="shared" si="410"/>
        <v>0</v>
      </c>
      <c r="FW108" s="1154">
        <f t="shared" si="411"/>
        <v>0</v>
      </c>
      <c r="FX108" s="1154">
        <f t="shared" si="412"/>
        <v>0</v>
      </c>
      <c r="FY108" s="1154">
        <f t="shared" si="413"/>
        <v>0</v>
      </c>
      <c r="FZ108" s="1154">
        <f t="shared" si="414"/>
        <v>0</v>
      </c>
      <c r="GA108" s="1154">
        <f t="shared" si="415"/>
        <v>0</v>
      </c>
      <c r="GB108" s="1154">
        <f t="shared" si="416"/>
        <v>0</v>
      </c>
      <c r="GC108" s="1154">
        <f t="shared" si="417"/>
        <v>0</v>
      </c>
      <c r="GD108" s="1154">
        <f t="shared" si="418"/>
        <v>0</v>
      </c>
      <c r="GE108" s="1154">
        <f t="shared" si="419"/>
        <v>0</v>
      </c>
      <c r="GF108" s="1154">
        <f t="shared" si="420"/>
        <v>0</v>
      </c>
      <c r="GG108" s="1154">
        <f t="shared" si="421"/>
        <v>0</v>
      </c>
      <c r="GH108" s="1154">
        <f t="shared" si="422"/>
        <v>0</v>
      </c>
      <c r="GI108" s="1154">
        <f t="shared" si="423"/>
        <v>0</v>
      </c>
      <c r="GJ108" s="1154">
        <f t="shared" si="424"/>
        <v>0</v>
      </c>
      <c r="GK108" s="1154">
        <f t="shared" si="425"/>
        <v>0</v>
      </c>
      <c r="GL108" s="1174">
        <f t="shared" si="433"/>
        <v>0</v>
      </c>
    </row>
    <row r="109" spans="1:194">
      <c r="B109" s="1290" t="str">
        <f>$E109&amp;"DUOS"&amp;$H109</f>
        <v>SACDUOSMBEST</v>
      </c>
      <c r="C109" s="1289" t="str">
        <f>Prop2021DUOSTariffs!C49</f>
        <v>MtIsa SAC&gt;100MWhpa Large Business Energy</v>
      </c>
      <c r="D109" s="1113" t="str">
        <f>Prop2021DUOSTariffs!D49</f>
        <v>MtIsa SAC&gt;100MWhpa DemandSmall</v>
      </c>
      <c r="E109" s="1113" t="str">
        <f>Prop2021DUOSTariffs!E49</f>
        <v>SAC</v>
      </c>
      <c r="F109" s="1113" t="str">
        <f>Prop2021DUOSTariffs!F49</f>
        <v>SACL</v>
      </c>
      <c r="G109" s="1113" t="str">
        <f>Prop2021DUOSTariffs!G49</f>
        <v>Mt Isa</v>
      </c>
      <c r="H109" s="1113" t="str">
        <f>IF(Prop2021DUOSTariffs!H49="","",Prop2021DUOSTariffs!H49)</f>
        <v>MBEST</v>
      </c>
      <c r="I109" s="1114" t="s">
        <v>761</v>
      </c>
      <c r="J109" s="1114" t="s">
        <v>934</v>
      </c>
      <c r="K109" s="1270"/>
      <c r="L109" s="1233">
        <v>3.6324044</v>
      </c>
      <c r="M109" s="1007"/>
      <c r="N109" s="1007"/>
      <c r="O109" s="1007"/>
      <c r="P109" s="1007"/>
      <c r="Q109" s="1007"/>
      <c r="R109" s="1007"/>
      <c r="S109" s="1007"/>
      <c r="T109" s="1007"/>
      <c r="U109" s="1007"/>
      <c r="V109" s="1007"/>
      <c r="W109" s="1007"/>
      <c r="X109" s="1007"/>
      <c r="Y109" s="1007"/>
      <c r="Z109" s="1007"/>
      <c r="AA109" s="1007"/>
      <c r="AB109" s="1007"/>
      <c r="AC109" s="1007"/>
      <c r="AD109" s="1007"/>
      <c r="AE109" s="1007"/>
      <c r="AF109" s="1007"/>
      <c r="AG109" s="1007"/>
      <c r="AH109" s="1007"/>
      <c r="AI109" s="1007"/>
      <c r="AJ109" s="1233">
        <v>7.7007696230294931E-4</v>
      </c>
      <c r="AK109" s="1233">
        <v>2.973402488278932E-3</v>
      </c>
      <c r="AL109" s="1005"/>
      <c r="AM109" s="1005"/>
      <c r="AN109" s="1005"/>
      <c r="AO109" s="1005"/>
      <c r="AP109" s="1005"/>
      <c r="AQ109" s="1005"/>
      <c r="AR109" s="1005"/>
      <c r="AS109" s="1005"/>
      <c r="AT109" s="1005"/>
      <c r="AU109" s="1006"/>
      <c r="AV109" s="1270"/>
      <c r="AW109" s="1006"/>
      <c r="AX109" s="1006"/>
      <c r="AY109" s="1006"/>
      <c r="AZ109" s="1006"/>
      <c r="BA109" s="1006"/>
      <c r="BB109" s="1006"/>
      <c r="BC109" s="1006"/>
      <c r="BD109" s="1006"/>
      <c r="BE109" s="1006"/>
      <c r="BF109" s="1006"/>
      <c r="BG109" s="1006"/>
      <c r="BH109" s="1006"/>
      <c r="BI109" s="1006"/>
      <c r="BJ109" s="1006"/>
      <c r="BK109" s="1006"/>
      <c r="BL109" s="1006"/>
      <c r="BM109" s="1006"/>
      <c r="BN109" s="1006"/>
      <c r="BO109" s="1006"/>
      <c r="BP109" s="1006"/>
      <c r="BQ109" s="1006"/>
      <c r="BR109" s="1006"/>
      <c r="BS109" s="1006"/>
      <c r="BT109" s="1006"/>
      <c r="BU109" s="1006"/>
      <c r="BV109" s="1006"/>
      <c r="BW109" s="1006"/>
      <c r="BX109" s="1006"/>
      <c r="BY109" s="1006"/>
      <c r="BZ109" s="1006"/>
      <c r="CA109" s="1006"/>
      <c r="CB109" s="1006"/>
      <c r="CC109" s="1006"/>
      <c r="CD109" s="1006"/>
      <c r="CE109" s="1006"/>
      <c r="CF109" s="1006"/>
      <c r="CG109" s="1209"/>
      <c r="CH109" s="1236">
        <v>10</v>
      </c>
      <c r="CI109" s="1007"/>
      <c r="CJ109" s="1007"/>
      <c r="CK109" s="1007"/>
      <c r="CL109" s="1007"/>
      <c r="CM109" s="1007"/>
      <c r="CN109" s="1007"/>
      <c r="CO109" s="1007"/>
      <c r="CP109" s="1007"/>
      <c r="CQ109" s="1007"/>
      <c r="CR109" s="1007"/>
      <c r="CS109" s="1007"/>
      <c r="CT109" s="1007"/>
      <c r="CU109" s="1007"/>
      <c r="CV109" s="1007"/>
      <c r="CW109" s="1007"/>
      <c r="CX109" s="1007"/>
      <c r="CY109" s="1007"/>
      <c r="CZ109" s="1007"/>
      <c r="DA109" s="1007"/>
      <c r="DB109" s="1007"/>
      <c r="DC109" s="1007"/>
      <c r="DD109" s="1007"/>
      <c r="DE109" s="1007"/>
      <c r="DF109" s="1236">
        <v>1079610</v>
      </c>
      <c r="DG109" s="1236">
        <v>582352.70205000008</v>
      </c>
      <c r="DH109" s="1007"/>
      <c r="DI109" s="1006"/>
      <c r="DJ109" s="1006"/>
      <c r="DK109" s="1007"/>
      <c r="DL109" s="1007"/>
      <c r="DM109" s="1007"/>
      <c r="DN109" s="1007"/>
      <c r="DO109" s="1112"/>
      <c r="DP109" s="1112"/>
      <c r="DQ109" s="1270"/>
      <c r="DR109" s="1154">
        <f t="shared" si="355"/>
        <v>13258.27606</v>
      </c>
      <c r="DS109" s="1154">
        <f t="shared" si="356"/>
        <v>0</v>
      </c>
      <c r="DT109" s="1154">
        <f t="shared" si="357"/>
        <v>0</v>
      </c>
      <c r="DU109" s="1154">
        <f t="shared" si="358"/>
        <v>0</v>
      </c>
      <c r="DV109" s="1154">
        <f t="shared" si="359"/>
        <v>0</v>
      </c>
      <c r="DW109" s="1154">
        <f t="shared" si="360"/>
        <v>0</v>
      </c>
      <c r="DX109" s="1154">
        <f t="shared" si="361"/>
        <v>0</v>
      </c>
      <c r="DY109" s="1154">
        <f t="shared" si="362"/>
        <v>0</v>
      </c>
      <c r="DZ109" s="1154">
        <f t="shared" si="363"/>
        <v>0</v>
      </c>
      <c r="EA109" s="1154">
        <f t="shared" si="364"/>
        <v>0</v>
      </c>
      <c r="EB109" s="1154">
        <f t="shared" si="365"/>
        <v>0</v>
      </c>
      <c r="EC109" s="1154">
        <f t="shared" si="366"/>
        <v>0</v>
      </c>
      <c r="ED109" s="1154">
        <f t="shared" si="367"/>
        <v>0</v>
      </c>
      <c r="EE109" s="1154">
        <f t="shared" si="368"/>
        <v>0</v>
      </c>
      <c r="EF109" s="1154">
        <f t="shared" si="369"/>
        <v>0</v>
      </c>
      <c r="EG109" s="1154">
        <f t="shared" si="370"/>
        <v>0</v>
      </c>
      <c r="EH109" s="1154">
        <f t="shared" si="371"/>
        <v>0</v>
      </c>
      <c r="EI109" s="1154">
        <f t="shared" si="372"/>
        <v>0</v>
      </c>
      <c r="EJ109" s="1154">
        <f t="shared" si="373"/>
        <v>0</v>
      </c>
      <c r="EK109" s="1154">
        <f t="shared" si="374"/>
        <v>0</v>
      </c>
      <c r="EL109" s="1154">
        <f t="shared" si="375"/>
        <v>0</v>
      </c>
      <c r="EM109" s="1154">
        <f t="shared" si="376"/>
        <v>0</v>
      </c>
      <c r="EN109" s="1154">
        <f t="shared" si="377"/>
        <v>0</v>
      </c>
      <c r="EO109" s="1154">
        <f t="shared" si="378"/>
        <v>0</v>
      </c>
      <c r="EP109" s="1154">
        <f t="shared" si="379"/>
        <v>831.38278927188708</v>
      </c>
      <c r="EQ109" s="1154">
        <f t="shared" si="380"/>
        <v>1731.5689733314298</v>
      </c>
      <c r="ER109" s="1154">
        <f t="shared" si="381"/>
        <v>0</v>
      </c>
      <c r="ES109" s="1154">
        <f t="shared" si="382"/>
        <v>0</v>
      </c>
      <c r="ET109" s="1154">
        <f t="shared" si="383"/>
        <v>0</v>
      </c>
      <c r="EU109" s="1154">
        <f t="shared" si="384"/>
        <v>0</v>
      </c>
      <c r="EV109" s="1154">
        <f t="shared" si="385"/>
        <v>0</v>
      </c>
      <c r="EW109" s="1154">
        <f t="shared" si="386"/>
        <v>0</v>
      </c>
      <c r="EX109" s="1154">
        <f t="shared" si="387"/>
        <v>0</v>
      </c>
      <c r="EY109" s="1154">
        <f t="shared" si="388"/>
        <v>0</v>
      </c>
      <c r="EZ109" s="1154">
        <f t="shared" si="389"/>
        <v>0</v>
      </c>
      <c r="FA109" s="1174">
        <f>SUM(DR109:EZ109)</f>
        <v>15821.227822603318</v>
      </c>
      <c r="FC109" s="1154">
        <f t="shared" si="391"/>
        <v>0</v>
      </c>
      <c r="FD109" s="1154">
        <f t="shared" si="392"/>
        <v>0</v>
      </c>
      <c r="FE109" s="1154">
        <f t="shared" si="393"/>
        <v>0</v>
      </c>
      <c r="FF109" s="1154">
        <f t="shared" si="394"/>
        <v>0</v>
      </c>
      <c r="FG109" s="1154">
        <f t="shared" si="395"/>
        <v>0</v>
      </c>
      <c r="FH109" s="1154">
        <f t="shared" si="396"/>
        <v>0</v>
      </c>
      <c r="FI109" s="1154">
        <f t="shared" si="397"/>
        <v>0</v>
      </c>
      <c r="FJ109" s="1154">
        <f t="shared" si="398"/>
        <v>0</v>
      </c>
      <c r="FK109" s="1154">
        <f t="shared" si="399"/>
        <v>0</v>
      </c>
      <c r="FL109" s="1154">
        <f t="shared" si="400"/>
        <v>0</v>
      </c>
      <c r="FM109" s="1154">
        <f t="shared" si="401"/>
        <v>0</v>
      </c>
      <c r="FN109" s="1154">
        <f t="shared" si="402"/>
        <v>0</v>
      </c>
      <c r="FO109" s="1154">
        <f t="shared" si="403"/>
        <v>0</v>
      </c>
      <c r="FP109" s="1154">
        <f t="shared" si="404"/>
        <v>0</v>
      </c>
      <c r="FQ109" s="1154">
        <f t="shared" si="405"/>
        <v>0</v>
      </c>
      <c r="FR109" s="1154">
        <f t="shared" si="406"/>
        <v>0</v>
      </c>
      <c r="FS109" s="1154">
        <f t="shared" si="407"/>
        <v>0</v>
      </c>
      <c r="FT109" s="1154">
        <f t="shared" si="408"/>
        <v>0</v>
      </c>
      <c r="FU109" s="1154">
        <f t="shared" si="409"/>
        <v>0</v>
      </c>
      <c r="FV109" s="1154">
        <f t="shared" si="410"/>
        <v>0</v>
      </c>
      <c r="FW109" s="1154">
        <f t="shared" si="411"/>
        <v>0</v>
      </c>
      <c r="FX109" s="1154">
        <f t="shared" si="412"/>
        <v>0</v>
      </c>
      <c r="FY109" s="1154">
        <f t="shared" si="413"/>
        <v>0</v>
      </c>
      <c r="FZ109" s="1154">
        <f t="shared" si="414"/>
        <v>0</v>
      </c>
      <c r="GA109" s="1154">
        <f t="shared" si="415"/>
        <v>0</v>
      </c>
      <c r="GB109" s="1154">
        <f t="shared" si="416"/>
        <v>0</v>
      </c>
      <c r="GC109" s="1154">
        <f t="shared" si="417"/>
        <v>0</v>
      </c>
      <c r="GD109" s="1154">
        <f t="shared" si="418"/>
        <v>0</v>
      </c>
      <c r="GE109" s="1154">
        <f t="shared" si="419"/>
        <v>0</v>
      </c>
      <c r="GF109" s="1154">
        <f t="shared" si="420"/>
        <v>0</v>
      </c>
      <c r="GG109" s="1154">
        <f t="shared" si="421"/>
        <v>0</v>
      </c>
      <c r="GH109" s="1154">
        <f t="shared" si="422"/>
        <v>0</v>
      </c>
      <c r="GI109" s="1154">
        <f t="shared" si="423"/>
        <v>0</v>
      </c>
      <c r="GJ109" s="1154">
        <f t="shared" si="424"/>
        <v>0</v>
      </c>
      <c r="GK109" s="1154">
        <f t="shared" si="425"/>
        <v>0</v>
      </c>
      <c r="GL109" s="1174">
        <f>SUM(FC109:GK109)</f>
        <v>0</v>
      </c>
    </row>
    <row r="110" spans="1:194">
      <c r="B110" s="1290" t="str">
        <f t="shared" si="354"/>
        <v>SACDUOSEREST</v>
      </c>
      <c r="C110" s="1289" t="str">
        <f>Prop2021DUOSTariffs!C50</f>
        <v>East SAC&gt;100MWhpa Large Residential Energy</v>
      </c>
      <c r="D110" s="1113" t="str">
        <f>Prop2021DUOSTariffs!D50</f>
        <v>East SAC&gt;100MWhpa DemandSmall</v>
      </c>
      <c r="E110" s="1113" t="str">
        <f>Prop2021DUOSTariffs!E50</f>
        <v>SAC</v>
      </c>
      <c r="F110" s="1113" t="str">
        <f>Prop2021DUOSTariffs!F50</f>
        <v>SACL</v>
      </c>
      <c r="G110" s="1113" t="str">
        <f>Prop2021DUOSTariffs!G50</f>
        <v>East</v>
      </c>
      <c r="H110" s="1113" t="str">
        <f>IF(Prop2021DUOSTariffs!H50="","",Prop2021DUOSTariffs!H50)</f>
        <v>EREST</v>
      </c>
      <c r="I110" s="1114" t="s">
        <v>798</v>
      </c>
      <c r="J110" s="1114" t="s">
        <v>934</v>
      </c>
      <c r="K110" s="1270"/>
      <c r="L110" s="1233">
        <v>4.1796489000000001</v>
      </c>
      <c r="M110" s="1007"/>
      <c r="N110" s="1007"/>
      <c r="O110" s="1007"/>
      <c r="P110" s="1007"/>
      <c r="Q110" s="1007"/>
      <c r="R110" s="1007"/>
      <c r="S110" s="1007"/>
      <c r="T110" s="1007"/>
      <c r="U110" s="1007"/>
      <c r="V110" s="1007"/>
      <c r="W110" s="1007"/>
      <c r="X110" s="1007"/>
      <c r="Y110" s="1007"/>
      <c r="Z110" s="1007"/>
      <c r="AA110" s="1007"/>
      <c r="AB110" s="1007"/>
      <c r="AC110" s="1007"/>
      <c r="AD110" s="1007"/>
      <c r="AE110" s="1007"/>
      <c r="AF110" s="1007"/>
      <c r="AG110" s="1007"/>
      <c r="AH110" s="1007"/>
      <c r="AI110" s="1007"/>
      <c r="AJ110" s="1233">
        <v>1.2756154364570426E-2</v>
      </c>
      <c r="AK110" s="1233">
        <v>1.6183265485757239E-2</v>
      </c>
      <c r="AL110" s="1005"/>
      <c r="AM110" s="1005"/>
      <c r="AN110" s="1005"/>
      <c r="AO110" s="1005"/>
      <c r="AP110" s="1005"/>
      <c r="AQ110" s="1005"/>
      <c r="AR110" s="1005"/>
      <c r="AS110" s="1005"/>
      <c r="AT110" s="1005"/>
      <c r="AU110" s="1006"/>
      <c r="AV110" s="1270"/>
      <c r="AW110" s="1006"/>
      <c r="AX110" s="1006"/>
      <c r="AY110" s="1006"/>
      <c r="AZ110" s="1006"/>
      <c r="BA110" s="1006"/>
      <c r="BB110" s="1006"/>
      <c r="BC110" s="1006"/>
      <c r="BD110" s="1006"/>
      <c r="BE110" s="1006"/>
      <c r="BF110" s="1006"/>
      <c r="BG110" s="1006"/>
      <c r="BH110" s="1006"/>
      <c r="BI110" s="1006"/>
      <c r="BJ110" s="1006"/>
      <c r="BK110" s="1006"/>
      <c r="BL110" s="1006"/>
      <c r="BM110" s="1006"/>
      <c r="BN110" s="1006"/>
      <c r="BO110" s="1006"/>
      <c r="BP110" s="1006"/>
      <c r="BQ110" s="1006"/>
      <c r="BR110" s="1006"/>
      <c r="BS110" s="1006"/>
      <c r="BT110" s="1006"/>
      <c r="BU110" s="1006"/>
      <c r="BV110" s="1006"/>
      <c r="BW110" s="1006"/>
      <c r="BX110" s="1006"/>
      <c r="BY110" s="1006"/>
      <c r="BZ110" s="1006"/>
      <c r="CA110" s="1006"/>
      <c r="CB110" s="1006"/>
      <c r="CC110" s="1006"/>
      <c r="CD110" s="1006"/>
      <c r="CE110" s="1006"/>
      <c r="CF110" s="1006"/>
      <c r="CG110" s="1209"/>
      <c r="CH110" s="1236">
        <v>0</v>
      </c>
      <c r="CI110" s="1007"/>
      <c r="CJ110" s="1007"/>
      <c r="CK110" s="1007"/>
      <c r="CL110" s="1007"/>
      <c r="CM110" s="1007"/>
      <c r="CN110" s="1007"/>
      <c r="CO110" s="1007"/>
      <c r="CP110" s="1007"/>
      <c r="CQ110" s="1007"/>
      <c r="CR110" s="1007"/>
      <c r="CS110" s="1007"/>
      <c r="CT110" s="1007"/>
      <c r="CU110" s="1007"/>
      <c r="CV110" s="1007"/>
      <c r="CW110" s="1007"/>
      <c r="CX110" s="1007"/>
      <c r="CY110" s="1007"/>
      <c r="CZ110" s="1007"/>
      <c r="DA110" s="1007"/>
      <c r="DB110" s="1007"/>
      <c r="DC110" s="1007"/>
      <c r="DD110" s="1007"/>
      <c r="DE110" s="1007"/>
      <c r="DF110" s="1236">
        <v>0</v>
      </c>
      <c r="DG110" s="1236">
        <v>0</v>
      </c>
      <c r="DH110" s="1007"/>
      <c r="DI110" s="1006"/>
      <c r="DJ110" s="1006"/>
      <c r="DK110" s="1007"/>
      <c r="DL110" s="1007"/>
      <c r="DM110" s="1007"/>
      <c r="DN110" s="1007"/>
      <c r="DO110" s="1112"/>
      <c r="DP110" s="1112"/>
      <c r="DQ110" s="1270"/>
      <c r="DR110" s="1154">
        <f t="shared" si="355"/>
        <v>0</v>
      </c>
      <c r="DS110" s="1154">
        <f t="shared" si="356"/>
        <v>0</v>
      </c>
      <c r="DT110" s="1154">
        <f t="shared" si="357"/>
        <v>0</v>
      </c>
      <c r="DU110" s="1154">
        <f t="shared" si="358"/>
        <v>0</v>
      </c>
      <c r="DV110" s="1154">
        <f t="shared" si="359"/>
        <v>0</v>
      </c>
      <c r="DW110" s="1154">
        <f t="shared" si="360"/>
        <v>0</v>
      </c>
      <c r="DX110" s="1154">
        <f t="shared" si="361"/>
        <v>0</v>
      </c>
      <c r="DY110" s="1154">
        <f t="shared" si="362"/>
        <v>0</v>
      </c>
      <c r="DZ110" s="1154">
        <f t="shared" si="363"/>
        <v>0</v>
      </c>
      <c r="EA110" s="1154">
        <f t="shared" si="364"/>
        <v>0</v>
      </c>
      <c r="EB110" s="1154">
        <f t="shared" si="365"/>
        <v>0</v>
      </c>
      <c r="EC110" s="1154">
        <f t="shared" si="366"/>
        <v>0</v>
      </c>
      <c r="ED110" s="1154">
        <f t="shared" si="367"/>
        <v>0</v>
      </c>
      <c r="EE110" s="1154">
        <f t="shared" si="368"/>
        <v>0</v>
      </c>
      <c r="EF110" s="1154">
        <f t="shared" si="369"/>
        <v>0</v>
      </c>
      <c r="EG110" s="1154">
        <f t="shared" si="370"/>
        <v>0</v>
      </c>
      <c r="EH110" s="1154">
        <f t="shared" si="371"/>
        <v>0</v>
      </c>
      <c r="EI110" s="1154">
        <f t="shared" si="372"/>
        <v>0</v>
      </c>
      <c r="EJ110" s="1154">
        <f t="shared" si="373"/>
        <v>0</v>
      </c>
      <c r="EK110" s="1154">
        <f t="shared" si="374"/>
        <v>0</v>
      </c>
      <c r="EL110" s="1154">
        <f t="shared" si="375"/>
        <v>0</v>
      </c>
      <c r="EM110" s="1154">
        <f t="shared" si="376"/>
        <v>0</v>
      </c>
      <c r="EN110" s="1154">
        <f t="shared" si="377"/>
        <v>0</v>
      </c>
      <c r="EO110" s="1154">
        <f t="shared" si="378"/>
        <v>0</v>
      </c>
      <c r="EP110" s="1154">
        <f t="shared" si="379"/>
        <v>0</v>
      </c>
      <c r="EQ110" s="1154">
        <f t="shared" si="380"/>
        <v>0</v>
      </c>
      <c r="ER110" s="1154">
        <f t="shared" si="381"/>
        <v>0</v>
      </c>
      <c r="ES110" s="1154">
        <f t="shared" si="382"/>
        <v>0</v>
      </c>
      <c r="ET110" s="1154">
        <f t="shared" si="383"/>
        <v>0</v>
      </c>
      <c r="EU110" s="1154">
        <f t="shared" si="384"/>
        <v>0</v>
      </c>
      <c r="EV110" s="1154">
        <f t="shared" si="385"/>
        <v>0</v>
      </c>
      <c r="EW110" s="1154">
        <f t="shared" si="386"/>
        <v>0</v>
      </c>
      <c r="EX110" s="1154">
        <f t="shared" si="387"/>
        <v>0</v>
      </c>
      <c r="EY110" s="1154">
        <f t="shared" si="388"/>
        <v>0</v>
      </c>
      <c r="EZ110" s="1154">
        <f t="shared" si="389"/>
        <v>0</v>
      </c>
      <c r="FA110" s="1174">
        <f t="shared" si="390"/>
        <v>0</v>
      </c>
      <c r="FC110" s="1154">
        <f t="shared" si="391"/>
        <v>0</v>
      </c>
      <c r="FD110" s="1154">
        <f t="shared" si="392"/>
        <v>0</v>
      </c>
      <c r="FE110" s="1154">
        <f t="shared" si="393"/>
        <v>0</v>
      </c>
      <c r="FF110" s="1154">
        <f t="shared" si="394"/>
        <v>0</v>
      </c>
      <c r="FG110" s="1154">
        <f t="shared" si="395"/>
        <v>0</v>
      </c>
      <c r="FH110" s="1154">
        <f t="shared" si="396"/>
        <v>0</v>
      </c>
      <c r="FI110" s="1154">
        <f t="shared" si="397"/>
        <v>0</v>
      </c>
      <c r="FJ110" s="1154">
        <f t="shared" si="398"/>
        <v>0</v>
      </c>
      <c r="FK110" s="1154">
        <f t="shared" si="399"/>
        <v>0</v>
      </c>
      <c r="FL110" s="1154">
        <f t="shared" si="400"/>
        <v>0</v>
      </c>
      <c r="FM110" s="1154">
        <f t="shared" si="401"/>
        <v>0</v>
      </c>
      <c r="FN110" s="1154">
        <f t="shared" si="402"/>
        <v>0</v>
      </c>
      <c r="FO110" s="1154">
        <f t="shared" si="403"/>
        <v>0</v>
      </c>
      <c r="FP110" s="1154">
        <f t="shared" si="404"/>
        <v>0</v>
      </c>
      <c r="FQ110" s="1154">
        <f t="shared" si="405"/>
        <v>0</v>
      </c>
      <c r="FR110" s="1154">
        <f t="shared" si="406"/>
        <v>0</v>
      </c>
      <c r="FS110" s="1154">
        <f t="shared" si="407"/>
        <v>0</v>
      </c>
      <c r="FT110" s="1154">
        <f t="shared" si="408"/>
        <v>0</v>
      </c>
      <c r="FU110" s="1154">
        <f t="shared" si="409"/>
        <v>0</v>
      </c>
      <c r="FV110" s="1154">
        <f t="shared" si="410"/>
        <v>0</v>
      </c>
      <c r="FW110" s="1154">
        <f t="shared" si="411"/>
        <v>0</v>
      </c>
      <c r="FX110" s="1154">
        <f t="shared" si="412"/>
        <v>0</v>
      </c>
      <c r="FY110" s="1154">
        <f t="shared" si="413"/>
        <v>0</v>
      </c>
      <c r="FZ110" s="1154">
        <f t="shared" si="414"/>
        <v>0</v>
      </c>
      <c r="GA110" s="1154">
        <f t="shared" si="415"/>
        <v>0</v>
      </c>
      <c r="GB110" s="1154">
        <f t="shared" si="416"/>
        <v>0</v>
      </c>
      <c r="GC110" s="1154">
        <f t="shared" si="417"/>
        <v>0</v>
      </c>
      <c r="GD110" s="1154">
        <f t="shared" si="418"/>
        <v>0</v>
      </c>
      <c r="GE110" s="1154">
        <f t="shared" si="419"/>
        <v>0</v>
      </c>
      <c r="GF110" s="1154">
        <f t="shared" si="420"/>
        <v>0</v>
      </c>
      <c r="GG110" s="1154">
        <f t="shared" si="421"/>
        <v>0</v>
      </c>
      <c r="GH110" s="1154">
        <f t="shared" si="422"/>
        <v>0</v>
      </c>
      <c r="GI110" s="1154">
        <f t="shared" si="423"/>
        <v>0</v>
      </c>
      <c r="GJ110" s="1154">
        <f t="shared" si="424"/>
        <v>0</v>
      </c>
      <c r="GK110" s="1154">
        <f t="shared" si="425"/>
        <v>0</v>
      </c>
      <c r="GL110" s="1174">
        <f t="shared" si="426"/>
        <v>0</v>
      </c>
    </row>
    <row r="111" spans="1:194">
      <c r="B111" s="1290" t="str">
        <f t="shared" si="354"/>
        <v>SACDUOSEREST</v>
      </c>
      <c r="C111" s="1289" t="str">
        <f>C110</f>
        <v>East SAC&gt;100MWhpa Large Residential Energy</v>
      </c>
      <c r="D111" s="1113" t="str">
        <f t="shared" ref="D111:H112" si="435">D110</f>
        <v>East SAC&gt;100MWhpa DemandSmall</v>
      </c>
      <c r="E111" s="1113" t="str">
        <f t="shared" ref="E111:G111" si="436">E110</f>
        <v>SAC</v>
      </c>
      <c r="F111" s="1113" t="str">
        <f t="shared" si="436"/>
        <v>SACL</v>
      </c>
      <c r="G111" s="1113" t="str">
        <f t="shared" si="436"/>
        <v>East</v>
      </c>
      <c r="H111" s="1113" t="str">
        <f t="shared" si="435"/>
        <v>EREST</v>
      </c>
      <c r="I111" s="1114" t="s">
        <v>752</v>
      </c>
      <c r="J111" s="1114" t="s">
        <v>934</v>
      </c>
      <c r="K111" s="1270"/>
      <c r="L111" s="1233">
        <v>5.5176754500000005</v>
      </c>
      <c r="M111" s="1007"/>
      <c r="N111" s="1007"/>
      <c r="O111" s="1007"/>
      <c r="P111" s="1007"/>
      <c r="Q111" s="1007"/>
      <c r="R111" s="1007"/>
      <c r="S111" s="1007"/>
      <c r="T111" s="1007"/>
      <c r="U111" s="1007"/>
      <c r="V111" s="1007"/>
      <c r="W111" s="1007"/>
      <c r="X111" s="1007"/>
      <c r="Y111" s="1007"/>
      <c r="Z111" s="1007"/>
      <c r="AA111" s="1007"/>
      <c r="AB111" s="1007"/>
      <c r="AC111" s="1007"/>
      <c r="AD111" s="1007"/>
      <c r="AE111" s="1007"/>
      <c r="AF111" s="1007"/>
      <c r="AG111" s="1007"/>
      <c r="AH111" s="1007"/>
      <c r="AI111" s="1007"/>
      <c r="AJ111" s="1233">
        <v>1.3580973790086366E-2</v>
      </c>
      <c r="AK111" s="1233">
        <v>2.0824011123205016E-2</v>
      </c>
      <c r="AL111" s="1005"/>
      <c r="AM111" s="1005"/>
      <c r="AN111" s="1005"/>
      <c r="AO111" s="1005"/>
      <c r="AP111" s="1005"/>
      <c r="AQ111" s="1005"/>
      <c r="AR111" s="1005"/>
      <c r="AS111" s="1005"/>
      <c r="AT111" s="1005"/>
      <c r="AU111" s="1006"/>
      <c r="AV111" s="1270"/>
      <c r="AW111" s="1006"/>
      <c r="AX111" s="1006"/>
      <c r="AY111" s="1006"/>
      <c r="AZ111" s="1006"/>
      <c r="BA111" s="1006"/>
      <c r="BB111" s="1006"/>
      <c r="BC111" s="1006"/>
      <c r="BD111" s="1006"/>
      <c r="BE111" s="1006"/>
      <c r="BF111" s="1006"/>
      <c r="BG111" s="1006"/>
      <c r="BH111" s="1006"/>
      <c r="BI111" s="1006"/>
      <c r="BJ111" s="1006"/>
      <c r="BK111" s="1006"/>
      <c r="BL111" s="1006"/>
      <c r="BM111" s="1006"/>
      <c r="BN111" s="1006"/>
      <c r="BO111" s="1006"/>
      <c r="BP111" s="1006"/>
      <c r="BQ111" s="1006"/>
      <c r="BR111" s="1006"/>
      <c r="BS111" s="1006"/>
      <c r="BT111" s="1006"/>
      <c r="BU111" s="1006"/>
      <c r="BV111" s="1006"/>
      <c r="BW111" s="1006"/>
      <c r="BX111" s="1006"/>
      <c r="BY111" s="1006"/>
      <c r="BZ111" s="1006"/>
      <c r="CA111" s="1006"/>
      <c r="CB111" s="1006"/>
      <c r="CC111" s="1006"/>
      <c r="CD111" s="1006"/>
      <c r="CE111" s="1006"/>
      <c r="CF111" s="1006"/>
      <c r="CG111" s="1209"/>
      <c r="CH111" s="1236">
        <v>0</v>
      </c>
      <c r="CI111" s="1007"/>
      <c r="CJ111" s="1007"/>
      <c r="CK111" s="1007"/>
      <c r="CL111" s="1007"/>
      <c r="CM111" s="1007"/>
      <c r="CN111" s="1007"/>
      <c r="CO111" s="1007"/>
      <c r="CP111" s="1007"/>
      <c r="CQ111" s="1007"/>
      <c r="CR111" s="1007"/>
      <c r="CS111" s="1007"/>
      <c r="CT111" s="1007"/>
      <c r="CU111" s="1007"/>
      <c r="CV111" s="1007"/>
      <c r="CW111" s="1007"/>
      <c r="CX111" s="1007"/>
      <c r="CY111" s="1007"/>
      <c r="CZ111" s="1007"/>
      <c r="DA111" s="1007"/>
      <c r="DB111" s="1007"/>
      <c r="DC111" s="1007"/>
      <c r="DD111" s="1007"/>
      <c r="DE111" s="1007"/>
      <c r="DF111" s="1236">
        <v>0</v>
      </c>
      <c r="DG111" s="1236">
        <v>0</v>
      </c>
      <c r="DH111" s="1007"/>
      <c r="DI111" s="1006"/>
      <c r="DJ111" s="1006"/>
      <c r="DK111" s="1007"/>
      <c r="DL111" s="1007"/>
      <c r="DM111" s="1007"/>
      <c r="DN111" s="1007"/>
      <c r="DO111" s="1112"/>
      <c r="DP111" s="1112"/>
      <c r="DQ111" s="1270"/>
      <c r="DR111" s="1154">
        <f t="shared" si="355"/>
        <v>0</v>
      </c>
      <c r="DS111" s="1154">
        <f t="shared" si="356"/>
        <v>0</v>
      </c>
      <c r="DT111" s="1154">
        <f t="shared" si="357"/>
        <v>0</v>
      </c>
      <c r="DU111" s="1154">
        <f t="shared" si="358"/>
        <v>0</v>
      </c>
      <c r="DV111" s="1154">
        <f t="shared" si="359"/>
        <v>0</v>
      </c>
      <c r="DW111" s="1154">
        <f t="shared" si="360"/>
        <v>0</v>
      </c>
      <c r="DX111" s="1154">
        <f t="shared" si="361"/>
        <v>0</v>
      </c>
      <c r="DY111" s="1154">
        <f t="shared" si="362"/>
        <v>0</v>
      </c>
      <c r="DZ111" s="1154">
        <f t="shared" si="363"/>
        <v>0</v>
      </c>
      <c r="EA111" s="1154">
        <f t="shared" si="364"/>
        <v>0</v>
      </c>
      <c r="EB111" s="1154">
        <f t="shared" si="365"/>
        <v>0</v>
      </c>
      <c r="EC111" s="1154">
        <f t="shared" si="366"/>
        <v>0</v>
      </c>
      <c r="ED111" s="1154">
        <f t="shared" si="367"/>
        <v>0</v>
      </c>
      <c r="EE111" s="1154">
        <f t="shared" si="368"/>
        <v>0</v>
      </c>
      <c r="EF111" s="1154">
        <f t="shared" si="369"/>
        <v>0</v>
      </c>
      <c r="EG111" s="1154">
        <f t="shared" si="370"/>
        <v>0</v>
      </c>
      <c r="EH111" s="1154">
        <f t="shared" si="371"/>
        <v>0</v>
      </c>
      <c r="EI111" s="1154">
        <f t="shared" si="372"/>
        <v>0</v>
      </c>
      <c r="EJ111" s="1154">
        <f t="shared" si="373"/>
        <v>0</v>
      </c>
      <c r="EK111" s="1154">
        <f t="shared" si="374"/>
        <v>0</v>
      </c>
      <c r="EL111" s="1154">
        <f t="shared" si="375"/>
        <v>0</v>
      </c>
      <c r="EM111" s="1154">
        <f t="shared" si="376"/>
        <v>0</v>
      </c>
      <c r="EN111" s="1154">
        <f t="shared" si="377"/>
        <v>0</v>
      </c>
      <c r="EO111" s="1154">
        <f t="shared" si="378"/>
        <v>0</v>
      </c>
      <c r="EP111" s="1154">
        <f t="shared" si="379"/>
        <v>0</v>
      </c>
      <c r="EQ111" s="1154">
        <f t="shared" si="380"/>
        <v>0</v>
      </c>
      <c r="ER111" s="1154">
        <f t="shared" si="381"/>
        <v>0</v>
      </c>
      <c r="ES111" s="1154">
        <f t="shared" si="382"/>
        <v>0</v>
      </c>
      <c r="ET111" s="1154">
        <f t="shared" si="383"/>
        <v>0</v>
      </c>
      <c r="EU111" s="1154">
        <f t="shared" si="384"/>
        <v>0</v>
      </c>
      <c r="EV111" s="1154">
        <f t="shared" si="385"/>
        <v>0</v>
      </c>
      <c r="EW111" s="1154">
        <f t="shared" si="386"/>
        <v>0</v>
      </c>
      <c r="EX111" s="1154">
        <f t="shared" si="387"/>
        <v>0</v>
      </c>
      <c r="EY111" s="1154">
        <f t="shared" si="388"/>
        <v>0</v>
      </c>
      <c r="EZ111" s="1154">
        <f t="shared" si="389"/>
        <v>0</v>
      </c>
      <c r="FA111" s="1174">
        <f t="shared" si="390"/>
        <v>0</v>
      </c>
      <c r="FC111" s="1154">
        <f t="shared" si="391"/>
        <v>0</v>
      </c>
      <c r="FD111" s="1154">
        <f t="shared" si="392"/>
        <v>0</v>
      </c>
      <c r="FE111" s="1154">
        <f t="shared" si="393"/>
        <v>0</v>
      </c>
      <c r="FF111" s="1154">
        <f t="shared" si="394"/>
        <v>0</v>
      </c>
      <c r="FG111" s="1154">
        <f t="shared" si="395"/>
        <v>0</v>
      </c>
      <c r="FH111" s="1154">
        <f t="shared" si="396"/>
        <v>0</v>
      </c>
      <c r="FI111" s="1154">
        <f t="shared" si="397"/>
        <v>0</v>
      </c>
      <c r="FJ111" s="1154">
        <f t="shared" si="398"/>
        <v>0</v>
      </c>
      <c r="FK111" s="1154">
        <f t="shared" si="399"/>
        <v>0</v>
      </c>
      <c r="FL111" s="1154">
        <f t="shared" si="400"/>
        <v>0</v>
      </c>
      <c r="FM111" s="1154">
        <f t="shared" si="401"/>
        <v>0</v>
      </c>
      <c r="FN111" s="1154">
        <f t="shared" si="402"/>
        <v>0</v>
      </c>
      <c r="FO111" s="1154">
        <f t="shared" si="403"/>
        <v>0</v>
      </c>
      <c r="FP111" s="1154">
        <f t="shared" si="404"/>
        <v>0</v>
      </c>
      <c r="FQ111" s="1154">
        <f t="shared" si="405"/>
        <v>0</v>
      </c>
      <c r="FR111" s="1154">
        <f t="shared" si="406"/>
        <v>0</v>
      </c>
      <c r="FS111" s="1154">
        <f t="shared" si="407"/>
        <v>0</v>
      </c>
      <c r="FT111" s="1154">
        <f t="shared" si="408"/>
        <v>0</v>
      </c>
      <c r="FU111" s="1154">
        <f t="shared" si="409"/>
        <v>0</v>
      </c>
      <c r="FV111" s="1154">
        <f t="shared" si="410"/>
        <v>0</v>
      </c>
      <c r="FW111" s="1154">
        <f t="shared" si="411"/>
        <v>0</v>
      </c>
      <c r="FX111" s="1154">
        <f t="shared" si="412"/>
        <v>0</v>
      </c>
      <c r="FY111" s="1154">
        <f t="shared" si="413"/>
        <v>0</v>
      </c>
      <c r="FZ111" s="1154">
        <f t="shared" si="414"/>
        <v>0</v>
      </c>
      <c r="GA111" s="1154">
        <f t="shared" si="415"/>
        <v>0</v>
      </c>
      <c r="GB111" s="1154">
        <f t="shared" si="416"/>
        <v>0</v>
      </c>
      <c r="GC111" s="1154">
        <f t="shared" si="417"/>
        <v>0</v>
      </c>
      <c r="GD111" s="1154">
        <f t="shared" si="418"/>
        <v>0</v>
      </c>
      <c r="GE111" s="1154">
        <f t="shared" si="419"/>
        <v>0</v>
      </c>
      <c r="GF111" s="1154">
        <f t="shared" si="420"/>
        <v>0</v>
      </c>
      <c r="GG111" s="1154">
        <f t="shared" si="421"/>
        <v>0</v>
      </c>
      <c r="GH111" s="1154">
        <f t="shared" si="422"/>
        <v>0</v>
      </c>
      <c r="GI111" s="1154">
        <f t="shared" si="423"/>
        <v>0</v>
      </c>
      <c r="GJ111" s="1154">
        <f t="shared" si="424"/>
        <v>0</v>
      </c>
      <c r="GK111" s="1154">
        <f t="shared" si="425"/>
        <v>0</v>
      </c>
      <c r="GL111" s="1174">
        <f t="shared" si="426"/>
        <v>0</v>
      </c>
    </row>
    <row r="112" spans="1:194">
      <c r="B112" s="1290" t="str">
        <f t="shared" si="354"/>
        <v>SACDUOSEREST</v>
      </c>
      <c r="C112" s="1289" t="str">
        <f t="shared" ref="C112:D112" si="437">C111</f>
        <v>East SAC&gt;100MWhpa Large Residential Energy</v>
      </c>
      <c r="D112" s="1113" t="str">
        <f t="shared" si="437"/>
        <v>East SAC&gt;100MWhpa DemandSmall</v>
      </c>
      <c r="E112" s="1113" t="str">
        <f t="shared" ref="E112:G112" si="438">E111</f>
        <v>SAC</v>
      </c>
      <c r="F112" s="1113" t="str">
        <f t="shared" si="438"/>
        <v>SACL</v>
      </c>
      <c r="G112" s="1113" t="str">
        <f t="shared" si="438"/>
        <v>East</v>
      </c>
      <c r="H112" s="1113" t="str">
        <f t="shared" si="435"/>
        <v>EREST</v>
      </c>
      <c r="I112" s="1114" t="s">
        <v>759</v>
      </c>
      <c r="J112" s="1114" t="s">
        <v>934</v>
      </c>
      <c r="K112" s="1270"/>
      <c r="L112" s="1233">
        <v>7.2208920000000001</v>
      </c>
      <c r="M112" s="1007"/>
      <c r="N112" s="1007"/>
      <c r="O112" s="1007"/>
      <c r="P112" s="1007"/>
      <c r="Q112" s="1007"/>
      <c r="R112" s="1007"/>
      <c r="S112" s="1007"/>
      <c r="T112" s="1007"/>
      <c r="U112" s="1007"/>
      <c r="V112" s="1007"/>
      <c r="W112" s="1007"/>
      <c r="X112" s="1007"/>
      <c r="Y112" s="1007"/>
      <c r="Z112" s="1007"/>
      <c r="AA112" s="1007"/>
      <c r="AB112" s="1007"/>
      <c r="AC112" s="1007"/>
      <c r="AD112" s="1007"/>
      <c r="AE112" s="1007"/>
      <c r="AF112" s="1007"/>
      <c r="AG112" s="1007"/>
      <c r="AH112" s="1007"/>
      <c r="AI112" s="1007"/>
      <c r="AJ112" s="1233">
        <v>1.4121335766844378E-2</v>
      </c>
      <c r="AK112" s="1233">
        <v>2.8211909900111125E-2</v>
      </c>
      <c r="AL112" s="1005"/>
      <c r="AM112" s="1005"/>
      <c r="AN112" s="1005"/>
      <c r="AO112" s="1005"/>
      <c r="AP112" s="1005"/>
      <c r="AQ112" s="1005"/>
      <c r="AR112" s="1005"/>
      <c r="AS112" s="1005"/>
      <c r="AT112" s="1005"/>
      <c r="AU112" s="1006"/>
      <c r="AV112" s="1270"/>
      <c r="AW112" s="1006"/>
      <c r="AX112" s="1006"/>
      <c r="AY112" s="1006"/>
      <c r="AZ112" s="1006"/>
      <c r="BA112" s="1006"/>
      <c r="BB112" s="1006"/>
      <c r="BC112" s="1006"/>
      <c r="BD112" s="1006"/>
      <c r="BE112" s="1006"/>
      <c r="BF112" s="1006"/>
      <c r="BG112" s="1006"/>
      <c r="BH112" s="1006"/>
      <c r="BI112" s="1006"/>
      <c r="BJ112" s="1006"/>
      <c r="BK112" s="1006"/>
      <c r="BL112" s="1006"/>
      <c r="BM112" s="1006"/>
      <c r="BN112" s="1006"/>
      <c r="BO112" s="1006"/>
      <c r="BP112" s="1006"/>
      <c r="BQ112" s="1006"/>
      <c r="BR112" s="1006"/>
      <c r="BS112" s="1006"/>
      <c r="BT112" s="1006"/>
      <c r="BU112" s="1006"/>
      <c r="BV112" s="1006"/>
      <c r="BW112" s="1006"/>
      <c r="BX112" s="1006"/>
      <c r="BY112" s="1006"/>
      <c r="BZ112" s="1006"/>
      <c r="CA112" s="1006"/>
      <c r="CB112" s="1006"/>
      <c r="CC112" s="1006"/>
      <c r="CD112" s="1006"/>
      <c r="CE112" s="1006"/>
      <c r="CF112" s="1006"/>
      <c r="CG112" s="1209"/>
      <c r="CH112" s="1236">
        <v>0</v>
      </c>
      <c r="CI112" s="1007"/>
      <c r="CJ112" s="1007"/>
      <c r="CK112" s="1007"/>
      <c r="CL112" s="1007"/>
      <c r="CM112" s="1007"/>
      <c r="CN112" s="1007"/>
      <c r="CO112" s="1007"/>
      <c r="CP112" s="1007"/>
      <c r="CQ112" s="1007"/>
      <c r="CR112" s="1007"/>
      <c r="CS112" s="1007"/>
      <c r="CT112" s="1007"/>
      <c r="CU112" s="1007"/>
      <c r="CV112" s="1007"/>
      <c r="CW112" s="1007"/>
      <c r="CX112" s="1007"/>
      <c r="CY112" s="1007"/>
      <c r="CZ112" s="1007"/>
      <c r="DA112" s="1007"/>
      <c r="DB112" s="1007"/>
      <c r="DC112" s="1007"/>
      <c r="DD112" s="1007"/>
      <c r="DE112" s="1007"/>
      <c r="DF112" s="1236">
        <v>0</v>
      </c>
      <c r="DG112" s="1236">
        <v>0</v>
      </c>
      <c r="DH112" s="1007"/>
      <c r="DI112" s="1006"/>
      <c r="DJ112" s="1006"/>
      <c r="DK112" s="1007"/>
      <c r="DL112" s="1007"/>
      <c r="DM112" s="1007"/>
      <c r="DN112" s="1007"/>
      <c r="DO112" s="1112"/>
      <c r="DP112" s="1112"/>
      <c r="DQ112" s="1270"/>
      <c r="DR112" s="1154">
        <f t="shared" si="355"/>
        <v>0</v>
      </c>
      <c r="DS112" s="1154">
        <f t="shared" si="356"/>
        <v>0</v>
      </c>
      <c r="DT112" s="1154">
        <f t="shared" si="357"/>
        <v>0</v>
      </c>
      <c r="DU112" s="1154">
        <f t="shared" si="358"/>
        <v>0</v>
      </c>
      <c r="DV112" s="1154">
        <f t="shared" si="359"/>
        <v>0</v>
      </c>
      <c r="DW112" s="1154">
        <f t="shared" si="360"/>
        <v>0</v>
      </c>
      <c r="DX112" s="1154">
        <f t="shared" si="361"/>
        <v>0</v>
      </c>
      <c r="DY112" s="1154">
        <f t="shared" si="362"/>
        <v>0</v>
      </c>
      <c r="DZ112" s="1154">
        <f t="shared" si="363"/>
        <v>0</v>
      </c>
      <c r="EA112" s="1154">
        <f t="shared" si="364"/>
        <v>0</v>
      </c>
      <c r="EB112" s="1154">
        <f t="shared" si="365"/>
        <v>0</v>
      </c>
      <c r="EC112" s="1154">
        <f t="shared" si="366"/>
        <v>0</v>
      </c>
      <c r="ED112" s="1154">
        <f t="shared" si="367"/>
        <v>0</v>
      </c>
      <c r="EE112" s="1154">
        <f t="shared" si="368"/>
        <v>0</v>
      </c>
      <c r="EF112" s="1154">
        <f t="shared" si="369"/>
        <v>0</v>
      </c>
      <c r="EG112" s="1154">
        <f t="shared" si="370"/>
        <v>0</v>
      </c>
      <c r="EH112" s="1154">
        <f t="shared" si="371"/>
        <v>0</v>
      </c>
      <c r="EI112" s="1154">
        <f t="shared" si="372"/>
        <v>0</v>
      </c>
      <c r="EJ112" s="1154">
        <f t="shared" si="373"/>
        <v>0</v>
      </c>
      <c r="EK112" s="1154">
        <f t="shared" si="374"/>
        <v>0</v>
      </c>
      <c r="EL112" s="1154">
        <f t="shared" si="375"/>
        <v>0</v>
      </c>
      <c r="EM112" s="1154">
        <f t="shared" si="376"/>
        <v>0</v>
      </c>
      <c r="EN112" s="1154">
        <f t="shared" si="377"/>
        <v>0</v>
      </c>
      <c r="EO112" s="1154">
        <f t="shared" si="378"/>
        <v>0</v>
      </c>
      <c r="EP112" s="1154">
        <f t="shared" si="379"/>
        <v>0</v>
      </c>
      <c r="EQ112" s="1154">
        <f t="shared" si="380"/>
        <v>0</v>
      </c>
      <c r="ER112" s="1154">
        <f t="shared" si="381"/>
        <v>0</v>
      </c>
      <c r="ES112" s="1154">
        <f t="shared" si="382"/>
        <v>0</v>
      </c>
      <c r="ET112" s="1154">
        <f t="shared" si="383"/>
        <v>0</v>
      </c>
      <c r="EU112" s="1154">
        <f t="shared" si="384"/>
        <v>0</v>
      </c>
      <c r="EV112" s="1154">
        <f t="shared" si="385"/>
        <v>0</v>
      </c>
      <c r="EW112" s="1154">
        <f t="shared" si="386"/>
        <v>0</v>
      </c>
      <c r="EX112" s="1154">
        <f t="shared" si="387"/>
        <v>0</v>
      </c>
      <c r="EY112" s="1154">
        <f t="shared" si="388"/>
        <v>0</v>
      </c>
      <c r="EZ112" s="1154">
        <f t="shared" si="389"/>
        <v>0</v>
      </c>
      <c r="FA112" s="1174">
        <f t="shared" si="390"/>
        <v>0</v>
      </c>
      <c r="FC112" s="1154">
        <f t="shared" si="391"/>
        <v>0</v>
      </c>
      <c r="FD112" s="1154">
        <f t="shared" si="392"/>
        <v>0</v>
      </c>
      <c r="FE112" s="1154">
        <f t="shared" si="393"/>
        <v>0</v>
      </c>
      <c r="FF112" s="1154">
        <f t="shared" si="394"/>
        <v>0</v>
      </c>
      <c r="FG112" s="1154">
        <f t="shared" si="395"/>
        <v>0</v>
      </c>
      <c r="FH112" s="1154">
        <f t="shared" si="396"/>
        <v>0</v>
      </c>
      <c r="FI112" s="1154">
        <f t="shared" si="397"/>
        <v>0</v>
      </c>
      <c r="FJ112" s="1154">
        <f t="shared" si="398"/>
        <v>0</v>
      </c>
      <c r="FK112" s="1154">
        <f t="shared" si="399"/>
        <v>0</v>
      </c>
      <c r="FL112" s="1154">
        <f t="shared" si="400"/>
        <v>0</v>
      </c>
      <c r="FM112" s="1154">
        <f t="shared" si="401"/>
        <v>0</v>
      </c>
      <c r="FN112" s="1154">
        <f t="shared" si="402"/>
        <v>0</v>
      </c>
      <c r="FO112" s="1154">
        <f t="shared" si="403"/>
        <v>0</v>
      </c>
      <c r="FP112" s="1154">
        <f t="shared" si="404"/>
        <v>0</v>
      </c>
      <c r="FQ112" s="1154">
        <f t="shared" si="405"/>
        <v>0</v>
      </c>
      <c r="FR112" s="1154">
        <f t="shared" si="406"/>
        <v>0</v>
      </c>
      <c r="FS112" s="1154">
        <f t="shared" si="407"/>
        <v>0</v>
      </c>
      <c r="FT112" s="1154">
        <f t="shared" si="408"/>
        <v>0</v>
      </c>
      <c r="FU112" s="1154">
        <f t="shared" si="409"/>
        <v>0</v>
      </c>
      <c r="FV112" s="1154">
        <f t="shared" si="410"/>
        <v>0</v>
      </c>
      <c r="FW112" s="1154">
        <f t="shared" si="411"/>
        <v>0</v>
      </c>
      <c r="FX112" s="1154">
        <f t="shared" si="412"/>
        <v>0</v>
      </c>
      <c r="FY112" s="1154">
        <f t="shared" si="413"/>
        <v>0</v>
      </c>
      <c r="FZ112" s="1154">
        <f t="shared" si="414"/>
        <v>0</v>
      </c>
      <c r="GA112" s="1154">
        <f t="shared" si="415"/>
        <v>0</v>
      </c>
      <c r="GB112" s="1154">
        <f t="shared" si="416"/>
        <v>0</v>
      </c>
      <c r="GC112" s="1154">
        <f t="shared" si="417"/>
        <v>0</v>
      </c>
      <c r="GD112" s="1154">
        <f t="shared" si="418"/>
        <v>0</v>
      </c>
      <c r="GE112" s="1154">
        <f t="shared" si="419"/>
        <v>0</v>
      </c>
      <c r="GF112" s="1154">
        <f t="shared" si="420"/>
        <v>0</v>
      </c>
      <c r="GG112" s="1154">
        <f t="shared" si="421"/>
        <v>0</v>
      </c>
      <c r="GH112" s="1154">
        <f t="shared" si="422"/>
        <v>0</v>
      </c>
      <c r="GI112" s="1154">
        <f t="shared" si="423"/>
        <v>0</v>
      </c>
      <c r="GJ112" s="1154">
        <f t="shared" si="424"/>
        <v>0</v>
      </c>
      <c r="GK112" s="1154">
        <f t="shared" si="425"/>
        <v>0</v>
      </c>
      <c r="GL112" s="1174">
        <f t="shared" si="426"/>
        <v>0</v>
      </c>
    </row>
    <row r="113" spans="1:194">
      <c r="B113" s="1290" t="str">
        <f t="shared" si="354"/>
        <v>SACDUOSWREST</v>
      </c>
      <c r="C113" s="1289" t="str">
        <f>Prop2021DUOSTariffs!C51</f>
        <v>West SAC&gt;100MWhpa Large Residential Energy</v>
      </c>
      <c r="D113" s="1113" t="str">
        <f>Prop2021DUOSTariffs!D51</f>
        <v>West SAC&gt;100MWhpa DemandSmall</v>
      </c>
      <c r="E113" s="1113" t="str">
        <f>Prop2021DUOSTariffs!E51</f>
        <v>SAC</v>
      </c>
      <c r="F113" s="1113" t="str">
        <f>Prop2021DUOSTariffs!F51</f>
        <v>SACL</v>
      </c>
      <c r="G113" s="1113" t="str">
        <f>Prop2021DUOSTariffs!G51</f>
        <v>West</v>
      </c>
      <c r="H113" s="1113" t="str">
        <f>IF(Prop2021DUOSTariffs!H51="","",Prop2021DUOSTariffs!H51)</f>
        <v>WREST</v>
      </c>
      <c r="I113" s="1114" t="s">
        <v>798</v>
      </c>
      <c r="J113" s="1114" t="s">
        <v>934</v>
      </c>
      <c r="K113" s="1270"/>
      <c r="L113" s="1233">
        <v>4.1796489000000001</v>
      </c>
      <c r="M113" s="1007"/>
      <c r="N113" s="1007"/>
      <c r="O113" s="1007"/>
      <c r="P113" s="1007"/>
      <c r="Q113" s="1007"/>
      <c r="R113" s="1007"/>
      <c r="S113" s="1007"/>
      <c r="T113" s="1007"/>
      <c r="U113" s="1007"/>
      <c r="V113" s="1007"/>
      <c r="W113" s="1007"/>
      <c r="X113" s="1007"/>
      <c r="Y113" s="1007"/>
      <c r="Z113" s="1007"/>
      <c r="AA113" s="1007"/>
      <c r="AB113" s="1007"/>
      <c r="AC113" s="1007"/>
      <c r="AD113" s="1007"/>
      <c r="AE113" s="1007"/>
      <c r="AF113" s="1007"/>
      <c r="AG113" s="1007"/>
      <c r="AH113" s="1007"/>
      <c r="AI113" s="1007"/>
      <c r="AJ113" s="1233">
        <v>1.2756154364570426E-2</v>
      </c>
      <c r="AK113" s="1233">
        <v>1.6183265485757239E-2</v>
      </c>
      <c r="AL113" s="1005"/>
      <c r="AM113" s="1005"/>
      <c r="AN113" s="1005"/>
      <c r="AO113" s="1005"/>
      <c r="AP113" s="1005"/>
      <c r="AQ113" s="1005"/>
      <c r="AR113" s="1005"/>
      <c r="AS113" s="1005"/>
      <c r="AT113" s="1005"/>
      <c r="AU113" s="1006"/>
      <c r="AV113" s="1270"/>
      <c r="AW113" s="1006"/>
      <c r="AX113" s="1006"/>
      <c r="AY113" s="1006"/>
      <c r="AZ113" s="1006"/>
      <c r="BA113" s="1006"/>
      <c r="BB113" s="1006"/>
      <c r="BC113" s="1006"/>
      <c r="BD113" s="1006"/>
      <c r="BE113" s="1006"/>
      <c r="BF113" s="1006"/>
      <c r="BG113" s="1006"/>
      <c r="BH113" s="1006"/>
      <c r="BI113" s="1006"/>
      <c r="BJ113" s="1006"/>
      <c r="BK113" s="1006"/>
      <c r="BL113" s="1006"/>
      <c r="BM113" s="1006"/>
      <c r="BN113" s="1006"/>
      <c r="BO113" s="1006"/>
      <c r="BP113" s="1006"/>
      <c r="BQ113" s="1006"/>
      <c r="BR113" s="1006"/>
      <c r="BS113" s="1006"/>
      <c r="BT113" s="1006"/>
      <c r="BU113" s="1006"/>
      <c r="BV113" s="1006"/>
      <c r="BW113" s="1006"/>
      <c r="BX113" s="1006"/>
      <c r="BY113" s="1006"/>
      <c r="BZ113" s="1006"/>
      <c r="CA113" s="1006"/>
      <c r="CB113" s="1006"/>
      <c r="CC113" s="1006"/>
      <c r="CD113" s="1006"/>
      <c r="CE113" s="1006"/>
      <c r="CF113" s="1006"/>
      <c r="CG113" s="1209"/>
      <c r="CH113" s="1236">
        <v>0</v>
      </c>
      <c r="CI113" s="1007"/>
      <c r="CJ113" s="1007"/>
      <c r="CK113" s="1007"/>
      <c r="CL113" s="1007"/>
      <c r="CM113" s="1007"/>
      <c r="CN113" s="1007"/>
      <c r="CO113" s="1007"/>
      <c r="CP113" s="1007"/>
      <c r="CQ113" s="1007"/>
      <c r="CR113" s="1007"/>
      <c r="CS113" s="1007"/>
      <c r="CT113" s="1007"/>
      <c r="CU113" s="1007"/>
      <c r="CV113" s="1007"/>
      <c r="CW113" s="1007"/>
      <c r="CX113" s="1007"/>
      <c r="CY113" s="1007"/>
      <c r="CZ113" s="1007"/>
      <c r="DA113" s="1007"/>
      <c r="DB113" s="1007"/>
      <c r="DC113" s="1007"/>
      <c r="DD113" s="1007"/>
      <c r="DE113" s="1007"/>
      <c r="DF113" s="1236">
        <v>0</v>
      </c>
      <c r="DG113" s="1236">
        <v>0</v>
      </c>
      <c r="DH113" s="1007"/>
      <c r="DI113" s="1006"/>
      <c r="DJ113" s="1006"/>
      <c r="DK113" s="1007"/>
      <c r="DL113" s="1007"/>
      <c r="DM113" s="1007"/>
      <c r="DN113" s="1007"/>
      <c r="DO113" s="1112"/>
      <c r="DP113" s="1112"/>
      <c r="DQ113" s="1270"/>
      <c r="DR113" s="1154">
        <f t="shared" si="355"/>
        <v>0</v>
      </c>
      <c r="DS113" s="1154">
        <f t="shared" si="356"/>
        <v>0</v>
      </c>
      <c r="DT113" s="1154">
        <f t="shared" si="357"/>
        <v>0</v>
      </c>
      <c r="DU113" s="1154">
        <f t="shared" si="358"/>
        <v>0</v>
      </c>
      <c r="DV113" s="1154">
        <f t="shared" si="359"/>
        <v>0</v>
      </c>
      <c r="DW113" s="1154">
        <f t="shared" si="360"/>
        <v>0</v>
      </c>
      <c r="DX113" s="1154">
        <f t="shared" si="361"/>
        <v>0</v>
      </c>
      <c r="DY113" s="1154">
        <f t="shared" si="362"/>
        <v>0</v>
      </c>
      <c r="DZ113" s="1154">
        <f t="shared" si="363"/>
        <v>0</v>
      </c>
      <c r="EA113" s="1154">
        <f t="shared" si="364"/>
        <v>0</v>
      </c>
      <c r="EB113" s="1154">
        <f t="shared" si="365"/>
        <v>0</v>
      </c>
      <c r="EC113" s="1154">
        <f t="shared" si="366"/>
        <v>0</v>
      </c>
      <c r="ED113" s="1154">
        <f t="shared" si="367"/>
        <v>0</v>
      </c>
      <c r="EE113" s="1154">
        <f t="shared" si="368"/>
        <v>0</v>
      </c>
      <c r="EF113" s="1154">
        <f t="shared" si="369"/>
        <v>0</v>
      </c>
      <c r="EG113" s="1154">
        <f t="shared" si="370"/>
        <v>0</v>
      </c>
      <c r="EH113" s="1154">
        <f t="shared" si="371"/>
        <v>0</v>
      </c>
      <c r="EI113" s="1154">
        <f t="shared" si="372"/>
        <v>0</v>
      </c>
      <c r="EJ113" s="1154">
        <f t="shared" si="373"/>
        <v>0</v>
      </c>
      <c r="EK113" s="1154">
        <f t="shared" si="374"/>
        <v>0</v>
      </c>
      <c r="EL113" s="1154">
        <f t="shared" si="375"/>
        <v>0</v>
      </c>
      <c r="EM113" s="1154">
        <f t="shared" si="376"/>
        <v>0</v>
      </c>
      <c r="EN113" s="1154">
        <f t="shared" si="377"/>
        <v>0</v>
      </c>
      <c r="EO113" s="1154">
        <f t="shared" si="378"/>
        <v>0</v>
      </c>
      <c r="EP113" s="1154">
        <f t="shared" si="379"/>
        <v>0</v>
      </c>
      <c r="EQ113" s="1154">
        <f t="shared" si="380"/>
        <v>0</v>
      </c>
      <c r="ER113" s="1154">
        <f t="shared" si="381"/>
        <v>0</v>
      </c>
      <c r="ES113" s="1154">
        <f t="shared" si="382"/>
        <v>0</v>
      </c>
      <c r="ET113" s="1154">
        <f t="shared" si="383"/>
        <v>0</v>
      </c>
      <c r="EU113" s="1154">
        <f t="shared" si="384"/>
        <v>0</v>
      </c>
      <c r="EV113" s="1154">
        <f t="shared" si="385"/>
        <v>0</v>
      </c>
      <c r="EW113" s="1154">
        <f t="shared" si="386"/>
        <v>0</v>
      </c>
      <c r="EX113" s="1154">
        <f t="shared" si="387"/>
        <v>0</v>
      </c>
      <c r="EY113" s="1154">
        <f t="shared" si="388"/>
        <v>0</v>
      </c>
      <c r="EZ113" s="1154">
        <f t="shared" si="389"/>
        <v>0</v>
      </c>
      <c r="FA113" s="1174">
        <f t="shared" si="390"/>
        <v>0</v>
      </c>
      <c r="FC113" s="1154">
        <f t="shared" si="391"/>
        <v>0</v>
      </c>
      <c r="FD113" s="1154">
        <f t="shared" si="392"/>
        <v>0</v>
      </c>
      <c r="FE113" s="1154">
        <f t="shared" si="393"/>
        <v>0</v>
      </c>
      <c r="FF113" s="1154">
        <f t="shared" si="394"/>
        <v>0</v>
      </c>
      <c r="FG113" s="1154">
        <f t="shared" si="395"/>
        <v>0</v>
      </c>
      <c r="FH113" s="1154">
        <f t="shared" si="396"/>
        <v>0</v>
      </c>
      <c r="FI113" s="1154">
        <f t="shared" si="397"/>
        <v>0</v>
      </c>
      <c r="FJ113" s="1154">
        <f t="shared" si="398"/>
        <v>0</v>
      </c>
      <c r="FK113" s="1154">
        <f t="shared" si="399"/>
        <v>0</v>
      </c>
      <c r="FL113" s="1154">
        <f t="shared" si="400"/>
        <v>0</v>
      </c>
      <c r="FM113" s="1154">
        <f t="shared" si="401"/>
        <v>0</v>
      </c>
      <c r="FN113" s="1154">
        <f t="shared" si="402"/>
        <v>0</v>
      </c>
      <c r="FO113" s="1154">
        <f t="shared" si="403"/>
        <v>0</v>
      </c>
      <c r="FP113" s="1154">
        <f t="shared" si="404"/>
        <v>0</v>
      </c>
      <c r="FQ113" s="1154">
        <f t="shared" si="405"/>
        <v>0</v>
      </c>
      <c r="FR113" s="1154">
        <f t="shared" si="406"/>
        <v>0</v>
      </c>
      <c r="FS113" s="1154">
        <f t="shared" si="407"/>
        <v>0</v>
      </c>
      <c r="FT113" s="1154">
        <f t="shared" si="408"/>
        <v>0</v>
      </c>
      <c r="FU113" s="1154">
        <f t="shared" si="409"/>
        <v>0</v>
      </c>
      <c r="FV113" s="1154">
        <f t="shared" si="410"/>
        <v>0</v>
      </c>
      <c r="FW113" s="1154">
        <f t="shared" si="411"/>
        <v>0</v>
      </c>
      <c r="FX113" s="1154">
        <f t="shared" si="412"/>
        <v>0</v>
      </c>
      <c r="FY113" s="1154">
        <f t="shared" si="413"/>
        <v>0</v>
      </c>
      <c r="FZ113" s="1154">
        <f t="shared" si="414"/>
        <v>0</v>
      </c>
      <c r="GA113" s="1154">
        <f t="shared" si="415"/>
        <v>0</v>
      </c>
      <c r="GB113" s="1154">
        <f t="shared" si="416"/>
        <v>0</v>
      </c>
      <c r="GC113" s="1154">
        <f t="shared" si="417"/>
        <v>0</v>
      </c>
      <c r="GD113" s="1154">
        <f t="shared" si="418"/>
        <v>0</v>
      </c>
      <c r="GE113" s="1154">
        <f t="shared" si="419"/>
        <v>0</v>
      </c>
      <c r="GF113" s="1154">
        <f t="shared" si="420"/>
        <v>0</v>
      </c>
      <c r="GG113" s="1154">
        <f t="shared" si="421"/>
        <v>0</v>
      </c>
      <c r="GH113" s="1154">
        <f t="shared" si="422"/>
        <v>0</v>
      </c>
      <c r="GI113" s="1154">
        <f t="shared" si="423"/>
        <v>0</v>
      </c>
      <c r="GJ113" s="1154">
        <f t="shared" si="424"/>
        <v>0</v>
      </c>
      <c r="GK113" s="1154">
        <f t="shared" si="425"/>
        <v>0</v>
      </c>
      <c r="GL113" s="1174">
        <f t="shared" si="426"/>
        <v>0</v>
      </c>
    </row>
    <row r="114" spans="1:194">
      <c r="B114" s="1290" t="str">
        <f t="shared" si="354"/>
        <v>SACDUOSWREST</v>
      </c>
      <c r="C114" s="1289" t="str">
        <f>C113</f>
        <v>West SAC&gt;100MWhpa Large Residential Energy</v>
      </c>
      <c r="D114" s="1113" t="str">
        <f t="shared" ref="D114:H115" si="439">D113</f>
        <v>West SAC&gt;100MWhpa DemandSmall</v>
      </c>
      <c r="E114" s="1113" t="str">
        <f t="shared" ref="E114:G114" si="440">E113</f>
        <v>SAC</v>
      </c>
      <c r="F114" s="1113" t="str">
        <f t="shared" si="440"/>
        <v>SACL</v>
      </c>
      <c r="G114" s="1113" t="str">
        <f t="shared" si="440"/>
        <v>West</v>
      </c>
      <c r="H114" s="1113" t="str">
        <f t="shared" si="439"/>
        <v>WREST</v>
      </c>
      <c r="I114" s="1114" t="s">
        <v>752</v>
      </c>
      <c r="J114" s="1114" t="s">
        <v>934</v>
      </c>
      <c r="K114" s="1270"/>
      <c r="L114" s="1233">
        <v>5.5176754500000005</v>
      </c>
      <c r="M114" s="1007"/>
      <c r="N114" s="1007"/>
      <c r="O114" s="1007"/>
      <c r="P114" s="1007"/>
      <c r="Q114" s="1007"/>
      <c r="R114" s="1007"/>
      <c r="S114" s="1007"/>
      <c r="T114" s="1007"/>
      <c r="U114" s="1007"/>
      <c r="V114" s="1007"/>
      <c r="W114" s="1007"/>
      <c r="X114" s="1007"/>
      <c r="Y114" s="1007"/>
      <c r="Z114" s="1007"/>
      <c r="AA114" s="1007"/>
      <c r="AB114" s="1007"/>
      <c r="AC114" s="1007"/>
      <c r="AD114" s="1007"/>
      <c r="AE114" s="1007"/>
      <c r="AF114" s="1007"/>
      <c r="AG114" s="1007"/>
      <c r="AH114" s="1007"/>
      <c r="AI114" s="1007"/>
      <c r="AJ114" s="1233">
        <v>1.3580973790086366E-2</v>
      </c>
      <c r="AK114" s="1233">
        <v>2.0824011123205016E-2</v>
      </c>
      <c r="AL114" s="1005"/>
      <c r="AM114" s="1005"/>
      <c r="AN114" s="1005"/>
      <c r="AO114" s="1005"/>
      <c r="AP114" s="1005"/>
      <c r="AQ114" s="1005"/>
      <c r="AR114" s="1005"/>
      <c r="AS114" s="1005"/>
      <c r="AT114" s="1005"/>
      <c r="AU114" s="1006"/>
      <c r="AV114" s="1270"/>
      <c r="AW114" s="1006"/>
      <c r="AX114" s="1006"/>
      <c r="AY114" s="1006"/>
      <c r="AZ114" s="1006"/>
      <c r="BA114" s="1006"/>
      <c r="BB114" s="1006"/>
      <c r="BC114" s="1006"/>
      <c r="BD114" s="1006"/>
      <c r="BE114" s="1006"/>
      <c r="BF114" s="1006"/>
      <c r="BG114" s="1006"/>
      <c r="BH114" s="1006"/>
      <c r="BI114" s="1006"/>
      <c r="BJ114" s="1006"/>
      <c r="BK114" s="1006"/>
      <c r="BL114" s="1006"/>
      <c r="BM114" s="1006"/>
      <c r="BN114" s="1006"/>
      <c r="BO114" s="1006"/>
      <c r="BP114" s="1006"/>
      <c r="BQ114" s="1006"/>
      <c r="BR114" s="1006"/>
      <c r="BS114" s="1006"/>
      <c r="BT114" s="1006"/>
      <c r="BU114" s="1006"/>
      <c r="BV114" s="1006"/>
      <c r="BW114" s="1006"/>
      <c r="BX114" s="1006"/>
      <c r="BY114" s="1006"/>
      <c r="BZ114" s="1006"/>
      <c r="CA114" s="1006"/>
      <c r="CB114" s="1006"/>
      <c r="CC114" s="1006"/>
      <c r="CD114" s="1006"/>
      <c r="CE114" s="1006"/>
      <c r="CF114" s="1006"/>
      <c r="CG114" s="1209"/>
      <c r="CH114" s="1236">
        <v>0</v>
      </c>
      <c r="CI114" s="1007"/>
      <c r="CJ114" s="1007"/>
      <c r="CK114" s="1007"/>
      <c r="CL114" s="1007"/>
      <c r="CM114" s="1007"/>
      <c r="CN114" s="1007"/>
      <c r="CO114" s="1007"/>
      <c r="CP114" s="1007"/>
      <c r="CQ114" s="1007"/>
      <c r="CR114" s="1007"/>
      <c r="CS114" s="1007"/>
      <c r="CT114" s="1007"/>
      <c r="CU114" s="1007"/>
      <c r="CV114" s="1007"/>
      <c r="CW114" s="1007"/>
      <c r="CX114" s="1007"/>
      <c r="CY114" s="1007"/>
      <c r="CZ114" s="1007"/>
      <c r="DA114" s="1007"/>
      <c r="DB114" s="1007"/>
      <c r="DC114" s="1007"/>
      <c r="DD114" s="1007"/>
      <c r="DE114" s="1007"/>
      <c r="DF114" s="1236">
        <v>0</v>
      </c>
      <c r="DG114" s="1236">
        <v>0</v>
      </c>
      <c r="DH114" s="1007"/>
      <c r="DI114" s="1006"/>
      <c r="DJ114" s="1006"/>
      <c r="DK114" s="1007"/>
      <c r="DL114" s="1007"/>
      <c r="DM114" s="1007"/>
      <c r="DN114" s="1007"/>
      <c r="DO114" s="1112"/>
      <c r="DP114" s="1112"/>
      <c r="DQ114" s="1270"/>
      <c r="DR114" s="1154">
        <f t="shared" si="355"/>
        <v>0</v>
      </c>
      <c r="DS114" s="1154">
        <f t="shared" si="356"/>
        <v>0</v>
      </c>
      <c r="DT114" s="1154">
        <f t="shared" si="357"/>
        <v>0</v>
      </c>
      <c r="DU114" s="1154">
        <f t="shared" si="358"/>
        <v>0</v>
      </c>
      <c r="DV114" s="1154">
        <f t="shared" si="359"/>
        <v>0</v>
      </c>
      <c r="DW114" s="1154">
        <f t="shared" si="360"/>
        <v>0</v>
      </c>
      <c r="DX114" s="1154">
        <f t="shared" si="361"/>
        <v>0</v>
      </c>
      <c r="DY114" s="1154">
        <f t="shared" si="362"/>
        <v>0</v>
      </c>
      <c r="DZ114" s="1154">
        <f t="shared" si="363"/>
        <v>0</v>
      </c>
      <c r="EA114" s="1154">
        <f t="shared" si="364"/>
        <v>0</v>
      </c>
      <c r="EB114" s="1154">
        <f t="shared" si="365"/>
        <v>0</v>
      </c>
      <c r="EC114" s="1154">
        <f t="shared" si="366"/>
        <v>0</v>
      </c>
      <c r="ED114" s="1154">
        <f t="shared" si="367"/>
        <v>0</v>
      </c>
      <c r="EE114" s="1154">
        <f t="shared" si="368"/>
        <v>0</v>
      </c>
      <c r="EF114" s="1154">
        <f t="shared" si="369"/>
        <v>0</v>
      </c>
      <c r="EG114" s="1154">
        <f t="shared" si="370"/>
        <v>0</v>
      </c>
      <c r="EH114" s="1154">
        <f t="shared" si="371"/>
        <v>0</v>
      </c>
      <c r="EI114" s="1154">
        <f t="shared" si="372"/>
        <v>0</v>
      </c>
      <c r="EJ114" s="1154">
        <f t="shared" si="373"/>
        <v>0</v>
      </c>
      <c r="EK114" s="1154">
        <f t="shared" si="374"/>
        <v>0</v>
      </c>
      <c r="EL114" s="1154">
        <f t="shared" si="375"/>
        <v>0</v>
      </c>
      <c r="EM114" s="1154">
        <f t="shared" si="376"/>
        <v>0</v>
      </c>
      <c r="EN114" s="1154">
        <f t="shared" si="377"/>
        <v>0</v>
      </c>
      <c r="EO114" s="1154">
        <f t="shared" si="378"/>
        <v>0</v>
      </c>
      <c r="EP114" s="1154">
        <f t="shared" si="379"/>
        <v>0</v>
      </c>
      <c r="EQ114" s="1154">
        <f t="shared" si="380"/>
        <v>0</v>
      </c>
      <c r="ER114" s="1154">
        <f t="shared" si="381"/>
        <v>0</v>
      </c>
      <c r="ES114" s="1154">
        <f t="shared" si="382"/>
        <v>0</v>
      </c>
      <c r="ET114" s="1154">
        <f t="shared" si="383"/>
        <v>0</v>
      </c>
      <c r="EU114" s="1154">
        <f t="shared" si="384"/>
        <v>0</v>
      </c>
      <c r="EV114" s="1154">
        <f t="shared" si="385"/>
        <v>0</v>
      </c>
      <c r="EW114" s="1154">
        <f t="shared" si="386"/>
        <v>0</v>
      </c>
      <c r="EX114" s="1154">
        <f t="shared" si="387"/>
        <v>0</v>
      </c>
      <c r="EY114" s="1154">
        <f t="shared" si="388"/>
        <v>0</v>
      </c>
      <c r="EZ114" s="1154">
        <f t="shared" si="389"/>
        <v>0</v>
      </c>
      <c r="FA114" s="1174">
        <f t="shared" si="390"/>
        <v>0</v>
      </c>
      <c r="FC114" s="1154">
        <f t="shared" si="391"/>
        <v>0</v>
      </c>
      <c r="FD114" s="1154">
        <f t="shared" si="392"/>
        <v>0</v>
      </c>
      <c r="FE114" s="1154">
        <f t="shared" si="393"/>
        <v>0</v>
      </c>
      <c r="FF114" s="1154">
        <f t="shared" si="394"/>
        <v>0</v>
      </c>
      <c r="FG114" s="1154">
        <f t="shared" si="395"/>
        <v>0</v>
      </c>
      <c r="FH114" s="1154">
        <f t="shared" si="396"/>
        <v>0</v>
      </c>
      <c r="FI114" s="1154">
        <f t="shared" si="397"/>
        <v>0</v>
      </c>
      <c r="FJ114" s="1154">
        <f t="shared" si="398"/>
        <v>0</v>
      </c>
      <c r="FK114" s="1154">
        <f t="shared" si="399"/>
        <v>0</v>
      </c>
      <c r="FL114" s="1154">
        <f t="shared" si="400"/>
        <v>0</v>
      </c>
      <c r="FM114" s="1154">
        <f t="shared" si="401"/>
        <v>0</v>
      </c>
      <c r="FN114" s="1154">
        <f t="shared" si="402"/>
        <v>0</v>
      </c>
      <c r="FO114" s="1154">
        <f t="shared" si="403"/>
        <v>0</v>
      </c>
      <c r="FP114" s="1154">
        <f t="shared" si="404"/>
        <v>0</v>
      </c>
      <c r="FQ114" s="1154">
        <f t="shared" si="405"/>
        <v>0</v>
      </c>
      <c r="FR114" s="1154">
        <f t="shared" si="406"/>
        <v>0</v>
      </c>
      <c r="FS114" s="1154">
        <f t="shared" si="407"/>
        <v>0</v>
      </c>
      <c r="FT114" s="1154">
        <f t="shared" si="408"/>
        <v>0</v>
      </c>
      <c r="FU114" s="1154">
        <f t="shared" si="409"/>
        <v>0</v>
      </c>
      <c r="FV114" s="1154">
        <f t="shared" si="410"/>
        <v>0</v>
      </c>
      <c r="FW114" s="1154">
        <f t="shared" si="411"/>
        <v>0</v>
      </c>
      <c r="FX114" s="1154">
        <f t="shared" si="412"/>
        <v>0</v>
      </c>
      <c r="FY114" s="1154">
        <f t="shared" si="413"/>
        <v>0</v>
      </c>
      <c r="FZ114" s="1154">
        <f t="shared" si="414"/>
        <v>0</v>
      </c>
      <c r="GA114" s="1154">
        <f t="shared" si="415"/>
        <v>0</v>
      </c>
      <c r="GB114" s="1154">
        <f t="shared" si="416"/>
        <v>0</v>
      </c>
      <c r="GC114" s="1154">
        <f t="shared" si="417"/>
        <v>0</v>
      </c>
      <c r="GD114" s="1154">
        <f t="shared" si="418"/>
        <v>0</v>
      </c>
      <c r="GE114" s="1154">
        <f t="shared" si="419"/>
        <v>0</v>
      </c>
      <c r="GF114" s="1154">
        <f t="shared" si="420"/>
        <v>0</v>
      </c>
      <c r="GG114" s="1154">
        <f t="shared" si="421"/>
        <v>0</v>
      </c>
      <c r="GH114" s="1154">
        <f t="shared" si="422"/>
        <v>0</v>
      </c>
      <c r="GI114" s="1154">
        <f t="shared" si="423"/>
        <v>0</v>
      </c>
      <c r="GJ114" s="1154">
        <f t="shared" si="424"/>
        <v>0</v>
      </c>
      <c r="GK114" s="1154">
        <f t="shared" si="425"/>
        <v>0</v>
      </c>
      <c r="GL114" s="1174">
        <f t="shared" si="426"/>
        <v>0</v>
      </c>
    </row>
    <row r="115" spans="1:194">
      <c r="B115" s="1290" t="str">
        <f t="shared" si="354"/>
        <v>SACDUOSWREST</v>
      </c>
      <c r="C115" s="1289" t="str">
        <f t="shared" ref="C115:D115" si="441">C114</f>
        <v>West SAC&gt;100MWhpa Large Residential Energy</v>
      </c>
      <c r="D115" s="1113" t="str">
        <f t="shared" si="441"/>
        <v>West SAC&gt;100MWhpa DemandSmall</v>
      </c>
      <c r="E115" s="1113" t="str">
        <f t="shared" ref="E115:G115" si="442">E114</f>
        <v>SAC</v>
      </c>
      <c r="F115" s="1113" t="str">
        <f t="shared" si="442"/>
        <v>SACL</v>
      </c>
      <c r="G115" s="1113" t="str">
        <f t="shared" si="442"/>
        <v>West</v>
      </c>
      <c r="H115" s="1113" t="str">
        <f t="shared" si="439"/>
        <v>WREST</v>
      </c>
      <c r="I115" s="1114" t="s">
        <v>759</v>
      </c>
      <c r="J115" s="1114" t="s">
        <v>934</v>
      </c>
      <c r="K115" s="1270"/>
      <c r="L115" s="1233">
        <v>7.2208920000000001</v>
      </c>
      <c r="M115" s="1007"/>
      <c r="N115" s="1007"/>
      <c r="O115" s="1007"/>
      <c r="P115" s="1007"/>
      <c r="Q115" s="1007"/>
      <c r="R115" s="1007"/>
      <c r="S115" s="1007"/>
      <c r="T115" s="1007"/>
      <c r="U115" s="1007"/>
      <c r="V115" s="1007"/>
      <c r="W115" s="1007"/>
      <c r="X115" s="1007"/>
      <c r="Y115" s="1007"/>
      <c r="Z115" s="1007"/>
      <c r="AA115" s="1007"/>
      <c r="AB115" s="1007"/>
      <c r="AC115" s="1007"/>
      <c r="AD115" s="1007"/>
      <c r="AE115" s="1007"/>
      <c r="AF115" s="1007"/>
      <c r="AG115" s="1007"/>
      <c r="AH115" s="1007"/>
      <c r="AI115" s="1007"/>
      <c r="AJ115" s="1233">
        <v>1.4121335766844378E-2</v>
      </c>
      <c r="AK115" s="1233">
        <v>2.8211909900111125E-2</v>
      </c>
      <c r="AL115" s="1005"/>
      <c r="AM115" s="1005"/>
      <c r="AN115" s="1005"/>
      <c r="AO115" s="1005"/>
      <c r="AP115" s="1005"/>
      <c r="AQ115" s="1005"/>
      <c r="AR115" s="1005"/>
      <c r="AS115" s="1005"/>
      <c r="AT115" s="1005"/>
      <c r="AU115" s="1006"/>
      <c r="AV115" s="1270"/>
      <c r="AW115" s="1006"/>
      <c r="AX115" s="1006"/>
      <c r="AY115" s="1006"/>
      <c r="AZ115" s="1006"/>
      <c r="BA115" s="1006"/>
      <c r="BB115" s="1006"/>
      <c r="BC115" s="1006"/>
      <c r="BD115" s="1006"/>
      <c r="BE115" s="1006"/>
      <c r="BF115" s="1006"/>
      <c r="BG115" s="1006"/>
      <c r="BH115" s="1006"/>
      <c r="BI115" s="1006"/>
      <c r="BJ115" s="1006"/>
      <c r="BK115" s="1006"/>
      <c r="BL115" s="1006"/>
      <c r="BM115" s="1006"/>
      <c r="BN115" s="1006"/>
      <c r="BO115" s="1006"/>
      <c r="BP115" s="1006"/>
      <c r="BQ115" s="1006"/>
      <c r="BR115" s="1006"/>
      <c r="BS115" s="1006"/>
      <c r="BT115" s="1006"/>
      <c r="BU115" s="1006"/>
      <c r="BV115" s="1006"/>
      <c r="BW115" s="1006"/>
      <c r="BX115" s="1006"/>
      <c r="BY115" s="1006"/>
      <c r="BZ115" s="1006"/>
      <c r="CA115" s="1006"/>
      <c r="CB115" s="1006"/>
      <c r="CC115" s="1006"/>
      <c r="CD115" s="1006"/>
      <c r="CE115" s="1006"/>
      <c r="CF115" s="1006"/>
      <c r="CG115" s="1209"/>
      <c r="CH115" s="1236">
        <v>0</v>
      </c>
      <c r="CI115" s="1007"/>
      <c r="CJ115" s="1007"/>
      <c r="CK115" s="1007"/>
      <c r="CL115" s="1007"/>
      <c r="CM115" s="1007"/>
      <c r="CN115" s="1007"/>
      <c r="CO115" s="1007"/>
      <c r="CP115" s="1007"/>
      <c r="CQ115" s="1007"/>
      <c r="CR115" s="1007"/>
      <c r="CS115" s="1007"/>
      <c r="CT115" s="1007"/>
      <c r="CU115" s="1007"/>
      <c r="CV115" s="1007"/>
      <c r="CW115" s="1007"/>
      <c r="CX115" s="1007"/>
      <c r="CY115" s="1007"/>
      <c r="CZ115" s="1007"/>
      <c r="DA115" s="1007"/>
      <c r="DB115" s="1007"/>
      <c r="DC115" s="1007"/>
      <c r="DD115" s="1007"/>
      <c r="DE115" s="1007"/>
      <c r="DF115" s="1236">
        <v>0</v>
      </c>
      <c r="DG115" s="1236">
        <v>0</v>
      </c>
      <c r="DH115" s="1007"/>
      <c r="DI115" s="1006"/>
      <c r="DJ115" s="1006"/>
      <c r="DK115" s="1007"/>
      <c r="DL115" s="1007"/>
      <c r="DM115" s="1007"/>
      <c r="DN115" s="1007"/>
      <c r="DO115" s="1112"/>
      <c r="DP115" s="1112"/>
      <c r="DQ115" s="1270"/>
      <c r="DR115" s="1154">
        <f t="shared" si="355"/>
        <v>0</v>
      </c>
      <c r="DS115" s="1154">
        <f t="shared" si="356"/>
        <v>0</v>
      </c>
      <c r="DT115" s="1154">
        <f t="shared" si="357"/>
        <v>0</v>
      </c>
      <c r="DU115" s="1154">
        <f t="shared" si="358"/>
        <v>0</v>
      </c>
      <c r="DV115" s="1154">
        <f t="shared" si="359"/>
        <v>0</v>
      </c>
      <c r="DW115" s="1154">
        <f t="shared" si="360"/>
        <v>0</v>
      </c>
      <c r="DX115" s="1154">
        <f t="shared" si="361"/>
        <v>0</v>
      </c>
      <c r="DY115" s="1154">
        <f t="shared" si="362"/>
        <v>0</v>
      </c>
      <c r="DZ115" s="1154">
        <f t="shared" si="363"/>
        <v>0</v>
      </c>
      <c r="EA115" s="1154">
        <f t="shared" si="364"/>
        <v>0</v>
      </c>
      <c r="EB115" s="1154">
        <f t="shared" si="365"/>
        <v>0</v>
      </c>
      <c r="EC115" s="1154">
        <f t="shared" si="366"/>
        <v>0</v>
      </c>
      <c r="ED115" s="1154">
        <f t="shared" si="367"/>
        <v>0</v>
      </c>
      <c r="EE115" s="1154">
        <f t="shared" si="368"/>
        <v>0</v>
      </c>
      <c r="EF115" s="1154">
        <f t="shared" si="369"/>
        <v>0</v>
      </c>
      <c r="EG115" s="1154">
        <f t="shared" si="370"/>
        <v>0</v>
      </c>
      <c r="EH115" s="1154">
        <f t="shared" si="371"/>
        <v>0</v>
      </c>
      <c r="EI115" s="1154">
        <f t="shared" si="372"/>
        <v>0</v>
      </c>
      <c r="EJ115" s="1154">
        <f t="shared" si="373"/>
        <v>0</v>
      </c>
      <c r="EK115" s="1154">
        <f t="shared" si="374"/>
        <v>0</v>
      </c>
      <c r="EL115" s="1154">
        <f t="shared" si="375"/>
        <v>0</v>
      </c>
      <c r="EM115" s="1154">
        <f t="shared" si="376"/>
        <v>0</v>
      </c>
      <c r="EN115" s="1154">
        <f t="shared" si="377"/>
        <v>0</v>
      </c>
      <c r="EO115" s="1154">
        <f t="shared" si="378"/>
        <v>0</v>
      </c>
      <c r="EP115" s="1154">
        <f t="shared" si="379"/>
        <v>0</v>
      </c>
      <c r="EQ115" s="1154">
        <f t="shared" si="380"/>
        <v>0</v>
      </c>
      <c r="ER115" s="1154">
        <f t="shared" si="381"/>
        <v>0</v>
      </c>
      <c r="ES115" s="1154">
        <f t="shared" si="382"/>
        <v>0</v>
      </c>
      <c r="ET115" s="1154">
        <f t="shared" si="383"/>
        <v>0</v>
      </c>
      <c r="EU115" s="1154">
        <f t="shared" si="384"/>
        <v>0</v>
      </c>
      <c r="EV115" s="1154">
        <f t="shared" si="385"/>
        <v>0</v>
      </c>
      <c r="EW115" s="1154">
        <f t="shared" si="386"/>
        <v>0</v>
      </c>
      <c r="EX115" s="1154">
        <f t="shared" si="387"/>
        <v>0</v>
      </c>
      <c r="EY115" s="1154">
        <f t="shared" si="388"/>
        <v>0</v>
      </c>
      <c r="EZ115" s="1154">
        <f t="shared" si="389"/>
        <v>0</v>
      </c>
      <c r="FA115" s="1174">
        <f t="shared" si="390"/>
        <v>0</v>
      </c>
      <c r="FC115" s="1154">
        <f t="shared" si="391"/>
        <v>0</v>
      </c>
      <c r="FD115" s="1154">
        <f t="shared" si="392"/>
        <v>0</v>
      </c>
      <c r="FE115" s="1154">
        <f t="shared" si="393"/>
        <v>0</v>
      </c>
      <c r="FF115" s="1154">
        <f t="shared" si="394"/>
        <v>0</v>
      </c>
      <c r="FG115" s="1154">
        <f t="shared" si="395"/>
        <v>0</v>
      </c>
      <c r="FH115" s="1154">
        <f t="shared" si="396"/>
        <v>0</v>
      </c>
      <c r="FI115" s="1154">
        <f t="shared" si="397"/>
        <v>0</v>
      </c>
      <c r="FJ115" s="1154">
        <f t="shared" si="398"/>
        <v>0</v>
      </c>
      <c r="FK115" s="1154">
        <f t="shared" si="399"/>
        <v>0</v>
      </c>
      <c r="FL115" s="1154">
        <f t="shared" si="400"/>
        <v>0</v>
      </c>
      <c r="FM115" s="1154">
        <f t="shared" si="401"/>
        <v>0</v>
      </c>
      <c r="FN115" s="1154">
        <f t="shared" si="402"/>
        <v>0</v>
      </c>
      <c r="FO115" s="1154">
        <f t="shared" si="403"/>
        <v>0</v>
      </c>
      <c r="FP115" s="1154">
        <f t="shared" si="404"/>
        <v>0</v>
      </c>
      <c r="FQ115" s="1154">
        <f t="shared" si="405"/>
        <v>0</v>
      </c>
      <c r="FR115" s="1154">
        <f t="shared" si="406"/>
        <v>0</v>
      </c>
      <c r="FS115" s="1154">
        <f t="shared" si="407"/>
        <v>0</v>
      </c>
      <c r="FT115" s="1154">
        <f t="shared" si="408"/>
        <v>0</v>
      </c>
      <c r="FU115" s="1154">
        <f t="shared" si="409"/>
        <v>0</v>
      </c>
      <c r="FV115" s="1154">
        <f t="shared" si="410"/>
        <v>0</v>
      </c>
      <c r="FW115" s="1154">
        <f t="shared" si="411"/>
        <v>0</v>
      </c>
      <c r="FX115" s="1154">
        <f t="shared" si="412"/>
        <v>0</v>
      </c>
      <c r="FY115" s="1154">
        <f t="shared" si="413"/>
        <v>0</v>
      </c>
      <c r="FZ115" s="1154">
        <f t="shared" si="414"/>
        <v>0</v>
      </c>
      <c r="GA115" s="1154">
        <f t="shared" si="415"/>
        <v>0</v>
      </c>
      <c r="GB115" s="1154">
        <f t="shared" si="416"/>
        <v>0</v>
      </c>
      <c r="GC115" s="1154">
        <f t="shared" si="417"/>
        <v>0</v>
      </c>
      <c r="GD115" s="1154">
        <f t="shared" si="418"/>
        <v>0</v>
      </c>
      <c r="GE115" s="1154">
        <f t="shared" si="419"/>
        <v>0</v>
      </c>
      <c r="GF115" s="1154">
        <f t="shared" si="420"/>
        <v>0</v>
      </c>
      <c r="GG115" s="1154">
        <f t="shared" si="421"/>
        <v>0</v>
      </c>
      <c r="GH115" s="1154">
        <f t="shared" si="422"/>
        <v>0</v>
      </c>
      <c r="GI115" s="1154">
        <f t="shared" si="423"/>
        <v>0</v>
      </c>
      <c r="GJ115" s="1154">
        <f t="shared" si="424"/>
        <v>0</v>
      </c>
      <c r="GK115" s="1154">
        <f t="shared" si="425"/>
        <v>0</v>
      </c>
      <c r="GL115" s="1174">
        <f t="shared" si="426"/>
        <v>0</v>
      </c>
    </row>
    <row r="116" spans="1:194">
      <c r="B116" s="1290" t="str">
        <f t="shared" si="354"/>
        <v>SACDUOSMREST</v>
      </c>
      <c r="C116" s="1289" t="str">
        <f>Prop2021DUOSTariffs!C52</f>
        <v>MtIsa SAC&gt;100MWhpa Large Residential Energy</v>
      </c>
      <c r="D116" s="1113" t="str">
        <f>Prop2021DUOSTariffs!D52</f>
        <v>MtIsa SAC&gt;100MWhpa DemandSmall</v>
      </c>
      <c r="E116" s="1113" t="str">
        <f>Prop2021DUOSTariffs!E52</f>
        <v>SAC</v>
      </c>
      <c r="F116" s="1113" t="str">
        <f>Prop2021DUOSTariffs!F52</f>
        <v>SACL</v>
      </c>
      <c r="G116" s="1113" t="str">
        <f>Prop2021DUOSTariffs!G52</f>
        <v>Mt Isa</v>
      </c>
      <c r="H116" s="1113" t="str">
        <f>IF(Prop2021DUOSTariffs!H52="","",Prop2021DUOSTariffs!H52)</f>
        <v>MREST</v>
      </c>
      <c r="I116" s="1114" t="s">
        <v>761</v>
      </c>
      <c r="J116" s="1114" t="s">
        <v>934</v>
      </c>
      <c r="K116" s="1270"/>
      <c r="L116" s="1233">
        <v>3.6324044</v>
      </c>
      <c r="M116" s="1007"/>
      <c r="N116" s="1007"/>
      <c r="O116" s="1007"/>
      <c r="P116" s="1007"/>
      <c r="Q116" s="1007"/>
      <c r="R116" s="1007"/>
      <c r="S116" s="1007"/>
      <c r="T116" s="1007"/>
      <c r="U116" s="1007"/>
      <c r="V116" s="1007"/>
      <c r="W116" s="1007"/>
      <c r="X116" s="1007"/>
      <c r="Y116" s="1007"/>
      <c r="Z116" s="1007"/>
      <c r="AA116" s="1007"/>
      <c r="AB116" s="1007"/>
      <c r="AC116" s="1007"/>
      <c r="AD116" s="1007"/>
      <c r="AE116" s="1007"/>
      <c r="AF116" s="1007"/>
      <c r="AG116" s="1007"/>
      <c r="AH116" s="1007"/>
      <c r="AI116" s="1007"/>
      <c r="AJ116" s="1233">
        <v>7.7007696230294931E-4</v>
      </c>
      <c r="AK116" s="1233">
        <v>2.973402488278932E-3</v>
      </c>
      <c r="AL116" s="1005"/>
      <c r="AM116" s="1005"/>
      <c r="AN116" s="1005"/>
      <c r="AO116" s="1005"/>
      <c r="AP116" s="1005"/>
      <c r="AQ116" s="1005"/>
      <c r="AR116" s="1005"/>
      <c r="AS116" s="1005"/>
      <c r="AT116" s="1005"/>
      <c r="AU116" s="1006"/>
      <c r="AV116" s="1270"/>
      <c r="AW116" s="1006"/>
      <c r="AX116" s="1006"/>
      <c r="AY116" s="1006"/>
      <c r="AZ116" s="1006"/>
      <c r="BA116" s="1006"/>
      <c r="BB116" s="1006"/>
      <c r="BC116" s="1006"/>
      <c r="BD116" s="1006"/>
      <c r="BE116" s="1006"/>
      <c r="BF116" s="1006"/>
      <c r="BG116" s="1006"/>
      <c r="BH116" s="1006"/>
      <c r="BI116" s="1006"/>
      <c r="BJ116" s="1006"/>
      <c r="BK116" s="1006"/>
      <c r="BL116" s="1006"/>
      <c r="BM116" s="1006"/>
      <c r="BN116" s="1006"/>
      <c r="BO116" s="1006"/>
      <c r="BP116" s="1006"/>
      <c r="BQ116" s="1006"/>
      <c r="BR116" s="1006"/>
      <c r="BS116" s="1006"/>
      <c r="BT116" s="1006"/>
      <c r="BU116" s="1006"/>
      <c r="BV116" s="1006"/>
      <c r="BW116" s="1006"/>
      <c r="BX116" s="1006"/>
      <c r="BY116" s="1006"/>
      <c r="BZ116" s="1006"/>
      <c r="CA116" s="1006"/>
      <c r="CB116" s="1006"/>
      <c r="CC116" s="1006"/>
      <c r="CD116" s="1006"/>
      <c r="CE116" s="1006"/>
      <c r="CF116" s="1006"/>
      <c r="CG116" s="1209"/>
      <c r="CH116" s="1236">
        <v>0</v>
      </c>
      <c r="CI116" s="1007"/>
      <c r="CJ116" s="1007"/>
      <c r="CK116" s="1007"/>
      <c r="CL116" s="1007"/>
      <c r="CM116" s="1007"/>
      <c r="CN116" s="1007"/>
      <c r="CO116" s="1007"/>
      <c r="CP116" s="1007"/>
      <c r="CQ116" s="1007"/>
      <c r="CR116" s="1007"/>
      <c r="CS116" s="1007"/>
      <c r="CT116" s="1007"/>
      <c r="CU116" s="1007"/>
      <c r="CV116" s="1007"/>
      <c r="CW116" s="1007"/>
      <c r="CX116" s="1007"/>
      <c r="CY116" s="1007"/>
      <c r="CZ116" s="1007"/>
      <c r="DA116" s="1007"/>
      <c r="DB116" s="1007"/>
      <c r="DC116" s="1007"/>
      <c r="DD116" s="1007"/>
      <c r="DE116" s="1007"/>
      <c r="DF116" s="1236">
        <v>0</v>
      </c>
      <c r="DG116" s="1236">
        <v>0</v>
      </c>
      <c r="DH116" s="1007"/>
      <c r="DI116" s="1006"/>
      <c r="DJ116" s="1006"/>
      <c r="DK116" s="1007"/>
      <c r="DL116" s="1007"/>
      <c r="DM116" s="1007"/>
      <c r="DN116" s="1007"/>
      <c r="DO116" s="1112"/>
      <c r="DP116" s="1112"/>
      <c r="DQ116" s="1270"/>
      <c r="DR116" s="1154">
        <f t="shared" si="355"/>
        <v>0</v>
      </c>
      <c r="DS116" s="1154">
        <f t="shared" si="356"/>
        <v>0</v>
      </c>
      <c r="DT116" s="1154">
        <f t="shared" si="357"/>
        <v>0</v>
      </c>
      <c r="DU116" s="1154">
        <f t="shared" si="358"/>
        <v>0</v>
      </c>
      <c r="DV116" s="1154">
        <f t="shared" si="359"/>
        <v>0</v>
      </c>
      <c r="DW116" s="1154">
        <f t="shared" si="360"/>
        <v>0</v>
      </c>
      <c r="DX116" s="1154">
        <f t="shared" si="361"/>
        <v>0</v>
      </c>
      <c r="DY116" s="1154">
        <f t="shared" si="362"/>
        <v>0</v>
      </c>
      <c r="DZ116" s="1154">
        <f t="shared" si="363"/>
        <v>0</v>
      </c>
      <c r="EA116" s="1154">
        <f t="shared" si="364"/>
        <v>0</v>
      </c>
      <c r="EB116" s="1154">
        <f t="shared" si="365"/>
        <v>0</v>
      </c>
      <c r="EC116" s="1154">
        <f t="shared" si="366"/>
        <v>0</v>
      </c>
      <c r="ED116" s="1154">
        <f t="shared" si="367"/>
        <v>0</v>
      </c>
      <c r="EE116" s="1154">
        <f t="shared" si="368"/>
        <v>0</v>
      </c>
      <c r="EF116" s="1154">
        <f t="shared" si="369"/>
        <v>0</v>
      </c>
      <c r="EG116" s="1154">
        <f t="shared" si="370"/>
        <v>0</v>
      </c>
      <c r="EH116" s="1154">
        <f t="shared" si="371"/>
        <v>0</v>
      </c>
      <c r="EI116" s="1154">
        <f t="shared" si="372"/>
        <v>0</v>
      </c>
      <c r="EJ116" s="1154">
        <f t="shared" si="373"/>
        <v>0</v>
      </c>
      <c r="EK116" s="1154">
        <f t="shared" si="374"/>
        <v>0</v>
      </c>
      <c r="EL116" s="1154">
        <f t="shared" si="375"/>
        <v>0</v>
      </c>
      <c r="EM116" s="1154">
        <f t="shared" si="376"/>
        <v>0</v>
      </c>
      <c r="EN116" s="1154">
        <f t="shared" si="377"/>
        <v>0</v>
      </c>
      <c r="EO116" s="1154">
        <f t="shared" si="378"/>
        <v>0</v>
      </c>
      <c r="EP116" s="1154">
        <f t="shared" si="379"/>
        <v>0</v>
      </c>
      <c r="EQ116" s="1154">
        <f t="shared" si="380"/>
        <v>0</v>
      </c>
      <c r="ER116" s="1154">
        <f t="shared" si="381"/>
        <v>0</v>
      </c>
      <c r="ES116" s="1154">
        <f t="shared" si="382"/>
        <v>0</v>
      </c>
      <c r="ET116" s="1154">
        <f t="shared" si="383"/>
        <v>0</v>
      </c>
      <c r="EU116" s="1154">
        <f t="shared" si="384"/>
        <v>0</v>
      </c>
      <c r="EV116" s="1154">
        <f t="shared" si="385"/>
        <v>0</v>
      </c>
      <c r="EW116" s="1154">
        <f t="shared" si="386"/>
        <v>0</v>
      </c>
      <c r="EX116" s="1154">
        <f t="shared" si="387"/>
        <v>0</v>
      </c>
      <c r="EY116" s="1154">
        <f t="shared" si="388"/>
        <v>0</v>
      </c>
      <c r="EZ116" s="1154">
        <f t="shared" si="389"/>
        <v>0</v>
      </c>
      <c r="FA116" s="1174">
        <f t="shared" si="390"/>
        <v>0</v>
      </c>
      <c r="FC116" s="1154">
        <f t="shared" si="391"/>
        <v>0</v>
      </c>
      <c r="FD116" s="1154">
        <f t="shared" si="392"/>
        <v>0</v>
      </c>
      <c r="FE116" s="1154">
        <f t="shared" si="393"/>
        <v>0</v>
      </c>
      <c r="FF116" s="1154">
        <f t="shared" si="394"/>
        <v>0</v>
      </c>
      <c r="FG116" s="1154">
        <f t="shared" si="395"/>
        <v>0</v>
      </c>
      <c r="FH116" s="1154">
        <f t="shared" si="396"/>
        <v>0</v>
      </c>
      <c r="FI116" s="1154">
        <f t="shared" si="397"/>
        <v>0</v>
      </c>
      <c r="FJ116" s="1154">
        <f t="shared" si="398"/>
        <v>0</v>
      </c>
      <c r="FK116" s="1154">
        <f t="shared" si="399"/>
        <v>0</v>
      </c>
      <c r="FL116" s="1154">
        <f t="shared" si="400"/>
        <v>0</v>
      </c>
      <c r="FM116" s="1154">
        <f t="shared" si="401"/>
        <v>0</v>
      </c>
      <c r="FN116" s="1154">
        <f t="shared" si="402"/>
        <v>0</v>
      </c>
      <c r="FO116" s="1154">
        <f t="shared" si="403"/>
        <v>0</v>
      </c>
      <c r="FP116" s="1154">
        <f t="shared" si="404"/>
        <v>0</v>
      </c>
      <c r="FQ116" s="1154">
        <f t="shared" si="405"/>
        <v>0</v>
      </c>
      <c r="FR116" s="1154">
        <f t="shared" si="406"/>
        <v>0</v>
      </c>
      <c r="FS116" s="1154">
        <f t="shared" si="407"/>
        <v>0</v>
      </c>
      <c r="FT116" s="1154">
        <f t="shared" si="408"/>
        <v>0</v>
      </c>
      <c r="FU116" s="1154">
        <f t="shared" si="409"/>
        <v>0</v>
      </c>
      <c r="FV116" s="1154">
        <f t="shared" si="410"/>
        <v>0</v>
      </c>
      <c r="FW116" s="1154">
        <f t="shared" si="411"/>
        <v>0</v>
      </c>
      <c r="FX116" s="1154">
        <f t="shared" si="412"/>
        <v>0</v>
      </c>
      <c r="FY116" s="1154">
        <f t="shared" si="413"/>
        <v>0</v>
      </c>
      <c r="FZ116" s="1154">
        <f t="shared" si="414"/>
        <v>0</v>
      </c>
      <c r="GA116" s="1154">
        <f t="shared" si="415"/>
        <v>0</v>
      </c>
      <c r="GB116" s="1154">
        <f t="shared" si="416"/>
        <v>0</v>
      </c>
      <c r="GC116" s="1154">
        <f t="shared" si="417"/>
        <v>0</v>
      </c>
      <c r="GD116" s="1154">
        <f t="shared" si="418"/>
        <v>0</v>
      </c>
      <c r="GE116" s="1154">
        <f t="shared" si="419"/>
        <v>0</v>
      </c>
      <c r="GF116" s="1154">
        <f t="shared" si="420"/>
        <v>0</v>
      </c>
      <c r="GG116" s="1154">
        <f t="shared" si="421"/>
        <v>0</v>
      </c>
      <c r="GH116" s="1154">
        <f t="shared" si="422"/>
        <v>0</v>
      </c>
      <c r="GI116" s="1154">
        <f t="shared" si="423"/>
        <v>0</v>
      </c>
      <c r="GJ116" s="1154">
        <f t="shared" si="424"/>
        <v>0</v>
      </c>
      <c r="GK116" s="1154">
        <f t="shared" si="425"/>
        <v>0</v>
      </c>
      <c r="GL116" s="1174">
        <f t="shared" si="426"/>
        <v>0</v>
      </c>
    </row>
    <row r="117" spans="1:194" ht="6" customHeight="1">
      <c r="A117" s="1205"/>
      <c r="B117" s="1266" t="s">
        <v>742</v>
      </c>
      <c r="C117" s="1780"/>
      <c r="D117" s="1781"/>
      <c r="E117" s="1781"/>
      <c r="F117" s="1781"/>
      <c r="G117" s="1781"/>
      <c r="H117" s="1781"/>
      <c r="I117" s="1781"/>
      <c r="J117" s="1782"/>
      <c r="K117" s="1234"/>
      <c r="L117" s="1266"/>
      <c r="M117" s="1184"/>
      <c r="N117" s="1184"/>
      <c r="O117" s="1184"/>
      <c r="P117" s="1184"/>
      <c r="Q117" s="1184"/>
      <c r="R117" s="1184"/>
      <c r="S117" s="1184"/>
      <c r="T117" s="1184"/>
      <c r="U117" s="1184"/>
      <c r="V117" s="1184"/>
      <c r="W117" s="1184"/>
      <c r="X117" s="1184"/>
      <c r="Y117" s="1184"/>
      <c r="Z117" s="1184"/>
      <c r="AA117" s="1184"/>
      <c r="AB117" s="1184"/>
      <c r="AC117" s="1184"/>
      <c r="AD117" s="1184"/>
      <c r="AE117" s="1184"/>
      <c r="AF117" s="1184"/>
      <c r="AG117" s="1184"/>
      <c r="AH117" s="1184"/>
      <c r="AI117" s="1184"/>
      <c r="AJ117" s="1184"/>
      <c r="AK117" s="1184"/>
      <c r="AL117" s="1184"/>
      <c r="AM117" s="1184"/>
      <c r="AN117" s="1184"/>
      <c r="AO117" s="1184"/>
      <c r="AP117" s="1184"/>
      <c r="AQ117" s="1184"/>
      <c r="AR117" s="1184"/>
      <c r="AS117" s="1184"/>
      <c r="AT117" s="1184"/>
      <c r="AU117" s="1205"/>
      <c r="AV117" s="1234"/>
      <c r="AW117" s="1205"/>
      <c r="AX117" s="1205"/>
      <c r="AY117" s="1205"/>
      <c r="AZ117" s="1205"/>
      <c r="BA117" s="1205"/>
      <c r="BB117" s="1205"/>
      <c r="BC117" s="1205"/>
      <c r="BD117" s="1205"/>
      <c r="BE117" s="1205"/>
      <c r="BF117" s="1205"/>
      <c r="BG117" s="1205"/>
      <c r="BH117" s="1205"/>
      <c r="BI117" s="1205"/>
      <c r="BJ117" s="1205"/>
      <c r="BK117" s="1205"/>
      <c r="BL117" s="1205"/>
      <c r="BM117" s="1205"/>
      <c r="BN117" s="1205"/>
      <c r="BO117" s="1205"/>
      <c r="BP117" s="1205"/>
      <c r="BQ117" s="1205"/>
      <c r="BR117" s="1205"/>
      <c r="BS117" s="1205"/>
      <c r="BT117" s="1205"/>
      <c r="BU117" s="1205"/>
      <c r="BV117" s="1205"/>
      <c r="BW117" s="1205"/>
      <c r="BX117" s="1205"/>
      <c r="BY117" s="1205"/>
      <c r="BZ117" s="1205"/>
      <c r="CA117" s="1205"/>
      <c r="CB117" s="1205"/>
      <c r="CC117" s="1205"/>
      <c r="CD117" s="1205"/>
      <c r="CE117" s="1205"/>
      <c r="CF117" s="1205"/>
      <c r="CG117" s="1208"/>
      <c r="CH117" s="1205"/>
      <c r="CI117" s="1205"/>
      <c r="CJ117" s="1205"/>
      <c r="CK117" s="1205"/>
      <c r="CL117" s="1205"/>
      <c r="CM117" s="1205"/>
      <c r="CN117" s="1205"/>
      <c r="CO117" s="1205"/>
      <c r="CP117" s="1205"/>
      <c r="CQ117" s="1205"/>
      <c r="CR117" s="1205"/>
      <c r="CS117" s="1205"/>
      <c r="CT117" s="1205"/>
      <c r="CU117" s="1205"/>
      <c r="CV117" s="1205"/>
      <c r="CW117" s="1205"/>
      <c r="CX117" s="1205"/>
      <c r="CY117" s="1205"/>
      <c r="CZ117" s="1205"/>
      <c r="DA117" s="1205"/>
      <c r="DB117" s="1205"/>
      <c r="DC117" s="1205"/>
      <c r="DD117" s="1205"/>
      <c r="DE117" s="1205"/>
      <c r="DF117" s="1205"/>
      <c r="DG117" s="1205"/>
      <c r="DH117" s="1205"/>
      <c r="DI117" s="1205"/>
      <c r="DJ117" s="1205"/>
      <c r="DK117" s="1184"/>
      <c r="DL117" s="1184"/>
      <c r="DM117" s="1184"/>
      <c r="DN117" s="1184"/>
      <c r="DO117" s="1266"/>
      <c r="DP117" s="1266"/>
      <c r="DQ117" s="1234"/>
      <c r="DR117" s="1283"/>
      <c r="DS117" s="1283"/>
      <c r="DT117" s="1283"/>
      <c r="DU117" s="1283"/>
      <c r="DV117" s="1283"/>
      <c r="DW117" s="1283"/>
      <c r="DX117" s="1283"/>
      <c r="DY117" s="1283"/>
      <c r="DZ117" s="1283"/>
      <c r="EA117" s="1283"/>
      <c r="EB117" s="1283"/>
      <c r="EC117" s="1283"/>
      <c r="ED117" s="1283"/>
      <c r="EE117" s="1283"/>
      <c r="EF117" s="1283"/>
      <c r="EG117" s="1283"/>
      <c r="EH117" s="1283"/>
      <c r="EI117" s="1283"/>
      <c r="EJ117" s="1283"/>
      <c r="EK117" s="1283"/>
      <c r="EL117" s="1283"/>
      <c r="EM117" s="1283"/>
      <c r="EN117" s="1283"/>
      <c r="EO117" s="1283"/>
      <c r="EP117" s="1283"/>
      <c r="EQ117" s="1283"/>
      <c r="ER117" s="1283"/>
      <c r="ES117" s="1283"/>
      <c r="ET117" s="1283"/>
      <c r="EU117" s="1283"/>
      <c r="EV117" s="1283"/>
      <c r="EW117" s="1283"/>
      <c r="EX117" s="1283"/>
      <c r="EY117" s="1283"/>
      <c r="EZ117" s="1283"/>
      <c r="FA117" s="1283"/>
      <c r="FC117" s="1283"/>
      <c r="FD117" s="1283"/>
      <c r="FE117" s="1283"/>
      <c r="FF117" s="1283"/>
      <c r="FG117" s="1283"/>
      <c r="FH117" s="1283"/>
      <c r="FI117" s="1283"/>
      <c r="FJ117" s="1283"/>
      <c r="FK117" s="1283"/>
      <c r="FL117" s="1283"/>
      <c r="FM117" s="1283"/>
      <c r="FN117" s="1283"/>
      <c r="FO117" s="1283"/>
      <c r="FP117" s="1283"/>
      <c r="FQ117" s="1283"/>
      <c r="FR117" s="1283"/>
      <c r="FS117" s="1283"/>
      <c r="FT117" s="1283"/>
      <c r="FU117" s="1283"/>
      <c r="FV117" s="1283"/>
      <c r="FW117" s="1283"/>
      <c r="FX117" s="1283"/>
      <c r="FY117" s="1283"/>
      <c r="FZ117" s="1283"/>
      <c r="GA117" s="1283"/>
      <c r="GB117" s="1283"/>
      <c r="GC117" s="1283"/>
      <c r="GD117" s="1283"/>
      <c r="GE117" s="1283"/>
      <c r="GF117" s="1283"/>
      <c r="GG117" s="1283"/>
      <c r="GH117" s="1283"/>
      <c r="GI117" s="1283"/>
      <c r="GJ117" s="1283"/>
      <c r="GK117" s="1283"/>
      <c r="GL117" s="1283"/>
    </row>
    <row r="118" spans="1:194">
      <c r="B118" s="1290" t="str">
        <f t="shared" ref="B118:B159" si="443">$E118&amp;"DUOS"&amp;$H118</f>
        <v>SACDUOSEBIB</v>
      </c>
      <c r="C118" s="1289" t="str">
        <f>Prop2021DUOSTariffs!C54</f>
        <v>East SAC&lt;20MWhpa Business IBT</v>
      </c>
      <c r="D118" s="1113" t="str">
        <f>Prop2021DUOSTariffs!D54</f>
        <v>East SAC&lt;20MWhpa Business IBT</v>
      </c>
      <c r="E118" s="1113" t="str">
        <f>Prop2021DUOSTariffs!E54</f>
        <v>SAC</v>
      </c>
      <c r="F118" s="1113" t="str">
        <f>Prop2021DUOSTariffs!F54</f>
        <v>SACS Bus</v>
      </c>
      <c r="G118" s="1113" t="str">
        <f>Prop2021DUOSTariffs!G54</f>
        <v>East</v>
      </c>
      <c r="H118" s="1113" t="str">
        <f>IF(Prop2021DUOSTariffs!H54="","",Prop2021DUOSTariffs!H54)</f>
        <v>EBIB</v>
      </c>
      <c r="I118" s="1114" t="s">
        <v>798</v>
      </c>
      <c r="J118" s="1114" t="s">
        <v>934</v>
      </c>
      <c r="K118" s="1270"/>
      <c r="L118" s="1233">
        <v>0.10462200000000002</v>
      </c>
      <c r="M118" s="1007"/>
      <c r="N118" s="1007"/>
      <c r="O118" s="1007"/>
      <c r="P118" s="1007"/>
      <c r="Q118" s="1007"/>
      <c r="R118" s="1007"/>
      <c r="S118" s="1007"/>
      <c r="T118" s="1007"/>
      <c r="U118" s="1007"/>
      <c r="V118" s="1007"/>
      <c r="W118" s="1007"/>
      <c r="X118" s="1007"/>
      <c r="Y118" s="1007"/>
      <c r="Z118" s="1007"/>
      <c r="AA118" s="1007"/>
      <c r="AB118" s="1007"/>
      <c r="AC118" s="1007"/>
      <c r="AD118" s="1007"/>
      <c r="AE118" s="1007"/>
      <c r="AF118" s="1007"/>
      <c r="AG118" s="1007"/>
      <c r="AH118" s="1007"/>
      <c r="AI118" s="1233">
        <v>1.2756140745273986E-2</v>
      </c>
      <c r="AJ118" s="1005"/>
      <c r="AK118" s="1005"/>
      <c r="AL118" s="1005"/>
      <c r="AM118" s="1005"/>
      <c r="AN118" s="1005"/>
      <c r="AO118" s="1005"/>
      <c r="AP118" s="1005"/>
      <c r="AQ118" s="1005"/>
      <c r="AR118" s="1005"/>
      <c r="AS118" s="1005"/>
      <c r="AT118" s="1005"/>
      <c r="AU118" s="1006"/>
      <c r="AV118" s="1270"/>
      <c r="AW118" s="1480">
        <v>9.870000000000001E-2</v>
      </c>
      <c r="AX118" s="1006"/>
      <c r="AY118" s="1006"/>
      <c r="AZ118" s="1006"/>
      <c r="BA118" s="1006"/>
      <c r="BB118" s="1006"/>
      <c r="BC118" s="1006"/>
      <c r="BD118" s="1006"/>
      <c r="BE118" s="1006"/>
      <c r="BF118" s="1006"/>
      <c r="BG118" s="1006"/>
      <c r="BH118" s="1006"/>
      <c r="BI118" s="1006"/>
      <c r="BJ118" s="1006"/>
      <c r="BK118" s="1006"/>
      <c r="BL118" s="1006"/>
      <c r="BM118" s="1006"/>
      <c r="BN118" s="1006"/>
      <c r="BO118" s="1006"/>
      <c r="BP118" s="1006"/>
      <c r="BQ118" s="1006"/>
      <c r="BR118" s="1006"/>
      <c r="BS118" s="1006"/>
      <c r="BT118" s="1480">
        <v>9.9886311700567981E-3</v>
      </c>
      <c r="BU118" s="1006"/>
      <c r="BV118" s="1006"/>
      <c r="BW118" s="1006"/>
      <c r="BX118" s="1006"/>
      <c r="BY118" s="1006"/>
      <c r="BZ118" s="1006"/>
      <c r="CA118" s="1006"/>
      <c r="CB118" s="1006"/>
      <c r="CC118" s="1006"/>
      <c r="CD118" s="1006"/>
      <c r="CE118" s="1006"/>
      <c r="CF118" s="1006"/>
      <c r="CG118" s="1209"/>
      <c r="CH118" s="1236">
        <v>27800.332118619317</v>
      </c>
      <c r="CI118" s="1007"/>
      <c r="CJ118" s="1007"/>
      <c r="CK118" s="1007"/>
      <c r="CL118" s="1007"/>
      <c r="CM118" s="1007"/>
      <c r="CN118" s="1007"/>
      <c r="CO118" s="1007"/>
      <c r="CP118" s="1007"/>
      <c r="CQ118" s="1007"/>
      <c r="CR118" s="1007"/>
      <c r="CS118" s="1007"/>
      <c r="CT118" s="1007"/>
      <c r="CU118" s="1007"/>
      <c r="CV118" s="1007"/>
      <c r="CW118" s="1007"/>
      <c r="CX118" s="1007"/>
      <c r="CY118" s="1007"/>
      <c r="CZ118" s="1007"/>
      <c r="DA118" s="1007"/>
      <c r="DB118" s="1007"/>
      <c r="DC118" s="1007"/>
      <c r="DD118" s="1007"/>
      <c r="DE118" s="1236">
        <v>119112787.96948902</v>
      </c>
      <c r="DF118" s="1007"/>
      <c r="DG118" s="1007"/>
      <c r="DH118" s="1007"/>
      <c r="DI118" s="1006"/>
      <c r="DJ118" s="1006"/>
      <c r="DK118" s="1007"/>
      <c r="DL118" s="1007"/>
      <c r="DM118" s="1007"/>
      <c r="DN118" s="1007"/>
      <c r="DO118" s="1112"/>
      <c r="DP118" s="1112"/>
      <c r="DQ118" s="1270"/>
      <c r="DR118" s="1154">
        <f t="shared" ref="DR118:DR159" si="444">L118*CH118*DR$229</f>
        <v>1061612.1166236796</v>
      </c>
      <c r="DS118" s="1154">
        <f t="shared" ref="DS118:DS159" si="445">M118*CI118*DS$229</f>
        <v>0</v>
      </c>
      <c r="DT118" s="1154">
        <f t="shared" ref="DT118:DT159" si="446">N118*CJ118*DT$229</f>
        <v>0</v>
      </c>
      <c r="DU118" s="1154">
        <f t="shared" ref="DU118:DU159" si="447">O118*CK118*DU$229</f>
        <v>0</v>
      </c>
      <c r="DV118" s="1154">
        <f t="shared" ref="DV118:DV159" si="448">P118*CL118*DV$229</f>
        <v>0</v>
      </c>
      <c r="DW118" s="1154">
        <f t="shared" ref="DW118:DW159" si="449">Q118*CM118*DW$229</f>
        <v>0</v>
      </c>
      <c r="DX118" s="1154">
        <f t="shared" ref="DX118:DX159" si="450">R118*CN118*DX$229</f>
        <v>0</v>
      </c>
      <c r="DY118" s="1154">
        <f t="shared" ref="DY118:DY159" si="451">S118*CO118*DY$229</f>
        <v>0</v>
      </c>
      <c r="DZ118" s="1154">
        <f t="shared" ref="DZ118:DZ159" si="452">T118*CP118*DZ$229</f>
        <v>0</v>
      </c>
      <c r="EA118" s="1154">
        <f t="shared" ref="EA118:EA159" si="453">U118*CQ118*EA$229</f>
        <v>0</v>
      </c>
      <c r="EB118" s="1154">
        <f t="shared" ref="EB118:EB159" si="454">V118*CR118*EB$229</f>
        <v>0</v>
      </c>
      <c r="EC118" s="1154">
        <f t="shared" ref="EC118:EC159" si="455">W118*CS118*EC$229</f>
        <v>0</v>
      </c>
      <c r="ED118" s="1154">
        <f t="shared" ref="ED118:ED159" si="456">X118*CT118*ED$229</f>
        <v>0</v>
      </c>
      <c r="EE118" s="1154">
        <f t="shared" ref="EE118:EE159" si="457">Y118*CU118*EE$229</f>
        <v>0</v>
      </c>
      <c r="EF118" s="1154">
        <f t="shared" ref="EF118:EF159" si="458">Z118*CV118*EF$229</f>
        <v>0</v>
      </c>
      <c r="EG118" s="1154">
        <f t="shared" ref="EG118:EG159" si="459">AA118*CW118*EG$229</f>
        <v>0</v>
      </c>
      <c r="EH118" s="1154">
        <f t="shared" ref="EH118:EH159" si="460">AB118*CX118*EH$229</f>
        <v>0</v>
      </c>
      <c r="EI118" s="1154">
        <f t="shared" ref="EI118:EI159" si="461">AC118*CY118*EI$229</f>
        <v>0</v>
      </c>
      <c r="EJ118" s="1154">
        <f t="shared" ref="EJ118:EJ159" si="462">AD118*CZ118*EJ$229</f>
        <v>0</v>
      </c>
      <c r="EK118" s="1154">
        <f t="shared" ref="EK118:EK159" si="463">AE118*DA118*EK$229</f>
        <v>0</v>
      </c>
      <c r="EL118" s="1154">
        <f t="shared" ref="EL118:EL159" si="464">AF118*DB118*EL$229</f>
        <v>0</v>
      </c>
      <c r="EM118" s="1154">
        <f t="shared" ref="EM118:EM159" si="465">AG118*DC118*EM$229*$AU118</f>
        <v>0</v>
      </c>
      <c r="EN118" s="1154">
        <f t="shared" ref="EN118:EN159" si="466">AH118*DD118*EN$229*$AU118</f>
        <v>0</v>
      </c>
      <c r="EO118" s="1154">
        <f t="shared" ref="EO118:EO159" si="467">AI118*DE118*EO$229</f>
        <v>1519419.48790078</v>
      </c>
      <c r="EP118" s="1154">
        <f t="shared" ref="EP118:EP159" si="468">AJ118*DF118*EP$229</f>
        <v>0</v>
      </c>
      <c r="EQ118" s="1154">
        <f t="shared" ref="EQ118:EQ159" si="469">AK118*DG118*EQ$229</f>
        <v>0</v>
      </c>
      <c r="ER118" s="1154">
        <f t="shared" ref="ER118:ER159" si="470">AL118*DH118*ER$229</f>
        <v>0</v>
      </c>
      <c r="ES118" s="1154">
        <f t="shared" ref="ES118:ES159" si="471">AM118*DI118*ES$229</f>
        <v>0</v>
      </c>
      <c r="ET118" s="1154">
        <f t="shared" ref="ET118:ET159" si="472">AN118*DJ118*ET$229</f>
        <v>0</v>
      </c>
      <c r="EU118" s="1154">
        <f t="shared" ref="EU118:EU159" si="473">AO118*DK118*EU$229</f>
        <v>0</v>
      </c>
      <c r="EV118" s="1154">
        <f t="shared" ref="EV118:EV159" si="474">AP118*DL118*EV$229</f>
        <v>0</v>
      </c>
      <c r="EW118" s="1154">
        <f t="shared" ref="EW118:EW159" si="475">AQ118*DM118*EW$229</f>
        <v>0</v>
      </c>
      <c r="EX118" s="1154">
        <f t="shared" ref="EX118:EX159" si="476">AR118*DN118*EX$229</f>
        <v>0</v>
      </c>
      <c r="EY118" s="1154">
        <f t="shared" ref="EY118:EY159" si="477">AS118*DO118*EY$229</f>
        <v>0</v>
      </c>
      <c r="EZ118" s="1154">
        <f t="shared" ref="EZ118:EZ159" si="478">AT118*DP118*EZ$229</f>
        <v>0</v>
      </c>
      <c r="FA118" s="1174">
        <f t="shared" ref="FA118:FA159" si="479">SUM(DR118:EZ118)</f>
        <v>2581031.6045244597</v>
      </c>
      <c r="FC118" s="1154">
        <f t="shared" ref="FC118:FC159" si="480">AW118*CH118*FC$229</f>
        <v>1001520.8647393204</v>
      </c>
      <c r="FD118" s="1154">
        <f t="shared" ref="FD118:FD159" si="481">AX118*CI118*FD$229</f>
        <v>0</v>
      </c>
      <c r="FE118" s="1154">
        <f t="shared" ref="FE118:FE159" si="482">AY118*CJ118*FE$229</f>
        <v>0</v>
      </c>
      <c r="FF118" s="1154">
        <f t="shared" ref="FF118:FF159" si="483">AZ118*CK118*FF$229</f>
        <v>0</v>
      </c>
      <c r="FG118" s="1154">
        <f t="shared" ref="FG118:FG159" si="484">BA118*CL118*FG$229</f>
        <v>0</v>
      </c>
      <c r="FH118" s="1154">
        <f t="shared" ref="FH118:FH159" si="485">BB118*CM118*FH$229</f>
        <v>0</v>
      </c>
      <c r="FI118" s="1154">
        <f t="shared" ref="FI118:FI159" si="486">BC118*CN118*FI$229</f>
        <v>0</v>
      </c>
      <c r="FJ118" s="1154">
        <f t="shared" ref="FJ118:FJ159" si="487">BD118*CO118*FJ$229</f>
        <v>0</v>
      </c>
      <c r="FK118" s="1154">
        <f t="shared" ref="FK118:FK159" si="488">BE118*CP118*FK$229</f>
        <v>0</v>
      </c>
      <c r="FL118" s="1154">
        <f t="shared" ref="FL118:FL159" si="489">BF118*CQ118*FL$229</f>
        <v>0</v>
      </c>
      <c r="FM118" s="1154">
        <f t="shared" ref="FM118:FM159" si="490">BG118*CR118*FM$229</f>
        <v>0</v>
      </c>
      <c r="FN118" s="1154">
        <f t="shared" ref="FN118:FN159" si="491">BH118*CS118*FN$229</f>
        <v>0</v>
      </c>
      <c r="FO118" s="1154">
        <f t="shared" ref="FO118:FO159" si="492">BI118*CT118*FO$229</f>
        <v>0</v>
      </c>
      <c r="FP118" s="1154">
        <f t="shared" ref="FP118:FP159" si="493">BJ118*CU118*FP$229</f>
        <v>0</v>
      </c>
      <c r="FQ118" s="1154">
        <f t="shared" ref="FQ118:FQ159" si="494">BK118*CV118*FQ$229</f>
        <v>0</v>
      </c>
      <c r="FR118" s="1154">
        <f t="shared" ref="FR118:FR159" si="495">BL118*CW118*FR$229</f>
        <v>0</v>
      </c>
      <c r="FS118" s="1154">
        <f t="shared" ref="FS118:FS159" si="496">BM118*CX118*FS$229</f>
        <v>0</v>
      </c>
      <c r="FT118" s="1154">
        <f t="shared" ref="FT118:FT159" si="497">BN118*CY118*FT$229</f>
        <v>0</v>
      </c>
      <c r="FU118" s="1154">
        <f t="shared" ref="FU118:FU159" si="498">BO118*CZ118*FU$229</f>
        <v>0</v>
      </c>
      <c r="FV118" s="1154">
        <f t="shared" ref="FV118:FV159" si="499">BP118*DA118*FV$229</f>
        <v>0</v>
      </c>
      <c r="FW118" s="1154">
        <f t="shared" ref="FW118:FW159" si="500">BQ118*DB118*FW$229</f>
        <v>0</v>
      </c>
      <c r="FX118" s="1154">
        <f t="shared" ref="FX118:FX159" si="501">BR118*DC118*FX$229</f>
        <v>0</v>
      </c>
      <c r="FY118" s="1154">
        <f t="shared" ref="FY118:FY159" si="502">BS118*DD118*FY$229</f>
        <v>0</v>
      </c>
      <c r="FZ118" s="1154">
        <f t="shared" ref="FZ118:FZ159" si="503">BT118*DE118*FZ$229</f>
        <v>1189773.7066644044</v>
      </c>
      <c r="GA118" s="1154">
        <f t="shared" ref="GA118:GA159" si="504">BU118*DF118*GA$229</f>
        <v>0</v>
      </c>
      <c r="GB118" s="1154">
        <f t="shared" ref="GB118:GB159" si="505">BV118*DG118*GB$229</f>
        <v>0</v>
      </c>
      <c r="GC118" s="1154">
        <f t="shared" ref="GC118:GC159" si="506">BW118*DH118*GC$229</f>
        <v>0</v>
      </c>
      <c r="GD118" s="1154">
        <f t="shared" ref="GD118:GD159" si="507">BX118*DI118*GD$229</f>
        <v>0</v>
      </c>
      <c r="GE118" s="1154">
        <f t="shared" ref="GE118:GE159" si="508">BY118*DJ118*GE$229</f>
        <v>0</v>
      </c>
      <c r="GF118" s="1154">
        <f t="shared" ref="GF118:GF159" si="509">BZ118*DK118*GF$229</f>
        <v>0</v>
      </c>
      <c r="GG118" s="1154">
        <f t="shared" ref="GG118:GG159" si="510">CA118*DL118*GG$229</f>
        <v>0</v>
      </c>
      <c r="GH118" s="1154">
        <f t="shared" ref="GH118:GH159" si="511">CB118*DM118*GH$229</f>
        <v>0</v>
      </c>
      <c r="GI118" s="1154">
        <f t="shared" ref="GI118:GI159" si="512">CC118*DN118*GI$229</f>
        <v>0</v>
      </c>
      <c r="GJ118" s="1154">
        <f t="shared" ref="GJ118:GJ159" si="513">CD118*DO118*GJ$229</f>
        <v>0</v>
      </c>
      <c r="GK118" s="1154">
        <f t="shared" ref="GK118:GK159" si="514">CE118*DP118*GK$229</f>
        <v>0</v>
      </c>
      <c r="GL118" s="1174">
        <f t="shared" ref="GL118:GL159" si="515">SUM(FC118:GK118)</f>
        <v>2191294.5714037246</v>
      </c>
    </row>
    <row r="119" spans="1:194">
      <c r="B119" s="1290" t="str">
        <f t="shared" si="443"/>
        <v>SACDUOSEBIB</v>
      </c>
      <c r="C119" s="1289" t="str">
        <f>C118</f>
        <v>East SAC&lt;20MWhpa Business IBT</v>
      </c>
      <c r="D119" s="1113" t="str">
        <f t="shared" ref="D119:H120" si="516">D118</f>
        <v>East SAC&lt;20MWhpa Business IBT</v>
      </c>
      <c r="E119" s="1113" t="str">
        <f t="shared" si="516"/>
        <v>SAC</v>
      </c>
      <c r="F119" s="1113" t="str">
        <f t="shared" si="516"/>
        <v>SACS Bus</v>
      </c>
      <c r="G119" s="1113" t="str">
        <f t="shared" ref="G119" si="517">G118</f>
        <v>East</v>
      </c>
      <c r="H119" s="1113" t="str">
        <f t="shared" si="516"/>
        <v>EBIB</v>
      </c>
      <c r="I119" s="1114" t="s">
        <v>752</v>
      </c>
      <c r="J119" s="1114" t="s">
        <v>934</v>
      </c>
      <c r="K119" s="1270"/>
      <c r="L119" s="1233">
        <v>0.17445225</v>
      </c>
      <c r="M119" s="1007"/>
      <c r="N119" s="1007"/>
      <c r="O119" s="1007"/>
      <c r="P119" s="1007"/>
      <c r="Q119" s="1007"/>
      <c r="R119" s="1007"/>
      <c r="S119" s="1007"/>
      <c r="T119" s="1007"/>
      <c r="U119" s="1007"/>
      <c r="V119" s="1007"/>
      <c r="W119" s="1007"/>
      <c r="X119" s="1007"/>
      <c r="Y119" s="1007"/>
      <c r="Z119" s="1007"/>
      <c r="AA119" s="1007"/>
      <c r="AB119" s="1007"/>
      <c r="AC119" s="1007"/>
      <c r="AD119" s="1007"/>
      <c r="AE119" s="1007"/>
      <c r="AF119" s="1007"/>
      <c r="AG119" s="1007"/>
      <c r="AH119" s="1007"/>
      <c r="AI119" s="1233">
        <v>1.3580961239131205E-2</v>
      </c>
      <c r="AJ119" s="1005"/>
      <c r="AK119" s="1005"/>
      <c r="AL119" s="1005"/>
      <c r="AM119" s="1005"/>
      <c r="AN119" s="1005"/>
      <c r="AO119" s="1005"/>
      <c r="AP119" s="1005"/>
      <c r="AQ119" s="1005"/>
      <c r="AR119" s="1005"/>
      <c r="AS119" s="1005"/>
      <c r="AT119" s="1005"/>
      <c r="AU119" s="1006"/>
      <c r="AV119" s="1270"/>
      <c r="AW119" s="1480">
        <v>0.17272499999999999</v>
      </c>
      <c r="AX119" s="1006"/>
      <c r="AY119" s="1006"/>
      <c r="AZ119" s="1006"/>
      <c r="BA119" s="1006"/>
      <c r="BB119" s="1006"/>
      <c r="BC119" s="1006"/>
      <c r="BD119" s="1006"/>
      <c r="BE119" s="1006"/>
      <c r="BF119" s="1006"/>
      <c r="BG119" s="1006"/>
      <c r="BH119" s="1006"/>
      <c r="BI119" s="1006"/>
      <c r="BJ119" s="1006"/>
      <c r="BK119" s="1006"/>
      <c r="BL119" s="1006"/>
      <c r="BM119" s="1006"/>
      <c r="BN119" s="1006"/>
      <c r="BO119" s="1006"/>
      <c r="BP119" s="1006"/>
      <c r="BQ119" s="1006"/>
      <c r="BR119" s="1006"/>
      <c r="BS119" s="1006"/>
      <c r="BT119" s="1480">
        <v>1.3226767178995704E-2</v>
      </c>
      <c r="BU119" s="1006"/>
      <c r="BV119" s="1006"/>
      <c r="BW119" s="1006"/>
      <c r="BX119" s="1006"/>
      <c r="BY119" s="1006"/>
      <c r="BZ119" s="1006"/>
      <c r="CA119" s="1006"/>
      <c r="CB119" s="1006"/>
      <c r="CC119" s="1006"/>
      <c r="CD119" s="1006"/>
      <c r="CE119" s="1006"/>
      <c r="CF119" s="1006"/>
      <c r="CG119" s="1209"/>
      <c r="CH119" s="1236">
        <v>16251.036588288882</v>
      </c>
      <c r="CI119" s="1007"/>
      <c r="CJ119" s="1007"/>
      <c r="CK119" s="1007"/>
      <c r="CL119" s="1007"/>
      <c r="CM119" s="1007"/>
      <c r="CN119" s="1007"/>
      <c r="CO119" s="1007"/>
      <c r="CP119" s="1007"/>
      <c r="CQ119" s="1007"/>
      <c r="CR119" s="1007"/>
      <c r="CS119" s="1007"/>
      <c r="CT119" s="1007"/>
      <c r="CU119" s="1007"/>
      <c r="CV119" s="1007"/>
      <c r="CW119" s="1007"/>
      <c r="CX119" s="1007"/>
      <c r="CY119" s="1007"/>
      <c r="CZ119" s="1007"/>
      <c r="DA119" s="1007"/>
      <c r="DB119" s="1007"/>
      <c r="DC119" s="1007"/>
      <c r="DD119" s="1007"/>
      <c r="DE119" s="1236">
        <v>69628890.301235616</v>
      </c>
      <c r="DF119" s="1007"/>
      <c r="DG119" s="1007"/>
      <c r="DH119" s="1007"/>
      <c r="DI119" s="1006"/>
      <c r="DJ119" s="1006"/>
      <c r="DK119" s="1007"/>
      <c r="DL119" s="1007"/>
      <c r="DM119" s="1007"/>
      <c r="DN119" s="1007"/>
      <c r="DO119" s="1112"/>
      <c r="DP119" s="1112"/>
      <c r="DQ119" s="1270"/>
      <c r="DR119" s="1154">
        <f t="shared" si="444"/>
        <v>1034785.9126456514</v>
      </c>
      <c r="DS119" s="1154">
        <f t="shared" si="445"/>
        <v>0</v>
      </c>
      <c r="DT119" s="1154">
        <f t="shared" si="446"/>
        <v>0</v>
      </c>
      <c r="DU119" s="1154">
        <f t="shared" si="447"/>
        <v>0</v>
      </c>
      <c r="DV119" s="1154">
        <f t="shared" si="448"/>
        <v>0</v>
      </c>
      <c r="DW119" s="1154">
        <f t="shared" si="449"/>
        <v>0</v>
      </c>
      <c r="DX119" s="1154">
        <f t="shared" si="450"/>
        <v>0</v>
      </c>
      <c r="DY119" s="1154">
        <f t="shared" si="451"/>
        <v>0</v>
      </c>
      <c r="DZ119" s="1154">
        <f t="shared" si="452"/>
        <v>0</v>
      </c>
      <c r="EA119" s="1154">
        <f t="shared" si="453"/>
        <v>0</v>
      </c>
      <c r="EB119" s="1154">
        <f t="shared" si="454"/>
        <v>0</v>
      </c>
      <c r="EC119" s="1154">
        <f t="shared" si="455"/>
        <v>0</v>
      </c>
      <c r="ED119" s="1154">
        <f t="shared" si="456"/>
        <v>0</v>
      </c>
      <c r="EE119" s="1154">
        <f t="shared" si="457"/>
        <v>0</v>
      </c>
      <c r="EF119" s="1154">
        <f t="shared" si="458"/>
        <v>0</v>
      </c>
      <c r="EG119" s="1154">
        <f t="shared" si="459"/>
        <v>0</v>
      </c>
      <c r="EH119" s="1154">
        <f t="shared" si="460"/>
        <v>0</v>
      </c>
      <c r="EI119" s="1154">
        <f t="shared" si="461"/>
        <v>0</v>
      </c>
      <c r="EJ119" s="1154">
        <f t="shared" si="462"/>
        <v>0</v>
      </c>
      <c r="EK119" s="1154">
        <f t="shared" si="463"/>
        <v>0</v>
      </c>
      <c r="EL119" s="1154">
        <f t="shared" si="464"/>
        <v>0</v>
      </c>
      <c r="EM119" s="1154">
        <f t="shared" si="465"/>
        <v>0</v>
      </c>
      <c r="EN119" s="1154">
        <f t="shared" si="466"/>
        <v>0</v>
      </c>
      <c r="EO119" s="1154">
        <f t="shared" si="467"/>
        <v>945627.26030479965</v>
      </c>
      <c r="EP119" s="1154">
        <f t="shared" si="468"/>
        <v>0</v>
      </c>
      <c r="EQ119" s="1154">
        <f t="shared" si="469"/>
        <v>0</v>
      </c>
      <c r="ER119" s="1154">
        <f t="shared" si="470"/>
        <v>0</v>
      </c>
      <c r="ES119" s="1154">
        <f t="shared" si="471"/>
        <v>0</v>
      </c>
      <c r="ET119" s="1154">
        <f t="shared" si="472"/>
        <v>0</v>
      </c>
      <c r="EU119" s="1154">
        <f t="shared" si="473"/>
        <v>0</v>
      </c>
      <c r="EV119" s="1154">
        <f t="shared" si="474"/>
        <v>0</v>
      </c>
      <c r="EW119" s="1154">
        <f t="shared" si="475"/>
        <v>0</v>
      </c>
      <c r="EX119" s="1154">
        <f t="shared" si="476"/>
        <v>0</v>
      </c>
      <c r="EY119" s="1154">
        <f t="shared" si="477"/>
        <v>0</v>
      </c>
      <c r="EZ119" s="1154">
        <f t="shared" si="478"/>
        <v>0</v>
      </c>
      <c r="FA119" s="1174">
        <f t="shared" si="479"/>
        <v>1980413.172950451</v>
      </c>
      <c r="FC119" s="1154">
        <f t="shared" si="480"/>
        <v>1024540.5075699519</v>
      </c>
      <c r="FD119" s="1154">
        <f t="shared" si="481"/>
        <v>0</v>
      </c>
      <c r="FE119" s="1154">
        <f t="shared" si="482"/>
        <v>0</v>
      </c>
      <c r="FF119" s="1154">
        <f t="shared" si="483"/>
        <v>0</v>
      </c>
      <c r="FG119" s="1154">
        <f t="shared" si="484"/>
        <v>0</v>
      </c>
      <c r="FH119" s="1154">
        <f t="shared" si="485"/>
        <v>0</v>
      </c>
      <c r="FI119" s="1154">
        <f t="shared" si="486"/>
        <v>0</v>
      </c>
      <c r="FJ119" s="1154">
        <f t="shared" si="487"/>
        <v>0</v>
      </c>
      <c r="FK119" s="1154">
        <f t="shared" si="488"/>
        <v>0</v>
      </c>
      <c r="FL119" s="1154">
        <f t="shared" si="489"/>
        <v>0</v>
      </c>
      <c r="FM119" s="1154">
        <f t="shared" si="490"/>
        <v>0</v>
      </c>
      <c r="FN119" s="1154">
        <f t="shared" si="491"/>
        <v>0</v>
      </c>
      <c r="FO119" s="1154">
        <f t="shared" si="492"/>
        <v>0</v>
      </c>
      <c r="FP119" s="1154">
        <f t="shared" si="493"/>
        <v>0</v>
      </c>
      <c r="FQ119" s="1154">
        <f t="shared" si="494"/>
        <v>0</v>
      </c>
      <c r="FR119" s="1154">
        <f t="shared" si="495"/>
        <v>0</v>
      </c>
      <c r="FS119" s="1154">
        <f t="shared" si="496"/>
        <v>0</v>
      </c>
      <c r="FT119" s="1154">
        <f t="shared" si="497"/>
        <v>0</v>
      </c>
      <c r="FU119" s="1154">
        <f t="shared" si="498"/>
        <v>0</v>
      </c>
      <c r="FV119" s="1154">
        <f t="shared" si="499"/>
        <v>0</v>
      </c>
      <c r="FW119" s="1154">
        <f t="shared" si="500"/>
        <v>0</v>
      </c>
      <c r="FX119" s="1154">
        <f t="shared" si="501"/>
        <v>0</v>
      </c>
      <c r="FY119" s="1154">
        <f t="shared" si="502"/>
        <v>0</v>
      </c>
      <c r="FZ119" s="1154">
        <f t="shared" si="503"/>
        <v>920965.12094627554</v>
      </c>
      <c r="GA119" s="1154">
        <f t="shared" si="504"/>
        <v>0</v>
      </c>
      <c r="GB119" s="1154">
        <f t="shared" si="505"/>
        <v>0</v>
      </c>
      <c r="GC119" s="1154">
        <f t="shared" si="506"/>
        <v>0</v>
      </c>
      <c r="GD119" s="1154">
        <f t="shared" si="507"/>
        <v>0</v>
      </c>
      <c r="GE119" s="1154">
        <f t="shared" si="508"/>
        <v>0</v>
      </c>
      <c r="GF119" s="1154">
        <f t="shared" si="509"/>
        <v>0</v>
      </c>
      <c r="GG119" s="1154">
        <f t="shared" si="510"/>
        <v>0</v>
      </c>
      <c r="GH119" s="1154">
        <f t="shared" si="511"/>
        <v>0</v>
      </c>
      <c r="GI119" s="1154">
        <f t="shared" si="512"/>
        <v>0</v>
      </c>
      <c r="GJ119" s="1154">
        <f t="shared" si="513"/>
        <v>0</v>
      </c>
      <c r="GK119" s="1154">
        <f t="shared" si="514"/>
        <v>0</v>
      </c>
      <c r="GL119" s="1174">
        <f t="shared" si="515"/>
        <v>1945505.6285162275</v>
      </c>
    </row>
    <row r="120" spans="1:194">
      <c r="B120" s="1290" t="str">
        <f t="shared" si="443"/>
        <v>SACDUOSEBIB</v>
      </c>
      <c r="C120" s="1289" t="str">
        <f t="shared" ref="C120" si="518">C119</f>
        <v>East SAC&lt;20MWhpa Business IBT</v>
      </c>
      <c r="D120" s="1113" t="str">
        <f t="shared" si="516"/>
        <v>East SAC&lt;20MWhpa Business IBT</v>
      </c>
      <c r="E120" s="1113" t="str">
        <f t="shared" si="516"/>
        <v>SAC</v>
      </c>
      <c r="F120" s="1113" t="str">
        <f t="shared" si="516"/>
        <v>SACS Bus</v>
      </c>
      <c r="G120" s="1113" t="str">
        <f t="shared" ref="G120" si="519">G119</f>
        <v>East</v>
      </c>
      <c r="H120" s="1113" t="str">
        <f t="shared" si="516"/>
        <v>EBIB</v>
      </c>
      <c r="I120" s="1114" t="s">
        <v>759</v>
      </c>
      <c r="J120" s="1114" t="s">
        <v>934</v>
      </c>
      <c r="K120" s="1270"/>
      <c r="L120" s="1233">
        <v>0.28228199999999998</v>
      </c>
      <c r="M120" s="1007"/>
      <c r="N120" s="1007"/>
      <c r="O120" s="1007"/>
      <c r="P120" s="1007"/>
      <c r="Q120" s="1007"/>
      <c r="R120" s="1007"/>
      <c r="S120" s="1007"/>
      <c r="T120" s="1007"/>
      <c r="U120" s="1007"/>
      <c r="V120" s="1007"/>
      <c r="W120" s="1007"/>
      <c r="X120" s="1007"/>
      <c r="Y120" s="1007"/>
      <c r="Z120" s="1007"/>
      <c r="AA120" s="1007"/>
      <c r="AB120" s="1007"/>
      <c r="AC120" s="1007"/>
      <c r="AD120" s="1007"/>
      <c r="AE120" s="1007"/>
      <c r="AF120" s="1007"/>
      <c r="AG120" s="1007"/>
      <c r="AH120" s="1007"/>
      <c r="AI120" s="1233">
        <v>1.4121324100704864E-2</v>
      </c>
      <c r="AJ120" s="1005"/>
      <c r="AK120" s="1005"/>
      <c r="AL120" s="1005"/>
      <c r="AM120" s="1005"/>
      <c r="AN120" s="1005"/>
      <c r="AO120" s="1005"/>
      <c r="AP120" s="1005"/>
      <c r="AQ120" s="1005"/>
      <c r="AR120" s="1005"/>
      <c r="AS120" s="1005"/>
      <c r="AT120" s="1005"/>
      <c r="AU120" s="1006"/>
      <c r="AV120" s="1270"/>
      <c r="AW120" s="1480">
        <v>0.28228199999999998</v>
      </c>
      <c r="AX120" s="1006"/>
      <c r="AY120" s="1006"/>
      <c r="AZ120" s="1006"/>
      <c r="BA120" s="1006"/>
      <c r="BB120" s="1006"/>
      <c r="BC120" s="1006"/>
      <c r="BD120" s="1006"/>
      <c r="BE120" s="1006"/>
      <c r="BF120" s="1006"/>
      <c r="BG120" s="1006"/>
      <c r="BH120" s="1006"/>
      <c r="BI120" s="1006"/>
      <c r="BJ120" s="1006"/>
      <c r="BK120" s="1006"/>
      <c r="BL120" s="1006"/>
      <c r="BM120" s="1006"/>
      <c r="BN120" s="1006"/>
      <c r="BO120" s="1006"/>
      <c r="BP120" s="1006"/>
      <c r="BQ120" s="1006"/>
      <c r="BR120" s="1006"/>
      <c r="BS120" s="1006"/>
      <c r="BT120" s="1480">
        <v>1.4772535454067301E-2</v>
      </c>
      <c r="BU120" s="1006"/>
      <c r="BV120" s="1006"/>
      <c r="BW120" s="1006"/>
      <c r="BX120" s="1006"/>
      <c r="BY120" s="1006"/>
      <c r="BZ120" s="1006"/>
      <c r="CA120" s="1006"/>
      <c r="CB120" s="1006"/>
      <c r="CC120" s="1006"/>
      <c r="CD120" s="1006"/>
      <c r="CE120" s="1006"/>
      <c r="CF120" s="1006"/>
      <c r="CG120" s="1209"/>
      <c r="CH120" s="1236">
        <v>10621.351293091808</v>
      </c>
      <c r="CI120" s="1007"/>
      <c r="CJ120" s="1007"/>
      <c r="CK120" s="1007"/>
      <c r="CL120" s="1007"/>
      <c r="CM120" s="1007"/>
      <c r="CN120" s="1007"/>
      <c r="CO120" s="1007"/>
      <c r="CP120" s="1007"/>
      <c r="CQ120" s="1007"/>
      <c r="CR120" s="1007"/>
      <c r="CS120" s="1007"/>
      <c r="CT120" s="1007"/>
      <c r="CU120" s="1007"/>
      <c r="CV120" s="1007"/>
      <c r="CW120" s="1007"/>
      <c r="CX120" s="1007"/>
      <c r="CY120" s="1007"/>
      <c r="CZ120" s="1007"/>
      <c r="DA120" s="1007"/>
      <c r="DB120" s="1007"/>
      <c r="DC120" s="1007"/>
      <c r="DD120" s="1007"/>
      <c r="DE120" s="1236">
        <v>45508044.980375394</v>
      </c>
      <c r="DF120" s="1007"/>
      <c r="DG120" s="1007"/>
      <c r="DH120" s="1007"/>
      <c r="DI120" s="1006"/>
      <c r="DJ120" s="1006"/>
      <c r="DK120" s="1007"/>
      <c r="DL120" s="1007"/>
      <c r="DM120" s="1007"/>
      <c r="DN120" s="1007"/>
      <c r="DO120" s="1112"/>
      <c r="DP120" s="1112"/>
      <c r="DQ120" s="1270"/>
      <c r="DR120" s="1154">
        <f t="shared" si="444"/>
        <v>1094348.9442865376</v>
      </c>
      <c r="DS120" s="1154">
        <f t="shared" si="445"/>
        <v>0</v>
      </c>
      <c r="DT120" s="1154">
        <f t="shared" si="446"/>
        <v>0</v>
      </c>
      <c r="DU120" s="1154">
        <f t="shared" si="447"/>
        <v>0</v>
      </c>
      <c r="DV120" s="1154">
        <f t="shared" si="448"/>
        <v>0</v>
      </c>
      <c r="DW120" s="1154">
        <f t="shared" si="449"/>
        <v>0</v>
      </c>
      <c r="DX120" s="1154">
        <f t="shared" si="450"/>
        <v>0</v>
      </c>
      <c r="DY120" s="1154">
        <f t="shared" si="451"/>
        <v>0</v>
      </c>
      <c r="DZ120" s="1154">
        <f t="shared" si="452"/>
        <v>0</v>
      </c>
      <c r="EA120" s="1154">
        <f t="shared" si="453"/>
        <v>0</v>
      </c>
      <c r="EB120" s="1154">
        <f t="shared" si="454"/>
        <v>0</v>
      </c>
      <c r="EC120" s="1154">
        <f t="shared" si="455"/>
        <v>0</v>
      </c>
      <c r="ED120" s="1154">
        <f t="shared" si="456"/>
        <v>0</v>
      </c>
      <c r="EE120" s="1154">
        <f t="shared" si="457"/>
        <v>0</v>
      </c>
      <c r="EF120" s="1154">
        <f t="shared" si="458"/>
        <v>0</v>
      </c>
      <c r="EG120" s="1154">
        <f t="shared" si="459"/>
        <v>0</v>
      </c>
      <c r="EH120" s="1154">
        <f t="shared" si="460"/>
        <v>0</v>
      </c>
      <c r="EI120" s="1154">
        <f t="shared" si="461"/>
        <v>0</v>
      </c>
      <c r="EJ120" s="1154">
        <f t="shared" si="462"/>
        <v>0</v>
      </c>
      <c r="EK120" s="1154">
        <f t="shared" si="463"/>
        <v>0</v>
      </c>
      <c r="EL120" s="1154">
        <f t="shared" si="464"/>
        <v>0</v>
      </c>
      <c r="EM120" s="1154">
        <f t="shared" si="465"/>
        <v>0</v>
      </c>
      <c r="EN120" s="1154">
        <f t="shared" si="466"/>
        <v>0</v>
      </c>
      <c r="EO120" s="1154">
        <f t="shared" si="467"/>
        <v>642633.85235733609</v>
      </c>
      <c r="EP120" s="1154">
        <f t="shared" si="468"/>
        <v>0</v>
      </c>
      <c r="EQ120" s="1154">
        <f t="shared" si="469"/>
        <v>0</v>
      </c>
      <c r="ER120" s="1154">
        <f t="shared" si="470"/>
        <v>0</v>
      </c>
      <c r="ES120" s="1154">
        <f t="shared" si="471"/>
        <v>0</v>
      </c>
      <c r="ET120" s="1154">
        <f t="shared" si="472"/>
        <v>0</v>
      </c>
      <c r="EU120" s="1154">
        <f t="shared" si="473"/>
        <v>0</v>
      </c>
      <c r="EV120" s="1154">
        <f t="shared" si="474"/>
        <v>0</v>
      </c>
      <c r="EW120" s="1154">
        <f t="shared" si="475"/>
        <v>0</v>
      </c>
      <c r="EX120" s="1154">
        <f t="shared" si="476"/>
        <v>0</v>
      </c>
      <c r="EY120" s="1154">
        <f t="shared" si="477"/>
        <v>0</v>
      </c>
      <c r="EZ120" s="1154">
        <f t="shared" si="478"/>
        <v>0</v>
      </c>
      <c r="FA120" s="1174">
        <f t="shared" si="479"/>
        <v>1736982.7966438737</v>
      </c>
      <c r="FC120" s="1154">
        <f t="shared" si="480"/>
        <v>1094348.9442865376</v>
      </c>
      <c r="FD120" s="1154">
        <f t="shared" si="481"/>
        <v>0</v>
      </c>
      <c r="FE120" s="1154">
        <f t="shared" si="482"/>
        <v>0</v>
      </c>
      <c r="FF120" s="1154">
        <f t="shared" si="483"/>
        <v>0</v>
      </c>
      <c r="FG120" s="1154">
        <f t="shared" si="484"/>
        <v>0</v>
      </c>
      <c r="FH120" s="1154">
        <f t="shared" si="485"/>
        <v>0</v>
      </c>
      <c r="FI120" s="1154">
        <f t="shared" si="486"/>
        <v>0</v>
      </c>
      <c r="FJ120" s="1154">
        <f t="shared" si="487"/>
        <v>0</v>
      </c>
      <c r="FK120" s="1154">
        <f t="shared" si="488"/>
        <v>0</v>
      </c>
      <c r="FL120" s="1154">
        <f t="shared" si="489"/>
        <v>0</v>
      </c>
      <c r="FM120" s="1154">
        <f t="shared" si="490"/>
        <v>0</v>
      </c>
      <c r="FN120" s="1154">
        <f t="shared" si="491"/>
        <v>0</v>
      </c>
      <c r="FO120" s="1154">
        <f t="shared" si="492"/>
        <v>0</v>
      </c>
      <c r="FP120" s="1154">
        <f t="shared" si="493"/>
        <v>0</v>
      </c>
      <c r="FQ120" s="1154">
        <f t="shared" si="494"/>
        <v>0</v>
      </c>
      <c r="FR120" s="1154">
        <f t="shared" si="495"/>
        <v>0</v>
      </c>
      <c r="FS120" s="1154">
        <f t="shared" si="496"/>
        <v>0</v>
      </c>
      <c r="FT120" s="1154">
        <f t="shared" si="497"/>
        <v>0</v>
      </c>
      <c r="FU120" s="1154">
        <f t="shared" si="498"/>
        <v>0</v>
      </c>
      <c r="FV120" s="1154">
        <f t="shared" si="499"/>
        <v>0</v>
      </c>
      <c r="FW120" s="1154">
        <f t="shared" si="500"/>
        <v>0</v>
      </c>
      <c r="FX120" s="1154">
        <f t="shared" si="501"/>
        <v>0</v>
      </c>
      <c r="FY120" s="1154">
        <f t="shared" si="502"/>
        <v>0</v>
      </c>
      <c r="FZ120" s="1154">
        <f t="shared" si="503"/>
        <v>672269.20791788492</v>
      </c>
      <c r="GA120" s="1154">
        <f t="shared" si="504"/>
        <v>0</v>
      </c>
      <c r="GB120" s="1154">
        <f t="shared" si="505"/>
        <v>0</v>
      </c>
      <c r="GC120" s="1154">
        <f t="shared" si="506"/>
        <v>0</v>
      </c>
      <c r="GD120" s="1154">
        <f t="shared" si="507"/>
        <v>0</v>
      </c>
      <c r="GE120" s="1154">
        <f t="shared" si="508"/>
        <v>0</v>
      </c>
      <c r="GF120" s="1154">
        <f t="shared" si="509"/>
        <v>0</v>
      </c>
      <c r="GG120" s="1154">
        <f t="shared" si="510"/>
        <v>0</v>
      </c>
      <c r="GH120" s="1154">
        <f t="shared" si="511"/>
        <v>0</v>
      </c>
      <c r="GI120" s="1154">
        <f t="shared" si="512"/>
        <v>0</v>
      </c>
      <c r="GJ120" s="1154">
        <f t="shared" si="513"/>
        <v>0</v>
      </c>
      <c r="GK120" s="1154">
        <f t="shared" si="514"/>
        <v>0</v>
      </c>
      <c r="GL120" s="1174">
        <f t="shared" si="515"/>
        <v>1766618.1522044225</v>
      </c>
    </row>
    <row r="121" spans="1:194">
      <c r="B121" s="1290" t="str">
        <f t="shared" si="443"/>
        <v>SACDUOSWBIB</v>
      </c>
      <c r="C121" s="1289" t="str">
        <f>Prop2021DUOSTariffs!C55</f>
        <v>West SAC&lt;20MWhpa Business IBT</v>
      </c>
      <c r="D121" s="1113" t="str">
        <f>Prop2021DUOSTariffs!D55</f>
        <v>West SAC&lt;20MWhpa Business IBT</v>
      </c>
      <c r="E121" s="1113" t="str">
        <f>Prop2021DUOSTariffs!E55</f>
        <v>SAC</v>
      </c>
      <c r="F121" s="1113" t="str">
        <f>Prop2021DUOSTariffs!F55</f>
        <v>SACS Bus</v>
      </c>
      <c r="G121" s="1113" t="str">
        <f>Prop2021DUOSTariffs!G55</f>
        <v>West</v>
      </c>
      <c r="H121" s="1113" t="str">
        <f>IF(Prop2021DUOSTariffs!H55="","",Prop2021DUOSTariffs!H55)</f>
        <v>WBIB</v>
      </c>
      <c r="I121" s="1114" t="s">
        <v>798</v>
      </c>
      <c r="J121" s="1114" t="s">
        <v>934</v>
      </c>
      <c r="K121" s="1270"/>
      <c r="L121" s="1233">
        <v>0.10462200000000002</v>
      </c>
      <c r="M121" s="1007"/>
      <c r="N121" s="1007"/>
      <c r="O121" s="1007"/>
      <c r="P121" s="1007"/>
      <c r="Q121" s="1007"/>
      <c r="R121" s="1007"/>
      <c r="S121" s="1007"/>
      <c r="T121" s="1007"/>
      <c r="U121" s="1007"/>
      <c r="V121" s="1007"/>
      <c r="W121" s="1007"/>
      <c r="X121" s="1007"/>
      <c r="Y121" s="1007"/>
      <c r="Z121" s="1007"/>
      <c r="AA121" s="1007"/>
      <c r="AB121" s="1007"/>
      <c r="AC121" s="1007"/>
      <c r="AD121" s="1007"/>
      <c r="AE121" s="1007"/>
      <c r="AF121" s="1007"/>
      <c r="AG121" s="1007"/>
      <c r="AH121" s="1007"/>
      <c r="AI121" s="1233">
        <v>1.2756140745273986E-2</v>
      </c>
      <c r="AJ121" s="1005"/>
      <c r="AK121" s="1005"/>
      <c r="AL121" s="1005"/>
      <c r="AM121" s="1005"/>
      <c r="AN121" s="1005"/>
      <c r="AO121" s="1005"/>
      <c r="AP121" s="1005"/>
      <c r="AQ121" s="1005"/>
      <c r="AR121" s="1005"/>
      <c r="AS121" s="1005"/>
      <c r="AT121" s="1005"/>
      <c r="AU121" s="1006"/>
      <c r="AV121" s="1270"/>
      <c r="AW121" s="1480">
        <v>9.870000000000001E-2</v>
      </c>
      <c r="AX121" s="1006"/>
      <c r="AY121" s="1006"/>
      <c r="AZ121" s="1006"/>
      <c r="BA121" s="1006"/>
      <c r="BB121" s="1006"/>
      <c r="BC121" s="1006"/>
      <c r="BD121" s="1006"/>
      <c r="BE121" s="1006"/>
      <c r="BF121" s="1006"/>
      <c r="BG121" s="1006"/>
      <c r="BH121" s="1006"/>
      <c r="BI121" s="1006"/>
      <c r="BJ121" s="1006"/>
      <c r="BK121" s="1006"/>
      <c r="BL121" s="1006"/>
      <c r="BM121" s="1006"/>
      <c r="BN121" s="1006"/>
      <c r="BO121" s="1006"/>
      <c r="BP121" s="1006"/>
      <c r="BQ121" s="1006"/>
      <c r="BR121" s="1006"/>
      <c r="BS121" s="1006"/>
      <c r="BT121" s="1480">
        <v>9.9886311700567981E-3</v>
      </c>
      <c r="BU121" s="1006"/>
      <c r="BV121" s="1006"/>
      <c r="BW121" s="1006"/>
      <c r="BX121" s="1006"/>
      <c r="BY121" s="1006"/>
      <c r="BZ121" s="1006"/>
      <c r="CA121" s="1006"/>
      <c r="CB121" s="1006"/>
      <c r="CC121" s="1006"/>
      <c r="CD121" s="1006"/>
      <c r="CE121" s="1006"/>
      <c r="CF121" s="1006"/>
      <c r="CG121" s="1209"/>
      <c r="CH121" s="1236">
        <v>7379.8241040980802</v>
      </c>
      <c r="CI121" s="1007"/>
      <c r="CJ121" s="1007"/>
      <c r="CK121" s="1007"/>
      <c r="CL121" s="1007"/>
      <c r="CM121" s="1007"/>
      <c r="CN121" s="1007"/>
      <c r="CO121" s="1007"/>
      <c r="CP121" s="1007"/>
      <c r="CQ121" s="1007"/>
      <c r="CR121" s="1007"/>
      <c r="CS121" s="1007"/>
      <c r="CT121" s="1007"/>
      <c r="CU121" s="1007"/>
      <c r="CV121" s="1007"/>
      <c r="CW121" s="1007"/>
      <c r="CX121" s="1007"/>
      <c r="CY121" s="1007"/>
      <c r="CZ121" s="1007"/>
      <c r="DA121" s="1007"/>
      <c r="DB121" s="1007"/>
      <c r="DC121" s="1007"/>
      <c r="DD121" s="1007"/>
      <c r="DE121" s="1236">
        <v>40001790.483716771</v>
      </c>
      <c r="DF121" s="1007"/>
      <c r="DG121" s="1007"/>
      <c r="DH121" s="1007"/>
      <c r="DI121" s="1006"/>
      <c r="DJ121" s="1006"/>
      <c r="DK121" s="1007"/>
      <c r="DL121" s="1007"/>
      <c r="DM121" s="1007"/>
      <c r="DN121" s="1007"/>
      <c r="DO121" s="1112"/>
      <c r="DP121" s="1112"/>
      <c r="DQ121" s="1270"/>
      <c r="DR121" s="1154">
        <f t="shared" si="444"/>
        <v>281813.5644579166</v>
      </c>
      <c r="DS121" s="1154">
        <f t="shared" si="445"/>
        <v>0</v>
      </c>
      <c r="DT121" s="1154">
        <f t="shared" si="446"/>
        <v>0</v>
      </c>
      <c r="DU121" s="1154">
        <f t="shared" si="447"/>
        <v>0</v>
      </c>
      <c r="DV121" s="1154">
        <f t="shared" si="448"/>
        <v>0</v>
      </c>
      <c r="DW121" s="1154">
        <f t="shared" si="449"/>
        <v>0</v>
      </c>
      <c r="DX121" s="1154">
        <f t="shared" si="450"/>
        <v>0</v>
      </c>
      <c r="DY121" s="1154">
        <f t="shared" si="451"/>
        <v>0</v>
      </c>
      <c r="DZ121" s="1154">
        <f t="shared" si="452"/>
        <v>0</v>
      </c>
      <c r="EA121" s="1154">
        <f t="shared" si="453"/>
        <v>0</v>
      </c>
      <c r="EB121" s="1154">
        <f t="shared" si="454"/>
        <v>0</v>
      </c>
      <c r="EC121" s="1154">
        <f t="shared" si="455"/>
        <v>0</v>
      </c>
      <c r="ED121" s="1154">
        <f t="shared" si="456"/>
        <v>0</v>
      </c>
      <c r="EE121" s="1154">
        <f t="shared" si="457"/>
        <v>0</v>
      </c>
      <c r="EF121" s="1154">
        <f t="shared" si="458"/>
        <v>0</v>
      </c>
      <c r="EG121" s="1154">
        <f t="shared" si="459"/>
        <v>0</v>
      </c>
      <c r="EH121" s="1154">
        <f t="shared" si="460"/>
        <v>0</v>
      </c>
      <c r="EI121" s="1154">
        <f t="shared" si="461"/>
        <v>0</v>
      </c>
      <c r="EJ121" s="1154">
        <f t="shared" si="462"/>
        <v>0</v>
      </c>
      <c r="EK121" s="1154">
        <f t="shared" si="463"/>
        <v>0</v>
      </c>
      <c r="EL121" s="1154">
        <f t="shared" si="464"/>
        <v>0</v>
      </c>
      <c r="EM121" s="1154">
        <f t="shared" si="465"/>
        <v>0</v>
      </c>
      <c r="EN121" s="1154">
        <f t="shared" si="466"/>
        <v>0</v>
      </c>
      <c r="EO121" s="1154">
        <f t="shared" si="467"/>
        <v>510268.46947325266</v>
      </c>
      <c r="EP121" s="1154">
        <f t="shared" si="468"/>
        <v>0</v>
      </c>
      <c r="EQ121" s="1154">
        <f t="shared" si="469"/>
        <v>0</v>
      </c>
      <c r="ER121" s="1154">
        <f t="shared" si="470"/>
        <v>0</v>
      </c>
      <c r="ES121" s="1154">
        <f t="shared" si="471"/>
        <v>0</v>
      </c>
      <c r="ET121" s="1154">
        <f t="shared" si="472"/>
        <v>0</v>
      </c>
      <c r="EU121" s="1154">
        <f t="shared" si="473"/>
        <v>0</v>
      </c>
      <c r="EV121" s="1154">
        <f t="shared" si="474"/>
        <v>0</v>
      </c>
      <c r="EW121" s="1154">
        <f t="shared" si="475"/>
        <v>0</v>
      </c>
      <c r="EX121" s="1154">
        <f t="shared" si="476"/>
        <v>0</v>
      </c>
      <c r="EY121" s="1154">
        <f t="shared" si="477"/>
        <v>0</v>
      </c>
      <c r="EZ121" s="1154">
        <f t="shared" si="478"/>
        <v>0</v>
      </c>
      <c r="FA121" s="1174">
        <f t="shared" si="479"/>
        <v>792082.03393116919</v>
      </c>
      <c r="FC121" s="1154">
        <f t="shared" si="480"/>
        <v>265861.85326218541</v>
      </c>
      <c r="FD121" s="1154">
        <f t="shared" si="481"/>
        <v>0</v>
      </c>
      <c r="FE121" s="1154">
        <f t="shared" si="482"/>
        <v>0</v>
      </c>
      <c r="FF121" s="1154">
        <f t="shared" si="483"/>
        <v>0</v>
      </c>
      <c r="FG121" s="1154">
        <f t="shared" si="484"/>
        <v>0</v>
      </c>
      <c r="FH121" s="1154">
        <f t="shared" si="485"/>
        <v>0</v>
      </c>
      <c r="FI121" s="1154">
        <f t="shared" si="486"/>
        <v>0</v>
      </c>
      <c r="FJ121" s="1154">
        <f t="shared" si="487"/>
        <v>0</v>
      </c>
      <c r="FK121" s="1154">
        <f t="shared" si="488"/>
        <v>0</v>
      </c>
      <c r="FL121" s="1154">
        <f t="shared" si="489"/>
        <v>0</v>
      </c>
      <c r="FM121" s="1154">
        <f t="shared" si="490"/>
        <v>0</v>
      </c>
      <c r="FN121" s="1154">
        <f t="shared" si="491"/>
        <v>0</v>
      </c>
      <c r="FO121" s="1154">
        <f t="shared" si="492"/>
        <v>0</v>
      </c>
      <c r="FP121" s="1154">
        <f t="shared" si="493"/>
        <v>0</v>
      </c>
      <c r="FQ121" s="1154">
        <f t="shared" si="494"/>
        <v>0</v>
      </c>
      <c r="FR121" s="1154">
        <f t="shared" si="495"/>
        <v>0</v>
      </c>
      <c r="FS121" s="1154">
        <f t="shared" si="496"/>
        <v>0</v>
      </c>
      <c r="FT121" s="1154">
        <f t="shared" si="497"/>
        <v>0</v>
      </c>
      <c r="FU121" s="1154">
        <f t="shared" si="498"/>
        <v>0</v>
      </c>
      <c r="FV121" s="1154">
        <f t="shared" si="499"/>
        <v>0</v>
      </c>
      <c r="FW121" s="1154">
        <f t="shared" si="500"/>
        <v>0</v>
      </c>
      <c r="FX121" s="1154">
        <f t="shared" si="501"/>
        <v>0</v>
      </c>
      <c r="FY121" s="1154">
        <f t="shared" si="502"/>
        <v>0</v>
      </c>
      <c r="FZ121" s="1154">
        <f t="shared" si="503"/>
        <v>399563.13128373475</v>
      </c>
      <c r="GA121" s="1154">
        <f t="shared" si="504"/>
        <v>0</v>
      </c>
      <c r="GB121" s="1154">
        <f t="shared" si="505"/>
        <v>0</v>
      </c>
      <c r="GC121" s="1154">
        <f t="shared" si="506"/>
        <v>0</v>
      </c>
      <c r="GD121" s="1154">
        <f t="shared" si="507"/>
        <v>0</v>
      </c>
      <c r="GE121" s="1154">
        <f t="shared" si="508"/>
        <v>0</v>
      </c>
      <c r="GF121" s="1154">
        <f t="shared" si="509"/>
        <v>0</v>
      </c>
      <c r="GG121" s="1154">
        <f t="shared" si="510"/>
        <v>0</v>
      </c>
      <c r="GH121" s="1154">
        <f t="shared" si="511"/>
        <v>0</v>
      </c>
      <c r="GI121" s="1154">
        <f t="shared" si="512"/>
        <v>0</v>
      </c>
      <c r="GJ121" s="1154">
        <f t="shared" si="513"/>
        <v>0</v>
      </c>
      <c r="GK121" s="1154">
        <f t="shared" si="514"/>
        <v>0</v>
      </c>
      <c r="GL121" s="1174">
        <f t="shared" si="515"/>
        <v>665424.98454592016</v>
      </c>
    </row>
    <row r="122" spans="1:194">
      <c r="B122" s="1290" t="str">
        <f t="shared" si="443"/>
        <v>SACDUOSWBIB</v>
      </c>
      <c r="C122" s="1289" t="str">
        <f>C121</f>
        <v>West SAC&lt;20MWhpa Business IBT</v>
      </c>
      <c r="D122" s="1113" t="str">
        <f t="shared" ref="D122:H123" si="520">D121</f>
        <v>West SAC&lt;20MWhpa Business IBT</v>
      </c>
      <c r="E122" s="1113" t="str">
        <f t="shared" si="520"/>
        <v>SAC</v>
      </c>
      <c r="F122" s="1113" t="str">
        <f t="shared" si="520"/>
        <v>SACS Bus</v>
      </c>
      <c r="G122" s="1113" t="str">
        <f t="shared" ref="G122" si="521">G121</f>
        <v>West</v>
      </c>
      <c r="H122" s="1113" t="str">
        <f t="shared" si="520"/>
        <v>WBIB</v>
      </c>
      <c r="I122" s="1114" t="s">
        <v>752</v>
      </c>
      <c r="J122" s="1114" t="s">
        <v>934</v>
      </c>
      <c r="K122" s="1270"/>
      <c r="L122" s="1233">
        <v>0.17445225</v>
      </c>
      <c r="M122" s="1007"/>
      <c r="N122" s="1007"/>
      <c r="O122" s="1007"/>
      <c r="P122" s="1007"/>
      <c r="Q122" s="1007"/>
      <c r="R122" s="1007"/>
      <c r="S122" s="1007"/>
      <c r="T122" s="1007"/>
      <c r="U122" s="1007"/>
      <c r="V122" s="1007"/>
      <c r="W122" s="1007"/>
      <c r="X122" s="1007"/>
      <c r="Y122" s="1007"/>
      <c r="Z122" s="1007"/>
      <c r="AA122" s="1007"/>
      <c r="AB122" s="1007"/>
      <c r="AC122" s="1007"/>
      <c r="AD122" s="1007"/>
      <c r="AE122" s="1007"/>
      <c r="AF122" s="1007"/>
      <c r="AG122" s="1007"/>
      <c r="AH122" s="1007"/>
      <c r="AI122" s="1233">
        <v>1.3580961239131205E-2</v>
      </c>
      <c r="AJ122" s="1005"/>
      <c r="AK122" s="1005"/>
      <c r="AL122" s="1005"/>
      <c r="AM122" s="1005"/>
      <c r="AN122" s="1005"/>
      <c r="AO122" s="1005"/>
      <c r="AP122" s="1005"/>
      <c r="AQ122" s="1005"/>
      <c r="AR122" s="1005"/>
      <c r="AS122" s="1005"/>
      <c r="AT122" s="1005"/>
      <c r="AU122" s="1006"/>
      <c r="AV122" s="1270"/>
      <c r="AW122" s="1480">
        <v>0.17272499999999999</v>
      </c>
      <c r="AX122" s="1006"/>
      <c r="AY122" s="1006"/>
      <c r="AZ122" s="1006"/>
      <c r="BA122" s="1006"/>
      <c r="BB122" s="1006"/>
      <c r="BC122" s="1006"/>
      <c r="BD122" s="1006"/>
      <c r="BE122" s="1006"/>
      <c r="BF122" s="1006"/>
      <c r="BG122" s="1006"/>
      <c r="BH122" s="1006"/>
      <c r="BI122" s="1006"/>
      <c r="BJ122" s="1006"/>
      <c r="BK122" s="1006"/>
      <c r="BL122" s="1006"/>
      <c r="BM122" s="1006"/>
      <c r="BN122" s="1006"/>
      <c r="BO122" s="1006"/>
      <c r="BP122" s="1006"/>
      <c r="BQ122" s="1006"/>
      <c r="BR122" s="1006"/>
      <c r="BS122" s="1006"/>
      <c r="BT122" s="1480">
        <v>1.3226767178995704E-2</v>
      </c>
      <c r="BU122" s="1006"/>
      <c r="BV122" s="1006"/>
      <c r="BW122" s="1006"/>
      <c r="BX122" s="1006"/>
      <c r="BY122" s="1006"/>
      <c r="BZ122" s="1006"/>
      <c r="CA122" s="1006"/>
      <c r="CB122" s="1006"/>
      <c r="CC122" s="1006"/>
      <c r="CD122" s="1006"/>
      <c r="CE122" s="1006"/>
      <c r="CF122" s="1006"/>
      <c r="CG122" s="1209"/>
      <c r="CH122" s="1236">
        <v>2006.4694533371025</v>
      </c>
      <c r="CI122" s="1007"/>
      <c r="CJ122" s="1007"/>
      <c r="CK122" s="1007"/>
      <c r="CL122" s="1007"/>
      <c r="CM122" s="1007"/>
      <c r="CN122" s="1007"/>
      <c r="CO122" s="1007"/>
      <c r="CP122" s="1007"/>
      <c r="CQ122" s="1007"/>
      <c r="CR122" s="1007"/>
      <c r="CS122" s="1007"/>
      <c r="CT122" s="1007"/>
      <c r="CU122" s="1007"/>
      <c r="CV122" s="1007"/>
      <c r="CW122" s="1007"/>
      <c r="CX122" s="1007"/>
      <c r="CY122" s="1007"/>
      <c r="CZ122" s="1007"/>
      <c r="DA122" s="1007"/>
      <c r="DB122" s="1007"/>
      <c r="DC122" s="1007"/>
      <c r="DD122" s="1007"/>
      <c r="DE122" s="1236">
        <v>10875919.202437103</v>
      </c>
      <c r="DF122" s="1007"/>
      <c r="DG122" s="1007"/>
      <c r="DH122" s="1007"/>
      <c r="DI122" s="1006"/>
      <c r="DJ122" s="1006"/>
      <c r="DK122" s="1007"/>
      <c r="DL122" s="1007"/>
      <c r="DM122" s="1007"/>
      <c r="DN122" s="1007"/>
      <c r="DO122" s="1112"/>
      <c r="DP122" s="1112"/>
      <c r="DQ122" s="1270"/>
      <c r="DR122" s="1154">
        <f t="shared" si="444"/>
        <v>127762.08540218856</v>
      </c>
      <c r="DS122" s="1154">
        <f t="shared" si="445"/>
        <v>0</v>
      </c>
      <c r="DT122" s="1154">
        <f t="shared" si="446"/>
        <v>0</v>
      </c>
      <c r="DU122" s="1154">
        <f t="shared" si="447"/>
        <v>0</v>
      </c>
      <c r="DV122" s="1154">
        <f t="shared" si="448"/>
        <v>0</v>
      </c>
      <c r="DW122" s="1154">
        <f t="shared" si="449"/>
        <v>0</v>
      </c>
      <c r="DX122" s="1154">
        <f t="shared" si="450"/>
        <v>0</v>
      </c>
      <c r="DY122" s="1154">
        <f t="shared" si="451"/>
        <v>0</v>
      </c>
      <c r="DZ122" s="1154">
        <f t="shared" si="452"/>
        <v>0</v>
      </c>
      <c r="EA122" s="1154">
        <f t="shared" si="453"/>
        <v>0</v>
      </c>
      <c r="EB122" s="1154">
        <f t="shared" si="454"/>
        <v>0</v>
      </c>
      <c r="EC122" s="1154">
        <f t="shared" si="455"/>
        <v>0</v>
      </c>
      <c r="ED122" s="1154">
        <f t="shared" si="456"/>
        <v>0</v>
      </c>
      <c r="EE122" s="1154">
        <f t="shared" si="457"/>
        <v>0</v>
      </c>
      <c r="EF122" s="1154">
        <f t="shared" si="458"/>
        <v>0</v>
      </c>
      <c r="EG122" s="1154">
        <f t="shared" si="459"/>
        <v>0</v>
      </c>
      <c r="EH122" s="1154">
        <f t="shared" si="460"/>
        <v>0</v>
      </c>
      <c r="EI122" s="1154">
        <f t="shared" si="461"/>
        <v>0</v>
      </c>
      <c r="EJ122" s="1154">
        <f t="shared" si="462"/>
        <v>0</v>
      </c>
      <c r="EK122" s="1154">
        <f t="shared" si="463"/>
        <v>0</v>
      </c>
      <c r="EL122" s="1154">
        <f t="shared" si="464"/>
        <v>0</v>
      </c>
      <c r="EM122" s="1154">
        <f t="shared" si="465"/>
        <v>0</v>
      </c>
      <c r="EN122" s="1154">
        <f t="shared" si="466"/>
        <v>0</v>
      </c>
      <c r="EO122" s="1154">
        <f t="shared" si="467"/>
        <v>147705.43712822106</v>
      </c>
      <c r="EP122" s="1154">
        <f t="shared" si="468"/>
        <v>0</v>
      </c>
      <c r="EQ122" s="1154">
        <f t="shared" si="469"/>
        <v>0</v>
      </c>
      <c r="ER122" s="1154">
        <f t="shared" si="470"/>
        <v>0</v>
      </c>
      <c r="ES122" s="1154">
        <f t="shared" si="471"/>
        <v>0</v>
      </c>
      <c r="ET122" s="1154">
        <f t="shared" si="472"/>
        <v>0</v>
      </c>
      <c r="EU122" s="1154">
        <f t="shared" si="473"/>
        <v>0</v>
      </c>
      <c r="EV122" s="1154">
        <f t="shared" si="474"/>
        <v>0</v>
      </c>
      <c r="EW122" s="1154">
        <f t="shared" si="475"/>
        <v>0</v>
      </c>
      <c r="EX122" s="1154">
        <f t="shared" si="476"/>
        <v>0</v>
      </c>
      <c r="EY122" s="1154">
        <f t="shared" si="477"/>
        <v>0</v>
      </c>
      <c r="EZ122" s="1154">
        <f t="shared" si="478"/>
        <v>0</v>
      </c>
      <c r="FA122" s="1174">
        <f t="shared" si="479"/>
        <v>275467.52253040962</v>
      </c>
      <c r="FC122" s="1154">
        <f t="shared" si="480"/>
        <v>126497.11425959262</v>
      </c>
      <c r="FD122" s="1154">
        <f t="shared" si="481"/>
        <v>0</v>
      </c>
      <c r="FE122" s="1154">
        <f t="shared" si="482"/>
        <v>0</v>
      </c>
      <c r="FF122" s="1154">
        <f t="shared" si="483"/>
        <v>0</v>
      </c>
      <c r="FG122" s="1154">
        <f t="shared" si="484"/>
        <v>0</v>
      </c>
      <c r="FH122" s="1154">
        <f t="shared" si="485"/>
        <v>0</v>
      </c>
      <c r="FI122" s="1154">
        <f t="shared" si="486"/>
        <v>0</v>
      </c>
      <c r="FJ122" s="1154">
        <f t="shared" si="487"/>
        <v>0</v>
      </c>
      <c r="FK122" s="1154">
        <f t="shared" si="488"/>
        <v>0</v>
      </c>
      <c r="FL122" s="1154">
        <f t="shared" si="489"/>
        <v>0</v>
      </c>
      <c r="FM122" s="1154">
        <f t="shared" si="490"/>
        <v>0</v>
      </c>
      <c r="FN122" s="1154">
        <f t="shared" si="491"/>
        <v>0</v>
      </c>
      <c r="FO122" s="1154">
        <f t="shared" si="492"/>
        <v>0</v>
      </c>
      <c r="FP122" s="1154">
        <f t="shared" si="493"/>
        <v>0</v>
      </c>
      <c r="FQ122" s="1154">
        <f t="shared" si="494"/>
        <v>0</v>
      </c>
      <c r="FR122" s="1154">
        <f t="shared" si="495"/>
        <v>0</v>
      </c>
      <c r="FS122" s="1154">
        <f t="shared" si="496"/>
        <v>0</v>
      </c>
      <c r="FT122" s="1154">
        <f t="shared" si="497"/>
        <v>0</v>
      </c>
      <c r="FU122" s="1154">
        <f t="shared" si="498"/>
        <v>0</v>
      </c>
      <c r="FV122" s="1154">
        <f t="shared" si="499"/>
        <v>0</v>
      </c>
      <c r="FW122" s="1154">
        <f t="shared" si="500"/>
        <v>0</v>
      </c>
      <c r="FX122" s="1154">
        <f t="shared" si="501"/>
        <v>0</v>
      </c>
      <c r="FY122" s="1154">
        <f t="shared" si="502"/>
        <v>0</v>
      </c>
      <c r="FZ122" s="1154">
        <f t="shared" si="503"/>
        <v>143853.2511482042</v>
      </c>
      <c r="GA122" s="1154">
        <f t="shared" si="504"/>
        <v>0</v>
      </c>
      <c r="GB122" s="1154">
        <f t="shared" si="505"/>
        <v>0</v>
      </c>
      <c r="GC122" s="1154">
        <f t="shared" si="506"/>
        <v>0</v>
      </c>
      <c r="GD122" s="1154">
        <f t="shared" si="507"/>
        <v>0</v>
      </c>
      <c r="GE122" s="1154">
        <f t="shared" si="508"/>
        <v>0</v>
      </c>
      <c r="GF122" s="1154">
        <f t="shared" si="509"/>
        <v>0</v>
      </c>
      <c r="GG122" s="1154">
        <f t="shared" si="510"/>
        <v>0</v>
      </c>
      <c r="GH122" s="1154">
        <f t="shared" si="511"/>
        <v>0</v>
      </c>
      <c r="GI122" s="1154">
        <f t="shared" si="512"/>
        <v>0</v>
      </c>
      <c r="GJ122" s="1154">
        <f t="shared" si="513"/>
        <v>0</v>
      </c>
      <c r="GK122" s="1154">
        <f t="shared" si="514"/>
        <v>0</v>
      </c>
      <c r="GL122" s="1174">
        <f t="shared" si="515"/>
        <v>270350.36540779681</v>
      </c>
    </row>
    <row r="123" spans="1:194">
      <c r="B123" s="1290" t="str">
        <f t="shared" si="443"/>
        <v>SACDUOSWBIB</v>
      </c>
      <c r="C123" s="1289" t="str">
        <f t="shared" ref="C123" si="522">C122</f>
        <v>West SAC&lt;20MWhpa Business IBT</v>
      </c>
      <c r="D123" s="1113" t="str">
        <f t="shared" si="520"/>
        <v>West SAC&lt;20MWhpa Business IBT</v>
      </c>
      <c r="E123" s="1113" t="str">
        <f t="shared" si="520"/>
        <v>SAC</v>
      </c>
      <c r="F123" s="1113" t="str">
        <f t="shared" si="520"/>
        <v>SACS Bus</v>
      </c>
      <c r="G123" s="1113" t="str">
        <f t="shared" ref="G123" si="523">G122</f>
        <v>West</v>
      </c>
      <c r="H123" s="1113" t="str">
        <f t="shared" si="520"/>
        <v>WBIB</v>
      </c>
      <c r="I123" s="1114" t="s">
        <v>759</v>
      </c>
      <c r="J123" s="1114" t="s">
        <v>934</v>
      </c>
      <c r="K123" s="1270"/>
      <c r="L123" s="1233">
        <v>0.28228199999999998</v>
      </c>
      <c r="M123" s="1007"/>
      <c r="N123" s="1007"/>
      <c r="O123" s="1007"/>
      <c r="P123" s="1007"/>
      <c r="Q123" s="1007"/>
      <c r="R123" s="1007"/>
      <c r="S123" s="1007"/>
      <c r="T123" s="1007"/>
      <c r="U123" s="1007"/>
      <c r="V123" s="1007"/>
      <c r="W123" s="1007"/>
      <c r="X123" s="1007"/>
      <c r="Y123" s="1007"/>
      <c r="Z123" s="1007"/>
      <c r="AA123" s="1007"/>
      <c r="AB123" s="1007"/>
      <c r="AC123" s="1007"/>
      <c r="AD123" s="1007"/>
      <c r="AE123" s="1007"/>
      <c r="AF123" s="1007"/>
      <c r="AG123" s="1007"/>
      <c r="AH123" s="1007"/>
      <c r="AI123" s="1233">
        <v>1.4121324100704864E-2</v>
      </c>
      <c r="AJ123" s="1005"/>
      <c r="AK123" s="1005"/>
      <c r="AL123" s="1005"/>
      <c r="AM123" s="1005"/>
      <c r="AN123" s="1005"/>
      <c r="AO123" s="1005"/>
      <c r="AP123" s="1005"/>
      <c r="AQ123" s="1005"/>
      <c r="AR123" s="1005"/>
      <c r="AS123" s="1005"/>
      <c r="AT123" s="1005"/>
      <c r="AU123" s="1006"/>
      <c r="AV123" s="1270"/>
      <c r="AW123" s="1480">
        <v>0.28228199999999998</v>
      </c>
      <c r="AX123" s="1006"/>
      <c r="AY123" s="1006"/>
      <c r="AZ123" s="1006"/>
      <c r="BA123" s="1006"/>
      <c r="BB123" s="1006"/>
      <c r="BC123" s="1006"/>
      <c r="BD123" s="1006"/>
      <c r="BE123" s="1006"/>
      <c r="BF123" s="1006"/>
      <c r="BG123" s="1006"/>
      <c r="BH123" s="1006"/>
      <c r="BI123" s="1006"/>
      <c r="BJ123" s="1006"/>
      <c r="BK123" s="1006"/>
      <c r="BL123" s="1006"/>
      <c r="BM123" s="1006"/>
      <c r="BN123" s="1006"/>
      <c r="BO123" s="1006"/>
      <c r="BP123" s="1006"/>
      <c r="BQ123" s="1006"/>
      <c r="BR123" s="1006"/>
      <c r="BS123" s="1006"/>
      <c r="BT123" s="1480">
        <v>1.4772535454067301E-2</v>
      </c>
      <c r="BU123" s="1006"/>
      <c r="BV123" s="1006"/>
      <c r="BW123" s="1006"/>
      <c r="BX123" s="1006"/>
      <c r="BY123" s="1006"/>
      <c r="BZ123" s="1006"/>
      <c r="CA123" s="1006"/>
      <c r="CB123" s="1006"/>
      <c r="CC123" s="1006"/>
      <c r="CD123" s="1006"/>
      <c r="CE123" s="1006"/>
      <c r="CF123" s="1006"/>
      <c r="CG123" s="1209"/>
      <c r="CH123" s="1236">
        <v>482.23644256481668</v>
      </c>
      <c r="CI123" s="1007"/>
      <c r="CJ123" s="1007"/>
      <c r="CK123" s="1007"/>
      <c r="CL123" s="1007"/>
      <c r="CM123" s="1007"/>
      <c r="CN123" s="1007"/>
      <c r="CO123" s="1007"/>
      <c r="CP123" s="1007"/>
      <c r="CQ123" s="1007"/>
      <c r="CR123" s="1007"/>
      <c r="CS123" s="1007"/>
      <c r="CT123" s="1007"/>
      <c r="CU123" s="1007"/>
      <c r="CV123" s="1007"/>
      <c r="CW123" s="1007"/>
      <c r="CX123" s="1007"/>
      <c r="CY123" s="1007"/>
      <c r="CZ123" s="1007"/>
      <c r="DA123" s="1007"/>
      <c r="DB123" s="1007"/>
      <c r="DC123" s="1007"/>
      <c r="DD123" s="1007"/>
      <c r="DE123" s="1236">
        <v>2613926.9536761218</v>
      </c>
      <c r="DF123" s="1007"/>
      <c r="DG123" s="1007"/>
      <c r="DH123" s="1007"/>
      <c r="DI123" s="1006"/>
      <c r="DJ123" s="1006"/>
      <c r="DK123" s="1007"/>
      <c r="DL123" s="1007"/>
      <c r="DM123" s="1007"/>
      <c r="DN123" s="1007"/>
      <c r="DO123" s="1112"/>
      <c r="DP123" s="1112"/>
      <c r="DQ123" s="1270"/>
      <c r="DR123" s="1154">
        <f t="shared" si="444"/>
        <v>49686.233630229777</v>
      </c>
      <c r="DS123" s="1154">
        <f t="shared" si="445"/>
        <v>0</v>
      </c>
      <c r="DT123" s="1154">
        <f t="shared" si="446"/>
        <v>0</v>
      </c>
      <c r="DU123" s="1154">
        <f t="shared" si="447"/>
        <v>0</v>
      </c>
      <c r="DV123" s="1154">
        <f t="shared" si="448"/>
        <v>0</v>
      </c>
      <c r="DW123" s="1154">
        <f t="shared" si="449"/>
        <v>0</v>
      </c>
      <c r="DX123" s="1154">
        <f t="shared" si="450"/>
        <v>0</v>
      </c>
      <c r="DY123" s="1154">
        <f t="shared" si="451"/>
        <v>0</v>
      </c>
      <c r="DZ123" s="1154">
        <f t="shared" si="452"/>
        <v>0</v>
      </c>
      <c r="EA123" s="1154">
        <f t="shared" si="453"/>
        <v>0</v>
      </c>
      <c r="EB123" s="1154">
        <f t="shared" si="454"/>
        <v>0</v>
      </c>
      <c r="EC123" s="1154">
        <f t="shared" si="455"/>
        <v>0</v>
      </c>
      <c r="ED123" s="1154">
        <f t="shared" si="456"/>
        <v>0</v>
      </c>
      <c r="EE123" s="1154">
        <f t="shared" si="457"/>
        <v>0</v>
      </c>
      <c r="EF123" s="1154">
        <f t="shared" si="458"/>
        <v>0</v>
      </c>
      <c r="EG123" s="1154">
        <f t="shared" si="459"/>
        <v>0</v>
      </c>
      <c r="EH123" s="1154">
        <f t="shared" si="460"/>
        <v>0</v>
      </c>
      <c r="EI123" s="1154">
        <f t="shared" si="461"/>
        <v>0</v>
      </c>
      <c r="EJ123" s="1154">
        <f t="shared" si="462"/>
        <v>0</v>
      </c>
      <c r="EK123" s="1154">
        <f t="shared" si="463"/>
        <v>0</v>
      </c>
      <c r="EL123" s="1154">
        <f t="shared" si="464"/>
        <v>0</v>
      </c>
      <c r="EM123" s="1154">
        <f t="shared" si="465"/>
        <v>0</v>
      </c>
      <c r="EN123" s="1154">
        <f t="shared" si="466"/>
        <v>0</v>
      </c>
      <c r="EO123" s="1154">
        <f t="shared" si="467"/>
        <v>36912.109688428667</v>
      </c>
      <c r="EP123" s="1154">
        <f t="shared" si="468"/>
        <v>0</v>
      </c>
      <c r="EQ123" s="1154">
        <f t="shared" si="469"/>
        <v>0</v>
      </c>
      <c r="ER123" s="1154">
        <f t="shared" si="470"/>
        <v>0</v>
      </c>
      <c r="ES123" s="1154">
        <f t="shared" si="471"/>
        <v>0</v>
      </c>
      <c r="ET123" s="1154">
        <f t="shared" si="472"/>
        <v>0</v>
      </c>
      <c r="EU123" s="1154">
        <f t="shared" si="473"/>
        <v>0</v>
      </c>
      <c r="EV123" s="1154">
        <f t="shared" si="474"/>
        <v>0</v>
      </c>
      <c r="EW123" s="1154">
        <f t="shared" si="475"/>
        <v>0</v>
      </c>
      <c r="EX123" s="1154">
        <f t="shared" si="476"/>
        <v>0</v>
      </c>
      <c r="EY123" s="1154">
        <f t="shared" si="477"/>
        <v>0</v>
      </c>
      <c r="EZ123" s="1154">
        <f t="shared" si="478"/>
        <v>0</v>
      </c>
      <c r="FA123" s="1174">
        <f t="shared" si="479"/>
        <v>86598.343318658444</v>
      </c>
      <c r="FC123" s="1154">
        <f t="shared" si="480"/>
        <v>49686.233630229777</v>
      </c>
      <c r="FD123" s="1154">
        <f t="shared" si="481"/>
        <v>0</v>
      </c>
      <c r="FE123" s="1154">
        <f t="shared" si="482"/>
        <v>0</v>
      </c>
      <c r="FF123" s="1154">
        <f t="shared" si="483"/>
        <v>0</v>
      </c>
      <c r="FG123" s="1154">
        <f t="shared" si="484"/>
        <v>0</v>
      </c>
      <c r="FH123" s="1154">
        <f t="shared" si="485"/>
        <v>0</v>
      </c>
      <c r="FI123" s="1154">
        <f t="shared" si="486"/>
        <v>0</v>
      </c>
      <c r="FJ123" s="1154">
        <f t="shared" si="487"/>
        <v>0</v>
      </c>
      <c r="FK123" s="1154">
        <f t="shared" si="488"/>
        <v>0</v>
      </c>
      <c r="FL123" s="1154">
        <f t="shared" si="489"/>
        <v>0</v>
      </c>
      <c r="FM123" s="1154">
        <f t="shared" si="490"/>
        <v>0</v>
      </c>
      <c r="FN123" s="1154">
        <f t="shared" si="491"/>
        <v>0</v>
      </c>
      <c r="FO123" s="1154">
        <f t="shared" si="492"/>
        <v>0</v>
      </c>
      <c r="FP123" s="1154">
        <f t="shared" si="493"/>
        <v>0</v>
      </c>
      <c r="FQ123" s="1154">
        <f t="shared" si="494"/>
        <v>0</v>
      </c>
      <c r="FR123" s="1154">
        <f t="shared" si="495"/>
        <v>0</v>
      </c>
      <c r="FS123" s="1154">
        <f t="shared" si="496"/>
        <v>0</v>
      </c>
      <c r="FT123" s="1154">
        <f t="shared" si="497"/>
        <v>0</v>
      </c>
      <c r="FU123" s="1154">
        <f t="shared" si="498"/>
        <v>0</v>
      </c>
      <c r="FV123" s="1154">
        <f t="shared" si="499"/>
        <v>0</v>
      </c>
      <c r="FW123" s="1154">
        <f t="shared" si="500"/>
        <v>0</v>
      </c>
      <c r="FX123" s="1154">
        <f t="shared" si="501"/>
        <v>0</v>
      </c>
      <c r="FY123" s="1154">
        <f t="shared" si="502"/>
        <v>0</v>
      </c>
      <c r="FZ123" s="1154">
        <f t="shared" si="503"/>
        <v>38614.328597522646</v>
      </c>
      <c r="GA123" s="1154">
        <f t="shared" si="504"/>
        <v>0</v>
      </c>
      <c r="GB123" s="1154">
        <f t="shared" si="505"/>
        <v>0</v>
      </c>
      <c r="GC123" s="1154">
        <f t="shared" si="506"/>
        <v>0</v>
      </c>
      <c r="GD123" s="1154">
        <f t="shared" si="507"/>
        <v>0</v>
      </c>
      <c r="GE123" s="1154">
        <f t="shared" si="508"/>
        <v>0</v>
      </c>
      <c r="GF123" s="1154">
        <f t="shared" si="509"/>
        <v>0</v>
      </c>
      <c r="GG123" s="1154">
        <f t="shared" si="510"/>
        <v>0</v>
      </c>
      <c r="GH123" s="1154">
        <f t="shared" si="511"/>
        <v>0</v>
      </c>
      <c r="GI123" s="1154">
        <f t="shared" si="512"/>
        <v>0</v>
      </c>
      <c r="GJ123" s="1154">
        <f t="shared" si="513"/>
        <v>0</v>
      </c>
      <c r="GK123" s="1154">
        <f t="shared" si="514"/>
        <v>0</v>
      </c>
      <c r="GL123" s="1174">
        <f t="shared" si="515"/>
        <v>88300.562227752423</v>
      </c>
    </row>
    <row r="124" spans="1:194">
      <c r="B124" s="1290" t="str">
        <f t="shared" si="443"/>
        <v>SACDUOSMBIB</v>
      </c>
      <c r="C124" s="1289" t="str">
        <f>Prop2021DUOSTariffs!C56</f>
        <v>MtIsa SAC&lt;20MWhpa Business IBT</v>
      </c>
      <c r="D124" s="1113" t="str">
        <f>Prop2021DUOSTariffs!D56</f>
        <v>MtIsa SAC&lt;20MWhpa Business IBT</v>
      </c>
      <c r="E124" s="1113" t="str">
        <f>Prop2021DUOSTariffs!E56</f>
        <v>SAC</v>
      </c>
      <c r="F124" s="1113" t="str">
        <f>Prop2021DUOSTariffs!F56</f>
        <v>SACS Bus</v>
      </c>
      <c r="G124" s="1113" t="str">
        <f>Prop2021DUOSTariffs!G56</f>
        <v>Mt Isa</v>
      </c>
      <c r="H124" s="1113" t="str">
        <f>IF(Prop2021DUOSTariffs!H56="","",Prop2021DUOSTariffs!H56)</f>
        <v>MBIB</v>
      </c>
      <c r="I124" s="1114" t="s">
        <v>761</v>
      </c>
      <c r="J124" s="1114" t="s">
        <v>934</v>
      </c>
      <c r="K124" s="1270"/>
      <c r="L124" s="1233">
        <v>0.14140000000000003</v>
      </c>
      <c r="M124" s="1007"/>
      <c r="N124" s="1007"/>
      <c r="O124" s="1007"/>
      <c r="P124" s="1007"/>
      <c r="Q124" s="1007"/>
      <c r="R124" s="1007"/>
      <c r="S124" s="1007"/>
      <c r="T124" s="1007"/>
      <c r="U124" s="1007"/>
      <c r="V124" s="1007"/>
      <c r="W124" s="1007"/>
      <c r="X124" s="1007"/>
      <c r="Y124" s="1007"/>
      <c r="Z124" s="1007"/>
      <c r="AA124" s="1007"/>
      <c r="AB124" s="1007"/>
      <c r="AC124" s="1007"/>
      <c r="AD124" s="1007"/>
      <c r="AE124" s="1007"/>
      <c r="AF124" s="1007"/>
      <c r="AG124" s="1007"/>
      <c r="AH124" s="1007"/>
      <c r="AI124" s="1233">
        <v>7.7007696230930512E-4</v>
      </c>
      <c r="AJ124" s="1005"/>
      <c r="AK124" s="1005"/>
      <c r="AL124" s="1005"/>
      <c r="AM124" s="1005"/>
      <c r="AN124" s="1005"/>
      <c r="AO124" s="1005"/>
      <c r="AP124" s="1005"/>
      <c r="AQ124" s="1005"/>
      <c r="AR124" s="1005"/>
      <c r="AS124" s="1005"/>
      <c r="AT124" s="1005"/>
      <c r="AU124" s="1006"/>
      <c r="AV124" s="1270"/>
      <c r="AW124" s="1480">
        <v>0.14000000000000001</v>
      </c>
      <c r="AX124" s="1006"/>
      <c r="AY124" s="1006"/>
      <c r="AZ124" s="1006"/>
      <c r="BA124" s="1006"/>
      <c r="BB124" s="1006"/>
      <c r="BC124" s="1006"/>
      <c r="BD124" s="1006"/>
      <c r="BE124" s="1006"/>
      <c r="BF124" s="1006"/>
      <c r="BG124" s="1006"/>
      <c r="BH124" s="1006"/>
      <c r="BI124" s="1006"/>
      <c r="BJ124" s="1006"/>
      <c r="BK124" s="1006"/>
      <c r="BL124" s="1006"/>
      <c r="BM124" s="1006"/>
      <c r="BN124" s="1006"/>
      <c r="BO124" s="1006"/>
      <c r="BP124" s="1006"/>
      <c r="BQ124" s="1006"/>
      <c r="BR124" s="1006"/>
      <c r="BS124" s="1006"/>
      <c r="BT124" s="1480">
        <v>6.1898319928093575E-4</v>
      </c>
      <c r="BU124" s="1006"/>
      <c r="BV124" s="1006"/>
      <c r="BW124" s="1006"/>
      <c r="BX124" s="1006"/>
      <c r="BY124" s="1006"/>
      <c r="BZ124" s="1006"/>
      <c r="CA124" s="1006"/>
      <c r="CB124" s="1006"/>
      <c r="CC124" s="1006"/>
      <c r="CD124" s="1006"/>
      <c r="CE124" s="1006"/>
      <c r="CF124" s="1006"/>
      <c r="CG124" s="1209"/>
      <c r="CH124" s="1236">
        <v>1028.96</v>
      </c>
      <c r="CI124" s="1007"/>
      <c r="CJ124" s="1007"/>
      <c r="CK124" s="1007"/>
      <c r="CL124" s="1007"/>
      <c r="CM124" s="1007"/>
      <c r="CN124" s="1007"/>
      <c r="CO124" s="1007"/>
      <c r="CP124" s="1007"/>
      <c r="CQ124" s="1007"/>
      <c r="CR124" s="1007"/>
      <c r="CS124" s="1007"/>
      <c r="CT124" s="1007"/>
      <c r="CU124" s="1007"/>
      <c r="CV124" s="1007"/>
      <c r="CW124" s="1007"/>
      <c r="CX124" s="1007"/>
      <c r="CY124" s="1007"/>
      <c r="CZ124" s="1007"/>
      <c r="DA124" s="1007"/>
      <c r="DB124" s="1007"/>
      <c r="DC124" s="1007"/>
      <c r="DD124" s="1007"/>
      <c r="DE124" s="1236">
        <v>5680448.98575</v>
      </c>
      <c r="DF124" s="1007"/>
      <c r="DG124" s="1007"/>
      <c r="DH124" s="1007"/>
      <c r="DI124" s="1006"/>
      <c r="DJ124" s="1006"/>
      <c r="DK124" s="1007"/>
      <c r="DL124" s="1007"/>
      <c r="DM124" s="1007"/>
      <c r="DN124" s="1007"/>
      <c r="DO124" s="1112"/>
      <c r="DP124" s="1112"/>
      <c r="DQ124" s="1270"/>
      <c r="DR124" s="1154">
        <f t="shared" si="444"/>
        <v>53105.65456000001</v>
      </c>
      <c r="DS124" s="1154">
        <f t="shared" si="445"/>
        <v>0</v>
      </c>
      <c r="DT124" s="1154">
        <f t="shared" si="446"/>
        <v>0</v>
      </c>
      <c r="DU124" s="1154">
        <f t="shared" si="447"/>
        <v>0</v>
      </c>
      <c r="DV124" s="1154">
        <f t="shared" si="448"/>
        <v>0</v>
      </c>
      <c r="DW124" s="1154">
        <f t="shared" si="449"/>
        <v>0</v>
      </c>
      <c r="DX124" s="1154">
        <f t="shared" si="450"/>
        <v>0</v>
      </c>
      <c r="DY124" s="1154">
        <f t="shared" si="451"/>
        <v>0</v>
      </c>
      <c r="DZ124" s="1154">
        <f t="shared" si="452"/>
        <v>0</v>
      </c>
      <c r="EA124" s="1154">
        <f t="shared" si="453"/>
        <v>0</v>
      </c>
      <c r="EB124" s="1154">
        <f t="shared" si="454"/>
        <v>0</v>
      </c>
      <c r="EC124" s="1154">
        <f t="shared" si="455"/>
        <v>0</v>
      </c>
      <c r="ED124" s="1154">
        <f t="shared" si="456"/>
        <v>0</v>
      </c>
      <c r="EE124" s="1154">
        <f t="shared" si="457"/>
        <v>0</v>
      </c>
      <c r="EF124" s="1154">
        <f t="shared" si="458"/>
        <v>0</v>
      </c>
      <c r="EG124" s="1154">
        <f t="shared" si="459"/>
        <v>0</v>
      </c>
      <c r="EH124" s="1154">
        <f t="shared" si="460"/>
        <v>0</v>
      </c>
      <c r="EI124" s="1154">
        <f t="shared" si="461"/>
        <v>0</v>
      </c>
      <c r="EJ124" s="1154">
        <f t="shared" si="462"/>
        <v>0</v>
      </c>
      <c r="EK124" s="1154">
        <f t="shared" si="463"/>
        <v>0</v>
      </c>
      <c r="EL124" s="1154">
        <f t="shared" si="464"/>
        <v>0</v>
      </c>
      <c r="EM124" s="1154">
        <f t="shared" si="465"/>
        <v>0</v>
      </c>
      <c r="EN124" s="1154">
        <f t="shared" si="466"/>
        <v>0</v>
      </c>
      <c r="EO124" s="1154">
        <f t="shared" si="467"/>
        <v>4374.3828994993337</v>
      </c>
      <c r="EP124" s="1154">
        <f t="shared" si="468"/>
        <v>0</v>
      </c>
      <c r="EQ124" s="1154">
        <f t="shared" si="469"/>
        <v>0</v>
      </c>
      <c r="ER124" s="1154">
        <f t="shared" si="470"/>
        <v>0</v>
      </c>
      <c r="ES124" s="1154">
        <f t="shared" si="471"/>
        <v>0</v>
      </c>
      <c r="ET124" s="1154">
        <f t="shared" si="472"/>
        <v>0</v>
      </c>
      <c r="EU124" s="1154">
        <f t="shared" si="473"/>
        <v>0</v>
      </c>
      <c r="EV124" s="1154">
        <f t="shared" si="474"/>
        <v>0</v>
      </c>
      <c r="EW124" s="1154">
        <f t="shared" si="475"/>
        <v>0</v>
      </c>
      <c r="EX124" s="1154">
        <f t="shared" si="476"/>
        <v>0</v>
      </c>
      <c r="EY124" s="1154">
        <f t="shared" si="477"/>
        <v>0</v>
      </c>
      <c r="EZ124" s="1154">
        <f t="shared" si="478"/>
        <v>0</v>
      </c>
      <c r="FA124" s="1174">
        <f t="shared" si="479"/>
        <v>57480.037459499341</v>
      </c>
      <c r="FC124" s="1154">
        <f t="shared" si="480"/>
        <v>52579.856000000007</v>
      </c>
      <c r="FD124" s="1154">
        <f t="shared" si="481"/>
        <v>0</v>
      </c>
      <c r="FE124" s="1154">
        <f t="shared" si="482"/>
        <v>0</v>
      </c>
      <c r="FF124" s="1154">
        <f t="shared" si="483"/>
        <v>0</v>
      </c>
      <c r="FG124" s="1154">
        <f t="shared" si="484"/>
        <v>0</v>
      </c>
      <c r="FH124" s="1154">
        <f t="shared" si="485"/>
        <v>0</v>
      </c>
      <c r="FI124" s="1154">
        <f t="shared" si="486"/>
        <v>0</v>
      </c>
      <c r="FJ124" s="1154">
        <f t="shared" si="487"/>
        <v>0</v>
      </c>
      <c r="FK124" s="1154">
        <f t="shared" si="488"/>
        <v>0</v>
      </c>
      <c r="FL124" s="1154">
        <f t="shared" si="489"/>
        <v>0</v>
      </c>
      <c r="FM124" s="1154">
        <f t="shared" si="490"/>
        <v>0</v>
      </c>
      <c r="FN124" s="1154">
        <f t="shared" si="491"/>
        <v>0</v>
      </c>
      <c r="FO124" s="1154">
        <f t="shared" si="492"/>
        <v>0</v>
      </c>
      <c r="FP124" s="1154">
        <f t="shared" si="493"/>
        <v>0</v>
      </c>
      <c r="FQ124" s="1154">
        <f t="shared" si="494"/>
        <v>0</v>
      </c>
      <c r="FR124" s="1154">
        <f t="shared" si="495"/>
        <v>0</v>
      </c>
      <c r="FS124" s="1154">
        <f t="shared" si="496"/>
        <v>0</v>
      </c>
      <c r="FT124" s="1154">
        <f t="shared" si="497"/>
        <v>0</v>
      </c>
      <c r="FU124" s="1154">
        <f t="shared" si="498"/>
        <v>0</v>
      </c>
      <c r="FV124" s="1154">
        <f t="shared" si="499"/>
        <v>0</v>
      </c>
      <c r="FW124" s="1154">
        <f t="shared" si="500"/>
        <v>0</v>
      </c>
      <c r="FX124" s="1154">
        <f t="shared" si="501"/>
        <v>0</v>
      </c>
      <c r="FY124" s="1154">
        <f t="shared" si="502"/>
        <v>0</v>
      </c>
      <c r="FZ124" s="1154">
        <f t="shared" si="503"/>
        <v>3516.1024865516815</v>
      </c>
      <c r="GA124" s="1154">
        <f t="shared" si="504"/>
        <v>0</v>
      </c>
      <c r="GB124" s="1154">
        <f t="shared" si="505"/>
        <v>0</v>
      </c>
      <c r="GC124" s="1154">
        <f t="shared" si="506"/>
        <v>0</v>
      </c>
      <c r="GD124" s="1154">
        <f t="shared" si="507"/>
        <v>0</v>
      </c>
      <c r="GE124" s="1154">
        <f t="shared" si="508"/>
        <v>0</v>
      </c>
      <c r="GF124" s="1154">
        <f t="shared" si="509"/>
        <v>0</v>
      </c>
      <c r="GG124" s="1154">
        <f t="shared" si="510"/>
        <v>0</v>
      </c>
      <c r="GH124" s="1154">
        <f t="shared" si="511"/>
        <v>0</v>
      </c>
      <c r="GI124" s="1154">
        <f t="shared" si="512"/>
        <v>0</v>
      </c>
      <c r="GJ124" s="1154">
        <f t="shared" si="513"/>
        <v>0</v>
      </c>
      <c r="GK124" s="1154">
        <f t="shared" si="514"/>
        <v>0</v>
      </c>
      <c r="GL124" s="1174">
        <f t="shared" si="515"/>
        <v>56095.958486551688</v>
      </c>
    </row>
    <row r="125" spans="1:194">
      <c r="B125" s="1290" t="str">
        <f t="shared" si="443"/>
        <v>SACDUOSEBWIF</v>
      </c>
      <c r="C125" s="1289" t="str">
        <f>Prop2021DUOSTariffs!C57</f>
        <v xml:space="preserve">East Wide Inclining Fixed </v>
      </c>
      <c r="D125" s="1113" t="str">
        <f>Prop2021DUOSTariffs!D57</f>
        <v xml:space="preserve">East Wide Inclining Fixed </v>
      </c>
      <c r="E125" s="1113" t="str">
        <f>Prop2021DUOSTariffs!E57</f>
        <v>SAC</v>
      </c>
      <c r="F125" s="1113" t="str">
        <f>Prop2021DUOSTariffs!F57</f>
        <v>SACS Bus</v>
      </c>
      <c r="G125" s="1113" t="str">
        <f>Prop2021DUOSTariffs!G57</f>
        <v>East</v>
      </c>
      <c r="H125" s="1113" t="str">
        <f>Prop2021DUOSTariffs!H57</f>
        <v>EBWIF</v>
      </c>
      <c r="I125" s="1114" t="s">
        <v>798</v>
      </c>
      <c r="J125" s="1114" t="s">
        <v>934</v>
      </c>
      <c r="K125" s="1270"/>
      <c r="L125" s="1112"/>
      <c r="M125" s="1233">
        <v>0</v>
      </c>
      <c r="N125" s="1233">
        <v>0.11554</v>
      </c>
      <c r="O125" s="1233">
        <v>0.12554000000000001</v>
      </c>
      <c r="P125" s="1233">
        <v>0.13554000000000002</v>
      </c>
      <c r="Q125" s="1233">
        <v>0.14554000000000003</v>
      </c>
      <c r="R125" s="1007"/>
      <c r="S125" s="1007"/>
      <c r="T125" s="1007"/>
      <c r="U125" s="1007"/>
      <c r="V125" s="1007"/>
      <c r="W125" s="1007"/>
      <c r="X125" s="1007"/>
      <c r="Y125" s="1007"/>
      <c r="Z125" s="1007"/>
      <c r="AA125" s="1007"/>
      <c r="AB125" s="1007"/>
      <c r="AC125" s="1007"/>
      <c r="AD125" s="1007"/>
      <c r="AE125" s="1007"/>
      <c r="AF125" s="1007"/>
      <c r="AG125" s="1007"/>
      <c r="AH125" s="1007"/>
      <c r="AI125" s="1233">
        <v>1.2756140745273986E-2</v>
      </c>
      <c r="AJ125" s="1005"/>
      <c r="AK125" s="1005"/>
      <c r="AL125" s="1005"/>
      <c r="AM125" s="1005"/>
      <c r="AN125" s="1005"/>
      <c r="AO125" s="1005"/>
      <c r="AP125" s="1005"/>
      <c r="AQ125" s="1005"/>
      <c r="AR125" s="1005"/>
      <c r="AS125" s="1005"/>
      <c r="AT125" s="1005"/>
      <c r="AU125" s="1006"/>
      <c r="AV125" s="1270"/>
      <c r="AW125" s="1006"/>
      <c r="AX125" s="1480">
        <v>0</v>
      </c>
      <c r="AY125" s="1480">
        <v>0.109</v>
      </c>
      <c r="AZ125" s="1480">
        <v>0.11899999999999999</v>
      </c>
      <c r="BA125" s="1480">
        <v>0.129</v>
      </c>
      <c r="BB125" s="1480">
        <v>0.13900000000000001</v>
      </c>
      <c r="BC125" s="1006"/>
      <c r="BD125" s="1006"/>
      <c r="BE125" s="1006"/>
      <c r="BF125" s="1006"/>
      <c r="BG125" s="1006"/>
      <c r="BH125" s="1006"/>
      <c r="BI125" s="1006"/>
      <c r="BJ125" s="1006"/>
      <c r="BK125" s="1006"/>
      <c r="BL125" s="1006"/>
      <c r="BM125" s="1006"/>
      <c r="BN125" s="1006"/>
      <c r="BO125" s="1006"/>
      <c r="BP125" s="1006"/>
      <c r="BQ125" s="1006"/>
      <c r="BR125" s="1006"/>
      <c r="BS125" s="1006"/>
      <c r="BT125" s="1480">
        <v>9.9886311700567981E-3</v>
      </c>
      <c r="BU125" s="1006"/>
      <c r="BV125" s="1006"/>
      <c r="BW125" s="1006"/>
      <c r="BX125" s="1006"/>
      <c r="BY125" s="1006"/>
      <c r="BZ125" s="1006"/>
      <c r="CA125" s="1006"/>
      <c r="CB125" s="1006"/>
      <c r="CC125" s="1006"/>
      <c r="CD125" s="1006"/>
      <c r="CE125" s="1006"/>
      <c r="CF125" s="1006"/>
      <c r="CG125" s="1209"/>
      <c r="CH125" s="1112"/>
      <c r="CI125" s="1236">
        <v>0</v>
      </c>
      <c r="CJ125" s="1236">
        <v>1245.9847949182408</v>
      </c>
      <c r="CK125" s="1236">
        <v>455.74106552509068</v>
      </c>
      <c r="CL125" s="1236">
        <v>1975.6169507782024</v>
      </c>
      <c r="CM125" s="1236">
        <v>3806.055962299185</v>
      </c>
      <c r="CN125" s="1007"/>
      <c r="CO125" s="1007"/>
      <c r="CP125" s="1007"/>
      <c r="CQ125" s="1007"/>
      <c r="CR125" s="1007"/>
      <c r="CS125" s="1007"/>
      <c r="CT125" s="1007"/>
      <c r="CU125" s="1007"/>
      <c r="CV125" s="1007"/>
      <c r="CW125" s="1007"/>
      <c r="CX125" s="1007"/>
      <c r="CY125" s="1007"/>
      <c r="CZ125" s="1007"/>
      <c r="DA125" s="1007"/>
      <c r="DB125" s="1007"/>
      <c r="DC125" s="1007"/>
      <c r="DD125" s="1007"/>
      <c r="DE125" s="1236">
        <v>365361415.63007605</v>
      </c>
      <c r="DF125" s="1007"/>
      <c r="DG125" s="1007"/>
      <c r="DH125" s="1007"/>
      <c r="DI125" s="1006"/>
      <c r="DJ125" s="1006"/>
      <c r="DK125" s="1007"/>
      <c r="DL125" s="1007"/>
      <c r="DM125" s="1007"/>
      <c r="DN125" s="1007"/>
      <c r="DO125" s="1112"/>
      <c r="DP125" s="1112"/>
      <c r="DQ125" s="1270"/>
      <c r="DR125" s="1154">
        <f t="shared" si="444"/>
        <v>0</v>
      </c>
      <c r="DS125" s="1154">
        <f t="shared" si="445"/>
        <v>0</v>
      </c>
      <c r="DT125" s="1154">
        <f t="shared" si="446"/>
        <v>52545.795369771542</v>
      </c>
      <c r="DU125" s="1154">
        <f t="shared" si="447"/>
        <v>20883.012678597261</v>
      </c>
      <c r="DV125" s="1154">
        <f t="shared" si="448"/>
        <v>97737.919350594311</v>
      </c>
      <c r="DW125" s="1154">
        <f t="shared" si="449"/>
        <v>202185.68543485357</v>
      </c>
      <c r="DX125" s="1154">
        <f t="shared" si="450"/>
        <v>0</v>
      </c>
      <c r="DY125" s="1154">
        <f t="shared" si="451"/>
        <v>0</v>
      </c>
      <c r="DZ125" s="1154">
        <f t="shared" si="452"/>
        <v>0</v>
      </c>
      <c r="EA125" s="1154">
        <f t="shared" si="453"/>
        <v>0</v>
      </c>
      <c r="EB125" s="1154">
        <f t="shared" si="454"/>
        <v>0</v>
      </c>
      <c r="EC125" s="1154">
        <f t="shared" si="455"/>
        <v>0</v>
      </c>
      <c r="ED125" s="1154">
        <f t="shared" si="456"/>
        <v>0</v>
      </c>
      <c r="EE125" s="1154">
        <f t="shared" si="457"/>
        <v>0</v>
      </c>
      <c r="EF125" s="1154">
        <f t="shared" si="458"/>
        <v>0</v>
      </c>
      <c r="EG125" s="1154">
        <f t="shared" si="459"/>
        <v>0</v>
      </c>
      <c r="EH125" s="1154">
        <f t="shared" si="460"/>
        <v>0</v>
      </c>
      <c r="EI125" s="1154">
        <f t="shared" si="461"/>
        <v>0</v>
      </c>
      <c r="EJ125" s="1154">
        <f t="shared" si="462"/>
        <v>0</v>
      </c>
      <c r="EK125" s="1154">
        <f t="shared" si="463"/>
        <v>0</v>
      </c>
      <c r="EL125" s="1154">
        <f t="shared" si="464"/>
        <v>0</v>
      </c>
      <c r="EM125" s="1154">
        <f t="shared" si="465"/>
        <v>0</v>
      </c>
      <c r="EN125" s="1154">
        <f t="shared" si="466"/>
        <v>0</v>
      </c>
      <c r="EO125" s="1154">
        <f t="shared" si="467"/>
        <v>4660601.6406697966</v>
      </c>
      <c r="EP125" s="1154">
        <f t="shared" si="468"/>
        <v>0</v>
      </c>
      <c r="EQ125" s="1154">
        <f t="shared" si="469"/>
        <v>0</v>
      </c>
      <c r="ER125" s="1154">
        <f t="shared" si="470"/>
        <v>0</v>
      </c>
      <c r="ES125" s="1154">
        <f t="shared" si="471"/>
        <v>0</v>
      </c>
      <c r="ET125" s="1154">
        <f t="shared" si="472"/>
        <v>0</v>
      </c>
      <c r="EU125" s="1154">
        <f t="shared" si="473"/>
        <v>0</v>
      </c>
      <c r="EV125" s="1154">
        <f t="shared" si="474"/>
        <v>0</v>
      </c>
      <c r="EW125" s="1154">
        <f t="shared" si="475"/>
        <v>0</v>
      </c>
      <c r="EX125" s="1154">
        <f t="shared" si="476"/>
        <v>0</v>
      </c>
      <c r="EY125" s="1154">
        <f t="shared" si="477"/>
        <v>0</v>
      </c>
      <c r="EZ125" s="1154">
        <f t="shared" si="478"/>
        <v>0</v>
      </c>
      <c r="FA125" s="1174">
        <f t="shared" si="479"/>
        <v>5033954.053503613</v>
      </c>
      <c r="FC125" s="1154">
        <f t="shared" si="480"/>
        <v>0</v>
      </c>
      <c r="FD125" s="1154">
        <f t="shared" si="481"/>
        <v>0</v>
      </c>
      <c r="FE125" s="1154">
        <f t="shared" si="482"/>
        <v>49571.50506582221</v>
      </c>
      <c r="FF125" s="1154">
        <f t="shared" si="483"/>
        <v>19795.113181082314</v>
      </c>
      <c r="FG125" s="1154">
        <f t="shared" si="484"/>
        <v>93021.924127391656</v>
      </c>
      <c r="FH125" s="1154">
        <f t="shared" si="485"/>
        <v>193100.24924724919</v>
      </c>
      <c r="FI125" s="1154">
        <f t="shared" si="486"/>
        <v>0</v>
      </c>
      <c r="FJ125" s="1154">
        <f t="shared" si="487"/>
        <v>0</v>
      </c>
      <c r="FK125" s="1154">
        <f t="shared" si="488"/>
        <v>0</v>
      </c>
      <c r="FL125" s="1154">
        <f t="shared" si="489"/>
        <v>0</v>
      </c>
      <c r="FM125" s="1154">
        <f t="shared" si="490"/>
        <v>0</v>
      </c>
      <c r="FN125" s="1154">
        <f t="shared" si="491"/>
        <v>0</v>
      </c>
      <c r="FO125" s="1154">
        <f t="shared" si="492"/>
        <v>0</v>
      </c>
      <c r="FP125" s="1154">
        <f t="shared" si="493"/>
        <v>0</v>
      </c>
      <c r="FQ125" s="1154">
        <f t="shared" si="494"/>
        <v>0</v>
      </c>
      <c r="FR125" s="1154">
        <f t="shared" si="495"/>
        <v>0</v>
      </c>
      <c r="FS125" s="1154">
        <f t="shared" si="496"/>
        <v>0</v>
      </c>
      <c r="FT125" s="1154">
        <f t="shared" si="497"/>
        <v>0</v>
      </c>
      <c r="FU125" s="1154">
        <f t="shared" si="498"/>
        <v>0</v>
      </c>
      <c r="FV125" s="1154">
        <f t="shared" si="499"/>
        <v>0</v>
      </c>
      <c r="FW125" s="1154">
        <f t="shared" si="500"/>
        <v>0</v>
      </c>
      <c r="FX125" s="1154">
        <f t="shared" si="501"/>
        <v>0</v>
      </c>
      <c r="FY125" s="1154">
        <f t="shared" si="502"/>
        <v>0</v>
      </c>
      <c r="FZ125" s="1154">
        <f t="shared" si="503"/>
        <v>3649460.4244986544</v>
      </c>
      <c r="GA125" s="1154">
        <f t="shared" si="504"/>
        <v>0</v>
      </c>
      <c r="GB125" s="1154">
        <f t="shared" si="505"/>
        <v>0</v>
      </c>
      <c r="GC125" s="1154">
        <f t="shared" si="506"/>
        <v>0</v>
      </c>
      <c r="GD125" s="1154">
        <f t="shared" si="507"/>
        <v>0</v>
      </c>
      <c r="GE125" s="1154">
        <f t="shared" si="508"/>
        <v>0</v>
      </c>
      <c r="GF125" s="1154">
        <f t="shared" si="509"/>
        <v>0</v>
      </c>
      <c r="GG125" s="1154">
        <f t="shared" si="510"/>
        <v>0</v>
      </c>
      <c r="GH125" s="1154">
        <f t="shared" si="511"/>
        <v>0</v>
      </c>
      <c r="GI125" s="1154">
        <f t="shared" si="512"/>
        <v>0</v>
      </c>
      <c r="GJ125" s="1154">
        <f t="shared" si="513"/>
        <v>0</v>
      </c>
      <c r="GK125" s="1154">
        <f t="shared" si="514"/>
        <v>0</v>
      </c>
      <c r="GL125" s="1174">
        <f t="shared" si="515"/>
        <v>4004949.2161201998</v>
      </c>
    </row>
    <row r="126" spans="1:194">
      <c r="B126" s="1290" t="str">
        <f t="shared" si="443"/>
        <v>SACDUOSEBWIF</v>
      </c>
      <c r="C126" s="1289" t="str">
        <f>C125</f>
        <v xml:space="preserve">East Wide Inclining Fixed </v>
      </c>
      <c r="D126" s="1113" t="str">
        <f t="shared" ref="D126:H127" si="524">D125</f>
        <v xml:space="preserve">East Wide Inclining Fixed </v>
      </c>
      <c r="E126" s="1113" t="str">
        <f t="shared" si="524"/>
        <v>SAC</v>
      </c>
      <c r="F126" s="1113" t="str">
        <f t="shared" si="524"/>
        <v>SACS Bus</v>
      </c>
      <c r="G126" s="1113" t="str">
        <f t="shared" si="524"/>
        <v>East</v>
      </c>
      <c r="H126" s="1113" t="str">
        <f t="shared" si="524"/>
        <v>EBWIF</v>
      </c>
      <c r="I126" s="1114" t="s">
        <v>752</v>
      </c>
      <c r="J126" s="1114" t="s">
        <v>934</v>
      </c>
      <c r="K126" s="1270"/>
      <c r="L126" s="1112"/>
      <c r="M126" s="1233">
        <v>0</v>
      </c>
      <c r="N126" s="1233">
        <v>0.18482999999999999</v>
      </c>
      <c r="O126" s="1233">
        <v>0.19483</v>
      </c>
      <c r="P126" s="1233">
        <v>0.20483000000000001</v>
      </c>
      <c r="Q126" s="1233">
        <v>0.21483000000000002</v>
      </c>
      <c r="R126" s="1007"/>
      <c r="S126" s="1007"/>
      <c r="T126" s="1007"/>
      <c r="U126" s="1007"/>
      <c r="V126" s="1007"/>
      <c r="W126" s="1007"/>
      <c r="X126" s="1007"/>
      <c r="Y126" s="1007"/>
      <c r="Z126" s="1007"/>
      <c r="AA126" s="1007"/>
      <c r="AB126" s="1007"/>
      <c r="AC126" s="1007"/>
      <c r="AD126" s="1007"/>
      <c r="AE126" s="1007"/>
      <c r="AF126" s="1007"/>
      <c r="AG126" s="1007"/>
      <c r="AH126" s="1007"/>
      <c r="AI126" s="1233">
        <v>1.3580961239131205E-2</v>
      </c>
      <c r="AJ126" s="1005"/>
      <c r="AK126" s="1005"/>
      <c r="AL126" s="1005"/>
      <c r="AM126" s="1005"/>
      <c r="AN126" s="1005"/>
      <c r="AO126" s="1005"/>
      <c r="AP126" s="1005"/>
      <c r="AQ126" s="1005"/>
      <c r="AR126" s="1005"/>
      <c r="AS126" s="1005"/>
      <c r="AT126" s="1005"/>
      <c r="AU126" s="1006"/>
      <c r="AV126" s="1270"/>
      <c r="AW126" s="1006"/>
      <c r="AX126" s="1480">
        <v>0</v>
      </c>
      <c r="AY126" s="1480">
        <v>0.183</v>
      </c>
      <c r="AZ126" s="1480">
        <v>0.193</v>
      </c>
      <c r="BA126" s="1480">
        <v>0.20300000000000001</v>
      </c>
      <c r="BB126" s="1480">
        <v>0.21300000000000002</v>
      </c>
      <c r="BC126" s="1006"/>
      <c r="BD126" s="1006"/>
      <c r="BE126" s="1006"/>
      <c r="BF126" s="1006"/>
      <c r="BG126" s="1006"/>
      <c r="BH126" s="1006"/>
      <c r="BI126" s="1006"/>
      <c r="BJ126" s="1006"/>
      <c r="BK126" s="1006"/>
      <c r="BL126" s="1006"/>
      <c r="BM126" s="1006"/>
      <c r="BN126" s="1006"/>
      <c r="BO126" s="1006"/>
      <c r="BP126" s="1006"/>
      <c r="BQ126" s="1006"/>
      <c r="BR126" s="1006"/>
      <c r="BS126" s="1006"/>
      <c r="BT126" s="1480">
        <v>1.3226767178995704E-2</v>
      </c>
      <c r="BU126" s="1006"/>
      <c r="BV126" s="1006"/>
      <c r="BW126" s="1006"/>
      <c r="BX126" s="1006"/>
      <c r="BY126" s="1006"/>
      <c r="BZ126" s="1006"/>
      <c r="CA126" s="1006"/>
      <c r="CB126" s="1006"/>
      <c r="CC126" s="1006"/>
      <c r="CD126" s="1006"/>
      <c r="CE126" s="1006"/>
      <c r="CF126" s="1006"/>
      <c r="CG126" s="1209"/>
      <c r="CH126" s="1112"/>
      <c r="CI126" s="1236">
        <v>0</v>
      </c>
      <c r="CJ126" s="1236">
        <v>728.35620827372975</v>
      </c>
      <c r="CK126" s="1236">
        <v>266.40921766807423</v>
      </c>
      <c r="CL126" s="1236">
        <v>1154.8719351463199</v>
      </c>
      <c r="CM126" s="1236">
        <v>2224.8782653561675</v>
      </c>
      <c r="CN126" s="1007"/>
      <c r="CO126" s="1007"/>
      <c r="CP126" s="1007"/>
      <c r="CQ126" s="1007"/>
      <c r="CR126" s="1007"/>
      <c r="CS126" s="1007"/>
      <c r="CT126" s="1007"/>
      <c r="CU126" s="1007"/>
      <c r="CV126" s="1007"/>
      <c r="CW126" s="1007"/>
      <c r="CX126" s="1007"/>
      <c r="CY126" s="1007"/>
      <c r="CZ126" s="1007"/>
      <c r="DA126" s="1007"/>
      <c r="DB126" s="1007"/>
      <c r="DC126" s="1007"/>
      <c r="DD126" s="1007"/>
      <c r="DE126" s="1236">
        <v>213576647.50259355</v>
      </c>
      <c r="DF126" s="1007"/>
      <c r="DG126" s="1007"/>
      <c r="DH126" s="1007"/>
      <c r="DI126" s="1006"/>
      <c r="DJ126" s="1006"/>
      <c r="DK126" s="1007"/>
      <c r="DL126" s="1007"/>
      <c r="DM126" s="1007"/>
      <c r="DN126" s="1007"/>
      <c r="DO126" s="1112"/>
      <c r="DP126" s="1112"/>
      <c r="DQ126" s="1270"/>
      <c r="DR126" s="1154">
        <f t="shared" si="444"/>
        <v>0</v>
      </c>
      <c r="DS126" s="1154">
        <f t="shared" si="445"/>
        <v>0</v>
      </c>
      <c r="DT126" s="1154">
        <f t="shared" si="446"/>
        <v>49137.058460960208</v>
      </c>
      <c r="DU126" s="1154">
        <f t="shared" si="447"/>
        <v>18945.145375568882</v>
      </c>
      <c r="DV126" s="1154">
        <f t="shared" si="448"/>
        <v>86341.632743747556</v>
      </c>
      <c r="DW126" s="1154">
        <f t="shared" si="449"/>
        <v>174459.26817745992</v>
      </c>
      <c r="DX126" s="1154">
        <f t="shared" si="450"/>
        <v>0</v>
      </c>
      <c r="DY126" s="1154">
        <f t="shared" si="451"/>
        <v>0</v>
      </c>
      <c r="DZ126" s="1154">
        <f t="shared" si="452"/>
        <v>0</v>
      </c>
      <c r="EA126" s="1154">
        <f t="shared" si="453"/>
        <v>0</v>
      </c>
      <c r="EB126" s="1154">
        <f t="shared" si="454"/>
        <v>0</v>
      </c>
      <c r="EC126" s="1154">
        <f t="shared" si="455"/>
        <v>0</v>
      </c>
      <c r="ED126" s="1154">
        <f t="shared" si="456"/>
        <v>0</v>
      </c>
      <c r="EE126" s="1154">
        <f t="shared" si="457"/>
        <v>0</v>
      </c>
      <c r="EF126" s="1154">
        <f t="shared" si="458"/>
        <v>0</v>
      </c>
      <c r="EG126" s="1154">
        <f t="shared" si="459"/>
        <v>0</v>
      </c>
      <c r="EH126" s="1154">
        <f t="shared" si="460"/>
        <v>0</v>
      </c>
      <c r="EI126" s="1154">
        <f t="shared" si="461"/>
        <v>0</v>
      </c>
      <c r="EJ126" s="1154">
        <f t="shared" si="462"/>
        <v>0</v>
      </c>
      <c r="EK126" s="1154">
        <f t="shared" si="463"/>
        <v>0</v>
      </c>
      <c r="EL126" s="1154">
        <f t="shared" si="464"/>
        <v>0</v>
      </c>
      <c r="EM126" s="1154">
        <f t="shared" si="465"/>
        <v>0</v>
      </c>
      <c r="EN126" s="1154">
        <f t="shared" si="466"/>
        <v>0</v>
      </c>
      <c r="EO126" s="1154">
        <f t="shared" si="467"/>
        <v>2900576.1713163117</v>
      </c>
      <c r="EP126" s="1154">
        <f t="shared" si="468"/>
        <v>0</v>
      </c>
      <c r="EQ126" s="1154">
        <f t="shared" si="469"/>
        <v>0</v>
      </c>
      <c r="ER126" s="1154">
        <f t="shared" si="470"/>
        <v>0</v>
      </c>
      <c r="ES126" s="1154">
        <f t="shared" si="471"/>
        <v>0</v>
      </c>
      <c r="ET126" s="1154">
        <f t="shared" si="472"/>
        <v>0</v>
      </c>
      <c r="EU126" s="1154">
        <f t="shared" si="473"/>
        <v>0</v>
      </c>
      <c r="EV126" s="1154">
        <f t="shared" si="474"/>
        <v>0</v>
      </c>
      <c r="EW126" s="1154">
        <f t="shared" si="475"/>
        <v>0</v>
      </c>
      <c r="EX126" s="1154">
        <f t="shared" si="476"/>
        <v>0</v>
      </c>
      <c r="EY126" s="1154">
        <f t="shared" si="477"/>
        <v>0</v>
      </c>
      <c r="EZ126" s="1154">
        <f t="shared" si="478"/>
        <v>0</v>
      </c>
      <c r="FA126" s="1174">
        <f t="shared" si="479"/>
        <v>3229459.2760740481</v>
      </c>
      <c r="FC126" s="1154">
        <f t="shared" si="480"/>
        <v>0</v>
      </c>
      <c r="FD126" s="1154">
        <f t="shared" si="481"/>
        <v>0</v>
      </c>
      <c r="FE126" s="1154">
        <f t="shared" si="482"/>
        <v>48650.552931643775</v>
      </c>
      <c r="FF126" s="1154">
        <f t="shared" si="483"/>
        <v>18767.197338627491</v>
      </c>
      <c r="FG126" s="1154">
        <f t="shared" si="484"/>
        <v>85570.236034666566</v>
      </c>
      <c r="FH126" s="1154">
        <f t="shared" si="485"/>
        <v>172973.16074011527</v>
      </c>
      <c r="FI126" s="1154">
        <f t="shared" si="486"/>
        <v>0</v>
      </c>
      <c r="FJ126" s="1154">
        <f t="shared" si="487"/>
        <v>0</v>
      </c>
      <c r="FK126" s="1154">
        <f t="shared" si="488"/>
        <v>0</v>
      </c>
      <c r="FL126" s="1154">
        <f t="shared" si="489"/>
        <v>0</v>
      </c>
      <c r="FM126" s="1154">
        <f t="shared" si="490"/>
        <v>0</v>
      </c>
      <c r="FN126" s="1154">
        <f t="shared" si="491"/>
        <v>0</v>
      </c>
      <c r="FO126" s="1154">
        <f t="shared" si="492"/>
        <v>0</v>
      </c>
      <c r="FP126" s="1154">
        <f t="shared" si="493"/>
        <v>0</v>
      </c>
      <c r="FQ126" s="1154">
        <f t="shared" si="494"/>
        <v>0</v>
      </c>
      <c r="FR126" s="1154">
        <f t="shared" si="495"/>
        <v>0</v>
      </c>
      <c r="FS126" s="1154">
        <f t="shared" si="496"/>
        <v>0</v>
      </c>
      <c r="FT126" s="1154">
        <f t="shared" si="497"/>
        <v>0</v>
      </c>
      <c r="FU126" s="1154">
        <f t="shared" si="498"/>
        <v>0</v>
      </c>
      <c r="FV126" s="1154">
        <f t="shared" si="499"/>
        <v>0</v>
      </c>
      <c r="FW126" s="1154">
        <f t="shared" si="500"/>
        <v>0</v>
      </c>
      <c r="FX126" s="1154">
        <f t="shared" si="501"/>
        <v>0</v>
      </c>
      <c r="FY126" s="1154">
        <f t="shared" si="502"/>
        <v>0</v>
      </c>
      <c r="FZ126" s="1154">
        <f t="shared" si="503"/>
        <v>2824928.5913872393</v>
      </c>
      <c r="GA126" s="1154">
        <f t="shared" si="504"/>
        <v>0</v>
      </c>
      <c r="GB126" s="1154">
        <f t="shared" si="505"/>
        <v>0</v>
      </c>
      <c r="GC126" s="1154">
        <f t="shared" si="506"/>
        <v>0</v>
      </c>
      <c r="GD126" s="1154">
        <f t="shared" si="507"/>
        <v>0</v>
      </c>
      <c r="GE126" s="1154">
        <f t="shared" si="508"/>
        <v>0</v>
      </c>
      <c r="GF126" s="1154">
        <f t="shared" si="509"/>
        <v>0</v>
      </c>
      <c r="GG126" s="1154">
        <f t="shared" si="510"/>
        <v>0</v>
      </c>
      <c r="GH126" s="1154">
        <f t="shared" si="511"/>
        <v>0</v>
      </c>
      <c r="GI126" s="1154">
        <f t="shared" si="512"/>
        <v>0</v>
      </c>
      <c r="GJ126" s="1154">
        <f t="shared" si="513"/>
        <v>0</v>
      </c>
      <c r="GK126" s="1154">
        <f t="shared" si="514"/>
        <v>0</v>
      </c>
      <c r="GL126" s="1174">
        <f t="shared" si="515"/>
        <v>3150889.7384322924</v>
      </c>
    </row>
    <row r="127" spans="1:194">
      <c r="B127" s="1290" t="str">
        <f t="shared" si="443"/>
        <v>SACDUOSEBWIF</v>
      </c>
      <c r="C127" s="1289" t="str">
        <f t="shared" ref="C127:F127" si="525">C126</f>
        <v xml:space="preserve">East Wide Inclining Fixed </v>
      </c>
      <c r="D127" s="1113" t="str">
        <f t="shared" si="525"/>
        <v xml:space="preserve">East Wide Inclining Fixed </v>
      </c>
      <c r="E127" s="1113" t="str">
        <f t="shared" si="525"/>
        <v>SAC</v>
      </c>
      <c r="F127" s="1113" t="str">
        <f t="shared" si="525"/>
        <v>SACS Bus</v>
      </c>
      <c r="G127" s="1113" t="str">
        <f t="shared" si="524"/>
        <v>East</v>
      </c>
      <c r="H127" s="1113" t="str">
        <f t="shared" si="524"/>
        <v>EBWIF</v>
      </c>
      <c r="I127" s="1114" t="s">
        <v>759</v>
      </c>
      <c r="J127" s="1114" t="s">
        <v>934</v>
      </c>
      <c r="K127" s="1270"/>
      <c r="L127" s="1112"/>
      <c r="M127" s="1233">
        <v>0</v>
      </c>
      <c r="N127" s="1233">
        <v>0.29199999999999998</v>
      </c>
      <c r="O127" s="1233">
        <v>0.30199999999999999</v>
      </c>
      <c r="P127" s="1233">
        <v>0.312</v>
      </c>
      <c r="Q127" s="1233">
        <v>0.32200000000000001</v>
      </c>
      <c r="R127" s="1007"/>
      <c r="S127" s="1007"/>
      <c r="T127" s="1007"/>
      <c r="U127" s="1007"/>
      <c r="V127" s="1007"/>
      <c r="W127" s="1007"/>
      <c r="X127" s="1007"/>
      <c r="Y127" s="1007"/>
      <c r="Z127" s="1007"/>
      <c r="AA127" s="1007"/>
      <c r="AB127" s="1007"/>
      <c r="AC127" s="1007"/>
      <c r="AD127" s="1007"/>
      <c r="AE127" s="1007"/>
      <c r="AF127" s="1007"/>
      <c r="AG127" s="1007"/>
      <c r="AH127" s="1007"/>
      <c r="AI127" s="1233">
        <v>1.4121324100704864E-2</v>
      </c>
      <c r="AJ127" s="1005"/>
      <c r="AK127" s="1005"/>
      <c r="AL127" s="1005"/>
      <c r="AM127" s="1005"/>
      <c r="AN127" s="1005"/>
      <c r="AO127" s="1005"/>
      <c r="AP127" s="1005"/>
      <c r="AQ127" s="1005"/>
      <c r="AR127" s="1005"/>
      <c r="AS127" s="1005"/>
      <c r="AT127" s="1005"/>
      <c r="AU127" s="1006"/>
      <c r="AV127" s="1270"/>
      <c r="AW127" s="1006"/>
      <c r="AX127" s="1480">
        <v>0</v>
      </c>
      <c r="AY127" s="1480">
        <v>0.29199999999999998</v>
      </c>
      <c r="AZ127" s="1480">
        <v>0.30199999999999999</v>
      </c>
      <c r="BA127" s="1480">
        <v>0.312</v>
      </c>
      <c r="BB127" s="1480">
        <v>0.32200000000000001</v>
      </c>
      <c r="BC127" s="1006"/>
      <c r="BD127" s="1006"/>
      <c r="BE127" s="1006"/>
      <c r="BF127" s="1006"/>
      <c r="BG127" s="1006"/>
      <c r="BH127" s="1006"/>
      <c r="BI127" s="1006"/>
      <c r="BJ127" s="1006"/>
      <c r="BK127" s="1006"/>
      <c r="BL127" s="1006"/>
      <c r="BM127" s="1006"/>
      <c r="BN127" s="1006"/>
      <c r="BO127" s="1006"/>
      <c r="BP127" s="1006"/>
      <c r="BQ127" s="1006"/>
      <c r="BR127" s="1006"/>
      <c r="BS127" s="1006"/>
      <c r="BT127" s="1480">
        <v>1.4772535454067301E-2</v>
      </c>
      <c r="BU127" s="1006"/>
      <c r="BV127" s="1006"/>
      <c r="BW127" s="1006"/>
      <c r="BX127" s="1006"/>
      <c r="BY127" s="1006"/>
      <c r="BZ127" s="1006"/>
      <c r="CA127" s="1006"/>
      <c r="CB127" s="1006"/>
      <c r="CC127" s="1006"/>
      <c r="CD127" s="1006"/>
      <c r="CE127" s="1006"/>
      <c r="CF127" s="1006"/>
      <c r="CG127" s="1209"/>
      <c r="CH127" s="1112"/>
      <c r="CI127" s="1236">
        <v>0</v>
      </c>
      <c r="CJ127" s="1236">
        <v>476.03899680802976</v>
      </c>
      <c r="CK127" s="1236">
        <v>174.11971680683519</v>
      </c>
      <c r="CL127" s="1236">
        <v>754.80111407547804</v>
      </c>
      <c r="CM127" s="1236">
        <v>1454.1357723446483</v>
      </c>
      <c r="CN127" s="1007"/>
      <c r="CO127" s="1007"/>
      <c r="CP127" s="1007"/>
      <c r="CQ127" s="1007"/>
      <c r="CR127" s="1007"/>
      <c r="CS127" s="1007"/>
      <c r="CT127" s="1007"/>
      <c r="CU127" s="1007"/>
      <c r="CV127" s="1007"/>
      <c r="CW127" s="1007"/>
      <c r="CX127" s="1007"/>
      <c r="CY127" s="1007"/>
      <c r="CZ127" s="1007"/>
      <c r="DA127" s="1007"/>
      <c r="DB127" s="1007"/>
      <c r="DC127" s="1007"/>
      <c r="DD127" s="1007"/>
      <c r="DE127" s="1236">
        <v>139589409.50023049</v>
      </c>
      <c r="DF127" s="1007"/>
      <c r="DG127" s="1007"/>
      <c r="DH127" s="1007"/>
      <c r="DI127" s="1006"/>
      <c r="DJ127" s="1006"/>
      <c r="DK127" s="1007"/>
      <c r="DL127" s="1007"/>
      <c r="DM127" s="1007"/>
      <c r="DN127" s="1007"/>
      <c r="DO127" s="1112"/>
      <c r="DP127" s="1112"/>
      <c r="DQ127" s="1270"/>
      <c r="DR127" s="1154">
        <f t="shared" si="444"/>
        <v>0</v>
      </c>
      <c r="DS127" s="1154">
        <f t="shared" si="445"/>
        <v>0</v>
      </c>
      <c r="DT127" s="1154">
        <f t="shared" si="446"/>
        <v>50736.236279799814</v>
      </c>
      <c r="DU127" s="1154">
        <f t="shared" si="447"/>
        <v>19193.216383617444</v>
      </c>
      <c r="DV127" s="1154">
        <f t="shared" si="448"/>
        <v>85956.750870915435</v>
      </c>
      <c r="DW127" s="1154">
        <f t="shared" si="449"/>
        <v>170904.57732366654</v>
      </c>
      <c r="DX127" s="1154">
        <f t="shared" si="450"/>
        <v>0</v>
      </c>
      <c r="DY127" s="1154">
        <f t="shared" si="451"/>
        <v>0</v>
      </c>
      <c r="DZ127" s="1154">
        <f t="shared" si="452"/>
        <v>0</v>
      </c>
      <c r="EA127" s="1154">
        <f t="shared" si="453"/>
        <v>0</v>
      </c>
      <c r="EB127" s="1154">
        <f t="shared" si="454"/>
        <v>0</v>
      </c>
      <c r="EC127" s="1154">
        <f t="shared" si="455"/>
        <v>0</v>
      </c>
      <c r="ED127" s="1154">
        <f t="shared" si="456"/>
        <v>0</v>
      </c>
      <c r="EE127" s="1154">
        <f t="shared" si="457"/>
        <v>0</v>
      </c>
      <c r="EF127" s="1154">
        <f t="shared" si="458"/>
        <v>0</v>
      </c>
      <c r="EG127" s="1154">
        <f t="shared" si="459"/>
        <v>0</v>
      </c>
      <c r="EH127" s="1154">
        <f t="shared" si="460"/>
        <v>0</v>
      </c>
      <c r="EI127" s="1154">
        <f t="shared" si="461"/>
        <v>0</v>
      </c>
      <c r="EJ127" s="1154">
        <f t="shared" si="462"/>
        <v>0</v>
      </c>
      <c r="EK127" s="1154">
        <f t="shared" si="463"/>
        <v>0</v>
      </c>
      <c r="EL127" s="1154">
        <f t="shared" si="464"/>
        <v>0</v>
      </c>
      <c r="EM127" s="1154">
        <f t="shared" si="465"/>
        <v>0</v>
      </c>
      <c r="EN127" s="1154">
        <f t="shared" si="466"/>
        <v>0</v>
      </c>
      <c r="EO127" s="1154">
        <f t="shared" si="467"/>
        <v>1971187.2925787654</v>
      </c>
      <c r="EP127" s="1154">
        <f t="shared" si="468"/>
        <v>0</v>
      </c>
      <c r="EQ127" s="1154">
        <f t="shared" si="469"/>
        <v>0</v>
      </c>
      <c r="ER127" s="1154">
        <f t="shared" si="470"/>
        <v>0</v>
      </c>
      <c r="ES127" s="1154">
        <f t="shared" si="471"/>
        <v>0</v>
      </c>
      <c r="ET127" s="1154">
        <f t="shared" si="472"/>
        <v>0</v>
      </c>
      <c r="EU127" s="1154">
        <f t="shared" si="473"/>
        <v>0</v>
      </c>
      <c r="EV127" s="1154">
        <f t="shared" si="474"/>
        <v>0</v>
      </c>
      <c r="EW127" s="1154">
        <f t="shared" si="475"/>
        <v>0</v>
      </c>
      <c r="EX127" s="1154">
        <f t="shared" si="476"/>
        <v>0</v>
      </c>
      <c r="EY127" s="1154">
        <f t="shared" si="477"/>
        <v>0</v>
      </c>
      <c r="EZ127" s="1154">
        <f t="shared" si="478"/>
        <v>0</v>
      </c>
      <c r="FA127" s="1174">
        <f t="shared" si="479"/>
        <v>2297978.0734367645</v>
      </c>
      <c r="FC127" s="1154">
        <f t="shared" si="480"/>
        <v>0</v>
      </c>
      <c r="FD127" s="1154">
        <f t="shared" si="481"/>
        <v>0</v>
      </c>
      <c r="FE127" s="1154">
        <f t="shared" si="482"/>
        <v>50736.236279799814</v>
      </c>
      <c r="FF127" s="1154">
        <f t="shared" si="483"/>
        <v>19193.216383617444</v>
      </c>
      <c r="FG127" s="1154">
        <f t="shared" si="484"/>
        <v>85956.750870915435</v>
      </c>
      <c r="FH127" s="1154">
        <f t="shared" si="485"/>
        <v>170904.57732366654</v>
      </c>
      <c r="FI127" s="1154">
        <f t="shared" si="486"/>
        <v>0</v>
      </c>
      <c r="FJ127" s="1154">
        <f t="shared" si="487"/>
        <v>0</v>
      </c>
      <c r="FK127" s="1154">
        <f t="shared" si="488"/>
        <v>0</v>
      </c>
      <c r="FL127" s="1154">
        <f t="shared" si="489"/>
        <v>0</v>
      </c>
      <c r="FM127" s="1154">
        <f t="shared" si="490"/>
        <v>0</v>
      </c>
      <c r="FN127" s="1154">
        <f t="shared" si="491"/>
        <v>0</v>
      </c>
      <c r="FO127" s="1154">
        <f t="shared" si="492"/>
        <v>0</v>
      </c>
      <c r="FP127" s="1154">
        <f t="shared" si="493"/>
        <v>0</v>
      </c>
      <c r="FQ127" s="1154">
        <f t="shared" si="494"/>
        <v>0</v>
      </c>
      <c r="FR127" s="1154">
        <f t="shared" si="495"/>
        <v>0</v>
      </c>
      <c r="FS127" s="1154">
        <f t="shared" si="496"/>
        <v>0</v>
      </c>
      <c r="FT127" s="1154">
        <f t="shared" si="497"/>
        <v>0</v>
      </c>
      <c r="FU127" s="1154">
        <f t="shared" si="498"/>
        <v>0</v>
      </c>
      <c r="FV127" s="1154">
        <f t="shared" si="499"/>
        <v>0</v>
      </c>
      <c r="FW127" s="1154">
        <f t="shared" si="500"/>
        <v>0</v>
      </c>
      <c r="FX127" s="1154">
        <f t="shared" si="501"/>
        <v>0</v>
      </c>
      <c r="FY127" s="1154">
        <f t="shared" si="502"/>
        <v>0</v>
      </c>
      <c r="FZ127" s="1154">
        <f t="shared" si="503"/>
        <v>2062089.5008544738</v>
      </c>
      <c r="GA127" s="1154">
        <f t="shared" si="504"/>
        <v>0</v>
      </c>
      <c r="GB127" s="1154">
        <f t="shared" si="505"/>
        <v>0</v>
      </c>
      <c r="GC127" s="1154">
        <f t="shared" si="506"/>
        <v>0</v>
      </c>
      <c r="GD127" s="1154">
        <f t="shared" si="507"/>
        <v>0</v>
      </c>
      <c r="GE127" s="1154">
        <f t="shared" si="508"/>
        <v>0</v>
      </c>
      <c r="GF127" s="1154">
        <f t="shared" si="509"/>
        <v>0</v>
      </c>
      <c r="GG127" s="1154">
        <f t="shared" si="510"/>
        <v>0</v>
      </c>
      <c r="GH127" s="1154">
        <f t="shared" si="511"/>
        <v>0</v>
      </c>
      <c r="GI127" s="1154">
        <f t="shared" si="512"/>
        <v>0</v>
      </c>
      <c r="GJ127" s="1154">
        <f t="shared" si="513"/>
        <v>0</v>
      </c>
      <c r="GK127" s="1154">
        <f t="shared" si="514"/>
        <v>0</v>
      </c>
      <c r="GL127" s="1174">
        <f t="shared" si="515"/>
        <v>2388880.2817124729</v>
      </c>
    </row>
    <row r="128" spans="1:194">
      <c r="B128" s="1290" t="str">
        <f t="shared" si="443"/>
        <v>SACDUOSWBWIF</v>
      </c>
      <c r="C128" s="1289" t="str">
        <f>Prop2021DUOSTariffs!C58</f>
        <v>West Wide Inclining Fixed</v>
      </c>
      <c r="D128" s="1113" t="str">
        <f>Prop2021DUOSTariffs!D58</f>
        <v>West Wide Inclining Fixed</v>
      </c>
      <c r="E128" s="1113" t="str">
        <f>Prop2021DUOSTariffs!E58</f>
        <v>SAC</v>
      </c>
      <c r="F128" s="1113" t="str">
        <f>Prop2021DUOSTariffs!F58</f>
        <v>SACS Bus</v>
      </c>
      <c r="G128" s="1113" t="str">
        <f>Prop2021DUOSTariffs!G58</f>
        <v>West</v>
      </c>
      <c r="H128" s="1113" t="str">
        <f>Prop2021DUOSTariffs!H58</f>
        <v>WBWIF</v>
      </c>
      <c r="I128" s="1114" t="s">
        <v>798</v>
      </c>
      <c r="J128" s="1114" t="s">
        <v>934</v>
      </c>
      <c r="K128" s="1270"/>
      <c r="L128" s="1112"/>
      <c r="M128" s="1233">
        <v>0</v>
      </c>
      <c r="N128" s="1233">
        <v>0.11554</v>
      </c>
      <c r="O128" s="1233">
        <v>0.12554000000000001</v>
      </c>
      <c r="P128" s="1233">
        <v>0.13554000000000002</v>
      </c>
      <c r="Q128" s="1233">
        <v>0.14554000000000003</v>
      </c>
      <c r="R128" s="1007"/>
      <c r="S128" s="1007"/>
      <c r="T128" s="1007"/>
      <c r="U128" s="1007"/>
      <c r="V128" s="1007"/>
      <c r="W128" s="1007"/>
      <c r="X128" s="1007"/>
      <c r="Y128" s="1007"/>
      <c r="Z128" s="1007"/>
      <c r="AA128" s="1007"/>
      <c r="AB128" s="1007"/>
      <c r="AC128" s="1007"/>
      <c r="AD128" s="1007"/>
      <c r="AE128" s="1007"/>
      <c r="AF128" s="1007"/>
      <c r="AG128" s="1007"/>
      <c r="AH128" s="1007"/>
      <c r="AI128" s="1233">
        <v>1.2756140745273986E-2</v>
      </c>
      <c r="AJ128" s="1005"/>
      <c r="AK128" s="1005"/>
      <c r="AL128" s="1005"/>
      <c r="AM128" s="1005"/>
      <c r="AN128" s="1005"/>
      <c r="AO128" s="1005"/>
      <c r="AP128" s="1005"/>
      <c r="AQ128" s="1005"/>
      <c r="AR128" s="1005"/>
      <c r="AS128" s="1005"/>
      <c r="AT128" s="1005"/>
      <c r="AU128" s="1006"/>
      <c r="AV128" s="1270"/>
      <c r="AW128" s="1006"/>
      <c r="AX128" s="1480">
        <v>0</v>
      </c>
      <c r="AY128" s="1480">
        <v>0.109</v>
      </c>
      <c r="AZ128" s="1480">
        <v>0.11899999999999999</v>
      </c>
      <c r="BA128" s="1480">
        <v>0.129</v>
      </c>
      <c r="BB128" s="1480">
        <v>0.13900000000000001</v>
      </c>
      <c r="BC128" s="1006"/>
      <c r="BD128" s="1006"/>
      <c r="BE128" s="1006"/>
      <c r="BF128" s="1006"/>
      <c r="BG128" s="1006"/>
      <c r="BH128" s="1006"/>
      <c r="BI128" s="1006"/>
      <c r="BJ128" s="1006"/>
      <c r="BK128" s="1006"/>
      <c r="BL128" s="1006"/>
      <c r="BM128" s="1006"/>
      <c r="BN128" s="1006"/>
      <c r="BO128" s="1006"/>
      <c r="BP128" s="1006"/>
      <c r="BQ128" s="1006"/>
      <c r="BR128" s="1006"/>
      <c r="BS128" s="1006"/>
      <c r="BT128" s="1480">
        <v>9.9886311700567981E-3</v>
      </c>
      <c r="BU128" s="1006"/>
      <c r="BV128" s="1006"/>
      <c r="BW128" s="1006"/>
      <c r="BX128" s="1006"/>
      <c r="BY128" s="1006"/>
      <c r="BZ128" s="1006"/>
      <c r="CA128" s="1006"/>
      <c r="CB128" s="1006"/>
      <c r="CC128" s="1006"/>
      <c r="CD128" s="1006"/>
      <c r="CE128" s="1006"/>
      <c r="CF128" s="1006"/>
      <c r="CG128" s="1209"/>
      <c r="CH128" s="1112"/>
      <c r="CI128" s="1236">
        <v>0</v>
      </c>
      <c r="CJ128" s="1236">
        <v>336.76304260092314</v>
      </c>
      <c r="CK128" s="1236">
        <v>634.42289532419602</v>
      </c>
      <c r="CL128" s="1236">
        <v>314.39592825323678</v>
      </c>
      <c r="CM128" s="1236">
        <v>278.57564148445783</v>
      </c>
      <c r="CN128" s="1007"/>
      <c r="CO128" s="1007"/>
      <c r="CP128" s="1007"/>
      <c r="CQ128" s="1007"/>
      <c r="CR128" s="1007"/>
      <c r="CS128" s="1007"/>
      <c r="CT128" s="1007"/>
      <c r="CU128" s="1007"/>
      <c r="CV128" s="1007"/>
      <c r="CW128" s="1007"/>
      <c r="CX128" s="1007"/>
      <c r="CY128" s="1007"/>
      <c r="CZ128" s="1007"/>
      <c r="DA128" s="1007"/>
      <c r="DB128" s="1007"/>
      <c r="DC128" s="1007"/>
      <c r="DD128" s="1007"/>
      <c r="DE128" s="1236">
        <v>71855304.414024115</v>
      </c>
      <c r="DF128" s="1007"/>
      <c r="DG128" s="1007"/>
      <c r="DH128" s="1007"/>
      <c r="DI128" s="1006"/>
      <c r="DJ128" s="1006"/>
      <c r="DK128" s="1007"/>
      <c r="DL128" s="1007"/>
      <c r="DM128" s="1007"/>
      <c r="DN128" s="1007"/>
      <c r="DO128" s="1112"/>
      <c r="DP128" s="1112"/>
      <c r="DQ128" s="1270"/>
      <c r="DR128" s="1154">
        <f t="shared" si="444"/>
        <v>0</v>
      </c>
      <c r="DS128" s="1154">
        <f t="shared" si="445"/>
        <v>0</v>
      </c>
      <c r="DT128" s="1154">
        <f t="shared" si="446"/>
        <v>14202.004708870392</v>
      </c>
      <c r="DU128" s="1154">
        <f t="shared" si="447"/>
        <v>29070.589351834846</v>
      </c>
      <c r="DV128" s="1154">
        <f t="shared" si="448"/>
        <v>15553.826802136959</v>
      </c>
      <c r="DW128" s="1154">
        <f t="shared" si="449"/>
        <v>14798.523084501521</v>
      </c>
      <c r="DX128" s="1154">
        <f t="shared" si="450"/>
        <v>0</v>
      </c>
      <c r="DY128" s="1154">
        <f t="shared" si="451"/>
        <v>0</v>
      </c>
      <c r="DZ128" s="1154">
        <f t="shared" si="452"/>
        <v>0</v>
      </c>
      <c r="EA128" s="1154">
        <f t="shared" si="453"/>
        <v>0</v>
      </c>
      <c r="EB128" s="1154">
        <f t="shared" si="454"/>
        <v>0</v>
      </c>
      <c r="EC128" s="1154">
        <f t="shared" si="455"/>
        <v>0</v>
      </c>
      <c r="ED128" s="1154">
        <f t="shared" si="456"/>
        <v>0</v>
      </c>
      <c r="EE128" s="1154">
        <f t="shared" si="457"/>
        <v>0</v>
      </c>
      <c r="EF128" s="1154">
        <f t="shared" si="458"/>
        <v>0</v>
      </c>
      <c r="EG128" s="1154">
        <f t="shared" si="459"/>
        <v>0</v>
      </c>
      <c r="EH128" s="1154">
        <f t="shared" si="460"/>
        <v>0</v>
      </c>
      <c r="EI128" s="1154">
        <f t="shared" si="461"/>
        <v>0</v>
      </c>
      <c r="EJ128" s="1154">
        <f t="shared" si="462"/>
        <v>0</v>
      </c>
      <c r="EK128" s="1154">
        <f t="shared" si="463"/>
        <v>0</v>
      </c>
      <c r="EL128" s="1154">
        <f t="shared" si="464"/>
        <v>0</v>
      </c>
      <c r="EM128" s="1154">
        <f t="shared" si="465"/>
        <v>0</v>
      </c>
      <c r="EN128" s="1154">
        <f t="shared" si="466"/>
        <v>0</v>
      </c>
      <c r="EO128" s="1154">
        <f t="shared" si="467"/>
        <v>916596.37639979867</v>
      </c>
      <c r="EP128" s="1154">
        <f t="shared" si="468"/>
        <v>0</v>
      </c>
      <c r="EQ128" s="1154">
        <f t="shared" si="469"/>
        <v>0</v>
      </c>
      <c r="ER128" s="1154">
        <f t="shared" si="470"/>
        <v>0</v>
      </c>
      <c r="ES128" s="1154">
        <f t="shared" si="471"/>
        <v>0</v>
      </c>
      <c r="ET128" s="1154">
        <f t="shared" si="472"/>
        <v>0</v>
      </c>
      <c r="EU128" s="1154">
        <f t="shared" si="473"/>
        <v>0</v>
      </c>
      <c r="EV128" s="1154">
        <f t="shared" si="474"/>
        <v>0</v>
      </c>
      <c r="EW128" s="1154">
        <f t="shared" si="475"/>
        <v>0</v>
      </c>
      <c r="EX128" s="1154">
        <f t="shared" si="476"/>
        <v>0</v>
      </c>
      <c r="EY128" s="1154">
        <f t="shared" si="477"/>
        <v>0</v>
      </c>
      <c r="EZ128" s="1154">
        <f t="shared" si="478"/>
        <v>0</v>
      </c>
      <c r="FA128" s="1174">
        <f t="shared" si="479"/>
        <v>990221.32034714241</v>
      </c>
      <c r="FC128" s="1154">
        <f t="shared" si="480"/>
        <v>0</v>
      </c>
      <c r="FD128" s="1154">
        <f t="shared" si="481"/>
        <v>0</v>
      </c>
      <c r="FE128" s="1154">
        <f t="shared" si="482"/>
        <v>13398.117649877728</v>
      </c>
      <c r="FF128" s="1154">
        <f t="shared" si="483"/>
        <v>27556.158458406451</v>
      </c>
      <c r="FG128" s="1154">
        <f t="shared" si="484"/>
        <v>14803.332281803654</v>
      </c>
      <c r="FH128" s="1154">
        <f t="shared" si="485"/>
        <v>14133.535170713969</v>
      </c>
      <c r="FI128" s="1154">
        <f t="shared" si="486"/>
        <v>0</v>
      </c>
      <c r="FJ128" s="1154">
        <f t="shared" si="487"/>
        <v>0</v>
      </c>
      <c r="FK128" s="1154">
        <f t="shared" si="488"/>
        <v>0</v>
      </c>
      <c r="FL128" s="1154">
        <f t="shared" si="489"/>
        <v>0</v>
      </c>
      <c r="FM128" s="1154">
        <f t="shared" si="490"/>
        <v>0</v>
      </c>
      <c r="FN128" s="1154">
        <f t="shared" si="491"/>
        <v>0</v>
      </c>
      <c r="FO128" s="1154">
        <f t="shared" si="492"/>
        <v>0</v>
      </c>
      <c r="FP128" s="1154">
        <f t="shared" si="493"/>
        <v>0</v>
      </c>
      <c r="FQ128" s="1154">
        <f t="shared" si="494"/>
        <v>0</v>
      </c>
      <c r="FR128" s="1154">
        <f t="shared" si="495"/>
        <v>0</v>
      </c>
      <c r="FS128" s="1154">
        <f t="shared" si="496"/>
        <v>0</v>
      </c>
      <c r="FT128" s="1154">
        <f t="shared" si="497"/>
        <v>0</v>
      </c>
      <c r="FU128" s="1154">
        <f t="shared" si="498"/>
        <v>0</v>
      </c>
      <c r="FV128" s="1154">
        <f t="shared" si="499"/>
        <v>0</v>
      </c>
      <c r="FW128" s="1154">
        <f t="shared" si="500"/>
        <v>0</v>
      </c>
      <c r="FX128" s="1154">
        <f t="shared" si="501"/>
        <v>0</v>
      </c>
      <c r="FY128" s="1154">
        <f t="shared" si="502"/>
        <v>0</v>
      </c>
      <c r="FZ128" s="1154">
        <f t="shared" si="503"/>
        <v>717736.13340384106</v>
      </c>
      <c r="GA128" s="1154">
        <f t="shared" si="504"/>
        <v>0</v>
      </c>
      <c r="GB128" s="1154">
        <f t="shared" si="505"/>
        <v>0</v>
      </c>
      <c r="GC128" s="1154">
        <f t="shared" si="506"/>
        <v>0</v>
      </c>
      <c r="GD128" s="1154">
        <f t="shared" si="507"/>
        <v>0</v>
      </c>
      <c r="GE128" s="1154">
        <f t="shared" si="508"/>
        <v>0</v>
      </c>
      <c r="GF128" s="1154">
        <f t="shared" si="509"/>
        <v>0</v>
      </c>
      <c r="GG128" s="1154">
        <f t="shared" si="510"/>
        <v>0</v>
      </c>
      <c r="GH128" s="1154">
        <f t="shared" si="511"/>
        <v>0</v>
      </c>
      <c r="GI128" s="1154">
        <f t="shared" si="512"/>
        <v>0</v>
      </c>
      <c r="GJ128" s="1154">
        <f t="shared" si="513"/>
        <v>0</v>
      </c>
      <c r="GK128" s="1154">
        <f t="shared" si="514"/>
        <v>0</v>
      </c>
      <c r="GL128" s="1174">
        <f t="shared" si="515"/>
        <v>787627.27696464281</v>
      </c>
    </row>
    <row r="129" spans="2:194">
      <c r="B129" s="1290" t="str">
        <f t="shared" si="443"/>
        <v>SACDUOSWBWIF</v>
      </c>
      <c r="C129" s="1289" t="str">
        <f>C128</f>
        <v>West Wide Inclining Fixed</v>
      </c>
      <c r="D129" s="1113" t="str">
        <f t="shared" ref="D129:H129" si="526">D128</f>
        <v>West Wide Inclining Fixed</v>
      </c>
      <c r="E129" s="1113" t="str">
        <f t="shared" si="526"/>
        <v>SAC</v>
      </c>
      <c r="F129" s="1113" t="str">
        <f t="shared" si="526"/>
        <v>SACS Bus</v>
      </c>
      <c r="G129" s="1113" t="str">
        <f t="shared" si="526"/>
        <v>West</v>
      </c>
      <c r="H129" s="1113" t="str">
        <f t="shared" si="526"/>
        <v>WBWIF</v>
      </c>
      <c r="I129" s="1114" t="s">
        <v>752</v>
      </c>
      <c r="J129" s="1114" t="s">
        <v>934</v>
      </c>
      <c r="K129" s="1270"/>
      <c r="L129" s="1112"/>
      <c r="M129" s="1233">
        <v>0</v>
      </c>
      <c r="N129" s="1233">
        <v>0.18482999999999999</v>
      </c>
      <c r="O129" s="1233">
        <v>0.19483</v>
      </c>
      <c r="P129" s="1233">
        <v>0.20483000000000001</v>
      </c>
      <c r="Q129" s="1233">
        <v>0.21483000000000002</v>
      </c>
      <c r="R129" s="1007"/>
      <c r="S129" s="1007"/>
      <c r="T129" s="1007"/>
      <c r="U129" s="1007"/>
      <c r="V129" s="1007"/>
      <c r="W129" s="1007"/>
      <c r="X129" s="1007"/>
      <c r="Y129" s="1007"/>
      <c r="Z129" s="1007"/>
      <c r="AA129" s="1007"/>
      <c r="AB129" s="1007"/>
      <c r="AC129" s="1007"/>
      <c r="AD129" s="1007"/>
      <c r="AE129" s="1007"/>
      <c r="AF129" s="1007"/>
      <c r="AG129" s="1007"/>
      <c r="AH129" s="1007"/>
      <c r="AI129" s="1233">
        <v>1.3580961239131205E-2</v>
      </c>
      <c r="AJ129" s="1005"/>
      <c r="AK129" s="1005"/>
      <c r="AL129" s="1005"/>
      <c r="AM129" s="1005"/>
      <c r="AN129" s="1005"/>
      <c r="AO129" s="1005"/>
      <c r="AP129" s="1005"/>
      <c r="AQ129" s="1005"/>
      <c r="AR129" s="1005"/>
      <c r="AS129" s="1005"/>
      <c r="AT129" s="1005"/>
      <c r="AU129" s="1006"/>
      <c r="AV129" s="1270"/>
      <c r="AW129" s="1006"/>
      <c r="AX129" s="1480">
        <v>0</v>
      </c>
      <c r="AY129" s="1480">
        <v>0.183</v>
      </c>
      <c r="AZ129" s="1480">
        <v>0.193</v>
      </c>
      <c r="BA129" s="1480">
        <v>0.20300000000000001</v>
      </c>
      <c r="BB129" s="1480">
        <v>0.21300000000000002</v>
      </c>
      <c r="BC129" s="1006"/>
      <c r="BD129" s="1006"/>
      <c r="BE129" s="1006"/>
      <c r="BF129" s="1006"/>
      <c r="BG129" s="1006"/>
      <c r="BH129" s="1006"/>
      <c r="BI129" s="1006"/>
      <c r="BJ129" s="1006"/>
      <c r="BK129" s="1006"/>
      <c r="BL129" s="1006"/>
      <c r="BM129" s="1006"/>
      <c r="BN129" s="1006"/>
      <c r="BO129" s="1006"/>
      <c r="BP129" s="1006"/>
      <c r="BQ129" s="1006"/>
      <c r="BR129" s="1006"/>
      <c r="BS129" s="1006"/>
      <c r="BT129" s="1480">
        <v>1.3226767178995704E-2</v>
      </c>
      <c r="BU129" s="1006"/>
      <c r="BV129" s="1006"/>
      <c r="BW129" s="1006"/>
      <c r="BX129" s="1006"/>
      <c r="BY129" s="1006"/>
      <c r="BZ129" s="1006"/>
      <c r="CA129" s="1006"/>
      <c r="CB129" s="1006"/>
      <c r="CC129" s="1006"/>
      <c r="CD129" s="1006"/>
      <c r="CE129" s="1006"/>
      <c r="CF129" s="1006"/>
      <c r="CG129" s="1209"/>
      <c r="CH129" s="1112"/>
      <c r="CI129" s="1236">
        <v>0</v>
      </c>
      <c r="CJ129" s="1236">
        <v>91.561092576229427</v>
      </c>
      <c r="CK129" s="1236">
        <v>172.49058270356352</v>
      </c>
      <c r="CL129" s="1236">
        <v>85.479791577062102</v>
      </c>
      <c r="CM129" s="1236">
        <v>75.740763898689806</v>
      </c>
      <c r="CN129" s="1007"/>
      <c r="CO129" s="1007"/>
      <c r="CP129" s="1007"/>
      <c r="CQ129" s="1007"/>
      <c r="CR129" s="1007"/>
      <c r="CS129" s="1007"/>
      <c r="CT129" s="1007"/>
      <c r="CU129" s="1007"/>
      <c r="CV129" s="1007"/>
      <c r="CW129" s="1007"/>
      <c r="CX129" s="1007"/>
      <c r="CY129" s="1007"/>
      <c r="CZ129" s="1007"/>
      <c r="DA129" s="1007"/>
      <c r="DB129" s="1007"/>
      <c r="DC129" s="1007"/>
      <c r="DD129" s="1007"/>
      <c r="DE129" s="1236">
        <v>19536437.63499948</v>
      </c>
      <c r="DF129" s="1007"/>
      <c r="DG129" s="1007"/>
      <c r="DH129" s="1007"/>
      <c r="DI129" s="1006"/>
      <c r="DJ129" s="1006"/>
      <c r="DK129" s="1007"/>
      <c r="DL129" s="1007"/>
      <c r="DM129" s="1007"/>
      <c r="DN129" s="1007"/>
      <c r="DO129" s="1112"/>
      <c r="DP129" s="1112"/>
      <c r="DQ129" s="1270"/>
      <c r="DR129" s="1154">
        <f t="shared" si="444"/>
        <v>0</v>
      </c>
      <c r="DS129" s="1154">
        <f t="shared" si="445"/>
        <v>0</v>
      </c>
      <c r="DT129" s="1154">
        <f t="shared" si="446"/>
        <v>6176.9814104155375</v>
      </c>
      <c r="DU129" s="1154">
        <f t="shared" si="447"/>
        <v>12266.314183269378</v>
      </c>
      <c r="DV129" s="1154">
        <f t="shared" si="448"/>
        <v>6390.7213836863157</v>
      </c>
      <c r="DW129" s="1154">
        <f t="shared" si="449"/>
        <v>5939.0567325497695</v>
      </c>
      <c r="DX129" s="1154">
        <f t="shared" si="450"/>
        <v>0</v>
      </c>
      <c r="DY129" s="1154">
        <f t="shared" si="451"/>
        <v>0</v>
      </c>
      <c r="DZ129" s="1154">
        <f t="shared" si="452"/>
        <v>0</v>
      </c>
      <c r="EA129" s="1154">
        <f t="shared" si="453"/>
        <v>0</v>
      </c>
      <c r="EB129" s="1154">
        <f t="shared" si="454"/>
        <v>0</v>
      </c>
      <c r="EC129" s="1154">
        <f t="shared" si="455"/>
        <v>0</v>
      </c>
      <c r="ED129" s="1154">
        <f t="shared" si="456"/>
        <v>0</v>
      </c>
      <c r="EE129" s="1154">
        <f t="shared" si="457"/>
        <v>0</v>
      </c>
      <c r="EF129" s="1154">
        <f t="shared" si="458"/>
        <v>0</v>
      </c>
      <c r="EG129" s="1154">
        <f t="shared" si="459"/>
        <v>0</v>
      </c>
      <c r="EH129" s="1154">
        <f t="shared" si="460"/>
        <v>0</v>
      </c>
      <c r="EI129" s="1154">
        <f t="shared" si="461"/>
        <v>0</v>
      </c>
      <c r="EJ129" s="1154">
        <f t="shared" si="462"/>
        <v>0</v>
      </c>
      <c r="EK129" s="1154">
        <f t="shared" si="463"/>
        <v>0</v>
      </c>
      <c r="EL129" s="1154">
        <f t="shared" si="464"/>
        <v>0</v>
      </c>
      <c r="EM129" s="1154">
        <f t="shared" si="465"/>
        <v>0</v>
      </c>
      <c r="EN129" s="1154">
        <f t="shared" si="466"/>
        <v>0</v>
      </c>
      <c r="EO129" s="1154">
        <f t="shared" si="467"/>
        <v>265323.60227163206</v>
      </c>
      <c r="EP129" s="1154">
        <f t="shared" si="468"/>
        <v>0</v>
      </c>
      <c r="EQ129" s="1154">
        <f t="shared" si="469"/>
        <v>0</v>
      </c>
      <c r="ER129" s="1154">
        <f t="shared" si="470"/>
        <v>0</v>
      </c>
      <c r="ES129" s="1154">
        <f t="shared" si="471"/>
        <v>0</v>
      </c>
      <c r="ET129" s="1154">
        <f t="shared" si="472"/>
        <v>0</v>
      </c>
      <c r="EU129" s="1154">
        <f t="shared" si="473"/>
        <v>0</v>
      </c>
      <c r="EV129" s="1154">
        <f t="shared" si="474"/>
        <v>0</v>
      </c>
      <c r="EW129" s="1154">
        <f t="shared" si="475"/>
        <v>0</v>
      </c>
      <c r="EX129" s="1154">
        <f t="shared" si="476"/>
        <v>0</v>
      </c>
      <c r="EY129" s="1154">
        <f t="shared" si="477"/>
        <v>0</v>
      </c>
      <c r="EZ129" s="1154">
        <f t="shared" si="478"/>
        <v>0</v>
      </c>
      <c r="FA129" s="1174">
        <f t="shared" si="479"/>
        <v>296096.67598155304</v>
      </c>
      <c r="FC129" s="1154">
        <f t="shared" si="480"/>
        <v>0</v>
      </c>
      <c r="FD129" s="1154">
        <f t="shared" si="481"/>
        <v>0</v>
      </c>
      <c r="FE129" s="1154">
        <f t="shared" si="482"/>
        <v>6115.8231786292436</v>
      </c>
      <c r="FF129" s="1154">
        <f t="shared" si="483"/>
        <v>12151.099098552533</v>
      </c>
      <c r="FG129" s="1154">
        <f t="shared" si="484"/>
        <v>6333.6251569024171</v>
      </c>
      <c r="FH129" s="1154">
        <f t="shared" si="485"/>
        <v>5888.465689303639</v>
      </c>
      <c r="FI129" s="1154">
        <f t="shared" si="486"/>
        <v>0</v>
      </c>
      <c r="FJ129" s="1154">
        <f t="shared" si="487"/>
        <v>0</v>
      </c>
      <c r="FK129" s="1154">
        <f t="shared" si="488"/>
        <v>0</v>
      </c>
      <c r="FL129" s="1154">
        <f t="shared" si="489"/>
        <v>0</v>
      </c>
      <c r="FM129" s="1154">
        <f t="shared" si="490"/>
        <v>0</v>
      </c>
      <c r="FN129" s="1154">
        <f t="shared" si="491"/>
        <v>0</v>
      </c>
      <c r="FO129" s="1154">
        <f t="shared" si="492"/>
        <v>0</v>
      </c>
      <c r="FP129" s="1154">
        <f t="shared" si="493"/>
        <v>0</v>
      </c>
      <c r="FQ129" s="1154">
        <f t="shared" si="494"/>
        <v>0</v>
      </c>
      <c r="FR129" s="1154">
        <f t="shared" si="495"/>
        <v>0</v>
      </c>
      <c r="FS129" s="1154">
        <f t="shared" si="496"/>
        <v>0</v>
      </c>
      <c r="FT129" s="1154">
        <f t="shared" si="497"/>
        <v>0</v>
      </c>
      <c r="FU129" s="1154">
        <f t="shared" si="498"/>
        <v>0</v>
      </c>
      <c r="FV129" s="1154">
        <f t="shared" si="499"/>
        <v>0</v>
      </c>
      <c r="FW129" s="1154">
        <f t="shared" si="500"/>
        <v>0</v>
      </c>
      <c r="FX129" s="1154">
        <f t="shared" si="501"/>
        <v>0</v>
      </c>
      <c r="FY129" s="1154">
        <f t="shared" si="502"/>
        <v>0</v>
      </c>
      <c r="FZ129" s="1154">
        <f t="shared" si="503"/>
        <v>258403.91210510756</v>
      </c>
      <c r="GA129" s="1154">
        <f t="shared" si="504"/>
        <v>0</v>
      </c>
      <c r="GB129" s="1154">
        <f t="shared" si="505"/>
        <v>0</v>
      </c>
      <c r="GC129" s="1154">
        <f t="shared" si="506"/>
        <v>0</v>
      </c>
      <c r="GD129" s="1154">
        <f t="shared" si="507"/>
        <v>0</v>
      </c>
      <c r="GE129" s="1154">
        <f t="shared" si="508"/>
        <v>0</v>
      </c>
      <c r="GF129" s="1154">
        <f t="shared" si="509"/>
        <v>0</v>
      </c>
      <c r="GG129" s="1154">
        <f t="shared" si="510"/>
        <v>0</v>
      </c>
      <c r="GH129" s="1154">
        <f t="shared" si="511"/>
        <v>0</v>
      </c>
      <c r="GI129" s="1154">
        <f t="shared" si="512"/>
        <v>0</v>
      </c>
      <c r="GJ129" s="1154">
        <f t="shared" si="513"/>
        <v>0</v>
      </c>
      <c r="GK129" s="1154">
        <f t="shared" si="514"/>
        <v>0</v>
      </c>
      <c r="GL129" s="1174">
        <f t="shared" si="515"/>
        <v>288892.92522849538</v>
      </c>
    </row>
    <row r="130" spans="2:194">
      <c r="B130" s="1290" t="str">
        <f t="shared" si="443"/>
        <v>SACDUOSWBWIF</v>
      </c>
      <c r="C130" s="1289" t="str">
        <f t="shared" ref="C130:H130" si="527">C129</f>
        <v>West Wide Inclining Fixed</v>
      </c>
      <c r="D130" s="1113" t="str">
        <f t="shared" si="527"/>
        <v>West Wide Inclining Fixed</v>
      </c>
      <c r="E130" s="1113" t="str">
        <f t="shared" si="527"/>
        <v>SAC</v>
      </c>
      <c r="F130" s="1113" t="str">
        <f t="shared" si="527"/>
        <v>SACS Bus</v>
      </c>
      <c r="G130" s="1113" t="str">
        <f t="shared" si="527"/>
        <v>West</v>
      </c>
      <c r="H130" s="1113" t="str">
        <f t="shared" si="527"/>
        <v>WBWIF</v>
      </c>
      <c r="I130" s="1114" t="s">
        <v>759</v>
      </c>
      <c r="J130" s="1114" t="s">
        <v>934</v>
      </c>
      <c r="K130" s="1270"/>
      <c r="L130" s="1112"/>
      <c r="M130" s="1233">
        <v>0</v>
      </c>
      <c r="N130" s="1233">
        <v>0.29199999999999998</v>
      </c>
      <c r="O130" s="1233">
        <v>0.30199999999999999</v>
      </c>
      <c r="P130" s="1233">
        <v>0.312</v>
      </c>
      <c r="Q130" s="1233">
        <v>0.32200000000000001</v>
      </c>
      <c r="R130" s="1007"/>
      <c r="S130" s="1007"/>
      <c r="T130" s="1007"/>
      <c r="U130" s="1007"/>
      <c r="V130" s="1007"/>
      <c r="W130" s="1007"/>
      <c r="X130" s="1007"/>
      <c r="Y130" s="1007"/>
      <c r="Z130" s="1007"/>
      <c r="AA130" s="1007"/>
      <c r="AB130" s="1007"/>
      <c r="AC130" s="1007"/>
      <c r="AD130" s="1007"/>
      <c r="AE130" s="1007"/>
      <c r="AF130" s="1007"/>
      <c r="AG130" s="1007"/>
      <c r="AH130" s="1007"/>
      <c r="AI130" s="1233">
        <v>1.4121324100704864E-2</v>
      </c>
      <c r="AJ130" s="1005"/>
      <c r="AK130" s="1005"/>
      <c r="AL130" s="1005"/>
      <c r="AM130" s="1005"/>
      <c r="AN130" s="1005"/>
      <c r="AO130" s="1005"/>
      <c r="AP130" s="1005"/>
      <c r="AQ130" s="1005"/>
      <c r="AR130" s="1005"/>
      <c r="AS130" s="1005"/>
      <c r="AT130" s="1005"/>
      <c r="AU130" s="1006"/>
      <c r="AV130" s="1270"/>
      <c r="AW130" s="1006"/>
      <c r="AX130" s="1480">
        <v>0</v>
      </c>
      <c r="AY130" s="1480">
        <v>0.29199999999999998</v>
      </c>
      <c r="AZ130" s="1480">
        <v>0.30199999999999999</v>
      </c>
      <c r="BA130" s="1480">
        <v>0.312</v>
      </c>
      <c r="BB130" s="1480">
        <v>0.32200000000000001</v>
      </c>
      <c r="BC130" s="1006"/>
      <c r="BD130" s="1006"/>
      <c r="BE130" s="1006"/>
      <c r="BF130" s="1006"/>
      <c r="BG130" s="1006"/>
      <c r="BH130" s="1006"/>
      <c r="BI130" s="1006"/>
      <c r="BJ130" s="1006"/>
      <c r="BK130" s="1006"/>
      <c r="BL130" s="1006"/>
      <c r="BM130" s="1006"/>
      <c r="BN130" s="1006"/>
      <c r="BO130" s="1006"/>
      <c r="BP130" s="1006"/>
      <c r="BQ130" s="1006"/>
      <c r="BR130" s="1006"/>
      <c r="BS130" s="1006"/>
      <c r="BT130" s="1480">
        <v>1.4772535454067301E-2</v>
      </c>
      <c r="BU130" s="1006"/>
      <c r="BV130" s="1006"/>
      <c r="BW130" s="1006"/>
      <c r="BX130" s="1006"/>
      <c r="BY130" s="1006"/>
      <c r="BZ130" s="1006"/>
      <c r="CA130" s="1006"/>
      <c r="CB130" s="1006"/>
      <c r="CC130" s="1006"/>
      <c r="CD130" s="1006"/>
      <c r="CE130" s="1006"/>
      <c r="CF130" s="1006"/>
      <c r="CG130" s="1209"/>
      <c r="CH130" s="1112"/>
      <c r="CI130" s="1236">
        <v>0</v>
      </c>
      <c r="CJ130" s="1236">
        <v>22.005864822847361</v>
      </c>
      <c r="CK130" s="1236">
        <v>41.456521972240395</v>
      </c>
      <c r="CL130" s="1236">
        <v>20.544280169701082</v>
      </c>
      <c r="CM130" s="1236">
        <v>18.203594616852307</v>
      </c>
      <c r="CN130" s="1007"/>
      <c r="CO130" s="1007"/>
      <c r="CP130" s="1007"/>
      <c r="CQ130" s="1007"/>
      <c r="CR130" s="1007"/>
      <c r="CS130" s="1007"/>
      <c r="CT130" s="1007"/>
      <c r="CU130" s="1007"/>
      <c r="CV130" s="1007"/>
      <c r="CW130" s="1007"/>
      <c r="CX130" s="1007"/>
      <c r="CY130" s="1007"/>
      <c r="CZ130" s="1007"/>
      <c r="DA130" s="1007"/>
      <c r="DB130" s="1007"/>
      <c r="DC130" s="1007"/>
      <c r="DD130" s="1007"/>
      <c r="DE130" s="1236">
        <v>4695402.7482564002</v>
      </c>
      <c r="DF130" s="1007"/>
      <c r="DG130" s="1007"/>
      <c r="DH130" s="1007"/>
      <c r="DI130" s="1006"/>
      <c r="DJ130" s="1006"/>
      <c r="DK130" s="1007"/>
      <c r="DL130" s="1007"/>
      <c r="DM130" s="1007"/>
      <c r="DN130" s="1007"/>
      <c r="DO130" s="1112"/>
      <c r="DP130" s="1112"/>
      <c r="DQ130" s="1270"/>
      <c r="DR130" s="1154">
        <f t="shared" si="444"/>
        <v>0</v>
      </c>
      <c r="DS130" s="1154">
        <f t="shared" si="445"/>
        <v>0</v>
      </c>
      <c r="DT130" s="1154">
        <f t="shared" si="446"/>
        <v>2345.3850728190714</v>
      </c>
      <c r="DU130" s="1154">
        <f t="shared" si="447"/>
        <v>4569.7524170000588</v>
      </c>
      <c r="DV130" s="1154">
        <f t="shared" si="448"/>
        <v>2339.582625725559</v>
      </c>
      <c r="DW130" s="1154">
        <f t="shared" si="449"/>
        <v>2139.4684753186516</v>
      </c>
      <c r="DX130" s="1154">
        <f t="shared" si="450"/>
        <v>0</v>
      </c>
      <c r="DY130" s="1154">
        <f t="shared" si="451"/>
        <v>0</v>
      </c>
      <c r="DZ130" s="1154">
        <f t="shared" si="452"/>
        <v>0</v>
      </c>
      <c r="EA130" s="1154">
        <f t="shared" si="453"/>
        <v>0</v>
      </c>
      <c r="EB130" s="1154">
        <f t="shared" si="454"/>
        <v>0</v>
      </c>
      <c r="EC130" s="1154">
        <f t="shared" si="455"/>
        <v>0</v>
      </c>
      <c r="ED130" s="1154">
        <f t="shared" si="456"/>
        <v>0</v>
      </c>
      <c r="EE130" s="1154">
        <f t="shared" si="457"/>
        <v>0</v>
      </c>
      <c r="EF130" s="1154">
        <f t="shared" si="458"/>
        <v>0</v>
      </c>
      <c r="EG130" s="1154">
        <f t="shared" si="459"/>
        <v>0</v>
      </c>
      <c r="EH130" s="1154">
        <f t="shared" si="460"/>
        <v>0</v>
      </c>
      <c r="EI130" s="1154">
        <f t="shared" si="461"/>
        <v>0</v>
      </c>
      <c r="EJ130" s="1154">
        <f t="shared" si="462"/>
        <v>0</v>
      </c>
      <c r="EK130" s="1154">
        <f t="shared" si="463"/>
        <v>0</v>
      </c>
      <c r="EL130" s="1154">
        <f t="shared" si="464"/>
        <v>0</v>
      </c>
      <c r="EM130" s="1154">
        <f t="shared" si="465"/>
        <v>0</v>
      </c>
      <c r="EN130" s="1154">
        <f t="shared" si="466"/>
        <v>0</v>
      </c>
      <c r="EO130" s="1154">
        <f t="shared" si="467"/>
        <v>66305.303991468958</v>
      </c>
      <c r="EP130" s="1154">
        <f t="shared" si="468"/>
        <v>0</v>
      </c>
      <c r="EQ130" s="1154">
        <f t="shared" si="469"/>
        <v>0</v>
      </c>
      <c r="ER130" s="1154">
        <f t="shared" si="470"/>
        <v>0</v>
      </c>
      <c r="ES130" s="1154">
        <f t="shared" si="471"/>
        <v>0</v>
      </c>
      <c r="ET130" s="1154">
        <f t="shared" si="472"/>
        <v>0</v>
      </c>
      <c r="EU130" s="1154">
        <f t="shared" si="473"/>
        <v>0</v>
      </c>
      <c r="EV130" s="1154">
        <f t="shared" si="474"/>
        <v>0</v>
      </c>
      <c r="EW130" s="1154">
        <f t="shared" si="475"/>
        <v>0</v>
      </c>
      <c r="EX130" s="1154">
        <f t="shared" si="476"/>
        <v>0</v>
      </c>
      <c r="EY130" s="1154">
        <f t="shared" si="477"/>
        <v>0</v>
      </c>
      <c r="EZ130" s="1154">
        <f t="shared" si="478"/>
        <v>0</v>
      </c>
      <c r="FA130" s="1174">
        <f t="shared" si="479"/>
        <v>77699.492582332299</v>
      </c>
      <c r="FC130" s="1154">
        <f t="shared" si="480"/>
        <v>0</v>
      </c>
      <c r="FD130" s="1154">
        <f t="shared" si="481"/>
        <v>0</v>
      </c>
      <c r="FE130" s="1154">
        <f t="shared" si="482"/>
        <v>2345.3850728190714</v>
      </c>
      <c r="FF130" s="1154">
        <f t="shared" si="483"/>
        <v>4569.7524170000588</v>
      </c>
      <c r="FG130" s="1154">
        <f t="shared" si="484"/>
        <v>2339.582625725559</v>
      </c>
      <c r="FH130" s="1154">
        <f t="shared" si="485"/>
        <v>2139.4684753186516</v>
      </c>
      <c r="FI130" s="1154">
        <f t="shared" si="486"/>
        <v>0</v>
      </c>
      <c r="FJ130" s="1154">
        <f t="shared" si="487"/>
        <v>0</v>
      </c>
      <c r="FK130" s="1154">
        <f t="shared" si="488"/>
        <v>0</v>
      </c>
      <c r="FL130" s="1154">
        <f t="shared" si="489"/>
        <v>0</v>
      </c>
      <c r="FM130" s="1154">
        <f t="shared" si="490"/>
        <v>0</v>
      </c>
      <c r="FN130" s="1154">
        <f t="shared" si="491"/>
        <v>0</v>
      </c>
      <c r="FO130" s="1154">
        <f t="shared" si="492"/>
        <v>0</v>
      </c>
      <c r="FP130" s="1154">
        <f t="shared" si="493"/>
        <v>0</v>
      </c>
      <c r="FQ130" s="1154">
        <f t="shared" si="494"/>
        <v>0</v>
      </c>
      <c r="FR130" s="1154">
        <f t="shared" si="495"/>
        <v>0</v>
      </c>
      <c r="FS130" s="1154">
        <f t="shared" si="496"/>
        <v>0</v>
      </c>
      <c r="FT130" s="1154">
        <f t="shared" si="497"/>
        <v>0</v>
      </c>
      <c r="FU130" s="1154">
        <f t="shared" si="498"/>
        <v>0</v>
      </c>
      <c r="FV130" s="1154">
        <f t="shared" si="499"/>
        <v>0</v>
      </c>
      <c r="FW130" s="1154">
        <f t="shared" si="500"/>
        <v>0</v>
      </c>
      <c r="FX130" s="1154">
        <f t="shared" si="501"/>
        <v>0</v>
      </c>
      <c r="FY130" s="1154">
        <f t="shared" si="502"/>
        <v>0</v>
      </c>
      <c r="FZ130" s="1154">
        <f t="shared" si="503"/>
        <v>69363.003569742708</v>
      </c>
      <c r="GA130" s="1154">
        <f t="shared" si="504"/>
        <v>0</v>
      </c>
      <c r="GB130" s="1154">
        <f t="shared" si="505"/>
        <v>0</v>
      </c>
      <c r="GC130" s="1154">
        <f t="shared" si="506"/>
        <v>0</v>
      </c>
      <c r="GD130" s="1154">
        <f t="shared" si="507"/>
        <v>0</v>
      </c>
      <c r="GE130" s="1154">
        <f t="shared" si="508"/>
        <v>0</v>
      </c>
      <c r="GF130" s="1154">
        <f t="shared" si="509"/>
        <v>0</v>
      </c>
      <c r="GG130" s="1154">
        <f t="shared" si="510"/>
        <v>0</v>
      </c>
      <c r="GH130" s="1154">
        <f t="shared" si="511"/>
        <v>0</v>
      </c>
      <c r="GI130" s="1154">
        <f t="shared" si="512"/>
        <v>0</v>
      </c>
      <c r="GJ130" s="1154">
        <f t="shared" si="513"/>
        <v>0</v>
      </c>
      <c r="GK130" s="1154">
        <f t="shared" si="514"/>
        <v>0</v>
      </c>
      <c r="GL130" s="1174">
        <f t="shared" si="515"/>
        <v>80757.19216060605</v>
      </c>
    </row>
    <row r="131" spans="2:194">
      <c r="B131" s="1290" t="str">
        <f t="shared" si="443"/>
        <v>SACDUOSMBWIF</v>
      </c>
      <c r="C131" s="1289" t="str">
        <f>Prop2021DUOSTariffs!C59</f>
        <v>MtIsa Wide Inclining Fixed</v>
      </c>
      <c r="D131" s="1113" t="str">
        <f>Prop2021DUOSTariffs!D59</f>
        <v>MtIsa Wide Inclining Fixed</v>
      </c>
      <c r="E131" s="1113" t="str">
        <f>Prop2021DUOSTariffs!E59</f>
        <v>SAC</v>
      </c>
      <c r="F131" s="1113" t="str">
        <f>Prop2021DUOSTariffs!F59</f>
        <v>SACS Bus</v>
      </c>
      <c r="G131" s="1113" t="str">
        <f>Prop2021DUOSTariffs!G59</f>
        <v>Mt Isa</v>
      </c>
      <c r="H131" s="1113" t="str">
        <f>Prop2021DUOSTariffs!H59</f>
        <v>MBWIF</v>
      </c>
      <c r="I131" s="1114" t="s">
        <v>761</v>
      </c>
      <c r="J131" s="1114" t="s">
        <v>934</v>
      </c>
      <c r="K131" s="1270"/>
      <c r="L131" s="1112"/>
      <c r="M131" s="1233">
        <v>0</v>
      </c>
      <c r="N131" s="1233">
        <v>0.1515</v>
      </c>
      <c r="O131" s="1233">
        <v>0.1615</v>
      </c>
      <c r="P131" s="1233">
        <v>0.17150000000000001</v>
      </c>
      <c r="Q131" s="1233">
        <v>0.18150000000000002</v>
      </c>
      <c r="R131" s="1007"/>
      <c r="S131" s="1007"/>
      <c r="T131" s="1007"/>
      <c r="U131" s="1007"/>
      <c r="V131" s="1007"/>
      <c r="W131" s="1007"/>
      <c r="X131" s="1007"/>
      <c r="Y131" s="1007"/>
      <c r="Z131" s="1007"/>
      <c r="AA131" s="1007"/>
      <c r="AB131" s="1007"/>
      <c r="AC131" s="1007"/>
      <c r="AD131" s="1007"/>
      <c r="AE131" s="1007"/>
      <c r="AF131" s="1007"/>
      <c r="AG131" s="1007"/>
      <c r="AH131" s="1007"/>
      <c r="AI131" s="1233">
        <v>7.7007696230930512E-4</v>
      </c>
      <c r="AJ131" s="1005"/>
      <c r="AK131" s="1005"/>
      <c r="AL131" s="1005"/>
      <c r="AM131" s="1005"/>
      <c r="AN131" s="1005"/>
      <c r="AO131" s="1005"/>
      <c r="AP131" s="1005"/>
      <c r="AQ131" s="1005"/>
      <c r="AR131" s="1005"/>
      <c r="AS131" s="1005"/>
      <c r="AT131" s="1005"/>
      <c r="AU131" s="1006"/>
      <c r="AV131" s="1270"/>
      <c r="AW131" s="1006"/>
      <c r="AX131" s="1480">
        <v>0</v>
      </c>
      <c r="AY131" s="1480">
        <v>0.15</v>
      </c>
      <c r="AZ131" s="1480">
        <v>0.16</v>
      </c>
      <c r="BA131" s="1480">
        <v>0.17</v>
      </c>
      <c r="BB131" s="1480">
        <v>0.18000000000000002</v>
      </c>
      <c r="BC131" s="1006"/>
      <c r="BD131" s="1006"/>
      <c r="BE131" s="1006"/>
      <c r="BF131" s="1006"/>
      <c r="BG131" s="1006"/>
      <c r="BH131" s="1006"/>
      <c r="BI131" s="1006"/>
      <c r="BJ131" s="1006"/>
      <c r="BK131" s="1006"/>
      <c r="BL131" s="1006"/>
      <c r="BM131" s="1006"/>
      <c r="BN131" s="1006"/>
      <c r="BO131" s="1006"/>
      <c r="BP131" s="1006"/>
      <c r="BQ131" s="1006"/>
      <c r="BR131" s="1006"/>
      <c r="BS131" s="1006"/>
      <c r="BT131" s="1480">
        <v>6.1898319928093575E-4</v>
      </c>
      <c r="BU131" s="1006"/>
      <c r="BV131" s="1006"/>
      <c r="BW131" s="1006"/>
      <c r="BX131" s="1006"/>
      <c r="BY131" s="1006"/>
      <c r="BZ131" s="1006"/>
      <c r="CA131" s="1006"/>
      <c r="CB131" s="1006"/>
      <c r="CC131" s="1006"/>
      <c r="CD131" s="1006"/>
      <c r="CE131" s="1006"/>
      <c r="CF131" s="1006"/>
      <c r="CG131" s="1209"/>
      <c r="CH131" s="1112"/>
      <c r="CI131" s="1236">
        <v>0</v>
      </c>
      <c r="CJ131" s="1236">
        <v>16.059999999999999</v>
      </c>
      <c r="CK131" s="1236">
        <v>75.569999999999993</v>
      </c>
      <c r="CL131" s="1236">
        <v>129.41</v>
      </c>
      <c r="CM131" s="1236">
        <v>156.80000000000001</v>
      </c>
      <c r="CN131" s="1007"/>
      <c r="CO131" s="1007"/>
      <c r="CP131" s="1007"/>
      <c r="CQ131" s="1007"/>
      <c r="CR131" s="1007"/>
      <c r="CS131" s="1007"/>
      <c r="CT131" s="1007"/>
      <c r="CU131" s="1007"/>
      <c r="CV131" s="1007"/>
      <c r="CW131" s="1007"/>
      <c r="CX131" s="1007"/>
      <c r="CY131" s="1007"/>
      <c r="CZ131" s="1007"/>
      <c r="DA131" s="1007"/>
      <c r="DB131" s="1007"/>
      <c r="DC131" s="1007"/>
      <c r="DD131" s="1007"/>
      <c r="DE131" s="1236">
        <v>20235179.090699997</v>
      </c>
      <c r="DF131" s="1007"/>
      <c r="DG131" s="1007"/>
      <c r="DH131" s="1007"/>
      <c r="DI131" s="1006"/>
      <c r="DJ131" s="1006"/>
      <c r="DK131" s="1007"/>
      <c r="DL131" s="1007"/>
      <c r="DM131" s="1007"/>
      <c r="DN131" s="1007"/>
      <c r="DO131" s="1112"/>
      <c r="DP131" s="1112"/>
      <c r="DQ131" s="1270"/>
      <c r="DR131" s="1154">
        <f t="shared" si="444"/>
        <v>0</v>
      </c>
      <c r="DS131" s="1154">
        <f t="shared" si="445"/>
        <v>0</v>
      </c>
      <c r="DT131" s="1154">
        <f t="shared" si="446"/>
        <v>888.07784999999978</v>
      </c>
      <c r="DU131" s="1154">
        <f t="shared" si="447"/>
        <v>4454.6625749999994</v>
      </c>
      <c r="DV131" s="1154">
        <f t="shared" si="448"/>
        <v>8100.742475</v>
      </c>
      <c r="DW131" s="1154">
        <f t="shared" si="449"/>
        <v>10387.608000000002</v>
      </c>
      <c r="DX131" s="1154">
        <f t="shared" si="450"/>
        <v>0</v>
      </c>
      <c r="DY131" s="1154">
        <f t="shared" si="451"/>
        <v>0</v>
      </c>
      <c r="DZ131" s="1154">
        <f t="shared" si="452"/>
        <v>0</v>
      </c>
      <c r="EA131" s="1154">
        <f t="shared" si="453"/>
        <v>0</v>
      </c>
      <c r="EB131" s="1154">
        <f t="shared" si="454"/>
        <v>0</v>
      </c>
      <c r="EC131" s="1154">
        <f t="shared" si="455"/>
        <v>0</v>
      </c>
      <c r="ED131" s="1154">
        <f t="shared" si="456"/>
        <v>0</v>
      </c>
      <c r="EE131" s="1154">
        <f t="shared" si="457"/>
        <v>0</v>
      </c>
      <c r="EF131" s="1154">
        <f t="shared" si="458"/>
        <v>0</v>
      </c>
      <c r="EG131" s="1154">
        <f t="shared" si="459"/>
        <v>0</v>
      </c>
      <c r="EH131" s="1154">
        <f t="shared" si="460"/>
        <v>0</v>
      </c>
      <c r="EI131" s="1154">
        <f t="shared" si="461"/>
        <v>0</v>
      </c>
      <c r="EJ131" s="1154">
        <f t="shared" si="462"/>
        <v>0</v>
      </c>
      <c r="EK131" s="1154">
        <f t="shared" si="463"/>
        <v>0</v>
      </c>
      <c r="EL131" s="1154">
        <f t="shared" si="464"/>
        <v>0</v>
      </c>
      <c r="EM131" s="1154">
        <f t="shared" si="465"/>
        <v>0</v>
      </c>
      <c r="EN131" s="1154">
        <f t="shared" si="466"/>
        <v>0</v>
      </c>
      <c r="EO131" s="1154">
        <f t="shared" si="467"/>
        <v>15582.64524595102</v>
      </c>
      <c r="EP131" s="1154">
        <f t="shared" si="468"/>
        <v>0</v>
      </c>
      <c r="EQ131" s="1154">
        <f t="shared" si="469"/>
        <v>0</v>
      </c>
      <c r="ER131" s="1154">
        <f t="shared" si="470"/>
        <v>0</v>
      </c>
      <c r="ES131" s="1154">
        <f t="shared" si="471"/>
        <v>0</v>
      </c>
      <c r="ET131" s="1154">
        <f t="shared" si="472"/>
        <v>0</v>
      </c>
      <c r="EU131" s="1154">
        <f t="shared" si="473"/>
        <v>0</v>
      </c>
      <c r="EV131" s="1154">
        <f t="shared" si="474"/>
        <v>0</v>
      </c>
      <c r="EW131" s="1154">
        <f t="shared" si="475"/>
        <v>0</v>
      </c>
      <c r="EX131" s="1154">
        <f t="shared" si="476"/>
        <v>0</v>
      </c>
      <c r="EY131" s="1154">
        <f t="shared" si="477"/>
        <v>0</v>
      </c>
      <c r="EZ131" s="1154">
        <f t="shared" si="478"/>
        <v>0</v>
      </c>
      <c r="FA131" s="1174">
        <f t="shared" si="479"/>
        <v>39413.736145951021</v>
      </c>
      <c r="FC131" s="1154">
        <f t="shared" si="480"/>
        <v>0</v>
      </c>
      <c r="FD131" s="1154">
        <f t="shared" si="481"/>
        <v>0</v>
      </c>
      <c r="FE131" s="1154">
        <f t="shared" si="482"/>
        <v>879.28499999999997</v>
      </c>
      <c r="FF131" s="1154">
        <f t="shared" si="483"/>
        <v>4413.2879999999996</v>
      </c>
      <c r="FG131" s="1154">
        <f t="shared" si="484"/>
        <v>8029.8905000000004</v>
      </c>
      <c r="FH131" s="1154">
        <f t="shared" si="485"/>
        <v>10301.760000000002</v>
      </c>
      <c r="FI131" s="1154">
        <f t="shared" si="486"/>
        <v>0</v>
      </c>
      <c r="FJ131" s="1154">
        <f t="shared" si="487"/>
        <v>0</v>
      </c>
      <c r="FK131" s="1154">
        <f t="shared" si="488"/>
        <v>0</v>
      </c>
      <c r="FL131" s="1154">
        <f t="shared" si="489"/>
        <v>0</v>
      </c>
      <c r="FM131" s="1154">
        <f t="shared" si="490"/>
        <v>0</v>
      </c>
      <c r="FN131" s="1154">
        <f t="shared" si="491"/>
        <v>0</v>
      </c>
      <c r="FO131" s="1154">
        <f t="shared" si="492"/>
        <v>0</v>
      </c>
      <c r="FP131" s="1154">
        <f t="shared" si="493"/>
        <v>0</v>
      </c>
      <c r="FQ131" s="1154">
        <f t="shared" si="494"/>
        <v>0</v>
      </c>
      <c r="FR131" s="1154">
        <f t="shared" si="495"/>
        <v>0</v>
      </c>
      <c r="FS131" s="1154">
        <f t="shared" si="496"/>
        <v>0</v>
      </c>
      <c r="FT131" s="1154">
        <f t="shared" si="497"/>
        <v>0</v>
      </c>
      <c r="FU131" s="1154">
        <f t="shared" si="498"/>
        <v>0</v>
      </c>
      <c r="FV131" s="1154">
        <f t="shared" si="499"/>
        <v>0</v>
      </c>
      <c r="FW131" s="1154">
        <f t="shared" si="500"/>
        <v>0</v>
      </c>
      <c r="FX131" s="1154">
        <f t="shared" si="501"/>
        <v>0</v>
      </c>
      <c r="FY131" s="1154">
        <f t="shared" si="502"/>
        <v>0</v>
      </c>
      <c r="FZ131" s="1154">
        <f t="shared" si="503"/>
        <v>12525.23589158418</v>
      </c>
      <c r="GA131" s="1154">
        <f t="shared" si="504"/>
        <v>0</v>
      </c>
      <c r="GB131" s="1154">
        <f t="shared" si="505"/>
        <v>0</v>
      </c>
      <c r="GC131" s="1154">
        <f t="shared" si="506"/>
        <v>0</v>
      </c>
      <c r="GD131" s="1154">
        <f t="shared" si="507"/>
        <v>0</v>
      </c>
      <c r="GE131" s="1154">
        <f t="shared" si="508"/>
        <v>0</v>
      </c>
      <c r="GF131" s="1154">
        <f t="shared" si="509"/>
        <v>0</v>
      </c>
      <c r="GG131" s="1154">
        <f t="shared" si="510"/>
        <v>0</v>
      </c>
      <c r="GH131" s="1154">
        <f t="shared" si="511"/>
        <v>0</v>
      </c>
      <c r="GI131" s="1154">
        <f t="shared" si="512"/>
        <v>0</v>
      </c>
      <c r="GJ131" s="1154">
        <f t="shared" si="513"/>
        <v>0</v>
      </c>
      <c r="GK131" s="1154">
        <f t="shared" si="514"/>
        <v>0</v>
      </c>
      <c r="GL131" s="1174">
        <f t="shared" si="515"/>
        <v>36149.459391584183</v>
      </c>
    </row>
    <row r="132" spans="2:194">
      <c r="B132" s="1290" t="str">
        <f t="shared" si="443"/>
        <v>SACDUOSEBTOUE</v>
      </c>
      <c r="C132" s="1289" t="str">
        <f>Prop2021DUOSTariffs!C60</f>
        <v>East SAC&lt;100MWhpa Business TOU Energy</v>
      </c>
      <c r="D132" s="1113" t="str">
        <f>Prop2021DUOSTariffs!D60</f>
        <v>East SAC&lt;100MWhpa Business TOU Energy</v>
      </c>
      <c r="E132" s="1113" t="str">
        <f>Prop2021DUOSTariffs!E60</f>
        <v>SAC</v>
      </c>
      <c r="F132" s="1113" t="str">
        <f>Prop2021DUOSTariffs!F60</f>
        <v>SACS Bus</v>
      </c>
      <c r="G132" s="1113" t="str">
        <f>Prop2021DUOSTariffs!G60</f>
        <v>East</v>
      </c>
      <c r="H132" s="1113" t="str">
        <f>Prop2021DUOSTariffs!H60</f>
        <v>EBTOUE</v>
      </c>
      <c r="I132" s="1114" t="s">
        <v>798</v>
      </c>
      <c r="J132" s="1114" t="s">
        <v>934</v>
      </c>
      <c r="K132" s="1270"/>
      <c r="L132" s="1112"/>
      <c r="M132" s="1233">
        <v>0.10462200000000002</v>
      </c>
      <c r="N132" s="1233">
        <v>0.11462200000000002</v>
      </c>
      <c r="O132" s="1233">
        <v>0.12462200000000001</v>
      </c>
      <c r="P132" s="1233">
        <v>0.13462200000000002</v>
      </c>
      <c r="Q132" s="1233">
        <v>0.14462200000000003</v>
      </c>
      <c r="R132" s="1007"/>
      <c r="S132" s="1007"/>
      <c r="T132" s="1007"/>
      <c r="U132" s="1007"/>
      <c r="V132" s="1007"/>
      <c r="W132" s="1007"/>
      <c r="X132" s="1007"/>
      <c r="Y132" s="1007"/>
      <c r="Z132" s="1007"/>
      <c r="AA132" s="1007"/>
      <c r="AB132" s="1007"/>
      <c r="AC132" s="1007"/>
      <c r="AD132" s="1007"/>
      <c r="AE132" s="1007"/>
      <c r="AF132" s="1007"/>
      <c r="AG132" s="1007"/>
      <c r="AH132" s="1007"/>
      <c r="AI132" s="1005"/>
      <c r="AJ132" s="1005"/>
      <c r="AK132" s="1005"/>
      <c r="AL132" s="1005"/>
      <c r="AM132" s="1233">
        <v>1.3666609294320137E-2</v>
      </c>
      <c r="AN132" s="1233">
        <v>1.194771034212145E-2</v>
      </c>
      <c r="AO132" s="1233">
        <v>1.194771034212145E-2</v>
      </c>
      <c r="AP132" s="1005"/>
      <c r="AQ132" s="1005"/>
      <c r="AR132" s="1005"/>
      <c r="AS132" s="1005"/>
      <c r="AT132" s="1005"/>
      <c r="AU132" s="1006"/>
      <c r="AV132" s="1270"/>
      <c r="AW132" s="1006"/>
      <c r="AX132" s="1480">
        <v>9.870000000000001E-2</v>
      </c>
      <c r="AY132" s="1480">
        <v>0.1087</v>
      </c>
      <c r="AZ132" s="1480">
        <v>0.1187</v>
      </c>
      <c r="BA132" s="1480">
        <v>0.12870000000000001</v>
      </c>
      <c r="BB132" s="1480">
        <v>0.13870000000000002</v>
      </c>
      <c r="BC132" s="1006"/>
      <c r="BD132" s="1006"/>
      <c r="BE132" s="1006"/>
      <c r="BF132" s="1006"/>
      <c r="BG132" s="1006"/>
      <c r="BH132" s="1006"/>
      <c r="BI132" s="1006"/>
      <c r="BJ132" s="1006"/>
      <c r="BK132" s="1006"/>
      <c r="BL132" s="1006"/>
      <c r="BM132" s="1006"/>
      <c r="BN132" s="1006"/>
      <c r="BO132" s="1006"/>
      <c r="BP132" s="1006"/>
      <c r="BQ132" s="1006"/>
      <c r="BR132" s="1006"/>
      <c r="BS132" s="1006"/>
      <c r="BT132" s="1006"/>
      <c r="BU132" s="1006"/>
      <c r="BV132" s="1006"/>
      <c r="BW132" s="1006"/>
      <c r="BX132" s="1480">
        <v>1.355E-2</v>
      </c>
      <c r="BY132" s="1480">
        <v>9.447673504219033E-3</v>
      </c>
      <c r="BZ132" s="1480">
        <v>9.447673504219033E-3</v>
      </c>
      <c r="CA132" s="1006"/>
      <c r="CB132" s="1006"/>
      <c r="CC132" s="1006"/>
      <c r="CD132" s="1006"/>
      <c r="CE132" s="1006"/>
      <c r="CF132" s="1006"/>
      <c r="CG132" s="1209"/>
      <c r="CH132" s="1112"/>
      <c r="CI132" s="1236">
        <v>204.43693908572496</v>
      </c>
      <c r="CJ132" s="1236">
        <v>42.275555566688652</v>
      </c>
      <c r="CK132" s="1236">
        <v>20.664885473060224</v>
      </c>
      <c r="CL132" s="1236">
        <v>12.234181704769412</v>
      </c>
      <c r="CM132" s="1236">
        <v>6.20353353275922</v>
      </c>
      <c r="CN132" s="1007"/>
      <c r="CO132" s="1007"/>
      <c r="CP132" s="1007"/>
      <c r="CQ132" s="1007"/>
      <c r="CR132" s="1007"/>
      <c r="CS132" s="1007"/>
      <c r="CT132" s="1007"/>
      <c r="CU132" s="1007"/>
      <c r="CV132" s="1007"/>
      <c r="CW132" s="1007"/>
      <c r="CX132" s="1007"/>
      <c r="CY132" s="1007"/>
      <c r="CZ132" s="1007"/>
      <c r="DA132" s="1007"/>
      <c r="DB132" s="1007"/>
      <c r="DC132" s="1007"/>
      <c r="DD132" s="1007"/>
      <c r="DE132" s="1007"/>
      <c r="DF132" s="1112"/>
      <c r="DG132" s="1007"/>
      <c r="DH132" s="1007"/>
      <c r="DI132" s="1236">
        <v>954868.15299967967</v>
      </c>
      <c r="DJ132" s="1236">
        <v>2524663.9122884348</v>
      </c>
      <c r="DK132" s="1236">
        <v>2290145.9720635195</v>
      </c>
      <c r="DL132" s="1007"/>
      <c r="DM132" s="1007"/>
      <c r="DN132" s="1007"/>
      <c r="DO132" s="1112"/>
      <c r="DP132" s="1112"/>
      <c r="DQ132" s="1270"/>
      <c r="DR132" s="1154">
        <f t="shared" si="444"/>
        <v>0</v>
      </c>
      <c r="DS132" s="1154">
        <f t="shared" si="445"/>
        <v>7806.839525974754</v>
      </c>
      <c r="DT132" s="1154">
        <f t="shared" si="446"/>
        <v>1768.6836865102202</v>
      </c>
      <c r="DU132" s="1154">
        <f t="shared" si="447"/>
        <v>939.98426545965458</v>
      </c>
      <c r="DV132" s="1154">
        <f t="shared" si="448"/>
        <v>601.15135345270585</v>
      </c>
      <c r="DW132" s="1154">
        <f t="shared" si="449"/>
        <v>327.466110699767</v>
      </c>
      <c r="DX132" s="1154">
        <f t="shared" si="450"/>
        <v>0</v>
      </c>
      <c r="DY132" s="1154">
        <f t="shared" si="451"/>
        <v>0</v>
      </c>
      <c r="DZ132" s="1154">
        <f t="shared" si="452"/>
        <v>0</v>
      </c>
      <c r="EA132" s="1154">
        <f t="shared" si="453"/>
        <v>0</v>
      </c>
      <c r="EB132" s="1154">
        <f t="shared" si="454"/>
        <v>0</v>
      </c>
      <c r="EC132" s="1154">
        <f t="shared" si="455"/>
        <v>0</v>
      </c>
      <c r="ED132" s="1154">
        <f t="shared" si="456"/>
        <v>0</v>
      </c>
      <c r="EE132" s="1154">
        <f t="shared" si="457"/>
        <v>0</v>
      </c>
      <c r="EF132" s="1154">
        <f t="shared" si="458"/>
        <v>0</v>
      </c>
      <c r="EG132" s="1154">
        <f t="shared" si="459"/>
        <v>0</v>
      </c>
      <c r="EH132" s="1154">
        <f t="shared" si="460"/>
        <v>0</v>
      </c>
      <c r="EI132" s="1154">
        <f t="shared" si="461"/>
        <v>0</v>
      </c>
      <c r="EJ132" s="1154">
        <f t="shared" si="462"/>
        <v>0</v>
      </c>
      <c r="EK132" s="1154">
        <f t="shared" si="463"/>
        <v>0</v>
      </c>
      <c r="EL132" s="1154">
        <f t="shared" si="464"/>
        <v>0</v>
      </c>
      <c r="EM132" s="1154">
        <f t="shared" si="465"/>
        <v>0</v>
      </c>
      <c r="EN132" s="1154">
        <f t="shared" si="466"/>
        <v>0</v>
      </c>
      <c r="EO132" s="1154">
        <f t="shared" si="467"/>
        <v>0</v>
      </c>
      <c r="EP132" s="1154">
        <f t="shared" si="468"/>
        <v>0</v>
      </c>
      <c r="EQ132" s="1154">
        <f t="shared" si="469"/>
        <v>0</v>
      </c>
      <c r="ER132" s="1154">
        <f t="shared" si="470"/>
        <v>0</v>
      </c>
      <c r="ES132" s="1154">
        <f t="shared" si="471"/>
        <v>13049.809974635726</v>
      </c>
      <c r="ET132" s="1154">
        <f t="shared" si="472"/>
        <v>30163.953135229334</v>
      </c>
      <c r="EU132" s="1154">
        <f t="shared" si="473"/>
        <v>27362.000715391092</v>
      </c>
      <c r="EV132" s="1154">
        <f t="shared" si="474"/>
        <v>0</v>
      </c>
      <c r="EW132" s="1154">
        <f t="shared" si="475"/>
        <v>0</v>
      </c>
      <c r="EX132" s="1154">
        <f t="shared" si="476"/>
        <v>0</v>
      </c>
      <c r="EY132" s="1154">
        <f t="shared" si="477"/>
        <v>0</v>
      </c>
      <c r="EZ132" s="1154">
        <f t="shared" si="478"/>
        <v>0</v>
      </c>
      <c r="FA132" s="1174">
        <f t="shared" si="479"/>
        <v>82019.888767353259</v>
      </c>
      <c r="FC132" s="1154">
        <f t="shared" si="480"/>
        <v>0</v>
      </c>
      <c r="FD132" s="1154">
        <f t="shared" si="481"/>
        <v>7364.9429490327857</v>
      </c>
      <c r="FE132" s="1154">
        <f t="shared" si="482"/>
        <v>1677.3038048861558</v>
      </c>
      <c r="FF132" s="1154">
        <f t="shared" si="483"/>
        <v>895.31649556307082</v>
      </c>
      <c r="FG132" s="1154">
        <f t="shared" si="484"/>
        <v>574.70680267239561</v>
      </c>
      <c r="FH132" s="1154">
        <f t="shared" si="485"/>
        <v>314.05698686270193</v>
      </c>
      <c r="FI132" s="1154">
        <f t="shared" si="486"/>
        <v>0</v>
      </c>
      <c r="FJ132" s="1154">
        <f t="shared" si="487"/>
        <v>0</v>
      </c>
      <c r="FK132" s="1154">
        <f t="shared" si="488"/>
        <v>0</v>
      </c>
      <c r="FL132" s="1154">
        <f t="shared" si="489"/>
        <v>0</v>
      </c>
      <c r="FM132" s="1154">
        <f t="shared" si="490"/>
        <v>0</v>
      </c>
      <c r="FN132" s="1154">
        <f t="shared" si="491"/>
        <v>0</v>
      </c>
      <c r="FO132" s="1154">
        <f t="shared" si="492"/>
        <v>0</v>
      </c>
      <c r="FP132" s="1154">
        <f t="shared" si="493"/>
        <v>0</v>
      </c>
      <c r="FQ132" s="1154">
        <f t="shared" si="494"/>
        <v>0</v>
      </c>
      <c r="FR132" s="1154">
        <f t="shared" si="495"/>
        <v>0</v>
      </c>
      <c r="FS132" s="1154">
        <f t="shared" si="496"/>
        <v>0</v>
      </c>
      <c r="FT132" s="1154">
        <f t="shared" si="497"/>
        <v>0</v>
      </c>
      <c r="FU132" s="1154">
        <f t="shared" si="498"/>
        <v>0</v>
      </c>
      <c r="FV132" s="1154">
        <f t="shared" si="499"/>
        <v>0</v>
      </c>
      <c r="FW132" s="1154">
        <f t="shared" si="500"/>
        <v>0</v>
      </c>
      <c r="FX132" s="1154">
        <f t="shared" si="501"/>
        <v>0</v>
      </c>
      <c r="FY132" s="1154">
        <f t="shared" si="502"/>
        <v>0</v>
      </c>
      <c r="FZ132" s="1154">
        <f t="shared" si="503"/>
        <v>0</v>
      </c>
      <c r="GA132" s="1154">
        <f t="shared" si="504"/>
        <v>0</v>
      </c>
      <c r="GB132" s="1154">
        <f t="shared" si="505"/>
        <v>0</v>
      </c>
      <c r="GC132" s="1154">
        <f t="shared" si="506"/>
        <v>0</v>
      </c>
      <c r="GD132" s="1154">
        <f t="shared" si="507"/>
        <v>12938.463473145659</v>
      </c>
      <c r="GE132" s="1154">
        <f t="shared" si="508"/>
        <v>23852.200351185409</v>
      </c>
      <c r="GF132" s="1154">
        <f t="shared" si="509"/>
        <v>21636.551421058455</v>
      </c>
      <c r="GG132" s="1154">
        <f t="shared" si="510"/>
        <v>0</v>
      </c>
      <c r="GH132" s="1154">
        <f t="shared" si="511"/>
        <v>0</v>
      </c>
      <c r="GI132" s="1154">
        <f t="shared" si="512"/>
        <v>0</v>
      </c>
      <c r="GJ132" s="1154">
        <f t="shared" si="513"/>
        <v>0</v>
      </c>
      <c r="GK132" s="1154">
        <f t="shared" si="514"/>
        <v>0</v>
      </c>
      <c r="GL132" s="1174">
        <f t="shared" si="515"/>
        <v>69253.542284406634</v>
      </c>
    </row>
    <row r="133" spans="2:194">
      <c r="B133" s="1290" t="str">
        <f t="shared" si="443"/>
        <v>SACDUOSEBTOUE</v>
      </c>
      <c r="C133" s="1289" t="str">
        <f>C132</f>
        <v>East SAC&lt;100MWhpa Business TOU Energy</v>
      </c>
      <c r="D133" s="1113" t="str">
        <f t="shared" ref="D133:H134" si="528">D132</f>
        <v>East SAC&lt;100MWhpa Business TOU Energy</v>
      </c>
      <c r="E133" s="1113" t="str">
        <f t="shared" si="528"/>
        <v>SAC</v>
      </c>
      <c r="F133" s="1113" t="str">
        <f t="shared" si="528"/>
        <v>SACS Bus</v>
      </c>
      <c r="G133" s="1113" t="str">
        <f t="shared" si="528"/>
        <v>East</v>
      </c>
      <c r="H133" s="1113" t="str">
        <f t="shared" si="528"/>
        <v>EBTOUE</v>
      </c>
      <c r="I133" s="1114" t="s">
        <v>752</v>
      </c>
      <c r="J133" s="1114" t="s">
        <v>934</v>
      </c>
      <c r="K133" s="1270"/>
      <c r="L133" s="1112"/>
      <c r="M133" s="1233">
        <v>0.17445225</v>
      </c>
      <c r="N133" s="1233">
        <v>0.18445225000000001</v>
      </c>
      <c r="O133" s="1233">
        <v>0.19445225000000002</v>
      </c>
      <c r="P133" s="1233">
        <v>0.20445225000000003</v>
      </c>
      <c r="Q133" s="1233">
        <v>0.21445225000000004</v>
      </c>
      <c r="R133" s="1007"/>
      <c r="S133" s="1007"/>
      <c r="T133" s="1007"/>
      <c r="U133" s="1007"/>
      <c r="V133" s="1007"/>
      <c r="W133" s="1007"/>
      <c r="X133" s="1007"/>
      <c r="Y133" s="1007"/>
      <c r="Z133" s="1007"/>
      <c r="AA133" s="1007"/>
      <c r="AB133" s="1007"/>
      <c r="AC133" s="1007"/>
      <c r="AD133" s="1007"/>
      <c r="AE133" s="1007"/>
      <c r="AF133" s="1007"/>
      <c r="AG133" s="1007"/>
      <c r="AH133" s="1007"/>
      <c r="AI133" s="1005"/>
      <c r="AJ133" s="1005"/>
      <c r="AK133" s="1005"/>
      <c r="AL133" s="1005"/>
      <c r="AM133" s="1233">
        <v>3.0609999999999998E-2</v>
      </c>
      <c r="AN133" s="1233">
        <v>1.0041821672276165E-2</v>
      </c>
      <c r="AO133" s="1233">
        <v>1.0041821672276165E-2</v>
      </c>
      <c r="AP133" s="1005"/>
      <c r="AQ133" s="1005"/>
      <c r="AR133" s="1005"/>
      <c r="AS133" s="1005"/>
      <c r="AT133" s="1005"/>
      <c r="AU133" s="1006"/>
      <c r="AV133" s="1270"/>
      <c r="AW133" s="1006"/>
      <c r="AX133" s="1480">
        <v>0.17272499999999999</v>
      </c>
      <c r="AY133" s="1480">
        <v>0.182725</v>
      </c>
      <c r="AZ133" s="1480">
        <v>0.19272500000000001</v>
      </c>
      <c r="BA133" s="1480">
        <v>0.20272500000000002</v>
      </c>
      <c r="BB133" s="1480">
        <v>0.21272500000000003</v>
      </c>
      <c r="BC133" s="1006"/>
      <c r="BD133" s="1006"/>
      <c r="BE133" s="1006"/>
      <c r="BF133" s="1006"/>
      <c r="BG133" s="1006"/>
      <c r="BH133" s="1006"/>
      <c r="BI133" s="1006"/>
      <c r="BJ133" s="1006"/>
      <c r="BK133" s="1006"/>
      <c r="BL133" s="1006"/>
      <c r="BM133" s="1006"/>
      <c r="BN133" s="1006"/>
      <c r="BO133" s="1006"/>
      <c r="BP133" s="1006"/>
      <c r="BQ133" s="1006"/>
      <c r="BR133" s="1006"/>
      <c r="BS133" s="1006"/>
      <c r="BT133" s="1006"/>
      <c r="BU133" s="1006"/>
      <c r="BV133" s="1006"/>
      <c r="BW133" s="1006"/>
      <c r="BX133" s="1480">
        <v>3.0609999999999998E-2</v>
      </c>
      <c r="BY133" s="1480">
        <v>1.083430824957703E-2</v>
      </c>
      <c r="BZ133" s="1480">
        <v>1.083430824957703E-2</v>
      </c>
      <c r="CA133" s="1006"/>
      <c r="CB133" s="1006"/>
      <c r="CC133" s="1006"/>
      <c r="CD133" s="1006"/>
      <c r="CE133" s="1006"/>
      <c r="CF133" s="1006"/>
      <c r="CG133" s="1209"/>
      <c r="CH133" s="1112"/>
      <c r="CI133" s="1236">
        <v>119.50620456274252</v>
      </c>
      <c r="CJ133" s="1236">
        <v>24.712711969522232</v>
      </c>
      <c r="CK133" s="1236">
        <v>12.079920789528309</v>
      </c>
      <c r="CL133" s="1236">
        <v>7.1516460186036186</v>
      </c>
      <c r="CM133" s="1236">
        <v>3.6263541740217851</v>
      </c>
      <c r="CN133" s="1007"/>
      <c r="CO133" s="1007"/>
      <c r="CP133" s="1007"/>
      <c r="CQ133" s="1007"/>
      <c r="CR133" s="1007"/>
      <c r="CS133" s="1007"/>
      <c r="CT133" s="1007"/>
      <c r="CU133" s="1007"/>
      <c r="CV133" s="1007"/>
      <c r="CW133" s="1007"/>
      <c r="CX133" s="1007"/>
      <c r="CY133" s="1007"/>
      <c r="CZ133" s="1007"/>
      <c r="DA133" s="1007"/>
      <c r="DB133" s="1007"/>
      <c r="DC133" s="1007"/>
      <c r="DD133" s="1007"/>
      <c r="DE133" s="1007"/>
      <c r="DF133" s="1112"/>
      <c r="DG133" s="1007"/>
      <c r="DH133" s="1007"/>
      <c r="DI133" s="1236">
        <v>558180.28450806474</v>
      </c>
      <c r="DJ133" s="1236">
        <v>1475824.2972303578</v>
      </c>
      <c r="DK133" s="1236">
        <v>1338733.8620893795</v>
      </c>
      <c r="DL133" s="1007"/>
      <c r="DM133" s="1007"/>
      <c r="DN133" s="1007"/>
      <c r="DO133" s="1112"/>
      <c r="DP133" s="1112"/>
      <c r="DQ133" s="1270"/>
      <c r="DR133" s="1154">
        <f t="shared" si="444"/>
        <v>0</v>
      </c>
      <c r="DS133" s="1154">
        <f t="shared" si="445"/>
        <v>7609.5660903497055</v>
      </c>
      <c r="DT133" s="1154">
        <f t="shared" si="446"/>
        <v>1663.785094128812</v>
      </c>
      <c r="DU133" s="1154">
        <f t="shared" si="447"/>
        <v>857.37323873112814</v>
      </c>
      <c r="DV133" s="1154">
        <f t="shared" si="448"/>
        <v>533.69209369307396</v>
      </c>
      <c r="DW133" s="1154">
        <f t="shared" si="449"/>
        <v>283.85313134929021</v>
      </c>
      <c r="DX133" s="1154">
        <f t="shared" si="450"/>
        <v>0</v>
      </c>
      <c r="DY133" s="1154">
        <f t="shared" si="451"/>
        <v>0</v>
      </c>
      <c r="DZ133" s="1154">
        <f t="shared" si="452"/>
        <v>0</v>
      </c>
      <c r="EA133" s="1154">
        <f t="shared" si="453"/>
        <v>0</v>
      </c>
      <c r="EB133" s="1154">
        <f t="shared" si="454"/>
        <v>0</v>
      </c>
      <c r="EC133" s="1154">
        <f t="shared" si="455"/>
        <v>0</v>
      </c>
      <c r="ED133" s="1154">
        <f t="shared" si="456"/>
        <v>0</v>
      </c>
      <c r="EE133" s="1154">
        <f t="shared" si="457"/>
        <v>0</v>
      </c>
      <c r="EF133" s="1154">
        <f t="shared" si="458"/>
        <v>0</v>
      </c>
      <c r="EG133" s="1154">
        <f t="shared" si="459"/>
        <v>0</v>
      </c>
      <c r="EH133" s="1154">
        <f t="shared" si="460"/>
        <v>0</v>
      </c>
      <c r="EI133" s="1154">
        <f t="shared" si="461"/>
        <v>0</v>
      </c>
      <c r="EJ133" s="1154">
        <f t="shared" si="462"/>
        <v>0</v>
      </c>
      <c r="EK133" s="1154">
        <f t="shared" si="463"/>
        <v>0</v>
      </c>
      <c r="EL133" s="1154">
        <f t="shared" si="464"/>
        <v>0</v>
      </c>
      <c r="EM133" s="1154">
        <f t="shared" si="465"/>
        <v>0</v>
      </c>
      <c r="EN133" s="1154">
        <f t="shared" si="466"/>
        <v>0</v>
      </c>
      <c r="EO133" s="1154">
        <f t="shared" si="467"/>
        <v>0</v>
      </c>
      <c r="EP133" s="1154">
        <f t="shared" si="468"/>
        <v>0</v>
      </c>
      <c r="EQ133" s="1154">
        <f t="shared" si="469"/>
        <v>0</v>
      </c>
      <c r="ER133" s="1154">
        <f t="shared" si="470"/>
        <v>0</v>
      </c>
      <c r="ES133" s="1154">
        <f t="shared" si="471"/>
        <v>17085.898508791859</v>
      </c>
      <c r="ET133" s="1154">
        <f t="shared" si="472"/>
        <v>14819.964412399548</v>
      </c>
      <c r="EU133" s="1154">
        <f t="shared" si="473"/>
        <v>13443.326709739102</v>
      </c>
      <c r="EV133" s="1154">
        <f t="shared" si="474"/>
        <v>0</v>
      </c>
      <c r="EW133" s="1154">
        <f t="shared" si="475"/>
        <v>0</v>
      </c>
      <c r="EX133" s="1154">
        <f t="shared" si="476"/>
        <v>0</v>
      </c>
      <c r="EY133" s="1154">
        <f t="shared" si="477"/>
        <v>0</v>
      </c>
      <c r="EZ133" s="1154">
        <f t="shared" si="478"/>
        <v>0</v>
      </c>
      <c r="FA133" s="1174">
        <f t="shared" si="479"/>
        <v>56297.459279182513</v>
      </c>
      <c r="FC133" s="1154">
        <f t="shared" si="480"/>
        <v>0</v>
      </c>
      <c r="FD133" s="1154">
        <f t="shared" si="481"/>
        <v>7534.2238518313916</v>
      </c>
      <c r="FE133" s="1154">
        <f t="shared" si="482"/>
        <v>1648.2050575402966</v>
      </c>
      <c r="FF133" s="1154">
        <f t="shared" si="483"/>
        <v>849.7574979690728</v>
      </c>
      <c r="FG133" s="1154">
        <f t="shared" si="484"/>
        <v>529.18336527931785</v>
      </c>
      <c r="FH133" s="1154">
        <f t="shared" si="485"/>
        <v>281.56690995910628</v>
      </c>
      <c r="FI133" s="1154">
        <f t="shared" si="486"/>
        <v>0</v>
      </c>
      <c r="FJ133" s="1154">
        <f t="shared" si="487"/>
        <v>0</v>
      </c>
      <c r="FK133" s="1154">
        <f t="shared" si="488"/>
        <v>0</v>
      </c>
      <c r="FL133" s="1154">
        <f t="shared" si="489"/>
        <v>0</v>
      </c>
      <c r="FM133" s="1154">
        <f t="shared" si="490"/>
        <v>0</v>
      </c>
      <c r="FN133" s="1154">
        <f t="shared" si="491"/>
        <v>0</v>
      </c>
      <c r="FO133" s="1154">
        <f t="shared" si="492"/>
        <v>0</v>
      </c>
      <c r="FP133" s="1154">
        <f t="shared" si="493"/>
        <v>0</v>
      </c>
      <c r="FQ133" s="1154">
        <f t="shared" si="494"/>
        <v>0</v>
      </c>
      <c r="FR133" s="1154">
        <f t="shared" si="495"/>
        <v>0</v>
      </c>
      <c r="FS133" s="1154">
        <f t="shared" si="496"/>
        <v>0</v>
      </c>
      <c r="FT133" s="1154">
        <f t="shared" si="497"/>
        <v>0</v>
      </c>
      <c r="FU133" s="1154">
        <f t="shared" si="498"/>
        <v>0</v>
      </c>
      <c r="FV133" s="1154">
        <f t="shared" si="499"/>
        <v>0</v>
      </c>
      <c r="FW133" s="1154">
        <f t="shared" si="500"/>
        <v>0</v>
      </c>
      <c r="FX133" s="1154">
        <f t="shared" si="501"/>
        <v>0</v>
      </c>
      <c r="FY133" s="1154">
        <f t="shared" si="502"/>
        <v>0</v>
      </c>
      <c r="FZ133" s="1154">
        <f t="shared" si="503"/>
        <v>0</v>
      </c>
      <c r="GA133" s="1154">
        <f t="shared" si="504"/>
        <v>0</v>
      </c>
      <c r="GB133" s="1154">
        <f t="shared" si="505"/>
        <v>0</v>
      </c>
      <c r="GC133" s="1154">
        <f t="shared" si="506"/>
        <v>0</v>
      </c>
      <c r="GD133" s="1154">
        <f t="shared" si="507"/>
        <v>17085.898508791859</v>
      </c>
      <c r="GE133" s="1154">
        <f t="shared" si="508"/>
        <v>15989.535358409088</v>
      </c>
      <c r="GF133" s="1154">
        <f t="shared" si="509"/>
        <v>14504.255326023082</v>
      </c>
      <c r="GG133" s="1154">
        <f t="shared" si="510"/>
        <v>0</v>
      </c>
      <c r="GH133" s="1154">
        <f t="shared" si="511"/>
        <v>0</v>
      </c>
      <c r="GI133" s="1154">
        <f t="shared" si="512"/>
        <v>0</v>
      </c>
      <c r="GJ133" s="1154">
        <f t="shared" si="513"/>
        <v>0</v>
      </c>
      <c r="GK133" s="1154">
        <f t="shared" si="514"/>
        <v>0</v>
      </c>
      <c r="GL133" s="1174">
        <f t="shared" si="515"/>
        <v>58422.625875803205</v>
      </c>
    </row>
    <row r="134" spans="2:194">
      <c r="B134" s="1290" t="str">
        <f t="shared" si="443"/>
        <v>SACDUOSEBTOUE</v>
      </c>
      <c r="C134" s="1289" t="str">
        <f t="shared" ref="C134:F134" si="529">C133</f>
        <v>East SAC&lt;100MWhpa Business TOU Energy</v>
      </c>
      <c r="D134" s="1113" t="str">
        <f t="shared" si="529"/>
        <v>East SAC&lt;100MWhpa Business TOU Energy</v>
      </c>
      <c r="E134" s="1113" t="str">
        <f t="shared" si="529"/>
        <v>SAC</v>
      </c>
      <c r="F134" s="1113" t="str">
        <f t="shared" si="529"/>
        <v>SACS Bus</v>
      </c>
      <c r="G134" s="1113" t="str">
        <f t="shared" si="528"/>
        <v>East</v>
      </c>
      <c r="H134" s="1113" t="str">
        <f t="shared" si="528"/>
        <v>EBTOUE</v>
      </c>
      <c r="I134" s="1114" t="s">
        <v>759</v>
      </c>
      <c r="J134" s="1114" t="s">
        <v>934</v>
      </c>
      <c r="K134" s="1270"/>
      <c r="L134" s="1112"/>
      <c r="M134" s="1233">
        <v>0.28228199999999998</v>
      </c>
      <c r="N134" s="1233">
        <v>0.29228199999999999</v>
      </c>
      <c r="O134" s="1233">
        <v>0.302282</v>
      </c>
      <c r="P134" s="1233">
        <v>0.312282</v>
      </c>
      <c r="Q134" s="1233">
        <v>0.32228200000000001</v>
      </c>
      <c r="R134" s="1007"/>
      <c r="S134" s="1007"/>
      <c r="T134" s="1007"/>
      <c r="U134" s="1007"/>
      <c r="V134" s="1007"/>
      <c r="W134" s="1007"/>
      <c r="X134" s="1007"/>
      <c r="Y134" s="1007"/>
      <c r="Z134" s="1007"/>
      <c r="AA134" s="1007"/>
      <c r="AB134" s="1007"/>
      <c r="AC134" s="1007"/>
      <c r="AD134" s="1007"/>
      <c r="AE134" s="1007"/>
      <c r="AF134" s="1007"/>
      <c r="AG134" s="1007"/>
      <c r="AH134" s="1007"/>
      <c r="AI134" s="1005"/>
      <c r="AJ134" s="1005"/>
      <c r="AK134" s="1005"/>
      <c r="AL134" s="1005"/>
      <c r="AM134" s="1233">
        <v>5.9628777969018928E-2</v>
      </c>
      <c r="AN134" s="1233">
        <v>5.251134983756566E-3</v>
      </c>
      <c r="AO134" s="1233">
        <v>5.251134983756566E-3</v>
      </c>
      <c r="AP134" s="1005"/>
      <c r="AQ134" s="1005"/>
      <c r="AR134" s="1005"/>
      <c r="AS134" s="1005"/>
      <c r="AT134" s="1005"/>
      <c r="AU134" s="1006"/>
      <c r="AV134" s="1270"/>
      <c r="AW134" s="1006"/>
      <c r="AX134" s="1480">
        <v>0.28228199999999998</v>
      </c>
      <c r="AY134" s="1480">
        <v>0.29228199999999999</v>
      </c>
      <c r="AZ134" s="1480">
        <v>0.302282</v>
      </c>
      <c r="BA134" s="1480">
        <v>0.312282</v>
      </c>
      <c r="BB134" s="1480">
        <v>0.32228200000000001</v>
      </c>
      <c r="BC134" s="1006"/>
      <c r="BD134" s="1006"/>
      <c r="BE134" s="1006"/>
      <c r="BF134" s="1006"/>
      <c r="BG134" s="1006"/>
      <c r="BH134" s="1006"/>
      <c r="BI134" s="1006"/>
      <c r="BJ134" s="1006"/>
      <c r="BK134" s="1006"/>
      <c r="BL134" s="1006"/>
      <c r="BM134" s="1006"/>
      <c r="BN134" s="1006"/>
      <c r="BO134" s="1006"/>
      <c r="BP134" s="1006"/>
      <c r="BQ134" s="1006"/>
      <c r="BR134" s="1006"/>
      <c r="BS134" s="1006"/>
      <c r="BT134" s="1006"/>
      <c r="BU134" s="1006"/>
      <c r="BV134" s="1006"/>
      <c r="BW134" s="1006"/>
      <c r="BX134" s="1480">
        <v>5.9119999999999999E-2</v>
      </c>
      <c r="BY134" s="1480">
        <v>9.5264000943934765E-3</v>
      </c>
      <c r="BZ134" s="1480">
        <v>9.5264000943934765E-3</v>
      </c>
      <c r="CA134" s="1006"/>
      <c r="CB134" s="1006"/>
      <c r="CC134" s="1006"/>
      <c r="CD134" s="1006"/>
      <c r="CE134" s="1006"/>
      <c r="CF134" s="1006"/>
      <c r="CG134" s="1209"/>
      <c r="CH134" s="1112"/>
      <c r="CI134" s="1236">
        <v>78.106856351532571</v>
      </c>
      <c r="CJ134" s="1236">
        <v>16.151732463789124</v>
      </c>
      <c r="CK134" s="1236">
        <v>7.8951937374114749</v>
      </c>
      <c r="CL134" s="1236">
        <v>4.6741722766269698</v>
      </c>
      <c r="CM134" s="1236">
        <v>2.3701122932189955</v>
      </c>
      <c r="CN134" s="1007"/>
      <c r="CO134" s="1007"/>
      <c r="CP134" s="1007"/>
      <c r="CQ134" s="1007"/>
      <c r="CR134" s="1007"/>
      <c r="CS134" s="1007"/>
      <c r="CT134" s="1007"/>
      <c r="CU134" s="1007"/>
      <c r="CV134" s="1007"/>
      <c r="CW134" s="1007"/>
      <c r="CX134" s="1007"/>
      <c r="CY134" s="1007"/>
      <c r="CZ134" s="1007"/>
      <c r="DA134" s="1007"/>
      <c r="DB134" s="1007"/>
      <c r="DC134" s="1007"/>
      <c r="DD134" s="1007"/>
      <c r="DE134" s="1007"/>
      <c r="DF134" s="1112"/>
      <c r="DG134" s="1007"/>
      <c r="DH134" s="1007"/>
      <c r="DI134" s="1236">
        <v>364815.42912225565</v>
      </c>
      <c r="DJ134" s="1236">
        <v>964569.13518120768</v>
      </c>
      <c r="DK134" s="1236">
        <v>874969.57870710187</v>
      </c>
      <c r="DL134" s="1007"/>
      <c r="DM134" s="1007"/>
      <c r="DN134" s="1007"/>
      <c r="DO134" s="1112"/>
      <c r="DP134" s="1112"/>
      <c r="DQ134" s="1270"/>
      <c r="DR134" s="1154">
        <f t="shared" si="444"/>
        <v>0</v>
      </c>
      <c r="DS134" s="1154">
        <f t="shared" si="445"/>
        <v>8047.5782629875102</v>
      </c>
      <c r="DT134" s="1154">
        <f t="shared" si="446"/>
        <v>1723.1141438131426</v>
      </c>
      <c r="DU134" s="1154">
        <f t="shared" si="447"/>
        <v>871.09985796625858</v>
      </c>
      <c r="DV134" s="1154">
        <f t="shared" si="448"/>
        <v>532.77585141471252</v>
      </c>
      <c r="DW134" s="1154">
        <f t="shared" si="449"/>
        <v>278.80325348036956</v>
      </c>
      <c r="DX134" s="1154">
        <f t="shared" si="450"/>
        <v>0</v>
      </c>
      <c r="DY134" s="1154">
        <f t="shared" si="451"/>
        <v>0</v>
      </c>
      <c r="DZ134" s="1154">
        <f t="shared" si="452"/>
        <v>0</v>
      </c>
      <c r="EA134" s="1154">
        <f t="shared" si="453"/>
        <v>0</v>
      </c>
      <c r="EB134" s="1154">
        <f t="shared" si="454"/>
        <v>0</v>
      </c>
      <c r="EC134" s="1154">
        <f t="shared" si="455"/>
        <v>0</v>
      </c>
      <c r="ED134" s="1154">
        <f t="shared" si="456"/>
        <v>0</v>
      </c>
      <c r="EE134" s="1154">
        <f t="shared" si="457"/>
        <v>0</v>
      </c>
      <c r="EF134" s="1154">
        <f t="shared" si="458"/>
        <v>0</v>
      </c>
      <c r="EG134" s="1154">
        <f t="shared" si="459"/>
        <v>0</v>
      </c>
      <c r="EH134" s="1154">
        <f t="shared" si="460"/>
        <v>0</v>
      </c>
      <c r="EI134" s="1154">
        <f t="shared" si="461"/>
        <v>0</v>
      </c>
      <c r="EJ134" s="1154">
        <f t="shared" si="462"/>
        <v>0</v>
      </c>
      <c r="EK134" s="1154">
        <f t="shared" si="463"/>
        <v>0</v>
      </c>
      <c r="EL134" s="1154">
        <f t="shared" si="464"/>
        <v>0</v>
      </c>
      <c r="EM134" s="1154">
        <f t="shared" si="465"/>
        <v>0</v>
      </c>
      <c r="EN134" s="1154">
        <f t="shared" si="466"/>
        <v>0</v>
      </c>
      <c r="EO134" s="1154">
        <f t="shared" si="467"/>
        <v>0</v>
      </c>
      <c r="EP134" s="1154">
        <f t="shared" si="468"/>
        <v>0</v>
      </c>
      <c r="EQ134" s="1154">
        <f t="shared" si="469"/>
        <v>0</v>
      </c>
      <c r="ER134" s="1154">
        <f t="shared" si="470"/>
        <v>0</v>
      </c>
      <c r="ES134" s="1154">
        <f t="shared" si="471"/>
        <v>21753.498222803344</v>
      </c>
      <c r="ET134" s="1154">
        <f t="shared" si="472"/>
        <v>5065.0827300018555</v>
      </c>
      <c r="EU134" s="1154">
        <f t="shared" si="473"/>
        <v>4594.5833644716067</v>
      </c>
      <c r="EV134" s="1154">
        <f t="shared" si="474"/>
        <v>0</v>
      </c>
      <c r="EW134" s="1154">
        <f t="shared" si="475"/>
        <v>0</v>
      </c>
      <c r="EX134" s="1154">
        <f t="shared" si="476"/>
        <v>0</v>
      </c>
      <c r="EY134" s="1154">
        <f t="shared" si="477"/>
        <v>0</v>
      </c>
      <c r="EZ134" s="1154">
        <f t="shared" si="478"/>
        <v>0</v>
      </c>
      <c r="FA134" s="1174">
        <f t="shared" si="479"/>
        <v>42866.535686938798</v>
      </c>
      <c r="FC134" s="1154">
        <f t="shared" si="480"/>
        <v>0</v>
      </c>
      <c r="FD134" s="1154">
        <f t="shared" si="481"/>
        <v>8047.5782629875102</v>
      </c>
      <c r="FE134" s="1154">
        <f t="shared" si="482"/>
        <v>1723.1141438131426</v>
      </c>
      <c r="FF134" s="1154">
        <f t="shared" si="483"/>
        <v>871.09985796625858</v>
      </c>
      <c r="FG134" s="1154">
        <f t="shared" si="484"/>
        <v>532.77585141471252</v>
      </c>
      <c r="FH134" s="1154">
        <f t="shared" si="485"/>
        <v>278.80325348036956</v>
      </c>
      <c r="FI134" s="1154">
        <f t="shared" si="486"/>
        <v>0</v>
      </c>
      <c r="FJ134" s="1154">
        <f t="shared" si="487"/>
        <v>0</v>
      </c>
      <c r="FK134" s="1154">
        <f t="shared" si="488"/>
        <v>0</v>
      </c>
      <c r="FL134" s="1154">
        <f t="shared" si="489"/>
        <v>0</v>
      </c>
      <c r="FM134" s="1154">
        <f t="shared" si="490"/>
        <v>0</v>
      </c>
      <c r="FN134" s="1154">
        <f t="shared" si="491"/>
        <v>0</v>
      </c>
      <c r="FO134" s="1154">
        <f t="shared" si="492"/>
        <v>0</v>
      </c>
      <c r="FP134" s="1154">
        <f t="shared" si="493"/>
        <v>0</v>
      </c>
      <c r="FQ134" s="1154">
        <f t="shared" si="494"/>
        <v>0</v>
      </c>
      <c r="FR134" s="1154">
        <f t="shared" si="495"/>
        <v>0</v>
      </c>
      <c r="FS134" s="1154">
        <f t="shared" si="496"/>
        <v>0</v>
      </c>
      <c r="FT134" s="1154">
        <f t="shared" si="497"/>
        <v>0</v>
      </c>
      <c r="FU134" s="1154">
        <f t="shared" si="498"/>
        <v>0</v>
      </c>
      <c r="FV134" s="1154">
        <f t="shared" si="499"/>
        <v>0</v>
      </c>
      <c r="FW134" s="1154">
        <f t="shared" si="500"/>
        <v>0</v>
      </c>
      <c r="FX134" s="1154">
        <f t="shared" si="501"/>
        <v>0</v>
      </c>
      <c r="FY134" s="1154">
        <f t="shared" si="502"/>
        <v>0</v>
      </c>
      <c r="FZ134" s="1154">
        <f t="shared" si="503"/>
        <v>0</v>
      </c>
      <c r="GA134" s="1154">
        <f t="shared" si="504"/>
        <v>0</v>
      </c>
      <c r="GB134" s="1154">
        <f t="shared" si="505"/>
        <v>0</v>
      </c>
      <c r="GC134" s="1154">
        <f t="shared" si="506"/>
        <v>0</v>
      </c>
      <c r="GD134" s="1154">
        <f t="shared" si="507"/>
        <v>21567.888169707752</v>
      </c>
      <c r="GE134" s="1154">
        <f t="shared" si="508"/>
        <v>9188.8715004392907</v>
      </c>
      <c r="GF134" s="1154">
        <f t="shared" si="509"/>
        <v>8335.3102771867561</v>
      </c>
      <c r="GG134" s="1154">
        <f t="shared" si="510"/>
        <v>0</v>
      </c>
      <c r="GH134" s="1154">
        <f t="shared" si="511"/>
        <v>0</v>
      </c>
      <c r="GI134" s="1154">
        <f t="shared" si="512"/>
        <v>0</v>
      </c>
      <c r="GJ134" s="1154">
        <f t="shared" si="513"/>
        <v>0</v>
      </c>
      <c r="GK134" s="1154">
        <f t="shared" si="514"/>
        <v>0</v>
      </c>
      <c r="GL134" s="1174">
        <f t="shared" si="515"/>
        <v>50545.441316995784</v>
      </c>
    </row>
    <row r="135" spans="2:194">
      <c r="B135" s="1290" t="str">
        <f t="shared" si="443"/>
        <v>SACDUOSWBTOUE</v>
      </c>
      <c r="C135" s="1289" t="str">
        <f>Prop2021DUOSTariffs!C61</f>
        <v>West SAC&lt;100MWhpa Business TOU Energy</v>
      </c>
      <c r="D135" s="1113" t="str">
        <f>Prop2021DUOSTariffs!D61</f>
        <v>West SAC&lt;100MWhpa Business TOU Energy</v>
      </c>
      <c r="E135" s="1113" t="str">
        <f>Prop2021DUOSTariffs!E61</f>
        <v>SAC</v>
      </c>
      <c r="F135" s="1113" t="str">
        <f>Prop2021DUOSTariffs!F61</f>
        <v>SACS Bus</v>
      </c>
      <c r="G135" s="1113" t="str">
        <f>Prop2021DUOSTariffs!G61</f>
        <v>West</v>
      </c>
      <c r="H135" s="1113" t="str">
        <f>Prop2021DUOSTariffs!H61</f>
        <v>WBTOUE</v>
      </c>
      <c r="I135" s="1114" t="s">
        <v>798</v>
      </c>
      <c r="J135" s="1114" t="s">
        <v>934</v>
      </c>
      <c r="K135" s="1270"/>
      <c r="L135" s="1112"/>
      <c r="M135" s="1233">
        <v>0.10462200000000002</v>
      </c>
      <c r="N135" s="1233">
        <v>0.11462200000000002</v>
      </c>
      <c r="O135" s="1233">
        <v>0.12462200000000001</v>
      </c>
      <c r="P135" s="1233">
        <v>0.13462200000000002</v>
      </c>
      <c r="Q135" s="1233">
        <v>0.14462200000000003</v>
      </c>
      <c r="R135" s="1007"/>
      <c r="S135" s="1007"/>
      <c r="T135" s="1007"/>
      <c r="U135" s="1007"/>
      <c r="V135" s="1007"/>
      <c r="W135" s="1007"/>
      <c r="X135" s="1007"/>
      <c r="Y135" s="1007"/>
      <c r="Z135" s="1007"/>
      <c r="AA135" s="1007"/>
      <c r="AB135" s="1007"/>
      <c r="AC135" s="1007"/>
      <c r="AD135" s="1007"/>
      <c r="AE135" s="1007"/>
      <c r="AF135" s="1007"/>
      <c r="AG135" s="1007"/>
      <c r="AH135" s="1007"/>
      <c r="AI135" s="1005"/>
      <c r="AJ135" s="1005"/>
      <c r="AK135" s="1005"/>
      <c r="AL135" s="1005"/>
      <c r="AM135" s="1233">
        <v>1.3666609294320137E-2</v>
      </c>
      <c r="AN135" s="1233">
        <v>1.194771034212145E-2</v>
      </c>
      <c r="AO135" s="1233">
        <v>1.194771034212145E-2</v>
      </c>
      <c r="AP135" s="1005"/>
      <c r="AQ135" s="1005"/>
      <c r="AR135" s="1005"/>
      <c r="AS135" s="1005"/>
      <c r="AT135" s="1005"/>
      <c r="AU135" s="1006"/>
      <c r="AV135" s="1270"/>
      <c r="AW135" s="1006"/>
      <c r="AX135" s="1480">
        <v>9.870000000000001E-2</v>
      </c>
      <c r="AY135" s="1480">
        <v>0.1087</v>
      </c>
      <c r="AZ135" s="1480">
        <v>0.1187</v>
      </c>
      <c r="BA135" s="1480">
        <v>0.12870000000000001</v>
      </c>
      <c r="BB135" s="1480">
        <v>0.13870000000000002</v>
      </c>
      <c r="BC135" s="1006"/>
      <c r="BD135" s="1006"/>
      <c r="BE135" s="1006"/>
      <c r="BF135" s="1006"/>
      <c r="BG135" s="1006"/>
      <c r="BH135" s="1006"/>
      <c r="BI135" s="1006"/>
      <c r="BJ135" s="1006"/>
      <c r="BK135" s="1006"/>
      <c r="BL135" s="1006"/>
      <c r="BM135" s="1006"/>
      <c r="BN135" s="1006"/>
      <c r="BO135" s="1006"/>
      <c r="BP135" s="1006"/>
      <c r="BQ135" s="1006"/>
      <c r="BR135" s="1006"/>
      <c r="BS135" s="1006"/>
      <c r="BT135" s="1006"/>
      <c r="BU135" s="1006"/>
      <c r="BV135" s="1006"/>
      <c r="BW135" s="1006"/>
      <c r="BX135" s="1480">
        <v>1.355E-2</v>
      </c>
      <c r="BY135" s="1480">
        <v>9.447673504219033E-3</v>
      </c>
      <c r="BZ135" s="1480">
        <v>9.447673504219033E-3</v>
      </c>
      <c r="CA135" s="1006"/>
      <c r="CB135" s="1006"/>
      <c r="CC135" s="1006"/>
      <c r="CD135" s="1006"/>
      <c r="CE135" s="1006"/>
      <c r="CF135" s="1006"/>
      <c r="CG135" s="1209"/>
      <c r="CH135" s="1112"/>
      <c r="CI135" s="1236">
        <v>57.424630918048749</v>
      </c>
      <c r="CJ135" s="1236">
        <v>12.234235731466043</v>
      </c>
      <c r="CK135" s="1236">
        <v>2.5949143024564285</v>
      </c>
      <c r="CL135" s="1236">
        <v>0.57581671841252158</v>
      </c>
      <c r="CM135" s="1236">
        <v>2.0190975840439069</v>
      </c>
      <c r="CN135" s="1007"/>
      <c r="CO135" s="1007"/>
      <c r="CP135" s="1007"/>
      <c r="CQ135" s="1007"/>
      <c r="CR135" s="1007"/>
      <c r="CS135" s="1007"/>
      <c r="CT135" s="1007"/>
      <c r="CU135" s="1007"/>
      <c r="CV135" s="1007"/>
      <c r="CW135" s="1007"/>
      <c r="CX135" s="1007"/>
      <c r="CY135" s="1007"/>
      <c r="CZ135" s="1007"/>
      <c r="DA135" s="1007"/>
      <c r="DB135" s="1007"/>
      <c r="DC135" s="1007"/>
      <c r="DD135" s="1007"/>
      <c r="DE135" s="1007"/>
      <c r="DF135" s="1112"/>
      <c r="DG135" s="1007"/>
      <c r="DH135" s="1007"/>
      <c r="DI135" s="1236">
        <v>103954.92187529591</v>
      </c>
      <c r="DJ135" s="1236">
        <v>243676.43107862645</v>
      </c>
      <c r="DK135" s="1236">
        <v>266632.95184553385</v>
      </c>
      <c r="DL135" s="1007"/>
      <c r="DM135" s="1007"/>
      <c r="DN135" s="1007"/>
      <c r="DO135" s="1112"/>
      <c r="DP135" s="1112"/>
      <c r="DQ135" s="1270"/>
      <c r="DR135" s="1154">
        <f t="shared" si="444"/>
        <v>0</v>
      </c>
      <c r="DS135" s="1154">
        <f t="shared" si="445"/>
        <v>2192.8761036064552</v>
      </c>
      <c r="DT135" s="1154">
        <f t="shared" si="446"/>
        <v>511.84408732441682</v>
      </c>
      <c r="DU135" s="1154">
        <f t="shared" si="447"/>
        <v>118.03494472326466</v>
      </c>
      <c r="DV135" s="1154">
        <f t="shared" si="448"/>
        <v>28.293923367137626</v>
      </c>
      <c r="DW135" s="1154">
        <f t="shared" si="449"/>
        <v>106.58216474185326</v>
      </c>
      <c r="DX135" s="1154">
        <f t="shared" si="450"/>
        <v>0</v>
      </c>
      <c r="DY135" s="1154">
        <f t="shared" si="451"/>
        <v>0</v>
      </c>
      <c r="DZ135" s="1154">
        <f t="shared" si="452"/>
        <v>0</v>
      </c>
      <c r="EA135" s="1154">
        <f t="shared" si="453"/>
        <v>0</v>
      </c>
      <c r="EB135" s="1154">
        <f t="shared" si="454"/>
        <v>0</v>
      </c>
      <c r="EC135" s="1154">
        <f t="shared" si="455"/>
        <v>0</v>
      </c>
      <c r="ED135" s="1154">
        <f t="shared" si="456"/>
        <v>0</v>
      </c>
      <c r="EE135" s="1154">
        <f t="shared" si="457"/>
        <v>0</v>
      </c>
      <c r="EF135" s="1154">
        <f t="shared" si="458"/>
        <v>0</v>
      </c>
      <c r="EG135" s="1154">
        <f t="shared" si="459"/>
        <v>0</v>
      </c>
      <c r="EH135" s="1154">
        <f t="shared" si="460"/>
        <v>0</v>
      </c>
      <c r="EI135" s="1154">
        <f t="shared" si="461"/>
        <v>0</v>
      </c>
      <c r="EJ135" s="1154">
        <f t="shared" si="462"/>
        <v>0</v>
      </c>
      <c r="EK135" s="1154">
        <f t="shared" si="463"/>
        <v>0</v>
      </c>
      <c r="EL135" s="1154">
        <f t="shared" si="464"/>
        <v>0</v>
      </c>
      <c r="EM135" s="1154">
        <f t="shared" si="465"/>
        <v>0</v>
      </c>
      <c r="EN135" s="1154">
        <f t="shared" si="466"/>
        <v>0</v>
      </c>
      <c r="EO135" s="1154">
        <f t="shared" si="467"/>
        <v>0</v>
      </c>
      <c r="EP135" s="1154">
        <f t="shared" si="468"/>
        <v>0</v>
      </c>
      <c r="EQ135" s="1154">
        <f t="shared" si="469"/>
        <v>0</v>
      </c>
      <c r="ER135" s="1154">
        <f t="shared" si="470"/>
        <v>0</v>
      </c>
      <c r="ES135" s="1154">
        <f t="shared" si="471"/>
        <v>1420.7113014912429</v>
      </c>
      <c r="ET135" s="1154">
        <f t="shared" si="472"/>
        <v>2911.3754157293497</v>
      </c>
      <c r="EU135" s="1154">
        <f t="shared" si="473"/>
        <v>3185.6532763152554</v>
      </c>
      <c r="EV135" s="1154">
        <f t="shared" si="474"/>
        <v>0</v>
      </c>
      <c r="EW135" s="1154">
        <f t="shared" si="475"/>
        <v>0</v>
      </c>
      <c r="EX135" s="1154">
        <f t="shared" si="476"/>
        <v>0</v>
      </c>
      <c r="EY135" s="1154">
        <f t="shared" si="477"/>
        <v>0</v>
      </c>
      <c r="EZ135" s="1154">
        <f t="shared" si="478"/>
        <v>0</v>
      </c>
      <c r="FA135" s="1174">
        <f t="shared" si="479"/>
        <v>10475.371217298976</v>
      </c>
      <c r="FC135" s="1154">
        <f t="shared" si="480"/>
        <v>0</v>
      </c>
      <c r="FD135" s="1154">
        <f t="shared" si="481"/>
        <v>2068.7510411381654</v>
      </c>
      <c r="FE135" s="1154">
        <f t="shared" si="482"/>
        <v>485.39941976378105</v>
      </c>
      <c r="FF135" s="1154">
        <f t="shared" si="483"/>
        <v>112.425959611076</v>
      </c>
      <c r="FG135" s="1154">
        <f t="shared" si="484"/>
        <v>27.049278255787407</v>
      </c>
      <c r="FH135" s="1154">
        <f t="shared" si="485"/>
        <v>102.21782474101482</v>
      </c>
      <c r="FI135" s="1154">
        <f t="shared" si="486"/>
        <v>0</v>
      </c>
      <c r="FJ135" s="1154">
        <f t="shared" si="487"/>
        <v>0</v>
      </c>
      <c r="FK135" s="1154">
        <f t="shared" si="488"/>
        <v>0</v>
      </c>
      <c r="FL135" s="1154">
        <f t="shared" si="489"/>
        <v>0</v>
      </c>
      <c r="FM135" s="1154">
        <f t="shared" si="490"/>
        <v>0</v>
      </c>
      <c r="FN135" s="1154">
        <f t="shared" si="491"/>
        <v>0</v>
      </c>
      <c r="FO135" s="1154">
        <f t="shared" si="492"/>
        <v>0</v>
      </c>
      <c r="FP135" s="1154">
        <f t="shared" si="493"/>
        <v>0</v>
      </c>
      <c r="FQ135" s="1154">
        <f t="shared" si="494"/>
        <v>0</v>
      </c>
      <c r="FR135" s="1154">
        <f t="shared" si="495"/>
        <v>0</v>
      </c>
      <c r="FS135" s="1154">
        <f t="shared" si="496"/>
        <v>0</v>
      </c>
      <c r="FT135" s="1154">
        <f t="shared" si="497"/>
        <v>0</v>
      </c>
      <c r="FU135" s="1154">
        <f t="shared" si="498"/>
        <v>0</v>
      </c>
      <c r="FV135" s="1154">
        <f t="shared" si="499"/>
        <v>0</v>
      </c>
      <c r="FW135" s="1154">
        <f t="shared" si="500"/>
        <v>0</v>
      </c>
      <c r="FX135" s="1154">
        <f t="shared" si="501"/>
        <v>0</v>
      </c>
      <c r="FY135" s="1154">
        <f t="shared" si="502"/>
        <v>0</v>
      </c>
      <c r="FZ135" s="1154">
        <f t="shared" si="503"/>
        <v>0</v>
      </c>
      <c r="GA135" s="1154">
        <f t="shared" si="504"/>
        <v>0</v>
      </c>
      <c r="GB135" s="1154">
        <f t="shared" si="505"/>
        <v>0</v>
      </c>
      <c r="GC135" s="1154">
        <f t="shared" si="506"/>
        <v>0</v>
      </c>
      <c r="GD135" s="1154">
        <f t="shared" si="507"/>
        <v>1408.5891914102597</v>
      </c>
      <c r="GE135" s="1154">
        <f t="shared" si="508"/>
        <v>2302.1753615041944</v>
      </c>
      <c r="GF135" s="1154">
        <f t="shared" si="509"/>
        <v>2519.0610745027593</v>
      </c>
      <c r="GG135" s="1154">
        <f t="shared" si="510"/>
        <v>0</v>
      </c>
      <c r="GH135" s="1154">
        <f t="shared" si="511"/>
        <v>0</v>
      </c>
      <c r="GI135" s="1154">
        <f t="shared" si="512"/>
        <v>0</v>
      </c>
      <c r="GJ135" s="1154">
        <f t="shared" si="513"/>
        <v>0</v>
      </c>
      <c r="GK135" s="1154">
        <f t="shared" si="514"/>
        <v>0</v>
      </c>
      <c r="GL135" s="1174">
        <f t="shared" si="515"/>
        <v>9025.6691509270386</v>
      </c>
    </row>
    <row r="136" spans="2:194">
      <c r="B136" s="1290" t="str">
        <f t="shared" si="443"/>
        <v>SACDUOSWBTOUE</v>
      </c>
      <c r="C136" s="1289" t="str">
        <f>C135</f>
        <v>West SAC&lt;100MWhpa Business TOU Energy</v>
      </c>
      <c r="D136" s="1113" t="str">
        <f t="shared" ref="D136:H136" si="530">D135</f>
        <v>West SAC&lt;100MWhpa Business TOU Energy</v>
      </c>
      <c r="E136" s="1113" t="str">
        <f t="shared" si="530"/>
        <v>SAC</v>
      </c>
      <c r="F136" s="1113" t="str">
        <f t="shared" si="530"/>
        <v>SACS Bus</v>
      </c>
      <c r="G136" s="1113" t="str">
        <f t="shared" si="530"/>
        <v>West</v>
      </c>
      <c r="H136" s="1113" t="str">
        <f t="shared" si="530"/>
        <v>WBTOUE</v>
      </c>
      <c r="I136" s="1114" t="s">
        <v>752</v>
      </c>
      <c r="J136" s="1114" t="s">
        <v>934</v>
      </c>
      <c r="K136" s="1270"/>
      <c r="L136" s="1112"/>
      <c r="M136" s="1233">
        <v>0.17445225</v>
      </c>
      <c r="N136" s="1233">
        <v>0.18445225000000001</v>
      </c>
      <c r="O136" s="1233">
        <v>0.19445225000000002</v>
      </c>
      <c r="P136" s="1233">
        <v>0.20445225000000003</v>
      </c>
      <c r="Q136" s="1233">
        <v>0.21445225000000004</v>
      </c>
      <c r="R136" s="1007"/>
      <c r="S136" s="1007"/>
      <c r="T136" s="1007"/>
      <c r="U136" s="1007"/>
      <c r="V136" s="1007"/>
      <c r="W136" s="1007"/>
      <c r="X136" s="1007"/>
      <c r="Y136" s="1007"/>
      <c r="Z136" s="1007"/>
      <c r="AA136" s="1007"/>
      <c r="AB136" s="1007"/>
      <c r="AC136" s="1007"/>
      <c r="AD136" s="1007"/>
      <c r="AE136" s="1007"/>
      <c r="AF136" s="1007"/>
      <c r="AG136" s="1007"/>
      <c r="AH136" s="1007"/>
      <c r="AI136" s="1005"/>
      <c r="AJ136" s="1005"/>
      <c r="AK136" s="1005"/>
      <c r="AL136" s="1005"/>
      <c r="AM136" s="1233">
        <v>3.0609999999999998E-2</v>
      </c>
      <c r="AN136" s="1233">
        <v>1.0041821672276165E-2</v>
      </c>
      <c r="AO136" s="1233">
        <v>1.0041821672276165E-2</v>
      </c>
      <c r="AP136" s="1005"/>
      <c r="AQ136" s="1005"/>
      <c r="AR136" s="1005"/>
      <c r="AS136" s="1005"/>
      <c r="AT136" s="1005"/>
      <c r="AU136" s="1006"/>
      <c r="AV136" s="1270"/>
      <c r="AW136" s="1006"/>
      <c r="AX136" s="1480">
        <v>0.17272499999999999</v>
      </c>
      <c r="AY136" s="1480">
        <v>0.182725</v>
      </c>
      <c r="AZ136" s="1480">
        <v>0.19272500000000001</v>
      </c>
      <c r="BA136" s="1480">
        <v>0.20272500000000002</v>
      </c>
      <c r="BB136" s="1480">
        <v>0.21272500000000003</v>
      </c>
      <c r="BC136" s="1006"/>
      <c r="BD136" s="1006"/>
      <c r="BE136" s="1006"/>
      <c r="BF136" s="1006"/>
      <c r="BG136" s="1006"/>
      <c r="BH136" s="1006"/>
      <c r="BI136" s="1006"/>
      <c r="BJ136" s="1006"/>
      <c r="BK136" s="1006"/>
      <c r="BL136" s="1006"/>
      <c r="BM136" s="1006"/>
      <c r="BN136" s="1006"/>
      <c r="BO136" s="1006"/>
      <c r="BP136" s="1006"/>
      <c r="BQ136" s="1006"/>
      <c r="BR136" s="1006"/>
      <c r="BS136" s="1006"/>
      <c r="BT136" s="1006"/>
      <c r="BU136" s="1006"/>
      <c r="BV136" s="1006"/>
      <c r="BW136" s="1006"/>
      <c r="BX136" s="1480">
        <v>3.0609999999999998E-2</v>
      </c>
      <c r="BY136" s="1480">
        <v>1.083430824957703E-2</v>
      </c>
      <c r="BZ136" s="1480">
        <v>1.083430824957703E-2</v>
      </c>
      <c r="CA136" s="1006"/>
      <c r="CB136" s="1006"/>
      <c r="CC136" s="1006"/>
      <c r="CD136" s="1006"/>
      <c r="CE136" s="1006"/>
      <c r="CF136" s="1006"/>
      <c r="CG136" s="1209"/>
      <c r="CH136" s="1112"/>
      <c r="CI136" s="1236">
        <v>15.612942284388467</v>
      </c>
      <c r="CJ136" s="1236">
        <v>3.3263150901496976</v>
      </c>
      <c r="CK136" s="1236">
        <v>0.70552037670045553</v>
      </c>
      <c r="CL136" s="1236">
        <v>0.15655639482978406</v>
      </c>
      <c r="CM136" s="1236">
        <v>0.54896398187067141</v>
      </c>
      <c r="CN136" s="1007"/>
      <c r="CO136" s="1007"/>
      <c r="CP136" s="1007"/>
      <c r="CQ136" s="1007"/>
      <c r="CR136" s="1007"/>
      <c r="CS136" s="1007"/>
      <c r="CT136" s="1007"/>
      <c r="CU136" s="1007"/>
      <c r="CV136" s="1007"/>
      <c r="CW136" s="1007"/>
      <c r="CX136" s="1007"/>
      <c r="CY136" s="1007"/>
      <c r="CZ136" s="1007"/>
      <c r="DA136" s="1007"/>
      <c r="DB136" s="1007"/>
      <c r="DC136" s="1007"/>
      <c r="DD136" s="1007"/>
      <c r="DE136" s="1007"/>
      <c r="DF136" s="1112"/>
      <c r="DG136" s="1007"/>
      <c r="DH136" s="1007"/>
      <c r="DI136" s="1236">
        <v>28263.868125393205</v>
      </c>
      <c r="DJ136" s="1236">
        <v>66252.163813221661</v>
      </c>
      <c r="DK136" s="1236">
        <v>72493.716054029137</v>
      </c>
      <c r="DL136" s="1007"/>
      <c r="DM136" s="1007"/>
      <c r="DN136" s="1007"/>
      <c r="DO136" s="1112"/>
      <c r="DP136" s="1112"/>
      <c r="DQ136" s="1270"/>
      <c r="DR136" s="1154">
        <f t="shared" si="444"/>
        <v>0</v>
      </c>
      <c r="DS136" s="1154">
        <f t="shared" si="445"/>
        <v>994.15521238057352</v>
      </c>
      <c r="DT136" s="1154">
        <f t="shared" si="446"/>
        <v>223.94440044427856</v>
      </c>
      <c r="DU136" s="1154">
        <f t="shared" si="447"/>
        <v>50.074359004641678</v>
      </c>
      <c r="DV136" s="1154">
        <f t="shared" si="448"/>
        <v>11.683032118815769</v>
      </c>
      <c r="DW136" s="1154">
        <f t="shared" si="449"/>
        <v>42.970194794610521</v>
      </c>
      <c r="DX136" s="1154">
        <f t="shared" si="450"/>
        <v>0</v>
      </c>
      <c r="DY136" s="1154">
        <f t="shared" si="451"/>
        <v>0</v>
      </c>
      <c r="DZ136" s="1154">
        <f t="shared" si="452"/>
        <v>0</v>
      </c>
      <c r="EA136" s="1154">
        <f t="shared" si="453"/>
        <v>0</v>
      </c>
      <c r="EB136" s="1154">
        <f t="shared" si="454"/>
        <v>0</v>
      </c>
      <c r="EC136" s="1154">
        <f t="shared" si="455"/>
        <v>0</v>
      </c>
      <c r="ED136" s="1154">
        <f t="shared" si="456"/>
        <v>0</v>
      </c>
      <c r="EE136" s="1154">
        <f t="shared" si="457"/>
        <v>0</v>
      </c>
      <c r="EF136" s="1154">
        <f t="shared" si="458"/>
        <v>0</v>
      </c>
      <c r="EG136" s="1154">
        <f t="shared" si="459"/>
        <v>0</v>
      </c>
      <c r="EH136" s="1154">
        <f t="shared" si="460"/>
        <v>0</v>
      </c>
      <c r="EI136" s="1154">
        <f t="shared" si="461"/>
        <v>0</v>
      </c>
      <c r="EJ136" s="1154">
        <f t="shared" si="462"/>
        <v>0</v>
      </c>
      <c r="EK136" s="1154">
        <f t="shared" si="463"/>
        <v>0</v>
      </c>
      <c r="EL136" s="1154">
        <f t="shared" si="464"/>
        <v>0</v>
      </c>
      <c r="EM136" s="1154">
        <f t="shared" si="465"/>
        <v>0</v>
      </c>
      <c r="EN136" s="1154">
        <f t="shared" si="466"/>
        <v>0</v>
      </c>
      <c r="EO136" s="1154">
        <f t="shared" si="467"/>
        <v>0</v>
      </c>
      <c r="EP136" s="1154">
        <f t="shared" si="468"/>
        <v>0</v>
      </c>
      <c r="EQ136" s="1154">
        <f t="shared" si="469"/>
        <v>0</v>
      </c>
      <c r="ER136" s="1154">
        <f t="shared" si="470"/>
        <v>0</v>
      </c>
      <c r="ES136" s="1154">
        <f t="shared" si="471"/>
        <v>865.15700331828589</v>
      </c>
      <c r="ET136" s="1154">
        <f t="shared" si="472"/>
        <v>665.29241441479996</v>
      </c>
      <c r="EU136" s="1154">
        <f t="shared" si="473"/>
        <v>727.96896897518434</v>
      </c>
      <c r="EV136" s="1154">
        <f t="shared" si="474"/>
        <v>0</v>
      </c>
      <c r="EW136" s="1154">
        <f t="shared" si="475"/>
        <v>0</v>
      </c>
      <c r="EX136" s="1154">
        <f t="shared" si="476"/>
        <v>0</v>
      </c>
      <c r="EY136" s="1154">
        <f t="shared" si="477"/>
        <v>0</v>
      </c>
      <c r="EZ136" s="1154">
        <f t="shared" si="478"/>
        <v>0</v>
      </c>
      <c r="FA136" s="1174">
        <f t="shared" si="479"/>
        <v>3581.2455854511904</v>
      </c>
      <c r="FC136" s="1154">
        <f t="shared" si="480"/>
        <v>0</v>
      </c>
      <c r="FD136" s="1154">
        <f t="shared" si="481"/>
        <v>984.31209146591425</v>
      </c>
      <c r="FE136" s="1154">
        <f t="shared" si="482"/>
        <v>221.84733756937527</v>
      </c>
      <c r="FF136" s="1154">
        <f t="shared" si="483"/>
        <v>49.629566328852285</v>
      </c>
      <c r="FG136" s="1154">
        <f t="shared" si="484"/>
        <v>11.584331726781812</v>
      </c>
      <c r="FH136" s="1154">
        <f t="shared" si="485"/>
        <v>42.624102510855089</v>
      </c>
      <c r="FI136" s="1154">
        <f t="shared" si="486"/>
        <v>0</v>
      </c>
      <c r="FJ136" s="1154">
        <f t="shared" si="487"/>
        <v>0</v>
      </c>
      <c r="FK136" s="1154">
        <f t="shared" si="488"/>
        <v>0</v>
      </c>
      <c r="FL136" s="1154">
        <f t="shared" si="489"/>
        <v>0</v>
      </c>
      <c r="FM136" s="1154">
        <f t="shared" si="490"/>
        <v>0</v>
      </c>
      <c r="FN136" s="1154">
        <f t="shared" si="491"/>
        <v>0</v>
      </c>
      <c r="FO136" s="1154">
        <f t="shared" si="492"/>
        <v>0</v>
      </c>
      <c r="FP136" s="1154">
        <f t="shared" si="493"/>
        <v>0</v>
      </c>
      <c r="FQ136" s="1154">
        <f t="shared" si="494"/>
        <v>0</v>
      </c>
      <c r="FR136" s="1154">
        <f t="shared" si="495"/>
        <v>0</v>
      </c>
      <c r="FS136" s="1154">
        <f t="shared" si="496"/>
        <v>0</v>
      </c>
      <c r="FT136" s="1154">
        <f t="shared" si="497"/>
        <v>0</v>
      </c>
      <c r="FU136" s="1154">
        <f t="shared" si="498"/>
        <v>0</v>
      </c>
      <c r="FV136" s="1154">
        <f t="shared" si="499"/>
        <v>0</v>
      </c>
      <c r="FW136" s="1154">
        <f t="shared" si="500"/>
        <v>0</v>
      </c>
      <c r="FX136" s="1154">
        <f t="shared" si="501"/>
        <v>0</v>
      </c>
      <c r="FY136" s="1154">
        <f t="shared" si="502"/>
        <v>0</v>
      </c>
      <c r="FZ136" s="1154">
        <f t="shared" si="503"/>
        <v>0</v>
      </c>
      <c r="GA136" s="1154">
        <f t="shared" si="504"/>
        <v>0</v>
      </c>
      <c r="GB136" s="1154">
        <f t="shared" si="505"/>
        <v>0</v>
      </c>
      <c r="GC136" s="1154">
        <f t="shared" si="506"/>
        <v>0</v>
      </c>
      <c r="GD136" s="1154">
        <f t="shared" si="507"/>
        <v>865.15700331828589</v>
      </c>
      <c r="GE136" s="1154">
        <f t="shared" si="508"/>
        <v>717.79636495391628</v>
      </c>
      <c r="GF136" s="1154">
        <f t="shared" si="509"/>
        <v>785.41926588666263</v>
      </c>
      <c r="GG136" s="1154">
        <f t="shared" si="510"/>
        <v>0</v>
      </c>
      <c r="GH136" s="1154">
        <f t="shared" si="511"/>
        <v>0</v>
      </c>
      <c r="GI136" s="1154">
        <f t="shared" si="512"/>
        <v>0</v>
      </c>
      <c r="GJ136" s="1154">
        <f t="shared" si="513"/>
        <v>0</v>
      </c>
      <c r="GK136" s="1154">
        <f t="shared" si="514"/>
        <v>0</v>
      </c>
      <c r="GL136" s="1174">
        <f t="shared" si="515"/>
        <v>3678.370063760643</v>
      </c>
    </row>
    <row r="137" spans="2:194">
      <c r="B137" s="1290" t="str">
        <f t="shared" si="443"/>
        <v>SACDUOSWBTOUE</v>
      </c>
      <c r="C137" s="1289" t="str">
        <f t="shared" ref="C137:H137" si="531">C136</f>
        <v>West SAC&lt;100MWhpa Business TOU Energy</v>
      </c>
      <c r="D137" s="1113" t="str">
        <f t="shared" si="531"/>
        <v>West SAC&lt;100MWhpa Business TOU Energy</v>
      </c>
      <c r="E137" s="1113" t="str">
        <f t="shared" si="531"/>
        <v>SAC</v>
      </c>
      <c r="F137" s="1113" t="str">
        <f t="shared" si="531"/>
        <v>SACS Bus</v>
      </c>
      <c r="G137" s="1113" t="str">
        <f t="shared" si="531"/>
        <v>West</v>
      </c>
      <c r="H137" s="1113" t="str">
        <f t="shared" si="531"/>
        <v>WBTOUE</v>
      </c>
      <c r="I137" s="1114" t="s">
        <v>759</v>
      </c>
      <c r="J137" s="1114" t="s">
        <v>934</v>
      </c>
      <c r="K137" s="1270"/>
      <c r="L137" s="1112"/>
      <c r="M137" s="1233">
        <v>0.28228199999999998</v>
      </c>
      <c r="N137" s="1233">
        <v>0.29228199999999999</v>
      </c>
      <c r="O137" s="1233">
        <v>0.302282</v>
      </c>
      <c r="P137" s="1233">
        <v>0.312282</v>
      </c>
      <c r="Q137" s="1233">
        <v>0.32228200000000001</v>
      </c>
      <c r="R137" s="1007"/>
      <c r="S137" s="1007"/>
      <c r="T137" s="1007"/>
      <c r="U137" s="1007"/>
      <c r="V137" s="1007"/>
      <c r="W137" s="1007"/>
      <c r="X137" s="1007"/>
      <c r="Y137" s="1007"/>
      <c r="Z137" s="1007"/>
      <c r="AA137" s="1007"/>
      <c r="AB137" s="1007"/>
      <c r="AC137" s="1007"/>
      <c r="AD137" s="1007"/>
      <c r="AE137" s="1007"/>
      <c r="AF137" s="1007"/>
      <c r="AG137" s="1007"/>
      <c r="AH137" s="1007"/>
      <c r="AI137" s="1005"/>
      <c r="AJ137" s="1005"/>
      <c r="AK137" s="1005"/>
      <c r="AL137" s="1005"/>
      <c r="AM137" s="1233">
        <v>5.9628777969018928E-2</v>
      </c>
      <c r="AN137" s="1233">
        <v>5.251134983756566E-3</v>
      </c>
      <c r="AO137" s="1233">
        <v>5.251134983756566E-3</v>
      </c>
      <c r="AP137" s="1005"/>
      <c r="AQ137" s="1005"/>
      <c r="AR137" s="1005"/>
      <c r="AS137" s="1005"/>
      <c r="AT137" s="1005"/>
      <c r="AU137" s="1006"/>
      <c r="AV137" s="1270"/>
      <c r="AW137" s="1006"/>
      <c r="AX137" s="1480">
        <v>0.28228199999999998</v>
      </c>
      <c r="AY137" s="1480">
        <v>0.29228199999999999</v>
      </c>
      <c r="AZ137" s="1480">
        <v>0.302282</v>
      </c>
      <c r="BA137" s="1480">
        <v>0.312282</v>
      </c>
      <c r="BB137" s="1480">
        <v>0.32228200000000001</v>
      </c>
      <c r="BC137" s="1006"/>
      <c r="BD137" s="1006"/>
      <c r="BE137" s="1006"/>
      <c r="BF137" s="1006"/>
      <c r="BG137" s="1006"/>
      <c r="BH137" s="1006"/>
      <c r="BI137" s="1006"/>
      <c r="BJ137" s="1006"/>
      <c r="BK137" s="1006"/>
      <c r="BL137" s="1006"/>
      <c r="BM137" s="1006"/>
      <c r="BN137" s="1006"/>
      <c r="BO137" s="1006"/>
      <c r="BP137" s="1006"/>
      <c r="BQ137" s="1006"/>
      <c r="BR137" s="1006"/>
      <c r="BS137" s="1006"/>
      <c r="BT137" s="1006"/>
      <c r="BU137" s="1006"/>
      <c r="BV137" s="1006"/>
      <c r="BW137" s="1006"/>
      <c r="BX137" s="1480">
        <v>5.9119999999999999E-2</v>
      </c>
      <c r="BY137" s="1480">
        <v>9.5264000943934765E-3</v>
      </c>
      <c r="BZ137" s="1480">
        <v>9.5264000943934765E-3</v>
      </c>
      <c r="CA137" s="1006"/>
      <c r="CB137" s="1006"/>
      <c r="CC137" s="1006"/>
      <c r="CD137" s="1006"/>
      <c r="CE137" s="1006"/>
      <c r="CF137" s="1006"/>
      <c r="CG137" s="1209"/>
      <c r="CH137" s="1112"/>
      <c r="CI137" s="1236">
        <v>3.7524267975627854</v>
      </c>
      <c r="CJ137" s="1236">
        <v>0.79944917838425789</v>
      </c>
      <c r="CK137" s="1236">
        <v>0.16956532084311582</v>
      </c>
      <c r="CL137" s="1236">
        <v>3.7626886757694288E-2</v>
      </c>
      <c r="CM137" s="1236">
        <v>0.13193843408542155</v>
      </c>
      <c r="CN137" s="1007"/>
      <c r="CO137" s="1007"/>
      <c r="CP137" s="1007"/>
      <c r="CQ137" s="1007"/>
      <c r="CR137" s="1007"/>
      <c r="CS137" s="1007"/>
      <c r="CT137" s="1007"/>
      <c r="CU137" s="1007"/>
      <c r="CV137" s="1007"/>
      <c r="CW137" s="1007"/>
      <c r="CX137" s="1007"/>
      <c r="CY137" s="1007"/>
      <c r="CZ137" s="1007"/>
      <c r="DA137" s="1007"/>
      <c r="DB137" s="1007"/>
      <c r="DC137" s="1007"/>
      <c r="DD137" s="1007"/>
      <c r="DE137" s="1007"/>
      <c r="DF137" s="1112"/>
      <c r="DG137" s="1007"/>
      <c r="DH137" s="1007"/>
      <c r="DI137" s="1236">
        <v>6792.9602393108598</v>
      </c>
      <c r="DJ137" s="1236">
        <v>15923.097028151853</v>
      </c>
      <c r="DK137" s="1236">
        <v>17423.196590436979</v>
      </c>
      <c r="DL137" s="1007"/>
      <c r="DM137" s="1007"/>
      <c r="DN137" s="1007"/>
      <c r="DO137" s="1112"/>
      <c r="DP137" s="1112"/>
      <c r="DQ137" s="1270"/>
      <c r="DR137" s="1154">
        <f t="shared" si="444"/>
        <v>0</v>
      </c>
      <c r="DS137" s="1154">
        <f t="shared" si="445"/>
        <v>386.62352756341056</v>
      </c>
      <c r="DT137" s="1154">
        <f t="shared" si="446"/>
        <v>85.287580736125292</v>
      </c>
      <c r="DU137" s="1154">
        <f t="shared" si="447"/>
        <v>18.708638675011038</v>
      </c>
      <c r="DV137" s="1154">
        <f t="shared" si="448"/>
        <v>4.2888227994201946</v>
      </c>
      <c r="DW137" s="1154">
        <f t="shared" si="449"/>
        <v>15.520304581080007</v>
      </c>
      <c r="DX137" s="1154">
        <f t="shared" si="450"/>
        <v>0</v>
      </c>
      <c r="DY137" s="1154">
        <f t="shared" si="451"/>
        <v>0</v>
      </c>
      <c r="DZ137" s="1154">
        <f t="shared" si="452"/>
        <v>0</v>
      </c>
      <c r="EA137" s="1154">
        <f t="shared" si="453"/>
        <v>0</v>
      </c>
      <c r="EB137" s="1154">
        <f t="shared" si="454"/>
        <v>0</v>
      </c>
      <c r="EC137" s="1154">
        <f t="shared" si="455"/>
        <v>0</v>
      </c>
      <c r="ED137" s="1154">
        <f t="shared" si="456"/>
        <v>0</v>
      </c>
      <c r="EE137" s="1154">
        <f t="shared" si="457"/>
        <v>0</v>
      </c>
      <c r="EF137" s="1154">
        <f t="shared" si="458"/>
        <v>0</v>
      </c>
      <c r="EG137" s="1154">
        <f t="shared" si="459"/>
        <v>0</v>
      </c>
      <c r="EH137" s="1154">
        <f t="shared" si="460"/>
        <v>0</v>
      </c>
      <c r="EI137" s="1154">
        <f t="shared" si="461"/>
        <v>0</v>
      </c>
      <c r="EJ137" s="1154">
        <f t="shared" si="462"/>
        <v>0</v>
      </c>
      <c r="EK137" s="1154">
        <f t="shared" si="463"/>
        <v>0</v>
      </c>
      <c r="EL137" s="1154">
        <f t="shared" si="464"/>
        <v>0</v>
      </c>
      <c r="EM137" s="1154">
        <f t="shared" si="465"/>
        <v>0</v>
      </c>
      <c r="EN137" s="1154">
        <f t="shared" si="466"/>
        <v>0</v>
      </c>
      <c r="EO137" s="1154">
        <f t="shared" si="467"/>
        <v>0</v>
      </c>
      <c r="EP137" s="1154">
        <f t="shared" si="468"/>
        <v>0</v>
      </c>
      <c r="EQ137" s="1154">
        <f t="shared" si="469"/>
        <v>0</v>
      </c>
      <c r="ER137" s="1154">
        <f t="shared" si="470"/>
        <v>0</v>
      </c>
      <c r="ES137" s="1154">
        <f t="shared" si="471"/>
        <v>405.05591786224096</v>
      </c>
      <c r="ET137" s="1154">
        <f t="shared" si="472"/>
        <v>83.614331854278404</v>
      </c>
      <c r="EU137" s="1154">
        <f t="shared" si="473"/>
        <v>91.491557144911738</v>
      </c>
      <c r="EV137" s="1154">
        <f t="shared" si="474"/>
        <v>0</v>
      </c>
      <c r="EW137" s="1154">
        <f t="shared" si="475"/>
        <v>0</v>
      </c>
      <c r="EX137" s="1154">
        <f t="shared" si="476"/>
        <v>0</v>
      </c>
      <c r="EY137" s="1154">
        <f t="shared" si="477"/>
        <v>0</v>
      </c>
      <c r="EZ137" s="1154">
        <f t="shared" si="478"/>
        <v>0</v>
      </c>
      <c r="FA137" s="1174">
        <f t="shared" si="479"/>
        <v>1090.5906812164781</v>
      </c>
      <c r="FC137" s="1154">
        <f t="shared" si="480"/>
        <v>0</v>
      </c>
      <c r="FD137" s="1154">
        <f t="shared" si="481"/>
        <v>386.62352756341056</v>
      </c>
      <c r="FE137" s="1154">
        <f t="shared" si="482"/>
        <v>85.287580736125292</v>
      </c>
      <c r="FF137" s="1154">
        <f t="shared" si="483"/>
        <v>18.708638675011038</v>
      </c>
      <c r="FG137" s="1154">
        <f t="shared" si="484"/>
        <v>4.2888227994201946</v>
      </c>
      <c r="FH137" s="1154">
        <f t="shared" si="485"/>
        <v>15.520304581080007</v>
      </c>
      <c r="FI137" s="1154">
        <f t="shared" si="486"/>
        <v>0</v>
      </c>
      <c r="FJ137" s="1154">
        <f t="shared" si="487"/>
        <v>0</v>
      </c>
      <c r="FK137" s="1154">
        <f t="shared" si="488"/>
        <v>0</v>
      </c>
      <c r="FL137" s="1154">
        <f t="shared" si="489"/>
        <v>0</v>
      </c>
      <c r="FM137" s="1154">
        <f t="shared" si="490"/>
        <v>0</v>
      </c>
      <c r="FN137" s="1154">
        <f t="shared" si="491"/>
        <v>0</v>
      </c>
      <c r="FO137" s="1154">
        <f t="shared" si="492"/>
        <v>0</v>
      </c>
      <c r="FP137" s="1154">
        <f t="shared" si="493"/>
        <v>0</v>
      </c>
      <c r="FQ137" s="1154">
        <f t="shared" si="494"/>
        <v>0</v>
      </c>
      <c r="FR137" s="1154">
        <f t="shared" si="495"/>
        <v>0</v>
      </c>
      <c r="FS137" s="1154">
        <f t="shared" si="496"/>
        <v>0</v>
      </c>
      <c r="FT137" s="1154">
        <f t="shared" si="497"/>
        <v>0</v>
      </c>
      <c r="FU137" s="1154">
        <f t="shared" si="498"/>
        <v>0</v>
      </c>
      <c r="FV137" s="1154">
        <f t="shared" si="499"/>
        <v>0</v>
      </c>
      <c r="FW137" s="1154">
        <f t="shared" si="500"/>
        <v>0</v>
      </c>
      <c r="FX137" s="1154">
        <f t="shared" si="501"/>
        <v>0</v>
      </c>
      <c r="FY137" s="1154">
        <f t="shared" si="502"/>
        <v>0</v>
      </c>
      <c r="FZ137" s="1154">
        <f t="shared" si="503"/>
        <v>0</v>
      </c>
      <c r="GA137" s="1154">
        <f t="shared" si="504"/>
        <v>0</v>
      </c>
      <c r="GB137" s="1154">
        <f t="shared" si="505"/>
        <v>0</v>
      </c>
      <c r="GC137" s="1154">
        <f t="shared" si="506"/>
        <v>0</v>
      </c>
      <c r="GD137" s="1154">
        <f t="shared" si="507"/>
        <v>401.59980934805805</v>
      </c>
      <c r="GE137" s="1154">
        <f t="shared" si="508"/>
        <v>151.68979303202229</v>
      </c>
      <c r="GF137" s="1154">
        <f t="shared" si="509"/>
        <v>165.98034164377495</v>
      </c>
      <c r="GG137" s="1154">
        <f t="shared" si="510"/>
        <v>0</v>
      </c>
      <c r="GH137" s="1154">
        <f t="shared" si="511"/>
        <v>0</v>
      </c>
      <c r="GI137" s="1154">
        <f t="shared" si="512"/>
        <v>0</v>
      </c>
      <c r="GJ137" s="1154">
        <f t="shared" si="513"/>
        <v>0</v>
      </c>
      <c r="GK137" s="1154">
        <f t="shared" si="514"/>
        <v>0</v>
      </c>
      <c r="GL137" s="1174">
        <f t="shared" si="515"/>
        <v>1229.6988183789022</v>
      </c>
    </row>
    <row r="138" spans="2:194">
      <c r="B138" s="1290" t="str">
        <f t="shared" si="443"/>
        <v>SACDUOSMBTOUE</v>
      </c>
      <c r="C138" s="1289" t="str">
        <f>Prop2021DUOSTariffs!C62</f>
        <v>MtIsa SAC&lt;100MWhpa Business TOU Energy</v>
      </c>
      <c r="D138" s="1113" t="str">
        <f>Prop2021DUOSTariffs!D62</f>
        <v>MtIsa SAC&lt;100MWhpa Business TOU Energy</v>
      </c>
      <c r="E138" s="1113" t="str">
        <f>Prop2021DUOSTariffs!E62</f>
        <v>SAC</v>
      </c>
      <c r="F138" s="1113" t="str">
        <f>Prop2021DUOSTariffs!F62</f>
        <v>SACS Bus</v>
      </c>
      <c r="G138" s="1113" t="str">
        <f>Prop2021DUOSTariffs!G62</f>
        <v>Mt Isa</v>
      </c>
      <c r="H138" s="1113" t="str">
        <f>Prop2021DUOSTariffs!H62</f>
        <v>MBTOUE</v>
      </c>
      <c r="I138" s="1114" t="s">
        <v>761</v>
      </c>
      <c r="J138" s="1114" t="s">
        <v>934</v>
      </c>
      <c r="K138" s="1270"/>
      <c r="L138" s="1112"/>
      <c r="M138" s="1233">
        <v>0.14140000000000003</v>
      </c>
      <c r="N138" s="1233">
        <v>0.15140000000000003</v>
      </c>
      <c r="O138" s="1233">
        <v>0.16140000000000004</v>
      </c>
      <c r="P138" s="1233">
        <v>0.17140000000000005</v>
      </c>
      <c r="Q138" s="1233">
        <v>0.18140000000000006</v>
      </c>
      <c r="R138" s="1007"/>
      <c r="S138" s="1007"/>
      <c r="T138" s="1007"/>
      <c r="U138" s="1007"/>
      <c r="V138" s="1007"/>
      <c r="W138" s="1007"/>
      <c r="X138" s="1007"/>
      <c r="Y138" s="1007"/>
      <c r="Z138" s="1007"/>
      <c r="AA138" s="1007"/>
      <c r="AB138" s="1007"/>
      <c r="AC138" s="1007"/>
      <c r="AD138" s="1007"/>
      <c r="AE138" s="1007"/>
      <c r="AF138" s="1007"/>
      <c r="AG138" s="1007"/>
      <c r="AH138" s="1007"/>
      <c r="AI138" s="1005"/>
      <c r="AJ138" s="1005"/>
      <c r="AK138" s="1005"/>
      <c r="AL138" s="1005"/>
      <c r="AM138" s="1233">
        <v>5.0773218588640269E-3</v>
      </c>
      <c r="AN138" s="1233">
        <v>6.4199999999999999E-4</v>
      </c>
      <c r="AO138" s="1233">
        <v>6.4199999999999999E-4</v>
      </c>
      <c r="AP138" s="1005"/>
      <c r="AQ138" s="1005"/>
      <c r="AR138" s="1005"/>
      <c r="AS138" s="1005"/>
      <c r="AT138" s="1005"/>
      <c r="AU138" s="1006"/>
      <c r="AV138" s="1270"/>
      <c r="AW138" s="1006"/>
      <c r="AX138" s="1480">
        <v>0.14000000000000001</v>
      </c>
      <c r="AY138" s="1480">
        <v>0.15000000000000002</v>
      </c>
      <c r="AZ138" s="1480">
        <v>0.16000000000000003</v>
      </c>
      <c r="BA138" s="1480">
        <v>0.17000000000000004</v>
      </c>
      <c r="BB138" s="1480">
        <v>0.18000000000000005</v>
      </c>
      <c r="BC138" s="1006"/>
      <c r="BD138" s="1006"/>
      <c r="BE138" s="1006"/>
      <c r="BF138" s="1006"/>
      <c r="BG138" s="1006"/>
      <c r="BH138" s="1006"/>
      <c r="BI138" s="1006"/>
      <c r="BJ138" s="1006"/>
      <c r="BK138" s="1006"/>
      <c r="BL138" s="1006"/>
      <c r="BM138" s="1006"/>
      <c r="BN138" s="1006"/>
      <c r="BO138" s="1006"/>
      <c r="BP138" s="1006"/>
      <c r="BQ138" s="1006"/>
      <c r="BR138" s="1006"/>
      <c r="BS138" s="1006"/>
      <c r="BT138" s="1006"/>
      <c r="BU138" s="1006"/>
      <c r="BV138" s="1006"/>
      <c r="BW138" s="1006"/>
      <c r="BX138" s="1480">
        <v>5.0339999999999994E-3</v>
      </c>
      <c r="BY138" s="1480">
        <v>5.9999999999999995E-4</v>
      </c>
      <c r="BZ138" s="1480">
        <v>5.9999999999999995E-4</v>
      </c>
      <c r="CA138" s="1006"/>
      <c r="CB138" s="1006"/>
      <c r="CC138" s="1006"/>
      <c r="CD138" s="1006"/>
      <c r="CE138" s="1006"/>
      <c r="CF138" s="1006"/>
      <c r="CG138" s="1209"/>
      <c r="CH138" s="1112"/>
      <c r="CI138" s="1236">
        <v>0</v>
      </c>
      <c r="CJ138" s="1236">
        <v>0</v>
      </c>
      <c r="CK138" s="1236">
        <v>0</v>
      </c>
      <c r="CL138" s="1236">
        <v>0</v>
      </c>
      <c r="CM138" s="1236">
        <v>0</v>
      </c>
      <c r="CN138" s="1007"/>
      <c r="CO138" s="1007"/>
      <c r="CP138" s="1007"/>
      <c r="CQ138" s="1007"/>
      <c r="CR138" s="1007"/>
      <c r="CS138" s="1007"/>
      <c r="CT138" s="1007"/>
      <c r="CU138" s="1007"/>
      <c r="CV138" s="1007"/>
      <c r="CW138" s="1007"/>
      <c r="CX138" s="1007"/>
      <c r="CY138" s="1007"/>
      <c r="CZ138" s="1007"/>
      <c r="DA138" s="1007"/>
      <c r="DB138" s="1007"/>
      <c r="DC138" s="1007"/>
      <c r="DD138" s="1007"/>
      <c r="DE138" s="1007"/>
      <c r="DF138" s="1112"/>
      <c r="DG138" s="1007"/>
      <c r="DH138" s="1007"/>
      <c r="DI138" s="1236">
        <v>0</v>
      </c>
      <c r="DJ138" s="1236">
        <v>0</v>
      </c>
      <c r="DK138" s="1236">
        <v>0</v>
      </c>
      <c r="DL138" s="1007"/>
      <c r="DM138" s="1007"/>
      <c r="DN138" s="1007"/>
      <c r="DO138" s="1112"/>
      <c r="DP138" s="1112"/>
      <c r="DQ138" s="1270"/>
      <c r="DR138" s="1154">
        <f t="shared" si="444"/>
        <v>0</v>
      </c>
      <c r="DS138" s="1154">
        <f t="shared" si="445"/>
        <v>0</v>
      </c>
      <c r="DT138" s="1154">
        <f t="shared" si="446"/>
        <v>0</v>
      </c>
      <c r="DU138" s="1154">
        <f t="shared" si="447"/>
        <v>0</v>
      </c>
      <c r="DV138" s="1154">
        <f t="shared" si="448"/>
        <v>0</v>
      </c>
      <c r="DW138" s="1154">
        <f t="shared" si="449"/>
        <v>0</v>
      </c>
      <c r="DX138" s="1154">
        <f t="shared" si="450"/>
        <v>0</v>
      </c>
      <c r="DY138" s="1154">
        <f t="shared" si="451"/>
        <v>0</v>
      </c>
      <c r="DZ138" s="1154">
        <f t="shared" si="452"/>
        <v>0</v>
      </c>
      <c r="EA138" s="1154">
        <f t="shared" si="453"/>
        <v>0</v>
      </c>
      <c r="EB138" s="1154">
        <f t="shared" si="454"/>
        <v>0</v>
      </c>
      <c r="EC138" s="1154">
        <f t="shared" si="455"/>
        <v>0</v>
      </c>
      <c r="ED138" s="1154">
        <f t="shared" si="456"/>
        <v>0</v>
      </c>
      <c r="EE138" s="1154">
        <f t="shared" si="457"/>
        <v>0</v>
      </c>
      <c r="EF138" s="1154">
        <f t="shared" si="458"/>
        <v>0</v>
      </c>
      <c r="EG138" s="1154">
        <f t="shared" si="459"/>
        <v>0</v>
      </c>
      <c r="EH138" s="1154">
        <f t="shared" si="460"/>
        <v>0</v>
      </c>
      <c r="EI138" s="1154">
        <f t="shared" si="461"/>
        <v>0</v>
      </c>
      <c r="EJ138" s="1154">
        <f t="shared" si="462"/>
        <v>0</v>
      </c>
      <c r="EK138" s="1154">
        <f t="shared" si="463"/>
        <v>0</v>
      </c>
      <c r="EL138" s="1154">
        <f t="shared" si="464"/>
        <v>0</v>
      </c>
      <c r="EM138" s="1154">
        <f t="shared" si="465"/>
        <v>0</v>
      </c>
      <c r="EN138" s="1154">
        <f t="shared" si="466"/>
        <v>0</v>
      </c>
      <c r="EO138" s="1154">
        <f t="shared" si="467"/>
        <v>0</v>
      </c>
      <c r="EP138" s="1154">
        <f t="shared" si="468"/>
        <v>0</v>
      </c>
      <c r="EQ138" s="1154">
        <f t="shared" si="469"/>
        <v>0</v>
      </c>
      <c r="ER138" s="1154">
        <f t="shared" si="470"/>
        <v>0</v>
      </c>
      <c r="ES138" s="1154">
        <f t="shared" si="471"/>
        <v>0</v>
      </c>
      <c r="ET138" s="1154">
        <f t="shared" si="472"/>
        <v>0</v>
      </c>
      <c r="EU138" s="1154">
        <f t="shared" si="473"/>
        <v>0</v>
      </c>
      <c r="EV138" s="1154">
        <f t="shared" si="474"/>
        <v>0</v>
      </c>
      <c r="EW138" s="1154">
        <f t="shared" si="475"/>
        <v>0</v>
      </c>
      <c r="EX138" s="1154">
        <f t="shared" si="476"/>
        <v>0</v>
      </c>
      <c r="EY138" s="1154">
        <f t="shared" si="477"/>
        <v>0</v>
      </c>
      <c r="EZ138" s="1154">
        <f t="shared" si="478"/>
        <v>0</v>
      </c>
      <c r="FA138" s="1174">
        <f t="shared" si="479"/>
        <v>0</v>
      </c>
      <c r="FC138" s="1154">
        <f t="shared" si="480"/>
        <v>0</v>
      </c>
      <c r="FD138" s="1154">
        <f t="shared" si="481"/>
        <v>0</v>
      </c>
      <c r="FE138" s="1154">
        <f t="shared" si="482"/>
        <v>0</v>
      </c>
      <c r="FF138" s="1154">
        <f t="shared" si="483"/>
        <v>0</v>
      </c>
      <c r="FG138" s="1154">
        <f t="shared" si="484"/>
        <v>0</v>
      </c>
      <c r="FH138" s="1154">
        <f t="shared" si="485"/>
        <v>0</v>
      </c>
      <c r="FI138" s="1154">
        <f t="shared" si="486"/>
        <v>0</v>
      </c>
      <c r="FJ138" s="1154">
        <f t="shared" si="487"/>
        <v>0</v>
      </c>
      <c r="FK138" s="1154">
        <f t="shared" si="488"/>
        <v>0</v>
      </c>
      <c r="FL138" s="1154">
        <f t="shared" si="489"/>
        <v>0</v>
      </c>
      <c r="FM138" s="1154">
        <f t="shared" si="490"/>
        <v>0</v>
      </c>
      <c r="FN138" s="1154">
        <f t="shared" si="491"/>
        <v>0</v>
      </c>
      <c r="FO138" s="1154">
        <f t="shared" si="492"/>
        <v>0</v>
      </c>
      <c r="FP138" s="1154">
        <f t="shared" si="493"/>
        <v>0</v>
      </c>
      <c r="FQ138" s="1154">
        <f t="shared" si="494"/>
        <v>0</v>
      </c>
      <c r="FR138" s="1154">
        <f t="shared" si="495"/>
        <v>0</v>
      </c>
      <c r="FS138" s="1154">
        <f t="shared" si="496"/>
        <v>0</v>
      </c>
      <c r="FT138" s="1154">
        <f t="shared" si="497"/>
        <v>0</v>
      </c>
      <c r="FU138" s="1154">
        <f t="shared" si="498"/>
        <v>0</v>
      </c>
      <c r="FV138" s="1154">
        <f t="shared" si="499"/>
        <v>0</v>
      </c>
      <c r="FW138" s="1154">
        <f t="shared" si="500"/>
        <v>0</v>
      </c>
      <c r="FX138" s="1154">
        <f t="shared" si="501"/>
        <v>0</v>
      </c>
      <c r="FY138" s="1154">
        <f t="shared" si="502"/>
        <v>0</v>
      </c>
      <c r="FZ138" s="1154">
        <f t="shared" si="503"/>
        <v>0</v>
      </c>
      <c r="GA138" s="1154">
        <f t="shared" si="504"/>
        <v>0</v>
      </c>
      <c r="GB138" s="1154">
        <f t="shared" si="505"/>
        <v>0</v>
      </c>
      <c r="GC138" s="1154">
        <f t="shared" si="506"/>
        <v>0</v>
      </c>
      <c r="GD138" s="1154">
        <f t="shared" si="507"/>
        <v>0</v>
      </c>
      <c r="GE138" s="1154">
        <f t="shared" si="508"/>
        <v>0</v>
      </c>
      <c r="GF138" s="1154">
        <f t="shared" si="509"/>
        <v>0</v>
      </c>
      <c r="GG138" s="1154">
        <f t="shared" si="510"/>
        <v>0</v>
      </c>
      <c r="GH138" s="1154">
        <f t="shared" si="511"/>
        <v>0</v>
      </c>
      <c r="GI138" s="1154">
        <f t="shared" si="512"/>
        <v>0</v>
      </c>
      <c r="GJ138" s="1154">
        <f t="shared" si="513"/>
        <v>0</v>
      </c>
      <c r="GK138" s="1154">
        <f t="shared" si="514"/>
        <v>0</v>
      </c>
      <c r="GL138" s="1174">
        <f t="shared" si="515"/>
        <v>0</v>
      </c>
    </row>
    <row r="139" spans="2:194">
      <c r="B139" s="1290" t="str">
        <f t="shared" si="443"/>
        <v>SACDUOSEBTDEM</v>
      </c>
      <c r="C139" s="1289" t="str">
        <f>Prop2021DUOSTariffs!C63</f>
        <v>East SAC&lt;100MWhpa Business TOU Transitional Demand</v>
      </c>
      <c r="D139" s="1113" t="str">
        <f>Prop2021DUOSTariffs!D63</f>
        <v>East SAC&lt;100MWhpa Business TOU Transitional Demand</v>
      </c>
      <c r="E139" s="1113" t="str">
        <f>Prop2021DUOSTariffs!E63</f>
        <v>SAC</v>
      </c>
      <c r="F139" s="1113" t="str">
        <f>Prop2021DUOSTariffs!F63</f>
        <v>SACS Bus</v>
      </c>
      <c r="G139" s="1113" t="str">
        <f>Prop2021DUOSTariffs!G63</f>
        <v>East</v>
      </c>
      <c r="H139" s="1113" t="str">
        <f>IF(Prop2021DUOSTariffs!H63="","",Prop2021DUOSTariffs!H63)</f>
        <v>EBTDEM</v>
      </c>
      <c r="I139" s="1114" t="s">
        <v>798</v>
      </c>
      <c r="J139" s="1114" t="s">
        <v>934</v>
      </c>
      <c r="K139" s="1270"/>
      <c r="L139" s="1233">
        <v>5.231100000000001E-2</v>
      </c>
      <c r="M139" s="1007"/>
      <c r="N139" s="1007"/>
      <c r="O139" s="1007"/>
      <c r="P139" s="1007"/>
      <c r="Q139" s="1007"/>
      <c r="R139" s="1007"/>
      <c r="S139" s="1007"/>
      <c r="T139" s="1007"/>
      <c r="U139" s="1007"/>
      <c r="V139" s="1007"/>
      <c r="W139" s="1007"/>
      <c r="X139" s="1007"/>
      <c r="Y139" s="1007"/>
      <c r="Z139" s="1007"/>
      <c r="AA139" s="1007"/>
      <c r="AB139" s="1233">
        <v>0.37547033849684452</v>
      </c>
      <c r="AC139" s="1007"/>
      <c r="AD139" s="1007"/>
      <c r="AE139" s="1007"/>
      <c r="AF139" s="1007"/>
      <c r="AG139" s="1007"/>
      <c r="AH139" s="1007"/>
      <c r="AI139" s="1233">
        <v>6.8419052512873335E-3</v>
      </c>
      <c r="AJ139" s="1005"/>
      <c r="AK139" s="1005"/>
      <c r="AL139" s="1005"/>
      <c r="AM139" s="1005"/>
      <c r="AN139" s="1005"/>
      <c r="AO139" s="1005"/>
      <c r="AP139" s="1005"/>
      <c r="AQ139" s="1005"/>
      <c r="AR139" s="1005"/>
      <c r="AS139" s="1005"/>
      <c r="AT139" s="1005"/>
      <c r="AU139" s="1006"/>
      <c r="AV139" s="1270"/>
      <c r="AW139" s="1480">
        <v>4.9350000000000005E-2</v>
      </c>
      <c r="AX139" s="1006"/>
      <c r="AY139" s="1006"/>
      <c r="AZ139" s="1006"/>
      <c r="BA139" s="1006"/>
      <c r="BB139" s="1006"/>
      <c r="BC139" s="1006"/>
      <c r="BD139" s="1006"/>
      <c r="BE139" s="1006"/>
      <c r="BF139" s="1006"/>
      <c r="BG139" s="1006"/>
      <c r="BH139" s="1006"/>
      <c r="BI139" s="1006"/>
      <c r="BJ139" s="1006"/>
      <c r="BK139" s="1006"/>
      <c r="BL139" s="1006"/>
      <c r="BM139" s="1480">
        <v>0.37226666666666669</v>
      </c>
      <c r="BN139" s="1006"/>
      <c r="BO139" s="1006"/>
      <c r="BP139" s="1006"/>
      <c r="BQ139" s="1006"/>
      <c r="BR139" s="1006"/>
      <c r="BS139" s="1006"/>
      <c r="BT139" s="1480">
        <v>5.0771473453572824E-3</v>
      </c>
      <c r="BU139" s="1006"/>
      <c r="BV139" s="1006"/>
      <c r="BW139" s="1006"/>
      <c r="BX139" s="1006"/>
      <c r="BY139" s="1006"/>
      <c r="BZ139" s="1006"/>
      <c r="CA139" s="1006"/>
      <c r="CB139" s="1006"/>
      <c r="CC139" s="1006"/>
      <c r="CD139" s="1006"/>
      <c r="CE139" s="1006"/>
      <c r="CF139" s="1006"/>
      <c r="CG139" s="1209"/>
      <c r="CH139" s="1236">
        <v>8542.8961976898245</v>
      </c>
      <c r="CI139" s="1007"/>
      <c r="CJ139" s="1007"/>
      <c r="CK139" s="1007"/>
      <c r="CL139" s="1007"/>
      <c r="CM139" s="1007"/>
      <c r="CN139" s="1007"/>
      <c r="CO139" s="1007"/>
      <c r="CP139" s="1007"/>
      <c r="CQ139" s="1007"/>
      <c r="CR139" s="1007"/>
      <c r="CS139" s="1007"/>
      <c r="CT139" s="1007"/>
      <c r="CU139" s="1007"/>
      <c r="CV139" s="1007"/>
      <c r="CW139" s="1007"/>
      <c r="CX139" s="1236">
        <v>808282.97236972756</v>
      </c>
      <c r="CY139" s="1007"/>
      <c r="CZ139" s="1007"/>
      <c r="DA139" s="1007"/>
      <c r="DB139" s="1007"/>
      <c r="DC139" s="1007"/>
      <c r="DD139" s="1007"/>
      <c r="DE139" s="1236">
        <v>121216277.92398152</v>
      </c>
      <c r="DF139" s="1007"/>
      <c r="DG139" s="1007"/>
      <c r="DH139" s="1007"/>
      <c r="DI139" s="1006"/>
      <c r="DJ139" s="1006"/>
      <c r="DK139" s="1007"/>
      <c r="DL139" s="1007"/>
      <c r="DM139" s="1007"/>
      <c r="DN139" s="1007"/>
      <c r="DO139" s="1112"/>
      <c r="DP139" s="1112"/>
      <c r="DQ139" s="1270"/>
      <c r="DR139" s="1154">
        <f t="shared" si="444"/>
        <v>163113.91669403366</v>
      </c>
      <c r="DS139" s="1154">
        <f t="shared" si="445"/>
        <v>0</v>
      </c>
      <c r="DT139" s="1154">
        <f t="shared" si="446"/>
        <v>0</v>
      </c>
      <c r="DU139" s="1154">
        <f t="shared" si="447"/>
        <v>0</v>
      </c>
      <c r="DV139" s="1154">
        <f t="shared" si="448"/>
        <v>0</v>
      </c>
      <c r="DW139" s="1154">
        <f t="shared" si="449"/>
        <v>0</v>
      </c>
      <c r="DX139" s="1154">
        <f t="shared" si="450"/>
        <v>0</v>
      </c>
      <c r="DY139" s="1154">
        <f t="shared" si="451"/>
        <v>0</v>
      </c>
      <c r="DZ139" s="1154">
        <f t="shared" si="452"/>
        <v>0</v>
      </c>
      <c r="EA139" s="1154">
        <f t="shared" si="453"/>
        <v>0</v>
      </c>
      <c r="EB139" s="1154">
        <f t="shared" si="454"/>
        <v>0</v>
      </c>
      <c r="EC139" s="1154">
        <f t="shared" si="455"/>
        <v>0</v>
      </c>
      <c r="ED139" s="1154">
        <f t="shared" si="456"/>
        <v>0</v>
      </c>
      <c r="EE139" s="1154">
        <f t="shared" si="457"/>
        <v>0</v>
      </c>
      <c r="EF139" s="1154">
        <f t="shared" si="458"/>
        <v>0</v>
      </c>
      <c r="EG139" s="1154">
        <f t="shared" si="459"/>
        <v>0</v>
      </c>
      <c r="EH139" s="1154">
        <f t="shared" si="460"/>
        <v>303486.28123689722</v>
      </c>
      <c r="EI139" s="1154">
        <f t="shared" si="461"/>
        <v>0</v>
      </c>
      <c r="EJ139" s="1154">
        <f t="shared" si="462"/>
        <v>0</v>
      </c>
      <c r="EK139" s="1154">
        <f t="shared" si="463"/>
        <v>0</v>
      </c>
      <c r="EL139" s="1154">
        <f t="shared" si="464"/>
        <v>0</v>
      </c>
      <c r="EM139" s="1154">
        <f t="shared" si="465"/>
        <v>0</v>
      </c>
      <c r="EN139" s="1154">
        <f t="shared" si="466"/>
        <v>0</v>
      </c>
      <c r="EO139" s="1154">
        <f t="shared" si="467"/>
        <v>829350.28846959397</v>
      </c>
      <c r="EP139" s="1154">
        <f t="shared" si="468"/>
        <v>0</v>
      </c>
      <c r="EQ139" s="1154">
        <f t="shared" si="469"/>
        <v>0</v>
      </c>
      <c r="ER139" s="1154">
        <f t="shared" si="470"/>
        <v>0</v>
      </c>
      <c r="ES139" s="1154">
        <f t="shared" si="471"/>
        <v>0</v>
      </c>
      <c r="ET139" s="1154">
        <f t="shared" si="472"/>
        <v>0</v>
      </c>
      <c r="EU139" s="1154">
        <f t="shared" si="473"/>
        <v>0</v>
      </c>
      <c r="EV139" s="1154">
        <f t="shared" si="474"/>
        <v>0</v>
      </c>
      <c r="EW139" s="1154">
        <f t="shared" si="475"/>
        <v>0</v>
      </c>
      <c r="EX139" s="1154">
        <f t="shared" si="476"/>
        <v>0</v>
      </c>
      <c r="EY139" s="1154">
        <f t="shared" si="477"/>
        <v>0</v>
      </c>
      <c r="EZ139" s="1154">
        <f t="shared" si="478"/>
        <v>0</v>
      </c>
      <c r="FA139" s="1174">
        <f t="shared" si="479"/>
        <v>1295950.4864005249</v>
      </c>
      <c r="FC139" s="1154">
        <f t="shared" si="480"/>
        <v>153881.05348493741</v>
      </c>
      <c r="FD139" s="1154">
        <f t="shared" si="481"/>
        <v>0</v>
      </c>
      <c r="FE139" s="1154">
        <f t="shared" si="482"/>
        <v>0</v>
      </c>
      <c r="FF139" s="1154">
        <f t="shared" si="483"/>
        <v>0</v>
      </c>
      <c r="FG139" s="1154">
        <f t="shared" si="484"/>
        <v>0</v>
      </c>
      <c r="FH139" s="1154">
        <f t="shared" si="485"/>
        <v>0</v>
      </c>
      <c r="FI139" s="1154">
        <f t="shared" si="486"/>
        <v>0</v>
      </c>
      <c r="FJ139" s="1154">
        <f t="shared" si="487"/>
        <v>0</v>
      </c>
      <c r="FK139" s="1154">
        <f t="shared" si="488"/>
        <v>0</v>
      </c>
      <c r="FL139" s="1154">
        <f t="shared" si="489"/>
        <v>0</v>
      </c>
      <c r="FM139" s="1154">
        <f t="shared" si="490"/>
        <v>0</v>
      </c>
      <c r="FN139" s="1154">
        <f t="shared" si="491"/>
        <v>0</v>
      </c>
      <c r="FO139" s="1154">
        <f t="shared" si="492"/>
        <v>0</v>
      </c>
      <c r="FP139" s="1154">
        <f t="shared" si="493"/>
        <v>0</v>
      </c>
      <c r="FQ139" s="1154">
        <f t="shared" si="494"/>
        <v>0</v>
      </c>
      <c r="FR139" s="1154">
        <f t="shared" si="495"/>
        <v>0</v>
      </c>
      <c r="FS139" s="1154">
        <f t="shared" si="496"/>
        <v>300896.80784750392</v>
      </c>
      <c r="FT139" s="1154">
        <f t="shared" si="497"/>
        <v>0</v>
      </c>
      <c r="FU139" s="1154">
        <f t="shared" si="498"/>
        <v>0</v>
      </c>
      <c r="FV139" s="1154">
        <f t="shared" si="499"/>
        <v>0</v>
      </c>
      <c r="FW139" s="1154">
        <f t="shared" si="500"/>
        <v>0</v>
      </c>
      <c r="FX139" s="1154">
        <f t="shared" si="501"/>
        <v>0</v>
      </c>
      <c r="FY139" s="1154">
        <f t="shared" si="502"/>
        <v>0</v>
      </c>
      <c r="FZ139" s="1154">
        <f t="shared" si="503"/>
        <v>615432.90367583337</v>
      </c>
      <c r="GA139" s="1154">
        <f t="shared" si="504"/>
        <v>0</v>
      </c>
      <c r="GB139" s="1154">
        <f t="shared" si="505"/>
        <v>0</v>
      </c>
      <c r="GC139" s="1154">
        <f t="shared" si="506"/>
        <v>0</v>
      </c>
      <c r="GD139" s="1154">
        <f t="shared" si="507"/>
        <v>0</v>
      </c>
      <c r="GE139" s="1154">
        <f t="shared" si="508"/>
        <v>0</v>
      </c>
      <c r="GF139" s="1154">
        <f t="shared" si="509"/>
        <v>0</v>
      </c>
      <c r="GG139" s="1154">
        <f t="shared" si="510"/>
        <v>0</v>
      </c>
      <c r="GH139" s="1154">
        <f t="shared" si="511"/>
        <v>0</v>
      </c>
      <c r="GI139" s="1154">
        <f t="shared" si="512"/>
        <v>0</v>
      </c>
      <c r="GJ139" s="1154">
        <f t="shared" si="513"/>
        <v>0</v>
      </c>
      <c r="GK139" s="1154">
        <f t="shared" si="514"/>
        <v>0</v>
      </c>
      <c r="GL139" s="1174">
        <f t="shared" si="515"/>
        <v>1070210.7650082747</v>
      </c>
    </row>
    <row r="140" spans="2:194">
      <c r="B140" s="1290" t="str">
        <f t="shared" si="443"/>
        <v>SACDUOSEBTDEM</v>
      </c>
      <c r="C140" s="1289" t="str">
        <f>C139</f>
        <v>East SAC&lt;100MWhpa Business TOU Transitional Demand</v>
      </c>
      <c r="D140" s="1113" t="str">
        <f t="shared" ref="D140:H141" si="532">D139</f>
        <v>East SAC&lt;100MWhpa Business TOU Transitional Demand</v>
      </c>
      <c r="E140" s="1113" t="str">
        <f t="shared" si="532"/>
        <v>SAC</v>
      </c>
      <c r="F140" s="1113" t="str">
        <f t="shared" si="532"/>
        <v>SACS Bus</v>
      </c>
      <c r="G140" s="1113" t="str">
        <f t="shared" si="532"/>
        <v>East</v>
      </c>
      <c r="H140" s="1113" t="str">
        <f t="shared" si="532"/>
        <v>EBTDEM</v>
      </c>
      <c r="I140" s="1114" t="s">
        <v>752</v>
      </c>
      <c r="J140" s="1114" t="s">
        <v>934</v>
      </c>
      <c r="K140" s="1270"/>
      <c r="L140" s="1233">
        <v>8.7226125000000002E-2</v>
      </c>
      <c r="M140" s="1007"/>
      <c r="N140" s="1007"/>
      <c r="O140" s="1007"/>
      <c r="P140" s="1007"/>
      <c r="Q140" s="1007"/>
      <c r="R140" s="1007"/>
      <c r="S140" s="1007"/>
      <c r="T140" s="1007"/>
      <c r="U140" s="1007"/>
      <c r="V140" s="1007"/>
      <c r="W140" s="1007"/>
      <c r="X140" s="1007"/>
      <c r="Y140" s="1007"/>
      <c r="Z140" s="1007"/>
      <c r="AA140" s="1007"/>
      <c r="AB140" s="1233">
        <v>0.85126333907056795</v>
      </c>
      <c r="AC140" s="1007"/>
      <c r="AD140" s="1007"/>
      <c r="AE140" s="1007"/>
      <c r="AF140" s="1007"/>
      <c r="AG140" s="1007"/>
      <c r="AH140" s="1007"/>
      <c r="AI140" s="1233">
        <v>7.3231188457637255E-3</v>
      </c>
      <c r="AJ140" s="1005"/>
      <c r="AK140" s="1005"/>
      <c r="AL140" s="1005"/>
      <c r="AM140" s="1005"/>
      <c r="AN140" s="1005"/>
      <c r="AO140" s="1005"/>
      <c r="AP140" s="1005"/>
      <c r="AQ140" s="1005"/>
      <c r="AR140" s="1005"/>
      <c r="AS140" s="1005"/>
      <c r="AT140" s="1005"/>
      <c r="AU140" s="1006"/>
      <c r="AV140" s="1270"/>
      <c r="AW140" s="1480">
        <v>8.6362499999999995E-2</v>
      </c>
      <c r="AX140" s="1006"/>
      <c r="AY140" s="1006"/>
      <c r="AZ140" s="1006"/>
      <c r="BA140" s="1006"/>
      <c r="BB140" s="1006"/>
      <c r="BC140" s="1006"/>
      <c r="BD140" s="1006"/>
      <c r="BE140" s="1006"/>
      <c r="BF140" s="1006"/>
      <c r="BG140" s="1006"/>
      <c r="BH140" s="1006"/>
      <c r="BI140" s="1006"/>
      <c r="BJ140" s="1006"/>
      <c r="BK140" s="1006"/>
      <c r="BL140" s="1006"/>
      <c r="BM140" s="1480">
        <v>0.84399999999999997</v>
      </c>
      <c r="BN140" s="1006"/>
      <c r="BO140" s="1006"/>
      <c r="BP140" s="1006"/>
      <c r="BQ140" s="1006"/>
      <c r="BR140" s="1006"/>
      <c r="BS140" s="1006"/>
      <c r="BT140" s="1480">
        <v>7.0741954300528155E-3</v>
      </c>
      <c r="BU140" s="1006"/>
      <c r="BV140" s="1006"/>
      <c r="BW140" s="1006"/>
      <c r="BX140" s="1006"/>
      <c r="BY140" s="1006"/>
      <c r="BZ140" s="1006"/>
      <c r="CA140" s="1006"/>
      <c r="CB140" s="1006"/>
      <c r="CC140" s="1006"/>
      <c r="CD140" s="1006"/>
      <c r="CE140" s="1006"/>
      <c r="CF140" s="1006"/>
      <c r="CG140" s="1209"/>
      <c r="CH140" s="1236">
        <v>4993.8582778883083</v>
      </c>
      <c r="CI140" s="1007"/>
      <c r="CJ140" s="1007"/>
      <c r="CK140" s="1007"/>
      <c r="CL140" s="1007"/>
      <c r="CM140" s="1007"/>
      <c r="CN140" s="1007"/>
      <c r="CO140" s="1007"/>
      <c r="CP140" s="1007"/>
      <c r="CQ140" s="1007"/>
      <c r="CR140" s="1007"/>
      <c r="CS140" s="1007"/>
      <c r="CT140" s="1007"/>
      <c r="CU140" s="1007"/>
      <c r="CV140" s="1007"/>
      <c r="CW140" s="1007"/>
      <c r="CX140" s="1236">
        <v>472492.05878637161</v>
      </c>
      <c r="CY140" s="1007"/>
      <c r="CZ140" s="1007"/>
      <c r="DA140" s="1007"/>
      <c r="DB140" s="1007"/>
      <c r="DC140" s="1007"/>
      <c r="DD140" s="1007"/>
      <c r="DE140" s="1236">
        <v>70858512.02185747</v>
      </c>
      <c r="DF140" s="1007"/>
      <c r="DG140" s="1007"/>
      <c r="DH140" s="1007"/>
      <c r="DI140" s="1006"/>
      <c r="DJ140" s="1006"/>
      <c r="DK140" s="1007"/>
      <c r="DL140" s="1007"/>
      <c r="DM140" s="1007"/>
      <c r="DN140" s="1007"/>
      <c r="DO140" s="1112"/>
      <c r="DP140" s="1112"/>
      <c r="DQ140" s="1270"/>
      <c r="DR140" s="1154">
        <f t="shared" si="444"/>
        <v>158992.14082847018</v>
      </c>
      <c r="DS140" s="1154">
        <f t="shared" si="445"/>
        <v>0</v>
      </c>
      <c r="DT140" s="1154">
        <f t="shared" si="446"/>
        <v>0</v>
      </c>
      <c r="DU140" s="1154">
        <f t="shared" si="447"/>
        <v>0</v>
      </c>
      <c r="DV140" s="1154">
        <f t="shared" si="448"/>
        <v>0</v>
      </c>
      <c r="DW140" s="1154">
        <f t="shared" si="449"/>
        <v>0</v>
      </c>
      <c r="DX140" s="1154">
        <f t="shared" si="450"/>
        <v>0</v>
      </c>
      <c r="DY140" s="1154">
        <f t="shared" si="451"/>
        <v>0</v>
      </c>
      <c r="DZ140" s="1154">
        <f t="shared" si="452"/>
        <v>0</v>
      </c>
      <c r="EA140" s="1154">
        <f t="shared" si="453"/>
        <v>0</v>
      </c>
      <c r="EB140" s="1154">
        <f t="shared" si="454"/>
        <v>0</v>
      </c>
      <c r="EC140" s="1154">
        <f t="shared" si="455"/>
        <v>0</v>
      </c>
      <c r="ED140" s="1154">
        <f t="shared" si="456"/>
        <v>0</v>
      </c>
      <c r="EE140" s="1154">
        <f t="shared" si="457"/>
        <v>0</v>
      </c>
      <c r="EF140" s="1154">
        <f t="shared" si="458"/>
        <v>0</v>
      </c>
      <c r="EG140" s="1154">
        <f t="shared" si="459"/>
        <v>0</v>
      </c>
      <c r="EH140" s="1154">
        <f t="shared" si="460"/>
        <v>402215.16764681379</v>
      </c>
      <c r="EI140" s="1154">
        <f t="shared" si="461"/>
        <v>0</v>
      </c>
      <c r="EJ140" s="1154">
        <f t="shared" si="462"/>
        <v>0</v>
      </c>
      <c r="EK140" s="1154">
        <f t="shared" si="463"/>
        <v>0</v>
      </c>
      <c r="EL140" s="1154">
        <f t="shared" si="464"/>
        <v>0</v>
      </c>
      <c r="EM140" s="1154">
        <f t="shared" si="465"/>
        <v>0</v>
      </c>
      <c r="EN140" s="1154">
        <f t="shared" si="466"/>
        <v>0</v>
      </c>
      <c r="EO140" s="1154">
        <f t="shared" si="467"/>
        <v>518905.30477003998</v>
      </c>
      <c r="EP140" s="1154">
        <f t="shared" si="468"/>
        <v>0</v>
      </c>
      <c r="EQ140" s="1154">
        <f t="shared" si="469"/>
        <v>0</v>
      </c>
      <c r="ER140" s="1154">
        <f t="shared" si="470"/>
        <v>0</v>
      </c>
      <c r="ES140" s="1154">
        <f t="shared" si="471"/>
        <v>0</v>
      </c>
      <c r="ET140" s="1154">
        <f t="shared" si="472"/>
        <v>0</v>
      </c>
      <c r="EU140" s="1154">
        <f t="shared" si="473"/>
        <v>0</v>
      </c>
      <c r="EV140" s="1154">
        <f t="shared" si="474"/>
        <v>0</v>
      </c>
      <c r="EW140" s="1154">
        <f t="shared" si="475"/>
        <v>0</v>
      </c>
      <c r="EX140" s="1154">
        <f t="shared" si="476"/>
        <v>0</v>
      </c>
      <c r="EY140" s="1154">
        <f t="shared" si="477"/>
        <v>0</v>
      </c>
      <c r="EZ140" s="1154">
        <f t="shared" si="478"/>
        <v>0</v>
      </c>
      <c r="FA140" s="1174">
        <f t="shared" si="479"/>
        <v>1080112.6132453238</v>
      </c>
      <c r="FC140" s="1154">
        <f t="shared" si="480"/>
        <v>157417.9612163071</v>
      </c>
      <c r="FD140" s="1154">
        <f t="shared" si="481"/>
        <v>0</v>
      </c>
      <c r="FE140" s="1154">
        <f t="shared" si="482"/>
        <v>0</v>
      </c>
      <c r="FF140" s="1154">
        <f t="shared" si="483"/>
        <v>0</v>
      </c>
      <c r="FG140" s="1154">
        <f t="shared" si="484"/>
        <v>0</v>
      </c>
      <c r="FH140" s="1154">
        <f t="shared" si="485"/>
        <v>0</v>
      </c>
      <c r="FI140" s="1154">
        <f t="shared" si="486"/>
        <v>0</v>
      </c>
      <c r="FJ140" s="1154">
        <f t="shared" si="487"/>
        <v>0</v>
      </c>
      <c r="FK140" s="1154">
        <f t="shared" si="488"/>
        <v>0</v>
      </c>
      <c r="FL140" s="1154">
        <f t="shared" si="489"/>
        <v>0</v>
      </c>
      <c r="FM140" s="1154">
        <f t="shared" si="490"/>
        <v>0</v>
      </c>
      <c r="FN140" s="1154">
        <f t="shared" si="491"/>
        <v>0</v>
      </c>
      <c r="FO140" s="1154">
        <f t="shared" si="492"/>
        <v>0</v>
      </c>
      <c r="FP140" s="1154">
        <f t="shared" si="493"/>
        <v>0</v>
      </c>
      <c r="FQ140" s="1154">
        <f t="shared" si="494"/>
        <v>0</v>
      </c>
      <c r="FR140" s="1154">
        <f t="shared" si="495"/>
        <v>0</v>
      </c>
      <c r="FS140" s="1154">
        <f t="shared" si="496"/>
        <v>398783.29761569761</v>
      </c>
      <c r="FT140" s="1154">
        <f t="shared" si="497"/>
        <v>0</v>
      </c>
      <c r="FU140" s="1154">
        <f t="shared" si="498"/>
        <v>0</v>
      </c>
      <c r="FV140" s="1154">
        <f t="shared" si="499"/>
        <v>0</v>
      </c>
      <c r="FW140" s="1154">
        <f t="shared" si="500"/>
        <v>0</v>
      </c>
      <c r="FX140" s="1154">
        <f t="shared" si="501"/>
        <v>0</v>
      </c>
      <c r="FY140" s="1154">
        <f t="shared" si="502"/>
        <v>0</v>
      </c>
      <c r="FZ140" s="1154">
        <f t="shared" si="503"/>
        <v>501266.9619253666</v>
      </c>
      <c r="GA140" s="1154">
        <f t="shared" si="504"/>
        <v>0</v>
      </c>
      <c r="GB140" s="1154">
        <f t="shared" si="505"/>
        <v>0</v>
      </c>
      <c r="GC140" s="1154">
        <f t="shared" si="506"/>
        <v>0</v>
      </c>
      <c r="GD140" s="1154">
        <f t="shared" si="507"/>
        <v>0</v>
      </c>
      <c r="GE140" s="1154">
        <f t="shared" si="508"/>
        <v>0</v>
      </c>
      <c r="GF140" s="1154">
        <f t="shared" si="509"/>
        <v>0</v>
      </c>
      <c r="GG140" s="1154">
        <f t="shared" si="510"/>
        <v>0</v>
      </c>
      <c r="GH140" s="1154">
        <f t="shared" si="511"/>
        <v>0</v>
      </c>
      <c r="GI140" s="1154">
        <f t="shared" si="512"/>
        <v>0</v>
      </c>
      <c r="GJ140" s="1154">
        <f t="shared" si="513"/>
        <v>0</v>
      </c>
      <c r="GK140" s="1154">
        <f t="shared" si="514"/>
        <v>0</v>
      </c>
      <c r="GL140" s="1174">
        <f t="shared" si="515"/>
        <v>1057468.2207573713</v>
      </c>
    </row>
    <row r="141" spans="2:194">
      <c r="B141" s="1290" t="str">
        <f t="shared" si="443"/>
        <v>SACDUOSEBTDEM</v>
      </c>
      <c r="C141" s="1289" t="str">
        <f t="shared" ref="C141:F141" si="533">C140</f>
        <v>East SAC&lt;100MWhpa Business TOU Transitional Demand</v>
      </c>
      <c r="D141" s="1113" t="str">
        <f t="shared" si="533"/>
        <v>East SAC&lt;100MWhpa Business TOU Transitional Demand</v>
      </c>
      <c r="E141" s="1113" t="str">
        <f t="shared" si="533"/>
        <v>SAC</v>
      </c>
      <c r="F141" s="1113" t="str">
        <f t="shared" si="533"/>
        <v>SACS Bus</v>
      </c>
      <c r="G141" s="1113" t="str">
        <f t="shared" si="532"/>
        <v>East</v>
      </c>
      <c r="H141" s="1113" t="str">
        <f t="shared" si="532"/>
        <v>EBTDEM</v>
      </c>
      <c r="I141" s="1114" t="s">
        <v>759</v>
      </c>
      <c r="J141" s="1114" t="s">
        <v>934</v>
      </c>
      <c r="K141" s="1270"/>
      <c r="L141" s="1233">
        <v>0.14114099999999999</v>
      </c>
      <c r="M141" s="1007"/>
      <c r="N141" s="1007"/>
      <c r="O141" s="1007"/>
      <c r="P141" s="1007"/>
      <c r="Q141" s="1007"/>
      <c r="R141" s="1007"/>
      <c r="S141" s="1007"/>
      <c r="T141" s="1007"/>
      <c r="U141" s="1007"/>
      <c r="V141" s="1007"/>
      <c r="W141" s="1007"/>
      <c r="X141" s="1007"/>
      <c r="Y141" s="1007"/>
      <c r="Z141" s="1007"/>
      <c r="AA141" s="1007"/>
      <c r="AB141" s="1233">
        <v>1.6481964429145151</v>
      </c>
      <c r="AC141" s="1007"/>
      <c r="AD141" s="1007"/>
      <c r="AE141" s="1007"/>
      <c r="AF141" s="1007"/>
      <c r="AG141" s="1007"/>
      <c r="AH141" s="1007"/>
      <c r="AI141" s="1233">
        <v>6.8977626046223218E-3</v>
      </c>
      <c r="AJ141" s="1005"/>
      <c r="AK141" s="1005"/>
      <c r="AL141" s="1005"/>
      <c r="AM141" s="1005"/>
      <c r="AN141" s="1005"/>
      <c r="AO141" s="1005"/>
      <c r="AP141" s="1005"/>
      <c r="AQ141" s="1005"/>
      <c r="AR141" s="1005"/>
      <c r="AS141" s="1005"/>
      <c r="AT141" s="1005"/>
      <c r="AU141" s="1006"/>
      <c r="AV141" s="1270"/>
      <c r="AW141" s="1480">
        <v>0.14114099999999999</v>
      </c>
      <c r="AX141" s="1006"/>
      <c r="AY141" s="1006"/>
      <c r="AZ141" s="1006"/>
      <c r="BA141" s="1006"/>
      <c r="BB141" s="1006"/>
      <c r="BC141" s="1006"/>
      <c r="BD141" s="1006"/>
      <c r="BE141" s="1006"/>
      <c r="BF141" s="1006"/>
      <c r="BG141" s="1006"/>
      <c r="BH141" s="1006"/>
      <c r="BI141" s="1006"/>
      <c r="BJ141" s="1006"/>
      <c r="BK141" s="1006"/>
      <c r="BL141" s="1006"/>
      <c r="BM141" s="1480">
        <v>1.6341333333333332</v>
      </c>
      <c r="BN141" s="1006"/>
      <c r="BO141" s="1006"/>
      <c r="BP141" s="1006"/>
      <c r="BQ141" s="1006"/>
      <c r="BR141" s="1006"/>
      <c r="BS141" s="1006"/>
      <c r="BT141" s="1480">
        <v>7.7867788259152124E-3</v>
      </c>
      <c r="BU141" s="1006"/>
      <c r="BV141" s="1006"/>
      <c r="BW141" s="1006"/>
      <c r="BX141" s="1006"/>
      <c r="BY141" s="1006"/>
      <c r="BZ141" s="1006"/>
      <c r="CA141" s="1006"/>
      <c r="CB141" s="1006"/>
      <c r="CC141" s="1006"/>
      <c r="CD141" s="1006"/>
      <c r="CE141" s="1006"/>
      <c r="CF141" s="1006"/>
      <c r="CG141" s="1209"/>
      <c r="CH141" s="1236">
        <v>3263.885524421868</v>
      </c>
      <c r="CI141" s="1007"/>
      <c r="CJ141" s="1007"/>
      <c r="CK141" s="1007"/>
      <c r="CL141" s="1007"/>
      <c r="CM141" s="1007"/>
      <c r="CN141" s="1007"/>
      <c r="CO141" s="1007"/>
      <c r="CP141" s="1007"/>
      <c r="CQ141" s="1007"/>
      <c r="CR141" s="1007"/>
      <c r="CS141" s="1007"/>
      <c r="CT141" s="1007"/>
      <c r="CU141" s="1007"/>
      <c r="CV141" s="1007"/>
      <c r="CW141" s="1007"/>
      <c r="CX141" s="1236">
        <v>308811.32488390093</v>
      </c>
      <c r="CY141" s="1007"/>
      <c r="CZ141" s="1007"/>
      <c r="DA141" s="1007"/>
      <c r="DB141" s="1007"/>
      <c r="DC141" s="1007"/>
      <c r="DD141" s="1007"/>
      <c r="DE141" s="1236">
        <v>46311701.053721033</v>
      </c>
      <c r="DF141" s="1007"/>
      <c r="DG141" s="1007"/>
      <c r="DH141" s="1007"/>
      <c r="DI141" s="1006"/>
      <c r="DJ141" s="1006"/>
      <c r="DK141" s="1007"/>
      <c r="DL141" s="1007"/>
      <c r="DM141" s="1007"/>
      <c r="DN141" s="1007"/>
      <c r="DO141" s="1112"/>
      <c r="DP141" s="1112"/>
      <c r="DQ141" s="1270"/>
      <c r="DR141" s="1154">
        <f t="shared" si="444"/>
        <v>168143.84438288579</v>
      </c>
      <c r="DS141" s="1154">
        <f t="shared" si="445"/>
        <v>0</v>
      </c>
      <c r="DT141" s="1154">
        <f t="shared" si="446"/>
        <v>0</v>
      </c>
      <c r="DU141" s="1154">
        <f t="shared" si="447"/>
        <v>0</v>
      </c>
      <c r="DV141" s="1154">
        <f t="shared" si="448"/>
        <v>0</v>
      </c>
      <c r="DW141" s="1154">
        <f t="shared" si="449"/>
        <v>0</v>
      </c>
      <c r="DX141" s="1154">
        <f t="shared" si="450"/>
        <v>0</v>
      </c>
      <c r="DY141" s="1154">
        <f t="shared" si="451"/>
        <v>0</v>
      </c>
      <c r="DZ141" s="1154">
        <f t="shared" si="452"/>
        <v>0</v>
      </c>
      <c r="EA141" s="1154">
        <f t="shared" si="453"/>
        <v>0</v>
      </c>
      <c r="EB141" s="1154">
        <f t="shared" si="454"/>
        <v>0</v>
      </c>
      <c r="EC141" s="1154">
        <f t="shared" si="455"/>
        <v>0</v>
      </c>
      <c r="ED141" s="1154">
        <f t="shared" si="456"/>
        <v>0</v>
      </c>
      <c r="EE141" s="1154">
        <f t="shared" si="457"/>
        <v>0</v>
      </c>
      <c r="EF141" s="1154">
        <f t="shared" si="458"/>
        <v>0</v>
      </c>
      <c r="EG141" s="1154">
        <f t="shared" si="459"/>
        <v>0</v>
      </c>
      <c r="EH141" s="1154">
        <f t="shared" si="460"/>
        <v>508981.72720536421</v>
      </c>
      <c r="EI141" s="1154">
        <f t="shared" si="461"/>
        <v>0</v>
      </c>
      <c r="EJ141" s="1154">
        <f t="shared" si="462"/>
        <v>0</v>
      </c>
      <c r="EK141" s="1154">
        <f t="shared" si="463"/>
        <v>0</v>
      </c>
      <c r="EL141" s="1154">
        <f t="shared" si="464"/>
        <v>0</v>
      </c>
      <c r="EM141" s="1154">
        <f t="shared" si="465"/>
        <v>0</v>
      </c>
      <c r="EN141" s="1154">
        <f t="shared" si="466"/>
        <v>0</v>
      </c>
      <c r="EO141" s="1154">
        <f t="shared" si="467"/>
        <v>319447.1196848051</v>
      </c>
      <c r="EP141" s="1154">
        <f t="shared" si="468"/>
        <v>0</v>
      </c>
      <c r="EQ141" s="1154">
        <f t="shared" si="469"/>
        <v>0</v>
      </c>
      <c r="ER141" s="1154">
        <f t="shared" si="470"/>
        <v>0</v>
      </c>
      <c r="ES141" s="1154">
        <f t="shared" si="471"/>
        <v>0</v>
      </c>
      <c r="ET141" s="1154">
        <f t="shared" si="472"/>
        <v>0</v>
      </c>
      <c r="EU141" s="1154">
        <f t="shared" si="473"/>
        <v>0</v>
      </c>
      <c r="EV141" s="1154">
        <f t="shared" si="474"/>
        <v>0</v>
      </c>
      <c r="EW141" s="1154">
        <f t="shared" si="475"/>
        <v>0</v>
      </c>
      <c r="EX141" s="1154">
        <f t="shared" si="476"/>
        <v>0</v>
      </c>
      <c r="EY141" s="1154">
        <f t="shared" si="477"/>
        <v>0</v>
      </c>
      <c r="EZ141" s="1154">
        <f t="shared" si="478"/>
        <v>0</v>
      </c>
      <c r="FA141" s="1174">
        <f t="shared" si="479"/>
        <v>996572.69127305504</v>
      </c>
      <c r="FC141" s="1154">
        <f t="shared" si="480"/>
        <v>168143.84438288579</v>
      </c>
      <c r="FD141" s="1154">
        <f t="shared" si="481"/>
        <v>0</v>
      </c>
      <c r="FE141" s="1154">
        <f t="shared" si="482"/>
        <v>0</v>
      </c>
      <c r="FF141" s="1154">
        <f t="shared" si="483"/>
        <v>0</v>
      </c>
      <c r="FG141" s="1154">
        <f t="shared" si="484"/>
        <v>0</v>
      </c>
      <c r="FH141" s="1154">
        <f t="shared" si="485"/>
        <v>0</v>
      </c>
      <c r="FI141" s="1154">
        <f t="shared" si="486"/>
        <v>0</v>
      </c>
      <c r="FJ141" s="1154">
        <f t="shared" si="487"/>
        <v>0</v>
      </c>
      <c r="FK141" s="1154">
        <f t="shared" si="488"/>
        <v>0</v>
      </c>
      <c r="FL141" s="1154">
        <f t="shared" si="489"/>
        <v>0</v>
      </c>
      <c r="FM141" s="1154">
        <f t="shared" si="490"/>
        <v>0</v>
      </c>
      <c r="FN141" s="1154">
        <f t="shared" si="491"/>
        <v>0</v>
      </c>
      <c r="FO141" s="1154">
        <f t="shared" si="492"/>
        <v>0</v>
      </c>
      <c r="FP141" s="1154">
        <f t="shared" si="493"/>
        <v>0</v>
      </c>
      <c r="FQ141" s="1154">
        <f t="shared" si="494"/>
        <v>0</v>
      </c>
      <c r="FR141" s="1154">
        <f t="shared" si="495"/>
        <v>0</v>
      </c>
      <c r="FS141" s="1154">
        <f t="shared" si="496"/>
        <v>504638.87970361195</v>
      </c>
      <c r="FT141" s="1154">
        <f t="shared" si="497"/>
        <v>0</v>
      </c>
      <c r="FU141" s="1154">
        <f t="shared" si="498"/>
        <v>0</v>
      </c>
      <c r="FV141" s="1154">
        <f t="shared" si="499"/>
        <v>0</v>
      </c>
      <c r="FW141" s="1154">
        <f t="shared" si="500"/>
        <v>0</v>
      </c>
      <c r="FX141" s="1154">
        <f t="shared" si="501"/>
        <v>0</v>
      </c>
      <c r="FY141" s="1154">
        <f t="shared" si="502"/>
        <v>0</v>
      </c>
      <c r="FZ141" s="1154">
        <f t="shared" si="503"/>
        <v>360618.97315723018</v>
      </c>
      <c r="GA141" s="1154">
        <f t="shared" si="504"/>
        <v>0</v>
      </c>
      <c r="GB141" s="1154">
        <f t="shared" si="505"/>
        <v>0</v>
      </c>
      <c r="GC141" s="1154">
        <f t="shared" si="506"/>
        <v>0</v>
      </c>
      <c r="GD141" s="1154">
        <f t="shared" si="507"/>
        <v>0</v>
      </c>
      <c r="GE141" s="1154">
        <f t="shared" si="508"/>
        <v>0</v>
      </c>
      <c r="GF141" s="1154">
        <f t="shared" si="509"/>
        <v>0</v>
      </c>
      <c r="GG141" s="1154">
        <f t="shared" si="510"/>
        <v>0</v>
      </c>
      <c r="GH141" s="1154">
        <f t="shared" si="511"/>
        <v>0</v>
      </c>
      <c r="GI141" s="1154">
        <f t="shared" si="512"/>
        <v>0</v>
      </c>
      <c r="GJ141" s="1154">
        <f t="shared" si="513"/>
        <v>0</v>
      </c>
      <c r="GK141" s="1154">
        <f t="shared" si="514"/>
        <v>0</v>
      </c>
      <c r="GL141" s="1174">
        <f t="shared" si="515"/>
        <v>1033401.6972437279</v>
      </c>
    </row>
    <row r="142" spans="2:194">
      <c r="B142" s="1290" t="str">
        <f t="shared" si="443"/>
        <v>SACDUOSWBTDEM</v>
      </c>
      <c r="C142" s="1289" t="str">
        <f>Prop2021DUOSTariffs!C64</f>
        <v>West SAC&lt;100MWhpa Business TOU Transitional Demand</v>
      </c>
      <c r="D142" s="1113" t="str">
        <f>Prop2021DUOSTariffs!D64</f>
        <v>West SAC&lt;100MWhpa Business TOU Transitional Demand</v>
      </c>
      <c r="E142" s="1113" t="str">
        <f>Prop2021DUOSTariffs!E64</f>
        <v>SAC</v>
      </c>
      <c r="F142" s="1113" t="str">
        <f>Prop2021DUOSTariffs!F64</f>
        <v>SACS Bus</v>
      </c>
      <c r="G142" s="1113" t="str">
        <f>Prop2021DUOSTariffs!G64</f>
        <v>West</v>
      </c>
      <c r="H142" s="1113" t="str">
        <f>IF(Prop2021DUOSTariffs!H64="","",Prop2021DUOSTariffs!H64)</f>
        <v>WBTDEM</v>
      </c>
      <c r="I142" s="1114" t="s">
        <v>798</v>
      </c>
      <c r="J142" s="1114" t="s">
        <v>934</v>
      </c>
      <c r="K142" s="1270"/>
      <c r="L142" s="1233">
        <v>5.231100000000001E-2</v>
      </c>
      <c r="M142" s="1007"/>
      <c r="N142" s="1007"/>
      <c r="O142" s="1007"/>
      <c r="P142" s="1007"/>
      <c r="Q142" s="1007"/>
      <c r="R142" s="1007"/>
      <c r="S142" s="1007"/>
      <c r="T142" s="1007"/>
      <c r="U142" s="1007"/>
      <c r="V142" s="1007"/>
      <c r="W142" s="1007"/>
      <c r="X142" s="1007"/>
      <c r="Y142" s="1007"/>
      <c r="Z142" s="1007"/>
      <c r="AA142" s="1007"/>
      <c r="AB142" s="1233">
        <v>0.37547033849684452</v>
      </c>
      <c r="AC142" s="1007"/>
      <c r="AD142" s="1007"/>
      <c r="AE142" s="1007"/>
      <c r="AF142" s="1007"/>
      <c r="AG142" s="1007"/>
      <c r="AH142" s="1007"/>
      <c r="AI142" s="1233">
        <v>6.8419052512873335E-3</v>
      </c>
      <c r="AJ142" s="1005"/>
      <c r="AK142" s="1005"/>
      <c r="AL142" s="1005"/>
      <c r="AM142" s="1005"/>
      <c r="AN142" s="1005"/>
      <c r="AO142" s="1005"/>
      <c r="AP142" s="1005"/>
      <c r="AQ142" s="1005"/>
      <c r="AR142" s="1005"/>
      <c r="AS142" s="1005"/>
      <c r="AT142" s="1005"/>
      <c r="AU142" s="1006"/>
      <c r="AV142" s="1270"/>
      <c r="AW142" s="1480">
        <v>4.9350000000000005E-2</v>
      </c>
      <c r="AX142" s="1006"/>
      <c r="AY142" s="1006"/>
      <c r="AZ142" s="1006"/>
      <c r="BA142" s="1006"/>
      <c r="BB142" s="1006"/>
      <c r="BC142" s="1006"/>
      <c r="BD142" s="1006"/>
      <c r="BE142" s="1006"/>
      <c r="BF142" s="1006"/>
      <c r="BG142" s="1006"/>
      <c r="BH142" s="1006"/>
      <c r="BI142" s="1006"/>
      <c r="BJ142" s="1006"/>
      <c r="BK142" s="1006"/>
      <c r="BL142" s="1006"/>
      <c r="BM142" s="1480">
        <v>0.37226666666666669</v>
      </c>
      <c r="BN142" s="1006"/>
      <c r="BO142" s="1006"/>
      <c r="BP142" s="1006"/>
      <c r="BQ142" s="1006"/>
      <c r="BR142" s="1006"/>
      <c r="BS142" s="1006"/>
      <c r="BT142" s="1480">
        <v>5.0771473453572824E-3</v>
      </c>
      <c r="BU142" s="1006"/>
      <c r="BV142" s="1006"/>
      <c r="BW142" s="1006"/>
      <c r="BX142" s="1006"/>
      <c r="BY142" s="1006"/>
      <c r="BZ142" s="1006"/>
      <c r="CA142" s="1006"/>
      <c r="CB142" s="1006"/>
      <c r="CC142" s="1006"/>
      <c r="CD142" s="1006"/>
      <c r="CE142" s="1006"/>
      <c r="CF142" s="1006"/>
      <c r="CG142" s="1209"/>
      <c r="CH142" s="1236">
        <v>1544.9910368927972</v>
      </c>
      <c r="CI142" s="1007"/>
      <c r="CJ142" s="1007"/>
      <c r="CK142" s="1007"/>
      <c r="CL142" s="1007"/>
      <c r="CM142" s="1007"/>
      <c r="CN142" s="1007"/>
      <c r="CO142" s="1007"/>
      <c r="CP142" s="1007"/>
      <c r="CQ142" s="1007"/>
      <c r="CR142" s="1007"/>
      <c r="CS142" s="1007"/>
      <c r="CT142" s="1007"/>
      <c r="CU142" s="1007"/>
      <c r="CV142" s="1007"/>
      <c r="CW142" s="1007"/>
      <c r="CX142" s="1236">
        <v>137809.83358579097</v>
      </c>
      <c r="CY142" s="1007"/>
      <c r="CZ142" s="1007"/>
      <c r="DA142" s="1007"/>
      <c r="DB142" s="1007"/>
      <c r="DC142" s="1007"/>
      <c r="DD142" s="1007"/>
      <c r="DE142" s="1236">
        <v>9649788.3852611687</v>
      </c>
      <c r="DF142" s="1007"/>
      <c r="DG142" s="1007"/>
      <c r="DH142" s="1007"/>
      <c r="DI142" s="1006"/>
      <c r="DJ142" s="1006"/>
      <c r="DK142" s="1007"/>
      <c r="DL142" s="1007"/>
      <c r="DM142" s="1007"/>
      <c r="DN142" s="1007"/>
      <c r="DO142" s="1112"/>
      <c r="DP142" s="1112"/>
      <c r="DQ142" s="1270"/>
      <c r="DR142" s="1154">
        <f t="shared" si="444"/>
        <v>29499.309537778179</v>
      </c>
      <c r="DS142" s="1154">
        <f t="shared" si="445"/>
        <v>0</v>
      </c>
      <c r="DT142" s="1154">
        <f t="shared" si="446"/>
        <v>0</v>
      </c>
      <c r="DU142" s="1154">
        <f t="shared" si="447"/>
        <v>0</v>
      </c>
      <c r="DV142" s="1154">
        <f t="shared" si="448"/>
        <v>0</v>
      </c>
      <c r="DW142" s="1154">
        <f t="shared" si="449"/>
        <v>0</v>
      </c>
      <c r="DX142" s="1154">
        <f t="shared" si="450"/>
        <v>0</v>
      </c>
      <c r="DY142" s="1154">
        <f t="shared" si="451"/>
        <v>0</v>
      </c>
      <c r="DZ142" s="1154">
        <f t="shared" si="452"/>
        <v>0</v>
      </c>
      <c r="EA142" s="1154">
        <f t="shared" si="453"/>
        <v>0</v>
      </c>
      <c r="EB142" s="1154">
        <f t="shared" si="454"/>
        <v>0</v>
      </c>
      <c r="EC142" s="1154">
        <f t="shared" si="455"/>
        <v>0</v>
      </c>
      <c r="ED142" s="1154">
        <f t="shared" si="456"/>
        <v>0</v>
      </c>
      <c r="EE142" s="1154">
        <f t="shared" si="457"/>
        <v>0</v>
      </c>
      <c r="EF142" s="1154">
        <f t="shared" si="458"/>
        <v>0</v>
      </c>
      <c r="EG142" s="1154">
        <f t="shared" si="459"/>
        <v>0</v>
      </c>
      <c r="EH142" s="1154">
        <f t="shared" si="460"/>
        <v>51743.504864650749</v>
      </c>
      <c r="EI142" s="1154">
        <f t="shared" si="461"/>
        <v>0</v>
      </c>
      <c r="EJ142" s="1154">
        <f t="shared" si="462"/>
        <v>0</v>
      </c>
      <c r="EK142" s="1154">
        <f t="shared" si="463"/>
        <v>0</v>
      </c>
      <c r="EL142" s="1154">
        <f t="shared" si="464"/>
        <v>0</v>
      </c>
      <c r="EM142" s="1154">
        <f t="shared" si="465"/>
        <v>0</v>
      </c>
      <c r="EN142" s="1154">
        <f t="shared" si="466"/>
        <v>0</v>
      </c>
      <c r="EO142" s="1154">
        <f t="shared" si="467"/>
        <v>66022.937826929905</v>
      </c>
      <c r="EP142" s="1154">
        <f t="shared" si="468"/>
        <v>0</v>
      </c>
      <c r="EQ142" s="1154">
        <f t="shared" si="469"/>
        <v>0</v>
      </c>
      <c r="ER142" s="1154">
        <f t="shared" si="470"/>
        <v>0</v>
      </c>
      <c r="ES142" s="1154">
        <f t="shared" si="471"/>
        <v>0</v>
      </c>
      <c r="ET142" s="1154">
        <f t="shared" si="472"/>
        <v>0</v>
      </c>
      <c r="EU142" s="1154">
        <f t="shared" si="473"/>
        <v>0</v>
      </c>
      <c r="EV142" s="1154">
        <f t="shared" si="474"/>
        <v>0</v>
      </c>
      <c r="EW142" s="1154">
        <f t="shared" si="475"/>
        <v>0</v>
      </c>
      <c r="EX142" s="1154">
        <f t="shared" si="476"/>
        <v>0</v>
      </c>
      <c r="EY142" s="1154">
        <f t="shared" si="477"/>
        <v>0</v>
      </c>
      <c r="EZ142" s="1154">
        <f t="shared" si="478"/>
        <v>0</v>
      </c>
      <c r="FA142" s="1174">
        <f t="shared" si="479"/>
        <v>147265.75222935883</v>
      </c>
      <c r="FC142" s="1154">
        <f t="shared" si="480"/>
        <v>27829.537299790733</v>
      </c>
      <c r="FD142" s="1154">
        <f t="shared" si="481"/>
        <v>0</v>
      </c>
      <c r="FE142" s="1154">
        <f t="shared" si="482"/>
        <v>0</v>
      </c>
      <c r="FF142" s="1154">
        <f t="shared" si="483"/>
        <v>0</v>
      </c>
      <c r="FG142" s="1154">
        <f t="shared" si="484"/>
        <v>0</v>
      </c>
      <c r="FH142" s="1154">
        <f t="shared" si="485"/>
        <v>0</v>
      </c>
      <c r="FI142" s="1154">
        <f t="shared" si="486"/>
        <v>0</v>
      </c>
      <c r="FJ142" s="1154">
        <f t="shared" si="487"/>
        <v>0</v>
      </c>
      <c r="FK142" s="1154">
        <f t="shared" si="488"/>
        <v>0</v>
      </c>
      <c r="FL142" s="1154">
        <f t="shared" si="489"/>
        <v>0</v>
      </c>
      <c r="FM142" s="1154">
        <f t="shared" si="490"/>
        <v>0</v>
      </c>
      <c r="FN142" s="1154">
        <f t="shared" si="491"/>
        <v>0</v>
      </c>
      <c r="FO142" s="1154">
        <f t="shared" si="492"/>
        <v>0</v>
      </c>
      <c r="FP142" s="1154">
        <f t="shared" si="493"/>
        <v>0</v>
      </c>
      <c r="FQ142" s="1154">
        <f t="shared" si="494"/>
        <v>0</v>
      </c>
      <c r="FR142" s="1154">
        <f t="shared" si="495"/>
        <v>0</v>
      </c>
      <c r="FS142" s="1154">
        <f t="shared" si="496"/>
        <v>51302.007382870455</v>
      </c>
      <c r="FT142" s="1154">
        <f t="shared" si="497"/>
        <v>0</v>
      </c>
      <c r="FU142" s="1154">
        <f t="shared" si="498"/>
        <v>0</v>
      </c>
      <c r="FV142" s="1154">
        <f t="shared" si="499"/>
        <v>0</v>
      </c>
      <c r="FW142" s="1154">
        <f t="shared" si="500"/>
        <v>0</v>
      </c>
      <c r="FX142" s="1154">
        <f t="shared" si="501"/>
        <v>0</v>
      </c>
      <c r="FY142" s="1154">
        <f t="shared" si="502"/>
        <v>0</v>
      </c>
      <c r="FZ142" s="1154">
        <f t="shared" si="503"/>
        <v>48993.397483488283</v>
      </c>
      <c r="GA142" s="1154">
        <f t="shared" si="504"/>
        <v>0</v>
      </c>
      <c r="GB142" s="1154">
        <f t="shared" si="505"/>
        <v>0</v>
      </c>
      <c r="GC142" s="1154">
        <f t="shared" si="506"/>
        <v>0</v>
      </c>
      <c r="GD142" s="1154">
        <f t="shared" si="507"/>
        <v>0</v>
      </c>
      <c r="GE142" s="1154">
        <f t="shared" si="508"/>
        <v>0</v>
      </c>
      <c r="GF142" s="1154">
        <f t="shared" si="509"/>
        <v>0</v>
      </c>
      <c r="GG142" s="1154">
        <f t="shared" si="510"/>
        <v>0</v>
      </c>
      <c r="GH142" s="1154">
        <f t="shared" si="511"/>
        <v>0</v>
      </c>
      <c r="GI142" s="1154">
        <f t="shared" si="512"/>
        <v>0</v>
      </c>
      <c r="GJ142" s="1154">
        <f t="shared" si="513"/>
        <v>0</v>
      </c>
      <c r="GK142" s="1154">
        <f t="shared" si="514"/>
        <v>0</v>
      </c>
      <c r="GL142" s="1174">
        <f t="shared" si="515"/>
        <v>128124.94216614947</v>
      </c>
    </row>
    <row r="143" spans="2:194">
      <c r="B143" s="1290" t="str">
        <f t="shared" si="443"/>
        <v>SACDUOSWBTDEM</v>
      </c>
      <c r="C143" s="1289" t="str">
        <f>C142</f>
        <v>West SAC&lt;100MWhpa Business TOU Transitional Demand</v>
      </c>
      <c r="D143" s="1113" t="str">
        <f t="shared" ref="D143:H143" si="534">D142</f>
        <v>West SAC&lt;100MWhpa Business TOU Transitional Demand</v>
      </c>
      <c r="E143" s="1113" t="str">
        <f t="shared" si="534"/>
        <v>SAC</v>
      </c>
      <c r="F143" s="1113" t="str">
        <f t="shared" si="534"/>
        <v>SACS Bus</v>
      </c>
      <c r="G143" s="1113" t="str">
        <f t="shared" si="534"/>
        <v>West</v>
      </c>
      <c r="H143" s="1113" t="str">
        <f t="shared" si="534"/>
        <v>WBTDEM</v>
      </c>
      <c r="I143" s="1114" t="s">
        <v>752</v>
      </c>
      <c r="J143" s="1114" t="s">
        <v>934</v>
      </c>
      <c r="K143" s="1270"/>
      <c r="L143" s="1233">
        <v>8.7226125000000002E-2</v>
      </c>
      <c r="M143" s="1007"/>
      <c r="N143" s="1007"/>
      <c r="O143" s="1007"/>
      <c r="P143" s="1007"/>
      <c r="Q143" s="1007"/>
      <c r="R143" s="1007"/>
      <c r="S143" s="1007"/>
      <c r="T143" s="1007"/>
      <c r="U143" s="1007"/>
      <c r="V143" s="1007"/>
      <c r="W143" s="1007"/>
      <c r="X143" s="1007"/>
      <c r="Y143" s="1007"/>
      <c r="Z143" s="1007"/>
      <c r="AA143" s="1007"/>
      <c r="AB143" s="1233">
        <v>0.85126333907056795</v>
      </c>
      <c r="AC143" s="1007"/>
      <c r="AD143" s="1007"/>
      <c r="AE143" s="1007"/>
      <c r="AF143" s="1007"/>
      <c r="AG143" s="1007"/>
      <c r="AH143" s="1007"/>
      <c r="AI143" s="1233">
        <v>7.3231188457637255E-3</v>
      </c>
      <c r="AJ143" s="1005"/>
      <c r="AK143" s="1005"/>
      <c r="AL143" s="1005"/>
      <c r="AM143" s="1005"/>
      <c r="AN143" s="1005"/>
      <c r="AO143" s="1005"/>
      <c r="AP143" s="1005"/>
      <c r="AQ143" s="1005"/>
      <c r="AR143" s="1005"/>
      <c r="AS143" s="1005"/>
      <c r="AT143" s="1005"/>
      <c r="AU143" s="1006"/>
      <c r="AV143" s="1270"/>
      <c r="AW143" s="1480">
        <v>8.6362499999999995E-2</v>
      </c>
      <c r="AX143" s="1006"/>
      <c r="AY143" s="1006"/>
      <c r="AZ143" s="1006"/>
      <c r="BA143" s="1006"/>
      <c r="BB143" s="1006"/>
      <c r="BC143" s="1006"/>
      <c r="BD143" s="1006"/>
      <c r="BE143" s="1006"/>
      <c r="BF143" s="1006"/>
      <c r="BG143" s="1006"/>
      <c r="BH143" s="1006"/>
      <c r="BI143" s="1006"/>
      <c r="BJ143" s="1006"/>
      <c r="BK143" s="1006"/>
      <c r="BL143" s="1006"/>
      <c r="BM143" s="1480">
        <v>0.84399999999999997</v>
      </c>
      <c r="BN143" s="1006"/>
      <c r="BO143" s="1006"/>
      <c r="BP143" s="1006"/>
      <c r="BQ143" s="1006"/>
      <c r="BR143" s="1006"/>
      <c r="BS143" s="1006"/>
      <c r="BT143" s="1480">
        <v>7.0741954300528155E-3</v>
      </c>
      <c r="BU143" s="1006"/>
      <c r="BV143" s="1006"/>
      <c r="BW143" s="1006"/>
      <c r="BX143" s="1006"/>
      <c r="BY143" s="1006"/>
      <c r="BZ143" s="1006"/>
      <c r="CA143" s="1006"/>
      <c r="CB143" s="1006"/>
      <c r="CC143" s="1006"/>
      <c r="CD143" s="1006"/>
      <c r="CE143" s="1006"/>
      <c r="CF143" s="1006"/>
      <c r="CG143" s="1209"/>
      <c r="CH143" s="1236">
        <v>420.06113932763924</v>
      </c>
      <c r="CI143" s="1007"/>
      <c r="CJ143" s="1007"/>
      <c r="CK143" s="1007"/>
      <c r="CL143" s="1007"/>
      <c r="CM143" s="1007"/>
      <c r="CN143" s="1007"/>
      <c r="CO143" s="1007"/>
      <c r="CP143" s="1007"/>
      <c r="CQ143" s="1007"/>
      <c r="CR143" s="1007"/>
      <c r="CS143" s="1007"/>
      <c r="CT143" s="1007"/>
      <c r="CU143" s="1007"/>
      <c r="CV143" s="1007"/>
      <c r="CW143" s="1007"/>
      <c r="CX143" s="1236">
        <v>37468.53821432004</v>
      </c>
      <c r="CY143" s="1007"/>
      <c r="CZ143" s="1007"/>
      <c r="DA143" s="1007"/>
      <c r="DB143" s="1007"/>
      <c r="DC143" s="1007"/>
      <c r="DD143" s="1007"/>
      <c r="DE143" s="1236">
        <v>2623640.5303267068</v>
      </c>
      <c r="DF143" s="1007"/>
      <c r="DG143" s="1007"/>
      <c r="DH143" s="1007"/>
      <c r="DI143" s="1006"/>
      <c r="DJ143" s="1006"/>
      <c r="DK143" s="1007"/>
      <c r="DL143" s="1007"/>
      <c r="DM143" s="1007"/>
      <c r="DN143" s="1007"/>
      <c r="DO143" s="1112"/>
      <c r="DP143" s="1112"/>
      <c r="DQ143" s="1270"/>
      <c r="DR143" s="1154">
        <f t="shared" si="444"/>
        <v>13373.711488021803</v>
      </c>
      <c r="DS143" s="1154">
        <f t="shared" si="445"/>
        <v>0</v>
      </c>
      <c r="DT143" s="1154">
        <f t="shared" si="446"/>
        <v>0</v>
      </c>
      <c r="DU143" s="1154">
        <f t="shared" si="447"/>
        <v>0</v>
      </c>
      <c r="DV143" s="1154">
        <f t="shared" si="448"/>
        <v>0</v>
      </c>
      <c r="DW143" s="1154">
        <f t="shared" si="449"/>
        <v>0</v>
      </c>
      <c r="DX143" s="1154">
        <f t="shared" si="450"/>
        <v>0</v>
      </c>
      <c r="DY143" s="1154">
        <f t="shared" si="451"/>
        <v>0</v>
      </c>
      <c r="DZ143" s="1154">
        <f t="shared" si="452"/>
        <v>0</v>
      </c>
      <c r="EA143" s="1154">
        <f t="shared" si="453"/>
        <v>0</v>
      </c>
      <c r="EB143" s="1154">
        <f t="shared" si="454"/>
        <v>0</v>
      </c>
      <c r="EC143" s="1154">
        <f t="shared" si="455"/>
        <v>0</v>
      </c>
      <c r="ED143" s="1154">
        <f t="shared" si="456"/>
        <v>0</v>
      </c>
      <c r="EE143" s="1154">
        <f t="shared" si="457"/>
        <v>0</v>
      </c>
      <c r="EF143" s="1154">
        <f t="shared" si="458"/>
        <v>0</v>
      </c>
      <c r="EG143" s="1154">
        <f t="shared" si="459"/>
        <v>0</v>
      </c>
      <c r="EH143" s="1154">
        <f t="shared" si="460"/>
        <v>31895.592950415252</v>
      </c>
      <c r="EI143" s="1154">
        <f t="shared" si="461"/>
        <v>0</v>
      </c>
      <c r="EJ143" s="1154">
        <f t="shared" si="462"/>
        <v>0</v>
      </c>
      <c r="EK143" s="1154">
        <f t="shared" si="463"/>
        <v>0</v>
      </c>
      <c r="EL143" s="1154">
        <f t="shared" si="464"/>
        <v>0</v>
      </c>
      <c r="EM143" s="1154">
        <f t="shared" si="465"/>
        <v>0</v>
      </c>
      <c r="EN143" s="1154">
        <f t="shared" si="466"/>
        <v>0</v>
      </c>
      <c r="EO143" s="1154">
        <f t="shared" si="467"/>
        <v>19213.231412145044</v>
      </c>
      <c r="EP143" s="1154">
        <f t="shared" si="468"/>
        <v>0</v>
      </c>
      <c r="EQ143" s="1154">
        <f t="shared" si="469"/>
        <v>0</v>
      </c>
      <c r="ER143" s="1154">
        <f t="shared" si="470"/>
        <v>0</v>
      </c>
      <c r="ES143" s="1154">
        <f t="shared" si="471"/>
        <v>0</v>
      </c>
      <c r="ET143" s="1154">
        <f t="shared" si="472"/>
        <v>0</v>
      </c>
      <c r="EU143" s="1154">
        <f t="shared" si="473"/>
        <v>0</v>
      </c>
      <c r="EV143" s="1154">
        <f t="shared" si="474"/>
        <v>0</v>
      </c>
      <c r="EW143" s="1154">
        <f t="shared" si="475"/>
        <v>0</v>
      </c>
      <c r="EX143" s="1154">
        <f t="shared" si="476"/>
        <v>0</v>
      </c>
      <c r="EY143" s="1154">
        <f t="shared" si="477"/>
        <v>0</v>
      </c>
      <c r="EZ143" s="1154">
        <f t="shared" si="478"/>
        <v>0</v>
      </c>
      <c r="FA143" s="1174">
        <f t="shared" si="479"/>
        <v>64482.535850582106</v>
      </c>
      <c r="FC143" s="1154">
        <f t="shared" si="480"/>
        <v>13241.298502991884</v>
      </c>
      <c r="FD143" s="1154">
        <f t="shared" si="481"/>
        <v>0</v>
      </c>
      <c r="FE143" s="1154">
        <f t="shared" si="482"/>
        <v>0</v>
      </c>
      <c r="FF143" s="1154">
        <f t="shared" si="483"/>
        <v>0</v>
      </c>
      <c r="FG143" s="1154">
        <f t="shared" si="484"/>
        <v>0</v>
      </c>
      <c r="FH143" s="1154">
        <f t="shared" si="485"/>
        <v>0</v>
      </c>
      <c r="FI143" s="1154">
        <f t="shared" si="486"/>
        <v>0</v>
      </c>
      <c r="FJ143" s="1154">
        <f t="shared" si="487"/>
        <v>0</v>
      </c>
      <c r="FK143" s="1154">
        <f t="shared" si="488"/>
        <v>0</v>
      </c>
      <c r="FL143" s="1154">
        <f t="shared" si="489"/>
        <v>0</v>
      </c>
      <c r="FM143" s="1154">
        <f t="shared" si="490"/>
        <v>0</v>
      </c>
      <c r="FN143" s="1154">
        <f t="shared" si="491"/>
        <v>0</v>
      </c>
      <c r="FO143" s="1154">
        <f t="shared" si="492"/>
        <v>0</v>
      </c>
      <c r="FP143" s="1154">
        <f t="shared" si="493"/>
        <v>0</v>
      </c>
      <c r="FQ143" s="1154">
        <f t="shared" si="494"/>
        <v>0</v>
      </c>
      <c r="FR143" s="1154">
        <f t="shared" si="495"/>
        <v>0</v>
      </c>
      <c r="FS143" s="1154">
        <f t="shared" si="496"/>
        <v>31623.446252886111</v>
      </c>
      <c r="FT143" s="1154">
        <f t="shared" si="497"/>
        <v>0</v>
      </c>
      <c r="FU143" s="1154">
        <f t="shared" si="498"/>
        <v>0</v>
      </c>
      <c r="FV143" s="1154">
        <f t="shared" si="499"/>
        <v>0</v>
      </c>
      <c r="FW143" s="1154">
        <f t="shared" si="500"/>
        <v>0</v>
      </c>
      <c r="FX143" s="1154">
        <f t="shared" si="501"/>
        <v>0</v>
      </c>
      <c r="FY143" s="1154">
        <f t="shared" si="502"/>
        <v>0</v>
      </c>
      <c r="FZ143" s="1154">
        <f t="shared" si="503"/>
        <v>18560.145849738536</v>
      </c>
      <c r="GA143" s="1154">
        <f t="shared" si="504"/>
        <v>0</v>
      </c>
      <c r="GB143" s="1154">
        <f t="shared" si="505"/>
        <v>0</v>
      </c>
      <c r="GC143" s="1154">
        <f t="shared" si="506"/>
        <v>0</v>
      </c>
      <c r="GD143" s="1154">
        <f t="shared" si="507"/>
        <v>0</v>
      </c>
      <c r="GE143" s="1154">
        <f t="shared" si="508"/>
        <v>0</v>
      </c>
      <c r="GF143" s="1154">
        <f t="shared" si="509"/>
        <v>0</v>
      </c>
      <c r="GG143" s="1154">
        <f t="shared" si="510"/>
        <v>0</v>
      </c>
      <c r="GH143" s="1154">
        <f t="shared" si="511"/>
        <v>0</v>
      </c>
      <c r="GI143" s="1154">
        <f t="shared" si="512"/>
        <v>0</v>
      </c>
      <c r="GJ143" s="1154">
        <f t="shared" si="513"/>
        <v>0</v>
      </c>
      <c r="GK143" s="1154">
        <f t="shared" si="514"/>
        <v>0</v>
      </c>
      <c r="GL143" s="1174">
        <f t="shared" si="515"/>
        <v>63424.890605616529</v>
      </c>
    </row>
    <row r="144" spans="2:194">
      <c r="B144" s="1290" t="str">
        <f t="shared" si="443"/>
        <v>SACDUOSWBTDEM</v>
      </c>
      <c r="C144" s="1289" t="str">
        <f t="shared" ref="C144:H144" si="535">C143</f>
        <v>West SAC&lt;100MWhpa Business TOU Transitional Demand</v>
      </c>
      <c r="D144" s="1113" t="str">
        <f t="shared" si="535"/>
        <v>West SAC&lt;100MWhpa Business TOU Transitional Demand</v>
      </c>
      <c r="E144" s="1113" t="str">
        <f t="shared" si="535"/>
        <v>SAC</v>
      </c>
      <c r="F144" s="1113" t="str">
        <f t="shared" si="535"/>
        <v>SACS Bus</v>
      </c>
      <c r="G144" s="1113" t="str">
        <f t="shared" si="535"/>
        <v>West</v>
      </c>
      <c r="H144" s="1113" t="str">
        <f t="shared" si="535"/>
        <v>WBTDEM</v>
      </c>
      <c r="I144" s="1114" t="s">
        <v>759</v>
      </c>
      <c r="J144" s="1114" t="s">
        <v>934</v>
      </c>
      <c r="K144" s="1270"/>
      <c r="L144" s="1233">
        <v>0.14114099999999999</v>
      </c>
      <c r="M144" s="1007"/>
      <c r="N144" s="1007"/>
      <c r="O144" s="1007"/>
      <c r="P144" s="1007"/>
      <c r="Q144" s="1007"/>
      <c r="R144" s="1007"/>
      <c r="S144" s="1007"/>
      <c r="T144" s="1007"/>
      <c r="U144" s="1007"/>
      <c r="V144" s="1007"/>
      <c r="W144" s="1007"/>
      <c r="X144" s="1007"/>
      <c r="Y144" s="1007"/>
      <c r="Z144" s="1007"/>
      <c r="AA144" s="1007"/>
      <c r="AB144" s="1233">
        <v>1.6481964429145151</v>
      </c>
      <c r="AC144" s="1007"/>
      <c r="AD144" s="1007"/>
      <c r="AE144" s="1007"/>
      <c r="AF144" s="1007"/>
      <c r="AG144" s="1007"/>
      <c r="AH144" s="1007"/>
      <c r="AI144" s="1233">
        <v>6.8977626046223218E-3</v>
      </c>
      <c r="AJ144" s="1005"/>
      <c r="AK144" s="1005"/>
      <c r="AL144" s="1005"/>
      <c r="AM144" s="1005"/>
      <c r="AN144" s="1005"/>
      <c r="AO144" s="1005"/>
      <c r="AP144" s="1005"/>
      <c r="AQ144" s="1005"/>
      <c r="AR144" s="1005"/>
      <c r="AS144" s="1005"/>
      <c r="AT144" s="1005"/>
      <c r="AU144" s="1006"/>
      <c r="AV144" s="1270"/>
      <c r="AW144" s="1480">
        <v>0.14114099999999999</v>
      </c>
      <c r="AX144" s="1006"/>
      <c r="AY144" s="1006"/>
      <c r="AZ144" s="1006"/>
      <c r="BA144" s="1006"/>
      <c r="BB144" s="1006"/>
      <c r="BC144" s="1006"/>
      <c r="BD144" s="1006"/>
      <c r="BE144" s="1006"/>
      <c r="BF144" s="1006"/>
      <c r="BG144" s="1006"/>
      <c r="BH144" s="1006"/>
      <c r="BI144" s="1006"/>
      <c r="BJ144" s="1006"/>
      <c r="BK144" s="1006"/>
      <c r="BL144" s="1006"/>
      <c r="BM144" s="1480">
        <v>1.6341333333333332</v>
      </c>
      <c r="BN144" s="1006"/>
      <c r="BO144" s="1006"/>
      <c r="BP144" s="1006"/>
      <c r="BQ144" s="1006"/>
      <c r="BR144" s="1006"/>
      <c r="BS144" s="1006"/>
      <c r="BT144" s="1480">
        <v>7.7867788259152124E-3</v>
      </c>
      <c r="BU144" s="1006"/>
      <c r="BV144" s="1006"/>
      <c r="BW144" s="1006"/>
      <c r="BX144" s="1006"/>
      <c r="BY144" s="1006"/>
      <c r="BZ144" s="1006"/>
      <c r="CA144" s="1006"/>
      <c r="CB144" s="1006"/>
      <c r="CC144" s="1006"/>
      <c r="CD144" s="1006"/>
      <c r="CE144" s="1006"/>
      <c r="CF144" s="1006"/>
      <c r="CG144" s="1209"/>
      <c r="CH144" s="1236">
        <v>100.95782377956363</v>
      </c>
      <c r="CI144" s="1007"/>
      <c r="CJ144" s="1007"/>
      <c r="CK144" s="1007"/>
      <c r="CL144" s="1007"/>
      <c r="CM144" s="1007"/>
      <c r="CN144" s="1007"/>
      <c r="CO144" s="1007"/>
      <c r="CP144" s="1007"/>
      <c r="CQ144" s="1007"/>
      <c r="CR144" s="1007"/>
      <c r="CS144" s="1007"/>
      <c r="CT144" s="1007"/>
      <c r="CU144" s="1007"/>
      <c r="CV144" s="1007"/>
      <c r="CW144" s="1007"/>
      <c r="CX144" s="1236">
        <v>9005.2178698889493</v>
      </c>
      <c r="CY144" s="1007"/>
      <c r="CZ144" s="1007"/>
      <c r="DA144" s="1007"/>
      <c r="DB144" s="1007"/>
      <c r="DC144" s="1007"/>
      <c r="DD144" s="1007"/>
      <c r="DE144" s="1236">
        <v>630567.82340212085</v>
      </c>
      <c r="DF144" s="1007"/>
      <c r="DG144" s="1007"/>
      <c r="DH144" s="1007"/>
      <c r="DI144" s="1006"/>
      <c r="DJ144" s="1006"/>
      <c r="DK144" s="1007"/>
      <c r="DL144" s="1007"/>
      <c r="DM144" s="1007"/>
      <c r="DN144" s="1007"/>
      <c r="DO144" s="1112"/>
      <c r="DP144" s="1112"/>
      <c r="DQ144" s="1270"/>
      <c r="DR144" s="1154">
        <f t="shared" si="444"/>
        <v>5200.9901952160571</v>
      </c>
      <c r="DS144" s="1154">
        <f t="shared" si="445"/>
        <v>0</v>
      </c>
      <c r="DT144" s="1154">
        <f t="shared" si="446"/>
        <v>0</v>
      </c>
      <c r="DU144" s="1154">
        <f t="shared" si="447"/>
        <v>0</v>
      </c>
      <c r="DV144" s="1154">
        <f t="shared" si="448"/>
        <v>0</v>
      </c>
      <c r="DW144" s="1154">
        <f t="shared" si="449"/>
        <v>0</v>
      </c>
      <c r="DX144" s="1154">
        <f t="shared" si="450"/>
        <v>0</v>
      </c>
      <c r="DY144" s="1154">
        <f t="shared" si="451"/>
        <v>0</v>
      </c>
      <c r="DZ144" s="1154">
        <f t="shared" si="452"/>
        <v>0</v>
      </c>
      <c r="EA144" s="1154">
        <f t="shared" si="453"/>
        <v>0</v>
      </c>
      <c r="EB144" s="1154">
        <f t="shared" si="454"/>
        <v>0</v>
      </c>
      <c r="EC144" s="1154">
        <f t="shared" si="455"/>
        <v>0</v>
      </c>
      <c r="ED144" s="1154">
        <f t="shared" si="456"/>
        <v>0</v>
      </c>
      <c r="EE144" s="1154">
        <f t="shared" si="457"/>
        <v>0</v>
      </c>
      <c r="EF144" s="1154">
        <f t="shared" si="458"/>
        <v>0</v>
      </c>
      <c r="EG144" s="1154">
        <f t="shared" si="459"/>
        <v>0</v>
      </c>
      <c r="EH144" s="1154">
        <f t="shared" si="460"/>
        <v>14842.368060821193</v>
      </c>
      <c r="EI144" s="1154">
        <f t="shared" si="461"/>
        <v>0</v>
      </c>
      <c r="EJ144" s="1154">
        <f t="shared" si="462"/>
        <v>0</v>
      </c>
      <c r="EK144" s="1154">
        <f t="shared" si="463"/>
        <v>0</v>
      </c>
      <c r="EL144" s="1154">
        <f t="shared" si="464"/>
        <v>0</v>
      </c>
      <c r="EM144" s="1154">
        <f t="shared" si="465"/>
        <v>0</v>
      </c>
      <c r="EN144" s="1154">
        <f t="shared" si="466"/>
        <v>0</v>
      </c>
      <c r="EO144" s="1154">
        <f t="shared" si="467"/>
        <v>4349.5071519412413</v>
      </c>
      <c r="EP144" s="1154">
        <f t="shared" si="468"/>
        <v>0</v>
      </c>
      <c r="EQ144" s="1154">
        <f t="shared" si="469"/>
        <v>0</v>
      </c>
      <c r="ER144" s="1154">
        <f t="shared" si="470"/>
        <v>0</v>
      </c>
      <c r="ES144" s="1154">
        <f t="shared" si="471"/>
        <v>0</v>
      </c>
      <c r="ET144" s="1154">
        <f t="shared" si="472"/>
        <v>0</v>
      </c>
      <c r="EU144" s="1154">
        <f t="shared" si="473"/>
        <v>0</v>
      </c>
      <c r="EV144" s="1154">
        <f t="shared" si="474"/>
        <v>0</v>
      </c>
      <c r="EW144" s="1154">
        <f t="shared" si="475"/>
        <v>0</v>
      </c>
      <c r="EX144" s="1154">
        <f t="shared" si="476"/>
        <v>0</v>
      </c>
      <c r="EY144" s="1154">
        <f t="shared" si="477"/>
        <v>0</v>
      </c>
      <c r="EZ144" s="1154">
        <f t="shared" si="478"/>
        <v>0</v>
      </c>
      <c r="FA144" s="1174">
        <f t="shared" si="479"/>
        <v>24392.86540797849</v>
      </c>
      <c r="FC144" s="1154">
        <f t="shared" si="480"/>
        <v>5200.9901952160571</v>
      </c>
      <c r="FD144" s="1154">
        <f t="shared" si="481"/>
        <v>0</v>
      </c>
      <c r="FE144" s="1154">
        <f t="shared" si="482"/>
        <v>0</v>
      </c>
      <c r="FF144" s="1154">
        <f t="shared" si="483"/>
        <v>0</v>
      </c>
      <c r="FG144" s="1154">
        <f t="shared" si="484"/>
        <v>0</v>
      </c>
      <c r="FH144" s="1154">
        <f t="shared" si="485"/>
        <v>0</v>
      </c>
      <c r="FI144" s="1154">
        <f t="shared" si="486"/>
        <v>0</v>
      </c>
      <c r="FJ144" s="1154">
        <f t="shared" si="487"/>
        <v>0</v>
      </c>
      <c r="FK144" s="1154">
        <f t="shared" si="488"/>
        <v>0</v>
      </c>
      <c r="FL144" s="1154">
        <f t="shared" si="489"/>
        <v>0</v>
      </c>
      <c r="FM144" s="1154">
        <f t="shared" si="490"/>
        <v>0</v>
      </c>
      <c r="FN144" s="1154">
        <f t="shared" si="491"/>
        <v>0</v>
      </c>
      <c r="FO144" s="1154">
        <f t="shared" si="492"/>
        <v>0</v>
      </c>
      <c r="FP144" s="1154">
        <f t="shared" si="493"/>
        <v>0</v>
      </c>
      <c r="FQ144" s="1154">
        <f t="shared" si="494"/>
        <v>0</v>
      </c>
      <c r="FR144" s="1154">
        <f t="shared" si="495"/>
        <v>0</v>
      </c>
      <c r="FS144" s="1154">
        <f t="shared" si="496"/>
        <v>14715.726695114527</v>
      </c>
      <c r="FT144" s="1154">
        <f t="shared" si="497"/>
        <v>0</v>
      </c>
      <c r="FU144" s="1154">
        <f t="shared" si="498"/>
        <v>0</v>
      </c>
      <c r="FV144" s="1154">
        <f t="shared" si="499"/>
        <v>0</v>
      </c>
      <c r="FW144" s="1154">
        <f t="shared" si="500"/>
        <v>0</v>
      </c>
      <c r="FX144" s="1154">
        <f t="shared" si="501"/>
        <v>0</v>
      </c>
      <c r="FY144" s="1154">
        <f t="shared" si="502"/>
        <v>0</v>
      </c>
      <c r="FZ144" s="1154">
        <f t="shared" si="503"/>
        <v>4910.0921755710779</v>
      </c>
      <c r="GA144" s="1154">
        <f t="shared" si="504"/>
        <v>0</v>
      </c>
      <c r="GB144" s="1154">
        <f t="shared" si="505"/>
        <v>0</v>
      </c>
      <c r="GC144" s="1154">
        <f t="shared" si="506"/>
        <v>0</v>
      </c>
      <c r="GD144" s="1154">
        <f t="shared" si="507"/>
        <v>0</v>
      </c>
      <c r="GE144" s="1154">
        <f t="shared" si="508"/>
        <v>0</v>
      </c>
      <c r="GF144" s="1154">
        <f t="shared" si="509"/>
        <v>0</v>
      </c>
      <c r="GG144" s="1154">
        <f t="shared" si="510"/>
        <v>0</v>
      </c>
      <c r="GH144" s="1154">
        <f t="shared" si="511"/>
        <v>0</v>
      </c>
      <c r="GI144" s="1154">
        <f t="shared" si="512"/>
        <v>0</v>
      </c>
      <c r="GJ144" s="1154">
        <f t="shared" si="513"/>
        <v>0</v>
      </c>
      <c r="GK144" s="1154">
        <f t="shared" si="514"/>
        <v>0</v>
      </c>
      <c r="GL144" s="1174">
        <f t="shared" si="515"/>
        <v>24826.80906590166</v>
      </c>
    </row>
    <row r="145" spans="1:194">
      <c r="B145" s="1290" t="str">
        <f t="shared" si="443"/>
        <v>SACDUOSMBTDEM</v>
      </c>
      <c r="C145" s="1289" t="str">
        <f>Prop2021DUOSTariffs!C65</f>
        <v>MtIsa SAC&lt;100MWhpa Business TOU Transitional Demand</v>
      </c>
      <c r="D145" s="1113" t="str">
        <f>Prop2021DUOSTariffs!D65</f>
        <v>MtIsa SAC&lt;100MWhpa Business TOU Transitional Demand</v>
      </c>
      <c r="E145" s="1113" t="str">
        <f>Prop2021DUOSTariffs!E65</f>
        <v>SAC</v>
      </c>
      <c r="F145" s="1113" t="str">
        <f>Prop2021DUOSTariffs!F65</f>
        <v>SACS Bus</v>
      </c>
      <c r="G145" s="1113" t="str">
        <f>Prop2021DUOSTariffs!G65</f>
        <v>Mt Isa</v>
      </c>
      <c r="H145" s="1113" t="str">
        <f>IF(Prop2021DUOSTariffs!H65="","",Prop2021DUOSTariffs!H65)</f>
        <v>MBTDEM</v>
      </c>
      <c r="I145" s="1114" t="s">
        <v>761</v>
      </c>
      <c r="J145" s="1114" t="s">
        <v>934</v>
      </c>
      <c r="K145" s="1270"/>
      <c r="L145" s="1233">
        <v>0.14140000000000003</v>
      </c>
      <c r="M145" s="1007"/>
      <c r="N145" s="1007"/>
      <c r="O145" s="1007"/>
      <c r="P145" s="1007"/>
      <c r="Q145" s="1007"/>
      <c r="R145" s="1007"/>
      <c r="S145" s="1007"/>
      <c r="T145" s="1007"/>
      <c r="U145" s="1007"/>
      <c r="V145" s="1007"/>
      <c r="W145" s="1007"/>
      <c r="X145" s="1007"/>
      <c r="Y145" s="1007"/>
      <c r="Z145" s="1007"/>
      <c r="AA145" s="1007"/>
      <c r="AB145" s="1233">
        <v>0.13858244406196213</v>
      </c>
      <c r="AC145" s="1007"/>
      <c r="AD145" s="1007"/>
      <c r="AE145" s="1007"/>
      <c r="AF145" s="1007"/>
      <c r="AG145" s="1007"/>
      <c r="AH145" s="1007"/>
      <c r="AI145" s="1233">
        <v>5.6294153019841768E-4</v>
      </c>
      <c r="AJ145" s="1005"/>
      <c r="AK145" s="1005"/>
      <c r="AL145" s="1005"/>
      <c r="AM145" s="1005"/>
      <c r="AN145" s="1005"/>
      <c r="AO145" s="1005"/>
      <c r="AP145" s="1005"/>
      <c r="AQ145" s="1005"/>
      <c r="AR145" s="1005"/>
      <c r="AS145" s="1005"/>
      <c r="AT145" s="1005"/>
      <c r="AU145" s="1006"/>
      <c r="AV145" s="1270"/>
      <c r="AW145" s="1480">
        <v>0.11</v>
      </c>
      <c r="AX145" s="1006"/>
      <c r="AY145" s="1006"/>
      <c r="AZ145" s="1006"/>
      <c r="BA145" s="1006"/>
      <c r="BB145" s="1006"/>
      <c r="BC145" s="1006"/>
      <c r="BD145" s="1006"/>
      <c r="BE145" s="1006"/>
      <c r="BF145" s="1006"/>
      <c r="BG145" s="1006"/>
      <c r="BH145" s="1006"/>
      <c r="BI145" s="1006"/>
      <c r="BJ145" s="1006"/>
      <c r="BK145" s="1006"/>
      <c r="BL145" s="1006"/>
      <c r="BM145" s="1480">
        <v>0.13739999999999999</v>
      </c>
      <c r="BN145" s="1006"/>
      <c r="BO145" s="1006"/>
      <c r="BP145" s="1006"/>
      <c r="BQ145" s="1006"/>
      <c r="BR145" s="1006"/>
      <c r="BS145" s="1006"/>
      <c r="BT145" s="1480">
        <v>6.9999999999999999E-4</v>
      </c>
      <c r="BU145" s="1006"/>
      <c r="BV145" s="1006"/>
      <c r="BW145" s="1006"/>
      <c r="BX145" s="1006"/>
      <c r="BY145" s="1006"/>
      <c r="BZ145" s="1006"/>
      <c r="CA145" s="1006"/>
      <c r="CB145" s="1006"/>
      <c r="CC145" s="1006"/>
      <c r="CD145" s="1006"/>
      <c r="CE145" s="1006"/>
      <c r="CF145" s="1006"/>
      <c r="CG145" s="1209"/>
      <c r="CH145" s="1236">
        <v>9</v>
      </c>
      <c r="CI145" s="1007"/>
      <c r="CJ145" s="1007"/>
      <c r="CK145" s="1007"/>
      <c r="CL145" s="1007"/>
      <c r="CM145" s="1007"/>
      <c r="CN145" s="1007"/>
      <c r="CO145" s="1007"/>
      <c r="CP145" s="1007"/>
      <c r="CQ145" s="1007"/>
      <c r="CR145" s="1007"/>
      <c r="CS145" s="1007"/>
      <c r="CT145" s="1007"/>
      <c r="CU145" s="1007"/>
      <c r="CV145" s="1007"/>
      <c r="CW145" s="1007"/>
      <c r="CX145" s="1236">
        <v>846.68</v>
      </c>
      <c r="CY145" s="1007"/>
      <c r="CZ145" s="1007"/>
      <c r="DA145" s="1007"/>
      <c r="DB145" s="1007"/>
      <c r="DC145" s="1007"/>
      <c r="DD145" s="1007"/>
      <c r="DE145" s="1236">
        <v>1277067.33</v>
      </c>
      <c r="DF145" s="1007"/>
      <c r="DG145" s="1007"/>
      <c r="DH145" s="1007"/>
      <c r="DI145" s="1006"/>
      <c r="DJ145" s="1006"/>
      <c r="DK145" s="1007"/>
      <c r="DL145" s="1007"/>
      <c r="DM145" s="1007"/>
      <c r="DN145" s="1007"/>
      <c r="DO145" s="1112"/>
      <c r="DP145" s="1112"/>
      <c r="DQ145" s="1270"/>
      <c r="DR145" s="1154">
        <f t="shared" si="444"/>
        <v>464.49900000000008</v>
      </c>
      <c r="DS145" s="1154">
        <f t="shared" si="445"/>
        <v>0</v>
      </c>
      <c r="DT145" s="1154">
        <f t="shared" si="446"/>
        <v>0</v>
      </c>
      <c r="DU145" s="1154">
        <f t="shared" si="447"/>
        <v>0</v>
      </c>
      <c r="DV145" s="1154">
        <f t="shared" si="448"/>
        <v>0</v>
      </c>
      <c r="DW145" s="1154">
        <f t="shared" si="449"/>
        <v>0</v>
      </c>
      <c r="DX145" s="1154">
        <f t="shared" si="450"/>
        <v>0</v>
      </c>
      <c r="DY145" s="1154">
        <f t="shared" si="451"/>
        <v>0</v>
      </c>
      <c r="DZ145" s="1154">
        <f t="shared" si="452"/>
        <v>0</v>
      </c>
      <c r="EA145" s="1154">
        <f t="shared" si="453"/>
        <v>0</v>
      </c>
      <c r="EB145" s="1154">
        <f t="shared" si="454"/>
        <v>0</v>
      </c>
      <c r="EC145" s="1154">
        <f t="shared" si="455"/>
        <v>0</v>
      </c>
      <c r="ED145" s="1154">
        <f t="shared" si="456"/>
        <v>0</v>
      </c>
      <c r="EE145" s="1154">
        <f t="shared" si="457"/>
        <v>0</v>
      </c>
      <c r="EF145" s="1154">
        <f t="shared" si="458"/>
        <v>0</v>
      </c>
      <c r="EG145" s="1154">
        <f t="shared" si="459"/>
        <v>0</v>
      </c>
      <c r="EH145" s="1154">
        <f t="shared" si="460"/>
        <v>117.33498373838209</v>
      </c>
      <c r="EI145" s="1154">
        <f t="shared" si="461"/>
        <v>0</v>
      </c>
      <c r="EJ145" s="1154">
        <f t="shared" si="462"/>
        <v>0</v>
      </c>
      <c r="EK145" s="1154">
        <f t="shared" si="463"/>
        <v>0</v>
      </c>
      <c r="EL145" s="1154">
        <f t="shared" si="464"/>
        <v>0</v>
      </c>
      <c r="EM145" s="1154">
        <f t="shared" si="465"/>
        <v>0</v>
      </c>
      <c r="EN145" s="1154">
        <f t="shared" si="466"/>
        <v>0</v>
      </c>
      <c r="EO145" s="1154">
        <f t="shared" si="467"/>
        <v>718.91423691660771</v>
      </c>
      <c r="EP145" s="1154">
        <f t="shared" si="468"/>
        <v>0</v>
      </c>
      <c r="EQ145" s="1154">
        <f t="shared" si="469"/>
        <v>0</v>
      </c>
      <c r="ER145" s="1154">
        <f t="shared" si="470"/>
        <v>0</v>
      </c>
      <c r="ES145" s="1154">
        <f t="shared" si="471"/>
        <v>0</v>
      </c>
      <c r="ET145" s="1154">
        <f t="shared" si="472"/>
        <v>0</v>
      </c>
      <c r="EU145" s="1154">
        <f t="shared" si="473"/>
        <v>0</v>
      </c>
      <c r="EV145" s="1154">
        <f t="shared" si="474"/>
        <v>0</v>
      </c>
      <c r="EW145" s="1154">
        <f t="shared" si="475"/>
        <v>0</v>
      </c>
      <c r="EX145" s="1154">
        <f t="shared" si="476"/>
        <v>0</v>
      </c>
      <c r="EY145" s="1154">
        <f t="shared" si="477"/>
        <v>0</v>
      </c>
      <c r="EZ145" s="1154">
        <f t="shared" si="478"/>
        <v>0</v>
      </c>
      <c r="FA145" s="1174">
        <f t="shared" si="479"/>
        <v>1300.7482206549898</v>
      </c>
      <c r="FC145" s="1154">
        <f t="shared" si="480"/>
        <v>361.35</v>
      </c>
      <c r="FD145" s="1154">
        <f t="shared" si="481"/>
        <v>0</v>
      </c>
      <c r="FE145" s="1154">
        <f t="shared" si="482"/>
        <v>0</v>
      </c>
      <c r="FF145" s="1154">
        <f t="shared" si="483"/>
        <v>0</v>
      </c>
      <c r="FG145" s="1154">
        <f t="shared" si="484"/>
        <v>0</v>
      </c>
      <c r="FH145" s="1154">
        <f t="shared" si="485"/>
        <v>0</v>
      </c>
      <c r="FI145" s="1154">
        <f t="shared" si="486"/>
        <v>0</v>
      </c>
      <c r="FJ145" s="1154">
        <f t="shared" si="487"/>
        <v>0</v>
      </c>
      <c r="FK145" s="1154">
        <f t="shared" si="488"/>
        <v>0</v>
      </c>
      <c r="FL145" s="1154">
        <f t="shared" si="489"/>
        <v>0</v>
      </c>
      <c r="FM145" s="1154">
        <f t="shared" si="490"/>
        <v>0</v>
      </c>
      <c r="FN145" s="1154">
        <f t="shared" si="491"/>
        <v>0</v>
      </c>
      <c r="FO145" s="1154">
        <f t="shared" si="492"/>
        <v>0</v>
      </c>
      <c r="FP145" s="1154">
        <f t="shared" si="493"/>
        <v>0</v>
      </c>
      <c r="FQ145" s="1154">
        <f t="shared" si="494"/>
        <v>0</v>
      </c>
      <c r="FR145" s="1154">
        <f t="shared" si="495"/>
        <v>0</v>
      </c>
      <c r="FS145" s="1154">
        <f t="shared" si="496"/>
        <v>116.33383199999999</v>
      </c>
      <c r="FT145" s="1154">
        <f t="shared" si="497"/>
        <v>0</v>
      </c>
      <c r="FU145" s="1154">
        <f t="shared" si="498"/>
        <v>0</v>
      </c>
      <c r="FV145" s="1154">
        <f t="shared" si="499"/>
        <v>0</v>
      </c>
      <c r="FW145" s="1154">
        <f t="shared" si="500"/>
        <v>0</v>
      </c>
      <c r="FX145" s="1154">
        <f t="shared" si="501"/>
        <v>0</v>
      </c>
      <c r="FY145" s="1154">
        <f t="shared" si="502"/>
        <v>0</v>
      </c>
      <c r="FZ145" s="1154">
        <f t="shared" si="503"/>
        <v>893.94713100000001</v>
      </c>
      <c r="GA145" s="1154">
        <f t="shared" si="504"/>
        <v>0</v>
      </c>
      <c r="GB145" s="1154">
        <f t="shared" si="505"/>
        <v>0</v>
      </c>
      <c r="GC145" s="1154">
        <f t="shared" si="506"/>
        <v>0</v>
      </c>
      <c r="GD145" s="1154">
        <f t="shared" si="507"/>
        <v>0</v>
      </c>
      <c r="GE145" s="1154">
        <f t="shared" si="508"/>
        <v>0</v>
      </c>
      <c r="GF145" s="1154">
        <f t="shared" si="509"/>
        <v>0</v>
      </c>
      <c r="GG145" s="1154">
        <f t="shared" si="510"/>
        <v>0</v>
      </c>
      <c r="GH145" s="1154">
        <f t="shared" si="511"/>
        <v>0</v>
      </c>
      <c r="GI145" s="1154">
        <f t="shared" si="512"/>
        <v>0</v>
      </c>
      <c r="GJ145" s="1154">
        <f t="shared" si="513"/>
        <v>0</v>
      </c>
      <c r="GK145" s="1154">
        <f t="shared" si="514"/>
        <v>0</v>
      </c>
      <c r="GL145" s="1174">
        <f t="shared" si="515"/>
        <v>1371.6309630000001</v>
      </c>
    </row>
    <row r="146" spans="1:194">
      <c r="B146" s="1290" t="str">
        <f t="shared" si="443"/>
        <v>SACDUOSEBDEM</v>
      </c>
      <c r="C146" s="1289" t="str">
        <f>Prop2021DUOSTariffs!C66</f>
        <v>East SAC&lt;100MWhpa Business TOU Demand</v>
      </c>
      <c r="D146" s="1113" t="str">
        <f>Prop2021DUOSTariffs!D66</f>
        <v>East SAC&lt;100MWhpa Business TOU Demand</v>
      </c>
      <c r="E146" s="1113" t="str">
        <f>Prop2021DUOSTariffs!E66</f>
        <v>SAC</v>
      </c>
      <c r="F146" s="1113" t="str">
        <f>Prop2021DUOSTariffs!F66</f>
        <v>SACS Bus</v>
      </c>
      <c r="G146" s="1113" t="str">
        <f>Prop2021DUOSTariffs!G66</f>
        <v>East</v>
      </c>
      <c r="H146" s="1113" t="str">
        <f>Prop2021DUOSTariffs!H66</f>
        <v>EBDEM</v>
      </c>
      <c r="I146" s="1114" t="s">
        <v>798</v>
      </c>
      <c r="J146" s="1114" t="s">
        <v>934</v>
      </c>
      <c r="K146" s="1270"/>
      <c r="L146" s="1233">
        <v>5.231100000000001E-2</v>
      </c>
      <c r="M146" s="1007"/>
      <c r="N146" s="1007"/>
      <c r="O146" s="1007"/>
      <c r="P146" s="1007"/>
      <c r="Q146" s="1007"/>
      <c r="R146" s="1007"/>
      <c r="S146" s="1007"/>
      <c r="T146" s="1007"/>
      <c r="U146" s="1007"/>
      <c r="V146" s="1007"/>
      <c r="W146" s="1007"/>
      <c r="X146" s="1007"/>
      <c r="Y146" s="1007"/>
      <c r="Z146" s="1007"/>
      <c r="AA146" s="1007"/>
      <c r="AB146" s="1233">
        <v>0.37520137693631667</v>
      </c>
      <c r="AC146" s="1007"/>
      <c r="AD146" s="1007"/>
      <c r="AE146" s="1007"/>
      <c r="AF146" s="1007"/>
      <c r="AG146" s="1007"/>
      <c r="AH146" s="1007"/>
      <c r="AI146" s="1233">
        <v>6.8419052512873335E-3</v>
      </c>
      <c r="AJ146" s="1005"/>
      <c r="AK146" s="1005"/>
      <c r="AL146" s="1005"/>
      <c r="AM146" s="1005"/>
      <c r="AN146" s="1005"/>
      <c r="AO146" s="1005"/>
      <c r="AP146" s="1005"/>
      <c r="AQ146" s="1005"/>
      <c r="AR146" s="1005"/>
      <c r="AS146" s="1005"/>
      <c r="AT146" s="1005"/>
      <c r="AU146" s="1006"/>
      <c r="AV146" s="1270"/>
      <c r="AW146" s="1480">
        <v>4.9350000000000005E-2</v>
      </c>
      <c r="AX146" s="1006"/>
      <c r="AY146" s="1006"/>
      <c r="AZ146" s="1006"/>
      <c r="BA146" s="1006"/>
      <c r="BB146" s="1006"/>
      <c r="BC146" s="1006"/>
      <c r="BD146" s="1006"/>
      <c r="BE146" s="1006"/>
      <c r="BF146" s="1006"/>
      <c r="BG146" s="1006"/>
      <c r="BH146" s="1006"/>
      <c r="BI146" s="1006"/>
      <c r="BJ146" s="1006"/>
      <c r="BK146" s="1006"/>
      <c r="BL146" s="1006"/>
      <c r="BM146" s="1480">
        <v>0.372</v>
      </c>
      <c r="BN146" s="1006"/>
      <c r="BO146" s="1006"/>
      <c r="BP146" s="1006"/>
      <c r="BQ146" s="1006"/>
      <c r="BR146" s="1006"/>
      <c r="BS146" s="1006"/>
      <c r="BT146" s="1480">
        <v>5.0771473453572824E-3</v>
      </c>
      <c r="BU146" s="1006"/>
      <c r="BV146" s="1006"/>
      <c r="BW146" s="1006"/>
      <c r="BX146" s="1006"/>
      <c r="BY146" s="1006"/>
      <c r="BZ146" s="1006"/>
      <c r="CA146" s="1006"/>
      <c r="CB146" s="1006"/>
      <c r="CC146" s="1006"/>
      <c r="CD146" s="1006"/>
      <c r="CE146" s="1006"/>
      <c r="CF146" s="1006"/>
      <c r="CG146" s="1209"/>
      <c r="CH146" s="1236">
        <v>7.357797558936551</v>
      </c>
      <c r="CI146" s="1007"/>
      <c r="CJ146" s="1007"/>
      <c r="CK146" s="1007"/>
      <c r="CL146" s="1007"/>
      <c r="CM146" s="1007"/>
      <c r="CN146" s="1007"/>
      <c r="CO146" s="1007"/>
      <c r="CP146" s="1007"/>
      <c r="CQ146" s="1007"/>
      <c r="CR146" s="1007"/>
      <c r="CS146" s="1007"/>
      <c r="CT146" s="1007"/>
      <c r="CU146" s="1007"/>
      <c r="CV146" s="1007"/>
      <c r="CW146" s="1007"/>
      <c r="CX146" s="1236">
        <v>675.24445531373829</v>
      </c>
      <c r="CY146" s="1007"/>
      <c r="CZ146" s="1007"/>
      <c r="DA146" s="1007"/>
      <c r="DB146" s="1007"/>
      <c r="DC146" s="1007"/>
      <c r="DD146" s="1007"/>
      <c r="DE146" s="1236">
        <v>1103706.9805411964</v>
      </c>
      <c r="DF146" s="1007"/>
      <c r="DG146" s="1007"/>
      <c r="DH146" s="1007"/>
      <c r="DI146" s="1006"/>
      <c r="DJ146" s="1006"/>
      <c r="DK146" s="1007"/>
      <c r="DL146" s="1007"/>
      <c r="DM146" s="1007"/>
      <c r="DN146" s="1007"/>
      <c r="DO146" s="1112"/>
      <c r="DP146" s="1112"/>
      <c r="DQ146" s="1270"/>
      <c r="DR146" s="1154">
        <f t="shared" si="444"/>
        <v>140.48621805851846</v>
      </c>
      <c r="DS146" s="1154">
        <f t="shared" si="445"/>
        <v>0</v>
      </c>
      <c r="DT146" s="1154">
        <f t="shared" si="446"/>
        <v>0</v>
      </c>
      <c r="DU146" s="1154">
        <f t="shared" si="447"/>
        <v>0</v>
      </c>
      <c r="DV146" s="1154">
        <f t="shared" si="448"/>
        <v>0</v>
      </c>
      <c r="DW146" s="1154">
        <f t="shared" si="449"/>
        <v>0</v>
      </c>
      <c r="DX146" s="1154">
        <f t="shared" si="450"/>
        <v>0</v>
      </c>
      <c r="DY146" s="1154">
        <f t="shared" si="451"/>
        <v>0</v>
      </c>
      <c r="DZ146" s="1154">
        <f t="shared" si="452"/>
        <v>0</v>
      </c>
      <c r="EA146" s="1154">
        <f t="shared" si="453"/>
        <v>0</v>
      </c>
      <c r="EB146" s="1154">
        <f t="shared" si="454"/>
        <v>0</v>
      </c>
      <c r="EC146" s="1154">
        <f t="shared" si="455"/>
        <v>0</v>
      </c>
      <c r="ED146" s="1154">
        <f t="shared" si="456"/>
        <v>0</v>
      </c>
      <c r="EE146" s="1154">
        <f t="shared" si="457"/>
        <v>0</v>
      </c>
      <c r="EF146" s="1154">
        <f t="shared" si="458"/>
        <v>0</v>
      </c>
      <c r="EG146" s="1154">
        <f t="shared" si="459"/>
        <v>0</v>
      </c>
      <c r="EH146" s="1154">
        <f t="shared" si="460"/>
        <v>253.35264940232776</v>
      </c>
      <c r="EI146" s="1154">
        <f t="shared" si="461"/>
        <v>0</v>
      </c>
      <c r="EJ146" s="1154">
        <f t="shared" si="462"/>
        <v>0</v>
      </c>
      <c r="EK146" s="1154">
        <f t="shared" si="463"/>
        <v>0</v>
      </c>
      <c r="EL146" s="1154">
        <f t="shared" si="464"/>
        <v>0</v>
      </c>
      <c r="EM146" s="1154">
        <f t="shared" si="465"/>
        <v>0</v>
      </c>
      <c r="EN146" s="1154">
        <f t="shared" si="466"/>
        <v>0</v>
      </c>
      <c r="EO146" s="1154">
        <f t="shared" si="467"/>
        <v>7551.4585860472989</v>
      </c>
      <c r="EP146" s="1154">
        <f t="shared" si="468"/>
        <v>0</v>
      </c>
      <c r="EQ146" s="1154">
        <f t="shared" si="469"/>
        <v>0</v>
      </c>
      <c r="ER146" s="1154">
        <f t="shared" si="470"/>
        <v>0</v>
      </c>
      <c r="ES146" s="1154">
        <f t="shared" si="471"/>
        <v>0</v>
      </c>
      <c r="ET146" s="1154">
        <f t="shared" si="472"/>
        <v>0</v>
      </c>
      <c r="EU146" s="1154">
        <f t="shared" si="473"/>
        <v>0</v>
      </c>
      <c r="EV146" s="1154">
        <f t="shared" si="474"/>
        <v>0</v>
      </c>
      <c r="EW146" s="1154">
        <f t="shared" si="475"/>
        <v>0</v>
      </c>
      <c r="EX146" s="1154">
        <f t="shared" si="476"/>
        <v>0</v>
      </c>
      <c r="EY146" s="1154">
        <f t="shared" si="477"/>
        <v>0</v>
      </c>
      <c r="EZ146" s="1154">
        <f t="shared" si="478"/>
        <v>0</v>
      </c>
      <c r="FA146" s="1174">
        <f t="shared" si="479"/>
        <v>7945.2974535081448</v>
      </c>
      <c r="FC146" s="1154">
        <f t="shared" si="480"/>
        <v>132.53416797973438</v>
      </c>
      <c r="FD146" s="1154">
        <f t="shared" si="481"/>
        <v>0</v>
      </c>
      <c r="FE146" s="1154">
        <f t="shared" si="482"/>
        <v>0</v>
      </c>
      <c r="FF146" s="1154">
        <f t="shared" si="483"/>
        <v>0</v>
      </c>
      <c r="FG146" s="1154">
        <f t="shared" si="484"/>
        <v>0</v>
      </c>
      <c r="FH146" s="1154">
        <f t="shared" si="485"/>
        <v>0</v>
      </c>
      <c r="FI146" s="1154">
        <f t="shared" si="486"/>
        <v>0</v>
      </c>
      <c r="FJ146" s="1154">
        <f t="shared" si="487"/>
        <v>0</v>
      </c>
      <c r="FK146" s="1154">
        <f t="shared" si="488"/>
        <v>0</v>
      </c>
      <c r="FL146" s="1154">
        <f t="shared" si="489"/>
        <v>0</v>
      </c>
      <c r="FM146" s="1154">
        <f t="shared" si="490"/>
        <v>0</v>
      </c>
      <c r="FN146" s="1154">
        <f t="shared" si="491"/>
        <v>0</v>
      </c>
      <c r="FO146" s="1154">
        <f t="shared" si="492"/>
        <v>0</v>
      </c>
      <c r="FP146" s="1154">
        <f t="shared" si="493"/>
        <v>0</v>
      </c>
      <c r="FQ146" s="1154">
        <f t="shared" si="494"/>
        <v>0</v>
      </c>
      <c r="FR146" s="1154">
        <f t="shared" si="495"/>
        <v>0</v>
      </c>
      <c r="FS146" s="1154">
        <f t="shared" si="496"/>
        <v>251.19093737671065</v>
      </c>
      <c r="FT146" s="1154">
        <f t="shared" si="497"/>
        <v>0</v>
      </c>
      <c r="FU146" s="1154">
        <f t="shared" si="498"/>
        <v>0</v>
      </c>
      <c r="FV146" s="1154">
        <f t="shared" si="499"/>
        <v>0</v>
      </c>
      <c r="FW146" s="1154">
        <f t="shared" si="500"/>
        <v>0</v>
      </c>
      <c r="FX146" s="1154">
        <f t="shared" si="501"/>
        <v>0</v>
      </c>
      <c r="FY146" s="1154">
        <f t="shared" si="502"/>
        <v>0</v>
      </c>
      <c r="FZ146" s="1154">
        <f t="shared" si="503"/>
        <v>5603.6829663070375</v>
      </c>
      <c r="GA146" s="1154">
        <f t="shared" si="504"/>
        <v>0</v>
      </c>
      <c r="GB146" s="1154">
        <f t="shared" si="505"/>
        <v>0</v>
      </c>
      <c r="GC146" s="1154">
        <f t="shared" si="506"/>
        <v>0</v>
      </c>
      <c r="GD146" s="1154">
        <f t="shared" si="507"/>
        <v>0</v>
      </c>
      <c r="GE146" s="1154">
        <f t="shared" si="508"/>
        <v>0</v>
      </c>
      <c r="GF146" s="1154">
        <f t="shared" si="509"/>
        <v>0</v>
      </c>
      <c r="GG146" s="1154">
        <f t="shared" si="510"/>
        <v>0</v>
      </c>
      <c r="GH146" s="1154">
        <f t="shared" si="511"/>
        <v>0</v>
      </c>
      <c r="GI146" s="1154">
        <f t="shared" si="512"/>
        <v>0</v>
      </c>
      <c r="GJ146" s="1154">
        <f t="shared" si="513"/>
        <v>0</v>
      </c>
      <c r="GK146" s="1154">
        <f t="shared" si="514"/>
        <v>0</v>
      </c>
      <c r="GL146" s="1174">
        <f t="shared" si="515"/>
        <v>5987.4080716634826</v>
      </c>
    </row>
    <row r="147" spans="1:194">
      <c r="B147" s="1290" t="str">
        <f t="shared" si="443"/>
        <v>SACDUOSEBDEM</v>
      </c>
      <c r="C147" s="1289" t="str">
        <f>C146</f>
        <v>East SAC&lt;100MWhpa Business TOU Demand</v>
      </c>
      <c r="D147" s="1113" t="str">
        <f t="shared" ref="D147:H148" si="536">D146</f>
        <v>East SAC&lt;100MWhpa Business TOU Demand</v>
      </c>
      <c r="E147" s="1113" t="str">
        <f t="shared" si="536"/>
        <v>SAC</v>
      </c>
      <c r="F147" s="1113" t="str">
        <f t="shared" si="536"/>
        <v>SACS Bus</v>
      </c>
      <c r="G147" s="1113" t="str">
        <f t="shared" ref="G147" si="537">G146</f>
        <v>East</v>
      </c>
      <c r="H147" s="1113" t="str">
        <f t="shared" si="536"/>
        <v>EBDEM</v>
      </c>
      <c r="I147" s="1114" t="s">
        <v>752</v>
      </c>
      <c r="J147" s="1114" t="s">
        <v>934</v>
      </c>
      <c r="K147" s="1270"/>
      <c r="L147" s="1233">
        <v>8.7226125000000002E-2</v>
      </c>
      <c r="M147" s="1007"/>
      <c r="N147" s="1007"/>
      <c r="O147" s="1007"/>
      <c r="P147" s="1007"/>
      <c r="Q147" s="1007"/>
      <c r="R147" s="1007"/>
      <c r="S147" s="1007"/>
      <c r="T147" s="1007"/>
      <c r="U147" s="1007"/>
      <c r="V147" s="1007"/>
      <c r="W147" s="1007"/>
      <c r="X147" s="1007"/>
      <c r="Y147" s="1007"/>
      <c r="Z147" s="1007"/>
      <c r="AA147" s="1007"/>
      <c r="AB147" s="1233">
        <v>0.85126333907056795</v>
      </c>
      <c r="AC147" s="1007"/>
      <c r="AD147" s="1007"/>
      <c r="AE147" s="1007"/>
      <c r="AF147" s="1007"/>
      <c r="AG147" s="1007"/>
      <c r="AH147" s="1007"/>
      <c r="AI147" s="1233">
        <v>7.3231188457637255E-3</v>
      </c>
      <c r="AJ147" s="1005"/>
      <c r="AK147" s="1005"/>
      <c r="AL147" s="1005"/>
      <c r="AM147" s="1005"/>
      <c r="AN147" s="1005"/>
      <c r="AO147" s="1005"/>
      <c r="AP147" s="1005"/>
      <c r="AQ147" s="1005"/>
      <c r="AR147" s="1005"/>
      <c r="AS147" s="1005"/>
      <c r="AT147" s="1005"/>
      <c r="AU147" s="1006"/>
      <c r="AV147" s="1270"/>
      <c r="AW147" s="1480">
        <v>8.6362499999999995E-2</v>
      </c>
      <c r="AX147" s="1006"/>
      <c r="AY147" s="1006"/>
      <c r="AZ147" s="1006"/>
      <c r="BA147" s="1006"/>
      <c r="BB147" s="1006"/>
      <c r="BC147" s="1006"/>
      <c r="BD147" s="1006"/>
      <c r="BE147" s="1006"/>
      <c r="BF147" s="1006"/>
      <c r="BG147" s="1006"/>
      <c r="BH147" s="1006"/>
      <c r="BI147" s="1006"/>
      <c r="BJ147" s="1006"/>
      <c r="BK147" s="1006"/>
      <c r="BL147" s="1006"/>
      <c r="BM147" s="1480">
        <v>0.84399999999999997</v>
      </c>
      <c r="BN147" s="1006"/>
      <c r="BO147" s="1006"/>
      <c r="BP147" s="1006"/>
      <c r="BQ147" s="1006"/>
      <c r="BR147" s="1006"/>
      <c r="BS147" s="1006"/>
      <c r="BT147" s="1480">
        <v>7.0741954300528155E-3</v>
      </c>
      <c r="BU147" s="1006"/>
      <c r="BV147" s="1006"/>
      <c r="BW147" s="1006"/>
      <c r="BX147" s="1006"/>
      <c r="BY147" s="1006"/>
      <c r="BZ147" s="1006"/>
      <c r="CA147" s="1006"/>
      <c r="CB147" s="1006"/>
      <c r="CC147" s="1006"/>
      <c r="CD147" s="1006"/>
      <c r="CE147" s="1006"/>
      <c r="CF147" s="1006"/>
      <c r="CG147" s="1209"/>
      <c r="CH147" s="1236">
        <v>4.301093844106167</v>
      </c>
      <c r="CI147" s="1007"/>
      <c r="CJ147" s="1007"/>
      <c r="CK147" s="1007"/>
      <c r="CL147" s="1007"/>
      <c r="CM147" s="1007"/>
      <c r="CN147" s="1007"/>
      <c r="CO147" s="1007"/>
      <c r="CP147" s="1007"/>
      <c r="CQ147" s="1007"/>
      <c r="CR147" s="1007"/>
      <c r="CS147" s="1007"/>
      <c r="CT147" s="1007"/>
      <c r="CU147" s="1007"/>
      <c r="CV147" s="1007"/>
      <c r="CW147" s="1007"/>
      <c r="CX147" s="1236">
        <v>394.72270699936314</v>
      </c>
      <c r="CY147" s="1007"/>
      <c r="CZ147" s="1007"/>
      <c r="DA147" s="1007"/>
      <c r="DB147" s="1007"/>
      <c r="DC147" s="1007"/>
      <c r="DD147" s="1007"/>
      <c r="DE147" s="1236">
        <v>645185.90810330305</v>
      </c>
      <c r="DF147" s="1007"/>
      <c r="DG147" s="1007"/>
      <c r="DH147" s="1007"/>
      <c r="DI147" s="1006"/>
      <c r="DJ147" s="1006"/>
      <c r="DK147" s="1007"/>
      <c r="DL147" s="1007"/>
      <c r="DM147" s="1007"/>
      <c r="DN147" s="1007"/>
      <c r="DO147" s="1112"/>
      <c r="DP147" s="1112"/>
      <c r="DQ147" s="1270"/>
      <c r="DR147" s="1154">
        <f t="shared" si="444"/>
        <v>136.93622848819828</v>
      </c>
      <c r="DS147" s="1154">
        <f t="shared" si="445"/>
        <v>0</v>
      </c>
      <c r="DT147" s="1154">
        <f t="shared" si="446"/>
        <v>0</v>
      </c>
      <c r="DU147" s="1154">
        <f t="shared" si="447"/>
        <v>0</v>
      </c>
      <c r="DV147" s="1154">
        <f t="shared" si="448"/>
        <v>0</v>
      </c>
      <c r="DW147" s="1154">
        <f t="shared" si="449"/>
        <v>0</v>
      </c>
      <c r="DX147" s="1154">
        <f t="shared" si="450"/>
        <v>0</v>
      </c>
      <c r="DY147" s="1154">
        <f t="shared" si="451"/>
        <v>0</v>
      </c>
      <c r="DZ147" s="1154">
        <f t="shared" si="452"/>
        <v>0</v>
      </c>
      <c r="EA147" s="1154">
        <f t="shared" si="453"/>
        <v>0</v>
      </c>
      <c r="EB147" s="1154">
        <f t="shared" si="454"/>
        <v>0</v>
      </c>
      <c r="EC147" s="1154">
        <f t="shared" si="455"/>
        <v>0</v>
      </c>
      <c r="ED147" s="1154">
        <f t="shared" si="456"/>
        <v>0</v>
      </c>
      <c r="EE147" s="1154">
        <f t="shared" si="457"/>
        <v>0</v>
      </c>
      <c r="EF147" s="1154">
        <f t="shared" si="458"/>
        <v>0</v>
      </c>
      <c r="EG147" s="1154">
        <f t="shared" si="459"/>
        <v>0</v>
      </c>
      <c r="EH147" s="1154">
        <f t="shared" si="460"/>
        <v>336.01296956725133</v>
      </c>
      <c r="EI147" s="1154">
        <f t="shared" si="461"/>
        <v>0</v>
      </c>
      <c r="EJ147" s="1154">
        <f t="shared" si="462"/>
        <v>0</v>
      </c>
      <c r="EK147" s="1154">
        <f t="shared" si="463"/>
        <v>0</v>
      </c>
      <c r="EL147" s="1154">
        <f t="shared" si="464"/>
        <v>0</v>
      </c>
      <c r="EM147" s="1154">
        <f t="shared" si="465"/>
        <v>0</v>
      </c>
      <c r="EN147" s="1154">
        <f t="shared" si="466"/>
        <v>0</v>
      </c>
      <c r="EO147" s="1154">
        <f t="shared" si="467"/>
        <v>4724.7730826524821</v>
      </c>
      <c r="EP147" s="1154">
        <f t="shared" si="468"/>
        <v>0</v>
      </c>
      <c r="EQ147" s="1154">
        <f t="shared" si="469"/>
        <v>0</v>
      </c>
      <c r="ER147" s="1154">
        <f t="shared" si="470"/>
        <v>0</v>
      </c>
      <c r="ES147" s="1154">
        <f t="shared" si="471"/>
        <v>0</v>
      </c>
      <c r="ET147" s="1154">
        <f t="shared" si="472"/>
        <v>0</v>
      </c>
      <c r="EU147" s="1154">
        <f t="shared" si="473"/>
        <v>0</v>
      </c>
      <c r="EV147" s="1154">
        <f t="shared" si="474"/>
        <v>0</v>
      </c>
      <c r="EW147" s="1154">
        <f t="shared" si="475"/>
        <v>0</v>
      </c>
      <c r="EX147" s="1154">
        <f t="shared" si="476"/>
        <v>0</v>
      </c>
      <c r="EY147" s="1154">
        <f t="shared" si="477"/>
        <v>0</v>
      </c>
      <c r="EZ147" s="1154">
        <f t="shared" si="478"/>
        <v>0</v>
      </c>
      <c r="FA147" s="1174">
        <f t="shared" si="479"/>
        <v>5197.7222807079315</v>
      </c>
      <c r="FC147" s="1154">
        <f t="shared" si="480"/>
        <v>135.58042424574089</v>
      </c>
      <c r="FD147" s="1154">
        <f t="shared" si="481"/>
        <v>0</v>
      </c>
      <c r="FE147" s="1154">
        <f t="shared" si="482"/>
        <v>0</v>
      </c>
      <c r="FF147" s="1154">
        <f t="shared" si="483"/>
        <v>0</v>
      </c>
      <c r="FG147" s="1154">
        <f t="shared" si="484"/>
        <v>0</v>
      </c>
      <c r="FH147" s="1154">
        <f t="shared" si="485"/>
        <v>0</v>
      </c>
      <c r="FI147" s="1154">
        <f t="shared" si="486"/>
        <v>0</v>
      </c>
      <c r="FJ147" s="1154">
        <f t="shared" si="487"/>
        <v>0</v>
      </c>
      <c r="FK147" s="1154">
        <f t="shared" si="488"/>
        <v>0</v>
      </c>
      <c r="FL147" s="1154">
        <f t="shared" si="489"/>
        <v>0</v>
      </c>
      <c r="FM147" s="1154">
        <f t="shared" si="490"/>
        <v>0</v>
      </c>
      <c r="FN147" s="1154">
        <f t="shared" si="491"/>
        <v>0</v>
      </c>
      <c r="FO147" s="1154">
        <f t="shared" si="492"/>
        <v>0</v>
      </c>
      <c r="FP147" s="1154">
        <f t="shared" si="493"/>
        <v>0</v>
      </c>
      <c r="FQ147" s="1154">
        <f t="shared" si="494"/>
        <v>0</v>
      </c>
      <c r="FR147" s="1154">
        <f t="shared" si="495"/>
        <v>0</v>
      </c>
      <c r="FS147" s="1154">
        <f t="shared" si="496"/>
        <v>333.1459647074625</v>
      </c>
      <c r="FT147" s="1154">
        <f t="shared" si="497"/>
        <v>0</v>
      </c>
      <c r="FU147" s="1154">
        <f t="shared" si="498"/>
        <v>0</v>
      </c>
      <c r="FV147" s="1154">
        <f t="shared" si="499"/>
        <v>0</v>
      </c>
      <c r="FW147" s="1154">
        <f t="shared" si="500"/>
        <v>0</v>
      </c>
      <c r="FX147" s="1154">
        <f t="shared" si="501"/>
        <v>0</v>
      </c>
      <c r="FY147" s="1154">
        <f t="shared" si="502"/>
        <v>0</v>
      </c>
      <c r="FZ147" s="1154">
        <f t="shared" si="503"/>
        <v>4564.1712026388623</v>
      </c>
      <c r="GA147" s="1154">
        <f t="shared" si="504"/>
        <v>0</v>
      </c>
      <c r="GB147" s="1154">
        <f t="shared" si="505"/>
        <v>0</v>
      </c>
      <c r="GC147" s="1154">
        <f t="shared" si="506"/>
        <v>0</v>
      </c>
      <c r="GD147" s="1154">
        <f t="shared" si="507"/>
        <v>0</v>
      </c>
      <c r="GE147" s="1154">
        <f t="shared" si="508"/>
        <v>0</v>
      </c>
      <c r="GF147" s="1154">
        <f t="shared" si="509"/>
        <v>0</v>
      </c>
      <c r="GG147" s="1154">
        <f t="shared" si="510"/>
        <v>0</v>
      </c>
      <c r="GH147" s="1154">
        <f t="shared" si="511"/>
        <v>0</v>
      </c>
      <c r="GI147" s="1154">
        <f t="shared" si="512"/>
        <v>0</v>
      </c>
      <c r="GJ147" s="1154">
        <f t="shared" si="513"/>
        <v>0</v>
      </c>
      <c r="GK147" s="1154">
        <f t="shared" si="514"/>
        <v>0</v>
      </c>
      <c r="GL147" s="1174">
        <f t="shared" si="515"/>
        <v>5032.8975915920655</v>
      </c>
    </row>
    <row r="148" spans="1:194">
      <c r="B148" s="1290" t="str">
        <f t="shared" si="443"/>
        <v>SACDUOSEBDEM</v>
      </c>
      <c r="C148" s="1289" t="str">
        <f t="shared" ref="C148" si="538">C147</f>
        <v>East SAC&lt;100MWhpa Business TOU Demand</v>
      </c>
      <c r="D148" s="1113" t="str">
        <f t="shared" si="536"/>
        <v>East SAC&lt;100MWhpa Business TOU Demand</v>
      </c>
      <c r="E148" s="1113" t="str">
        <f t="shared" si="536"/>
        <v>SAC</v>
      </c>
      <c r="F148" s="1113" t="str">
        <f t="shared" si="536"/>
        <v>SACS Bus</v>
      </c>
      <c r="G148" s="1113" t="str">
        <f t="shared" ref="G148" si="539">G147</f>
        <v>East</v>
      </c>
      <c r="H148" s="1113" t="str">
        <f t="shared" si="536"/>
        <v>EBDEM</v>
      </c>
      <c r="I148" s="1114" t="s">
        <v>759</v>
      </c>
      <c r="J148" s="1114" t="s">
        <v>934</v>
      </c>
      <c r="K148" s="1270"/>
      <c r="L148" s="1233">
        <v>0.14114099999999999</v>
      </c>
      <c r="M148" s="1007"/>
      <c r="N148" s="1007"/>
      <c r="O148" s="1007"/>
      <c r="P148" s="1007"/>
      <c r="Q148" s="1007"/>
      <c r="R148" s="1007"/>
      <c r="S148" s="1007"/>
      <c r="T148" s="1007"/>
      <c r="U148" s="1007"/>
      <c r="V148" s="1007"/>
      <c r="W148" s="1007"/>
      <c r="X148" s="1007"/>
      <c r="Y148" s="1007"/>
      <c r="Z148" s="1007"/>
      <c r="AA148" s="1007"/>
      <c r="AB148" s="1233">
        <v>1.6481964429145151</v>
      </c>
      <c r="AC148" s="1007"/>
      <c r="AD148" s="1007"/>
      <c r="AE148" s="1007"/>
      <c r="AF148" s="1007"/>
      <c r="AG148" s="1007"/>
      <c r="AH148" s="1007"/>
      <c r="AI148" s="1233">
        <v>6.8977626046223218E-3</v>
      </c>
      <c r="AJ148" s="1005"/>
      <c r="AK148" s="1005"/>
      <c r="AL148" s="1005"/>
      <c r="AM148" s="1005"/>
      <c r="AN148" s="1005"/>
      <c r="AO148" s="1005"/>
      <c r="AP148" s="1005"/>
      <c r="AQ148" s="1005"/>
      <c r="AR148" s="1005"/>
      <c r="AS148" s="1005"/>
      <c r="AT148" s="1005"/>
      <c r="AU148" s="1006"/>
      <c r="AV148" s="1270"/>
      <c r="AW148" s="1480">
        <v>0.14114099999999999</v>
      </c>
      <c r="AX148" s="1006"/>
      <c r="AY148" s="1006"/>
      <c r="AZ148" s="1006"/>
      <c r="BA148" s="1006"/>
      <c r="BB148" s="1006"/>
      <c r="BC148" s="1006"/>
      <c r="BD148" s="1006"/>
      <c r="BE148" s="1006"/>
      <c r="BF148" s="1006"/>
      <c r="BG148" s="1006"/>
      <c r="BH148" s="1006"/>
      <c r="BI148" s="1006"/>
      <c r="BJ148" s="1006"/>
      <c r="BK148" s="1006"/>
      <c r="BL148" s="1006"/>
      <c r="BM148" s="1480">
        <v>1.6341333333333332</v>
      </c>
      <c r="BN148" s="1006"/>
      <c r="BO148" s="1006"/>
      <c r="BP148" s="1006"/>
      <c r="BQ148" s="1006"/>
      <c r="BR148" s="1006"/>
      <c r="BS148" s="1006"/>
      <c r="BT148" s="1480">
        <v>7.7867788259152124E-3</v>
      </c>
      <c r="BU148" s="1006"/>
      <c r="BV148" s="1006"/>
      <c r="BW148" s="1006"/>
      <c r="BX148" s="1006"/>
      <c r="BY148" s="1006"/>
      <c r="BZ148" s="1006"/>
      <c r="CA148" s="1006"/>
      <c r="CB148" s="1006"/>
      <c r="CC148" s="1006"/>
      <c r="CD148" s="1006"/>
      <c r="CE148" s="1006"/>
      <c r="CF148" s="1006"/>
      <c r="CG148" s="1209"/>
      <c r="CH148" s="1236">
        <v>2.8111085969572844</v>
      </c>
      <c r="CI148" s="1007"/>
      <c r="CJ148" s="1007"/>
      <c r="CK148" s="1007"/>
      <c r="CL148" s="1007"/>
      <c r="CM148" s="1007"/>
      <c r="CN148" s="1007"/>
      <c r="CO148" s="1007"/>
      <c r="CP148" s="1007"/>
      <c r="CQ148" s="1007"/>
      <c r="CR148" s="1007"/>
      <c r="CS148" s="1007"/>
      <c r="CT148" s="1007"/>
      <c r="CU148" s="1007"/>
      <c r="CV148" s="1007"/>
      <c r="CW148" s="1007"/>
      <c r="CX148" s="1236">
        <v>257.98283768689885</v>
      </c>
      <c r="CY148" s="1007"/>
      <c r="CZ148" s="1007"/>
      <c r="DA148" s="1007"/>
      <c r="DB148" s="1007"/>
      <c r="DC148" s="1007"/>
      <c r="DD148" s="1007"/>
      <c r="DE148" s="1236">
        <v>421680.5581655007</v>
      </c>
      <c r="DF148" s="1007"/>
      <c r="DG148" s="1007"/>
      <c r="DH148" s="1007"/>
      <c r="DI148" s="1006"/>
      <c r="DJ148" s="1006"/>
      <c r="DK148" s="1007"/>
      <c r="DL148" s="1007"/>
      <c r="DM148" s="1007"/>
      <c r="DN148" s="1007"/>
      <c r="DO148" s="1112"/>
      <c r="DP148" s="1112"/>
      <c r="DQ148" s="1270"/>
      <c r="DR148" s="1154">
        <f t="shared" si="444"/>
        <v>144.81837764634903</v>
      </c>
      <c r="DS148" s="1154">
        <f t="shared" si="445"/>
        <v>0</v>
      </c>
      <c r="DT148" s="1154">
        <f t="shared" si="446"/>
        <v>0</v>
      </c>
      <c r="DU148" s="1154">
        <f t="shared" si="447"/>
        <v>0</v>
      </c>
      <c r="DV148" s="1154">
        <f t="shared" si="448"/>
        <v>0</v>
      </c>
      <c r="DW148" s="1154">
        <f t="shared" si="449"/>
        <v>0</v>
      </c>
      <c r="DX148" s="1154">
        <f t="shared" si="450"/>
        <v>0</v>
      </c>
      <c r="DY148" s="1154">
        <f t="shared" si="451"/>
        <v>0</v>
      </c>
      <c r="DZ148" s="1154">
        <f t="shared" si="452"/>
        <v>0</v>
      </c>
      <c r="EA148" s="1154">
        <f t="shared" si="453"/>
        <v>0</v>
      </c>
      <c r="EB148" s="1154">
        <f t="shared" si="454"/>
        <v>0</v>
      </c>
      <c r="EC148" s="1154">
        <f t="shared" si="455"/>
        <v>0</v>
      </c>
      <c r="ED148" s="1154">
        <f t="shared" si="456"/>
        <v>0</v>
      </c>
      <c r="EE148" s="1154">
        <f t="shared" si="457"/>
        <v>0</v>
      </c>
      <c r="EF148" s="1154">
        <f t="shared" si="458"/>
        <v>0</v>
      </c>
      <c r="EG148" s="1154">
        <f t="shared" si="459"/>
        <v>0</v>
      </c>
      <c r="EH148" s="1154">
        <f t="shared" si="460"/>
        <v>425.20639540853938</v>
      </c>
      <c r="EI148" s="1154">
        <f t="shared" si="461"/>
        <v>0</v>
      </c>
      <c r="EJ148" s="1154">
        <f t="shared" si="462"/>
        <v>0</v>
      </c>
      <c r="EK148" s="1154">
        <f t="shared" si="463"/>
        <v>0</v>
      </c>
      <c r="EL148" s="1154">
        <f t="shared" si="464"/>
        <v>0</v>
      </c>
      <c r="EM148" s="1154">
        <f t="shared" si="465"/>
        <v>0</v>
      </c>
      <c r="EN148" s="1154">
        <f t="shared" si="466"/>
        <v>0</v>
      </c>
      <c r="EO148" s="1154">
        <f t="shared" si="467"/>
        <v>2908.6523852102587</v>
      </c>
      <c r="EP148" s="1154">
        <f t="shared" si="468"/>
        <v>0</v>
      </c>
      <c r="EQ148" s="1154">
        <f t="shared" si="469"/>
        <v>0</v>
      </c>
      <c r="ER148" s="1154">
        <f t="shared" si="470"/>
        <v>0</v>
      </c>
      <c r="ES148" s="1154">
        <f t="shared" si="471"/>
        <v>0</v>
      </c>
      <c r="ET148" s="1154">
        <f t="shared" si="472"/>
        <v>0</v>
      </c>
      <c r="EU148" s="1154">
        <f t="shared" si="473"/>
        <v>0</v>
      </c>
      <c r="EV148" s="1154">
        <f t="shared" si="474"/>
        <v>0</v>
      </c>
      <c r="EW148" s="1154">
        <f t="shared" si="475"/>
        <v>0</v>
      </c>
      <c r="EX148" s="1154">
        <f t="shared" si="476"/>
        <v>0</v>
      </c>
      <c r="EY148" s="1154">
        <f t="shared" si="477"/>
        <v>0</v>
      </c>
      <c r="EZ148" s="1154">
        <f t="shared" si="478"/>
        <v>0</v>
      </c>
      <c r="FA148" s="1174">
        <f t="shared" si="479"/>
        <v>3478.6771582651472</v>
      </c>
      <c r="FC148" s="1154">
        <f t="shared" si="480"/>
        <v>144.81837764634903</v>
      </c>
      <c r="FD148" s="1154">
        <f t="shared" si="481"/>
        <v>0</v>
      </c>
      <c r="FE148" s="1154">
        <f t="shared" si="482"/>
        <v>0</v>
      </c>
      <c r="FF148" s="1154">
        <f t="shared" si="483"/>
        <v>0</v>
      </c>
      <c r="FG148" s="1154">
        <f t="shared" si="484"/>
        <v>0</v>
      </c>
      <c r="FH148" s="1154">
        <f t="shared" si="485"/>
        <v>0</v>
      </c>
      <c r="FI148" s="1154">
        <f t="shared" si="486"/>
        <v>0</v>
      </c>
      <c r="FJ148" s="1154">
        <f t="shared" si="487"/>
        <v>0</v>
      </c>
      <c r="FK148" s="1154">
        <f t="shared" si="488"/>
        <v>0</v>
      </c>
      <c r="FL148" s="1154">
        <f t="shared" si="489"/>
        <v>0</v>
      </c>
      <c r="FM148" s="1154">
        <f t="shared" si="490"/>
        <v>0</v>
      </c>
      <c r="FN148" s="1154">
        <f t="shared" si="491"/>
        <v>0</v>
      </c>
      <c r="FO148" s="1154">
        <f t="shared" si="492"/>
        <v>0</v>
      </c>
      <c r="FP148" s="1154">
        <f t="shared" si="493"/>
        <v>0</v>
      </c>
      <c r="FQ148" s="1154">
        <f t="shared" si="494"/>
        <v>0</v>
      </c>
      <c r="FR148" s="1154">
        <f t="shared" si="495"/>
        <v>0</v>
      </c>
      <c r="FS148" s="1154">
        <f t="shared" si="496"/>
        <v>421.57835449208426</v>
      </c>
      <c r="FT148" s="1154">
        <f t="shared" si="497"/>
        <v>0</v>
      </c>
      <c r="FU148" s="1154">
        <f t="shared" si="498"/>
        <v>0</v>
      </c>
      <c r="FV148" s="1154">
        <f t="shared" si="499"/>
        <v>0</v>
      </c>
      <c r="FW148" s="1154">
        <f t="shared" si="500"/>
        <v>0</v>
      </c>
      <c r="FX148" s="1154">
        <f t="shared" si="501"/>
        <v>0</v>
      </c>
      <c r="FY148" s="1154">
        <f t="shared" si="502"/>
        <v>0</v>
      </c>
      <c r="FZ148" s="1154">
        <f t="shared" si="503"/>
        <v>3283.5332416232291</v>
      </c>
      <c r="GA148" s="1154">
        <f t="shared" si="504"/>
        <v>0</v>
      </c>
      <c r="GB148" s="1154">
        <f t="shared" si="505"/>
        <v>0</v>
      </c>
      <c r="GC148" s="1154">
        <f t="shared" si="506"/>
        <v>0</v>
      </c>
      <c r="GD148" s="1154">
        <f t="shared" si="507"/>
        <v>0</v>
      </c>
      <c r="GE148" s="1154">
        <f t="shared" si="508"/>
        <v>0</v>
      </c>
      <c r="GF148" s="1154">
        <f t="shared" si="509"/>
        <v>0</v>
      </c>
      <c r="GG148" s="1154">
        <f t="shared" si="510"/>
        <v>0</v>
      </c>
      <c r="GH148" s="1154">
        <f t="shared" si="511"/>
        <v>0</v>
      </c>
      <c r="GI148" s="1154">
        <f t="shared" si="512"/>
        <v>0</v>
      </c>
      <c r="GJ148" s="1154">
        <f t="shared" si="513"/>
        <v>0</v>
      </c>
      <c r="GK148" s="1154">
        <f t="shared" si="514"/>
        <v>0</v>
      </c>
      <c r="GL148" s="1174">
        <f t="shared" si="515"/>
        <v>3849.9299737616625</v>
      </c>
    </row>
    <row r="149" spans="1:194">
      <c r="B149" s="1290" t="str">
        <f t="shared" si="443"/>
        <v>SACDUOSWBDEM</v>
      </c>
      <c r="C149" s="1289" t="str">
        <f>Prop2021DUOSTariffs!C67</f>
        <v>West SAC&lt;100MWhpa Business TOU Demand</v>
      </c>
      <c r="D149" s="1113" t="str">
        <f>Prop2021DUOSTariffs!D67</f>
        <v>West SAC&lt;100MWhpa Business TOU Demand</v>
      </c>
      <c r="E149" s="1113" t="str">
        <f>Prop2021DUOSTariffs!E67</f>
        <v>SAC</v>
      </c>
      <c r="F149" s="1113" t="str">
        <f>Prop2021DUOSTariffs!F67</f>
        <v>SACS Bus</v>
      </c>
      <c r="G149" s="1113" t="str">
        <f>Prop2021DUOSTariffs!G67</f>
        <v>West</v>
      </c>
      <c r="H149" s="1113" t="str">
        <f>Prop2021DUOSTariffs!H67</f>
        <v>WBDEM</v>
      </c>
      <c r="I149" s="1114" t="s">
        <v>798</v>
      </c>
      <c r="J149" s="1114" t="s">
        <v>934</v>
      </c>
      <c r="K149" s="1270"/>
      <c r="L149" s="1233">
        <v>5.231100000000001E-2</v>
      </c>
      <c r="M149" s="1007"/>
      <c r="N149" s="1007"/>
      <c r="O149" s="1007"/>
      <c r="P149" s="1007"/>
      <c r="Q149" s="1007"/>
      <c r="R149" s="1007"/>
      <c r="S149" s="1007"/>
      <c r="T149" s="1007"/>
      <c r="U149" s="1007"/>
      <c r="V149" s="1007"/>
      <c r="W149" s="1007"/>
      <c r="X149" s="1007"/>
      <c r="Y149" s="1007"/>
      <c r="Z149" s="1007"/>
      <c r="AA149" s="1007"/>
      <c r="AB149" s="1233">
        <v>0.37520137693631667</v>
      </c>
      <c r="AC149" s="1007"/>
      <c r="AD149" s="1007"/>
      <c r="AE149" s="1007"/>
      <c r="AF149" s="1007"/>
      <c r="AG149" s="1007"/>
      <c r="AH149" s="1007"/>
      <c r="AI149" s="1233">
        <v>6.8419052512873335E-3</v>
      </c>
      <c r="AJ149" s="1005"/>
      <c r="AK149" s="1005"/>
      <c r="AL149" s="1005"/>
      <c r="AM149" s="1005"/>
      <c r="AN149" s="1005"/>
      <c r="AO149" s="1005"/>
      <c r="AP149" s="1005"/>
      <c r="AQ149" s="1005"/>
      <c r="AR149" s="1005"/>
      <c r="AS149" s="1005"/>
      <c r="AT149" s="1005"/>
      <c r="AU149" s="1006"/>
      <c r="AV149" s="1270"/>
      <c r="AW149" s="1480">
        <v>4.9350000000000005E-2</v>
      </c>
      <c r="AX149" s="1006"/>
      <c r="AY149" s="1006"/>
      <c r="AZ149" s="1006"/>
      <c r="BA149" s="1006"/>
      <c r="BB149" s="1006"/>
      <c r="BC149" s="1006"/>
      <c r="BD149" s="1006"/>
      <c r="BE149" s="1006"/>
      <c r="BF149" s="1006"/>
      <c r="BG149" s="1006"/>
      <c r="BH149" s="1006"/>
      <c r="BI149" s="1006"/>
      <c r="BJ149" s="1006"/>
      <c r="BK149" s="1006"/>
      <c r="BL149" s="1006"/>
      <c r="BM149" s="1480">
        <v>0.372</v>
      </c>
      <c r="BN149" s="1006"/>
      <c r="BO149" s="1006"/>
      <c r="BP149" s="1006"/>
      <c r="BQ149" s="1006"/>
      <c r="BR149" s="1006"/>
      <c r="BS149" s="1006"/>
      <c r="BT149" s="1480">
        <v>5.0771473453572824E-3</v>
      </c>
      <c r="BU149" s="1006"/>
      <c r="BV149" s="1006"/>
      <c r="BW149" s="1006"/>
      <c r="BX149" s="1006"/>
      <c r="BY149" s="1006"/>
      <c r="BZ149" s="1006"/>
      <c r="CA149" s="1006"/>
      <c r="CB149" s="1006"/>
      <c r="CC149" s="1006"/>
      <c r="CD149" s="1006"/>
      <c r="CE149" s="1006"/>
      <c r="CF149" s="1006"/>
      <c r="CG149" s="1209"/>
      <c r="CH149" s="1236">
        <v>6.5957187745434291</v>
      </c>
      <c r="CI149" s="1007"/>
      <c r="CJ149" s="1007"/>
      <c r="CK149" s="1007"/>
      <c r="CL149" s="1007"/>
      <c r="CM149" s="1007"/>
      <c r="CN149" s="1007"/>
      <c r="CO149" s="1007"/>
      <c r="CP149" s="1007"/>
      <c r="CQ149" s="1007"/>
      <c r="CR149" s="1007"/>
      <c r="CS149" s="1007"/>
      <c r="CT149" s="1007"/>
      <c r="CU149" s="1007"/>
      <c r="CV149" s="1007"/>
      <c r="CW149" s="1007"/>
      <c r="CX149" s="1236">
        <v>570.63436794680888</v>
      </c>
      <c r="CY149" s="1007"/>
      <c r="CZ149" s="1007"/>
      <c r="DA149" s="1007"/>
      <c r="DB149" s="1007"/>
      <c r="DC149" s="1007"/>
      <c r="DD149" s="1007"/>
      <c r="DE149" s="1236">
        <v>137319.91619588246</v>
      </c>
      <c r="DF149" s="1007"/>
      <c r="DG149" s="1007"/>
      <c r="DH149" s="1007"/>
      <c r="DI149" s="1006"/>
      <c r="DJ149" s="1006"/>
      <c r="DK149" s="1007"/>
      <c r="DL149" s="1007"/>
      <c r="DM149" s="1007"/>
      <c r="DN149" s="1007"/>
      <c r="DO149" s="1112"/>
      <c r="DP149" s="1112"/>
      <c r="DQ149" s="1270"/>
      <c r="DR149" s="1154">
        <f t="shared" si="444"/>
        <v>125.93545535752661</v>
      </c>
      <c r="DS149" s="1154">
        <f t="shared" si="445"/>
        <v>0</v>
      </c>
      <c r="DT149" s="1154">
        <f t="shared" si="446"/>
        <v>0</v>
      </c>
      <c r="DU149" s="1154">
        <f t="shared" si="447"/>
        <v>0</v>
      </c>
      <c r="DV149" s="1154">
        <f t="shared" si="448"/>
        <v>0</v>
      </c>
      <c r="DW149" s="1154">
        <f t="shared" si="449"/>
        <v>0</v>
      </c>
      <c r="DX149" s="1154">
        <f t="shared" si="450"/>
        <v>0</v>
      </c>
      <c r="DY149" s="1154">
        <f t="shared" si="451"/>
        <v>0</v>
      </c>
      <c r="DZ149" s="1154">
        <f t="shared" si="452"/>
        <v>0</v>
      </c>
      <c r="EA149" s="1154">
        <f t="shared" si="453"/>
        <v>0</v>
      </c>
      <c r="EB149" s="1154">
        <f t="shared" si="454"/>
        <v>0</v>
      </c>
      <c r="EC149" s="1154">
        <f t="shared" si="455"/>
        <v>0</v>
      </c>
      <c r="ED149" s="1154">
        <f t="shared" si="456"/>
        <v>0</v>
      </c>
      <c r="EE149" s="1154">
        <f t="shared" si="457"/>
        <v>0</v>
      </c>
      <c r="EF149" s="1154">
        <f t="shared" si="458"/>
        <v>0</v>
      </c>
      <c r="EG149" s="1154">
        <f t="shared" si="459"/>
        <v>0</v>
      </c>
      <c r="EH149" s="1154">
        <f t="shared" si="460"/>
        <v>214.10280058082745</v>
      </c>
      <c r="EI149" s="1154">
        <f t="shared" si="461"/>
        <v>0</v>
      </c>
      <c r="EJ149" s="1154">
        <f t="shared" si="462"/>
        <v>0</v>
      </c>
      <c r="EK149" s="1154">
        <f t="shared" si="463"/>
        <v>0</v>
      </c>
      <c r="EL149" s="1154">
        <f t="shared" si="464"/>
        <v>0</v>
      </c>
      <c r="EM149" s="1154">
        <f t="shared" si="465"/>
        <v>0</v>
      </c>
      <c r="EN149" s="1154">
        <f t="shared" si="466"/>
        <v>0</v>
      </c>
      <c r="EO149" s="1154">
        <f t="shared" si="467"/>
        <v>939.52985572694467</v>
      </c>
      <c r="EP149" s="1154">
        <f t="shared" si="468"/>
        <v>0</v>
      </c>
      <c r="EQ149" s="1154">
        <f t="shared" si="469"/>
        <v>0</v>
      </c>
      <c r="ER149" s="1154">
        <f t="shared" si="470"/>
        <v>0</v>
      </c>
      <c r="ES149" s="1154">
        <f t="shared" si="471"/>
        <v>0</v>
      </c>
      <c r="ET149" s="1154">
        <f t="shared" si="472"/>
        <v>0</v>
      </c>
      <c r="EU149" s="1154">
        <f t="shared" si="473"/>
        <v>0</v>
      </c>
      <c r="EV149" s="1154">
        <f t="shared" si="474"/>
        <v>0</v>
      </c>
      <c r="EW149" s="1154">
        <f t="shared" si="475"/>
        <v>0</v>
      </c>
      <c r="EX149" s="1154">
        <f t="shared" si="476"/>
        <v>0</v>
      </c>
      <c r="EY149" s="1154">
        <f t="shared" si="477"/>
        <v>0</v>
      </c>
      <c r="EZ149" s="1154">
        <f t="shared" si="478"/>
        <v>0</v>
      </c>
      <c r="FA149" s="1174">
        <f t="shared" si="479"/>
        <v>1279.5681116652986</v>
      </c>
      <c r="FC149" s="1154">
        <f t="shared" si="480"/>
        <v>118.80703335615718</v>
      </c>
      <c r="FD149" s="1154">
        <f t="shared" si="481"/>
        <v>0</v>
      </c>
      <c r="FE149" s="1154">
        <f t="shared" si="482"/>
        <v>0</v>
      </c>
      <c r="FF149" s="1154">
        <f t="shared" si="483"/>
        <v>0</v>
      </c>
      <c r="FG149" s="1154">
        <f t="shared" si="484"/>
        <v>0</v>
      </c>
      <c r="FH149" s="1154">
        <f t="shared" si="485"/>
        <v>0</v>
      </c>
      <c r="FI149" s="1154">
        <f t="shared" si="486"/>
        <v>0</v>
      </c>
      <c r="FJ149" s="1154">
        <f t="shared" si="487"/>
        <v>0</v>
      </c>
      <c r="FK149" s="1154">
        <f t="shared" si="488"/>
        <v>0</v>
      </c>
      <c r="FL149" s="1154">
        <f t="shared" si="489"/>
        <v>0</v>
      </c>
      <c r="FM149" s="1154">
        <f t="shared" si="490"/>
        <v>0</v>
      </c>
      <c r="FN149" s="1154">
        <f t="shared" si="491"/>
        <v>0</v>
      </c>
      <c r="FO149" s="1154">
        <f t="shared" si="492"/>
        <v>0</v>
      </c>
      <c r="FP149" s="1154">
        <f t="shared" si="493"/>
        <v>0</v>
      </c>
      <c r="FQ149" s="1154">
        <f t="shared" si="494"/>
        <v>0</v>
      </c>
      <c r="FR149" s="1154">
        <f t="shared" si="495"/>
        <v>0</v>
      </c>
      <c r="FS149" s="1154">
        <f t="shared" si="496"/>
        <v>212.2759848762129</v>
      </c>
      <c r="FT149" s="1154">
        <f t="shared" si="497"/>
        <v>0</v>
      </c>
      <c r="FU149" s="1154">
        <f t="shared" si="498"/>
        <v>0</v>
      </c>
      <c r="FV149" s="1154">
        <f t="shared" si="499"/>
        <v>0</v>
      </c>
      <c r="FW149" s="1154">
        <f t="shared" si="500"/>
        <v>0</v>
      </c>
      <c r="FX149" s="1154">
        <f t="shared" si="501"/>
        <v>0</v>
      </c>
      <c r="FY149" s="1154">
        <f t="shared" si="502"/>
        <v>0</v>
      </c>
      <c r="FZ149" s="1154">
        <f t="shared" si="503"/>
        <v>697.19344797860913</v>
      </c>
      <c r="GA149" s="1154">
        <f t="shared" si="504"/>
        <v>0</v>
      </c>
      <c r="GB149" s="1154">
        <f t="shared" si="505"/>
        <v>0</v>
      </c>
      <c r="GC149" s="1154">
        <f t="shared" si="506"/>
        <v>0</v>
      </c>
      <c r="GD149" s="1154">
        <f t="shared" si="507"/>
        <v>0</v>
      </c>
      <c r="GE149" s="1154">
        <f t="shared" si="508"/>
        <v>0</v>
      </c>
      <c r="GF149" s="1154">
        <f t="shared" si="509"/>
        <v>0</v>
      </c>
      <c r="GG149" s="1154">
        <f t="shared" si="510"/>
        <v>0</v>
      </c>
      <c r="GH149" s="1154">
        <f t="shared" si="511"/>
        <v>0</v>
      </c>
      <c r="GI149" s="1154">
        <f t="shared" si="512"/>
        <v>0</v>
      </c>
      <c r="GJ149" s="1154">
        <f t="shared" si="513"/>
        <v>0</v>
      </c>
      <c r="GK149" s="1154">
        <f t="shared" si="514"/>
        <v>0</v>
      </c>
      <c r="GL149" s="1174">
        <f t="shared" si="515"/>
        <v>1028.2764662109792</v>
      </c>
    </row>
    <row r="150" spans="1:194">
      <c r="B150" s="1290" t="str">
        <f t="shared" si="443"/>
        <v>SACDUOSWBDEM</v>
      </c>
      <c r="C150" s="1289" t="str">
        <f>C149</f>
        <v>West SAC&lt;100MWhpa Business TOU Demand</v>
      </c>
      <c r="D150" s="1113" t="str">
        <f t="shared" ref="D150:H151" si="540">D149</f>
        <v>West SAC&lt;100MWhpa Business TOU Demand</v>
      </c>
      <c r="E150" s="1113" t="str">
        <f t="shared" si="540"/>
        <v>SAC</v>
      </c>
      <c r="F150" s="1113" t="str">
        <f t="shared" si="540"/>
        <v>SACS Bus</v>
      </c>
      <c r="G150" s="1113" t="str">
        <f t="shared" ref="G150" si="541">G149</f>
        <v>West</v>
      </c>
      <c r="H150" s="1113" t="str">
        <f t="shared" si="540"/>
        <v>WBDEM</v>
      </c>
      <c r="I150" s="1114" t="s">
        <v>752</v>
      </c>
      <c r="J150" s="1114" t="s">
        <v>934</v>
      </c>
      <c r="K150" s="1270"/>
      <c r="L150" s="1233">
        <v>8.7226125000000002E-2</v>
      </c>
      <c r="M150" s="1007"/>
      <c r="N150" s="1007"/>
      <c r="O150" s="1007"/>
      <c r="P150" s="1007"/>
      <c r="Q150" s="1007"/>
      <c r="R150" s="1007"/>
      <c r="S150" s="1007"/>
      <c r="T150" s="1007"/>
      <c r="U150" s="1007"/>
      <c r="V150" s="1007"/>
      <c r="W150" s="1007"/>
      <c r="X150" s="1007"/>
      <c r="Y150" s="1007"/>
      <c r="Z150" s="1007"/>
      <c r="AA150" s="1007"/>
      <c r="AB150" s="1233">
        <v>0.85126333907056795</v>
      </c>
      <c r="AC150" s="1007"/>
      <c r="AD150" s="1007"/>
      <c r="AE150" s="1007"/>
      <c r="AF150" s="1007"/>
      <c r="AG150" s="1007"/>
      <c r="AH150" s="1007"/>
      <c r="AI150" s="1233">
        <v>7.3231188457637255E-3</v>
      </c>
      <c r="AJ150" s="1005"/>
      <c r="AK150" s="1005"/>
      <c r="AL150" s="1005"/>
      <c r="AM150" s="1005"/>
      <c r="AN150" s="1005"/>
      <c r="AO150" s="1005"/>
      <c r="AP150" s="1005"/>
      <c r="AQ150" s="1005"/>
      <c r="AR150" s="1005"/>
      <c r="AS150" s="1005"/>
      <c r="AT150" s="1005"/>
      <c r="AU150" s="1006"/>
      <c r="AV150" s="1270"/>
      <c r="AW150" s="1480">
        <v>8.6362499999999995E-2</v>
      </c>
      <c r="AX150" s="1006"/>
      <c r="AY150" s="1006"/>
      <c r="AZ150" s="1006"/>
      <c r="BA150" s="1006"/>
      <c r="BB150" s="1006"/>
      <c r="BC150" s="1006"/>
      <c r="BD150" s="1006"/>
      <c r="BE150" s="1006"/>
      <c r="BF150" s="1006"/>
      <c r="BG150" s="1006"/>
      <c r="BH150" s="1006"/>
      <c r="BI150" s="1006"/>
      <c r="BJ150" s="1006"/>
      <c r="BK150" s="1006"/>
      <c r="BL150" s="1006"/>
      <c r="BM150" s="1480">
        <v>0.84399999999999997</v>
      </c>
      <c r="BN150" s="1006"/>
      <c r="BO150" s="1006"/>
      <c r="BP150" s="1006"/>
      <c r="BQ150" s="1006"/>
      <c r="BR150" s="1006"/>
      <c r="BS150" s="1006"/>
      <c r="BT150" s="1480">
        <v>7.0741954300528155E-3</v>
      </c>
      <c r="BU150" s="1006"/>
      <c r="BV150" s="1006"/>
      <c r="BW150" s="1006"/>
      <c r="BX150" s="1006"/>
      <c r="BY150" s="1006"/>
      <c r="BZ150" s="1006"/>
      <c r="CA150" s="1006"/>
      <c r="CB150" s="1006"/>
      <c r="CC150" s="1006"/>
      <c r="CD150" s="1006"/>
      <c r="CE150" s="1006"/>
      <c r="CF150" s="1006"/>
      <c r="CG150" s="1209"/>
      <c r="CH150" s="1236">
        <v>1.7932823407775267</v>
      </c>
      <c r="CI150" s="1007"/>
      <c r="CJ150" s="1007"/>
      <c r="CK150" s="1007"/>
      <c r="CL150" s="1007"/>
      <c r="CM150" s="1007"/>
      <c r="CN150" s="1007"/>
      <c r="CO150" s="1007"/>
      <c r="CP150" s="1007"/>
      <c r="CQ150" s="1007"/>
      <c r="CR150" s="1007"/>
      <c r="CS150" s="1007"/>
      <c r="CT150" s="1007"/>
      <c r="CU150" s="1007"/>
      <c r="CV150" s="1007"/>
      <c r="CW150" s="1007"/>
      <c r="CX150" s="1236">
        <v>155.14738727631601</v>
      </c>
      <c r="CY150" s="1007"/>
      <c r="CZ150" s="1007"/>
      <c r="DA150" s="1007"/>
      <c r="DB150" s="1007"/>
      <c r="DC150" s="1007"/>
      <c r="DD150" s="1007"/>
      <c r="DE150" s="1236">
        <v>37335.336627988974</v>
      </c>
      <c r="DF150" s="1007"/>
      <c r="DG150" s="1007"/>
      <c r="DH150" s="1007"/>
      <c r="DI150" s="1006"/>
      <c r="DJ150" s="1006"/>
      <c r="DK150" s="1007"/>
      <c r="DL150" s="1007"/>
      <c r="DM150" s="1007"/>
      <c r="DN150" s="1007"/>
      <c r="DO150" s="1112"/>
      <c r="DP150" s="1112"/>
      <c r="DQ150" s="1270"/>
      <c r="DR150" s="1154">
        <f t="shared" si="444"/>
        <v>57.093690410187904</v>
      </c>
      <c r="DS150" s="1154">
        <f t="shared" si="445"/>
        <v>0</v>
      </c>
      <c r="DT150" s="1154">
        <f t="shared" si="446"/>
        <v>0</v>
      </c>
      <c r="DU150" s="1154">
        <f t="shared" si="447"/>
        <v>0</v>
      </c>
      <c r="DV150" s="1154">
        <f t="shared" si="448"/>
        <v>0</v>
      </c>
      <c r="DW150" s="1154">
        <f t="shared" si="449"/>
        <v>0</v>
      </c>
      <c r="DX150" s="1154">
        <f t="shared" si="450"/>
        <v>0</v>
      </c>
      <c r="DY150" s="1154">
        <f t="shared" si="451"/>
        <v>0</v>
      </c>
      <c r="DZ150" s="1154">
        <f t="shared" si="452"/>
        <v>0</v>
      </c>
      <c r="EA150" s="1154">
        <f t="shared" si="453"/>
        <v>0</v>
      </c>
      <c r="EB150" s="1154">
        <f t="shared" si="454"/>
        <v>0</v>
      </c>
      <c r="EC150" s="1154">
        <f t="shared" si="455"/>
        <v>0</v>
      </c>
      <c r="ED150" s="1154">
        <f t="shared" si="456"/>
        <v>0</v>
      </c>
      <c r="EE150" s="1154">
        <f t="shared" si="457"/>
        <v>0</v>
      </c>
      <c r="EF150" s="1154">
        <f t="shared" si="458"/>
        <v>0</v>
      </c>
      <c r="EG150" s="1154">
        <f t="shared" si="459"/>
        <v>0</v>
      </c>
      <c r="EH150" s="1154">
        <f t="shared" si="460"/>
        <v>132.07128294091132</v>
      </c>
      <c r="EI150" s="1154">
        <f t="shared" si="461"/>
        <v>0</v>
      </c>
      <c r="EJ150" s="1154">
        <f t="shared" si="462"/>
        <v>0</v>
      </c>
      <c r="EK150" s="1154">
        <f t="shared" si="463"/>
        <v>0</v>
      </c>
      <c r="EL150" s="1154">
        <f t="shared" si="464"/>
        <v>0</v>
      </c>
      <c r="EM150" s="1154">
        <f t="shared" si="465"/>
        <v>0</v>
      </c>
      <c r="EN150" s="1154">
        <f t="shared" si="466"/>
        <v>0</v>
      </c>
      <c r="EO150" s="1154">
        <f t="shared" si="467"/>
        <v>273.41110727335877</v>
      </c>
      <c r="EP150" s="1154">
        <f t="shared" si="468"/>
        <v>0</v>
      </c>
      <c r="EQ150" s="1154">
        <f t="shared" si="469"/>
        <v>0</v>
      </c>
      <c r="ER150" s="1154">
        <f t="shared" si="470"/>
        <v>0</v>
      </c>
      <c r="ES150" s="1154">
        <f t="shared" si="471"/>
        <v>0</v>
      </c>
      <c r="ET150" s="1154">
        <f t="shared" si="472"/>
        <v>0</v>
      </c>
      <c r="EU150" s="1154">
        <f t="shared" si="473"/>
        <v>0</v>
      </c>
      <c r="EV150" s="1154">
        <f t="shared" si="474"/>
        <v>0</v>
      </c>
      <c r="EW150" s="1154">
        <f t="shared" si="475"/>
        <v>0</v>
      </c>
      <c r="EX150" s="1154">
        <f t="shared" si="476"/>
        <v>0</v>
      </c>
      <c r="EY150" s="1154">
        <f t="shared" si="477"/>
        <v>0</v>
      </c>
      <c r="EZ150" s="1154">
        <f t="shared" si="478"/>
        <v>0</v>
      </c>
      <c r="FA150" s="1174">
        <f t="shared" si="479"/>
        <v>462.57608062445797</v>
      </c>
      <c r="FC150" s="1154">
        <f t="shared" si="480"/>
        <v>56.528406346720686</v>
      </c>
      <c r="FD150" s="1154">
        <f t="shared" si="481"/>
        <v>0</v>
      </c>
      <c r="FE150" s="1154">
        <f t="shared" si="482"/>
        <v>0</v>
      </c>
      <c r="FF150" s="1154">
        <f t="shared" si="483"/>
        <v>0</v>
      </c>
      <c r="FG150" s="1154">
        <f t="shared" si="484"/>
        <v>0</v>
      </c>
      <c r="FH150" s="1154">
        <f t="shared" si="485"/>
        <v>0</v>
      </c>
      <c r="FI150" s="1154">
        <f t="shared" si="486"/>
        <v>0</v>
      </c>
      <c r="FJ150" s="1154">
        <f t="shared" si="487"/>
        <v>0</v>
      </c>
      <c r="FK150" s="1154">
        <f t="shared" si="488"/>
        <v>0</v>
      </c>
      <c r="FL150" s="1154">
        <f t="shared" si="489"/>
        <v>0</v>
      </c>
      <c r="FM150" s="1154">
        <f t="shared" si="490"/>
        <v>0</v>
      </c>
      <c r="FN150" s="1154">
        <f t="shared" si="491"/>
        <v>0</v>
      </c>
      <c r="FO150" s="1154">
        <f t="shared" si="492"/>
        <v>0</v>
      </c>
      <c r="FP150" s="1154">
        <f t="shared" si="493"/>
        <v>0</v>
      </c>
      <c r="FQ150" s="1154">
        <f t="shared" si="494"/>
        <v>0</v>
      </c>
      <c r="FR150" s="1154">
        <f t="shared" si="495"/>
        <v>0</v>
      </c>
      <c r="FS150" s="1154">
        <f t="shared" si="496"/>
        <v>130.9443948612107</v>
      </c>
      <c r="FT150" s="1154">
        <f t="shared" si="497"/>
        <v>0</v>
      </c>
      <c r="FU150" s="1154">
        <f t="shared" si="498"/>
        <v>0</v>
      </c>
      <c r="FV150" s="1154">
        <f t="shared" si="499"/>
        <v>0</v>
      </c>
      <c r="FW150" s="1154">
        <f t="shared" si="500"/>
        <v>0</v>
      </c>
      <c r="FX150" s="1154">
        <f t="shared" si="501"/>
        <v>0</v>
      </c>
      <c r="FY150" s="1154">
        <f t="shared" si="502"/>
        <v>0</v>
      </c>
      <c r="FZ150" s="1154">
        <f t="shared" si="503"/>
        <v>264.11746775320307</v>
      </c>
      <c r="GA150" s="1154">
        <f t="shared" si="504"/>
        <v>0</v>
      </c>
      <c r="GB150" s="1154">
        <f t="shared" si="505"/>
        <v>0</v>
      </c>
      <c r="GC150" s="1154">
        <f t="shared" si="506"/>
        <v>0</v>
      </c>
      <c r="GD150" s="1154">
        <f t="shared" si="507"/>
        <v>0</v>
      </c>
      <c r="GE150" s="1154">
        <f t="shared" si="508"/>
        <v>0</v>
      </c>
      <c r="GF150" s="1154">
        <f t="shared" si="509"/>
        <v>0</v>
      </c>
      <c r="GG150" s="1154">
        <f t="shared" si="510"/>
        <v>0</v>
      </c>
      <c r="GH150" s="1154">
        <f t="shared" si="511"/>
        <v>0</v>
      </c>
      <c r="GI150" s="1154">
        <f t="shared" si="512"/>
        <v>0</v>
      </c>
      <c r="GJ150" s="1154">
        <f t="shared" si="513"/>
        <v>0</v>
      </c>
      <c r="GK150" s="1154">
        <f t="shared" si="514"/>
        <v>0</v>
      </c>
      <c r="GL150" s="1174">
        <f t="shared" si="515"/>
        <v>451.59026896113448</v>
      </c>
    </row>
    <row r="151" spans="1:194">
      <c r="B151" s="1290" t="str">
        <f t="shared" si="443"/>
        <v>SACDUOSWBDEM</v>
      </c>
      <c r="C151" s="1289" t="str">
        <f t="shared" ref="C151" si="542">C150</f>
        <v>West SAC&lt;100MWhpa Business TOU Demand</v>
      </c>
      <c r="D151" s="1113" t="str">
        <f t="shared" si="540"/>
        <v>West SAC&lt;100MWhpa Business TOU Demand</v>
      </c>
      <c r="E151" s="1113" t="str">
        <f t="shared" si="540"/>
        <v>SAC</v>
      </c>
      <c r="F151" s="1113" t="str">
        <f t="shared" si="540"/>
        <v>SACS Bus</v>
      </c>
      <c r="G151" s="1113" t="str">
        <f t="shared" ref="G151" si="543">G150</f>
        <v>West</v>
      </c>
      <c r="H151" s="1113" t="str">
        <f t="shared" si="540"/>
        <v>WBDEM</v>
      </c>
      <c r="I151" s="1114" t="s">
        <v>759</v>
      </c>
      <c r="J151" s="1114" t="s">
        <v>934</v>
      </c>
      <c r="K151" s="1270"/>
      <c r="L151" s="1233">
        <v>0.14114099999999999</v>
      </c>
      <c r="M151" s="1007"/>
      <c r="N151" s="1007"/>
      <c r="O151" s="1007"/>
      <c r="P151" s="1007"/>
      <c r="Q151" s="1007"/>
      <c r="R151" s="1007"/>
      <c r="S151" s="1007"/>
      <c r="T151" s="1007"/>
      <c r="U151" s="1007"/>
      <c r="V151" s="1007"/>
      <c r="W151" s="1007"/>
      <c r="X151" s="1007"/>
      <c r="Y151" s="1007"/>
      <c r="Z151" s="1007"/>
      <c r="AA151" s="1007"/>
      <c r="AB151" s="1233">
        <v>1.6481964429145151</v>
      </c>
      <c r="AC151" s="1007"/>
      <c r="AD151" s="1007"/>
      <c r="AE151" s="1007"/>
      <c r="AF151" s="1007"/>
      <c r="AG151" s="1007"/>
      <c r="AH151" s="1007"/>
      <c r="AI151" s="1233">
        <v>6.8977626046223218E-3</v>
      </c>
      <c r="AJ151" s="1005"/>
      <c r="AK151" s="1005"/>
      <c r="AL151" s="1005"/>
      <c r="AM151" s="1005"/>
      <c r="AN151" s="1005"/>
      <c r="AO151" s="1005"/>
      <c r="AP151" s="1005"/>
      <c r="AQ151" s="1005"/>
      <c r="AR151" s="1005"/>
      <c r="AS151" s="1005"/>
      <c r="AT151" s="1005"/>
      <c r="AU151" s="1006"/>
      <c r="AV151" s="1270"/>
      <c r="AW151" s="1480">
        <v>0.14114099999999999</v>
      </c>
      <c r="AX151" s="1006"/>
      <c r="AY151" s="1006"/>
      <c r="AZ151" s="1006"/>
      <c r="BA151" s="1006"/>
      <c r="BB151" s="1006"/>
      <c r="BC151" s="1006"/>
      <c r="BD151" s="1006"/>
      <c r="BE151" s="1006"/>
      <c r="BF151" s="1006"/>
      <c r="BG151" s="1006"/>
      <c r="BH151" s="1006"/>
      <c r="BI151" s="1006"/>
      <c r="BJ151" s="1006"/>
      <c r="BK151" s="1006"/>
      <c r="BL151" s="1006"/>
      <c r="BM151" s="1480">
        <v>1.6341333333333332</v>
      </c>
      <c r="BN151" s="1006"/>
      <c r="BO151" s="1006"/>
      <c r="BP151" s="1006"/>
      <c r="BQ151" s="1006"/>
      <c r="BR151" s="1006"/>
      <c r="BS151" s="1006"/>
      <c r="BT151" s="1480">
        <v>7.7867788259152124E-3</v>
      </c>
      <c r="BU151" s="1006"/>
      <c r="BV151" s="1006"/>
      <c r="BW151" s="1006"/>
      <c r="BX151" s="1006"/>
      <c r="BY151" s="1006"/>
      <c r="BZ151" s="1006"/>
      <c r="CA151" s="1006"/>
      <c r="CB151" s="1006"/>
      <c r="CC151" s="1006"/>
      <c r="CD151" s="1006"/>
      <c r="CE151" s="1006"/>
      <c r="CF151" s="1006"/>
      <c r="CG151" s="1209"/>
      <c r="CH151" s="1236">
        <v>0.43099888467904368</v>
      </c>
      <c r="CI151" s="1007"/>
      <c r="CJ151" s="1007"/>
      <c r="CK151" s="1007"/>
      <c r="CL151" s="1007"/>
      <c r="CM151" s="1007"/>
      <c r="CN151" s="1007"/>
      <c r="CO151" s="1007"/>
      <c r="CP151" s="1007"/>
      <c r="CQ151" s="1007"/>
      <c r="CR151" s="1007"/>
      <c r="CS151" s="1007"/>
      <c r="CT151" s="1007"/>
      <c r="CU151" s="1007"/>
      <c r="CV151" s="1007"/>
      <c r="CW151" s="1007"/>
      <c r="CX151" s="1236">
        <v>37.28824477687504</v>
      </c>
      <c r="CY151" s="1007"/>
      <c r="CZ151" s="1007"/>
      <c r="DA151" s="1007"/>
      <c r="DB151" s="1007"/>
      <c r="DC151" s="1007"/>
      <c r="DD151" s="1007"/>
      <c r="DE151" s="1236">
        <v>8973.2040961285493</v>
      </c>
      <c r="DF151" s="1007"/>
      <c r="DG151" s="1007"/>
      <c r="DH151" s="1007"/>
      <c r="DI151" s="1006"/>
      <c r="DJ151" s="1006"/>
      <c r="DK151" s="1007"/>
      <c r="DL151" s="1007"/>
      <c r="DM151" s="1007"/>
      <c r="DN151" s="1007"/>
      <c r="DO151" s="1112"/>
      <c r="DP151" s="1112"/>
      <c r="DQ151" s="1270"/>
      <c r="DR151" s="1154">
        <f t="shared" si="444"/>
        <v>22.203538957606987</v>
      </c>
      <c r="DS151" s="1154">
        <f t="shared" si="445"/>
        <v>0</v>
      </c>
      <c r="DT151" s="1154">
        <f t="shared" si="446"/>
        <v>0</v>
      </c>
      <c r="DU151" s="1154">
        <f t="shared" si="447"/>
        <v>0</v>
      </c>
      <c r="DV151" s="1154">
        <f t="shared" si="448"/>
        <v>0</v>
      </c>
      <c r="DW151" s="1154">
        <f t="shared" si="449"/>
        <v>0</v>
      </c>
      <c r="DX151" s="1154">
        <f t="shared" si="450"/>
        <v>0</v>
      </c>
      <c r="DY151" s="1154">
        <f t="shared" si="451"/>
        <v>0</v>
      </c>
      <c r="DZ151" s="1154">
        <f t="shared" si="452"/>
        <v>0</v>
      </c>
      <c r="EA151" s="1154">
        <f t="shared" si="453"/>
        <v>0</v>
      </c>
      <c r="EB151" s="1154">
        <f t="shared" si="454"/>
        <v>0</v>
      </c>
      <c r="EC151" s="1154">
        <f t="shared" si="455"/>
        <v>0</v>
      </c>
      <c r="ED151" s="1154">
        <f t="shared" si="456"/>
        <v>0</v>
      </c>
      <c r="EE151" s="1154">
        <f t="shared" si="457"/>
        <v>0</v>
      </c>
      <c r="EF151" s="1154">
        <f t="shared" si="458"/>
        <v>0</v>
      </c>
      <c r="EG151" s="1154">
        <f t="shared" si="459"/>
        <v>0</v>
      </c>
      <c r="EH151" s="1154">
        <f t="shared" si="460"/>
        <v>61.458352403771187</v>
      </c>
      <c r="EI151" s="1154">
        <f t="shared" si="461"/>
        <v>0</v>
      </c>
      <c r="EJ151" s="1154">
        <f t="shared" si="462"/>
        <v>0</v>
      </c>
      <c r="EK151" s="1154">
        <f t="shared" si="463"/>
        <v>0</v>
      </c>
      <c r="EL151" s="1154">
        <f t="shared" si="464"/>
        <v>0</v>
      </c>
      <c r="EM151" s="1154">
        <f t="shared" si="465"/>
        <v>0</v>
      </c>
      <c r="EN151" s="1154">
        <f t="shared" si="466"/>
        <v>0</v>
      </c>
      <c r="EO151" s="1154">
        <f t="shared" si="467"/>
        <v>61.895031657919347</v>
      </c>
      <c r="EP151" s="1154">
        <f t="shared" si="468"/>
        <v>0</v>
      </c>
      <c r="EQ151" s="1154">
        <f t="shared" si="469"/>
        <v>0</v>
      </c>
      <c r="ER151" s="1154">
        <f t="shared" si="470"/>
        <v>0</v>
      </c>
      <c r="ES151" s="1154">
        <f t="shared" si="471"/>
        <v>0</v>
      </c>
      <c r="ET151" s="1154">
        <f t="shared" si="472"/>
        <v>0</v>
      </c>
      <c r="EU151" s="1154">
        <f t="shared" si="473"/>
        <v>0</v>
      </c>
      <c r="EV151" s="1154">
        <f t="shared" si="474"/>
        <v>0</v>
      </c>
      <c r="EW151" s="1154">
        <f t="shared" si="475"/>
        <v>0</v>
      </c>
      <c r="EX151" s="1154">
        <f t="shared" si="476"/>
        <v>0</v>
      </c>
      <c r="EY151" s="1154">
        <f t="shared" si="477"/>
        <v>0</v>
      </c>
      <c r="EZ151" s="1154">
        <f t="shared" si="478"/>
        <v>0</v>
      </c>
      <c r="FA151" s="1174">
        <f t="shared" si="479"/>
        <v>145.55692301929753</v>
      </c>
      <c r="FC151" s="1154">
        <f t="shared" si="480"/>
        <v>22.203538957606987</v>
      </c>
      <c r="FD151" s="1154">
        <f t="shared" si="481"/>
        <v>0</v>
      </c>
      <c r="FE151" s="1154">
        <f t="shared" si="482"/>
        <v>0</v>
      </c>
      <c r="FF151" s="1154">
        <f t="shared" si="483"/>
        <v>0</v>
      </c>
      <c r="FG151" s="1154">
        <f t="shared" si="484"/>
        <v>0</v>
      </c>
      <c r="FH151" s="1154">
        <f t="shared" si="485"/>
        <v>0</v>
      </c>
      <c r="FI151" s="1154">
        <f t="shared" si="486"/>
        <v>0</v>
      </c>
      <c r="FJ151" s="1154">
        <f t="shared" si="487"/>
        <v>0</v>
      </c>
      <c r="FK151" s="1154">
        <f t="shared" si="488"/>
        <v>0</v>
      </c>
      <c r="FL151" s="1154">
        <f t="shared" si="489"/>
        <v>0</v>
      </c>
      <c r="FM151" s="1154">
        <f t="shared" si="490"/>
        <v>0</v>
      </c>
      <c r="FN151" s="1154">
        <f t="shared" si="491"/>
        <v>0</v>
      </c>
      <c r="FO151" s="1154">
        <f t="shared" si="492"/>
        <v>0</v>
      </c>
      <c r="FP151" s="1154">
        <f t="shared" si="493"/>
        <v>0</v>
      </c>
      <c r="FQ151" s="1154">
        <f t="shared" si="494"/>
        <v>0</v>
      </c>
      <c r="FR151" s="1154">
        <f t="shared" si="495"/>
        <v>0</v>
      </c>
      <c r="FS151" s="1154">
        <f t="shared" si="496"/>
        <v>60.933963731384061</v>
      </c>
      <c r="FT151" s="1154">
        <f t="shared" si="497"/>
        <v>0</v>
      </c>
      <c r="FU151" s="1154">
        <f t="shared" si="498"/>
        <v>0</v>
      </c>
      <c r="FV151" s="1154">
        <f t="shared" si="499"/>
        <v>0</v>
      </c>
      <c r="FW151" s="1154">
        <f t="shared" si="500"/>
        <v>0</v>
      </c>
      <c r="FX151" s="1154">
        <f t="shared" si="501"/>
        <v>0</v>
      </c>
      <c r="FY151" s="1154">
        <f t="shared" si="502"/>
        <v>0</v>
      </c>
      <c r="FZ151" s="1154">
        <f t="shared" si="503"/>
        <v>69.872355656349441</v>
      </c>
      <c r="GA151" s="1154">
        <f t="shared" si="504"/>
        <v>0</v>
      </c>
      <c r="GB151" s="1154">
        <f t="shared" si="505"/>
        <v>0</v>
      </c>
      <c r="GC151" s="1154">
        <f t="shared" si="506"/>
        <v>0</v>
      </c>
      <c r="GD151" s="1154">
        <f t="shared" si="507"/>
        <v>0</v>
      </c>
      <c r="GE151" s="1154">
        <f t="shared" si="508"/>
        <v>0</v>
      </c>
      <c r="GF151" s="1154">
        <f t="shared" si="509"/>
        <v>0</v>
      </c>
      <c r="GG151" s="1154">
        <f t="shared" si="510"/>
        <v>0</v>
      </c>
      <c r="GH151" s="1154">
        <f t="shared" si="511"/>
        <v>0</v>
      </c>
      <c r="GI151" s="1154">
        <f t="shared" si="512"/>
        <v>0</v>
      </c>
      <c r="GJ151" s="1154">
        <f t="shared" si="513"/>
        <v>0</v>
      </c>
      <c r="GK151" s="1154">
        <f t="shared" si="514"/>
        <v>0</v>
      </c>
      <c r="GL151" s="1174">
        <f t="shared" si="515"/>
        <v>153.00985834534049</v>
      </c>
    </row>
    <row r="152" spans="1:194">
      <c r="B152" s="1290" t="str">
        <f t="shared" si="443"/>
        <v>SACDUOSMBDEM</v>
      </c>
      <c r="C152" s="1289" t="str">
        <f>Prop2021DUOSTariffs!C68</f>
        <v>MtIsa SAC&lt;100MWhpa Business TOU Demand</v>
      </c>
      <c r="D152" s="1113" t="str">
        <f>Prop2021DUOSTariffs!D68</f>
        <v>MtIsa SAC&lt;100MWhpa Business TOU Demand</v>
      </c>
      <c r="E152" s="1113" t="str">
        <f>Prop2021DUOSTariffs!E68</f>
        <v>SAC</v>
      </c>
      <c r="F152" s="1113" t="str">
        <f>Prop2021DUOSTariffs!F68</f>
        <v>SACS Bus</v>
      </c>
      <c r="G152" s="1113" t="str">
        <f>Prop2021DUOSTariffs!G68</f>
        <v>Mt Isa</v>
      </c>
      <c r="H152" s="1113" t="str">
        <f>Prop2021DUOSTariffs!H68</f>
        <v>MBDEM</v>
      </c>
      <c r="I152" s="1114" t="s">
        <v>761</v>
      </c>
      <c r="J152" s="1114" t="s">
        <v>934</v>
      </c>
      <c r="K152" s="1270"/>
      <c r="L152" s="1233">
        <v>0.14140000000000003</v>
      </c>
      <c r="M152" s="1007"/>
      <c r="N152" s="1007"/>
      <c r="O152" s="1007"/>
      <c r="P152" s="1007"/>
      <c r="Q152" s="1007"/>
      <c r="R152" s="1007"/>
      <c r="S152" s="1007"/>
      <c r="T152" s="1007"/>
      <c r="U152" s="1007"/>
      <c r="V152" s="1007"/>
      <c r="W152" s="1007"/>
      <c r="X152" s="1007"/>
      <c r="Y152" s="1007"/>
      <c r="Z152" s="1007"/>
      <c r="AA152" s="1007"/>
      <c r="AB152" s="1233">
        <v>0.13858244406196213</v>
      </c>
      <c r="AC152" s="1007"/>
      <c r="AD152" s="1007"/>
      <c r="AE152" s="1007"/>
      <c r="AF152" s="1007"/>
      <c r="AG152" s="1007"/>
      <c r="AH152" s="1007"/>
      <c r="AI152" s="1233">
        <v>5.6294153019841768E-4</v>
      </c>
      <c r="AJ152" s="1005"/>
      <c r="AK152" s="1005"/>
      <c r="AL152" s="1005"/>
      <c r="AM152" s="1005"/>
      <c r="AN152" s="1005"/>
      <c r="AO152" s="1005"/>
      <c r="AP152" s="1005"/>
      <c r="AQ152" s="1005"/>
      <c r="AR152" s="1005"/>
      <c r="AS152" s="1005"/>
      <c r="AT152" s="1005"/>
      <c r="AU152" s="1006"/>
      <c r="AV152" s="1270"/>
      <c r="AW152" s="1480">
        <v>0.11</v>
      </c>
      <c r="AX152" s="1006"/>
      <c r="AY152" s="1006"/>
      <c r="AZ152" s="1006"/>
      <c r="BA152" s="1006"/>
      <c r="BB152" s="1006"/>
      <c r="BC152" s="1006"/>
      <c r="BD152" s="1006"/>
      <c r="BE152" s="1006"/>
      <c r="BF152" s="1006"/>
      <c r="BG152" s="1006"/>
      <c r="BH152" s="1006"/>
      <c r="BI152" s="1006"/>
      <c r="BJ152" s="1006"/>
      <c r="BK152" s="1006"/>
      <c r="BL152" s="1006"/>
      <c r="BM152" s="1480">
        <v>0.13739999999999999</v>
      </c>
      <c r="BN152" s="1006"/>
      <c r="BO152" s="1006"/>
      <c r="BP152" s="1006"/>
      <c r="BQ152" s="1006"/>
      <c r="BR152" s="1006"/>
      <c r="BS152" s="1006"/>
      <c r="BT152" s="1480">
        <v>6.9999999999999999E-4</v>
      </c>
      <c r="BU152" s="1006"/>
      <c r="BV152" s="1006"/>
      <c r="BW152" s="1006"/>
      <c r="BX152" s="1006"/>
      <c r="BY152" s="1006"/>
      <c r="BZ152" s="1006"/>
      <c r="CA152" s="1006"/>
      <c r="CB152" s="1006"/>
      <c r="CC152" s="1006"/>
      <c r="CD152" s="1006"/>
      <c r="CE152" s="1006"/>
      <c r="CF152" s="1006"/>
      <c r="CG152" s="1209"/>
      <c r="CH152" s="1236">
        <v>0</v>
      </c>
      <c r="CI152" s="1007"/>
      <c r="CJ152" s="1007"/>
      <c r="CK152" s="1007"/>
      <c r="CL152" s="1007"/>
      <c r="CM152" s="1007"/>
      <c r="CN152" s="1007"/>
      <c r="CO152" s="1007"/>
      <c r="CP152" s="1007"/>
      <c r="CQ152" s="1007"/>
      <c r="CR152" s="1007"/>
      <c r="CS152" s="1007"/>
      <c r="CT152" s="1007"/>
      <c r="CU152" s="1007"/>
      <c r="CV152" s="1007"/>
      <c r="CW152" s="1007"/>
      <c r="CX152" s="1236">
        <v>0</v>
      </c>
      <c r="CY152" s="1007"/>
      <c r="CZ152" s="1007"/>
      <c r="DA152" s="1007"/>
      <c r="DB152" s="1007"/>
      <c r="DC152" s="1007"/>
      <c r="DD152" s="1007"/>
      <c r="DE152" s="1236">
        <v>0</v>
      </c>
      <c r="DF152" s="1007"/>
      <c r="DG152" s="1007"/>
      <c r="DH152" s="1007"/>
      <c r="DI152" s="1006"/>
      <c r="DJ152" s="1006"/>
      <c r="DK152" s="1007"/>
      <c r="DL152" s="1007"/>
      <c r="DM152" s="1007"/>
      <c r="DN152" s="1007"/>
      <c r="DO152" s="1112"/>
      <c r="DP152" s="1112"/>
      <c r="DQ152" s="1270"/>
      <c r="DR152" s="1154">
        <f t="shared" si="444"/>
        <v>0</v>
      </c>
      <c r="DS152" s="1154">
        <f t="shared" si="445"/>
        <v>0</v>
      </c>
      <c r="DT152" s="1154">
        <f t="shared" si="446"/>
        <v>0</v>
      </c>
      <c r="DU152" s="1154">
        <f t="shared" si="447"/>
        <v>0</v>
      </c>
      <c r="DV152" s="1154">
        <f t="shared" si="448"/>
        <v>0</v>
      </c>
      <c r="DW152" s="1154">
        <f t="shared" si="449"/>
        <v>0</v>
      </c>
      <c r="DX152" s="1154">
        <f t="shared" si="450"/>
        <v>0</v>
      </c>
      <c r="DY152" s="1154">
        <f t="shared" si="451"/>
        <v>0</v>
      </c>
      <c r="DZ152" s="1154">
        <f t="shared" si="452"/>
        <v>0</v>
      </c>
      <c r="EA152" s="1154">
        <f t="shared" si="453"/>
        <v>0</v>
      </c>
      <c r="EB152" s="1154">
        <f t="shared" si="454"/>
        <v>0</v>
      </c>
      <c r="EC152" s="1154">
        <f t="shared" si="455"/>
        <v>0</v>
      </c>
      <c r="ED152" s="1154">
        <f t="shared" si="456"/>
        <v>0</v>
      </c>
      <c r="EE152" s="1154">
        <f t="shared" si="457"/>
        <v>0</v>
      </c>
      <c r="EF152" s="1154">
        <f t="shared" si="458"/>
        <v>0</v>
      </c>
      <c r="EG152" s="1154">
        <f t="shared" si="459"/>
        <v>0</v>
      </c>
      <c r="EH152" s="1154">
        <f t="shared" si="460"/>
        <v>0</v>
      </c>
      <c r="EI152" s="1154">
        <f t="shared" si="461"/>
        <v>0</v>
      </c>
      <c r="EJ152" s="1154">
        <f t="shared" si="462"/>
        <v>0</v>
      </c>
      <c r="EK152" s="1154">
        <f t="shared" si="463"/>
        <v>0</v>
      </c>
      <c r="EL152" s="1154">
        <f t="shared" si="464"/>
        <v>0</v>
      </c>
      <c r="EM152" s="1154">
        <f t="shared" si="465"/>
        <v>0</v>
      </c>
      <c r="EN152" s="1154">
        <f t="shared" si="466"/>
        <v>0</v>
      </c>
      <c r="EO152" s="1154">
        <f t="shared" si="467"/>
        <v>0</v>
      </c>
      <c r="EP152" s="1154">
        <f t="shared" si="468"/>
        <v>0</v>
      </c>
      <c r="EQ152" s="1154">
        <f t="shared" si="469"/>
        <v>0</v>
      </c>
      <c r="ER152" s="1154">
        <f t="shared" si="470"/>
        <v>0</v>
      </c>
      <c r="ES152" s="1154">
        <f t="shared" si="471"/>
        <v>0</v>
      </c>
      <c r="ET152" s="1154">
        <f t="shared" si="472"/>
        <v>0</v>
      </c>
      <c r="EU152" s="1154">
        <f t="shared" si="473"/>
        <v>0</v>
      </c>
      <c r="EV152" s="1154">
        <f t="shared" si="474"/>
        <v>0</v>
      </c>
      <c r="EW152" s="1154">
        <f t="shared" si="475"/>
        <v>0</v>
      </c>
      <c r="EX152" s="1154">
        <f t="shared" si="476"/>
        <v>0</v>
      </c>
      <c r="EY152" s="1154">
        <f t="shared" si="477"/>
        <v>0</v>
      </c>
      <c r="EZ152" s="1154">
        <f t="shared" si="478"/>
        <v>0</v>
      </c>
      <c r="FA152" s="1174">
        <f t="shared" si="479"/>
        <v>0</v>
      </c>
      <c r="FC152" s="1154">
        <f t="shared" si="480"/>
        <v>0</v>
      </c>
      <c r="FD152" s="1154">
        <f t="shared" si="481"/>
        <v>0</v>
      </c>
      <c r="FE152" s="1154">
        <f t="shared" si="482"/>
        <v>0</v>
      </c>
      <c r="FF152" s="1154">
        <f t="shared" si="483"/>
        <v>0</v>
      </c>
      <c r="FG152" s="1154">
        <f t="shared" si="484"/>
        <v>0</v>
      </c>
      <c r="FH152" s="1154">
        <f t="shared" si="485"/>
        <v>0</v>
      </c>
      <c r="FI152" s="1154">
        <f t="shared" si="486"/>
        <v>0</v>
      </c>
      <c r="FJ152" s="1154">
        <f t="shared" si="487"/>
        <v>0</v>
      </c>
      <c r="FK152" s="1154">
        <f t="shared" si="488"/>
        <v>0</v>
      </c>
      <c r="FL152" s="1154">
        <f t="shared" si="489"/>
        <v>0</v>
      </c>
      <c r="FM152" s="1154">
        <f t="shared" si="490"/>
        <v>0</v>
      </c>
      <c r="FN152" s="1154">
        <f t="shared" si="491"/>
        <v>0</v>
      </c>
      <c r="FO152" s="1154">
        <f t="shared" si="492"/>
        <v>0</v>
      </c>
      <c r="FP152" s="1154">
        <f t="shared" si="493"/>
        <v>0</v>
      </c>
      <c r="FQ152" s="1154">
        <f t="shared" si="494"/>
        <v>0</v>
      </c>
      <c r="FR152" s="1154">
        <f t="shared" si="495"/>
        <v>0</v>
      </c>
      <c r="FS152" s="1154">
        <f t="shared" si="496"/>
        <v>0</v>
      </c>
      <c r="FT152" s="1154">
        <f t="shared" si="497"/>
        <v>0</v>
      </c>
      <c r="FU152" s="1154">
        <f t="shared" si="498"/>
        <v>0</v>
      </c>
      <c r="FV152" s="1154">
        <f t="shared" si="499"/>
        <v>0</v>
      </c>
      <c r="FW152" s="1154">
        <f t="shared" si="500"/>
        <v>0</v>
      </c>
      <c r="FX152" s="1154">
        <f t="shared" si="501"/>
        <v>0</v>
      </c>
      <c r="FY152" s="1154">
        <f t="shared" si="502"/>
        <v>0</v>
      </c>
      <c r="FZ152" s="1154">
        <f t="shared" si="503"/>
        <v>0</v>
      </c>
      <c r="GA152" s="1154">
        <f t="shared" si="504"/>
        <v>0</v>
      </c>
      <c r="GB152" s="1154">
        <f t="shared" si="505"/>
        <v>0</v>
      </c>
      <c r="GC152" s="1154">
        <f t="shared" si="506"/>
        <v>0</v>
      </c>
      <c r="GD152" s="1154">
        <f t="shared" si="507"/>
        <v>0</v>
      </c>
      <c r="GE152" s="1154">
        <f t="shared" si="508"/>
        <v>0</v>
      </c>
      <c r="GF152" s="1154">
        <f t="shared" si="509"/>
        <v>0</v>
      </c>
      <c r="GG152" s="1154">
        <f t="shared" si="510"/>
        <v>0</v>
      </c>
      <c r="GH152" s="1154">
        <f t="shared" si="511"/>
        <v>0</v>
      </c>
      <c r="GI152" s="1154">
        <f t="shared" si="512"/>
        <v>0</v>
      </c>
      <c r="GJ152" s="1154">
        <f t="shared" si="513"/>
        <v>0</v>
      </c>
      <c r="GK152" s="1154">
        <f t="shared" si="514"/>
        <v>0</v>
      </c>
      <c r="GL152" s="1174">
        <f t="shared" si="515"/>
        <v>0</v>
      </c>
    </row>
    <row r="153" spans="1:194">
      <c r="B153" s="1290" t="str">
        <f t="shared" si="443"/>
        <v>SACDUOSEBPLC</v>
      </c>
      <c r="C153" s="1289" t="str">
        <f>Prop2021DUOSTariffs!C69</f>
        <v xml:space="preserve">East SAC&lt;100MWhpa Small Business Primary Load Control </v>
      </c>
      <c r="D153" s="1113" t="str">
        <f>Prop2021DUOSTariffs!D69</f>
        <v xml:space="preserve">East SAC&lt;100MWhpa Small Business Primary Load Control </v>
      </c>
      <c r="E153" s="1113" t="str">
        <f>Prop2021DUOSTariffs!E69</f>
        <v>SAC</v>
      </c>
      <c r="F153" s="1113" t="str">
        <f>Prop2021DUOSTariffs!F69</f>
        <v>SACS Bus</v>
      </c>
      <c r="G153" s="1113" t="str">
        <f>Prop2021DUOSTariffs!G69</f>
        <v>East</v>
      </c>
      <c r="H153" s="1113" t="str">
        <f>Prop2021DUOSTariffs!H69</f>
        <v>EBPLC</v>
      </c>
      <c r="I153" s="1114" t="s">
        <v>798</v>
      </c>
      <c r="J153" s="1114" t="s">
        <v>934</v>
      </c>
      <c r="K153" s="1270"/>
      <c r="L153" s="1233">
        <v>0.10462200000000002</v>
      </c>
      <c r="M153" s="1007"/>
      <c r="N153" s="1007"/>
      <c r="O153" s="1007"/>
      <c r="P153" s="1007"/>
      <c r="Q153" s="1007"/>
      <c r="R153" s="1007"/>
      <c r="S153" s="1007"/>
      <c r="T153" s="1007"/>
      <c r="U153" s="1007"/>
      <c r="V153" s="1007"/>
      <c r="W153" s="1007"/>
      <c r="X153" s="1007"/>
      <c r="Y153" s="1007"/>
      <c r="Z153" s="1007"/>
      <c r="AA153" s="1007"/>
      <c r="AB153" s="1007"/>
      <c r="AC153" s="1007"/>
      <c r="AD153" s="1007"/>
      <c r="AE153" s="1007"/>
      <c r="AF153" s="1007"/>
      <c r="AG153" s="1007"/>
      <c r="AH153" s="1007"/>
      <c r="AI153" s="1233">
        <v>1.2756140745273986E-2</v>
      </c>
      <c r="AJ153" s="1005"/>
      <c r="AK153" s="1005"/>
      <c r="AL153" s="1005"/>
      <c r="AM153" s="1005"/>
      <c r="AN153" s="1005"/>
      <c r="AO153" s="1005"/>
      <c r="AP153" s="1005"/>
      <c r="AQ153" s="1005"/>
      <c r="AR153" s="1005"/>
      <c r="AS153" s="1005"/>
      <c r="AT153" s="1005"/>
      <c r="AU153" s="1006"/>
      <c r="AV153" s="1270"/>
      <c r="AW153" s="1480">
        <v>9.870000000000001E-2</v>
      </c>
      <c r="AX153" s="1006"/>
      <c r="AY153" s="1006"/>
      <c r="AZ153" s="1006"/>
      <c r="BA153" s="1006"/>
      <c r="BB153" s="1006"/>
      <c r="BC153" s="1006"/>
      <c r="BD153" s="1006"/>
      <c r="BE153" s="1006"/>
      <c r="BF153" s="1006"/>
      <c r="BG153" s="1006"/>
      <c r="BH153" s="1006"/>
      <c r="BI153" s="1006"/>
      <c r="BJ153" s="1006"/>
      <c r="BK153" s="1006"/>
      <c r="BL153" s="1006"/>
      <c r="BM153" s="1006"/>
      <c r="BN153" s="1006"/>
      <c r="BO153" s="1006"/>
      <c r="BP153" s="1006"/>
      <c r="BQ153" s="1006"/>
      <c r="BR153" s="1006"/>
      <c r="BS153" s="1006"/>
      <c r="BT153" s="1480">
        <v>9.9886311700567981E-3</v>
      </c>
      <c r="BU153" s="1006"/>
      <c r="BV153" s="1006"/>
      <c r="BW153" s="1006"/>
      <c r="BX153" s="1006"/>
      <c r="BY153" s="1006"/>
      <c r="BZ153" s="1006"/>
      <c r="CA153" s="1006"/>
      <c r="CB153" s="1006"/>
      <c r="CC153" s="1006"/>
      <c r="CD153" s="1006"/>
      <c r="CE153" s="1006"/>
      <c r="CF153" s="1006"/>
      <c r="CG153" s="1209"/>
      <c r="CH153" s="1236">
        <v>398.53635057136836</v>
      </c>
      <c r="CI153" s="1007"/>
      <c r="CJ153" s="1007"/>
      <c r="CK153" s="1007"/>
      <c r="CL153" s="1007"/>
      <c r="CM153" s="1007"/>
      <c r="CN153" s="1007"/>
      <c r="CO153" s="1007"/>
      <c r="CP153" s="1007"/>
      <c r="CQ153" s="1007"/>
      <c r="CR153" s="1007"/>
      <c r="CS153" s="1007"/>
      <c r="CT153" s="1007"/>
      <c r="CU153" s="1007"/>
      <c r="CV153" s="1007"/>
      <c r="CW153" s="1007"/>
      <c r="CX153" s="1007"/>
      <c r="CY153" s="1007"/>
      <c r="CZ153" s="1007"/>
      <c r="DA153" s="1007"/>
      <c r="DB153" s="1007"/>
      <c r="DC153" s="1007"/>
      <c r="DD153" s="1007"/>
      <c r="DE153" s="1236">
        <v>5874243.4561097417</v>
      </c>
      <c r="DF153" s="1007"/>
      <c r="DG153" s="1007"/>
      <c r="DH153" s="1007"/>
      <c r="DI153" s="1006"/>
      <c r="DJ153" s="1006"/>
      <c r="DK153" s="1007"/>
      <c r="DL153" s="1007"/>
      <c r="DM153" s="1007"/>
      <c r="DN153" s="1007"/>
      <c r="DO153" s="1112"/>
      <c r="DP153" s="1112"/>
      <c r="DQ153" s="1270"/>
      <c r="DR153" s="1154">
        <f t="shared" si="444"/>
        <v>15218.919575359363</v>
      </c>
      <c r="DS153" s="1154">
        <f t="shared" si="445"/>
        <v>0</v>
      </c>
      <c r="DT153" s="1154">
        <f t="shared" si="446"/>
        <v>0</v>
      </c>
      <c r="DU153" s="1154">
        <f t="shared" si="447"/>
        <v>0</v>
      </c>
      <c r="DV153" s="1154">
        <f t="shared" si="448"/>
        <v>0</v>
      </c>
      <c r="DW153" s="1154">
        <f t="shared" si="449"/>
        <v>0</v>
      </c>
      <c r="DX153" s="1154">
        <f t="shared" si="450"/>
        <v>0</v>
      </c>
      <c r="DY153" s="1154">
        <f t="shared" si="451"/>
        <v>0</v>
      </c>
      <c r="DZ153" s="1154">
        <f t="shared" si="452"/>
        <v>0</v>
      </c>
      <c r="EA153" s="1154">
        <f t="shared" si="453"/>
        <v>0</v>
      </c>
      <c r="EB153" s="1154">
        <f t="shared" si="454"/>
        <v>0</v>
      </c>
      <c r="EC153" s="1154">
        <f t="shared" si="455"/>
        <v>0</v>
      </c>
      <c r="ED153" s="1154">
        <f t="shared" si="456"/>
        <v>0</v>
      </c>
      <c r="EE153" s="1154">
        <f t="shared" si="457"/>
        <v>0</v>
      </c>
      <c r="EF153" s="1154">
        <f t="shared" si="458"/>
        <v>0</v>
      </c>
      <c r="EG153" s="1154">
        <f t="shared" si="459"/>
        <v>0</v>
      </c>
      <c r="EH153" s="1154">
        <f t="shared" si="460"/>
        <v>0</v>
      </c>
      <c r="EI153" s="1154">
        <f t="shared" si="461"/>
        <v>0</v>
      </c>
      <c r="EJ153" s="1154">
        <f t="shared" si="462"/>
        <v>0</v>
      </c>
      <c r="EK153" s="1154">
        <f t="shared" si="463"/>
        <v>0</v>
      </c>
      <c r="EL153" s="1154">
        <f t="shared" si="464"/>
        <v>0</v>
      </c>
      <c r="EM153" s="1154">
        <f t="shared" si="465"/>
        <v>0</v>
      </c>
      <c r="EN153" s="1154">
        <f t="shared" si="466"/>
        <v>0</v>
      </c>
      <c r="EO153" s="1154">
        <f t="shared" si="467"/>
        <v>74932.676298140548</v>
      </c>
      <c r="EP153" s="1154">
        <f t="shared" si="468"/>
        <v>0</v>
      </c>
      <c r="EQ153" s="1154">
        <f t="shared" si="469"/>
        <v>0</v>
      </c>
      <c r="ER153" s="1154">
        <f t="shared" si="470"/>
        <v>0</v>
      </c>
      <c r="ES153" s="1154">
        <f t="shared" si="471"/>
        <v>0</v>
      </c>
      <c r="ET153" s="1154">
        <f t="shared" si="472"/>
        <v>0</v>
      </c>
      <c r="EU153" s="1154">
        <f t="shared" si="473"/>
        <v>0</v>
      </c>
      <c r="EV153" s="1154">
        <f t="shared" si="474"/>
        <v>0</v>
      </c>
      <c r="EW153" s="1154">
        <f t="shared" si="475"/>
        <v>0</v>
      </c>
      <c r="EX153" s="1154">
        <f t="shared" si="476"/>
        <v>0</v>
      </c>
      <c r="EY153" s="1154">
        <f t="shared" si="477"/>
        <v>0</v>
      </c>
      <c r="EZ153" s="1154">
        <f t="shared" si="478"/>
        <v>0</v>
      </c>
      <c r="FA153" s="1174">
        <f t="shared" si="479"/>
        <v>90151.595873499915</v>
      </c>
      <c r="FC153" s="1154">
        <f t="shared" si="480"/>
        <v>14357.471297508831</v>
      </c>
      <c r="FD153" s="1154">
        <f t="shared" si="481"/>
        <v>0</v>
      </c>
      <c r="FE153" s="1154">
        <f t="shared" si="482"/>
        <v>0</v>
      </c>
      <c r="FF153" s="1154">
        <f t="shared" si="483"/>
        <v>0</v>
      </c>
      <c r="FG153" s="1154">
        <f t="shared" si="484"/>
        <v>0</v>
      </c>
      <c r="FH153" s="1154">
        <f t="shared" si="485"/>
        <v>0</v>
      </c>
      <c r="FI153" s="1154">
        <f t="shared" si="486"/>
        <v>0</v>
      </c>
      <c r="FJ153" s="1154">
        <f t="shared" si="487"/>
        <v>0</v>
      </c>
      <c r="FK153" s="1154">
        <f t="shared" si="488"/>
        <v>0</v>
      </c>
      <c r="FL153" s="1154">
        <f t="shared" si="489"/>
        <v>0</v>
      </c>
      <c r="FM153" s="1154">
        <f t="shared" si="490"/>
        <v>0</v>
      </c>
      <c r="FN153" s="1154">
        <f t="shared" si="491"/>
        <v>0</v>
      </c>
      <c r="FO153" s="1154">
        <f t="shared" si="492"/>
        <v>0</v>
      </c>
      <c r="FP153" s="1154">
        <f t="shared" si="493"/>
        <v>0</v>
      </c>
      <c r="FQ153" s="1154">
        <f t="shared" si="494"/>
        <v>0</v>
      </c>
      <c r="FR153" s="1154">
        <f t="shared" si="495"/>
        <v>0</v>
      </c>
      <c r="FS153" s="1154">
        <f t="shared" si="496"/>
        <v>0</v>
      </c>
      <c r="FT153" s="1154">
        <f t="shared" si="497"/>
        <v>0</v>
      </c>
      <c r="FU153" s="1154">
        <f t="shared" si="498"/>
        <v>0</v>
      </c>
      <c r="FV153" s="1154">
        <f t="shared" si="499"/>
        <v>0</v>
      </c>
      <c r="FW153" s="1154">
        <f t="shared" si="500"/>
        <v>0</v>
      </c>
      <c r="FX153" s="1154">
        <f t="shared" si="501"/>
        <v>0</v>
      </c>
      <c r="FY153" s="1154">
        <f t="shared" si="502"/>
        <v>0</v>
      </c>
      <c r="FZ153" s="1154">
        <f t="shared" si="503"/>
        <v>58675.651286199936</v>
      </c>
      <c r="GA153" s="1154">
        <f t="shared" si="504"/>
        <v>0</v>
      </c>
      <c r="GB153" s="1154">
        <f t="shared" si="505"/>
        <v>0</v>
      </c>
      <c r="GC153" s="1154">
        <f t="shared" si="506"/>
        <v>0</v>
      </c>
      <c r="GD153" s="1154">
        <f t="shared" si="507"/>
        <v>0</v>
      </c>
      <c r="GE153" s="1154">
        <f t="shared" si="508"/>
        <v>0</v>
      </c>
      <c r="GF153" s="1154">
        <f t="shared" si="509"/>
        <v>0</v>
      </c>
      <c r="GG153" s="1154">
        <f t="shared" si="510"/>
        <v>0</v>
      </c>
      <c r="GH153" s="1154">
        <f t="shared" si="511"/>
        <v>0</v>
      </c>
      <c r="GI153" s="1154">
        <f t="shared" si="512"/>
        <v>0</v>
      </c>
      <c r="GJ153" s="1154">
        <f t="shared" si="513"/>
        <v>0</v>
      </c>
      <c r="GK153" s="1154">
        <f t="shared" si="514"/>
        <v>0</v>
      </c>
      <c r="GL153" s="1174">
        <f t="shared" si="515"/>
        <v>73033.12258370877</v>
      </c>
    </row>
    <row r="154" spans="1:194">
      <c r="B154" s="1290" t="str">
        <f t="shared" si="443"/>
        <v>SACDUOSEBPLC</v>
      </c>
      <c r="C154" s="1289" t="str">
        <f>C153</f>
        <v xml:space="preserve">East SAC&lt;100MWhpa Small Business Primary Load Control </v>
      </c>
      <c r="D154" s="1113" t="str">
        <f t="shared" ref="D154:H155" si="544">D153</f>
        <v xml:space="preserve">East SAC&lt;100MWhpa Small Business Primary Load Control </v>
      </c>
      <c r="E154" s="1113" t="str">
        <f t="shared" si="544"/>
        <v>SAC</v>
      </c>
      <c r="F154" s="1113" t="str">
        <f t="shared" si="544"/>
        <v>SACS Bus</v>
      </c>
      <c r="G154" s="1113" t="str">
        <f t="shared" ref="G154" si="545">G153</f>
        <v>East</v>
      </c>
      <c r="H154" s="1113" t="str">
        <f t="shared" si="544"/>
        <v>EBPLC</v>
      </c>
      <c r="I154" s="1114" t="s">
        <v>752</v>
      </c>
      <c r="J154" s="1114" t="s">
        <v>934</v>
      </c>
      <c r="K154" s="1270"/>
      <c r="L154" s="1233">
        <v>0.17445225</v>
      </c>
      <c r="M154" s="1007"/>
      <c r="N154" s="1007"/>
      <c r="O154" s="1007"/>
      <c r="P154" s="1007"/>
      <c r="Q154" s="1007"/>
      <c r="R154" s="1007"/>
      <c r="S154" s="1007"/>
      <c r="T154" s="1007"/>
      <c r="U154" s="1007"/>
      <c r="V154" s="1007"/>
      <c r="W154" s="1007"/>
      <c r="X154" s="1007"/>
      <c r="Y154" s="1007"/>
      <c r="Z154" s="1007"/>
      <c r="AA154" s="1007"/>
      <c r="AB154" s="1007"/>
      <c r="AC154" s="1007"/>
      <c r="AD154" s="1007"/>
      <c r="AE154" s="1007"/>
      <c r="AF154" s="1007"/>
      <c r="AG154" s="1007"/>
      <c r="AH154" s="1007"/>
      <c r="AI154" s="1233">
        <v>1.3580961239131205E-2</v>
      </c>
      <c r="AJ154" s="1005"/>
      <c r="AK154" s="1005"/>
      <c r="AL154" s="1005"/>
      <c r="AM154" s="1005"/>
      <c r="AN154" s="1005"/>
      <c r="AO154" s="1005"/>
      <c r="AP154" s="1005"/>
      <c r="AQ154" s="1005"/>
      <c r="AR154" s="1005"/>
      <c r="AS154" s="1005"/>
      <c r="AT154" s="1005"/>
      <c r="AU154" s="1006"/>
      <c r="AV154" s="1270"/>
      <c r="AW154" s="1480">
        <v>0.17272499999999999</v>
      </c>
      <c r="AX154" s="1006"/>
      <c r="AY154" s="1006"/>
      <c r="AZ154" s="1006"/>
      <c r="BA154" s="1006"/>
      <c r="BB154" s="1006"/>
      <c r="BC154" s="1006"/>
      <c r="BD154" s="1006"/>
      <c r="BE154" s="1006"/>
      <c r="BF154" s="1006"/>
      <c r="BG154" s="1006"/>
      <c r="BH154" s="1006"/>
      <c r="BI154" s="1006"/>
      <c r="BJ154" s="1006"/>
      <c r="BK154" s="1006"/>
      <c r="BL154" s="1006"/>
      <c r="BM154" s="1006"/>
      <c r="BN154" s="1006"/>
      <c r="BO154" s="1006"/>
      <c r="BP154" s="1006"/>
      <c r="BQ154" s="1006"/>
      <c r="BR154" s="1006"/>
      <c r="BS154" s="1006"/>
      <c r="BT154" s="1480">
        <v>1.3226767178995704E-2</v>
      </c>
      <c r="BU154" s="1006"/>
      <c r="BV154" s="1006"/>
      <c r="BW154" s="1006"/>
      <c r="BX154" s="1006"/>
      <c r="BY154" s="1006"/>
      <c r="BZ154" s="1006"/>
      <c r="CA154" s="1006"/>
      <c r="CB154" s="1006"/>
      <c r="CC154" s="1006"/>
      <c r="CD154" s="1006"/>
      <c r="CE154" s="1006"/>
      <c r="CF154" s="1006"/>
      <c r="CG154" s="1209"/>
      <c r="CH154" s="1236">
        <v>232.96947630926678</v>
      </c>
      <c r="CI154" s="1007"/>
      <c r="CJ154" s="1007"/>
      <c r="CK154" s="1007"/>
      <c r="CL154" s="1007"/>
      <c r="CM154" s="1007"/>
      <c r="CN154" s="1007"/>
      <c r="CO154" s="1007"/>
      <c r="CP154" s="1007"/>
      <c r="CQ154" s="1007"/>
      <c r="CR154" s="1007"/>
      <c r="CS154" s="1007"/>
      <c r="CT154" s="1007"/>
      <c r="CU154" s="1007"/>
      <c r="CV154" s="1007"/>
      <c r="CW154" s="1007"/>
      <c r="CX154" s="1007"/>
      <c r="CY154" s="1007"/>
      <c r="CZ154" s="1007"/>
      <c r="DA154" s="1007"/>
      <c r="DB154" s="1007"/>
      <c r="DC154" s="1007"/>
      <c r="DD154" s="1007"/>
      <c r="DE154" s="1236">
        <v>3433863.4850272075</v>
      </c>
      <c r="DF154" s="1007"/>
      <c r="DG154" s="1007"/>
      <c r="DH154" s="1007"/>
      <c r="DI154" s="1006"/>
      <c r="DJ154" s="1006"/>
      <c r="DK154" s="1007"/>
      <c r="DL154" s="1007"/>
      <c r="DM154" s="1007"/>
      <c r="DN154" s="1007"/>
      <c r="DO154" s="1112"/>
      <c r="DP154" s="1112"/>
      <c r="DQ154" s="1270"/>
      <c r="DR154" s="1154">
        <f t="shared" si="444"/>
        <v>14834.348003067749</v>
      </c>
      <c r="DS154" s="1154">
        <f t="shared" si="445"/>
        <v>0</v>
      </c>
      <c r="DT154" s="1154">
        <f t="shared" si="446"/>
        <v>0</v>
      </c>
      <c r="DU154" s="1154">
        <f t="shared" si="447"/>
        <v>0</v>
      </c>
      <c r="DV154" s="1154">
        <f t="shared" si="448"/>
        <v>0</v>
      </c>
      <c r="DW154" s="1154">
        <f t="shared" si="449"/>
        <v>0</v>
      </c>
      <c r="DX154" s="1154">
        <f t="shared" si="450"/>
        <v>0</v>
      </c>
      <c r="DY154" s="1154">
        <f t="shared" si="451"/>
        <v>0</v>
      </c>
      <c r="DZ154" s="1154">
        <f t="shared" si="452"/>
        <v>0</v>
      </c>
      <c r="EA154" s="1154">
        <f t="shared" si="453"/>
        <v>0</v>
      </c>
      <c r="EB154" s="1154">
        <f t="shared" si="454"/>
        <v>0</v>
      </c>
      <c r="EC154" s="1154">
        <f t="shared" si="455"/>
        <v>0</v>
      </c>
      <c r="ED154" s="1154">
        <f t="shared" si="456"/>
        <v>0</v>
      </c>
      <c r="EE154" s="1154">
        <f t="shared" si="457"/>
        <v>0</v>
      </c>
      <c r="EF154" s="1154">
        <f t="shared" si="458"/>
        <v>0</v>
      </c>
      <c r="EG154" s="1154">
        <f t="shared" si="459"/>
        <v>0</v>
      </c>
      <c r="EH154" s="1154">
        <f t="shared" si="460"/>
        <v>0</v>
      </c>
      <c r="EI154" s="1154">
        <f t="shared" si="461"/>
        <v>0</v>
      </c>
      <c r="EJ154" s="1154">
        <f t="shared" si="462"/>
        <v>0</v>
      </c>
      <c r="EK154" s="1154">
        <f t="shared" si="463"/>
        <v>0</v>
      </c>
      <c r="EL154" s="1154">
        <f t="shared" si="464"/>
        <v>0</v>
      </c>
      <c r="EM154" s="1154">
        <f t="shared" si="465"/>
        <v>0</v>
      </c>
      <c r="EN154" s="1154">
        <f t="shared" si="466"/>
        <v>0</v>
      </c>
      <c r="EO154" s="1154">
        <f t="shared" si="467"/>
        <v>46635.166890622502</v>
      </c>
      <c r="EP154" s="1154">
        <f t="shared" si="468"/>
        <v>0</v>
      </c>
      <c r="EQ154" s="1154">
        <f t="shared" si="469"/>
        <v>0</v>
      </c>
      <c r="ER154" s="1154">
        <f t="shared" si="470"/>
        <v>0</v>
      </c>
      <c r="ES154" s="1154">
        <f t="shared" si="471"/>
        <v>0</v>
      </c>
      <c r="ET154" s="1154">
        <f t="shared" si="472"/>
        <v>0</v>
      </c>
      <c r="EU154" s="1154">
        <f t="shared" si="473"/>
        <v>0</v>
      </c>
      <c r="EV154" s="1154">
        <f t="shared" si="474"/>
        <v>0</v>
      </c>
      <c r="EW154" s="1154">
        <f t="shared" si="475"/>
        <v>0</v>
      </c>
      <c r="EX154" s="1154">
        <f t="shared" si="476"/>
        <v>0</v>
      </c>
      <c r="EY154" s="1154">
        <f t="shared" si="477"/>
        <v>0</v>
      </c>
      <c r="EZ154" s="1154">
        <f t="shared" si="478"/>
        <v>0</v>
      </c>
      <c r="FA154" s="1174">
        <f t="shared" si="479"/>
        <v>61469.514893690255</v>
      </c>
      <c r="FC154" s="1154">
        <f t="shared" si="480"/>
        <v>14687.473270364108</v>
      </c>
      <c r="FD154" s="1154">
        <f t="shared" si="481"/>
        <v>0</v>
      </c>
      <c r="FE154" s="1154">
        <f t="shared" si="482"/>
        <v>0</v>
      </c>
      <c r="FF154" s="1154">
        <f t="shared" si="483"/>
        <v>0</v>
      </c>
      <c r="FG154" s="1154">
        <f t="shared" si="484"/>
        <v>0</v>
      </c>
      <c r="FH154" s="1154">
        <f t="shared" si="485"/>
        <v>0</v>
      </c>
      <c r="FI154" s="1154">
        <f t="shared" si="486"/>
        <v>0</v>
      </c>
      <c r="FJ154" s="1154">
        <f t="shared" si="487"/>
        <v>0</v>
      </c>
      <c r="FK154" s="1154">
        <f t="shared" si="488"/>
        <v>0</v>
      </c>
      <c r="FL154" s="1154">
        <f t="shared" si="489"/>
        <v>0</v>
      </c>
      <c r="FM154" s="1154">
        <f t="shared" si="490"/>
        <v>0</v>
      </c>
      <c r="FN154" s="1154">
        <f t="shared" si="491"/>
        <v>0</v>
      </c>
      <c r="FO154" s="1154">
        <f t="shared" si="492"/>
        <v>0</v>
      </c>
      <c r="FP154" s="1154">
        <f t="shared" si="493"/>
        <v>0</v>
      </c>
      <c r="FQ154" s="1154">
        <f t="shared" si="494"/>
        <v>0</v>
      </c>
      <c r="FR154" s="1154">
        <f t="shared" si="495"/>
        <v>0</v>
      </c>
      <c r="FS154" s="1154">
        <f t="shared" si="496"/>
        <v>0</v>
      </c>
      <c r="FT154" s="1154">
        <f t="shared" si="497"/>
        <v>0</v>
      </c>
      <c r="FU154" s="1154">
        <f t="shared" si="498"/>
        <v>0</v>
      </c>
      <c r="FV154" s="1154">
        <f t="shared" si="499"/>
        <v>0</v>
      </c>
      <c r="FW154" s="1154">
        <f t="shared" si="500"/>
        <v>0</v>
      </c>
      <c r="FX154" s="1154">
        <f t="shared" si="501"/>
        <v>0</v>
      </c>
      <c r="FY154" s="1154">
        <f t="shared" si="502"/>
        <v>0</v>
      </c>
      <c r="FZ154" s="1154">
        <f t="shared" si="503"/>
        <v>45418.912840909674</v>
      </c>
      <c r="GA154" s="1154">
        <f t="shared" si="504"/>
        <v>0</v>
      </c>
      <c r="GB154" s="1154">
        <f t="shared" si="505"/>
        <v>0</v>
      </c>
      <c r="GC154" s="1154">
        <f t="shared" si="506"/>
        <v>0</v>
      </c>
      <c r="GD154" s="1154">
        <f t="shared" si="507"/>
        <v>0</v>
      </c>
      <c r="GE154" s="1154">
        <f t="shared" si="508"/>
        <v>0</v>
      </c>
      <c r="GF154" s="1154">
        <f t="shared" si="509"/>
        <v>0</v>
      </c>
      <c r="GG154" s="1154">
        <f t="shared" si="510"/>
        <v>0</v>
      </c>
      <c r="GH154" s="1154">
        <f t="shared" si="511"/>
        <v>0</v>
      </c>
      <c r="GI154" s="1154">
        <f t="shared" si="512"/>
        <v>0</v>
      </c>
      <c r="GJ154" s="1154">
        <f t="shared" si="513"/>
        <v>0</v>
      </c>
      <c r="GK154" s="1154">
        <f t="shared" si="514"/>
        <v>0</v>
      </c>
      <c r="GL154" s="1174">
        <f t="shared" si="515"/>
        <v>60106.38611127378</v>
      </c>
    </row>
    <row r="155" spans="1:194">
      <c r="B155" s="1290" t="str">
        <f t="shared" si="443"/>
        <v>SACDUOSEBPLC</v>
      </c>
      <c r="C155" s="1289" t="str">
        <f t="shared" ref="C155" si="546">C154</f>
        <v xml:space="preserve">East SAC&lt;100MWhpa Small Business Primary Load Control </v>
      </c>
      <c r="D155" s="1113" t="str">
        <f t="shared" si="544"/>
        <v xml:space="preserve">East SAC&lt;100MWhpa Small Business Primary Load Control </v>
      </c>
      <c r="E155" s="1113" t="str">
        <f t="shared" si="544"/>
        <v>SAC</v>
      </c>
      <c r="F155" s="1113" t="str">
        <f t="shared" si="544"/>
        <v>SACS Bus</v>
      </c>
      <c r="G155" s="1113" t="str">
        <f t="shared" ref="G155" si="547">G154</f>
        <v>East</v>
      </c>
      <c r="H155" s="1113" t="str">
        <f t="shared" si="544"/>
        <v>EBPLC</v>
      </c>
      <c r="I155" s="1114" t="s">
        <v>759</v>
      </c>
      <c r="J155" s="1114" t="s">
        <v>934</v>
      </c>
      <c r="K155" s="1270"/>
      <c r="L155" s="1233">
        <v>0.28228199999999998</v>
      </c>
      <c r="M155" s="1007"/>
      <c r="N155" s="1007"/>
      <c r="O155" s="1007"/>
      <c r="P155" s="1007"/>
      <c r="Q155" s="1007"/>
      <c r="R155" s="1007"/>
      <c r="S155" s="1007"/>
      <c r="T155" s="1007"/>
      <c r="U155" s="1007"/>
      <c r="V155" s="1007"/>
      <c r="W155" s="1007"/>
      <c r="X155" s="1007"/>
      <c r="Y155" s="1007"/>
      <c r="Z155" s="1007"/>
      <c r="AA155" s="1007"/>
      <c r="AB155" s="1007"/>
      <c r="AC155" s="1007"/>
      <c r="AD155" s="1007"/>
      <c r="AE155" s="1007"/>
      <c r="AF155" s="1007"/>
      <c r="AG155" s="1007"/>
      <c r="AH155" s="1007"/>
      <c r="AI155" s="1233">
        <v>1.4121324100704864E-2</v>
      </c>
      <c r="AJ155" s="1005"/>
      <c r="AK155" s="1005"/>
      <c r="AL155" s="1005"/>
      <c r="AM155" s="1005"/>
      <c r="AN155" s="1005"/>
      <c r="AO155" s="1005"/>
      <c r="AP155" s="1005"/>
      <c r="AQ155" s="1005"/>
      <c r="AR155" s="1005"/>
      <c r="AS155" s="1005"/>
      <c r="AT155" s="1005"/>
      <c r="AU155" s="1006"/>
      <c r="AV155" s="1270"/>
      <c r="AW155" s="1480">
        <v>0.28228199999999998</v>
      </c>
      <c r="AX155" s="1006"/>
      <c r="AY155" s="1006"/>
      <c r="AZ155" s="1006"/>
      <c r="BA155" s="1006"/>
      <c r="BB155" s="1006"/>
      <c r="BC155" s="1006"/>
      <c r="BD155" s="1006"/>
      <c r="BE155" s="1006"/>
      <c r="BF155" s="1006"/>
      <c r="BG155" s="1006"/>
      <c r="BH155" s="1006"/>
      <c r="BI155" s="1006"/>
      <c r="BJ155" s="1006"/>
      <c r="BK155" s="1006"/>
      <c r="BL155" s="1006"/>
      <c r="BM155" s="1006"/>
      <c r="BN155" s="1006"/>
      <c r="BO155" s="1006"/>
      <c r="BP155" s="1006"/>
      <c r="BQ155" s="1006"/>
      <c r="BR155" s="1006"/>
      <c r="BS155" s="1006"/>
      <c r="BT155" s="1480">
        <v>1.4772535454067301E-2</v>
      </c>
      <c r="BU155" s="1006"/>
      <c r="BV155" s="1006"/>
      <c r="BW155" s="1006"/>
      <c r="BX155" s="1006"/>
      <c r="BY155" s="1006"/>
      <c r="BZ155" s="1006"/>
      <c r="CA155" s="1006"/>
      <c r="CB155" s="1006"/>
      <c r="CC155" s="1006"/>
      <c r="CD155" s="1006"/>
      <c r="CE155" s="1006"/>
      <c r="CF155" s="1006"/>
      <c r="CG155" s="1209"/>
      <c r="CH155" s="1236">
        <v>152.26417311936495</v>
      </c>
      <c r="CI155" s="1007"/>
      <c r="CJ155" s="1007"/>
      <c r="CK155" s="1007"/>
      <c r="CL155" s="1007"/>
      <c r="CM155" s="1007"/>
      <c r="CN155" s="1007"/>
      <c r="CO155" s="1007"/>
      <c r="CP155" s="1007"/>
      <c r="CQ155" s="1007"/>
      <c r="CR155" s="1007"/>
      <c r="CS155" s="1007"/>
      <c r="CT155" s="1007"/>
      <c r="CU155" s="1007"/>
      <c r="CV155" s="1007"/>
      <c r="CW155" s="1007"/>
      <c r="CX155" s="1007"/>
      <c r="CY155" s="1007"/>
      <c r="CZ155" s="1007"/>
      <c r="DA155" s="1007"/>
      <c r="DB155" s="1007"/>
      <c r="DC155" s="1007"/>
      <c r="DD155" s="1007"/>
      <c r="DE155" s="1236">
        <v>2244304.2429230507</v>
      </c>
      <c r="DF155" s="1007"/>
      <c r="DG155" s="1007"/>
      <c r="DH155" s="1007"/>
      <c r="DI155" s="1006"/>
      <c r="DJ155" s="1006"/>
      <c r="DK155" s="1007"/>
      <c r="DL155" s="1007"/>
      <c r="DM155" s="1007"/>
      <c r="DN155" s="1007"/>
      <c r="DO155" s="1112"/>
      <c r="DP155" s="1112"/>
      <c r="DQ155" s="1270"/>
      <c r="DR155" s="1154">
        <f t="shared" si="444"/>
        <v>15688.223890515412</v>
      </c>
      <c r="DS155" s="1154">
        <f t="shared" si="445"/>
        <v>0</v>
      </c>
      <c r="DT155" s="1154">
        <f t="shared" si="446"/>
        <v>0</v>
      </c>
      <c r="DU155" s="1154">
        <f t="shared" si="447"/>
        <v>0</v>
      </c>
      <c r="DV155" s="1154">
        <f t="shared" si="448"/>
        <v>0</v>
      </c>
      <c r="DW155" s="1154">
        <f t="shared" si="449"/>
        <v>0</v>
      </c>
      <c r="DX155" s="1154">
        <f t="shared" si="450"/>
        <v>0</v>
      </c>
      <c r="DY155" s="1154">
        <f t="shared" si="451"/>
        <v>0</v>
      </c>
      <c r="DZ155" s="1154">
        <f t="shared" si="452"/>
        <v>0</v>
      </c>
      <c r="EA155" s="1154">
        <f t="shared" si="453"/>
        <v>0</v>
      </c>
      <c r="EB155" s="1154">
        <f t="shared" si="454"/>
        <v>0</v>
      </c>
      <c r="EC155" s="1154">
        <f t="shared" si="455"/>
        <v>0</v>
      </c>
      <c r="ED155" s="1154">
        <f t="shared" si="456"/>
        <v>0</v>
      </c>
      <c r="EE155" s="1154">
        <f t="shared" si="457"/>
        <v>0</v>
      </c>
      <c r="EF155" s="1154">
        <f t="shared" si="458"/>
        <v>0</v>
      </c>
      <c r="EG155" s="1154">
        <f t="shared" si="459"/>
        <v>0</v>
      </c>
      <c r="EH155" s="1154">
        <f t="shared" si="460"/>
        <v>0</v>
      </c>
      <c r="EI155" s="1154">
        <f t="shared" si="461"/>
        <v>0</v>
      </c>
      <c r="EJ155" s="1154">
        <f t="shared" si="462"/>
        <v>0</v>
      </c>
      <c r="EK155" s="1154">
        <f t="shared" si="463"/>
        <v>0</v>
      </c>
      <c r="EL155" s="1154">
        <f t="shared" si="464"/>
        <v>0</v>
      </c>
      <c r="EM155" s="1154">
        <f t="shared" si="465"/>
        <v>0</v>
      </c>
      <c r="EN155" s="1154">
        <f t="shared" si="466"/>
        <v>0</v>
      </c>
      <c r="EO155" s="1154">
        <f t="shared" si="467"/>
        <v>31692.547594903459</v>
      </c>
      <c r="EP155" s="1154">
        <f t="shared" si="468"/>
        <v>0</v>
      </c>
      <c r="EQ155" s="1154">
        <f t="shared" si="469"/>
        <v>0</v>
      </c>
      <c r="ER155" s="1154">
        <f t="shared" si="470"/>
        <v>0</v>
      </c>
      <c r="ES155" s="1154">
        <f t="shared" si="471"/>
        <v>0</v>
      </c>
      <c r="ET155" s="1154">
        <f t="shared" si="472"/>
        <v>0</v>
      </c>
      <c r="EU155" s="1154">
        <f t="shared" si="473"/>
        <v>0</v>
      </c>
      <c r="EV155" s="1154">
        <f t="shared" si="474"/>
        <v>0</v>
      </c>
      <c r="EW155" s="1154">
        <f t="shared" si="475"/>
        <v>0</v>
      </c>
      <c r="EX155" s="1154">
        <f t="shared" si="476"/>
        <v>0</v>
      </c>
      <c r="EY155" s="1154">
        <f t="shared" si="477"/>
        <v>0</v>
      </c>
      <c r="EZ155" s="1154">
        <f t="shared" si="478"/>
        <v>0</v>
      </c>
      <c r="FA155" s="1174">
        <f t="shared" si="479"/>
        <v>47380.771485418867</v>
      </c>
      <c r="FC155" s="1154">
        <f t="shared" si="480"/>
        <v>15688.223890515412</v>
      </c>
      <c r="FD155" s="1154">
        <f t="shared" si="481"/>
        <v>0</v>
      </c>
      <c r="FE155" s="1154">
        <f t="shared" si="482"/>
        <v>0</v>
      </c>
      <c r="FF155" s="1154">
        <f t="shared" si="483"/>
        <v>0</v>
      </c>
      <c r="FG155" s="1154">
        <f t="shared" si="484"/>
        <v>0</v>
      </c>
      <c r="FH155" s="1154">
        <f t="shared" si="485"/>
        <v>0</v>
      </c>
      <c r="FI155" s="1154">
        <f t="shared" si="486"/>
        <v>0</v>
      </c>
      <c r="FJ155" s="1154">
        <f t="shared" si="487"/>
        <v>0</v>
      </c>
      <c r="FK155" s="1154">
        <f t="shared" si="488"/>
        <v>0</v>
      </c>
      <c r="FL155" s="1154">
        <f t="shared" si="489"/>
        <v>0</v>
      </c>
      <c r="FM155" s="1154">
        <f t="shared" si="490"/>
        <v>0</v>
      </c>
      <c r="FN155" s="1154">
        <f t="shared" si="491"/>
        <v>0</v>
      </c>
      <c r="FO155" s="1154">
        <f t="shared" si="492"/>
        <v>0</v>
      </c>
      <c r="FP155" s="1154">
        <f t="shared" si="493"/>
        <v>0</v>
      </c>
      <c r="FQ155" s="1154">
        <f t="shared" si="494"/>
        <v>0</v>
      </c>
      <c r="FR155" s="1154">
        <f t="shared" si="495"/>
        <v>0</v>
      </c>
      <c r="FS155" s="1154">
        <f t="shared" si="496"/>
        <v>0</v>
      </c>
      <c r="FT155" s="1154">
        <f t="shared" si="497"/>
        <v>0</v>
      </c>
      <c r="FU155" s="1154">
        <f t="shared" si="498"/>
        <v>0</v>
      </c>
      <c r="FV155" s="1154">
        <f t="shared" si="499"/>
        <v>0</v>
      </c>
      <c r="FW155" s="1154">
        <f t="shared" si="500"/>
        <v>0</v>
      </c>
      <c r="FX155" s="1154">
        <f t="shared" si="501"/>
        <v>0</v>
      </c>
      <c r="FY155" s="1154">
        <f t="shared" si="502"/>
        <v>0</v>
      </c>
      <c r="FZ155" s="1154">
        <f t="shared" si="503"/>
        <v>33154.063998294441</v>
      </c>
      <c r="GA155" s="1154">
        <f t="shared" si="504"/>
        <v>0</v>
      </c>
      <c r="GB155" s="1154">
        <f t="shared" si="505"/>
        <v>0</v>
      </c>
      <c r="GC155" s="1154">
        <f t="shared" si="506"/>
        <v>0</v>
      </c>
      <c r="GD155" s="1154">
        <f t="shared" si="507"/>
        <v>0</v>
      </c>
      <c r="GE155" s="1154">
        <f t="shared" si="508"/>
        <v>0</v>
      </c>
      <c r="GF155" s="1154">
        <f t="shared" si="509"/>
        <v>0</v>
      </c>
      <c r="GG155" s="1154">
        <f t="shared" si="510"/>
        <v>0</v>
      </c>
      <c r="GH155" s="1154">
        <f t="shared" si="511"/>
        <v>0</v>
      </c>
      <c r="GI155" s="1154">
        <f t="shared" si="512"/>
        <v>0</v>
      </c>
      <c r="GJ155" s="1154">
        <f t="shared" si="513"/>
        <v>0</v>
      </c>
      <c r="GK155" s="1154">
        <f t="shared" si="514"/>
        <v>0</v>
      </c>
      <c r="GL155" s="1174">
        <f t="shared" si="515"/>
        <v>48842.287888809849</v>
      </c>
    </row>
    <row r="156" spans="1:194">
      <c r="B156" s="1290" t="str">
        <f t="shared" si="443"/>
        <v>SACDUOSWBPLC</v>
      </c>
      <c r="C156" s="1289" t="str">
        <f>Prop2021DUOSTariffs!C70</f>
        <v xml:space="preserve">West SAC&lt;100MWhpa Small Business Primary Load Control </v>
      </c>
      <c r="D156" s="1113" t="str">
        <f>Prop2021DUOSTariffs!D70</f>
        <v xml:space="preserve">West SAC&lt;100MWhpa Small Business Primary Load Control </v>
      </c>
      <c r="E156" s="1113" t="str">
        <f>Prop2021DUOSTariffs!E70</f>
        <v>SAC</v>
      </c>
      <c r="F156" s="1113" t="str">
        <f>Prop2021DUOSTariffs!F70</f>
        <v>SACS Bus</v>
      </c>
      <c r="G156" s="1113" t="str">
        <f>Prop2021DUOSTariffs!G70</f>
        <v>West</v>
      </c>
      <c r="H156" s="1113" t="str">
        <f>Prop2021DUOSTariffs!H70</f>
        <v>WBPLC</v>
      </c>
      <c r="I156" s="1114" t="s">
        <v>798</v>
      </c>
      <c r="J156" s="1114" t="s">
        <v>934</v>
      </c>
      <c r="K156" s="1270"/>
      <c r="L156" s="1233">
        <v>0.10462200000000002</v>
      </c>
      <c r="M156" s="1007"/>
      <c r="N156" s="1007"/>
      <c r="O156" s="1007"/>
      <c r="P156" s="1007"/>
      <c r="Q156" s="1007"/>
      <c r="R156" s="1007"/>
      <c r="S156" s="1007"/>
      <c r="T156" s="1007"/>
      <c r="U156" s="1007"/>
      <c r="V156" s="1007"/>
      <c r="W156" s="1007"/>
      <c r="X156" s="1007"/>
      <c r="Y156" s="1007"/>
      <c r="Z156" s="1007"/>
      <c r="AA156" s="1007"/>
      <c r="AB156" s="1007"/>
      <c r="AC156" s="1007"/>
      <c r="AD156" s="1007"/>
      <c r="AE156" s="1007"/>
      <c r="AF156" s="1007"/>
      <c r="AG156" s="1007"/>
      <c r="AH156" s="1007"/>
      <c r="AI156" s="1233">
        <v>1.2756140745273986E-2</v>
      </c>
      <c r="AJ156" s="1005"/>
      <c r="AK156" s="1005"/>
      <c r="AL156" s="1005"/>
      <c r="AM156" s="1005"/>
      <c r="AN156" s="1005"/>
      <c r="AO156" s="1005"/>
      <c r="AP156" s="1005"/>
      <c r="AQ156" s="1005"/>
      <c r="AR156" s="1005"/>
      <c r="AS156" s="1005"/>
      <c r="AT156" s="1005"/>
      <c r="AU156" s="1006"/>
      <c r="AV156" s="1270"/>
      <c r="AW156" s="1480">
        <v>9.870000000000001E-2</v>
      </c>
      <c r="AX156" s="1006"/>
      <c r="AY156" s="1006"/>
      <c r="AZ156" s="1006"/>
      <c r="BA156" s="1006"/>
      <c r="BB156" s="1006"/>
      <c r="BC156" s="1006"/>
      <c r="BD156" s="1006"/>
      <c r="BE156" s="1006"/>
      <c r="BF156" s="1006"/>
      <c r="BG156" s="1006"/>
      <c r="BH156" s="1006"/>
      <c r="BI156" s="1006"/>
      <c r="BJ156" s="1006"/>
      <c r="BK156" s="1006"/>
      <c r="BL156" s="1006"/>
      <c r="BM156" s="1006"/>
      <c r="BN156" s="1006"/>
      <c r="BO156" s="1006"/>
      <c r="BP156" s="1006"/>
      <c r="BQ156" s="1006"/>
      <c r="BR156" s="1006"/>
      <c r="BS156" s="1006"/>
      <c r="BT156" s="1480">
        <v>9.9886311700567981E-3</v>
      </c>
      <c r="BU156" s="1006"/>
      <c r="BV156" s="1006"/>
      <c r="BW156" s="1006"/>
      <c r="BX156" s="1006"/>
      <c r="BY156" s="1006"/>
      <c r="BZ156" s="1006"/>
      <c r="CA156" s="1006"/>
      <c r="CB156" s="1006"/>
      <c r="CC156" s="1006"/>
      <c r="CD156" s="1006"/>
      <c r="CE156" s="1006"/>
      <c r="CF156" s="1006"/>
      <c r="CG156" s="1209"/>
      <c r="CH156" s="1236">
        <v>95.20419015727029</v>
      </c>
      <c r="CI156" s="1007"/>
      <c r="CJ156" s="1007"/>
      <c r="CK156" s="1007"/>
      <c r="CL156" s="1007"/>
      <c r="CM156" s="1007"/>
      <c r="CN156" s="1007"/>
      <c r="CO156" s="1007"/>
      <c r="CP156" s="1007"/>
      <c r="CQ156" s="1007"/>
      <c r="CR156" s="1007"/>
      <c r="CS156" s="1007"/>
      <c r="CT156" s="1007"/>
      <c r="CU156" s="1007"/>
      <c r="CV156" s="1007"/>
      <c r="CW156" s="1007"/>
      <c r="CX156" s="1007"/>
      <c r="CY156" s="1007"/>
      <c r="CZ156" s="1007"/>
      <c r="DA156" s="1007"/>
      <c r="DB156" s="1007"/>
      <c r="DC156" s="1007"/>
      <c r="DD156" s="1007"/>
      <c r="DE156" s="1236">
        <v>1165926.8935206148</v>
      </c>
      <c r="DF156" s="1007"/>
      <c r="DG156" s="1007"/>
      <c r="DH156" s="1007"/>
      <c r="DI156" s="1006"/>
      <c r="DJ156" s="1006"/>
      <c r="DK156" s="1007"/>
      <c r="DL156" s="1007"/>
      <c r="DM156" s="1007"/>
      <c r="DN156" s="1007"/>
      <c r="DO156" s="1112"/>
      <c r="DP156" s="1112"/>
      <c r="DQ156" s="1270"/>
      <c r="DR156" s="1154">
        <f t="shared" si="444"/>
        <v>3635.5652656613861</v>
      </c>
      <c r="DS156" s="1154">
        <f t="shared" si="445"/>
        <v>0</v>
      </c>
      <c r="DT156" s="1154">
        <f t="shared" si="446"/>
        <v>0</v>
      </c>
      <c r="DU156" s="1154">
        <f t="shared" si="447"/>
        <v>0</v>
      </c>
      <c r="DV156" s="1154">
        <f t="shared" si="448"/>
        <v>0</v>
      </c>
      <c r="DW156" s="1154">
        <f t="shared" si="449"/>
        <v>0</v>
      </c>
      <c r="DX156" s="1154">
        <f t="shared" si="450"/>
        <v>0</v>
      </c>
      <c r="DY156" s="1154">
        <f t="shared" si="451"/>
        <v>0</v>
      </c>
      <c r="DZ156" s="1154">
        <f t="shared" si="452"/>
        <v>0</v>
      </c>
      <c r="EA156" s="1154">
        <f t="shared" si="453"/>
        <v>0</v>
      </c>
      <c r="EB156" s="1154">
        <f t="shared" si="454"/>
        <v>0</v>
      </c>
      <c r="EC156" s="1154">
        <f t="shared" si="455"/>
        <v>0</v>
      </c>
      <c r="ED156" s="1154">
        <f t="shared" si="456"/>
        <v>0</v>
      </c>
      <c r="EE156" s="1154">
        <f t="shared" si="457"/>
        <v>0</v>
      </c>
      <c r="EF156" s="1154">
        <f t="shared" si="458"/>
        <v>0</v>
      </c>
      <c r="EG156" s="1154">
        <f t="shared" si="459"/>
        <v>0</v>
      </c>
      <c r="EH156" s="1154">
        <f t="shared" si="460"/>
        <v>0</v>
      </c>
      <c r="EI156" s="1154">
        <f t="shared" si="461"/>
        <v>0</v>
      </c>
      <c r="EJ156" s="1154">
        <f t="shared" si="462"/>
        <v>0</v>
      </c>
      <c r="EK156" s="1154">
        <f t="shared" si="463"/>
        <v>0</v>
      </c>
      <c r="EL156" s="1154">
        <f t="shared" si="464"/>
        <v>0</v>
      </c>
      <c r="EM156" s="1154">
        <f t="shared" si="465"/>
        <v>0</v>
      </c>
      <c r="EN156" s="1154">
        <f t="shared" si="466"/>
        <v>0</v>
      </c>
      <c r="EO156" s="1154">
        <f t="shared" si="467"/>
        <v>14872.727552449038</v>
      </c>
      <c r="EP156" s="1154">
        <f t="shared" si="468"/>
        <v>0</v>
      </c>
      <c r="EQ156" s="1154">
        <f t="shared" si="469"/>
        <v>0</v>
      </c>
      <c r="ER156" s="1154">
        <f t="shared" si="470"/>
        <v>0</v>
      </c>
      <c r="ES156" s="1154">
        <f t="shared" si="471"/>
        <v>0</v>
      </c>
      <c r="ET156" s="1154">
        <f t="shared" si="472"/>
        <v>0</v>
      </c>
      <c r="EU156" s="1154">
        <f t="shared" si="473"/>
        <v>0</v>
      </c>
      <c r="EV156" s="1154">
        <f t="shared" si="474"/>
        <v>0</v>
      </c>
      <c r="EW156" s="1154">
        <f t="shared" si="475"/>
        <v>0</v>
      </c>
      <c r="EX156" s="1154">
        <f t="shared" si="476"/>
        <v>0</v>
      </c>
      <c r="EY156" s="1154">
        <f t="shared" si="477"/>
        <v>0</v>
      </c>
      <c r="EZ156" s="1154">
        <f t="shared" si="478"/>
        <v>0</v>
      </c>
      <c r="FA156" s="1174">
        <f t="shared" si="479"/>
        <v>18508.292818110425</v>
      </c>
      <c r="FC156" s="1154">
        <f t="shared" si="480"/>
        <v>3429.7785525107415</v>
      </c>
      <c r="FD156" s="1154">
        <f t="shared" si="481"/>
        <v>0</v>
      </c>
      <c r="FE156" s="1154">
        <f t="shared" si="482"/>
        <v>0</v>
      </c>
      <c r="FF156" s="1154">
        <f t="shared" si="483"/>
        <v>0</v>
      </c>
      <c r="FG156" s="1154">
        <f t="shared" si="484"/>
        <v>0</v>
      </c>
      <c r="FH156" s="1154">
        <f t="shared" si="485"/>
        <v>0</v>
      </c>
      <c r="FI156" s="1154">
        <f t="shared" si="486"/>
        <v>0</v>
      </c>
      <c r="FJ156" s="1154">
        <f t="shared" si="487"/>
        <v>0</v>
      </c>
      <c r="FK156" s="1154">
        <f t="shared" si="488"/>
        <v>0</v>
      </c>
      <c r="FL156" s="1154">
        <f t="shared" si="489"/>
        <v>0</v>
      </c>
      <c r="FM156" s="1154">
        <f t="shared" si="490"/>
        <v>0</v>
      </c>
      <c r="FN156" s="1154">
        <f t="shared" si="491"/>
        <v>0</v>
      </c>
      <c r="FO156" s="1154">
        <f t="shared" si="492"/>
        <v>0</v>
      </c>
      <c r="FP156" s="1154">
        <f t="shared" si="493"/>
        <v>0</v>
      </c>
      <c r="FQ156" s="1154">
        <f t="shared" si="494"/>
        <v>0</v>
      </c>
      <c r="FR156" s="1154">
        <f t="shared" si="495"/>
        <v>0</v>
      </c>
      <c r="FS156" s="1154">
        <f t="shared" si="496"/>
        <v>0</v>
      </c>
      <c r="FT156" s="1154">
        <f t="shared" si="497"/>
        <v>0</v>
      </c>
      <c r="FU156" s="1154">
        <f t="shared" si="498"/>
        <v>0</v>
      </c>
      <c r="FV156" s="1154">
        <f t="shared" si="499"/>
        <v>0</v>
      </c>
      <c r="FW156" s="1154">
        <f t="shared" si="500"/>
        <v>0</v>
      </c>
      <c r="FX156" s="1154">
        <f t="shared" si="501"/>
        <v>0</v>
      </c>
      <c r="FY156" s="1154">
        <f t="shared" si="502"/>
        <v>0</v>
      </c>
      <c r="FZ156" s="1154">
        <f t="shared" si="503"/>
        <v>11646.013710627507</v>
      </c>
      <c r="GA156" s="1154">
        <f t="shared" si="504"/>
        <v>0</v>
      </c>
      <c r="GB156" s="1154">
        <f t="shared" si="505"/>
        <v>0</v>
      </c>
      <c r="GC156" s="1154">
        <f t="shared" si="506"/>
        <v>0</v>
      </c>
      <c r="GD156" s="1154">
        <f t="shared" si="507"/>
        <v>0</v>
      </c>
      <c r="GE156" s="1154">
        <f t="shared" si="508"/>
        <v>0</v>
      </c>
      <c r="GF156" s="1154">
        <f t="shared" si="509"/>
        <v>0</v>
      </c>
      <c r="GG156" s="1154">
        <f t="shared" si="510"/>
        <v>0</v>
      </c>
      <c r="GH156" s="1154">
        <f t="shared" si="511"/>
        <v>0</v>
      </c>
      <c r="GI156" s="1154">
        <f t="shared" si="512"/>
        <v>0</v>
      </c>
      <c r="GJ156" s="1154">
        <f t="shared" si="513"/>
        <v>0</v>
      </c>
      <c r="GK156" s="1154">
        <f t="shared" si="514"/>
        <v>0</v>
      </c>
      <c r="GL156" s="1174">
        <f t="shared" si="515"/>
        <v>15075.792263138248</v>
      </c>
    </row>
    <row r="157" spans="1:194">
      <c r="B157" s="1290" t="str">
        <f t="shared" si="443"/>
        <v>SACDUOSWBPLC</v>
      </c>
      <c r="C157" s="1289" t="str">
        <f>C156</f>
        <v xml:space="preserve">West SAC&lt;100MWhpa Small Business Primary Load Control </v>
      </c>
      <c r="D157" s="1113" t="str">
        <f t="shared" ref="D157:H158" si="548">D156</f>
        <v xml:space="preserve">West SAC&lt;100MWhpa Small Business Primary Load Control </v>
      </c>
      <c r="E157" s="1113" t="str">
        <f t="shared" si="548"/>
        <v>SAC</v>
      </c>
      <c r="F157" s="1113" t="str">
        <f t="shared" si="548"/>
        <v>SACS Bus</v>
      </c>
      <c r="G157" s="1113" t="str">
        <f t="shared" ref="G157" si="549">G156</f>
        <v>West</v>
      </c>
      <c r="H157" s="1113" t="str">
        <f t="shared" si="548"/>
        <v>WBPLC</v>
      </c>
      <c r="I157" s="1114" t="s">
        <v>752</v>
      </c>
      <c r="J157" s="1114" t="s">
        <v>934</v>
      </c>
      <c r="K157" s="1270"/>
      <c r="L157" s="1233">
        <v>0.17445225</v>
      </c>
      <c r="M157" s="1007"/>
      <c r="N157" s="1007"/>
      <c r="O157" s="1007"/>
      <c r="P157" s="1007"/>
      <c r="Q157" s="1007"/>
      <c r="R157" s="1007"/>
      <c r="S157" s="1007"/>
      <c r="T157" s="1007"/>
      <c r="U157" s="1007"/>
      <c r="V157" s="1007"/>
      <c r="W157" s="1007"/>
      <c r="X157" s="1007"/>
      <c r="Y157" s="1007"/>
      <c r="Z157" s="1007"/>
      <c r="AA157" s="1007"/>
      <c r="AB157" s="1007"/>
      <c r="AC157" s="1007"/>
      <c r="AD157" s="1007"/>
      <c r="AE157" s="1007"/>
      <c r="AF157" s="1007"/>
      <c r="AG157" s="1007"/>
      <c r="AH157" s="1007"/>
      <c r="AI157" s="1233">
        <v>1.3580961239131205E-2</v>
      </c>
      <c r="AJ157" s="1005"/>
      <c r="AK157" s="1005"/>
      <c r="AL157" s="1005"/>
      <c r="AM157" s="1005"/>
      <c r="AN157" s="1005"/>
      <c r="AO157" s="1005"/>
      <c r="AP157" s="1005"/>
      <c r="AQ157" s="1005"/>
      <c r="AR157" s="1005"/>
      <c r="AS157" s="1005"/>
      <c r="AT157" s="1005"/>
      <c r="AU157" s="1006"/>
      <c r="AV157" s="1270"/>
      <c r="AW157" s="1480">
        <v>0.17272499999999999</v>
      </c>
      <c r="AX157" s="1006"/>
      <c r="AY157" s="1006"/>
      <c r="AZ157" s="1006"/>
      <c r="BA157" s="1006"/>
      <c r="BB157" s="1006"/>
      <c r="BC157" s="1006"/>
      <c r="BD157" s="1006"/>
      <c r="BE157" s="1006"/>
      <c r="BF157" s="1006"/>
      <c r="BG157" s="1006"/>
      <c r="BH157" s="1006"/>
      <c r="BI157" s="1006"/>
      <c r="BJ157" s="1006"/>
      <c r="BK157" s="1006"/>
      <c r="BL157" s="1006"/>
      <c r="BM157" s="1006"/>
      <c r="BN157" s="1006"/>
      <c r="BO157" s="1006"/>
      <c r="BP157" s="1006"/>
      <c r="BQ157" s="1006"/>
      <c r="BR157" s="1006"/>
      <c r="BS157" s="1006"/>
      <c r="BT157" s="1480">
        <v>1.3226767178995704E-2</v>
      </c>
      <c r="BU157" s="1006"/>
      <c r="BV157" s="1006"/>
      <c r="BW157" s="1006"/>
      <c r="BX157" s="1006"/>
      <c r="BY157" s="1006"/>
      <c r="BZ157" s="1006"/>
      <c r="CA157" s="1006"/>
      <c r="CB157" s="1006"/>
      <c r="CC157" s="1006"/>
      <c r="CD157" s="1006"/>
      <c r="CE157" s="1006"/>
      <c r="CF157" s="1006"/>
      <c r="CG157" s="1209"/>
      <c r="CH157" s="1236">
        <v>25.884668345168585</v>
      </c>
      <c r="CI157" s="1007"/>
      <c r="CJ157" s="1007"/>
      <c r="CK157" s="1007"/>
      <c r="CL157" s="1007"/>
      <c r="CM157" s="1007"/>
      <c r="CN157" s="1007"/>
      <c r="CO157" s="1007"/>
      <c r="CP157" s="1007"/>
      <c r="CQ157" s="1007"/>
      <c r="CR157" s="1007"/>
      <c r="CS157" s="1007"/>
      <c r="CT157" s="1007"/>
      <c r="CU157" s="1007"/>
      <c r="CV157" s="1007"/>
      <c r="CW157" s="1007"/>
      <c r="CX157" s="1007"/>
      <c r="CY157" s="1007"/>
      <c r="CZ157" s="1007"/>
      <c r="DA157" s="1007"/>
      <c r="DB157" s="1007"/>
      <c r="DC157" s="1007"/>
      <c r="DD157" s="1007"/>
      <c r="DE157" s="1236">
        <v>316998.97770927183</v>
      </c>
      <c r="DF157" s="1007"/>
      <c r="DG157" s="1007"/>
      <c r="DH157" s="1007"/>
      <c r="DI157" s="1006"/>
      <c r="DJ157" s="1006"/>
      <c r="DK157" s="1007"/>
      <c r="DL157" s="1007"/>
      <c r="DM157" s="1007"/>
      <c r="DN157" s="1007"/>
      <c r="DO157" s="1112"/>
      <c r="DP157" s="1112"/>
      <c r="DQ157" s="1270"/>
      <c r="DR157" s="1154">
        <f t="shared" si="444"/>
        <v>1648.208101161229</v>
      </c>
      <c r="DS157" s="1154">
        <f t="shared" si="445"/>
        <v>0</v>
      </c>
      <c r="DT157" s="1154">
        <f t="shared" si="446"/>
        <v>0</v>
      </c>
      <c r="DU157" s="1154">
        <f t="shared" si="447"/>
        <v>0</v>
      </c>
      <c r="DV157" s="1154">
        <f t="shared" si="448"/>
        <v>0</v>
      </c>
      <c r="DW157" s="1154">
        <f t="shared" si="449"/>
        <v>0</v>
      </c>
      <c r="DX157" s="1154">
        <f t="shared" si="450"/>
        <v>0</v>
      </c>
      <c r="DY157" s="1154">
        <f t="shared" si="451"/>
        <v>0</v>
      </c>
      <c r="DZ157" s="1154">
        <f t="shared" si="452"/>
        <v>0</v>
      </c>
      <c r="EA157" s="1154">
        <f t="shared" si="453"/>
        <v>0</v>
      </c>
      <c r="EB157" s="1154">
        <f t="shared" si="454"/>
        <v>0</v>
      </c>
      <c r="EC157" s="1154">
        <f t="shared" si="455"/>
        <v>0</v>
      </c>
      <c r="ED157" s="1154">
        <f t="shared" si="456"/>
        <v>0</v>
      </c>
      <c r="EE157" s="1154">
        <f t="shared" si="457"/>
        <v>0</v>
      </c>
      <c r="EF157" s="1154">
        <f t="shared" si="458"/>
        <v>0</v>
      </c>
      <c r="EG157" s="1154">
        <f t="shared" si="459"/>
        <v>0</v>
      </c>
      <c r="EH157" s="1154">
        <f t="shared" si="460"/>
        <v>0</v>
      </c>
      <c r="EI157" s="1154">
        <f t="shared" si="461"/>
        <v>0</v>
      </c>
      <c r="EJ157" s="1154">
        <f t="shared" si="462"/>
        <v>0</v>
      </c>
      <c r="EK157" s="1154">
        <f t="shared" si="463"/>
        <v>0</v>
      </c>
      <c r="EL157" s="1154">
        <f t="shared" si="464"/>
        <v>0</v>
      </c>
      <c r="EM157" s="1154">
        <f t="shared" si="465"/>
        <v>0</v>
      </c>
      <c r="EN157" s="1154">
        <f t="shared" si="466"/>
        <v>0</v>
      </c>
      <c r="EO157" s="1154">
        <f t="shared" si="467"/>
        <v>4305.150829113838</v>
      </c>
      <c r="EP157" s="1154">
        <f t="shared" si="468"/>
        <v>0</v>
      </c>
      <c r="EQ157" s="1154">
        <f t="shared" si="469"/>
        <v>0</v>
      </c>
      <c r="ER157" s="1154">
        <f t="shared" si="470"/>
        <v>0</v>
      </c>
      <c r="ES157" s="1154">
        <f t="shared" si="471"/>
        <v>0</v>
      </c>
      <c r="ET157" s="1154">
        <f t="shared" si="472"/>
        <v>0</v>
      </c>
      <c r="EU157" s="1154">
        <f t="shared" si="473"/>
        <v>0</v>
      </c>
      <c r="EV157" s="1154">
        <f t="shared" si="474"/>
        <v>0</v>
      </c>
      <c r="EW157" s="1154">
        <f t="shared" si="475"/>
        <v>0</v>
      </c>
      <c r="EX157" s="1154">
        <f t="shared" si="476"/>
        <v>0</v>
      </c>
      <c r="EY157" s="1154">
        <f t="shared" si="477"/>
        <v>0</v>
      </c>
      <c r="EZ157" s="1154">
        <f t="shared" si="478"/>
        <v>0</v>
      </c>
      <c r="FA157" s="1174">
        <f t="shared" si="479"/>
        <v>5953.358930275067</v>
      </c>
      <c r="FC157" s="1154">
        <f t="shared" si="480"/>
        <v>1631.889209070524</v>
      </c>
      <c r="FD157" s="1154">
        <f t="shared" si="481"/>
        <v>0</v>
      </c>
      <c r="FE157" s="1154">
        <f t="shared" si="482"/>
        <v>0</v>
      </c>
      <c r="FF157" s="1154">
        <f t="shared" si="483"/>
        <v>0</v>
      </c>
      <c r="FG157" s="1154">
        <f t="shared" si="484"/>
        <v>0</v>
      </c>
      <c r="FH157" s="1154">
        <f t="shared" si="485"/>
        <v>0</v>
      </c>
      <c r="FI157" s="1154">
        <f t="shared" si="486"/>
        <v>0</v>
      </c>
      <c r="FJ157" s="1154">
        <f t="shared" si="487"/>
        <v>0</v>
      </c>
      <c r="FK157" s="1154">
        <f t="shared" si="488"/>
        <v>0</v>
      </c>
      <c r="FL157" s="1154">
        <f t="shared" si="489"/>
        <v>0</v>
      </c>
      <c r="FM157" s="1154">
        <f t="shared" si="490"/>
        <v>0</v>
      </c>
      <c r="FN157" s="1154">
        <f t="shared" si="491"/>
        <v>0</v>
      </c>
      <c r="FO157" s="1154">
        <f t="shared" si="492"/>
        <v>0</v>
      </c>
      <c r="FP157" s="1154">
        <f t="shared" si="493"/>
        <v>0</v>
      </c>
      <c r="FQ157" s="1154">
        <f t="shared" si="494"/>
        <v>0</v>
      </c>
      <c r="FR157" s="1154">
        <f t="shared" si="495"/>
        <v>0</v>
      </c>
      <c r="FS157" s="1154">
        <f t="shared" si="496"/>
        <v>0</v>
      </c>
      <c r="FT157" s="1154">
        <f t="shared" si="497"/>
        <v>0</v>
      </c>
      <c r="FU157" s="1154">
        <f t="shared" si="498"/>
        <v>0</v>
      </c>
      <c r="FV157" s="1154">
        <f t="shared" si="499"/>
        <v>0</v>
      </c>
      <c r="FW157" s="1154">
        <f t="shared" si="500"/>
        <v>0</v>
      </c>
      <c r="FX157" s="1154">
        <f t="shared" si="501"/>
        <v>0</v>
      </c>
      <c r="FY157" s="1154">
        <f t="shared" si="502"/>
        <v>0</v>
      </c>
      <c r="FZ157" s="1154">
        <f t="shared" si="503"/>
        <v>4192.8716741401877</v>
      </c>
      <c r="GA157" s="1154">
        <f t="shared" si="504"/>
        <v>0</v>
      </c>
      <c r="GB157" s="1154">
        <f t="shared" si="505"/>
        <v>0</v>
      </c>
      <c r="GC157" s="1154">
        <f t="shared" si="506"/>
        <v>0</v>
      </c>
      <c r="GD157" s="1154">
        <f t="shared" si="507"/>
        <v>0</v>
      </c>
      <c r="GE157" s="1154">
        <f t="shared" si="508"/>
        <v>0</v>
      </c>
      <c r="GF157" s="1154">
        <f t="shared" si="509"/>
        <v>0</v>
      </c>
      <c r="GG157" s="1154">
        <f t="shared" si="510"/>
        <v>0</v>
      </c>
      <c r="GH157" s="1154">
        <f t="shared" si="511"/>
        <v>0</v>
      </c>
      <c r="GI157" s="1154">
        <f t="shared" si="512"/>
        <v>0</v>
      </c>
      <c r="GJ157" s="1154">
        <f t="shared" si="513"/>
        <v>0</v>
      </c>
      <c r="GK157" s="1154">
        <f t="shared" si="514"/>
        <v>0</v>
      </c>
      <c r="GL157" s="1174">
        <f t="shared" si="515"/>
        <v>5824.7608832107117</v>
      </c>
    </row>
    <row r="158" spans="1:194">
      <c r="B158" s="1290" t="str">
        <f t="shared" si="443"/>
        <v>SACDUOSWBPLC</v>
      </c>
      <c r="C158" s="1289" t="str">
        <f t="shared" ref="C158" si="550">C157</f>
        <v xml:space="preserve">West SAC&lt;100MWhpa Small Business Primary Load Control </v>
      </c>
      <c r="D158" s="1113" t="str">
        <f t="shared" si="548"/>
        <v xml:space="preserve">West SAC&lt;100MWhpa Small Business Primary Load Control </v>
      </c>
      <c r="E158" s="1113" t="str">
        <f t="shared" si="548"/>
        <v>SAC</v>
      </c>
      <c r="F158" s="1113" t="str">
        <f t="shared" si="548"/>
        <v>SACS Bus</v>
      </c>
      <c r="G158" s="1113" t="str">
        <f t="shared" ref="G158" si="551">G157</f>
        <v>West</v>
      </c>
      <c r="H158" s="1113" t="str">
        <f t="shared" si="548"/>
        <v>WBPLC</v>
      </c>
      <c r="I158" s="1114" t="s">
        <v>759</v>
      </c>
      <c r="J158" s="1114" t="s">
        <v>934</v>
      </c>
      <c r="K158" s="1270"/>
      <c r="L158" s="1233">
        <v>0.28228199999999998</v>
      </c>
      <c r="M158" s="1007"/>
      <c r="N158" s="1007"/>
      <c r="O158" s="1007"/>
      <c r="P158" s="1007"/>
      <c r="Q158" s="1007"/>
      <c r="R158" s="1007"/>
      <c r="S158" s="1007"/>
      <c r="T158" s="1007"/>
      <c r="U158" s="1007"/>
      <c r="V158" s="1007"/>
      <c r="W158" s="1007"/>
      <c r="X158" s="1007"/>
      <c r="Y158" s="1007"/>
      <c r="Z158" s="1007"/>
      <c r="AA158" s="1007"/>
      <c r="AB158" s="1007"/>
      <c r="AC158" s="1007"/>
      <c r="AD158" s="1007"/>
      <c r="AE158" s="1007"/>
      <c r="AF158" s="1007"/>
      <c r="AG158" s="1007"/>
      <c r="AH158" s="1007"/>
      <c r="AI158" s="1233">
        <v>1.4121324100704864E-2</v>
      </c>
      <c r="AJ158" s="1005"/>
      <c r="AK158" s="1005"/>
      <c r="AL158" s="1005"/>
      <c r="AM158" s="1005"/>
      <c r="AN158" s="1005"/>
      <c r="AO158" s="1005"/>
      <c r="AP158" s="1005"/>
      <c r="AQ158" s="1005"/>
      <c r="AR158" s="1005"/>
      <c r="AS158" s="1005"/>
      <c r="AT158" s="1005"/>
      <c r="AU158" s="1006"/>
      <c r="AV158" s="1270"/>
      <c r="AW158" s="1480">
        <v>0.28228199999999998</v>
      </c>
      <c r="AX158" s="1006"/>
      <c r="AY158" s="1006"/>
      <c r="AZ158" s="1006"/>
      <c r="BA158" s="1006"/>
      <c r="BB158" s="1006"/>
      <c r="BC158" s="1006"/>
      <c r="BD158" s="1006"/>
      <c r="BE158" s="1006"/>
      <c r="BF158" s="1006"/>
      <c r="BG158" s="1006"/>
      <c r="BH158" s="1006"/>
      <c r="BI158" s="1006"/>
      <c r="BJ158" s="1006"/>
      <c r="BK158" s="1006"/>
      <c r="BL158" s="1006"/>
      <c r="BM158" s="1006"/>
      <c r="BN158" s="1006"/>
      <c r="BO158" s="1006"/>
      <c r="BP158" s="1006"/>
      <c r="BQ158" s="1006"/>
      <c r="BR158" s="1006"/>
      <c r="BS158" s="1006"/>
      <c r="BT158" s="1480">
        <v>1.4772535454067301E-2</v>
      </c>
      <c r="BU158" s="1006"/>
      <c r="BV158" s="1006"/>
      <c r="BW158" s="1006"/>
      <c r="BX158" s="1006"/>
      <c r="BY158" s="1006"/>
      <c r="BZ158" s="1006"/>
      <c r="CA158" s="1006"/>
      <c r="CB158" s="1006"/>
      <c r="CC158" s="1006"/>
      <c r="CD158" s="1006"/>
      <c r="CE158" s="1006"/>
      <c r="CF158" s="1006"/>
      <c r="CG158" s="1209"/>
      <c r="CH158" s="1236">
        <v>6.221141497561117</v>
      </c>
      <c r="CI158" s="1007"/>
      <c r="CJ158" s="1007"/>
      <c r="CK158" s="1007"/>
      <c r="CL158" s="1007"/>
      <c r="CM158" s="1007"/>
      <c r="CN158" s="1007"/>
      <c r="CO158" s="1007"/>
      <c r="CP158" s="1007"/>
      <c r="CQ158" s="1007"/>
      <c r="CR158" s="1007"/>
      <c r="CS158" s="1007"/>
      <c r="CT158" s="1007"/>
      <c r="CU158" s="1007"/>
      <c r="CV158" s="1007"/>
      <c r="CW158" s="1007"/>
      <c r="CX158" s="1007"/>
      <c r="CY158" s="1007"/>
      <c r="CZ158" s="1007"/>
      <c r="DA158" s="1007"/>
      <c r="DB158" s="1007"/>
      <c r="DC158" s="1007"/>
      <c r="DD158" s="1007"/>
      <c r="DE158" s="1236">
        <v>76187.783000113166</v>
      </c>
      <c r="DF158" s="1007"/>
      <c r="DG158" s="1007"/>
      <c r="DH158" s="1007"/>
      <c r="DI158" s="1006"/>
      <c r="DJ158" s="1006"/>
      <c r="DK158" s="1007"/>
      <c r="DL158" s="1007"/>
      <c r="DM158" s="1007"/>
      <c r="DN158" s="1007"/>
      <c r="DO158" s="1112"/>
      <c r="DP158" s="1112"/>
      <c r="DQ158" s="1270"/>
      <c r="DR158" s="1154">
        <f t="shared" si="444"/>
        <v>640.98243643830972</v>
      </c>
      <c r="DS158" s="1154">
        <f t="shared" si="445"/>
        <v>0</v>
      </c>
      <c r="DT158" s="1154">
        <f t="shared" si="446"/>
        <v>0</v>
      </c>
      <c r="DU158" s="1154">
        <f t="shared" si="447"/>
        <v>0</v>
      </c>
      <c r="DV158" s="1154">
        <f t="shared" si="448"/>
        <v>0</v>
      </c>
      <c r="DW158" s="1154">
        <f t="shared" si="449"/>
        <v>0</v>
      </c>
      <c r="DX158" s="1154">
        <f t="shared" si="450"/>
        <v>0</v>
      </c>
      <c r="DY158" s="1154">
        <f t="shared" si="451"/>
        <v>0</v>
      </c>
      <c r="DZ158" s="1154">
        <f t="shared" si="452"/>
        <v>0</v>
      </c>
      <c r="EA158" s="1154">
        <f t="shared" si="453"/>
        <v>0</v>
      </c>
      <c r="EB158" s="1154">
        <f t="shared" si="454"/>
        <v>0</v>
      </c>
      <c r="EC158" s="1154">
        <f t="shared" si="455"/>
        <v>0</v>
      </c>
      <c r="ED158" s="1154">
        <f t="shared" si="456"/>
        <v>0</v>
      </c>
      <c r="EE158" s="1154">
        <f t="shared" si="457"/>
        <v>0</v>
      </c>
      <c r="EF158" s="1154">
        <f t="shared" si="458"/>
        <v>0</v>
      </c>
      <c r="EG158" s="1154">
        <f t="shared" si="459"/>
        <v>0</v>
      </c>
      <c r="EH158" s="1154">
        <f t="shared" si="460"/>
        <v>0</v>
      </c>
      <c r="EI158" s="1154">
        <f t="shared" si="461"/>
        <v>0</v>
      </c>
      <c r="EJ158" s="1154">
        <f t="shared" si="462"/>
        <v>0</v>
      </c>
      <c r="EK158" s="1154">
        <f t="shared" si="463"/>
        <v>0</v>
      </c>
      <c r="EL158" s="1154">
        <f t="shared" si="464"/>
        <v>0</v>
      </c>
      <c r="EM158" s="1154">
        <f t="shared" si="465"/>
        <v>0</v>
      </c>
      <c r="EN158" s="1154">
        <f t="shared" si="466"/>
        <v>0</v>
      </c>
      <c r="EO158" s="1154">
        <f t="shared" si="467"/>
        <v>1075.8723762587704</v>
      </c>
      <c r="EP158" s="1154">
        <f t="shared" si="468"/>
        <v>0</v>
      </c>
      <c r="EQ158" s="1154">
        <f t="shared" si="469"/>
        <v>0</v>
      </c>
      <c r="ER158" s="1154">
        <f t="shared" si="470"/>
        <v>0</v>
      </c>
      <c r="ES158" s="1154">
        <f t="shared" si="471"/>
        <v>0</v>
      </c>
      <c r="ET158" s="1154">
        <f t="shared" si="472"/>
        <v>0</v>
      </c>
      <c r="EU158" s="1154">
        <f t="shared" si="473"/>
        <v>0</v>
      </c>
      <c r="EV158" s="1154">
        <f t="shared" si="474"/>
        <v>0</v>
      </c>
      <c r="EW158" s="1154">
        <f t="shared" si="475"/>
        <v>0</v>
      </c>
      <c r="EX158" s="1154">
        <f t="shared" si="476"/>
        <v>0</v>
      </c>
      <c r="EY158" s="1154">
        <f t="shared" si="477"/>
        <v>0</v>
      </c>
      <c r="EZ158" s="1154">
        <f t="shared" si="478"/>
        <v>0</v>
      </c>
      <c r="FA158" s="1174">
        <f t="shared" si="479"/>
        <v>1716.85481269708</v>
      </c>
      <c r="FC158" s="1154">
        <f t="shared" si="480"/>
        <v>640.98243643830972</v>
      </c>
      <c r="FD158" s="1154">
        <f t="shared" si="481"/>
        <v>0</v>
      </c>
      <c r="FE158" s="1154">
        <f t="shared" si="482"/>
        <v>0</v>
      </c>
      <c r="FF158" s="1154">
        <f t="shared" si="483"/>
        <v>0</v>
      </c>
      <c r="FG158" s="1154">
        <f t="shared" si="484"/>
        <v>0</v>
      </c>
      <c r="FH158" s="1154">
        <f t="shared" si="485"/>
        <v>0</v>
      </c>
      <c r="FI158" s="1154">
        <f t="shared" si="486"/>
        <v>0</v>
      </c>
      <c r="FJ158" s="1154">
        <f t="shared" si="487"/>
        <v>0</v>
      </c>
      <c r="FK158" s="1154">
        <f t="shared" si="488"/>
        <v>0</v>
      </c>
      <c r="FL158" s="1154">
        <f t="shared" si="489"/>
        <v>0</v>
      </c>
      <c r="FM158" s="1154">
        <f t="shared" si="490"/>
        <v>0</v>
      </c>
      <c r="FN158" s="1154">
        <f t="shared" si="491"/>
        <v>0</v>
      </c>
      <c r="FO158" s="1154">
        <f t="shared" si="492"/>
        <v>0</v>
      </c>
      <c r="FP158" s="1154">
        <f t="shared" si="493"/>
        <v>0</v>
      </c>
      <c r="FQ158" s="1154">
        <f t="shared" si="494"/>
        <v>0</v>
      </c>
      <c r="FR158" s="1154">
        <f t="shared" si="495"/>
        <v>0</v>
      </c>
      <c r="FS158" s="1154">
        <f t="shared" si="496"/>
        <v>0</v>
      </c>
      <c r="FT158" s="1154">
        <f t="shared" si="497"/>
        <v>0</v>
      </c>
      <c r="FU158" s="1154">
        <f t="shared" si="498"/>
        <v>0</v>
      </c>
      <c r="FV158" s="1154">
        <f t="shared" si="499"/>
        <v>0</v>
      </c>
      <c r="FW158" s="1154">
        <f t="shared" si="500"/>
        <v>0</v>
      </c>
      <c r="FX158" s="1154">
        <f t="shared" si="501"/>
        <v>0</v>
      </c>
      <c r="FY158" s="1154">
        <f t="shared" si="502"/>
        <v>0</v>
      </c>
      <c r="FZ158" s="1154">
        <f t="shared" si="503"/>
        <v>1125.4867255359577</v>
      </c>
      <c r="GA158" s="1154">
        <f t="shared" si="504"/>
        <v>0</v>
      </c>
      <c r="GB158" s="1154">
        <f t="shared" si="505"/>
        <v>0</v>
      </c>
      <c r="GC158" s="1154">
        <f t="shared" si="506"/>
        <v>0</v>
      </c>
      <c r="GD158" s="1154">
        <f t="shared" si="507"/>
        <v>0</v>
      </c>
      <c r="GE158" s="1154">
        <f t="shared" si="508"/>
        <v>0</v>
      </c>
      <c r="GF158" s="1154">
        <f t="shared" si="509"/>
        <v>0</v>
      </c>
      <c r="GG158" s="1154">
        <f t="shared" si="510"/>
        <v>0</v>
      </c>
      <c r="GH158" s="1154">
        <f t="shared" si="511"/>
        <v>0</v>
      </c>
      <c r="GI158" s="1154">
        <f t="shared" si="512"/>
        <v>0</v>
      </c>
      <c r="GJ158" s="1154">
        <f t="shared" si="513"/>
        <v>0</v>
      </c>
      <c r="GK158" s="1154">
        <f t="shared" si="514"/>
        <v>0</v>
      </c>
      <c r="GL158" s="1174">
        <f t="shared" si="515"/>
        <v>1766.4691619742675</v>
      </c>
    </row>
    <row r="159" spans="1:194">
      <c r="B159" s="1290" t="str">
        <f t="shared" si="443"/>
        <v>SACDUOSMBPLC</v>
      </c>
      <c r="C159" s="1289" t="str">
        <f>Prop2021DUOSTariffs!C71</f>
        <v xml:space="preserve">Mt Isa SAC&lt;100MWhpa Small Business Primary Load Control </v>
      </c>
      <c r="D159" s="1113" t="str">
        <f>Prop2021DUOSTariffs!D71</f>
        <v xml:space="preserve">Mt Isa SAC&lt;100MWhpa Small Business Primary Load Control </v>
      </c>
      <c r="E159" s="1113" t="str">
        <f>Prop2021DUOSTariffs!E71</f>
        <v>SAC</v>
      </c>
      <c r="F159" s="1113" t="str">
        <f>Prop2021DUOSTariffs!F71</f>
        <v>SACS Bus</v>
      </c>
      <c r="G159" s="1113" t="str">
        <f>Prop2021DUOSTariffs!G71</f>
        <v>Mt Isa</v>
      </c>
      <c r="H159" s="1113" t="str">
        <f>Prop2021DUOSTariffs!H71</f>
        <v>MBPLC</v>
      </c>
      <c r="I159" s="1114" t="s">
        <v>761</v>
      </c>
      <c r="J159" s="1114" t="s">
        <v>934</v>
      </c>
      <c r="K159" s="1270"/>
      <c r="L159" s="1233">
        <v>0.14140000000000003</v>
      </c>
      <c r="M159" s="1007"/>
      <c r="N159" s="1007"/>
      <c r="O159" s="1007"/>
      <c r="P159" s="1007"/>
      <c r="Q159" s="1007"/>
      <c r="R159" s="1007"/>
      <c r="S159" s="1007"/>
      <c r="T159" s="1007"/>
      <c r="U159" s="1007"/>
      <c r="V159" s="1007"/>
      <c r="W159" s="1007"/>
      <c r="X159" s="1007"/>
      <c r="Y159" s="1007"/>
      <c r="Z159" s="1007"/>
      <c r="AA159" s="1007"/>
      <c r="AB159" s="1007"/>
      <c r="AC159" s="1007"/>
      <c r="AD159" s="1007"/>
      <c r="AE159" s="1007"/>
      <c r="AF159" s="1007"/>
      <c r="AG159" s="1007"/>
      <c r="AH159" s="1007"/>
      <c r="AI159" s="1233">
        <v>7.7007696230930512E-4</v>
      </c>
      <c r="AJ159" s="1005"/>
      <c r="AK159" s="1005"/>
      <c r="AL159" s="1005"/>
      <c r="AM159" s="1005"/>
      <c r="AN159" s="1005"/>
      <c r="AO159" s="1005"/>
      <c r="AP159" s="1005"/>
      <c r="AQ159" s="1005"/>
      <c r="AR159" s="1005"/>
      <c r="AS159" s="1005"/>
      <c r="AT159" s="1005"/>
      <c r="AU159" s="1006"/>
      <c r="AV159" s="1270"/>
      <c r="AW159" s="1480">
        <v>0.14000000000000001</v>
      </c>
      <c r="AX159" s="1006"/>
      <c r="AY159" s="1006"/>
      <c r="AZ159" s="1006"/>
      <c r="BA159" s="1006"/>
      <c r="BB159" s="1006"/>
      <c r="BC159" s="1006"/>
      <c r="BD159" s="1006"/>
      <c r="BE159" s="1006"/>
      <c r="BF159" s="1006"/>
      <c r="BG159" s="1006"/>
      <c r="BH159" s="1006"/>
      <c r="BI159" s="1006"/>
      <c r="BJ159" s="1006"/>
      <c r="BK159" s="1006"/>
      <c r="BL159" s="1006"/>
      <c r="BM159" s="1006"/>
      <c r="BN159" s="1006"/>
      <c r="BO159" s="1006"/>
      <c r="BP159" s="1006"/>
      <c r="BQ159" s="1006"/>
      <c r="BR159" s="1006"/>
      <c r="BS159" s="1006"/>
      <c r="BT159" s="1480">
        <v>6.1898319928093575E-4</v>
      </c>
      <c r="BU159" s="1006"/>
      <c r="BV159" s="1006"/>
      <c r="BW159" s="1006"/>
      <c r="BX159" s="1006"/>
      <c r="BY159" s="1006"/>
      <c r="BZ159" s="1006"/>
      <c r="CA159" s="1006"/>
      <c r="CB159" s="1006"/>
      <c r="CC159" s="1006"/>
      <c r="CD159" s="1006"/>
      <c r="CE159" s="1006"/>
      <c r="CF159" s="1006"/>
      <c r="CG159" s="1209"/>
      <c r="CH159" s="1236">
        <v>26.65</v>
      </c>
      <c r="CI159" s="1007"/>
      <c r="CJ159" s="1007"/>
      <c r="CK159" s="1007"/>
      <c r="CL159" s="1007"/>
      <c r="CM159" s="1007"/>
      <c r="CN159" s="1007"/>
      <c r="CO159" s="1007"/>
      <c r="CP159" s="1007"/>
      <c r="CQ159" s="1007"/>
      <c r="CR159" s="1007"/>
      <c r="CS159" s="1007"/>
      <c r="CT159" s="1007"/>
      <c r="CU159" s="1007"/>
      <c r="CV159" s="1007"/>
      <c r="CW159" s="1007"/>
      <c r="CX159" s="1007"/>
      <c r="CY159" s="1007"/>
      <c r="CZ159" s="1007"/>
      <c r="DA159" s="1007"/>
      <c r="DB159" s="1007"/>
      <c r="DC159" s="1007"/>
      <c r="DD159" s="1007"/>
      <c r="DE159" s="1236">
        <v>510904.86426</v>
      </c>
      <c r="DF159" s="1007"/>
      <c r="DG159" s="1007"/>
      <c r="DH159" s="1007"/>
      <c r="DI159" s="1006"/>
      <c r="DJ159" s="1006"/>
      <c r="DK159" s="1007"/>
      <c r="DL159" s="1007"/>
      <c r="DM159" s="1007"/>
      <c r="DN159" s="1007"/>
      <c r="DO159" s="1112"/>
      <c r="DP159" s="1112"/>
      <c r="DQ159" s="1270"/>
      <c r="DR159" s="1154">
        <f t="shared" si="444"/>
        <v>1375.4331500000001</v>
      </c>
      <c r="DS159" s="1154">
        <f t="shared" si="445"/>
        <v>0</v>
      </c>
      <c r="DT159" s="1154">
        <f t="shared" si="446"/>
        <v>0</v>
      </c>
      <c r="DU159" s="1154">
        <f t="shared" si="447"/>
        <v>0</v>
      </c>
      <c r="DV159" s="1154">
        <f t="shared" si="448"/>
        <v>0</v>
      </c>
      <c r="DW159" s="1154">
        <f t="shared" si="449"/>
        <v>0</v>
      </c>
      <c r="DX159" s="1154">
        <f t="shared" si="450"/>
        <v>0</v>
      </c>
      <c r="DY159" s="1154">
        <f t="shared" si="451"/>
        <v>0</v>
      </c>
      <c r="DZ159" s="1154">
        <f t="shared" si="452"/>
        <v>0</v>
      </c>
      <c r="EA159" s="1154">
        <f t="shared" si="453"/>
        <v>0</v>
      </c>
      <c r="EB159" s="1154">
        <f t="shared" si="454"/>
        <v>0</v>
      </c>
      <c r="EC159" s="1154">
        <f t="shared" si="455"/>
        <v>0</v>
      </c>
      <c r="ED159" s="1154">
        <f t="shared" si="456"/>
        <v>0</v>
      </c>
      <c r="EE159" s="1154">
        <f t="shared" si="457"/>
        <v>0</v>
      </c>
      <c r="EF159" s="1154">
        <f t="shared" si="458"/>
        <v>0</v>
      </c>
      <c r="EG159" s="1154">
        <f t="shared" si="459"/>
        <v>0</v>
      </c>
      <c r="EH159" s="1154">
        <f t="shared" si="460"/>
        <v>0</v>
      </c>
      <c r="EI159" s="1154">
        <f t="shared" si="461"/>
        <v>0</v>
      </c>
      <c r="EJ159" s="1154">
        <f t="shared" si="462"/>
        <v>0</v>
      </c>
      <c r="EK159" s="1154">
        <f t="shared" si="463"/>
        <v>0</v>
      </c>
      <c r="EL159" s="1154">
        <f t="shared" si="464"/>
        <v>0</v>
      </c>
      <c r="EM159" s="1154">
        <f t="shared" si="465"/>
        <v>0</v>
      </c>
      <c r="EN159" s="1154">
        <f t="shared" si="466"/>
        <v>0</v>
      </c>
      <c r="EO159" s="1154">
        <f t="shared" si="467"/>
        <v>393.43606589838868</v>
      </c>
      <c r="EP159" s="1154">
        <f t="shared" si="468"/>
        <v>0</v>
      </c>
      <c r="EQ159" s="1154">
        <f t="shared" si="469"/>
        <v>0</v>
      </c>
      <c r="ER159" s="1154">
        <f t="shared" si="470"/>
        <v>0</v>
      </c>
      <c r="ES159" s="1154">
        <f t="shared" si="471"/>
        <v>0</v>
      </c>
      <c r="ET159" s="1154">
        <f t="shared" si="472"/>
        <v>0</v>
      </c>
      <c r="EU159" s="1154">
        <f t="shared" si="473"/>
        <v>0</v>
      </c>
      <c r="EV159" s="1154">
        <f t="shared" si="474"/>
        <v>0</v>
      </c>
      <c r="EW159" s="1154">
        <f t="shared" si="475"/>
        <v>0</v>
      </c>
      <c r="EX159" s="1154">
        <f t="shared" si="476"/>
        <v>0</v>
      </c>
      <c r="EY159" s="1154">
        <f t="shared" si="477"/>
        <v>0</v>
      </c>
      <c r="EZ159" s="1154">
        <f t="shared" si="478"/>
        <v>0</v>
      </c>
      <c r="FA159" s="1174">
        <f t="shared" si="479"/>
        <v>1768.8692158983888</v>
      </c>
      <c r="FC159" s="1154">
        <f t="shared" si="480"/>
        <v>1361.8150000000001</v>
      </c>
      <c r="FD159" s="1154">
        <f t="shared" si="481"/>
        <v>0</v>
      </c>
      <c r="FE159" s="1154">
        <f t="shared" si="482"/>
        <v>0</v>
      </c>
      <c r="FF159" s="1154">
        <f t="shared" si="483"/>
        <v>0</v>
      </c>
      <c r="FG159" s="1154">
        <f t="shared" si="484"/>
        <v>0</v>
      </c>
      <c r="FH159" s="1154">
        <f t="shared" si="485"/>
        <v>0</v>
      </c>
      <c r="FI159" s="1154">
        <f t="shared" si="486"/>
        <v>0</v>
      </c>
      <c r="FJ159" s="1154">
        <f t="shared" si="487"/>
        <v>0</v>
      </c>
      <c r="FK159" s="1154">
        <f t="shared" si="488"/>
        <v>0</v>
      </c>
      <c r="FL159" s="1154">
        <f t="shared" si="489"/>
        <v>0</v>
      </c>
      <c r="FM159" s="1154">
        <f t="shared" si="490"/>
        <v>0</v>
      </c>
      <c r="FN159" s="1154">
        <f t="shared" si="491"/>
        <v>0</v>
      </c>
      <c r="FO159" s="1154">
        <f t="shared" si="492"/>
        <v>0</v>
      </c>
      <c r="FP159" s="1154">
        <f t="shared" si="493"/>
        <v>0</v>
      </c>
      <c r="FQ159" s="1154">
        <f t="shared" si="494"/>
        <v>0</v>
      </c>
      <c r="FR159" s="1154">
        <f t="shared" si="495"/>
        <v>0</v>
      </c>
      <c r="FS159" s="1154">
        <f t="shared" si="496"/>
        <v>0</v>
      </c>
      <c r="FT159" s="1154">
        <f t="shared" si="497"/>
        <v>0</v>
      </c>
      <c r="FU159" s="1154">
        <f t="shared" si="498"/>
        <v>0</v>
      </c>
      <c r="FV159" s="1154">
        <f t="shared" si="499"/>
        <v>0</v>
      </c>
      <c r="FW159" s="1154">
        <f t="shared" si="500"/>
        <v>0</v>
      </c>
      <c r="FX159" s="1154">
        <f t="shared" si="501"/>
        <v>0</v>
      </c>
      <c r="FY159" s="1154">
        <f t="shared" si="502"/>
        <v>0</v>
      </c>
      <c r="FZ159" s="1154">
        <f t="shared" si="503"/>
        <v>316.241527407847</v>
      </c>
      <c r="GA159" s="1154">
        <f t="shared" si="504"/>
        <v>0</v>
      </c>
      <c r="GB159" s="1154">
        <f t="shared" si="505"/>
        <v>0</v>
      </c>
      <c r="GC159" s="1154">
        <f t="shared" si="506"/>
        <v>0</v>
      </c>
      <c r="GD159" s="1154">
        <f t="shared" si="507"/>
        <v>0</v>
      </c>
      <c r="GE159" s="1154">
        <f t="shared" si="508"/>
        <v>0</v>
      </c>
      <c r="GF159" s="1154">
        <f t="shared" si="509"/>
        <v>0</v>
      </c>
      <c r="GG159" s="1154">
        <f t="shared" si="510"/>
        <v>0</v>
      </c>
      <c r="GH159" s="1154">
        <f t="shared" si="511"/>
        <v>0</v>
      </c>
      <c r="GI159" s="1154">
        <f t="shared" si="512"/>
        <v>0</v>
      </c>
      <c r="GJ159" s="1154">
        <f t="shared" si="513"/>
        <v>0</v>
      </c>
      <c r="GK159" s="1154">
        <f t="shared" si="514"/>
        <v>0</v>
      </c>
      <c r="GL159" s="1174">
        <f t="shared" si="515"/>
        <v>1678.0565274078472</v>
      </c>
    </row>
    <row r="160" spans="1:194" ht="6" customHeight="1">
      <c r="A160" s="1205"/>
      <c r="B160" s="1266" t="s">
        <v>742</v>
      </c>
      <c r="C160" s="1780"/>
      <c r="D160" s="1781"/>
      <c r="E160" s="1781"/>
      <c r="F160" s="1781"/>
      <c r="G160" s="1781"/>
      <c r="H160" s="1781"/>
      <c r="I160" s="1781"/>
      <c r="J160" s="1782"/>
      <c r="K160" s="1234"/>
      <c r="L160" s="1266"/>
      <c r="M160" s="1184"/>
      <c r="N160" s="1184"/>
      <c r="O160" s="1184"/>
      <c r="P160" s="1184"/>
      <c r="Q160" s="1184"/>
      <c r="R160" s="1184"/>
      <c r="S160" s="1184"/>
      <c r="T160" s="1184"/>
      <c r="U160" s="1184"/>
      <c r="V160" s="1184"/>
      <c r="W160" s="1184"/>
      <c r="X160" s="1184"/>
      <c r="Y160" s="1184"/>
      <c r="Z160" s="1184"/>
      <c r="AA160" s="1184"/>
      <c r="AB160" s="1184"/>
      <c r="AC160" s="1184"/>
      <c r="AD160" s="1184"/>
      <c r="AE160" s="1184"/>
      <c r="AF160" s="1184"/>
      <c r="AG160" s="1184"/>
      <c r="AH160" s="1184"/>
      <c r="AI160" s="1184"/>
      <c r="AJ160" s="1184"/>
      <c r="AK160" s="1184"/>
      <c r="AL160" s="1184"/>
      <c r="AM160" s="1184"/>
      <c r="AN160" s="1184"/>
      <c r="AO160" s="1184"/>
      <c r="AP160" s="1184"/>
      <c r="AQ160" s="1184"/>
      <c r="AR160" s="1184"/>
      <c r="AS160" s="1184"/>
      <c r="AT160" s="1184"/>
      <c r="AU160" s="1205"/>
      <c r="AV160" s="1234"/>
      <c r="AW160" s="1205"/>
      <c r="AX160" s="1205"/>
      <c r="AY160" s="1205"/>
      <c r="AZ160" s="1205"/>
      <c r="BA160" s="1205"/>
      <c r="BB160" s="1205"/>
      <c r="BC160" s="1205"/>
      <c r="BD160" s="1205"/>
      <c r="BE160" s="1205"/>
      <c r="BF160" s="1205"/>
      <c r="BG160" s="1205"/>
      <c r="BH160" s="1205"/>
      <c r="BI160" s="1205"/>
      <c r="BJ160" s="1205"/>
      <c r="BK160" s="1205"/>
      <c r="BL160" s="1205"/>
      <c r="BM160" s="1205"/>
      <c r="BN160" s="1205"/>
      <c r="BO160" s="1205"/>
      <c r="BP160" s="1205"/>
      <c r="BQ160" s="1205"/>
      <c r="BR160" s="1205"/>
      <c r="BS160" s="1205"/>
      <c r="BT160" s="1205"/>
      <c r="BU160" s="1205"/>
      <c r="BV160" s="1205"/>
      <c r="BW160" s="1205"/>
      <c r="BX160" s="1205"/>
      <c r="BY160" s="1205"/>
      <c r="BZ160" s="1205"/>
      <c r="CA160" s="1205"/>
      <c r="CB160" s="1205"/>
      <c r="CC160" s="1205"/>
      <c r="CD160" s="1205"/>
      <c r="CE160" s="1205"/>
      <c r="CF160" s="1205"/>
      <c r="CG160" s="1208"/>
      <c r="CH160" s="1205"/>
      <c r="CI160" s="1205"/>
      <c r="CJ160" s="1205"/>
      <c r="CK160" s="1205"/>
      <c r="CL160" s="1205"/>
      <c r="CM160" s="1205"/>
      <c r="CN160" s="1205"/>
      <c r="CO160" s="1205"/>
      <c r="CP160" s="1205"/>
      <c r="CQ160" s="1205"/>
      <c r="CR160" s="1205"/>
      <c r="CS160" s="1205"/>
      <c r="CT160" s="1205"/>
      <c r="CU160" s="1205"/>
      <c r="CV160" s="1205"/>
      <c r="CW160" s="1205"/>
      <c r="CX160" s="1205"/>
      <c r="CY160" s="1205"/>
      <c r="CZ160" s="1205"/>
      <c r="DA160" s="1205"/>
      <c r="DB160" s="1205"/>
      <c r="DC160" s="1205"/>
      <c r="DD160" s="1205"/>
      <c r="DE160" s="1205"/>
      <c r="DF160" s="1205"/>
      <c r="DG160" s="1205"/>
      <c r="DH160" s="1205"/>
      <c r="DI160" s="1205"/>
      <c r="DJ160" s="1205"/>
      <c r="DK160" s="1184"/>
      <c r="DL160" s="1184"/>
      <c r="DM160" s="1184"/>
      <c r="DN160" s="1184"/>
      <c r="DO160" s="1266"/>
      <c r="DP160" s="1266"/>
      <c r="DQ160" s="1234"/>
      <c r="DR160" s="1283"/>
      <c r="DS160" s="1283"/>
      <c r="DT160" s="1283"/>
      <c r="DU160" s="1283"/>
      <c r="DV160" s="1283"/>
      <c r="DW160" s="1283"/>
      <c r="DX160" s="1283"/>
      <c r="DY160" s="1283"/>
      <c r="DZ160" s="1283"/>
      <c r="EA160" s="1283"/>
      <c r="EB160" s="1283"/>
      <c r="EC160" s="1283"/>
      <c r="ED160" s="1283"/>
      <c r="EE160" s="1283"/>
      <c r="EF160" s="1283"/>
      <c r="EG160" s="1283"/>
      <c r="EH160" s="1283"/>
      <c r="EI160" s="1283"/>
      <c r="EJ160" s="1283"/>
      <c r="EK160" s="1283"/>
      <c r="EL160" s="1283"/>
      <c r="EM160" s="1283"/>
      <c r="EN160" s="1283"/>
      <c r="EO160" s="1283"/>
      <c r="EP160" s="1283"/>
      <c r="EQ160" s="1283"/>
      <c r="ER160" s="1283"/>
      <c r="ES160" s="1283"/>
      <c r="ET160" s="1283"/>
      <c r="EU160" s="1283"/>
      <c r="EV160" s="1283"/>
      <c r="EW160" s="1283"/>
      <c r="EX160" s="1283"/>
      <c r="EY160" s="1283"/>
      <c r="EZ160" s="1283"/>
      <c r="FA160" s="1283"/>
      <c r="FC160" s="1283"/>
      <c r="FD160" s="1283"/>
      <c r="FE160" s="1283"/>
      <c r="FF160" s="1283"/>
      <c r="FG160" s="1283"/>
      <c r="FH160" s="1283"/>
      <c r="FI160" s="1283"/>
      <c r="FJ160" s="1283"/>
      <c r="FK160" s="1283"/>
      <c r="FL160" s="1283"/>
      <c r="FM160" s="1283"/>
      <c r="FN160" s="1283"/>
      <c r="FO160" s="1283"/>
      <c r="FP160" s="1283"/>
      <c r="FQ160" s="1283"/>
      <c r="FR160" s="1283"/>
      <c r="FS160" s="1283"/>
      <c r="FT160" s="1283"/>
      <c r="FU160" s="1283"/>
      <c r="FV160" s="1283"/>
      <c r="FW160" s="1283"/>
      <c r="FX160" s="1283"/>
      <c r="FY160" s="1283"/>
      <c r="FZ160" s="1283"/>
      <c r="GA160" s="1283"/>
      <c r="GB160" s="1283"/>
      <c r="GC160" s="1283"/>
      <c r="GD160" s="1283"/>
      <c r="GE160" s="1283"/>
      <c r="GF160" s="1283"/>
      <c r="GG160" s="1283"/>
      <c r="GH160" s="1283"/>
      <c r="GI160" s="1283"/>
      <c r="GJ160" s="1283"/>
      <c r="GK160" s="1283"/>
      <c r="GL160" s="1283"/>
    </row>
    <row r="161" spans="1:194">
      <c r="B161" s="1290" t="str">
        <f t="shared" ref="B161:B169" si="552">$E161&amp;"DUOS"&amp;$H161</f>
        <v>SACDUOSEBFRM</v>
      </c>
      <c r="C161" s="1289" t="str">
        <f>Prop2021DUOSTariffs!C73</f>
        <v>East Transitional Network ToU Energy Tariff 1</v>
      </c>
      <c r="D161" s="1113" t="str">
        <f>Prop2021DUOSTariffs!D73</f>
        <v>-</v>
      </c>
      <c r="E161" s="1113" t="str">
        <f>Prop2021DUOSTariffs!E73</f>
        <v>SAC</v>
      </c>
      <c r="F161" s="1113" t="str">
        <f>Prop2021DUOSTariffs!F73</f>
        <v>SACS Bus</v>
      </c>
      <c r="G161" s="1113" t="str">
        <f>Prop2021DUOSTariffs!G73</f>
        <v>East</v>
      </c>
      <c r="H161" s="1113" t="str">
        <f>IF(Prop2021DUOSTariffs!H73="","",Prop2021DUOSTariffs!H73)</f>
        <v>EBFRM</v>
      </c>
      <c r="I161" s="1114" t="s">
        <v>798</v>
      </c>
      <c r="J161" s="1114" t="s">
        <v>934</v>
      </c>
      <c r="K161" s="1270"/>
      <c r="L161" s="1233">
        <v>0.10462200000000002</v>
      </c>
      <c r="M161" s="1007"/>
      <c r="N161" s="1007"/>
      <c r="O161" s="1007"/>
      <c r="P161" s="1007"/>
      <c r="Q161" s="1007"/>
      <c r="R161" s="1007"/>
      <c r="S161" s="1007"/>
      <c r="T161" s="1007"/>
      <c r="U161" s="1007"/>
      <c r="V161" s="1007"/>
      <c r="W161" s="1007"/>
      <c r="X161" s="1007"/>
      <c r="Y161" s="1007"/>
      <c r="Z161" s="1007"/>
      <c r="AA161" s="1007"/>
      <c r="AB161" s="1007"/>
      <c r="AC161" s="1007"/>
      <c r="AD161" s="1007"/>
      <c r="AE161" s="1007"/>
      <c r="AF161" s="1007"/>
      <c r="AG161" s="1007"/>
      <c r="AH161" s="1007"/>
      <c r="AI161" s="1233">
        <v>1.2756140745273986E-2</v>
      </c>
      <c r="AJ161" s="1005"/>
      <c r="AK161" s="1005"/>
      <c r="AL161" s="1005"/>
      <c r="AM161" s="1005"/>
      <c r="AN161" s="1005"/>
      <c r="AO161" s="1005"/>
      <c r="AP161" s="1005"/>
      <c r="AQ161" s="1005"/>
      <c r="AR161" s="1005"/>
      <c r="AS161" s="1005"/>
      <c r="AT161" s="1005"/>
      <c r="AU161" s="1006"/>
      <c r="AV161" s="1270"/>
      <c r="AW161" s="1006"/>
      <c r="AX161" s="1006"/>
      <c r="AY161" s="1006"/>
      <c r="AZ161" s="1006"/>
      <c r="BA161" s="1006"/>
      <c r="BB161" s="1006"/>
      <c r="BC161" s="1006"/>
      <c r="BD161" s="1006"/>
      <c r="BE161" s="1006"/>
      <c r="BF161" s="1006"/>
      <c r="BG161" s="1006"/>
      <c r="BH161" s="1006"/>
      <c r="BI161" s="1006"/>
      <c r="BJ161" s="1006"/>
      <c r="BK161" s="1006"/>
      <c r="BL161" s="1006"/>
      <c r="BM161" s="1006"/>
      <c r="BN161" s="1006"/>
      <c r="BO161" s="1006"/>
      <c r="BP161" s="1006"/>
      <c r="BQ161" s="1006"/>
      <c r="BR161" s="1006"/>
      <c r="BS161" s="1006"/>
      <c r="BT161" s="1006"/>
      <c r="BU161" s="1006"/>
      <c r="BV161" s="1006"/>
      <c r="BW161" s="1006"/>
      <c r="BX161" s="1006"/>
      <c r="BY161" s="1006"/>
      <c r="BZ161" s="1006"/>
      <c r="CA161" s="1006"/>
      <c r="CB161" s="1006"/>
      <c r="CC161" s="1006"/>
      <c r="CD161" s="1006"/>
      <c r="CE161" s="1006"/>
      <c r="CF161" s="1006"/>
      <c r="CG161" s="1209"/>
      <c r="CH161" s="1236">
        <v>0</v>
      </c>
      <c r="CI161" s="1007"/>
      <c r="CJ161" s="1007"/>
      <c r="CK161" s="1007"/>
      <c r="CL161" s="1007"/>
      <c r="CM161" s="1007"/>
      <c r="CN161" s="1007"/>
      <c r="CO161" s="1007"/>
      <c r="CP161" s="1007"/>
      <c r="CQ161" s="1007"/>
      <c r="CR161" s="1007"/>
      <c r="CS161" s="1007"/>
      <c r="CT161" s="1007"/>
      <c r="CU161" s="1007"/>
      <c r="CV161" s="1007"/>
      <c r="CW161" s="1007"/>
      <c r="CX161" s="1007"/>
      <c r="CY161" s="1007"/>
      <c r="CZ161" s="1007"/>
      <c r="DA161" s="1007"/>
      <c r="DB161" s="1007"/>
      <c r="DC161" s="1007"/>
      <c r="DD161" s="1007"/>
      <c r="DE161" s="1236">
        <v>0</v>
      </c>
      <c r="DF161" s="1007"/>
      <c r="DG161" s="1007"/>
      <c r="DH161" s="1007"/>
      <c r="DI161" s="1006"/>
      <c r="DJ161" s="1006"/>
      <c r="DK161" s="1007"/>
      <c r="DL161" s="1007"/>
      <c r="DM161" s="1007"/>
      <c r="DN161" s="1007"/>
      <c r="DO161" s="1112"/>
      <c r="DP161" s="1112"/>
      <c r="DQ161" s="1270"/>
      <c r="DR161" s="1154">
        <f t="shared" ref="DR161:DR169" si="553">IFERROR(L161*CH161*DR$229,0)</f>
        <v>0</v>
      </c>
      <c r="DS161" s="1154">
        <f t="shared" ref="DS161:DS169" si="554">M161*CI161*DS$229</f>
        <v>0</v>
      </c>
      <c r="DT161" s="1154">
        <f t="shared" ref="DT161:DT169" si="555">N161*CJ161*DT$229</f>
        <v>0</v>
      </c>
      <c r="DU161" s="1154">
        <f t="shared" ref="DU161:DU169" si="556">O161*CK161*DU$229</f>
        <v>0</v>
      </c>
      <c r="DV161" s="1154">
        <f t="shared" ref="DV161:DV169" si="557">P161*CL161*DV$229</f>
        <v>0</v>
      </c>
      <c r="DW161" s="1154">
        <f t="shared" ref="DW161:DW169" si="558">Q161*CM161*DW$229</f>
        <v>0</v>
      </c>
      <c r="DX161" s="1154">
        <f t="shared" ref="DX161:DX169" si="559">R161*CN161*DX$229</f>
        <v>0</v>
      </c>
      <c r="DY161" s="1154">
        <f t="shared" ref="DY161:DY169" si="560">S161*CO161*DY$229</f>
        <v>0</v>
      </c>
      <c r="DZ161" s="1154">
        <f t="shared" ref="DZ161:DZ169" si="561">T161*CP161*DZ$229</f>
        <v>0</v>
      </c>
      <c r="EA161" s="1154">
        <f t="shared" ref="EA161:EA169" si="562">U161*CQ161*EA$229</f>
        <v>0</v>
      </c>
      <c r="EB161" s="1154">
        <f t="shared" ref="EB161:EB169" si="563">V161*CR161*EB$229</f>
        <v>0</v>
      </c>
      <c r="EC161" s="1154">
        <f t="shared" ref="EC161:EC169" si="564">W161*CS161*EC$229</f>
        <v>0</v>
      </c>
      <c r="ED161" s="1154">
        <f t="shared" ref="ED161:ED169" si="565">X161*CT161*ED$229</f>
        <v>0</v>
      </c>
      <c r="EE161" s="1154">
        <f t="shared" ref="EE161:EE169" si="566">Y161*CU161*EE$229</f>
        <v>0</v>
      </c>
      <c r="EF161" s="1154">
        <f t="shared" ref="EF161:EF169" si="567">Z161*CV161*EF$229</f>
        <v>0</v>
      </c>
      <c r="EG161" s="1154">
        <f t="shared" ref="EG161:EG169" si="568">AA161*CW161*EG$229</f>
        <v>0</v>
      </c>
      <c r="EH161" s="1154">
        <f t="shared" ref="EH161:EH169" si="569">AB161*CX161*EH$229</f>
        <v>0</v>
      </c>
      <c r="EI161" s="1154">
        <f t="shared" ref="EI161:EI169" si="570">AC161*CY161*EI$229</f>
        <v>0</v>
      </c>
      <c r="EJ161" s="1154">
        <f t="shared" ref="EJ161:EJ169" si="571">AD161*CZ161*EJ$229</f>
        <v>0</v>
      </c>
      <c r="EK161" s="1154">
        <f t="shared" ref="EK161:EK169" si="572">AE161*DA161*EK$229</f>
        <v>0</v>
      </c>
      <c r="EL161" s="1154">
        <f t="shared" ref="EL161:EL169" si="573">AF161*DB161*EL$229</f>
        <v>0</v>
      </c>
      <c r="EM161" s="1154">
        <f t="shared" ref="EM161:EM169" si="574">AG161*DC161*EM$229*$AU161</f>
        <v>0</v>
      </c>
      <c r="EN161" s="1154">
        <f t="shared" ref="EN161:EN169" si="575">AH161*DD161*EN$229*$AU161</f>
        <v>0</v>
      </c>
      <c r="EO161" s="1154">
        <f t="shared" ref="EO161:EO169" si="576">IFERROR(AI161*DE161*EO$229,0)</f>
        <v>0</v>
      </c>
      <c r="EP161" s="1154">
        <f t="shared" ref="EP161:EP169" si="577">AJ161*DF161*EP$229</f>
        <v>0</v>
      </c>
      <c r="EQ161" s="1154">
        <f t="shared" ref="EQ161:EQ169" si="578">AK161*DG161*EQ$229</f>
        <v>0</v>
      </c>
      <c r="ER161" s="1154">
        <f t="shared" ref="ER161:ER169" si="579">AL161*DH161*ER$229</f>
        <v>0</v>
      </c>
      <c r="ES161" s="1154">
        <f t="shared" ref="ES161:ES169" si="580">AM161*DI161*ES$229</f>
        <v>0</v>
      </c>
      <c r="ET161" s="1154">
        <f t="shared" ref="ET161:ET169" si="581">AN161*DJ161*ET$229</f>
        <v>0</v>
      </c>
      <c r="EU161" s="1154">
        <f t="shared" ref="EU161:EU169" si="582">AO161*DK161*EU$229</f>
        <v>0</v>
      </c>
      <c r="EV161" s="1154">
        <f t="shared" ref="EV161:EV169" si="583">AP161*DL161*EV$229</f>
        <v>0</v>
      </c>
      <c r="EW161" s="1154">
        <f t="shared" ref="EW161:EW169" si="584">AQ161*DM161*EW$229</f>
        <v>0</v>
      </c>
      <c r="EX161" s="1154">
        <f t="shared" ref="EX161:EX169" si="585">AR161*DN161*EX$229</f>
        <v>0</v>
      </c>
      <c r="EY161" s="1154">
        <f t="shared" ref="EY161:EY169" si="586">AS161*DO161*EY$229</f>
        <v>0</v>
      </c>
      <c r="EZ161" s="1154">
        <f t="shared" ref="EZ161:EZ169" si="587">AT161*DP161*EZ$229</f>
        <v>0</v>
      </c>
      <c r="FA161" s="1174">
        <f t="shared" ref="FA161:FA169" si="588">SUM(DR161:EZ161)</f>
        <v>0</v>
      </c>
      <c r="FC161" s="1154">
        <f t="shared" ref="FC161:FC169" si="589">AW161*CH161*FC$229</f>
        <v>0</v>
      </c>
      <c r="FD161" s="1154">
        <f t="shared" ref="FD161:FD169" si="590">AX161*CI161*FD$229</f>
        <v>0</v>
      </c>
      <c r="FE161" s="1154">
        <f t="shared" ref="FE161:FE169" si="591">AY161*CJ161*FE$229</f>
        <v>0</v>
      </c>
      <c r="FF161" s="1154">
        <f t="shared" ref="FF161:FF169" si="592">AZ161*CK161*FF$229</f>
        <v>0</v>
      </c>
      <c r="FG161" s="1154">
        <f t="shared" ref="FG161:FG169" si="593">BA161*CL161*FG$229</f>
        <v>0</v>
      </c>
      <c r="FH161" s="1154">
        <f t="shared" ref="FH161:FH169" si="594">BB161*CM161*FH$229</f>
        <v>0</v>
      </c>
      <c r="FI161" s="1154">
        <f t="shared" ref="FI161:FI169" si="595">BC161*CN161*FI$229</f>
        <v>0</v>
      </c>
      <c r="FJ161" s="1154">
        <f t="shared" ref="FJ161:FJ169" si="596">BD161*CO161*FJ$229</f>
        <v>0</v>
      </c>
      <c r="FK161" s="1154">
        <f t="shared" ref="FK161:FK169" si="597">BE161*CP161*FK$229</f>
        <v>0</v>
      </c>
      <c r="FL161" s="1154">
        <f t="shared" ref="FL161:FL169" si="598">BF161*CQ161*FL$229</f>
        <v>0</v>
      </c>
      <c r="FM161" s="1154">
        <f t="shared" ref="FM161:FM169" si="599">BG161*CR161*FM$229</f>
        <v>0</v>
      </c>
      <c r="FN161" s="1154">
        <f t="shared" ref="FN161:FN169" si="600">BH161*CS161*FN$229</f>
        <v>0</v>
      </c>
      <c r="FO161" s="1154">
        <f t="shared" ref="FO161:FO169" si="601">BI161*CT161*FO$229</f>
        <v>0</v>
      </c>
      <c r="FP161" s="1154">
        <f t="shared" ref="FP161:FP169" si="602">BJ161*CU161*FP$229</f>
        <v>0</v>
      </c>
      <c r="FQ161" s="1154">
        <f t="shared" ref="FQ161:FQ169" si="603">BK161*CV161*FQ$229</f>
        <v>0</v>
      </c>
      <c r="FR161" s="1154">
        <f t="shared" ref="FR161:FR169" si="604">BL161*CW161*FR$229</f>
        <v>0</v>
      </c>
      <c r="FS161" s="1154">
        <f t="shared" ref="FS161:FS169" si="605">BM161*CX161*FS$229</f>
        <v>0</v>
      </c>
      <c r="FT161" s="1154">
        <f t="shared" ref="FT161:FT169" si="606">BN161*CY161*FT$229</f>
        <v>0</v>
      </c>
      <c r="FU161" s="1154">
        <f t="shared" ref="FU161:FU169" si="607">BO161*CZ161*FU$229</f>
        <v>0</v>
      </c>
      <c r="FV161" s="1154">
        <f t="shared" ref="FV161:FV169" si="608">BP161*DA161*FV$229</f>
        <v>0</v>
      </c>
      <c r="FW161" s="1154">
        <f t="shared" ref="FW161:FW169" si="609">BQ161*DB161*FW$229</f>
        <v>0</v>
      </c>
      <c r="FX161" s="1154">
        <f t="shared" ref="FX161:FX169" si="610">BR161*DC161*FX$229</f>
        <v>0</v>
      </c>
      <c r="FY161" s="1154">
        <f t="shared" ref="FY161:FY169" si="611">BS161*DD161*FY$229</f>
        <v>0</v>
      </c>
      <c r="FZ161" s="1154">
        <f t="shared" ref="FZ161:FZ169" si="612">BT161*DE161*FZ$229</f>
        <v>0</v>
      </c>
      <c r="GA161" s="1154">
        <f t="shared" ref="GA161:GA169" si="613">BU161*DF161*GA$229</f>
        <v>0</v>
      </c>
      <c r="GB161" s="1154">
        <f t="shared" ref="GB161:GB169" si="614">BV161*DG161*GB$229</f>
        <v>0</v>
      </c>
      <c r="GC161" s="1154">
        <f t="shared" ref="GC161:GC169" si="615">BW161*DH161*GC$229</f>
        <v>0</v>
      </c>
      <c r="GD161" s="1154">
        <f t="shared" ref="GD161:GD169" si="616">BX161*DI161*GD$229</f>
        <v>0</v>
      </c>
      <c r="GE161" s="1154">
        <f t="shared" ref="GE161:GE169" si="617">BY161*DJ161*GE$229</f>
        <v>0</v>
      </c>
      <c r="GF161" s="1154">
        <f t="shared" ref="GF161:GF169" si="618">BZ161*DK161*GF$229</f>
        <v>0</v>
      </c>
      <c r="GG161" s="1154">
        <f t="shared" ref="GG161:GG169" si="619">CA161*DL161*GG$229</f>
        <v>0</v>
      </c>
      <c r="GH161" s="1154">
        <f t="shared" ref="GH161:GH169" si="620">CB161*DM161*GH$229</f>
        <v>0</v>
      </c>
      <c r="GI161" s="1154">
        <f t="shared" ref="GI161:GI169" si="621">CC161*DN161*GI$229</f>
        <v>0</v>
      </c>
      <c r="GJ161" s="1154">
        <f t="shared" ref="GJ161:GJ169" si="622">CD161*DO161*GJ$229</f>
        <v>0</v>
      </c>
      <c r="GK161" s="1154">
        <f t="shared" ref="GK161:GK169" si="623">CE161*DP161*GK$229</f>
        <v>0</v>
      </c>
      <c r="GL161" s="1174">
        <f t="shared" ref="GL161:GL169" si="624">SUM(FC161:GK161)</f>
        <v>0</v>
      </c>
    </row>
    <row r="162" spans="1:194">
      <c r="B162" s="1290" t="str">
        <f t="shared" si="552"/>
        <v>SACDUOSEBFRM</v>
      </c>
      <c r="C162" s="1289" t="str">
        <f>C161</f>
        <v>East Transitional Network ToU Energy Tariff 1</v>
      </c>
      <c r="D162" s="1113" t="str">
        <f t="shared" ref="D162:H163" si="625">D161</f>
        <v>-</v>
      </c>
      <c r="E162" s="1113" t="str">
        <f t="shared" ref="E162:G162" si="626">E161</f>
        <v>SAC</v>
      </c>
      <c r="F162" s="1113" t="str">
        <f t="shared" si="626"/>
        <v>SACS Bus</v>
      </c>
      <c r="G162" s="1113" t="str">
        <f t="shared" si="626"/>
        <v>East</v>
      </c>
      <c r="H162" s="1113" t="str">
        <f t="shared" si="625"/>
        <v>EBFRM</v>
      </c>
      <c r="I162" s="1114" t="s">
        <v>752</v>
      </c>
      <c r="J162" s="1114" t="s">
        <v>934</v>
      </c>
      <c r="K162" s="1270"/>
      <c r="L162" s="1233">
        <v>0.17445225</v>
      </c>
      <c r="M162" s="1007"/>
      <c r="N162" s="1007"/>
      <c r="O162" s="1007"/>
      <c r="P162" s="1007"/>
      <c r="Q162" s="1007"/>
      <c r="R162" s="1007"/>
      <c r="S162" s="1007"/>
      <c r="T162" s="1007"/>
      <c r="U162" s="1007"/>
      <c r="V162" s="1007"/>
      <c r="W162" s="1007"/>
      <c r="X162" s="1007"/>
      <c r="Y162" s="1007"/>
      <c r="Z162" s="1007"/>
      <c r="AA162" s="1007"/>
      <c r="AB162" s="1007"/>
      <c r="AC162" s="1007"/>
      <c r="AD162" s="1007"/>
      <c r="AE162" s="1007"/>
      <c r="AF162" s="1007"/>
      <c r="AG162" s="1007"/>
      <c r="AH162" s="1007"/>
      <c r="AI162" s="1233">
        <v>1.3580961239131205E-2</v>
      </c>
      <c r="AJ162" s="1005"/>
      <c r="AK162" s="1005"/>
      <c r="AL162" s="1005"/>
      <c r="AM162" s="1005"/>
      <c r="AN162" s="1005"/>
      <c r="AO162" s="1005"/>
      <c r="AP162" s="1005"/>
      <c r="AQ162" s="1005"/>
      <c r="AR162" s="1005"/>
      <c r="AS162" s="1005"/>
      <c r="AT162" s="1005"/>
      <c r="AU162" s="1006"/>
      <c r="AV162" s="1270"/>
      <c r="AW162" s="1006"/>
      <c r="AX162" s="1006"/>
      <c r="AY162" s="1006"/>
      <c r="AZ162" s="1006"/>
      <c r="BA162" s="1006"/>
      <c r="BB162" s="1006"/>
      <c r="BC162" s="1006"/>
      <c r="BD162" s="1006"/>
      <c r="BE162" s="1006"/>
      <c r="BF162" s="1006"/>
      <c r="BG162" s="1006"/>
      <c r="BH162" s="1006"/>
      <c r="BI162" s="1006"/>
      <c r="BJ162" s="1006"/>
      <c r="BK162" s="1006"/>
      <c r="BL162" s="1006"/>
      <c r="BM162" s="1006"/>
      <c r="BN162" s="1006"/>
      <c r="BO162" s="1006"/>
      <c r="BP162" s="1006"/>
      <c r="BQ162" s="1006"/>
      <c r="BR162" s="1006"/>
      <c r="BS162" s="1006"/>
      <c r="BT162" s="1006"/>
      <c r="BU162" s="1006"/>
      <c r="BV162" s="1006"/>
      <c r="BW162" s="1006"/>
      <c r="BX162" s="1006"/>
      <c r="BY162" s="1006"/>
      <c r="BZ162" s="1006"/>
      <c r="CA162" s="1006"/>
      <c r="CB162" s="1006"/>
      <c r="CC162" s="1006"/>
      <c r="CD162" s="1006"/>
      <c r="CE162" s="1006"/>
      <c r="CF162" s="1006"/>
      <c r="CG162" s="1209"/>
      <c r="CH162" s="1236">
        <v>0</v>
      </c>
      <c r="CI162" s="1007"/>
      <c r="CJ162" s="1007"/>
      <c r="CK162" s="1007"/>
      <c r="CL162" s="1007"/>
      <c r="CM162" s="1007"/>
      <c r="CN162" s="1007"/>
      <c r="CO162" s="1007"/>
      <c r="CP162" s="1007"/>
      <c r="CQ162" s="1007"/>
      <c r="CR162" s="1007"/>
      <c r="CS162" s="1007"/>
      <c r="CT162" s="1007"/>
      <c r="CU162" s="1007"/>
      <c r="CV162" s="1007"/>
      <c r="CW162" s="1007"/>
      <c r="CX162" s="1007"/>
      <c r="CY162" s="1007"/>
      <c r="CZ162" s="1007"/>
      <c r="DA162" s="1007"/>
      <c r="DB162" s="1007"/>
      <c r="DC162" s="1007"/>
      <c r="DD162" s="1007"/>
      <c r="DE162" s="1236">
        <v>0</v>
      </c>
      <c r="DF162" s="1007"/>
      <c r="DG162" s="1007"/>
      <c r="DH162" s="1007"/>
      <c r="DI162" s="1006"/>
      <c r="DJ162" s="1006"/>
      <c r="DK162" s="1007"/>
      <c r="DL162" s="1007"/>
      <c r="DM162" s="1007"/>
      <c r="DN162" s="1007"/>
      <c r="DO162" s="1112"/>
      <c r="DP162" s="1112"/>
      <c r="DQ162" s="1270"/>
      <c r="DR162" s="1154">
        <f t="shared" si="553"/>
        <v>0</v>
      </c>
      <c r="DS162" s="1154">
        <f t="shared" si="554"/>
        <v>0</v>
      </c>
      <c r="DT162" s="1154">
        <f t="shared" si="555"/>
        <v>0</v>
      </c>
      <c r="DU162" s="1154">
        <f t="shared" si="556"/>
        <v>0</v>
      </c>
      <c r="DV162" s="1154">
        <f t="shared" si="557"/>
        <v>0</v>
      </c>
      <c r="DW162" s="1154">
        <f t="shared" si="558"/>
        <v>0</v>
      </c>
      <c r="DX162" s="1154">
        <f t="shared" si="559"/>
        <v>0</v>
      </c>
      <c r="DY162" s="1154">
        <f t="shared" si="560"/>
        <v>0</v>
      </c>
      <c r="DZ162" s="1154">
        <f t="shared" si="561"/>
        <v>0</v>
      </c>
      <c r="EA162" s="1154">
        <f t="shared" si="562"/>
        <v>0</v>
      </c>
      <c r="EB162" s="1154">
        <f t="shared" si="563"/>
        <v>0</v>
      </c>
      <c r="EC162" s="1154">
        <f t="shared" si="564"/>
        <v>0</v>
      </c>
      <c r="ED162" s="1154">
        <f t="shared" si="565"/>
        <v>0</v>
      </c>
      <c r="EE162" s="1154">
        <f t="shared" si="566"/>
        <v>0</v>
      </c>
      <c r="EF162" s="1154">
        <f t="shared" si="567"/>
        <v>0</v>
      </c>
      <c r="EG162" s="1154">
        <f t="shared" si="568"/>
        <v>0</v>
      </c>
      <c r="EH162" s="1154">
        <f t="shared" si="569"/>
        <v>0</v>
      </c>
      <c r="EI162" s="1154">
        <f t="shared" si="570"/>
        <v>0</v>
      </c>
      <c r="EJ162" s="1154">
        <f t="shared" si="571"/>
        <v>0</v>
      </c>
      <c r="EK162" s="1154">
        <f t="shared" si="572"/>
        <v>0</v>
      </c>
      <c r="EL162" s="1154">
        <f t="shared" si="573"/>
        <v>0</v>
      </c>
      <c r="EM162" s="1154">
        <f t="shared" si="574"/>
        <v>0</v>
      </c>
      <c r="EN162" s="1154">
        <f t="shared" si="575"/>
        <v>0</v>
      </c>
      <c r="EO162" s="1154">
        <f t="shared" si="576"/>
        <v>0</v>
      </c>
      <c r="EP162" s="1154">
        <f t="shared" si="577"/>
        <v>0</v>
      </c>
      <c r="EQ162" s="1154">
        <f t="shared" si="578"/>
        <v>0</v>
      </c>
      <c r="ER162" s="1154">
        <f t="shared" si="579"/>
        <v>0</v>
      </c>
      <c r="ES162" s="1154">
        <f t="shared" si="580"/>
        <v>0</v>
      </c>
      <c r="ET162" s="1154">
        <f t="shared" si="581"/>
        <v>0</v>
      </c>
      <c r="EU162" s="1154">
        <f t="shared" si="582"/>
        <v>0</v>
      </c>
      <c r="EV162" s="1154">
        <f t="shared" si="583"/>
        <v>0</v>
      </c>
      <c r="EW162" s="1154">
        <f t="shared" si="584"/>
        <v>0</v>
      </c>
      <c r="EX162" s="1154">
        <f t="shared" si="585"/>
        <v>0</v>
      </c>
      <c r="EY162" s="1154">
        <f t="shared" si="586"/>
        <v>0</v>
      </c>
      <c r="EZ162" s="1154">
        <f t="shared" si="587"/>
        <v>0</v>
      </c>
      <c r="FA162" s="1174">
        <f t="shared" si="588"/>
        <v>0</v>
      </c>
      <c r="FC162" s="1154">
        <f t="shared" si="589"/>
        <v>0</v>
      </c>
      <c r="FD162" s="1154">
        <f t="shared" si="590"/>
        <v>0</v>
      </c>
      <c r="FE162" s="1154">
        <f t="shared" si="591"/>
        <v>0</v>
      </c>
      <c r="FF162" s="1154">
        <f t="shared" si="592"/>
        <v>0</v>
      </c>
      <c r="FG162" s="1154">
        <f t="shared" si="593"/>
        <v>0</v>
      </c>
      <c r="FH162" s="1154">
        <f t="shared" si="594"/>
        <v>0</v>
      </c>
      <c r="FI162" s="1154">
        <f t="shared" si="595"/>
        <v>0</v>
      </c>
      <c r="FJ162" s="1154">
        <f t="shared" si="596"/>
        <v>0</v>
      </c>
      <c r="FK162" s="1154">
        <f t="shared" si="597"/>
        <v>0</v>
      </c>
      <c r="FL162" s="1154">
        <f t="shared" si="598"/>
        <v>0</v>
      </c>
      <c r="FM162" s="1154">
        <f t="shared" si="599"/>
        <v>0</v>
      </c>
      <c r="FN162" s="1154">
        <f t="shared" si="600"/>
        <v>0</v>
      </c>
      <c r="FO162" s="1154">
        <f t="shared" si="601"/>
        <v>0</v>
      </c>
      <c r="FP162" s="1154">
        <f t="shared" si="602"/>
        <v>0</v>
      </c>
      <c r="FQ162" s="1154">
        <f t="shared" si="603"/>
        <v>0</v>
      </c>
      <c r="FR162" s="1154">
        <f t="shared" si="604"/>
        <v>0</v>
      </c>
      <c r="FS162" s="1154">
        <f t="shared" si="605"/>
        <v>0</v>
      </c>
      <c r="FT162" s="1154">
        <f t="shared" si="606"/>
        <v>0</v>
      </c>
      <c r="FU162" s="1154">
        <f t="shared" si="607"/>
        <v>0</v>
      </c>
      <c r="FV162" s="1154">
        <f t="shared" si="608"/>
        <v>0</v>
      </c>
      <c r="FW162" s="1154">
        <f t="shared" si="609"/>
        <v>0</v>
      </c>
      <c r="FX162" s="1154">
        <f t="shared" si="610"/>
        <v>0</v>
      </c>
      <c r="FY162" s="1154">
        <f t="shared" si="611"/>
        <v>0</v>
      </c>
      <c r="FZ162" s="1154">
        <f t="shared" si="612"/>
        <v>0</v>
      </c>
      <c r="GA162" s="1154">
        <f t="shared" si="613"/>
        <v>0</v>
      </c>
      <c r="GB162" s="1154">
        <f t="shared" si="614"/>
        <v>0</v>
      </c>
      <c r="GC162" s="1154">
        <f t="shared" si="615"/>
        <v>0</v>
      </c>
      <c r="GD162" s="1154">
        <f t="shared" si="616"/>
        <v>0</v>
      </c>
      <c r="GE162" s="1154">
        <f t="shared" si="617"/>
        <v>0</v>
      </c>
      <c r="GF162" s="1154">
        <f t="shared" si="618"/>
        <v>0</v>
      </c>
      <c r="GG162" s="1154">
        <f t="shared" si="619"/>
        <v>0</v>
      </c>
      <c r="GH162" s="1154">
        <f t="shared" si="620"/>
        <v>0</v>
      </c>
      <c r="GI162" s="1154">
        <f t="shared" si="621"/>
        <v>0</v>
      </c>
      <c r="GJ162" s="1154">
        <f t="shared" si="622"/>
        <v>0</v>
      </c>
      <c r="GK162" s="1154">
        <f t="shared" si="623"/>
        <v>0</v>
      </c>
      <c r="GL162" s="1174">
        <f t="shared" si="624"/>
        <v>0</v>
      </c>
    </row>
    <row r="163" spans="1:194">
      <c r="B163" s="1290" t="str">
        <f t="shared" si="552"/>
        <v>SACDUOSEBFRM</v>
      </c>
      <c r="C163" s="1289" t="str">
        <f t="shared" ref="C163:D163" si="627">C162</f>
        <v>East Transitional Network ToU Energy Tariff 1</v>
      </c>
      <c r="D163" s="1113" t="str">
        <f t="shared" si="627"/>
        <v>-</v>
      </c>
      <c r="E163" s="1113" t="str">
        <f t="shared" ref="E163:G163" si="628">E162</f>
        <v>SAC</v>
      </c>
      <c r="F163" s="1113" t="str">
        <f t="shared" si="628"/>
        <v>SACS Bus</v>
      </c>
      <c r="G163" s="1113" t="str">
        <f t="shared" si="628"/>
        <v>East</v>
      </c>
      <c r="H163" s="1113" t="str">
        <f t="shared" si="625"/>
        <v>EBFRM</v>
      </c>
      <c r="I163" s="1114" t="s">
        <v>759</v>
      </c>
      <c r="J163" s="1114" t="s">
        <v>934</v>
      </c>
      <c r="K163" s="1270"/>
      <c r="L163" s="1233">
        <v>0.28228199999999998</v>
      </c>
      <c r="M163" s="1007"/>
      <c r="N163" s="1007"/>
      <c r="O163" s="1007"/>
      <c r="P163" s="1007"/>
      <c r="Q163" s="1007"/>
      <c r="R163" s="1007"/>
      <c r="S163" s="1007"/>
      <c r="T163" s="1007"/>
      <c r="U163" s="1007"/>
      <c r="V163" s="1007"/>
      <c r="W163" s="1007"/>
      <c r="X163" s="1007"/>
      <c r="Y163" s="1007"/>
      <c r="Z163" s="1007"/>
      <c r="AA163" s="1007"/>
      <c r="AB163" s="1007"/>
      <c r="AC163" s="1007"/>
      <c r="AD163" s="1007"/>
      <c r="AE163" s="1007"/>
      <c r="AF163" s="1007"/>
      <c r="AG163" s="1007"/>
      <c r="AH163" s="1007"/>
      <c r="AI163" s="1233">
        <v>1.4121324100704864E-2</v>
      </c>
      <c r="AJ163" s="1005"/>
      <c r="AK163" s="1005"/>
      <c r="AL163" s="1005"/>
      <c r="AM163" s="1005"/>
      <c r="AN163" s="1005"/>
      <c r="AO163" s="1005"/>
      <c r="AP163" s="1005"/>
      <c r="AQ163" s="1005"/>
      <c r="AR163" s="1005"/>
      <c r="AS163" s="1005"/>
      <c r="AT163" s="1005"/>
      <c r="AU163" s="1006"/>
      <c r="AV163" s="1270"/>
      <c r="AW163" s="1006"/>
      <c r="AX163" s="1006"/>
      <c r="AY163" s="1006"/>
      <c r="AZ163" s="1006"/>
      <c r="BA163" s="1006"/>
      <c r="BB163" s="1006"/>
      <c r="BC163" s="1006"/>
      <c r="BD163" s="1006"/>
      <c r="BE163" s="1006"/>
      <c r="BF163" s="1006"/>
      <c r="BG163" s="1006"/>
      <c r="BH163" s="1006"/>
      <c r="BI163" s="1006"/>
      <c r="BJ163" s="1006"/>
      <c r="BK163" s="1006"/>
      <c r="BL163" s="1006"/>
      <c r="BM163" s="1006"/>
      <c r="BN163" s="1006"/>
      <c r="BO163" s="1006"/>
      <c r="BP163" s="1006"/>
      <c r="BQ163" s="1006"/>
      <c r="BR163" s="1006"/>
      <c r="BS163" s="1006"/>
      <c r="BT163" s="1006"/>
      <c r="BU163" s="1006"/>
      <c r="BV163" s="1006"/>
      <c r="BW163" s="1006"/>
      <c r="BX163" s="1006"/>
      <c r="BY163" s="1006"/>
      <c r="BZ163" s="1006"/>
      <c r="CA163" s="1006"/>
      <c r="CB163" s="1006"/>
      <c r="CC163" s="1006"/>
      <c r="CD163" s="1006"/>
      <c r="CE163" s="1006"/>
      <c r="CF163" s="1006"/>
      <c r="CG163" s="1209"/>
      <c r="CH163" s="1236">
        <v>0</v>
      </c>
      <c r="CI163" s="1007"/>
      <c r="CJ163" s="1007"/>
      <c r="CK163" s="1007"/>
      <c r="CL163" s="1007"/>
      <c r="CM163" s="1007"/>
      <c r="CN163" s="1007"/>
      <c r="CO163" s="1007"/>
      <c r="CP163" s="1007"/>
      <c r="CQ163" s="1007"/>
      <c r="CR163" s="1007"/>
      <c r="CS163" s="1007"/>
      <c r="CT163" s="1007"/>
      <c r="CU163" s="1007"/>
      <c r="CV163" s="1007"/>
      <c r="CW163" s="1007"/>
      <c r="CX163" s="1007"/>
      <c r="CY163" s="1007"/>
      <c r="CZ163" s="1007"/>
      <c r="DA163" s="1007"/>
      <c r="DB163" s="1007"/>
      <c r="DC163" s="1007"/>
      <c r="DD163" s="1007"/>
      <c r="DE163" s="1236">
        <v>0</v>
      </c>
      <c r="DF163" s="1007"/>
      <c r="DG163" s="1007"/>
      <c r="DH163" s="1007"/>
      <c r="DI163" s="1006"/>
      <c r="DJ163" s="1006"/>
      <c r="DK163" s="1007"/>
      <c r="DL163" s="1007"/>
      <c r="DM163" s="1007"/>
      <c r="DN163" s="1007"/>
      <c r="DO163" s="1112"/>
      <c r="DP163" s="1112"/>
      <c r="DQ163" s="1270"/>
      <c r="DR163" s="1154">
        <f t="shared" si="553"/>
        <v>0</v>
      </c>
      <c r="DS163" s="1154">
        <f t="shared" si="554"/>
        <v>0</v>
      </c>
      <c r="DT163" s="1154">
        <f t="shared" si="555"/>
        <v>0</v>
      </c>
      <c r="DU163" s="1154">
        <f t="shared" si="556"/>
        <v>0</v>
      </c>
      <c r="DV163" s="1154">
        <f t="shared" si="557"/>
        <v>0</v>
      </c>
      <c r="DW163" s="1154">
        <f t="shared" si="558"/>
        <v>0</v>
      </c>
      <c r="DX163" s="1154">
        <f t="shared" si="559"/>
        <v>0</v>
      </c>
      <c r="DY163" s="1154">
        <f t="shared" si="560"/>
        <v>0</v>
      </c>
      <c r="DZ163" s="1154">
        <f t="shared" si="561"/>
        <v>0</v>
      </c>
      <c r="EA163" s="1154">
        <f t="shared" si="562"/>
        <v>0</v>
      </c>
      <c r="EB163" s="1154">
        <f t="shared" si="563"/>
        <v>0</v>
      </c>
      <c r="EC163" s="1154">
        <f t="shared" si="564"/>
        <v>0</v>
      </c>
      <c r="ED163" s="1154">
        <f t="shared" si="565"/>
        <v>0</v>
      </c>
      <c r="EE163" s="1154">
        <f t="shared" si="566"/>
        <v>0</v>
      </c>
      <c r="EF163" s="1154">
        <f t="shared" si="567"/>
        <v>0</v>
      </c>
      <c r="EG163" s="1154">
        <f t="shared" si="568"/>
        <v>0</v>
      </c>
      <c r="EH163" s="1154">
        <f t="shared" si="569"/>
        <v>0</v>
      </c>
      <c r="EI163" s="1154">
        <f t="shared" si="570"/>
        <v>0</v>
      </c>
      <c r="EJ163" s="1154">
        <f t="shared" si="571"/>
        <v>0</v>
      </c>
      <c r="EK163" s="1154">
        <f t="shared" si="572"/>
        <v>0</v>
      </c>
      <c r="EL163" s="1154">
        <f t="shared" si="573"/>
        <v>0</v>
      </c>
      <c r="EM163" s="1154">
        <f t="shared" si="574"/>
        <v>0</v>
      </c>
      <c r="EN163" s="1154">
        <f t="shared" si="575"/>
        <v>0</v>
      </c>
      <c r="EO163" s="1154">
        <f t="shared" si="576"/>
        <v>0</v>
      </c>
      <c r="EP163" s="1154">
        <f t="shared" si="577"/>
        <v>0</v>
      </c>
      <c r="EQ163" s="1154">
        <f t="shared" si="578"/>
        <v>0</v>
      </c>
      <c r="ER163" s="1154">
        <f t="shared" si="579"/>
        <v>0</v>
      </c>
      <c r="ES163" s="1154">
        <f t="shared" si="580"/>
        <v>0</v>
      </c>
      <c r="ET163" s="1154">
        <f t="shared" si="581"/>
        <v>0</v>
      </c>
      <c r="EU163" s="1154">
        <f t="shared" si="582"/>
        <v>0</v>
      </c>
      <c r="EV163" s="1154">
        <f t="shared" si="583"/>
        <v>0</v>
      </c>
      <c r="EW163" s="1154">
        <f t="shared" si="584"/>
        <v>0</v>
      </c>
      <c r="EX163" s="1154">
        <f t="shared" si="585"/>
        <v>0</v>
      </c>
      <c r="EY163" s="1154">
        <f t="shared" si="586"/>
        <v>0</v>
      </c>
      <c r="EZ163" s="1154">
        <f t="shared" si="587"/>
        <v>0</v>
      </c>
      <c r="FA163" s="1174">
        <f t="shared" si="588"/>
        <v>0</v>
      </c>
      <c r="FC163" s="1154">
        <f t="shared" si="589"/>
        <v>0</v>
      </c>
      <c r="FD163" s="1154">
        <f t="shared" si="590"/>
        <v>0</v>
      </c>
      <c r="FE163" s="1154">
        <f t="shared" si="591"/>
        <v>0</v>
      </c>
      <c r="FF163" s="1154">
        <f t="shared" si="592"/>
        <v>0</v>
      </c>
      <c r="FG163" s="1154">
        <f t="shared" si="593"/>
        <v>0</v>
      </c>
      <c r="FH163" s="1154">
        <f t="shared" si="594"/>
        <v>0</v>
      </c>
      <c r="FI163" s="1154">
        <f t="shared" si="595"/>
        <v>0</v>
      </c>
      <c r="FJ163" s="1154">
        <f t="shared" si="596"/>
        <v>0</v>
      </c>
      <c r="FK163" s="1154">
        <f t="shared" si="597"/>
        <v>0</v>
      </c>
      <c r="FL163" s="1154">
        <f t="shared" si="598"/>
        <v>0</v>
      </c>
      <c r="FM163" s="1154">
        <f t="shared" si="599"/>
        <v>0</v>
      </c>
      <c r="FN163" s="1154">
        <f t="shared" si="600"/>
        <v>0</v>
      </c>
      <c r="FO163" s="1154">
        <f t="shared" si="601"/>
        <v>0</v>
      </c>
      <c r="FP163" s="1154">
        <f t="shared" si="602"/>
        <v>0</v>
      </c>
      <c r="FQ163" s="1154">
        <f t="shared" si="603"/>
        <v>0</v>
      </c>
      <c r="FR163" s="1154">
        <f t="shared" si="604"/>
        <v>0</v>
      </c>
      <c r="FS163" s="1154">
        <f t="shared" si="605"/>
        <v>0</v>
      </c>
      <c r="FT163" s="1154">
        <f t="shared" si="606"/>
        <v>0</v>
      </c>
      <c r="FU163" s="1154">
        <f t="shared" si="607"/>
        <v>0</v>
      </c>
      <c r="FV163" s="1154">
        <f t="shared" si="608"/>
        <v>0</v>
      </c>
      <c r="FW163" s="1154">
        <f t="shared" si="609"/>
        <v>0</v>
      </c>
      <c r="FX163" s="1154">
        <f t="shared" si="610"/>
        <v>0</v>
      </c>
      <c r="FY163" s="1154">
        <f t="shared" si="611"/>
        <v>0</v>
      </c>
      <c r="FZ163" s="1154">
        <f t="shared" si="612"/>
        <v>0</v>
      </c>
      <c r="GA163" s="1154">
        <f t="shared" si="613"/>
        <v>0</v>
      </c>
      <c r="GB163" s="1154">
        <f t="shared" si="614"/>
        <v>0</v>
      </c>
      <c r="GC163" s="1154">
        <f t="shared" si="615"/>
        <v>0</v>
      </c>
      <c r="GD163" s="1154">
        <f t="shared" si="616"/>
        <v>0</v>
      </c>
      <c r="GE163" s="1154">
        <f t="shared" si="617"/>
        <v>0</v>
      </c>
      <c r="GF163" s="1154">
        <f t="shared" si="618"/>
        <v>0</v>
      </c>
      <c r="GG163" s="1154">
        <f t="shared" si="619"/>
        <v>0</v>
      </c>
      <c r="GH163" s="1154">
        <f t="shared" si="620"/>
        <v>0</v>
      </c>
      <c r="GI163" s="1154">
        <f t="shared" si="621"/>
        <v>0</v>
      </c>
      <c r="GJ163" s="1154">
        <f t="shared" si="622"/>
        <v>0</v>
      </c>
      <c r="GK163" s="1154">
        <f t="shared" si="623"/>
        <v>0</v>
      </c>
      <c r="GL163" s="1174">
        <f t="shared" si="624"/>
        <v>0</v>
      </c>
    </row>
    <row r="164" spans="1:194">
      <c r="B164" s="1290" t="str">
        <f t="shared" si="552"/>
        <v>SACDUOSEBIRR</v>
      </c>
      <c r="C164" s="1289" t="str">
        <f>Prop2021DUOSTariffs!C74</f>
        <v>East Transitional Network ToU Energy Tariff 2</v>
      </c>
      <c r="D164" s="1113" t="str">
        <f>Prop2021DUOSTariffs!D74</f>
        <v>-</v>
      </c>
      <c r="E164" s="1113" t="str">
        <f>Prop2021DUOSTariffs!E74</f>
        <v>SAC</v>
      </c>
      <c r="F164" s="1113" t="str">
        <f>Prop2021DUOSTariffs!F74</f>
        <v>SACS Bus</v>
      </c>
      <c r="G164" s="1113" t="str">
        <f>Prop2021DUOSTariffs!G74</f>
        <v>East</v>
      </c>
      <c r="H164" s="1113" t="str">
        <f>IF(Prop2021DUOSTariffs!H74="","",Prop2021DUOSTariffs!H74)</f>
        <v>EBIRR</v>
      </c>
      <c r="I164" s="1114" t="s">
        <v>798</v>
      </c>
      <c r="J164" s="1114" t="s">
        <v>934</v>
      </c>
      <c r="K164" s="1270"/>
      <c r="L164" s="1233">
        <v>0.10462200000000002</v>
      </c>
      <c r="M164" s="1007"/>
      <c r="N164" s="1007"/>
      <c r="O164" s="1007"/>
      <c r="P164" s="1007"/>
      <c r="Q164" s="1007"/>
      <c r="R164" s="1007"/>
      <c r="S164" s="1007"/>
      <c r="T164" s="1007"/>
      <c r="U164" s="1007"/>
      <c r="V164" s="1007"/>
      <c r="W164" s="1007"/>
      <c r="X164" s="1007"/>
      <c r="Y164" s="1007"/>
      <c r="Z164" s="1007"/>
      <c r="AA164" s="1007"/>
      <c r="AB164" s="1007"/>
      <c r="AC164" s="1007"/>
      <c r="AD164" s="1007"/>
      <c r="AE164" s="1007"/>
      <c r="AF164" s="1007"/>
      <c r="AG164" s="1007"/>
      <c r="AH164" s="1007"/>
      <c r="AI164" s="1233">
        <v>1.2756140745273986E-2</v>
      </c>
      <c r="AJ164" s="1005"/>
      <c r="AK164" s="1005"/>
      <c r="AL164" s="1005"/>
      <c r="AM164" s="1005"/>
      <c r="AN164" s="1005"/>
      <c r="AO164" s="1005"/>
      <c r="AP164" s="1005"/>
      <c r="AQ164" s="1005"/>
      <c r="AR164" s="1005"/>
      <c r="AS164" s="1005"/>
      <c r="AT164" s="1005"/>
      <c r="AU164" s="1006"/>
      <c r="AV164" s="1270"/>
      <c r="AW164" s="1006"/>
      <c r="AX164" s="1006"/>
      <c r="AY164" s="1006"/>
      <c r="AZ164" s="1006"/>
      <c r="BA164" s="1006"/>
      <c r="BB164" s="1006"/>
      <c r="BC164" s="1006"/>
      <c r="BD164" s="1006"/>
      <c r="BE164" s="1006"/>
      <c r="BF164" s="1006"/>
      <c r="BG164" s="1006"/>
      <c r="BH164" s="1006"/>
      <c r="BI164" s="1006"/>
      <c r="BJ164" s="1006"/>
      <c r="BK164" s="1006"/>
      <c r="BL164" s="1006"/>
      <c r="BM164" s="1006"/>
      <c r="BN164" s="1006"/>
      <c r="BO164" s="1006"/>
      <c r="BP164" s="1006"/>
      <c r="BQ164" s="1006"/>
      <c r="BR164" s="1006"/>
      <c r="BS164" s="1006"/>
      <c r="BT164" s="1006"/>
      <c r="BU164" s="1006"/>
      <c r="BV164" s="1006"/>
      <c r="BW164" s="1006"/>
      <c r="BX164" s="1006"/>
      <c r="BY164" s="1006"/>
      <c r="BZ164" s="1006"/>
      <c r="CA164" s="1006"/>
      <c r="CB164" s="1006"/>
      <c r="CC164" s="1006"/>
      <c r="CD164" s="1006"/>
      <c r="CE164" s="1006"/>
      <c r="CF164" s="1006"/>
      <c r="CG164" s="1209"/>
      <c r="CH164" s="1236">
        <v>0</v>
      </c>
      <c r="CI164" s="1007"/>
      <c r="CJ164" s="1007"/>
      <c r="CK164" s="1007"/>
      <c r="CL164" s="1007"/>
      <c r="CM164" s="1007"/>
      <c r="CN164" s="1007"/>
      <c r="CO164" s="1007"/>
      <c r="CP164" s="1007"/>
      <c r="CQ164" s="1007"/>
      <c r="CR164" s="1007"/>
      <c r="CS164" s="1007"/>
      <c r="CT164" s="1007"/>
      <c r="CU164" s="1007"/>
      <c r="CV164" s="1007"/>
      <c r="CW164" s="1007"/>
      <c r="CX164" s="1007"/>
      <c r="CY164" s="1007"/>
      <c r="CZ164" s="1007"/>
      <c r="DA164" s="1007"/>
      <c r="DB164" s="1007"/>
      <c r="DC164" s="1007"/>
      <c r="DD164" s="1007"/>
      <c r="DE164" s="1236">
        <v>0</v>
      </c>
      <c r="DF164" s="1007"/>
      <c r="DG164" s="1007"/>
      <c r="DH164" s="1007"/>
      <c r="DI164" s="1006"/>
      <c r="DJ164" s="1006"/>
      <c r="DK164" s="1007"/>
      <c r="DL164" s="1007"/>
      <c r="DM164" s="1007"/>
      <c r="DN164" s="1007"/>
      <c r="DO164" s="1112"/>
      <c r="DP164" s="1112"/>
      <c r="DQ164" s="1270"/>
      <c r="DR164" s="1154">
        <f t="shared" si="553"/>
        <v>0</v>
      </c>
      <c r="DS164" s="1154">
        <f t="shared" si="554"/>
        <v>0</v>
      </c>
      <c r="DT164" s="1154">
        <f t="shared" si="555"/>
        <v>0</v>
      </c>
      <c r="DU164" s="1154">
        <f t="shared" si="556"/>
        <v>0</v>
      </c>
      <c r="DV164" s="1154">
        <f t="shared" si="557"/>
        <v>0</v>
      </c>
      <c r="DW164" s="1154">
        <f t="shared" si="558"/>
        <v>0</v>
      </c>
      <c r="DX164" s="1154">
        <f t="shared" si="559"/>
        <v>0</v>
      </c>
      <c r="DY164" s="1154">
        <f t="shared" si="560"/>
        <v>0</v>
      </c>
      <c r="DZ164" s="1154">
        <f t="shared" si="561"/>
        <v>0</v>
      </c>
      <c r="EA164" s="1154">
        <f t="shared" si="562"/>
        <v>0</v>
      </c>
      <c r="EB164" s="1154">
        <f t="shared" si="563"/>
        <v>0</v>
      </c>
      <c r="EC164" s="1154">
        <f t="shared" si="564"/>
        <v>0</v>
      </c>
      <c r="ED164" s="1154">
        <f t="shared" si="565"/>
        <v>0</v>
      </c>
      <c r="EE164" s="1154">
        <f t="shared" si="566"/>
        <v>0</v>
      </c>
      <c r="EF164" s="1154">
        <f t="shared" si="567"/>
        <v>0</v>
      </c>
      <c r="EG164" s="1154">
        <f t="shared" si="568"/>
        <v>0</v>
      </c>
      <c r="EH164" s="1154">
        <f t="shared" si="569"/>
        <v>0</v>
      </c>
      <c r="EI164" s="1154">
        <f t="shared" si="570"/>
        <v>0</v>
      </c>
      <c r="EJ164" s="1154">
        <f t="shared" si="571"/>
        <v>0</v>
      </c>
      <c r="EK164" s="1154">
        <f t="shared" si="572"/>
        <v>0</v>
      </c>
      <c r="EL164" s="1154">
        <f t="shared" si="573"/>
        <v>0</v>
      </c>
      <c r="EM164" s="1154">
        <f t="shared" si="574"/>
        <v>0</v>
      </c>
      <c r="EN164" s="1154">
        <f t="shared" si="575"/>
        <v>0</v>
      </c>
      <c r="EO164" s="1154">
        <f t="shared" si="576"/>
        <v>0</v>
      </c>
      <c r="EP164" s="1154">
        <f t="shared" si="577"/>
        <v>0</v>
      </c>
      <c r="EQ164" s="1154">
        <f t="shared" si="578"/>
        <v>0</v>
      </c>
      <c r="ER164" s="1154">
        <f t="shared" si="579"/>
        <v>0</v>
      </c>
      <c r="ES164" s="1154">
        <f t="shared" si="580"/>
        <v>0</v>
      </c>
      <c r="ET164" s="1154">
        <f t="shared" si="581"/>
        <v>0</v>
      </c>
      <c r="EU164" s="1154">
        <f t="shared" si="582"/>
        <v>0</v>
      </c>
      <c r="EV164" s="1154">
        <f t="shared" si="583"/>
        <v>0</v>
      </c>
      <c r="EW164" s="1154">
        <f t="shared" si="584"/>
        <v>0</v>
      </c>
      <c r="EX164" s="1154">
        <f t="shared" si="585"/>
        <v>0</v>
      </c>
      <c r="EY164" s="1154">
        <f t="shared" si="586"/>
        <v>0</v>
      </c>
      <c r="EZ164" s="1154">
        <f t="shared" si="587"/>
        <v>0</v>
      </c>
      <c r="FA164" s="1174">
        <f t="shared" si="588"/>
        <v>0</v>
      </c>
      <c r="FC164" s="1154">
        <f t="shared" si="589"/>
        <v>0</v>
      </c>
      <c r="FD164" s="1154">
        <f t="shared" si="590"/>
        <v>0</v>
      </c>
      <c r="FE164" s="1154">
        <f t="shared" si="591"/>
        <v>0</v>
      </c>
      <c r="FF164" s="1154">
        <f t="shared" si="592"/>
        <v>0</v>
      </c>
      <c r="FG164" s="1154">
        <f t="shared" si="593"/>
        <v>0</v>
      </c>
      <c r="FH164" s="1154">
        <f t="shared" si="594"/>
        <v>0</v>
      </c>
      <c r="FI164" s="1154">
        <f t="shared" si="595"/>
        <v>0</v>
      </c>
      <c r="FJ164" s="1154">
        <f t="shared" si="596"/>
        <v>0</v>
      </c>
      <c r="FK164" s="1154">
        <f t="shared" si="597"/>
        <v>0</v>
      </c>
      <c r="FL164" s="1154">
        <f t="shared" si="598"/>
        <v>0</v>
      </c>
      <c r="FM164" s="1154">
        <f t="shared" si="599"/>
        <v>0</v>
      </c>
      <c r="FN164" s="1154">
        <f t="shared" si="600"/>
        <v>0</v>
      </c>
      <c r="FO164" s="1154">
        <f t="shared" si="601"/>
        <v>0</v>
      </c>
      <c r="FP164" s="1154">
        <f t="shared" si="602"/>
        <v>0</v>
      </c>
      <c r="FQ164" s="1154">
        <f t="shared" si="603"/>
        <v>0</v>
      </c>
      <c r="FR164" s="1154">
        <f t="shared" si="604"/>
        <v>0</v>
      </c>
      <c r="FS164" s="1154">
        <f t="shared" si="605"/>
        <v>0</v>
      </c>
      <c r="FT164" s="1154">
        <f t="shared" si="606"/>
        <v>0</v>
      </c>
      <c r="FU164" s="1154">
        <f t="shared" si="607"/>
        <v>0</v>
      </c>
      <c r="FV164" s="1154">
        <f t="shared" si="608"/>
        <v>0</v>
      </c>
      <c r="FW164" s="1154">
        <f t="shared" si="609"/>
        <v>0</v>
      </c>
      <c r="FX164" s="1154">
        <f t="shared" si="610"/>
        <v>0</v>
      </c>
      <c r="FY164" s="1154">
        <f t="shared" si="611"/>
        <v>0</v>
      </c>
      <c r="FZ164" s="1154">
        <f t="shared" si="612"/>
        <v>0</v>
      </c>
      <c r="GA164" s="1154">
        <f t="shared" si="613"/>
        <v>0</v>
      </c>
      <c r="GB164" s="1154">
        <f t="shared" si="614"/>
        <v>0</v>
      </c>
      <c r="GC164" s="1154">
        <f t="shared" si="615"/>
        <v>0</v>
      </c>
      <c r="GD164" s="1154">
        <f t="shared" si="616"/>
        <v>0</v>
      </c>
      <c r="GE164" s="1154">
        <f t="shared" si="617"/>
        <v>0</v>
      </c>
      <c r="GF164" s="1154">
        <f t="shared" si="618"/>
        <v>0</v>
      </c>
      <c r="GG164" s="1154">
        <f t="shared" si="619"/>
        <v>0</v>
      </c>
      <c r="GH164" s="1154">
        <f t="shared" si="620"/>
        <v>0</v>
      </c>
      <c r="GI164" s="1154">
        <f t="shared" si="621"/>
        <v>0</v>
      </c>
      <c r="GJ164" s="1154">
        <f t="shared" si="622"/>
        <v>0</v>
      </c>
      <c r="GK164" s="1154">
        <f t="shared" si="623"/>
        <v>0</v>
      </c>
      <c r="GL164" s="1174">
        <f t="shared" si="624"/>
        <v>0</v>
      </c>
    </row>
    <row r="165" spans="1:194">
      <c r="B165" s="1290" t="str">
        <f t="shared" si="552"/>
        <v>SACDUOSEBIRR</v>
      </c>
      <c r="C165" s="1289" t="str">
        <f>C164</f>
        <v>East Transitional Network ToU Energy Tariff 2</v>
      </c>
      <c r="D165" s="1113" t="str">
        <f t="shared" ref="D165:H165" si="629">D164</f>
        <v>-</v>
      </c>
      <c r="E165" s="1113" t="str">
        <f t="shared" ref="E165:G165" si="630">E164</f>
        <v>SAC</v>
      </c>
      <c r="F165" s="1113" t="str">
        <f t="shared" si="630"/>
        <v>SACS Bus</v>
      </c>
      <c r="G165" s="1113" t="str">
        <f t="shared" si="630"/>
        <v>East</v>
      </c>
      <c r="H165" s="1113" t="str">
        <f t="shared" si="629"/>
        <v>EBIRR</v>
      </c>
      <c r="I165" s="1114" t="s">
        <v>752</v>
      </c>
      <c r="J165" s="1114" t="s">
        <v>934</v>
      </c>
      <c r="K165" s="1270"/>
      <c r="L165" s="1233">
        <v>0.17445225</v>
      </c>
      <c r="M165" s="1007"/>
      <c r="N165" s="1007"/>
      <c r="O165" s="1007"/>
      <c r="P165" s="1007"/>
      <c r="Q165" s="1007"/>
      <c r="R165" s="1007"/>
      <c r="S165" s="1007"/>
      <c r="T165" s="1007"/>
      <c r="U165" s="1007"/>
      <c r="V165" s="1007"/>
      <c r="W165" s="1007"/>
      <c r="X165" s="1007"/>
      <c r="Y165" s="1007"/>
      <c r="Z165" s="1007"/>
      <c r="AA165" s="1007"/>
      <c r="AB165" s="1007"/>
      <c r="AC165" s="1007"/>
      <c r="AD165" s="1007"/>
      <c r="AE165" s="1007"/>
      <c r="AF165" s="1007"/>
      <c r="AG165" s="1007"/>
      <c r="AH165" s="1007"/>
      <c r="AI165" s="1233">
        <v>1.3580961239131205E-2</v>
      </c>
      <c r="AJ165" s="1005"/>
      <c r="AK165" s="1005"/>
      <c r="AL165" s="1005"/>
      <c r="AM165" s="1005"/>
      <c r="AN165" s="1005"/>
      <c r="AO165" s="1005"/>
      <c r="AP165" s="1005"/>
      <c r="AQ165" s="1005"/>
      <c r="AR165" s="1005"/>
      <c r="AS165" s="1005"/>
      <c r="AT165" s="1005"/>
      <c r="AU165" s="1006"/>
      <c r="AV165" s="1270"/>
      <c r="AW165" s="1006"/>
      <c r="AX165" s="1006"/>
      <c r="AY165" s="1006"/>
      <c r="AZ165" s="1006"/>
      <c r="BA165" s="1006"/>
      <c r="BB165" s="1006"/>
      <c r="BC165" s="1006"/>
      <c r="BD165" s="1006"/>
      <c r="BE165" s="1006"/>
      <c r="BF165" s="1006"/>
      <c r="BG165" s="1006"/>
      <c r="BH165" s="1006"/>
      <c r="BI165" s="1006"/>
      <c r="BJ165" s="1006"/>
      <c r="BK165" s="1006"/>
      <c r="BL165" s="1006"/>
      <c r="BM165" s="1006"/>
      <c r="BN165" s="1006"/>
      <c r="BO165" s="1006"/>
      <c r="BP165" s="1006"/>
      <c r="BQ165" s="1006"/>
      <c r="BR165" s="1006"/>
      <c r="BS165" s="1006"/>
      <c r="BT165" s="1006"/>
      <c r="BU165" s="1006"/>
      <c r="BV165" s="1006"/>
      <c r="BW165" s="1006"/>
      <c r="BX165" s="1006"/>
      <c r="BY165" s="1006"/>
      <c r="BZ165" s="1006"/>
      <c r="CA165" s="1006"/>
      <c r="CB165" s="1006"/>
      <c r="CC165" s="1006"/>
      <c r="CD165" s="1006"/>
      <c r="CE165" s="1006"/>
      <c r="CF165" s="1006"/>
      <c r="CG165" s="1209"/>
      <c r="CH165" s="1236">
        <v>0</v>
      </c>
      <c r="CI165" s="1007"/>
      <c r="CJ165" s="1007"/>
      <c r="CK165" s="1007"/>
      <c r="CL165" s="1007"/>
      <c r="CM165" s="1007"/>
      <c r="CN165" s="1007"/>
      <c r="CO165" s="1007"/>
      <c r="CP165" s="1007"/>
      <c r="CQ165" s="1007"/>
      <c r="CR165" s="1007"/>
      <c r="CS165" s="1007"/>
      <c r="CT165" s="1007"/>
      <c r="CU165" s="1007"/>
      <c r="CV165" s="1007"/>
      <c r="CW165" s="1007"/>
      <c r="CX165" s="1007"/>
      <c r="CY165" s="1007"/>
      <c r="CZ165" s="1007"/>
      <c r="DA165" s="1007"/>
      <c r="DB165" s="1007"/>
      <c r="DC165" s="1007"/>
      <c r="DD165" s="1007"/>
      <c r="DE165" s="1236">
        <v>0</v>
      </c>
      <c r="DF165" s="1007"/>
      <c r="DG165" s="1007"/>
      <c r="DH165" s="1007"/>
      <c r="DI165" s="1006"/>
      <c r="DJ165" s="1006"/>
      <c r="DK165" s="1007"/>
      <c r="DL165" s="1007"/>
      <c r="DM165" s="1007"/>
      <c r="DN165" s="1007"/>
      <c r="DO165" s="1112"/>
      <c r="DP165" s="1112"/>
      <c r="DQ165" s="1270"/>
      <c r="DR165" s="1154">
        <f t="shared" si="553"/>
        <v>0</v>
      </c>
      <c r="DS165" s="1154">
        <f t="shared" si="554"/>
        <v>0</v>
      </c>
      <c r="DT165" s="1154">
        <f t="shared" si="555"/>
        <v>0</v>
      </c>
      <c r="DU165" s="1154">
        <f t="shared" si="556"/>
        <v>0</v>
      </c>
      <c r="DV165" s="1154">
        <f t="shared" si="557"/>
        <v>0</v>
      </c>
      <c r="DW165" s="1154">
        <f t="shared" si="558"/>
        <v>0</v>
      </c>
      <c r="DX165" s="1154">
        <f t="shared" si="559"/>
        <v>0</v>
      </c>
      <c r="DY165" s="1154">
        <f t="shared" si="560"/>
        <v>0</v>
      </c>
      <c r="DZ165" s="1154">
        <f t="shared" si="561"/>
        <v>0</v>
      </c>
      <c r="EA165" s="1154">
        <f t="shared" si="562"/>
        <v>0</v>
      </c>
      <c r="EB165" s="1154">
        <f t="shared" si="563"/>
        <v>0</v>
      </c>
      <c r="EC165" s="1154">
        <f t="shared" si="564"/>
        <v>0</v>
      </c>
      <c r="ED165" s="1154">
        <f t="shared" si="565"/>
        <v>0</v>
      </c>
      <c r="EE165" s="1154">
        <f t="shared" si="566"/>
        <v>0</v>
      </c>
      <c r="EF165" s="1154">
        <f t="shared" si="567"/>
        <v>0</v>
      </c>
      <c r="EG165" s="1154">
        <f t="shared" si="568"/>
        <v>0</v>
      </c>
      <c r="EH165" s="1154">
        <f t="shared" si="569"/>
        <v>0</v>
      </c>
      <c r="EI165" s="1154">
        <f t="shared" si="570"/>
        <v>0</v>
      </c>
      <c r="EJ165" s="1154">
        <f t="shared" si="571"/>
        <v>0</v>
      </c>
      <c r="EK165" s="1154">
        <f t="shared" si="572"/>
        <v>0</v>
      </c>
      <c r="EL165" s="1154">
        <f t="shared" si="573"/>
        <v>0</v>
      </c>
      <c r="EM165" s="1154">
        <f t="shared" si="574"/>
        <v>0</v>
      </c>
      <c r="EN165" s="1154">
        <f t="shared" si="575"/>
        <v>0</v>
      </c>
      <c r="EO165" s="1154">
        <f t="shared" si="576"/>
        <v>0</v>
      </c>
      <c r="EP165" s="1154">
        <f t="shared" si="577"/>
        <v>0</v>
      </c>
      <c r="EQ165" s="1154">
        <f t="shared" si="578"/>
        <v>0</v>
      </c>
      <c r="ER165" s="1154">
        <f t="shared" si="579"/>
        <v>0</v>
      </c>
      <c r="ES165" s="1154">
        <f t="shared" si="580"/>
        <v>0</v>
      </c>
      <c r="ET165" s="1154">
        <f t="shared" si="581"/>
        <v>0</v>
      </c>
      <c r="EU165" s="1154">
        <f t="shared" si="582"/>
        <v>0</v>
      </c>
      <c r="EV165" s="1154">
        <f t="shared" si="583"/>
        <v>0</v>
      </c>
      <c r="EW165" s="1154">
        <f t="shared" si="584"/>
        <v>0</v>
      </c>
      <c r="EX165" s="1154">
        <f t="shared" si="585"/>
        <v>0</v>
      </c>
      <c r="EY165" s="1154">
        <f t="shared" si="586"/>
        <v>0</v>
      </c>
      <c r="EZ165" s="1154">
        <f t="shared" si="587"/>
        <v>0</v>
      </c>
      <c r="FA165" s="1174">
        <f t="shared" si="588"/>
        <v>0</v>
      </c>
      <c r="FC165" s="1154">
        <f t="shared" si="589"/>
        <v>0</v>
      </c>
      <c r="FD165" s="1154">
        <f t="shared" si="590"/>
        <v>0</v>
      </c>
      <c r="FE165" s="1154">
        <f t="shared" si="591"/>
        <v>0</v>
      </c>
      <c r="FF165" s="1154">
        <f t="shared" si="592"/>
        <v>0</v>
      </c>
      <c r="FG165" s="1154">
        <f t="shared" si="593"/>
        <v>0</v>
      </c>
      <c r="FH165" s="1154">
        <f t="shared" si="594"/>
        <v>0</v>
      </c>
      <c r="FI165" s="1154">
        <f t="shared" si="595"/>
        <v>0</v>
      </c>
      <c r="FJ165" s="1154">
        <f t="shared" si="596"/>
        <v>0</v>
      </c>
      <c r="FK165" s="1154">
        <f t="shared" si="597"/>
        <v>0</v>
      </c>
      <c r="FL165" s="1154">
        <f t="shared" si="598"/>
        <v>0</v>
      </c>
      <c r="FM165" s="1154">
        <f t="shared" si="599"/>
        <v>0</v>
      </c>
      <c r="FN165" s="1154">
        <f t="shared" si="600"/>
        <v>0</v>
      </c>
      <c r="FO165" s="1154">
        <f t="shared" si="601"/>
        <v>0</v>
      </c>
      <c r="FP165" s="1154">
        <f t="shared" si="602"/>
        <v>0</v>
      </c>
      <c r="FQ165" s="1154">
        <f t="shared" si="603"/>
        <v>0</v>
      </c>
      <c r="FR165" s="1154">
        <f t="shared" si="604"/>
        <v>0</v>
      </c>
      <c r="FS165" s="1154">
        <f t="shared" si="605"/>
        <v>0</v>
      </c>
      <c r="FT165" s="1154">
        <f t="shared" si="606"/>
        <v>0</v>
      </c>
      <c r="FU165" s="1154">
        <f t="shared" si="607"/>
        <v>0</v>
      </c>
      <c r="FV165" s="1154">
        <f t="shared" si="608"/>
        <v>0</v>
      </c>
      <c r="FW165" s="1154">
        <f t="shared" si="609"/>
        <v>0</v>
      </c>
      <c r="FX165" s="1154">
        <f t="shared" si="610"/>
        <v>0</v>
      </c>
      <c r="FY165" s="1154">
        <f t="shared" si="611"/>
        <v>0</v>
      </c>
      <c r="FZ165" s="1154">
        <f t="shared" si="612"/>
        <v>0</v>
      </c>
      <c r="GA165" s="1154">
        <f t="shared" si="613"/>
        <v>0</v>
      </c>
      <c r="GB165" s="1154">
        <f t="shared" si="614"/>
        <v>0</v>
      </c>
      <c r="GC165" s="1154">
        <f t="shared" si="615"/>
        <v>0</v>
      </c>
      <c r="GD165" s="1154">
        <f t="shared" si="616"/>
        <v>0</v>
      </c>
      <c r="GE165" s="1154">
        <f t="shared" si="617"/>
        <v>0</v>
      </c>
      <c r="GF165" s="1154">
        <f t="shared" si="618"/>
        <v>0</v>
      </c>
      <c r="GG165" s="1154">
        <f t="shared" si="619"/>
        <v>0</v>
      </c>
      <c r="GH165" s="1154">
        <f t="shared" si="620"/>
        <v>0</v>
      </c>
      <c r="GI165" s="1154">
        <f t="shared" si="621"/>
        <v>0</v>
      </c>
      <c r="GJ165" s="1154">
        <f t="shared" si="622"/>
        <v>0</v>
      </c>
      <c r="GK165" s="1154">
        <f t="shared" si="623"/>
        <v>0</v>
      </c>
      <c r="GL165" s="1174">
        <f t="shared" si="624"/>
        <v>0</v>
      </c>
    </row>
    <row r="166" spans="1:194">
      <c r="B166" s="1290" t="str">
        <f t="shared" si="552"/>
        <v>SACDUOSEBIRR</v>
      </c>
      <c r="C166" s="1289" t="str">
        <f t="shared" ref="C166:H166" si="631">C165</f>
        <v>East Transitional Network ToU Energy Tariff 2</v>
      </c>
      <c r="D166" s="1113" t="str">
        <f t="shared" si="631"/>
        <v>-</v>
      </c>
      <c r="E166" s="1113" t="str">
        <f t="shared" ref="E166:G166" si="632">E165</f>
        <v>SAC</v>
      </c>
      <c r="F166" s="1113" t="str">
        <f t="shared" si="632"/>
        <v>SACS Bus</v>
      </c>
      <c r="G166" s="1113" t="str">
        <f t="shared" si="632"/>
        <v>East</v>
      </c>
      <c r="H166" s="1113" t="str">
        <f t="shared" si="631"/>
        <v>EBIRR</v>
      </c>
      <c r="I166" s="1114" t="s">
        <v>759</v>
      </c>
      <c r="J166" s="1114" t="s">
        <v>934</v>
      </c>
      <c r="K166" s="1270"/>
      <c r="L166" s="1233">
        <v>0.28228199999999998</v>
      </c>
      <c r="M166" s="1007"/>
      <c r="N166" s="1007"/>
      <c r="O166" s="1007"/>
      <c r="P166" s="1007"/>
      <c r="Q166" s="1007"/>
      <c r="R166" s="1007"/>
      <c r="S166" s="1007"/>
      <c r="T166" s="1007"/>
      <c r="U166" s="1007"/>
      <c r="V166" s="1007"/>
      <c r="W166" s="1007"/>
      <c r="X166" s="1007"/>
      <c r="Y166" s="1007"/>
      <c r="Z166" s="1007"/>
      <c r="AA166" s="1007"/>
      <c r="AB166" s="1007"/>
      <c r="AC166" s="1007"/>
      <c r="AD166" s="1007"/>
      <c r="AE166" s="1007"/>
      <c r="AF166" s="1007"/>
      <c r="AG166" s="1007"/>
      <c r="AH166" s="1007"/>
      <c r="AI166" s="1233">
        <v>1.4121324100704864E-2</v>
      </c>
      <c r="AJ166" s="1005"/>
      <c r="AK166" s="1005"/>
      <c r="AL166" s="1005"/>
      <c r="AM166" s="1005"/>
      <c r="AN166" s="1005"/>
      <c r="AO166" s="1005"/>
      <c r="AP166" s="1005"/>
      <c r="AQ166" s="1005"/>
      <c r="AR166" s="1005"/>
      <c r="AS166" s="1005"/>
      <c r="AT166" s="1005"/>
      <c r="AU166" s="1006"/>
      <c r="AV166" s="1270"/>
      <c r="AW166" s="1006"/>
      <c r="AX166" s="1006"/>
      <c r="AY166" s="1006"/>
      <c r="AZ166" s="1006"/>
      <c r="BA166" s="1006"/>
      <c r="BB166" s="1006"/>
      <c r="BC166" s="1006"/>
      <c r="BD166" s="1006"/>
      <c r="BE166" s="1006"/>
      <c r="BF166" s="1006"/>
      <c r="BG166" s="1006"/>
      <c r="BH166" s="1006"/>
      <c r="BI166" s="1006"/>
      <c r="BJ166" s="1006"/>
      <c r="BK166" s="1006"/>
      <c r="BL166" s="1006"/>
      <c r="BM166" s="1006"/>
      <c r="BN166" s="1006"/>
      <c r="BO166" s="1006"/>
      <c r="BP166" s="1006"/>
      <c r="BQ166" s="1006"/>
      <c r="BR166" s="1006"/>
      <c r="BS166" s="1006"/>
      <c r="BT166" s="1006"/>
      <c r="BU166" s="1006"/>
      <c r="BV166" s="1006"/>
      <c r="BW166" s="1006"/>
      <c r="BX166" s="1006"/>
      <c r="BY166" s="1006"/>
      <c r="BZ166" s="1006"/>
      <c r="CA166" s="1006"/>
      <c r="CB166" s="1006"/>
      <c r="CC166" s="1006"/>
      <c r="CD166" s="1006"/>
      <c r="CE166" s="1006"/>
      <c r="CF166" s="1006"/>
      <c r="CG166" s="1209"/>
      <c r="CH166" s="1236">
        <v>0</v>
      </c>
      <c r="CI166" s="1007"/>
      <c r="CJ166" s="1007"/>
      <c r="CK166" s="1007"/>
      <c r="CL166" s="1007"/>
      <c r="CM166" s="1007"/>
      <c r="CN166" s="1007"/>
      <c r="CO166" s="1007"/>
      <c r="CP166" s="1007"/>
      <c r="CQ166" s="1007"/>
      <c r="CR166" s="1007"/>
      <c r="CS166" s="1007"/>
      <c r="CT166" s="1007"/>
      <c r="CU166" s="1007"/>
      <c r="CV166" s="1007"/>
      <c r="CW166" s="1007"/>
      <c r="CX166" s="1007"/>
      <c r="CY166" s="1007"/>
      <c r="CZ166" s="1007"/>
      <c r="DA166" s="1007"/>
      <c r="DB166" s="1007"/>
      <c r="DC166" s="1007"/>
      <c r="DD166" s="1007"/>
      <c r="DE166" s="1236">
        <v>0</v>
      </c>
      <c r="DF166" s="1007"/>
      <c r="DG166" s="1007"/>
      <c r="DH166" s="1007"/>
      <c r="DI166" s="1006"/>
      <c r="DJ166" s="1006"/>
      <c r="DK166" s="1007"/>
      <c r="DL166" s="1007"/>
      <c r="DM166" s="1007"/>
      <c r="DN166" s="1007"/>
      <c r="DO166" s="1112"/>
      <c r="DP166" s="1112"/>
      <c r="DQ166" s="1270"/>
      <c r="DR166" s="1154">
        <f t="shared" si="553"/>
        <v>0</v>
      </c>
      <c r="DS166" s="1154">
        <f t="shared" si="554"/>
        <v>0</v>
      </c>
      <c r="DT166" s="1154">
        <f t="shared" si="555"/>
        <v>0</v>
      </c>
      <c r="DU166" s="1154">
        <f t="shared" si="556"/>
        <v>0</v>
      </c>
      <c r="DV166" s="1154">
        <f t="shared" si="557"/>
        <v>0</v>
      </c>
      <c r="DW166" s="1154">
        <f t="shared" si="558"/>
        <v>0</v>
      </c>
      <c r="DX166" s="1154">
        <f t="shared" si="559"/>
        <v>0</v>
      </c>
      <c r="DY166" s="1154">
        <f t="shared" si="560"/>
        <v>0</v>
      </c>
      <c r="DZ166" s="1154">
        <f t="shared" si="561"/>
        <v>0</v>
      </c>
      <c r="EA166" s="1154">
        <f t="shared" si="562"/>
        <v>0</v>
      </c>
      <c r="EB166" s="1154">
        <f t="shared" si="563"/>
        <v>0</v>
      </c>
      <c r="EC166" s="1154">
        <f t="shared" si="564"/>
        <v>0</v>
      </c>
      <c r="ED166" s="1154">
        <f t="shared" si="565"/>
        <v>0</v>
      </c>
      <c r="EE166" s="1154">
        <f t="shared" si="566"/>
        <v>0</v>
      </c>
      <c r="EF166" s="1154">
        <f t="shared" si="567"/>
        <v>0</v>
      </c>
      <c r="EG166" s="1154">
        <f t="shared" si="568"/>
        <v>0</v>
      </c>
      <c r="EH166" s="1154">
        <f t="shared" si="569"/>
        <v>0</v>
      </c>
      <c r="EI166" s="1154">
        <f t="shared" si="570"/>
        <v>0</v>
      </c>
      <c r="EJ166" s="1154">
        <f t="shared" si="571"/>
        <v>0</v>
      </c>
      <c r="EK166" s="1154">
        <f t="shared" si="572"/>
        <v>0</v>
      </c>
      <c r="EL166" s="1154">
        <f t="shared" si="573"/>
        <v>0</v>
      </c>
      <c r="EM166" s="1154">
        <f t="shared" si="574"/>
        <v>0</v>
      </c>
      <c r="EN166" s="1154">
        <f t="shared" si="575"/>
        <v>0</v>
      </c>
      <c r="EO166" s="1154">
        <f t="shared" si="576"/>
        <v>0</v>
      </c>
      <c r="EP166" s="1154">
        <f t="shared" si="577"/>
        <v>0</v>
      </c>
      <c r="EQ166" s="1154">
        <f t="shared" si="578"/>
        <v>0</v>
      </c>
      <c r="ER166" s="1154">
        <f t="shared" si="579"/>
        <v>0</v>
      </c>
      <c r="ES166" s="1154">
        <f t="shared" si="580"/>
        <v>0</v>
      </c>
      <c r="ET166" s="1154">
        <f t="shared" si="581"/>
        <v>0</v>
      </c>
      <c r="EU166" s="1154">
        <f t="shared" si="582"/>
        <v>0</v>
      </c>
      <c r="EV166" s="1154">
        <f t="shared" si="583"/>
        <v>0</v>
      </c>
      <c r="EW166" s="1154">
        <f t="shared" si="584"/>
        <v>0</v>
      </c>
      <c r="EX166" s="1154">
        <f t="shared" si="585"/>
        <v>0</v>
      </c>
      <c r="EY166" s="1154">
        <f t="shared" si="586"/>
        <v>0</v>
      </c>
      <c r="EZ166" s="1154">
        <f t="shared" si="587"/>
        <v>0</v>
      </c>
      <c r="FA166" s="1174">
        <f t="shared" si="588"/>
        <v>0</v>
      </c>
      <c r="FC166" s="1154">
        <f t="shared" si="589"/>
        <v>0</v>
      </c>
      <c r="FD166" s="1154">
        <f t="shared" si="590"/>
        <v>0</v>
      </c>
      <c r="FE166" s="1154">
        <f t="shared" si="591"/>
        <v>0</v>
      </c>
      <c r="FF166" s="1154">
        <f t="shared" si="592"/>
        <v>0</v>
      </c>
      <c r="FG166" s="1154">
        <f t="shared" si="593"/>
        <v>0</v>
      </c>
      <c r="FH166" s="1154">
        <f t="shared" si="594"/>
        <v>0</v>
      </c>
      <c r="FI166" s="1154">
        <f t="shared" si="595"/>
        <v>0</v>
      </c>
      <c r="FJ166" s="1154">
        <f t="shared" si="596"/>
        <v>0</v>
      </c>
      <c r="FK166" s="1154">
        <f t="shared" si="597"/>
        <v>0</v>
      </c>
      <c r="FL166" s="1154">
        <f t="shared" si="598"/>
        <v>0</v>
      </c>
      <c r="FM166" s="1154">
        <f t="shared" si="599"/>
        <v>0</v>
      </c>
      <c r="FN166" s="1154">
        <f t="shared" si="600"/>
        <v>0</v>
      </c>
      <c r="FO166" s="1154">
        <f t="shared" si="601"/>
        <v>0</v>
      </c>
      <c r="FP166" s="1154">
        <f t="shared" si="602"/>
        <v>0</v>
      </c>
      <c r="FQ166" s="1154">
        <f t="shared" si="603"/>
        <v>0</v>
      </c>
      <c r="FR166" s="1154">
        <f t="shared" si="604"/>
        <v>0</v>
      </c>
      <c r="FS166" s="1154">
        <f t="shared" si="605"/>
        <v>0</v>
      </c>
      <c r="FT166" s="1154">
        <f t="shared" si="606"/>
        <v>0</v>
      </c>
      <c r="FU166" s="1154">
        <f t="shared" si="607"/>
        <v>0</v>
      </c>
      <c r="FV166" s="1154">
        <f t="shared" si="608"/>
        <v>0</v>
      </c>
      <c r="FW166" s="1154">
        <f t="shared" si="609"/>
        <v>0</v>
      </c>
      <c r="FX166" s="1154">
        <f t="shared" si="610"/>
        <v>0</v>
      </c>
      <c r="FY166" s="1154">
        <f t="shared" si="611"/>
        <v>0</v>
      </c>
      <c r="FZ166" s="1154">
        <f t="shared" si="612"/>
        <v>0</v>
      </c>
      <c r="GA166" s="1154">
        <f t="shared" si="613"/>
        <v>0</v>
      </c>
      <c r="GB166" s="1154">
        <f t="shared" si="614"/>
        <v>0</v>
      </c>
      <c r="GC166" s="1154">
        <f t="shared" si="615"/>
        <v>0</v>
      </c>
      <c r="GD166" s="1154">
        <f t="shared" si="616"/>
        <v>0</v>
      </c>
      <c r="GE166" s="1154">
        <f t="shared" si="617"/>
        <v>0</v>
      </c>
      <c r="GF166" s="1154">
        <f t="shared" si="618"/>
        <v>0</v>
      </c>
      <c r="GG166" s="1154">
        <f t="shared" si="619"/>
        <v>0</v>
      </c>
      <c r="GH166" s="1154">
        <f t="shared" si="620"/>
        <v>0</v>
      </c>
      <c r="GI166" s="1154">
        <f t="shared" si="621"/>
        <v>0</v>
      </c>
      <c r="GJ166" s="1154">
        <f t="shared" si="622"/>
        <v>0</v>
      </c>
      <c r="GK166" s="1154">
        <f t="shared" si="623"/>
        <v>0</v>
      </c>
      <c r="GL166" s="1174">
        <f t="shared" si="624"/>
        <v>0</v>
      </c>
    </row>
    <row r="167" spans="1:194">
      <c r="B167" s="1290" t="str">
        <f t="shared" si="552"/>
        <v>SACDUOSEBPMP</v>
      </c>
      <c r="C167" s="1289" t="str">
        <f>Prop2021DUOSTariffs!C75</f>
        <v>East Transitional Network Dual Rate Demand Tariff 3</v>
      </c>
      <c r="D167" s="1113" t="str">
        <f>Prop2021DUOSTariffs!D75</f>
        <v>-</v>
      </c>
      <c r="E167" s="1113" t="str">
        <f>Prop2021DUOSTariffs!E75</f>
        <v>SAC</v>
      </c>
      <c r="F167" s="1113" t="str">
        <f>Prop2021DUOSTariffs!F75</f>
        <v>SACS Bus</v>
      </c>
      <c r="G167" s="1113" t="str">
        <f>Prop2021DUOSTariffs!G75</f>
        <v>East</v>
      </c>
      <c r="H167" s="1113" t="str">
        <f>IF(Prop2021DUOSTariffs!H75="","",Prop2021DUOSTariffs!H75)</f>
        <v>EBPMP</v>
      </c>
      <c r="I167" s="1114" t="s">
        <v>798</v>
      </c>
      <c r="J167" s="1114" t="s">
        <v>934</v>
      </c>
      <c r="K167" s="1270"/>
      <c r="L167" s="1233">
        <v>0.10462200000000002</v>
      </c>
      <c r="M167" s="1007"/>
      <c r="N167" s="1007"/>
      <c r="O167" s="1007"/>
      <c r="P167" s="1007"/>
      <c r="Q167" s="1007"/>
      <c r="R167" s="1007"/>
      <c r="S167" s="1007"/>
      <c r="T167" s="1007"/>
      <c r="U167" s="1007"/>
      <c r="V167" s="1007"/>
      <c r="W167" s="1007"/>
      <c r="X167" s="1007"/>
      <c r="Y167" s="1007"/>
      <c r="Z167" s="1007"/>
      <c r="AA167" s="1007"/>
      <c r="AB167" s="1007"/>
      <c r="AC167" s="1007"/>
      <c r="AD167" s="1007"/>
      <c r="AE167" s="1007"/>
      <c r="AF167" s="1007"/>
      <c r="AG167" s="1007"/>
      <c r="AH167" s="1007"/>
      <c r="AI167" s="1233">
        <v>1.2756140745273986E-2</v>
      </c>
      <c r="AJ167" s="1005"/>
      <c r="AK167" s="1005"/>
      <c r="AL167" s="1005"/>
      <c r="AM167" s="1005"/>
      <c r="AN167" s="1005"/>
      <c r="AO167" s="1005"/>
      <c r="AP167" s="1005"/>
      <c r="AQ167" s="1005"/>
      <c r="AR167" s="1005"/>
      <c r="AS167" s="1005"/>
      <c r="AT167" s="1005"/>
      <c r="AU167" s="1006"/>
      <c r="AV167" s="1270"/>
      <c r="AW167" s="1006"/>
      <c r="AX167" s="1006"/>
      <c r="AY167" s="1006"/>
      <c r="AZ167" s="1006"/>
      <c r="BA167" s="1006"/>
      <c r="BB167" s="1006"/>
      <c r="BC167" s="1006"/>
      <c r="BD167" s="1006"/>
      <c r="BE167" s="1006"/>
      <c r="BF167" s="1006"/>
      <c r="BG167" s="1006"/>
      <c r="BH167" s="1006"/>
      <c r="BI167" s="1006"/>
      <c r="BJ167" s="1006"/>
      <c r="BK167" s="1006"/>
      <c r="BL167" s="1006"/>
      <c r="BM167" s="1006"/>
      <c r="BN167" s="1006"/>
      <c r="BO167" s="1006"/>
      <c r="BP167" s="1006"/>
      <c r="BQ167" s="1006"/>
      <c r="BR167" s="1006"/>
      <c r="BS167" s="1006"/>
      <c r="BT167" s="1006"/>
      <c r="BU167" s="1006"/>
      <c r="BV167" s="1006"/>
      <c r="BW167" s="1006"/>
      <c r="BX167" s="1006"/>
      <c r="BY167" s="1006"/>
      <c r="BZ167" s="1006"/>
      <c r="CA167" s="1006"/>
      <c r="CB167" s="1006"/>
      <c r="CC167" s="1006"/>
      <c r="CD167" s="1006"/>
      <c r="CE167" s="1006"/>
      <c r="CF167" s="1006"/>
      <c r="CG167" s="1209"/>
      <c r="CH167" s="1236">
        <v>0</v>
      </c>
      <c r="CI167" s="1007"/>
      <c r="CJ167" s="1007"/>
      <c r="CK167" s="1007"/>
      <c r="CL167" s="1007"/>
      <c r="CM167" s="1007"/>
      <c r="CN167" s="1007"/>
      <c r="CO167" s="1007"/>
      <c r="CP167" s="1007"/>
      <c r="CQ167" s="1007"/>
      <c r="CR167" s="1007"/>
      <c r="CS167" s="1007"/>
      <c r="CT167" s="1007"/>
      <c r="CU167" s="1007"/>
      <c r="CV167" s="1007"/>
      <c r="CW167" s="1007"/>
      <c r="CX167" s="1007"/>
      <c r="CY167" s="1007"/>
      <c r="CZ167" s="1007"/>
      <c r="DA167" s="1007"/>
      <c r="DB167" s="1007"/>
      <c r="DC167" s="1007"/>
      <c r="DD167" s="1007"/>
      <c r="DE167" s="1236">
        <v>0</v>
      </c>
      <c r="DF167" s="1007"/>
      <c r="DG167" s="1007"/>
      <c r="DH167" s="1007"/>
      <c r="DI167" s="1006"/>
      <c r="DJ167" s="1006"/>
      <c r="DK167" s="1007"/>
      <c r="DL167" s="1007"/>
      <c r="DM167" s="1007"/>
      <c r="DN167" s="1007"/>
      <c r="DO167" s="1112"/>
      <c r="DP167" s="1112"/>
      <c r="DQ167" s="1270"/>
      <c r="DR167" s="1154">
        <f t="shared" si="553"/>
        <v>0</v>
      </c>
      <c r="DS167" s="1154">
        <f t="shared" si="554"/>
        <v>0</v>
      </c>
      <c r="DT167" s="1154">
        <f t="shared" si="555"/>
        <v>0</v>
      </c>
      <c r="DU167" s="1154">
        <f t="shared" si="556"/>
        <v>0</v>
      </c>
      <c r="DV167" s="1154">
        <f t="shared" si="557"/>
        <v>0</v>
      </c>
      <c r="DW167" s="1154">
        <f t="shared" si="558"/>
        <v>0</v>
      </c>
      <c r="DX167" s="1154">
        <f t="shared" si="559"/>
        <v>0</v>
      </c>
      <c r="DY167" s="1154">
        <f t="shared" si="560"/>
        <v>0</v>
      </c>
      <c r="DZ167" s="1154">
        <f t="shared" si="561"/>
        <v>0</v>
      </c>
      <c r="EA167" s="1154">
        <f t="shared" si="562"/>
        <v>0</v>
      </c>
      <c r="EB167" s="1154">
        <f t="shared" si="563"/>
        <v>0</v>
      </c>
      <c r="EC167" s="1154">
        <f t="shared" si="564"/>
        <v>0</v>
      </c>
      <c r="ED167" s="1154">
        <f t="shared" si="565"/>
        <v>0</v>
      </c>
      <c r="EE167" s="1154">
        <f t="shared" si="566"/>
        <v>0</v>
      </c>
      <c r="EF167" s="1154">
        <f t="shared" si="567"/>
        <v>0</v>
      </c>
      <c r="EG167" s="1154">
        <f t="shared" si="568"/>
        <v>0</v>
      </c>
      <c r="EH167" s="1154">
        <f t="shared" si="569"/>
        <v>0</v>
      </c>
      <c r="EI167" s="1154">
        <f t="shared" si="570"/>
        <v>0</v>
      </c>
      <c r="EJ167" s="1154">
        <f t="shared" si="571"/>
        <v>0</v>
      </c>
      <c r="EK167" s="1154">
        <f t="shared" si="572"/>
        <v>0</v>
      </c>
      <c r="EL167" s="1154">
        <f t="shared" si="573"/>
        <v>0</v>
      </c>
      <c r="EM167" s="1154">
        <f t="shared" si="574"/>
        <v>0</v>
      </c>
      <c r="EN167" s="1154">
        <f t="shared" si="575"/>
        <v>0</v>
      </c>
      <c r="EO167" s="1154">
        <f t="shared" si="576"/>
        <v>0</v>
      </c>
      <c r="EP167" s="1154">
        <f t="shared" si="577"/>
        <v>0</v>
      </c>
      <c r="EQ167" s="1154">
        <f t="shared" si="578"/>
        <v>0</v>
      </c>
      <c r="ER167" s="1154">
        <f t="shared" si="579"/>
        <v>0</v>
      </c>
      <c r="ES167" s="1154">
        <f t="shared" si="580"/>
        <v>0</v>
      </c>
      <c r="ET167" s="1154">
        <f t="shared" si="581"/>
        <v>0</v>
      </c>
      <c r="EU167" s="1154">
        <f t="shared" si="582"/>
        <v>0</v>
      </c>
      <c r="EV167" s="1154">
        <f t="shared" si="583"/>
        <v>0</v>
      </c>
      <c r="EW167" s="1154">
        <f t="shared" si="584"/>
        <v>0</v>
      </c>
      <c r="EX167" s="1154">
        <f t="shared" si="585"/>
        <v>0</v>
      </c>
      <c r="EY167" s="1154">
        <f t="shared" si="586"/>
        <v>0</v>
      </c>
      <c r="EZ167" s="1154">
        <f t="shared" si="587"/>
        <v>0</v>
      </c>
      <c r="FA167" s="1174">
        <f t="shared" si="588"/>
        <v>0</v>
      </c>
      <c r="FC167" s="1154">
        <f t="shared" si="589"/>
        <v>0</v>
      </c>
      <c r="FD167" s="1154">
        <f t="shared" si="590"/>
        <v>0</v>
      </c>
      <c r="FE167" s="1154">
        <f t="shared" si="591"/>
        <v>0</v>
      </c>
      <c r="FF167" s="1154">
        <f t="shared" si="592"/>
        <v>0</v>
      </c>
      <c r="FG167" s="1154">
        <f t="shared" si="593"/>
        <v>0</v>
      </c>
      <c r="FH167" s="1154">
        <f t="shared" si="594"/>
        <v>0</v>
      </c>
      <c r="FI167" s="1154">
        <f t="shared" si="595"/>
        <v>0</v>
      </c>
      <c r="FJ167" s="1154">
        <f t="shared" si="596"/>
        <v>0</v>
      </c>
      <c r="FK167" s="1154">
        <f t="shared" si="597"/>
        <v>0</v>
      </c>
      <c r="FL167" s="1154">
        <f t="shared" si="598"/>
        <v>0</v>
      </c>
      <c r="FM167" s="1154">
        <f t="shared" si="599"/>
        <v>0</v>
      </c>
      <c r="FN167" s="1154">
        <f t="shared" si="600"/>
        <v>0</v>
      </c>
      <c r="FO167" s="1154">
        <f t="shared" si="601"/>
        <v>0</v>
      </c>
      <c r="FP167" s="1154">
        <f t="shared" si="602"/>
        <v>0</v>
      </c>
      <c r="FQ167" s="1154">
        <f t="shared" si="603"/>
        <v>0</v>
      </c>
      <c r="FR167" s="1154">
        <f t="shared" si="604"/>
        <v>0</v>
      </c>
      <c r="FS167" s="1154">
        <f t="shared" si="605"/>
        <v>0</v>
      </c>
      <c r="FT167" s="1154">
        <f t="shared" si="606"/>
        <v>0</v>
      </c>
      <c r="FU167" s="1154">
        <f t="shared" si="607"/>
        <v>0</v>
      </c>
      <c r="FV167" s="1154">
        <f t="shared" si="608"/>
        <v>0</v>
      </c>
      <c r="FW167" s="1154">
        <f t="shared" si="609"/>
        <v>0</v>
      </c>
      <c r="FX167" s="1154">
        <f t="shared" si="610"/>
        <v>0</v>
      </c>
      <c r="FY167" s="1154">
        <f t="shared" si="611"/>
        <v>0</v>
      </c>
      <c r="FZ167" s="1154">
        <f t="shared" si="612"/>
        <v>0</v>
      </c>
      <c r="GA167" s="1154">
        <f t="shared" si="613"/>
        <v>0</v>
      </c>
      <c r="GB167" s="1154">
        <f t="shared" si="614"/>
        <v>0</v>
      </c>
      <c r="GC167" s="1154">
        <f t="shared" si="615"/>
        <v>0</v>
      </c>
      <c r="GD167" s="1154">
        <f t="shared" si="616"/>
        <v>0</v>
      </c>
      <c r="GE167" s="1154">
        <f t="shared" si="617"/>
        <v>0</v>
      </c>
      <c r="GF167" s="1154">
        <f t="shared" si="618"/>
        <v>0</v>
      </c>
      <c r="GG167" s="1154">
        <f t="shared" si="619"/>
        <v>0</v>
      </c>
      <c r="GH167" s="1154">
        <f t="shared" si="620"/>
        <v>0</v>
      </c>
      <c r="GI167" s="1154">
        <f t="shared" si="621"/>
        <v>0</v>
      </c>
      <c r="GJ167" s="1154">
        <f t="shared" si="622"/>
        <v>0</v>
      </c>
      <c r="GK167" s="1154">
        <f t="shared" si="623"/>
        <v>0</v>
      </c>
      <c r="GL167" s="1174">
        <f t="shared" si="624"/>
        <v>0</v>
      </c>
    </row>
    <row r="168" spans="1:194">
      <c r="B168" s="1290" t="str">
        <f t="shared" si="552"/>
        <v>SACDUOSEBPMP</v>
      </c>
      <c r="C168" s="1289" t="str">
        <f>C167</f>
        <v>East Transitional Network Dual Rate Demand Tariff 3</v>
      </c>
      <c r="D168" s="1113" t="str">
        <f t="shared" ref="D168:H168" si="633">D167</f>
        <v>-</v>
      </c>
      <c r="E168" s="1113" t="str">
        <f t="shared" ref="E168:G168" si="634">E167</f>
        <v>SAC</v>
      </c>
      <c r="F168" s="1113" t="str">
        <f t="shared" si="634"/>
        <v>SACS Bus</v>
      </c>
      <c r="G168" s="1113" t="str">
        <f t="shared" si="634"/>
        <v>East</v>
      </c>
      <c r="H168" s="1113" t="str">
        <f t="shared" si="633"/>
        <v>EBPMP</v>
      </c>
      <c r="I168" s="1114" t="s">
        <v>752</v>
      </c>
      <c r="J168" s="1114" t="s">
        <v>934</v>
      </c>
      <c r="K168" s="1270"/>
      <c r="L168" s="1233">
        <v>0.17445225</v>
      </c>
      <c r="M168" s="1007"/>
      <c r="N168" s="1007"/>
      <c r="O168" s="1007"/>
      <c r="P168" s="1007"/>
      <c r="Q168" s="1007"/>
      <c r="R168" s="1007"/>
      <c r="S168" s="1007"/>
      <c r="T168" s="1007"/>
      <c r="U168" s="1007"/>
      <c r="V168" s="1007"/>
      <c r="W168" s="1007"/>
      <c r="X168" s="1007"/>
      <c r="Y168" s="1007"/>
      <c r="Z168" s="1007"/>
      <c r="AA168" s="1007"/>
      <c r="AB168" s="1007"/>
      <c r="AC168" s="1007"/>
      <c r="AD168" s="1007"/>
      <c r="AE168" s="1007"/>
      <c r="AF168" s="1007"/>
      <c r="AG168" s="1007"/>
      <c r="AH168" s="1007"/>
      <c r="AI168" s="1233">
        <v>1.3580961239131205E-2</v>
      </c>
      <c r="AJ168" s="1005"/>
      <c r="AK168" s="1005"/>
      <c r="AL168" s="1005"/>
      <c r="AM168" s="1005"/>
      <c r="AN168" s="1005"/>
      <c r="AO168" s="1005"/>
      <c r="AP168" s="1005"/>
      <c r="AQ168" s="1005"/>
      <c r="AR168" s="1005"/>
      <c r="AS168" s="1005"/>
      <c r="AT168" s="1005"/>
      <c r="AU168" s="1006"/>
      <c r="AV168" s="1270"/>
      <c r="AW168" s="1006"/>
      <c r="AX168" s="1006"/>
      <c r="AY168" s="1006"/>
      <c r="AZ168" s="1006"/>
      <c r="BA168" s="1006"/>
      <c r="BB168" s="1006"/>
      <c r="BC168" s="1006"/>
      <c r="BD168" s="1006"/>
      <c r="BE168" s="1006"/>
      <c r="BF168" s="1006"/>
      <c r="BG168" s="1006"/>
      <c r="BH168" s="1006"/>
      <c r="BI168" s="1006"/>
      <c r="BJ168" s="1006"/>
      <c r="BK168" s="1006"/>
      <c r="BL168" s="1006"/>
      <c r="BM168" s="1006"/>
      <c r="BN168" s="1006"/>
      <c r="BO168" s="1006"/>
      <c r="BP168" s="1006"/>
      <c r="BQ168" s="1006"/>
      <c r="BR168" s="1006"/>
      <c r="BS168" s="1006"/>
      <c r="BT168" s="1006"/>
      <c r="BU168" s="1006"/>
      <c r="BV168" s="1006"/>
      <c r="BW168" s="1006"/>
      <c r="BX168" s="1006"/>
      <c r="BY168" s="1006"/>
      <c r="BZ168" s="1006"/>
      <c r="CA168" s="1006"/>
      <c r="CB168" s="1006"/>
      <c r="CC168" s="1006"/>
      <c r="CD168" s="1006"/>
      <c r="CE168" s="1006"/>
      <c r="CF168" s="1006"/>
      <c r="CG168" s="1209"/>
      <c r="CH168" s="1236">
        <v>0</v>
      </c>
      <c r="CI168" s="1007"/>
      <c r="CJ168" s="1007"/>
      <c r="CK168" s="1007"/>
      <c r="CL168" s="1007"/>
      <c r="CM168" s="1007"/>
      <c r="CN168" s="1007"/>
      <c r="CO168" s="1007"/>
      <c r="CP168" s="1007"/>
      <c r="CQ168" s="1007"/>
      <c r="CR168" s="1007"/>
      <c r="CS168" s="1007"/>
      <c r="CT168" s="1007"/>
      <c r="CU168" s="1007"/>
      <c r="CV168" s="1007"/>
      <c r="CW168" s="1007"/>
      <c r="CX168" s="1007"/>
      <c r="CY168" s="1007"/>
      <c r="CZ168" s="1007"/>
      <c r="DA168" s="1007"/>
      <c r="DB168" s="1007"/>
      <c r="DC168" s="1007"/>
      <c r="DD168" s="1007"/>
      <c r="DE168" s="1236">
        <v>0</v>
      </c>
      <c r="DF168" s="1007"/>
      <c r="DG168" s="1007"/>
      <c r="DH168" s="1007"/>
      <c r="DI168" s="1006"/>
      <c r="DJ168" s="1006"/>
      <c r="DK168" s="1007"/>
      <c r="DL168" s="1007"/>
      <c r="DM168" s="1007"/>
      <c r="DN168" s="1007"/>
      <c r="DO168" s="1112"/>
      <c r="DP168" s="1112"/>
      <c r="DQ168" s="1270"/>
      <c r="DR168" s="1154">
        <f t="shared" si="553"/>
        <v>0</v>
      </c>
      <c r="DS168" s="1154">
        <f t="shared" si="554"/>
        <v>0</v>
      </c>
      <c r="DT168" s="1154">
        <f t="shared" si="555"/>
        <v>0</v>
      </c>
      <c r="DU168" s="1154">
        <f t="shared" si="556"/>
        <v>0</v>
      </c>
      <c r="DV168" s="1154">
        <f t="shared" si="557"/>
        <v>0</v>
      </c>
      <c r="DW168" s="1154">
        <f t="shared" si="558"/>
        <v>0</v>
      </c>
      <c r="DX168" s="1154">
        <f t="shared" si="559"/>
        <v>0</v>
      </c>
      <c r="DY168" s="1154">
        <f t="shared" si="560"/>
        <v>0</v>
      </c>
      <c r="DZ168" s="1154">
        <f t="shared" si="561"/>
        <v>0</v>
      </c>
      <c r="EA168" s="1154">
        <f t="shared" si="562"/>
        <v>0</v>
      </c>
      <c r="EB168" s="1154">
        <f t="shared" si="563"/>
        <v>0</v>
      </c>
      <c r="EC168" s="1154">
        <f t="shared" si="564"/>
        <v>0</v>
      </c>
      <c r="ED168" s="1154">
        <f t="shared" si="565"/>
        <v>0</v>
      </c>
      <c r="EE168" s="1154">
        <f t="shared" si="566"/>
        <v>0</v>
      </c>
      <c r="EF168" s="1154">
        <f t="shared" si="567"/>
        <v>0</v>
      </c>
      <c r="EG168" s="1154">
        <f t="shared" si="568"/>
        <v>0</v>
      </c>
      <c r="EH168" s="1154">
        <f t="shared" si="569"/>
        <v>0</v>
      </c>
      <c r="EI168" s="1154">
        <f t="shared" si="570"/>
        <v>0</v>
      </c>
      <c r="EJ168" s="1154">
        <f t="shared" si="571"/>
        <v>0</v>
      </c>
      <c r="EK168" s="1154">
        <f t="shared" si="572"/>
        <v>0</v>
      </c>
      <c r="EL168" s="1154">
        <f t="shared" si="573"/>
        <v>0</v>
      </c>
      <c r="EM168" s="1154">
        <f t="shared" si="574"/>
        <v>0</v>
      </c>
      <c r="EN168" s="1154">
        <f t="shared" si="575"/>
        <v>0</v>
      </c>
      <c r="EO168" s="1154">
        <f t="shared" si="576"/>
        <v>0</v>
      </c>
      <c r="EP168" s="1154">
        <f t="shared" si="577"/>
        <v>0</v>
      </c>
      <c r="EQ168" s="1154">
        <f t="shared" si="578"/>
        <v>0</v>
      </c>
      <c r="ER168" s="1154">
        <f t="shared" si="579"/>
        <v>0</v>
      </c>
      <c r="ES168" s="1154">
        <f t="shared" si="580"/>
        <v>0</v>
      </c>
      <c r="ET168" s="1154">
        <f t="shared" si="581"/>
        <v>0</v>
      </c>
      <c r="EU168" s="1154">
        <f t="shared" si="582"/>
        <v>0</v>
      </c>
      <c r="EV168" s="1154">
        <f t="shared" si="583"/>
        <v>0</v>
      </c>
      <c r="EW168" s="1154">
        <f t="shared" si="584"/>
        <v>0</v>
      </c>
      <c r="EX168" s="1154">
        <f t="shared" si="585"/>
        <v>0</v>
      </c>
      <c r="EY168" s="1154">
        <f t="shared" si="586"/>
        <v>0</v>
      </c>
      <c r="EZ168" s="1154">
        <f t="shared" si="587"/>
        <v>0</v>
      </c>
      <c r="FA168" s="1174">
        <f t="shared" si="588"/>
        <v>0</v>
      </c>
      <c r="FC168" s="1154">
        <f t="shared" si="589"/>
        <v>0</v>
      </c>
      <c r="FD168" s="1154">
        <f t="shared" si="590"/>
        <v>0</v>
      </c>
      <c r="FE168" s="1154">
        <f t="shared" si="591"/>
        <v>0</v>
      </c>
      <c r="FF168" s="1154">
        <f t="shared" si="592"/>
        <v>0</v>
      </c>
      <c r="FG168" s="1154">
        <f t="shared" si="593"/>
        <v>0</v>
      </c>
      <c r="FH168" s="1154">
        <f t="shared" si="594"/>
        <v>0</v>
      </c>
      <c r="FI168" s="1154">
        <f t="shared" si="595"/>
        <v>0</v>
      </c>
      <c r="FJ168" s="1154">
        <f t="shared" si="596"/>
        <v>0</v>
      </c>
      <c r="FK168" s="1154">
        <f t="shared" si="597"/>
        <v>0</v>
      </c>
      <c r="FL168" s="1154">
        <f t="shared" si="598"/>
        <v>0</v>
      </c>
      <c r="FM168" s="1154">
        <f t="shared" si="599"/>
        <v>0</v>
      </c>
      <c r="FN168" s="1154">
        <f t="shared" si="600"/>
        <v>0</v>
      </c>
      <c r="FO168" s="1154">
        <f t="shared" si="601"/>
        <v>0</v>
      </c>
      <c r="FP168" s="1154">
        <f t="shared" si="602"/>
        <v>0</v>
      </c>
      <c r="FQ168" s="1154">
        <f t="shared" si="603"/>
        <v>0</v>
      </c>
      <c r="FR168" s="1154">
        <f t="shared" si="604"/>
        <v>0</v>
      </c>
      <c r="FS168" s="1154">
        <f t="shared" si="605"/>
        <v>0</v>
      </c>
      <c r="FT168" s="1154">
        <f t="shared" si="606"/>
        <v>0</v>
      </c>
      <c r="FU168" s="1154">
        <f t="shared" si="607"/>
        <v>0</v>
      </c>
      <c r="FV168" s="1154">
        <f t="shared" si="608"/>
        <v>0</v>
      </c>
      <c r="FW168" s="1154">
        <f t="shared" si="609"/>
        <v>0</v>
      </c>
      <c r="FX168" s="1154">
        <f t="shared" si="610"/>
        <v>0</v>
      </c>
      <c r="FY168" s="1154">
        <f t="shared" si="611"/>
        <v>0</v>
      </c>
      <c r="FZ168" s="1154">
        <f t="shared" si="612"/>
        <v>0</v>
      </c>
      <c r="GA168" s="1154">
        <f t="shared" si="613"/>
        <v>0</v>
      </c>
      <c r="GB168" s="1154">
        <f t="shared" si="614"/>
        <v>0</v>
      </c>
      <c r="GC168" s="1154">
        <f t="shared" si="615"/>
        <v>0</v>
      </c>
      <c r="GD168" s="1154">
        <f t="shared" si="616"/>
        <v>0</v>
      </c>
      <c r="GE168" s="1154">
        <f t="shared" si="617"/>
        <v>0</v>
      </c>
      <c r="GF168" s="1154">
        <f t="shared" si="618"/>
        <v>0</v>
      </c>
      <c r="GG168" s="1154">
        <f t="shared" si="619"/>
        <v>0</v>
      </c>
      <c r="GH168" s="1154">
        <f t="shared" si="620"/>
        <v>0</v>
      </c>
      <c r="GI168" s="1154">
        <f t="shared" si="621"/>
        <v>0</v>
      </c>
      <c r="GJ168" s="1154">
        <f t="shared" si="622"/>
        <v>0</v>
      </c>
      <c r="GK168" s="1154">
        <f t="shared" si="623"/>
        <v>0</v>
      </c>
      <c r="GL168" s="1174">
        <f t="shared" si="624"/>
        <v>0</v>
      </c>
    </row>
    <row r="169" spans="1:194">
      <c r="B169" s="1290" t="str">
        <f t="shared" si="552"/>
        <v>SACDUOSEBPMP</v>
      </c>
      <c r="C169" s="1289" t="str">
        <f t="shared" ref="C169:H169" si="635">C168</f>
        <v>East Transitional Network Dual Rate Demand Tariff 3</v>
      </c>
      <c r="D169" s="1113" t="str">
        <f t="shared" si="635"/>
        <v>-</v>
      </c>
      <c r="E169" s="1113" t="str">
        <f t="shared" ref="E169:G169" si="636">E168</f>
        <v>SAC</v>
      </c>
      <c r="F169" s="1113" t="str">
        <f t="shared" si="636"/>
        <v>SACS Bus</v>
      </c>
      <c r="G169" s="1113" t="str">
        <f t="shared" si="636"/>
        <v>East</v>
      </c>
      <c r="H169" s="1113" t="str">
        <f t="shared" si="635"/>
        <v>EBPMP</v>
      </c>
      <c r="I169" s="1114" t="s">
        <v>759</v>
      </c>
      <c r="J169" s="1114" t="s">
        <v>934</v>
      </c>
      <c r="K169" s="1270"/>
      <c r="L169" s="1233">
        <v>0.28228199999999998</v>
      </c>
      <c r="M169" s="1007"/>
      <c r="N169" s="1007"/>
      <c r="O169" s="1007"/>
      <c r="P169" s="1007"/>
      <c r="Q169" s="1007"/>
      <c r="R169" s="1007"/>
      <c r="S169" s="1007"/>
      <c r="T169" s="1007"/>
      <c r="U169" s="1007"/>
      <c r="V169" s="1007"/>
      <c r="W169" s="1007"/>
      <c r="X169" s="1007"/>
      <c r="Y169" s="1007"/>
      <c r="Z169" s="1007"/>
      <c r="AA169" s="1007"/>
      <c r="AB169" s="1007"/>
      <c r="AC169" s="1007"/>
      <c r="AD169" s="1007"/>
      <c r="AE169" s="1007"/>
      <c r="AF169" s="1007"/>
      <c r="AG169" s="1007"/>
      <c r="AH169" s="1007"/>
      <c r="AI169" s="1233">
        <v>1.4121324100704864E-2</v>
      </c>
      <c r="AJ169" s="1005"/>
      <c r="AK169" s="1005"/>
      <c r="AL169" s="1005"/>
      <c r="AM169" s="1005"/>
      <c r="AN169" s="1005"/>
      <c r="AO169" s="1005"/>
      <c r="AP169" s="1005"/>
      <c r="AQ169" s="1005"/>
      <c r="AR169" s="1005"/>
      <c r="AS169" s="1005"/>
      <c r="AT169" s="1005"/>
      <c r="AU169" s="1006"/>
      <c r="AV169" s="1270"/>
      <c r="AW169" s="1006"/>
      <c r="AX169" s="1006"/>
      <c r="AY169" s="1006"/>
      <c r="AZ169" s="1006"/>
      <c r="BA169" s="1006"/>
      <c r="BB169" s="1006"/>
      <c r="BC169" s="1006"/>
      <c r="BD169" s="1006"/>
      <c r="BE169" s="1006"/>
      <c r="BF169" s="1006"/>
      <c r="BG169" s="1006"/>
      <c r="BH169" s="1006"/>
      <c r="BI169" s="1006"/>
      <c r="BJ169" s="1006"/>
      <c r="BK169" s="1006"/>
      <c r="BL169" s="1006"/>
      <c r="BM169" s="1006"/>
      <c r="BN169" s="1006"/>
      <c r="BO169" s="1006"/>
      <c r="BP169" s="1006"/>
      <c r="BQ169" s="1006"/>
      <c r="BR169" s="1006"/>
      <c r="BS169" s="1006"/>
      <c r="BT169" s="1006"/>
      <c r="BU169" s="1006"/>
      <c r="BV169" s="1006"/>
      <c r="BW169" s="1006"/>
      <c r="BX169" s="1006"/>
      <c r="BY169" s="1006"/>
      <c r="BZ169" s="1006"/>
      <c r="CA169" s="1006"/>
      <c r="CB169" s="1006"/>
      <c r="CC169" s="1006"/>
      <c r="CD169" s="1006"/>
      <c r="CE169" s="1006"/>
      <c r="CF169" s="1006"/>
      <c r="CG169" s="1209"/>
      <c r="CH169" s="1236">
        <v>0</v>
      </c>
      <c r="CI169" s="1007"/>
      <c r="CJ169" s="1007"/>
      <c r="CK169" s="1007"/>
      <c r="CL169" s="1007"/>
      <c r="CM169" s="1007"/>
      <c r="CN169" s="1007"/>
      <c r="CO169" s="1007"/>
      <c r="CP169" s="1007"/>
      <c r="CQ169" s="1007"/>
      <c r="CR169" s="1007"/>
      <c r="CS169" s="1007"/>
      <c r="CT169" s="1007"/>
      <c r="CU169" s="1007"/>
      <c r="CV169" s="1007"/>
      <c r="CW169" s="1007"/>
      <c r="CX169" s="1007"/>
      <c r="CY169" s="1007"/>
      <c r="CZ169" s="1007"/>
      <c r="DA169" s="1007"/>
      <c r="DB169" s="1007"/>
      <c r="DC169" s="1007"/>
      <c r="DD169" s="1007"/>
      <c r="DE169" s="1236">
        <v>0</v>
      </c>
      <c r="DF169" s="1007"/>
      <c r="DG169" s="1007"/>
      <c r="DH169" s="1007"/>
      <c r="DI169" s="1006"/>
      <c r="DJ169" s="1006"/>
      <c r="DK169" s="1007"/>
      <c r="DL169" s="1007"/>
      <c r="DM169" s="1007"/>
      <c r="DN169" s="1007"/>
      <c r="DO169" s="1112"/>
      <c r="DP169" s="1112"/>
      <c r="DQ169" s="1270"/>
      <c r="DR169" s="1154">
        <f t="shared" si="553"/>
        <v>0</v>
      </c>
      <c r="DS169" s="1154">
        <f t="shared" si="554"/>
        <v>0</v>
      </c>
      <c r="DT169" s="1154">
        <f t="shared" si="555"/>
        <v>0</v>
      </c>
      <c r="DU169" s="1154">
        <f t="shared" si="556"/>
        <v>0</v>
      </c>
      <c r="DV169" s="1154">
        <f t="shared" si="557"/>
        <v>0</v>
      </c>
      <c r="DW169" s="1154">
        <f t="shared" si="558"/>
        <v>0</v>
      </c>
      <c r="DX169" s="1154">
        <f t="shared" si="559"/>
        <v>0</v>
      </c>
      <c r="DY169" s="1154">
        <f t="shared" si="560"/>
        <v>0</v>
      </c>
      <c r="DZ169" s="1154">
        <f t="shared" si="561"/>
        <v>0</v>
      </c>
      <c r="EA169" s="1154">
        <f t="shared" si="562"/>
        <v>0</v>
      </c>
      <c r="EB169" s="1154">
        <f t="shared" si="563"/>
        <v>0</v>
      </c>
      <c r="EC169" s="1154">
        <f t="shared" si="564"/>
        <v>0</v>
      </c>
      <c r="ED169" s="1154">
        <f t="shared" si="565"/>
        <v>0</v>
      </c>
      <c r="EE169" s="1154">
        <f t="shared" si="566"/>
        <v>0</v>
      </c>
      <c r="EF169" s="1154">
        <f t="shared" si="567"/>
        <v>0</v>
      </c>
      <c r="EG169" s="1154">
        <f t="shared" si="568"/>
        <v>0</v>
      </c>
      <c r="EH169" s="1154">
        <f t="shared" si="569"/>
        <v>0</v>
      </c>
      <c r="EI169" s="1154">
        <f t="shared" si="570"/>
        <v>0</v>
      </c>
      <c r="EJ169" s="1154">
        <f t="shared" si="571"/>
        <v>0</v>
      </c>
      <c r="EK169" s="1154">
        <f t="shared" si="572"/>
        <v>0</v>
      </c>
      <c r="EL169" s="1154">
        <f t="shared" si="573"/>
        <v>0</v>
      </c>
      <c r="EM169" s="1154">
        <f t="shared" si="574"/>
        <v>0</v>
      </c>
      <c r="EN169" s="1154">
        <f t="shared" si="575"/>
        <v>0</v>
      </c>
      <c r="EO169" s="1154">
        <f t="shared" si="576"/>
        <v>0</v>
      </c>
      <c r="EP169" s="1154">
        <f t="shared" si="577"/>
        <v>0</v>
      </c>
      <c r="EQ169" s="1154">
        <f t="shared" si="578"/>
        <v>0</v>
      </c>
      <c r="ER169" s="1154">
        <f t="shared" si="579"/>
        <v>0</v>
      </c>
      <c r="ES169" s="1154">
        <f t="shared" si="580"/>
        <v>0</v>
      </c>
      <c r="ET169" s="1154">
        <f t="shared" si="581"/>
        <v>0</v>
      </c>
      <c r="EU169" s="1154">
        <f t="shared" si="582"/>
        <v>0</v>
      </c>
      <c r="EV169" s="1154">
        <f t="shared" si="583"/>
        <v>0</v>
      </c>
      <c r="EW169" s="1154">
        <f t="shared" si="584"/>
        <v>0</v>
      </c>
      <c r="EX169" s="1154">
        <f t="shared" si="585"/>
        <v>0</v>
      </c>
      <c r="EY169" s="1154">
        <f t="shared" si="586"/>
        <v>0</v>
      </c>
      <c r="EZ169" s="1154">
        <f t="shared" si="587"/>
        <v>0</v>
      </c>
      <c r="FA169" s="1174">
        <f t="shared" si="588"/>
        <v>0</v>
      </c>
      <c r="FC169" s="1154">
        <f t="shared" si="589"/>
        <v>0</v>
      </c>
      <c r="FD169" s="1154">
        <f t="shared" si="590"/>
        <v>0</v>
      </c>
      <c r="FE169" s="1154">
        <f t="shared" si="591"/>
        <v>0</v>
      </c>
      <c r="FF169" s="1154">
        <f t="shared" si="592"/>
        <v>0</v>
      </c>
      <c r="FG169" s="1154">
        <f t="shared" si="593"/>
        <v>0</v>
      </c>
      <c r="FH169" s="1154">
        <f t="shared" si="594"/>
        <v>0</v>
      </c>
      <c r="FI169" s="1154">
        <f t="shared" si="595"/>
        <v>0</v>
      </c>
      <c r="FJ169" s="1154">
        <f t="shared" si="596"/>
        <v>0</v>
      </c>
      <c r="FK169" s="1154">
        <f t="shared" si="597"/>
        <v>0</v>
      </c>
      <c r="FL169" s="1154">
        <f t="shared" si="598"/>
        <v>0</v>
      </c>
      <c r="FM169" s="1154">
        <f t="shared" si="599"/>
        <v>0</v>
      </c>
      <c r="FN169" s="1154">
        <f t="shared" si="600"/>
        <v>0</v>
      </c>
      <c r="FO169" s="1154">
        <f t="shared" si="601"/>
        <v>0</v>
      </c>
      <c r="FP169" s="1154">
        <f t="shared" si="602"/>
        <v>0</v>
      </c>
      <c r="FQ169" s="1154">
        <f t="shared" si="603"/>
        <v>0</v>
      </c>
      <c r="FR169" s="1154">
        <f t="shared" si="604"/>
        <v>0</v>
      </c>
      <c r="FS169" s="1154">
        <f t="shared" si="605"/>
        <v>0</v>
      </c>
      <c r="FT169" s="1154">
        <f t="shared" si="606"/>
        <v>0</v>
      </c>
      <c r="FU169" s="1154">
        <f t="shared" si="607"/>
        <v>0</v>
      </c>
      <c r="FV169" s="1154">
        <f t="shared" si="608"/>
        <v>0</v>
      </c>
      <c r="FW169" s="1154">
        <f t="shared" si="609"/>
        <v>0</v>
      </c>
      <c r="FX169" s="1154">
        <f t="shared" si="610"/>
        <v>0</v>
      </c>
      <c r="FY169" s="1154">
        <f t="shared" si="611"/>
        <v>0</v>
      </c>
      <c r="FZ169" s="1154">
        <f t="shared" si="612"/>
        <v>0</v>
      </c>
      <c r="GA169" s="1154">
        <f t="shared" si="613"/>
        <v>0</v>
      </c>
      <c r="GB169" s="1154">
        <f t="shared" si="614"/>
        <v>0</v>
      </c>
      <c r="GC169" s="1154">
        <f t="shared" si="615"/>
        <v>0</v>
      </c>
      <c r="GD169" s="1154">
        <f t="shared" si="616"/>
        <v>0</v>
      </c>
      <c r="GE169" s="1154">
        <f t="shared" si="617"/>
        <v>0</v>
      </c>
      <c r="GF169" s="1154">
        <f t="shared" si="618"/>
        <v>0</v>
      </c>
      <c r="GG169" s="1154">
        <f t="shared" si="619"/>
        <v>0</v>
      </c>
      <c r="GH169" s="1154">
        <f t="shared" si="620"/>
        <v>0</v>
      </c>
      <c r="GI169" s="1154">
        <f t="shared" si="621"/>
        <v>0</v>
      </c>
      <c r="GJ169" s="1154">
        <f t="shared" si="622"/>
        <v>0</v>
      </c>
      <c r="GK169" s="1154">
        <f t="shared" si="623"/>
        <v>0</v>
      </c>
      <c r="GL169" s="1174">
        <f t="shared" si="624"/>
        <v>0</v>
      </c>
    </row>
    <row r="170" spans="1:194" ht="6" customHeight="1">
      <c r="A170" s="1205"/>
      <c r="B170" s="1266" t="s">
        <v>742</v>
      </c>
      <c r="C170" s="1780"/>
      <c r="D170" s="1781"/>
      <c r="E170" s="1781"/>
      <c r="F170" s="1781"/>
      <c r="G170" s="1781"/>
      <c r="H170" s="1781"/>
      <c r="I170" s="1781"/>
      <c r="J170" s="1782"/>
      <c r="K170" s="1234"/>
      <c r="L170" s="1266"/>
      <c r="M170" s="1184"/>
      <c r="N170" s="1184"/>
      <c r="O170" s="1184"/>
      <c r="P170" s="1184"/>
      <c r="Q170" s="1184"/>
      <c r="R170" s="1184"/>
      <c r="S170" s="1184"/>
      <c r="T170" s="1184"/>
      <c r="U170" s="1184"/>
      <c r="V170" s="1184"/>
      <c r="W170" s="1184"/>
      <c r="X170" s="1184"/>
      <c r="Y170" s="1184"/>
      <c r="Z170" s="1184"/>
      <c r="AA170" s="1184"/>
      <c r="AB170" s="1184"/>
      <c r="AC170" s="1184"/>
      <c r="AD170" s="1184"/>
      <c r="AE170" s="1184"/>
      <c r="AF170" s="1184"/>
      <c r="AG170" s="1184"/>
      <c r="AH170" s="1184"/>
      <c r="AI170" s="1184"/>
      <c r="AJ170" s="1184"/>
      <c r="AK170" s="1184"/>
      <c r="AL170" s="1184"/>
      <c r="AM170" s="1184"/>
      <c r="AN170" s="1184"/>
      <c r="AO170" s="1184"/>
      <c r="AP170" s="1184"/>
      <c r="AQ170" s="1184"/>
      <c r="AR170" s="1184"/>
      <c r="AS170" s="1184"/>
      <c r="AT170" s="1184"/>
      <c r="AU170" s="1205"/>
      <c r="AV170" s="1234"/>
      <c r="AW170" s="1205"/>
      <c r="AX170" s="1205"/>
      <c r="AY170" s="1205"/>
      <c r="AZ170" s="1205"/>
      <c r="BA170" s="1205"/>
      <c r="BB170" s="1205"/>
      <c r="BC170" s="1205"/>
      <c r="BD170" s="1205"/>
      <c r="BE170" s="1205"/>
      <c r="BF170" s="1205"/>
      <c r="BG170" s="1205"/>
      <c r="BH170" s="1205"/>
      <c r="BI170" s="1205"/>
      <c r="BJ170" s="1205"/>
      <c r="BK170" s="1205"/>
      <c r="BL170" s="1205"/>
      <c r="BM170" s="1205"/>
      <c r="BN170" s="1205"/>
      <c r="BO170" s="1205"/>
      <c r="BP170" s="1205"/>
      <c r="BQ170" s="1205"/>
      <c r="BR170" s="1205"/>
      <c r="BS170" s="1205"/>
      <c r="BT170" s="1205"/>
      <c r="BU170" s="1205"/>
      <c r="BV170" s="1205"/>
      <c r="BW170" s="1205"/>
      <c r="BX170" s="1205"/>
      <c r="BY170" s="1205"/>
      <c r="BZ170" s="1205"/>
      <c r="CA170" s="1205"/>
      <c r="CB170" s="1205"/>
      <c r="CC170" s="1205"/>
      <c r="CD170" s="1205"/>
      <c r="CE170" s="1205"/>
      <c r="CF170" s="1205"/>
      <c r="CG170" s="1208"/>
      <c r="CH170" s="1205"/>
      <c r="CI170" s="1205"/>
      <c r="CJ170" s="1205"/>
      <c r="CK170" s="1205"/>
      <c r="CL170" s="1205"/>
      <c r="CM170" s="1205"/>
      <c r="CN170" s="1205"/>
      <c r="CO170" s="1205"/>
      <c r="CP170" s="1205"/>
      <c r="CQ170" s="1205"/>
      <c r="CR170" s="1205"/>
      <c r="CS170" s="1205"/>
      <c r="CT170" s="1205"/>
      <c r="CU170" s="1205"/>
      <c r="CV170" s="1205"/>
      <c r="CW170" s="1205"/>
      <c r="CX170" s="1205"/>
      <c r="CY170" s="1205"/>
      <c r="CZ170" s="1205"/>
      <c r="DA170" s="1205"/>
      <c r="DB170" s="1205"/>
      <c r="DC170" s="1205"/>
      <c r="DD170" s="1205"/>
      <c r="DE170" s="1205"/>
      <c r="DF170" s="1205"/>
      <c r="DG170" s="1205"/>
      <c r="DH170" s="1205"/>
      <c r="DI170" s="1205"/>
      <c r="DJ170" s="1205"/>
      <c r="DK170" s="1184"/>
      <c r="DL170" s="1184"/>
      <c r="DM170" s="1184"/>
      <c r="DN170" s="1184"/>
      <c r="DO170" s="1266"/>
      <c r="DP170" s="1266"/>
      <c r="DQ170" s="1234"/>
      <c r="DR170" s="1283"/>
      <c r="DS170" s="1283"/>
      <c r="DT170" s="1283"/>
      <c r="DU170" s="1283"/>
      <c r="DV170" s="1283"/>
      <c r="DW170" s="1283"/>
      <c r="DX170" s="1283"/>
      <c r="DY170" s="1283"/>
      <c r="DZ170" s="1283"/>
      <c r="EA170" s="1283"/>
      <c r="EB170" s="1283"/>
      <c r="EC170" s="1283"/>
      <c r="ED170" s="1283"/>
      <c r="EE170" s="1283"/>
      <c r="EF170" s="1283"/>
      <c r="EG170" s="1283"/>
      <c r="EH170" s="1283"/>
      <c r="EI170" s="1283"/>
      <c r="EJ170" s="1283"/>
      <c r="EK170" s="1283"/>
      <c r="EL170" s="1283"/>
      <c r="EM170" s="1283"/>
      <c r="EN170" s="1283"/>
      <c r="EO170" s="1283"/>
      <c r="EP170" s="1283"/>
      <c r="EQ170" s="1283"/>
      <c r="ER170" s="1283"/>
      <c r="ES170" s="1283"/>
      <c r="ET170" s="1283"/>
      <c r="EU170" s="1283"/>
      <c r="EV170" s="1283"/>
      <c r="EW170" s="1283"/>
      <c r="EX170" s="1283"/>
      <c r="EY170" s="1283"/>
      <c r="EZ170" s="1283"/>
      <c r="FA170" s="1283"/>
      <c r="FC170" s="1283"/>
      <c r="FD170" s="1283"/>
      <c r="FE170" s="1283"/>
      <c r="FF170" s="1283"/>
      <c r="FG170" s="1283"/>
      <c r="FH170" s="1283"/>
      <c r="FI170" s="1283"/>
      <c r="FJ170" s="1283"/>
      <c r="FK170" s="1283"/>
      <c r="FL170" s="1283"/>
      <c r="FM170" s="1283"/>
      <c r="FN170" s="1283"/>
      <c r="FO170" s="1283"/>
      <c r="FP170" s="1283"/>
      <c r="FQ170" s="1283"/>
      <c r="FR170" s="1283"/>
      <c r="FS170" s="1283"/>
      <c r="FT170" s="1283"/>
      <c r="FU170" s="1283"/>
      <c r="FV170" s="1283"/>
      <c r="FW170" s="1283"/>
      <c r="FX170" s="1283"/>
      <c r="FY170" s="1283"/>
      <c r="FZ170" s="1283"/>
      <c r="GA170" s="1283"/>
      <c r="GB170" s="1283"/>
      <c r="GC170" s="1283"/>
      <c r="GD170" s="1283"/>
      <c r="GE170" s="1283"/>
      <c r="GF170" s="1283"/>
      <c r="GG170" s="1283"/>
      <c r="GH170" s="1283"/>
      <c r="GI170" s="1283"/>
      <c r="GJ170" s="1283"/>
      <c r="GK170" s="1283"/>
      <c r="GL170" s="1283"/>
    </row>
    <row r="171" spans="1:194">
      <c r="B171" s="1290" t="str">
        <f t="shared" ref="B171:B184" si="637">$E171&amp;"DUOS"&amp;$H171</f>
        <v>SACDUOSERIB</v>
      </c>
      <c r="C171" s="1289" t="str">
        <f>Prop2021DUOSTariffs!C77</f>
        <v>East SAC&lt;100MWhpa Residential IBT</v>
      </c>
      <c r="D171" s="1113" t="str">
        <f>Prop2021DUOSTariffs!D77</f>
        <v>East SAC&lt;100MWhpa Residential IBT</v>
      </c>
      <c r="E171" s="1113" t="str">
        <f>Prop2021DUOSTariffs!E77</f>
        <v>SAC</v>
      </c>
      <c r="F171" s="1113" t="str">
        <f>Prop2021DUOSTariffs!F77</f>
        <v>SACS Res</v>
      </c>
      <c r="G171" s="1113" t="str">
        <f>Prop2021DUOSTariffs!G77</f>
        <v>East</v>
      </c>
      <c r="H171" s="1113" t="str">
        <f>IF(Prop2021DUOSTariffs!H77="","",Prop2021DUOSTariffs!H77)</f>
        <v>ERIB</v>
      </c>
      <c r="I171" s="1114" t="s">
        <v>798</v>
      </c>
      <c r="J171" s="1114" t="s">
        <v>934</v>
      </c>
      <c r="K171" s="1270"/>
      <c r="L171" s="1233">
        <v>0.10462200000000002</v>
      </c>
      <c r="M171" s="1007"/>
      <c r="N171" s="1007"/>
      <c r="O171" s="1007"/>
      <c r="P171" s="1007"/>
      <c r="Q171" s="1007"/>
      <c r="R171" s="1007"/>
      <c r="S171" s="1007"/>
      <c r="T171" s="1007"/>
      <c r="U171" s="1007"/>
      <c r="V171" s="1007"/>
      <c r="W171" s="1007"/>
      <c r="X171" s="1007"/>
      <c r="Y171" s="1007"/>
      <c r="Z171" s="1007"/>
      <c r="AA171" s="1007"/>
      <c r="AB171" s="1007"/>
      <c r="AC171" s="1007"/>
      <c r="AD171" s="1007"/>
      <c r="AE171" s="1007"/>
      <c r="AF171" s="1007"/>
      <c r="AG171" s="1007"/>
      <c r="AH171" s="1007"/>
      <c r="AI171" s="1233">
        <v>1.2756140745273986E-2</v>
      </c>
      <c r="AJ171" s="1005"/>
      <c r="AK171" s="1005"/>
      <c r="AL171" s="1005"/>
      <c r="AM171" s="1005"/>
      <c r="AN171" s="1005"/>
      <c r="AO171" s="1005"/>
      <c r="AP171" s="1005"/>
      <c r="AQ171" s="1005"/>
      <c r="AR171" s="1005"/>
      <c r="AS171" s="1005"/>
      <c r="AT171" s="1005"/>
      <c r="AU171" s="1006"/>
      <c r="AV171" s="1270"/>
      <c r="AW171" s="1480">
        <v>9.870000000000001E-2</v>
      </c>
      <c r="AX171" s="1006"/>
      <c r="AY171" s="1006"/>
      <c r="AZ171" s="1006"/>
      <c r="BA171" s="1006"/>
      <c r="BB171" s="1006"/>
      <c r="BC171" s="1006"/>
      <c r="BD171" s="1006"/>
      <c r="BE171" s="1006"/>
      <c r="BF171" s="1006"/>
      <c r="BG171" s="1006"/>
      <c r="BH171" s="1006"/>
      <c r="BI171" s="1006"/>
      <c r="BJ171" s="1006"/>
      <c r="BK171" s="1006"/>
      <c r="BL171" s="1006"/>
      <c r="BM171" s="1006"/>
      <c r="BN171" s="1006"/>
      <c r="BO171" s="1006"/>
      <c r="BP171" s="1006"/>
      <c r="BQ171" s="1006"/>
      <c r="BR171" s="1006"/>
      <c r="BS171" s="1006"/>
      <c r="BT171" s="1480">
        <v>9.9886311700567981E-3</v>
      </c>
      <c r="BU171" s="1006"/>
      <c r="BV171" s="1006"/>
      <c r="BW171" s="1006"/>
      <c r="BX171" s="1006"/>
      <c r="BY171" s="1006"/>
      <c r="BZ171" s="1006"/>
      <c r="CA171" s="1006"/>
      <c r="CB171" s="1006"/>
      <c r="CC171" s="1006"/>
      <c r="CD171" s="1006"/>
      <c r="CE171" s="1006"/>
      <c r="CF171" s="1006"/>
      <c r="CG171" s="1209"/>
      <c r="CH171" s="1236">
        <v>231263.85452395072</v>
      </c>
      <c r="CI171" s="1007"/>
      <c r="CJ171" s="1007"/>
      <c r="CK171" s="1007"/>
      <c r="CL171" s="1007"/>
      <c r="CM171" s="1007"/>
      <c r="CN171" s="1007"/>
      <c r="CO171" s="1007"/>
      <c r="CP171" s="1007"/>
      <c r="CQ171" s="1007"/>
      <c r="CR171" s="1007"/>
      <c r="CS171" s="1007"/>
      <c r="CT171" s="1007"/>
      <c r="CU171" s="1007"/>
      <c r="CV171" s="1007"/>
      <c r="CW171" s="1007">
        <v>0</v>
      </c>
      <c r="CX171" s="1007"/>
      <c r="CY171" s="1007"/>
      <c r="CZ171" s="1007"/>
      <c r="DA171" s="1007"/>
      <c r="DB171" s="1007"/>
      <c r="DC171" s="1007"/>
      <c r="DD171" s="1007"/>
      <c r="DE171" s="1236">
        <v>1118900928.339709</v>
      </c>
      <c r="DF171" s="1007"/>
      <c r="DG171" s="1007"/>
      <c r="DH171" s="1007"/>
      <c r="DI171" s="1006"/>
      <c r="DJ171" s="1006"/>
      <c r="DK171" s="1007"/>
      <c r="DL171" s="1007"/>
      <c r="DM171" s="1007"/>
      <c r="DN171" s="1007"/>
      <c r="DO171" s="1112"/>
      <c r="DP171" s="1112"/>
      <c r="DQ171" s="1270"/>
      <c r="DR171" s="1154">
        <f t="shared" ref="DR171:DR198" si="638">L171*CH171*DR$229</f>
        <v>8831279.7506217435</v>
      </c>
      <c r="DS171" s="1154">
        <f t="shared" ref="DS171:DS198" si="639">M171*CI171*DS$229</f>
        <v>0</v>
      </c>
      <c r="DT171" s="1154">
        <f t="shared" ref="DT171:DT198" si="640">N171*CJ171*DT$229</f>
        <v>0</v>
      </c>
      <c r="DU171" s="1154">
        <f t="shared" ref="DU171:DU198" si="641">O171*CK171*DU$229</f>
        <v>0</v>
      </c>
      <c r="DV171" s="1154">
        <f t="shared" ref="DV171:DV198" si="642">P171*CL171*DV$229</f>
        <v>0</v>
      </c>
      <c r="DW171" s="1154">
        <f t="shared" ref="DW171:DW198" si="643">Q171*CM171*DW$229</f>
        <v>0</v>
      </c>
      <c r="DX171" s="1154">
        <f t="shared" ref="DX171:DX198" si="644">R171*CN171*DX$229</f>
        <v>0</v>
      </c>
      <c r="DY171" s="1154">
        <f t="shared" ref="DY171:DY198" si="645">S171*CO171*DY$229</f>
        <v>0</v>
      </c>
      <c r="DZ171" s="1154">
        <f t="shared" ref="DZ171:DZ198" si="646">T171*CP171*DZ$229</f>
        <v>0</v>
      </c>
      <c r="EA171" s="1154">
        <f t="shared" ref="EA171:EA198" si="647">U171*CQ171*EA$229</f>
        <v>0</v>
      </c>
      <c r="EB171" s="1154">
        <f t="shared" ref="EB171:EB198" si="648">V171*CR171*EB$229</f>
        <v>0</v>
      </c>
      <c r="EC171" s="1154">
        <f t="shared" ref="EC171:EC198" si="649">W171*CS171*EC$229</f>
        <v>0</v>
      </c>
      <c r="ED171" s="1154">
        <f t="shared" ref="ED171:ED198" si="650">X171*CT171*ED$229</f>
        <v>0</v>
      </c>
      <c r="EE171" s="1154">
        <f t="shared" ref="EE171:EE198" si="651">Y171*CU171*EE$229</f>
        <v>0</v>
      </c>
      <c r="EF171" s="1154">
        <f t="shared" ref="EF171:EF198" si="652">Z171*CV171*EF$229</f>
        <v>0</v>
      </c>
      <c r="EG171" s="1154">
        <f t="shared" ref="EG171:EG198" si="653">AA171*CW171*EG$229</f>
        <v>0</v>
      </c>
      <c r="EH171" s="1154">
        <f t="shared" ref="EH171:EH198" si="654">AB171*CX171*EH$229</f>
        <v>0</v>
      </c>
      <c r="EI171" s="1154">
        <f t="shared" ref="EI171:EI198" si="655">AC171*CY171*EI$229</f>
        <v>0</v>
      </c>
      <c r="EJ171" s="1154">
        <f t="shared" ref="EJ171:EJ198" si="656">AD171*CZ171*EJ$229</f>
        <v>0</v>
      </c>
      <c r="EK171" s="1154">
        <f t="shared" ref="EK171:EK198" si="657">AE171*DA171*EK$229</f>
        <v>0</v>
      </c>
      <c r="EL171" s="1154">
        <f t="shared" ref="EL171:EL198" si="658">AF171*DB171*EL$229</f>
        <v>0</v>
      </c>
      <c r="EM171" s="1154">
        <f t="shared" ref="EM171:EM198" si="659">AG171*DC171*EM$229*$AU171</f>
        <v>0</v>
      </c>
      <c r="EN171" s="1154">
        <f t="shared" ref="EN171:EN198" si="660">AH171*DD171*EN$229*$AU171</f>
        <v>0</v>
      </c>
      <c r="EO171" s="1154">
        <f t="shared" ref="EO171:EO198" si="661">AI171*DE171*EO$229</f>
        <v>14272857.72191905</v>
      </c>
      <c r="EP171" s="1154">
        <f t="shared" ref="EP171:EP198" si="662">AJ171*DF171*EP$229</f>
        <v>0</v>
      </c>
      <c r="EQ171" s="1154">
        <f t="shared" ref="EQ171:EQ198" si="663">AK171*DG171*EQ$229</f>
        <v>0</v>
      </c>
      <c r="ER171" s="1154">
        <f t="shared" ref="ER171:ER198" si="664">AL171*DH171*ER$229</f>
        <v>0</v>
      </c>
      <c r="ES171" s="1154">
        <f t="shared" ref="ES171:ES198" si="665">AM171*DI171*ES$229</f>
        <v>0</v>
      </c>
      <c r="ET171" s="1154">
        <f t="shared" ref="ET171:ET198" si="666">AN171*DJ171*ET$229</f>
        <v>0</v>
      </c>
      <c r="EU171" s="1154">
        <f t="shared" ref="EU171:EU198" si="667">AO171*DK171*EU$229</f>
        <v>0</v>
      </c>
      <c r="EV171" s="1154">
        <f t="shared" ref="EV171:EV198" si="668">AP171*DL171*EV$229</f>
        <v>0</v>
      </c>
      <c r="EW171" s="1154">
        <f t="shared" ref="EW171:EW198" si="669">AQ171*DM171*EW$229</f>
        <v>0</v>
      </c>
      <c r="EX171" s="1154">
        <f t="shared" ref="EX171:EX198" si="670">AR171*DN171*EX$229</f>
        <v>0</v>
      </c>
      <c r="EY171" s="1154">
        <f t="shared" ref="EY171:EY198" si="671">AS171*DO171*EY$229</f>
        <v>0</v>
      </c>
      <c r="EZ171" s="1154">
        <f t="shared" ref="EZ171:EZ198" si="672">AT171*DP171*EZ$229</f>
        <v>0</v>
      </c>
      <c r="FA171" s="1174">
        <f t="shared" ref="FA171:FA184" si="673">SUM(DR171:EZ171)</f>
        <v>23104137.472540796</v>
      </c>
      <c r="FC171" s="1154">
        <f t="shared" ref="FC171:FC198" si="674">AW171*CH171*FC$229</f>
        <v>8331395.9911525883</v>
      </c>
      <c r="FD171" s="1154">
        <f t="shared" ref="FD171:FD198" si="675">AX171*CI171*FD$229</f>
        <v>0</v>
      </c>
      <c r="FE171" s="1154">
        <f t="shared" ref="FE171:FE198" si="676">AY171*CJ171*FE$229</f>
        <v>0</v>
      </c>
      <c r="FF171" s="1154">
        <f t="shared" ref="FF171:FF198" si="677">AZ171*CK171*FF$229</f>
        <v>0</v>
      </c>
      <c r="FG171" s="1154">
        <f t="shared" ref="FG171:FG198" si="678">BA171*CL171*FG$229</f>
        <v>0</v>
      </c>
      <c r="FH171" s="1154">
        <f t="shared" ref="FH171:FH198" si="679">BB171*CM171*FH$229</f>
        <v>0</v>
      </c>
      <c r="FI171" s="1154">
        <f t="shared" ref="FI171:FI198" si="680">BC171*CN171*FI$229</f>
        <v>0</v>
      </c>
      <c r="FJ171" s="1154">
        <f t="shared" ref="FJ171:FJ198" si="681">BD171*CO171*FJ$229</f>
        <v>0</v>
      </c>
      <c r="FK171" s="1154">
        <f t="shared" ref="FK171:FK198" si="682">BE171*CP171*FK$229</f>
        <v>0</v>
      </c>
      <c r="FL171" s="1154">
        <f t="shared" ref="FL171:FL198" si="683">BF171*CQ171*FL$229</f>
        <v>0</v>
      </c>
      <c r="FM171" s="1154">
        <f t="shared" ref="FM171:FM198" si="684">BG171*CR171*FM$229</f>
        <v>0</v>
      </c>
      <c r="FN171" s="1154">
        <f t="shared" ref="FN171:FN198" si="685">BH171*CS171*FN$229</f>
        <v>0</v>
      </c>
      <c r="FO171" s="1154">
        <f t="shared" ref="FO171:FO198" si="686">BI171*CT171*FO$229</f>
        <v>0</v>
      </c>
      <c r="FP171" s="1154">
        <f t="shared" ref="FP171:FP198" si="687">BJ171*CU171*FP$229</f>
        <v>0</v>
      </c>
      <c r="FQ171" s="1154">
        <f t="shared" ref="FQ171:FQ198" si="688">BK171*CV171*FQ$229</f>
        <v>0</v>
      </c>
      <c r="FR171" s="1154">
        <f t="shared" ref="FR171:FR198" si="689">BL171*CW171*FR$229</f>
        <v>0</v>
      </c>
      <c r="FS171" s="1154">
        <f t="shared" ref="FS171:FS198" si="690">BM171*CX171*FS$229</f>
        <v>0</v>
      </c>
      <c r="FT171" s="1154">
        <f t="shared" ref="FT171:FT198" si="691">BN171*CY171*FT$229</f>
        <v>0</v>
      </c>
      <c r="FU171" s="1154">
        <f t="shared" ref="FU171:FU198" si="692">BO171*CZ171*FU$229</f>
        <v>0</v>
      </c>
      <c r="FV171" s="1154">
        <f t="shared" ref="FV171:FV198" si="693">BP171*DA171*FV$229</f>
        <v>0</v>
      </c>
      <c r="FW171" s="1154">
        <f t="shared" ref="FW171:FW198" si="694">BQ171*DB171*FW$229</f>
        <v>0</v>
      </c>
      <c r="FX171" s="1154">
        <f t="shared" ref="FX171:FX198" si="695">BR171*DC171*FX$229</f>
        <v>0</v>
      </c>
      <c r="FY171" s="1154">
        <f t="shared" ref="FY171:FY198" si="696">BS171*DD171*FY$229</f>
        <v>0</v>
      </c>
      <c r="FZ171" s="1154">
        <f t="shared" ref="FZ171:FZ198" si="697">BT171*DE171*FZ$229</f>
        <v>11176288.689019505</v>
      </c>
      <c r="GA171" s="1154">
        <f t="shared" ref="GA171:GA198" si="698">BU171*DF171*GA$229</f>
        <v>0</v>
      </c>
      <c r="GB171" s="1154">
        <f t="shared" ref="GB171:GB198" si="699">BV171*DG171*GB$229</f>
        <v>0</v>
      </c>
      <c r="GC171" s="1154">
        <f t="shared" ref="GC171:GC198" si="700">BW171*DH171*GC$229</f>
        <v>0</v>
      </c>
      <c r="GD171" s="1154">
        <f t="shared" ref="GD171:GD198" si="701">BX171*DI171*GD$229</f>
        <v>0</v>
      </c>
      <c r="GE171" s="1154">
        <f t="shared" ref="GE171:GE198" si="702">BY171*DJ171*GE$229</f>
        <v>0</v>
      </c>
      <c r="GF171" s="1154">
        <f t="shared" ref="GF171:GF198" si="703">BZ171*DK171*GF$229</f>
        <v>0</v>
      </c>
      <c r="GG171" s="1154">
        <f t="shared" ref="GG171:GG198" si="704">CA171*DL171*GG$229</f>
        <v>0</v>
      </c>
      <c r="GH171" s="1154">
        <f t="shared" ref="GH171:GH198" si="705">CB171*DM171*GH$229</f>
        <v>0</v>
      </c>
      <c r="GI171" s="1154">
        <f t="shared" ref="GI171:GI198" si="706">CC171*DN171*GI$229</f>
        <v>0</v>
      </c>
      <c r="GJ171" s="1154">
        <f t="shared" ref="GJ171:GJ198" si="707">CD171*DO171*GJ$229</f>
        <v>0</v>
      </c>
      <c r="GK171" s="1154">
        <f t="shared" ref="GK171:GK198" si="708">CE171*DP171*GK$229</f>
        <v>0</v>
      </c>
      <c r="GL171" s="1174">
        <f t="shared" ref="GL171:GL184" si="709">SUM(FC171:GK171)</f>
        <v>19507684.680172093</v>
      </c>
    </row>
    <row r="172" spans="1:194">
      <c r="B172" s="1290" t="str">
        <f t="shared" si="637"/>
        <v>SACDUOSERIB</v>
      </c>
      <c r="C172" s="1289" t="str">
        <f>C171</f>
        <v>East SAC&lt;100MWhpa Residential IBT</v>
      </c>
      <c r="D172" s="1113" t="str">
        <f t="shared" ref="D172:H173" si="710">D171</f>
        <v>East SAC&lt;100MWhpa Residential IBT</v>
      </c>
      <c r="E172" s="1113" t="str">
        <f t="shared" si="710"/>
        <v>SAC</v>
      </c>
      <c r="F172" s="1113" t="str">
        <f t="shared" si="710"/>
        <v>SACS Res</v>
      </c>
      <c r="G172" s="1113" t="str">
        <f t="shared" ref="G172" si="711">G171</f>
        <v>East</v>
      </c>
      <c r="H172" s="1113" t="str">
        <f t="shared" si="710"/>
        <v>ERIB</v>
      </c>
      <c r="I172" s="1114" t="s">
        <v>752</v>
      </c>
      <c r="J172" s="1114" t="s">
        <v>934</v>
      </c>
      <c r="K172" s="1270"/>
      <c r="L172" s="1233">
        <v>0.17445225</v>
      </c>
      <c r="M172" s="1007"/>
      <c r="N172" s="1007"/>
      <c r="O172" s="1007"/>
      <c r="P172" s="1007"/>
      <c r="Q172" s="1007"/>
      <c r="R172" s="1007"/>
      <c r="S172" s="1007"/>
      <c r="T172" s="1007"/>
      <c r="U172" s="1007"/>
      <c r="V172" s="1007"/>
      <c r="W172" s="1007"/>
      <c r="X172" s="1007"/>
      <c r="Y172" s="1007"/>
      <c r="Z172" s="1007"/>
      <c r="AA172" s="1007"/>
      <c r="AB172" s="1007"/>
      <c r="AC172" s="1007"/>
      <c r="AD172" s="1007"/>
      <c r="AE172" s="1007"/>
      <c r="AF172" s="1007"/>
      <c r="AG172" s="1007"/>
      <c r="AH172" s="1007"/>
      <c r="AI172" s="1233">
        <v>1.3580961239131205E-2</v>
      </c>
      <c r="AJ172" s="1005"/>
      <c r="AK172" s="1005"/>
      <c r="AL172" s="1005"/>
      <c r="AM172" s="1005"/>
      <c r="AN172" s="1005"/>
      <c r="AO172" s="1005"/>
      <c r="AP172" s="1005"/>
      <c r="AQ172" s="1005"/>
      <c r="AR172" s="1005"/>
      <c r="AS172" s="1005"/>
      <c r="AT172" s="1005"/>
      <c r="AU172" s="1006"/>
      <c r="AV172" s="1270"/>
      <c r="AW172" s="1480">
        <v>0.17272499999999999</v>
      </c>
      <c r="AX172" s="1006"/>
      <c r="AY172" s="1006"/>
      <c r="AZ172" s="1006"/>
      <c r="BA172" s="1006"/>
      <c r="BB172" s="1006"/>
      <c r="BC172" s="1006"/>
      <c r="BD172" s="1006"/>
      <c r="BE172" s="1006"/>
      <c r="BF172" s="1006"/>
      <c r="BG172" s="1006"/>
      <c r="BH172" s="1006"/>
      <c r="BI172" s="1006"/>
      <c r="BJ172" s="1006"/>
      <c r="BK172" s="1006"/>
      <c r="BL172" s="1006"/>
      <c r="BM172" s="1006"/>
      <c r="BN172" s="1006"/>
      <c r="BO172" s="1006"/>
      <c r="BP172" s="1006"/>
      <c r="BQ172" s="1006"/>
      <c r="BR172" s="1006"/>
      <c r="BS172" s="1006"/>
      <c r="BT172" s="1480">
        <v>1.3226767178995704E-2</v>
      </c>
      <c r="BU172" s="1006"/>
      <c r="BV172" s="1006"/>
      <c r="BW172" s="1006"/>
      <c r="BX172" s="1006"/>
      <c r="BY172" s="1006"/>
      <c r="BZ172" s="1006"/>
      <c r="CA172" s="1006"/>
      <c r="CB172" s="1006"/>
      <c r="CC172" s="1006"/>
      <c r="CD172" s="1006"/>
      <c r="CE172" s="1006"/>
      <c r="CF172" s="1006"/>
      <c r="CG172" s="1209"/>
      <c r="CH172" s="1236">
        <v>140124.74524742016</v>
      </c>
      <c r="CI172" s="1007"/>
      <c r="CJ172" s="1007"/>
      <c r="CK172" s="1007"/>
      <c r="CL172" s="1007"/>
      <c r="CM172" s="1007"/>
      <c r="CN172" s="1007"/>
      <c r="CO172" s="1007"/>
      <c r="CP172" s="1007"/>
      <c r="CQ172" s="1007"/>
      <c r="CR172" s="1007"/>
      <c r="CS172" s="1007"/>
      <c r="CT172" s="1007"/>
      <c r="CU172" s="1007"/>
      <c r="CV172" s="1007"/>
      <c r="CW172" s="1007">
        <v>0</v>
      </c>
      <c r="CX172" s="1007"/>
      <c r="CY172" s="1007"/>
      <c r="CZ172" s="1007"/>
      <c r="DA172" s="1007"/>
      <c r="DB172" s="1007"/>
      <c r="DC172" s="1007"/>
      <c r="DD172" s="1007"/>
      <c r="DE172" s="1236">
        <v>677951631.75603914</v>
      </c>
      <c r="DF172" s="1007"/>
      <c r="DG172" s="1007"/>
      <c r="DH172" s="1007"/>
      <c r="DI172" s="1006"/>
      <c r="DJ172" s="1006"/>
      <c r="DK172" s="1007"/>
      <c r="DL172" s="1007"/>
      <c r="DM172" s="1007"/>
      <c r="DN172" s="1007"/>
      <c r="DO172" s="1112"/>
      <c r="DP172" s="1112"/>
      <c r="DQ172" s="1270"/>
      <c r="DR172" s="1154">
        <f t="shared" si="638"/>
        <v>8922453.137517577</v>
      </c>
      <c r="DS172" s="1154">
        <f t="shared" si="639"/>
        <v>0</v>
      </c>
      <c r="DT172" s="1154">
        <f t="shared" si="640"/>
        <v>0</v>
      </c>
      <c r="DU172" s="1154">
        <f t="shared" si="641"/>
        <v>0</v>
      </c>
      <c r="DV172" s="1154">
        <f t="shared" si="642"/>
        <v>0</v>
      </c>
      <c r="DW172" s="1154">
        <f t="shared" si="643"/>
        <v>0</v>
      </c>
      <c r="DX172" s="1154">
        <f t="shared" si="644"/>
        <v>0</v>
      </c>
      <c r="DY172" s="1154">
        <f t="shared" si="645"/>
        <v>0</v>
      </c>
      <c r="DZ172" s="1154">
        <f t="shared" si="646"/>
        <v>0</v>
      </c>
      <c r="EA172" s="1154">
        <f t="shared" si="647"/>
        <v>0</v>
      </c>
      <c r="EB172" s="1154">
        <f t="shared" si="648"/>
        <v>0</v>
      </c>
      <c r="EC172" s="1154">
        <f t="shared" si="649"/>
        <v>0</v>
      </c>
      <c r="ED172" s="1154">
        <f t="shared" si="650"/>
        <v>0</v>
      </c>
      <c r="EE172" s="1154">
        <f t="shared" si="651"/>
        <v>0</v>
      </c>
      <c r="EF172" s="1154">
        <f t="shared" si="652"/>
        <v>0</v>
      </c>
      <c r="EG172" s="1154">
        <f t="shared" si="653"/>
        <v>0</v>
      </c>
      <c r="EH172" s="1154">
        <f t="shared" si="654"/>
        <v>0</v>
      </c>
      <c r="EI172" s="1154">
        <f t="shared" si="655"/>
        <v>0</v>
      </c>
      <c r="EJ172" s="1154">
        <f t="shared" si="656"/>
        <v>0</v>
      </c>
      <c r="EK172" s="1154">
        <f t="shared" si="657"/>
        <v>0</v>
      </c>
      <c r="EL172" s="1154">
        <f t="shared" si="658"/>
        <v>0</v>
      </c>
      <c r="EM172" s="1154">
        <f t="shared" si="659"/>
        <v>0</v>
      </c>
      <c r="EN172" s="1154">
        <f t="shared" si="660"/>
        <v>0</v>
      </c>
      <c r="EO172" s="1154">
        <f t="shared" si="661"/>
        <v>9207234.8328845203</v>
      </c>
      <c r="EP172" s="1154">
        <f t="shared" si="662"/>
        <v>0</v>
      </c>
      <c r="EQ172" s="1154">
        <f t="shared" si="663"/>
        <v>0</v>
      </c>
      <c r="ER172" s="1154">
        <f t="shared" si="664"/>
        <v>0</v>
      </c>
      <c r="ES172" s="1154">
        <f t="shared" si="665"/>
        <v>0</v>
      </c>
      <c r="ET172" s="1154">
        <f t="shared" si="666"/>
        <v>0</v>
      </c>
      <c r="EU172" s="1154">
        <f t="shared" si="667"/>
        <v>0</v>
      </c>
      <c r="EV172" s="1154">
        <f t="shared" si="668"/>
        <v>0</v>
      </c>
      <c r="EW172" s="1154">
        <f t="shared" si="669"/>
        <v>0</v>
      </c>
      <c r="EX172" s="1154">
        <f t="shared" si="670"/>
        <v>0</v>
      </c>
      <c r="EY172" s="1154">
        <f t="shared" si="671"/>
        <v>0</v>
      </c>
      <c r="EZ172" s="1154">
        <f t="shared" si="672"/>
        <v>0</v>
      </c>
      <c r="FA172" s="1174">
        <f t="shared" si="673"/>
        <v>18129687.970402099</v>
      </c>
      <c r="FC172" s="1154">
        <f t="shared" si="674"/>
        <v>8834112.0173441358</v>
      </c>
      <c r="FD172" s="1154">
        <f t="shared" si="675"/>
        <v>0</v>
      </c>
      <c r="FE172" s="1154">
        <f t="shared" si="676"/>
        <v>0</v>
      </c>
      <c r="FF172" s="1154">
        <f t="shared" si="677"/>
        <v>0</v>
      </c>
      <c r="FG172" s="1154">
        <f t="shared" si="678"/>
        <v>0</v>
      </c>
      <c r="FH172" s="1154">
        <f t="shared" si="679"/>
        <v>0</v>
      </c>
      <c r="FI172" s="1154">
        <f t="shared" si="680"/>
        <v>0</v>
      </c>
      <c r="FJ172" s="1154">
        <f t="shared" si="681"/>
        <v>0</v>
      </c>
      <c r="FK172" s="1154">
        <f t="shared" si="682"/>
        <v>0</v>
      </c>
      <c r="FL172" s="1154">
        <f t="shared" si="683"/>
        <v>0</v>
      </c>
      <c r="FM172" s="1154">
        <f t="shared" si="684"/>
        <v>0</v>
      </c>
      <c r="FN172" s="1154">
        <f t="shared" si="685"/>
        <v>0</v>
      </c>
      <c r="FO172" s="1154">
        <f t="shared" si="686"/>
        <v>0</v>
      </c>
      <c r="FP172" s="1154">
        <f t="shared" si="687"/>
        <v>0</v>
      </c>
      <c r="FQ172" s="1154">
        <f t="shared" si="688"/>
        <v>0</v>
      </c>
      <c r="FR172" s="1154">
        <f t="shared" si="689"/>
        <v>0</v>
      </c>
      <c r="FS172" s="1154">
        <f t="shared" si="690"/>
        <v>0</v>
      </c>
      <c r="FT172" s="1154">
        <f t="shared" si="691"/>
        <v>0</v>
      </c>
      <c r="FU172" s="1154">
        <f t="shared" si="692"/>
        <v>0</v>
      </c>
      <c r="FV172" s="1154">
        <f t="shared" si="693"/>
        <v>0</v>
      </c>
      <c r="FW172" s="1154">
        <f t="shared" si="694"/>
        <v>0</v>
      </c>
      <c r="FX172" s="1154">
        <f t="shared" si="695"/>
        <v>0</v>
      </c>
      <c r="FY172" s="1154">
        <f t="shared" si="696"/>
        <v>0</v>
      </c>
      <c r="FZ172" s="1154">
        <f t="shared" si="697"/>
        <v>8967108.3918573596</v>
      </c>
      <c r="GA172" s="1154">
        <f t="shared" si="698"/>
        <v>0</v>
      </c>
      <c r="GB172" s="1154">
        <f t="shared" si="699"/>
        <v>0</v>
      </c>
      <c r="GC172" s="1154">
        <f t="shared" si="700"/>
        <v>0</v>
      </c>
      <c r="GD172" s="1154">
        <f t="shared" si="701"/>
        <v>0</v>
      </c>
      <c r="GE172" s="1154">
        <f t="shared" si="702"/>
        <v>0</v>
      </c>
      <c r="GF172" s="1154">
        <f t="shared" si="703"/>
        <v>0</v>
      </c>
      <c r="GG172" s="1154">
        <f t="shared" si="704"/>
        <v>0</v>
      </c>
      <c r="GH172" s="1154">
        <f t="shared" si="705"/>
        <v>0</v>
      </c>
      <c r="GI172" s="1154">
        <f t="shared" si="706"/>
        <v>0</v>
      </c>
      <c r="GJ172" s="1154">
        <f t="shared" si="707"/>
        <v>0</v>
      </c>
      <c r="GK172" s="1154">
        <f t="shared" si="708"/>
        <v>0</v>
      </c>
      <c r="GL172" s="1174">
        <f t="shared" si="709"/>
        <v>17801220.409201495</v>
      </c>
    </row>
    <row r="173" spans="1:194">
      <c r="B173" s="1290" t="str">
        <f t="shared" si="637"/>
        <v>SACDUOSERIB</v>
      </c>
      <c r="C173" s="1289" t="str">
        <f t="shared" ref="C173" si="712">C172</f>
        <v>East SAC&lt;100MWhpa Residential IBT</v>
      </c>
      <c r="D173" s="1113" t="str">
        <f t="shared" si="710"/>
        <v>East SAC&lt;100MWhpa Residential IBT</v>
      </c>
      <c r="E173" s="1113" t="str">
        <f t="shared" si="710"/>
        <v>SAC</v>
      </c>
      <c r="F173" s="1113" t="str">
        <f t="shared" si="710"/>
        <v>SACS Res</v>
      </c>
      <c r="G173" s="1113" t="str">
        <f t="shared" ref="G173" si="713">G172</f>
        <v>East</v>
      </c>
      <c r="H173" s="1113" t="str">
        <f t="shared" si="710"/>
        <v>ERIB</v>
      </c>
      <c r="I173" s="1114" t="s">
        <v>759</v>
      </c>
      <c r="J173" s="1114" t="s">
        <v>934</v>
      </c>
      <c r="K173" s="1270"/>
      <c r="L173" s="1233">
        <v>0.28228199999999998</v>
      </c>
      <c r="M173" s="1007"/>
      <c r="N173" s="1007"/>
      <c r="O173" s="1007"/>
      <c r="P173" s="1007"/>
      <c r="Q173" s="1007"/>
      <c r="R173" s="1007"/>
      <c r="S173" s="1007"/>
      <c r="T173" s="1007"/>
      <c r="U173" s="1007"/>
      <c r="V173" s="1007"/>
      <c r="W173" s="1007"/>
      <c r="X173" s="1007"/>
      <c r="Y173" s="1007"/>
      <c r="Z173" s="1007"/>
      <c r="AA173" s="1007"/>
      <c r="AB173" s="1007"/>
      <c r="AC173" s="1007"/>
      <c r="AD173" s="1007"/>
      <c r="AE173" s="1007"/>
      <c r="AF173" s="1007"/>
      <c r="AG173" s="1007"/>
      <c r="AH173" s="1007"/>
      <c r="AI173" s="1233">
        <v>1.4121324100704864E-2</v>
      </c>
      <c r="AJ173" s="1005"/>
      <c r="AK173" s="1005"/>
      <c r="AL173" s="1005"/>
      <c r="AM173" s="1005"/>
      <c r="AN173" s="1005"/>
      <c r="AO173" s="1005"/>
      <c r="AP173" s="1005"/>
      <c r="AQ173" s="1005"/>
      <c r="AR173" s="1005"/>
      <c r="AS173" s="1005"/>
      <c r="AT173" s="1005"/>
      <c r="AU173" s="1006"/>
      <c r="AV173" s="1270"/>
      <c r="AW173" s="1480">
        <v>0.28228199999999998</v>
      </c>
      <c r="AX173" s="1006"/>
      <c r="AY173" s="1006"/>
      <c r="AZ173" s="1006"/>
      <c r="BA173" s="1006"/>
      <c r="BB173" s="1006"/>
      <c r="BC173" s="1006"/>
      <c r="BD173" s="1006"/>
      <c r="BE173" s="1006"/>
      <c r="BF173" s="1006"/>
      <c r="BG173" s="1006"/>
      <c r="BH173" s="1006"/>
      <c r="BI173" s="1006"/>
      <c r="BJ173" s="1006"/>
      <c r="BK173" s="1006"/>
      <c r="BL173" s="1006"/>
      <c r="BM173" s="1006"/>
      <c r="BN173" s="1006"/>
      <c r="BO173" s="1006"/>
      <c r="BP173" s="1006"/>
      <c r="BQ173" s="1006"/>
      <c r="BR173" s="1006"/>
      <c r="BS173" s="1006"/>
      <c r="BT173" s="1480">
        <v>1.4772535454067301E-2</v>
      </c>
      <c r="BU173" s="1006"/>
      <c r="BV173" s="1006"/>
      <c r="BW173" s="1006"/>
      <c r="BX173" s="1006"/>
      <c r="BY173" s="1006"/>
      <c r="BZ173" s="1006"/>
      <c r="CA173" s="1006"/>
      <c r="CB173" s="1006"/>
      <c r="CC173" s="1006"/>
      <c r="CD173" s="1006"/>
      <c r="CE173" s="1006"/>
      <c r="CF173" s="1006"/>
      <c r="CG173" s="1209"/>
      <c r="CH173" s="1236">
        <v>106276.35022862909</v>
      </c>
      <c r="CI173" s="1007"/>
      <c r="CJ173" s="1007"/>
      <c r="CK173" s="1007"/>
      <c r="CL173" s="1007"/>
      <c r="CM173" s="1007"/>
      <c r="CN173" s="1007"/>
      <c r="CO173" s="1007"/>
      <c r="CP173" s="1007"/>
      <c r="CQ173" s="1007"/>
      <c r="CR173" s="1007"/>
      <c r="CS173" s="1007"/>
      <c r="CT173" s="1007"/>
      <c r="CU173" s="1007"/>
      <c r="CV173" s="1007"/>
      <c r="CW173" s="1007"/>
      <c r="CX173" s="1007"/>
      <c r="CY173" s="1007"/>
      <c r="CZ173" s="1007"/>
      <c r="DA173" s="1007"/>
      <c r="DB173" s="1007"/>
      <c r="DC173" s="1007"/>
      <c r="DD173" s="1007"/>
      <c r="DE173" s="1236">
        <v>514186305.4049114</v>
      </c>
      <c r="DF173" s="1007"/>
      <c r="DG173" s="1007"/>
      <c r="DH173" s="1007"/>
      <c r="DI173" s="1006"/>
      <c r="DJ173" s="1006"/>
      <c r="DK173" s="1007"/>
      <c r="DL173" s="1007"/>
      <c r="DM173" s="1007"/>
      <c r="DN173" s="1007"/>
      <c r="DO173" s="1112"/>
      <c r="DP173" s="1112"/>
      <c r="DQ173" s="1270"/>
      <c r="DR173" s="1154">
        <f t="shared" si="638"/>
        <v>10949963.753761824</v>
      </c>
      <c r="DS173" s="1154">
        <f t="shared" si="639"/>
        <v>0</v>
      </c>
      <c r="DT173" s="1154">
        <f t="shared" si="640"/>
        <v>0</v>
      </c>
      <c r="DU173" s="1154">
        <f t="shared" si="641"/>
        <v>0</v>
      </c>
      <c r="DV173" s="1154">
        <f t="shared" si="642"/>
        <v>0</v>
      </c>
      <c r="DW173" s="1154">
        <f t="shared" si="643"/>
        <v>0</v>
      </c>
      <c r="DX173" s="1154">
        <f t="shared" si="644"/>
        <v>0</v>
      </c>
      <c r="DY173" s="1154">
        <f t="shared" si="645"/>
        <v>0</v>
      </c>
      <c r="DZ173" s="1154">
        <f t="shared" si="646"/>
        <v>0</v>
      </c>
      <c r="EA173" s="1154">
        <f t="shared" si="647"/>
        <v>0</v>
      </c>
      <c r="EB173" s="1154">
        <f t="shared" si="648"/>
        <v>0</v>
      </c>
      <c r="EC173" s="1154">
        <f t="shared" si="649"/>
        <v>0</v>
      </c>
      <c r="ED173" s="1154">
        <f t="shared" si="650"/>
        <v>0</v>
      </c>
      <c r="EE173" s="1154">
        <f t="shared" si="651"/>
        <v>0</v>
      </c>
      <c r="EF173" s="1154">
        <f t="shared" si="652"/>
        <v>0</v>
      </c>
      <c r="EG173" s="1154">
        <f t="shared" si="653"/>
        <v>0</v>
      </c>
      <c r="EH173" s="1154">
        <f t="shared" si="654"/>
        <v>0</v>
      </c>
      <c r="EI173" s="1154">
        <f t="shared" si="655"/>
        <v>0</v>
      </c>
      <c r="EJ173" s="1154">
        <f t="shared" si="656"/>
        <v>0</v>
      </c>
      <c r="EK173" s="1154">
        <f t="shared" si="657"/>
        <v>0</v>
      </c>
      <c r="EL173" s="1154">
        <f t="shared" si="658"/>
        <v>0</v>
      </c>
      <c r="EM173" s="1154">
        <f t="shared" si="659"/>
        <v>0</v>
      </c>
      <c r="EN173" s="1154">
        <f t="shared" si="660"/>
        <v>0</v>
      </c>
      <c r="EO173" s="1154">
        <f t="shared" si="661"/>
        <v>7260991.4667667672</v>
      </c>
      <c r="EP173" s="1154">
        <f t="shared" si="662"/>
        <v>0</v>
      </c>
      <c r="EQ173" s="1154">
        <f t="shared" si="663"/>
        <v>0</v>
      </c>
      <c r="ER173" s="1154">
        <f t="shared" si="664"/>
        <v>0</v>
      </c>
      <c r="ES173" s="1154">
        <f t="shared" si="665"/>
        <v>0</v>
      </c>
      <c r="ET173" s="1154">
        <f t="shared" si="666"/>
        <v>0</v>
      </c>
      <c r="EU173" s="1154">
        <f t="shared" si="667"/>
        <v>0</v>
      </c>
      <c r="EV173" s="1154">
        <f t="shared" si="668"/>
        <v>0</v>
      </c>
      <c r="EW173" s="1154">
        <f t="shared" si="669"/>
        <v>0</v>
      </c>
      <c r="EX173" s="1154">
        <f t="shared" si="670"/>
        <v>0</v>
      </c>
      <c r="EY173" s="1154">
        <f t="shared" si="671"/>
        <v>0</v>
      </c>
      <c r="EZ173" s="1154">
        <f t="shared" si="672"/>
        <v>0</v>
      </c>
      <c r="FA173" s="1174">
        <f t="shared" si="673"/>
        <v>18210955.220528591</v>
      </c>
      <c r="FC173" s="1154">
        <f t="shared" si="674"/>
        <v>10949963.753761824</v>
      </c>
      <c r="FD173" s="1154">
        <f t="shared" si="675"/>
        <v>0</v>
      </c>
      <c r="FE173" s="1154">
        <f t="shared" si="676"/>
        <v>0</v>
      </c>
      <c r="FF173" s="1154">
        <f t="shared" si="677"/>
        <v>0</v>
      </c>
      <c r="FG173" s="1154">
        <f t="shared" si="678"/>
        <v>0</v>
      </c>
      <c r="FH173" s="1154">
        <f t="shared" si="679"/>
        <v>0</v>
      </c>
      <c r="FI173" s="1154">
        <f t="shared" si="680"/>
        <v>0</v>
      </c>
      <c r="FJ173" s="1154">
        <f t="shared" si="681"/>
        <v>0</v>
      </c>
      <c r="FK173" s="1154">
        <f t="shared" si="682"/>
        <v>0</v>
      </c>
      <c r="FL173" s="1154">
        <f t="shared" si="683"/>
        <v>0</v>
      </c>
      <c r="FM173" s="1154">
        <f t="shared" si="684"/>
        <v>0</v>
      </c>
      <c r="FN173" s="1154">
        <f t="shared" si="685"/>
        <v>0</v>
      </c>
      <c r="FO173" s="1154">
        <f t="shared" si="686"/>
        <v>0</v>
      </c>
      <c r="FP173" s="1154">
        <f t="shared" si="687"/>
        <v>0</v>
      </c>
      <c r="FQ173" s="1154">
        <f t="shared" si="688"/>
        <v>0</v>
      </c>
      <c r="FR173" s="1154">
        <f t="shared" si="689"/>
        <v>0</v>
      </c>
      <c r="FS173" s="1154">
        <f t="shared" si="690"/>
        <v>0</v>
      </c>
      <c r="FT173" s="1154">
        <f t="shared" si="691"/>
        <v>0</v>
      </c>
      <c r="FU173" s="1154">
        <f t="shared" si="692"/>
        <v>0</v>
      </c>
      <c r="FV173" s="1154">
        <f t="shared" si="693"/>
        <v>0</v>
      </c>
      <c r="FW173" s="1154">
        <f t="shared" si="694"/>
        <v>0</v>
      </c>
      <c r="FX173" s="1154">
        <f t="shared" si="695"/>
        <v>0</v>
      </c>
      <c r="FY173" s="1154">
        <f t="shared" si="696"/>
        <v>0</v>
      </c>
      <c r="FZ173" s="1154">
        <f t="shared" si="697"/>
        <v>7595835.4265899304</v>
      </c>
      <c r="GA173" s="1154">
        <f t="shared" si="698"/>
        <v>0</v>
      </c>
      <c r="GB173" s="1154">
        <f t="shared" si="699"/>
        <v>0</v>
      </c>
      <c r="GC173" s="1154">
        <f t="shared" si="700"/>
        <v>0</v>
      </c>
      <c r="GD173" s="1154">
        <f t="shared" si="701"/>
        <v>0</v>
      </c>
      <c r="GE173" s="1154">
        <f t="shared" si="702"/>
        <v>0</v>
      </c>
      <c r="GF173" s="1154">
        <f t="shared" si="703"/>
        <v>0</v>
      </c>
      <c r="GG173" s="1154">
        <f t="shared" si="704"/>
        <v>0</v>
      </c>
      <c r="GH173" s="1154">
        <f t="shared" si="705"/>
        <v>0</v>
      </c>
      <c r="GI173" s="1154">
        <f t="shared" si="706"/>
        <v>0</v>
      </c>
      <c r="GJ173" s="1154">
        <f t="shared" si="707"/>
        <v>0</v>
      </c>
      <c r="GK173" s="1154">
        <f t="shared" si="708"/>
        <v>0</v>
      </c>
      <c r="GL173" s="1174">
        <f t="shared" si="709"/>
        <v>18545799.180351757</v>
      </c>
    </row>
    <row r="174" spans="1:194">
      <c r="B174" s="1290" t="str">
        <f t="shared" si="637"/>
        <v>SACDUOSWRIB</v>
      </c>
      <c r="C174" s="1289" t="str">
        <f>Prop2021DUOSTariffs!C78</f>
        <v>West SAC&lt;100MWhpa Residential IBT</v>
      </c>
      <c r="D174" s="1113" t="str">
        <f>Prop2021DUOSTariffs!D78</f>
        <v>West SAC&lt;100MWhpa Residential IBT</v>
      </c>
      <c r="E174" s="1113" t="str">
        <f>Prop2021DUOSTariffs!E78</f>
        <v>SAC</v>
      </c>
      <c r="F174" s="1113" t="str">
        <f>Prop2021DUOSTariffs!F78</f>
        <v>SACS Res</v>
      </c>
      <c r="G174" s="1113" t="str">
        <f>Prop2021DUOSTariffs!G78</f>
        <v>West</v>
      </c>
      <c r="H174" s="1113" t="str">
        <f>IF(Prop2021DUOSTariffs!H78="","",Prop2021DUOSTariffs!H78)</f>
        <v>WRIB</v>
      </c>
      <c r="I174" s="1114" t="s">
        <v>798</v>
      </c>
      <c r="J174" s="1114" t="s">
        <v>934</v>
      </c>
      <c r="K174" s="1270"/>
      <c r="L174" s="1233">
        <v>0.10462200000000002</v>
      </c>
      <c r="M174" s="1007"/>
      <c r="N174" s="1007"/>
      <c r="O174" s="1007"/>
      <c r="P174" s="1007"/>
      <c r="Q174" s="1007"/>
      <c r="R174" s="1007"/>
      <c r="S174" s="1007"/>
      <c r="T174" s="1007"/>
      <c r="U174" s="1007"/>
      <c r="V174" s="1007"/>
      <c r="W174" s="1007"/>
      <c r="X174" s="1007"/>
      <c r="Y174" s="1007"/>
      <c r="Z174" s="1007"/>
      <c r="AA174" s="1007"/>
      <c r="AB174" s="1007"/>
      <c r="AC174" s="1007"/>
      <c r="AD174" s="1007"/>
      <c r="AE174" s="1007"/>
      <c r="AF174" s="1007"/>
      <c r="AG174" s="1007"/>
      <c r="AH174" s="1007"/>
      <c r="AI174" s="1233">
        <v>1.2756140745273986E-2</v>
      </c>
      <c r="AJ174" s="1005"/>
      <c r="AK174" s="1005"/>
      <c r="AL174" s="1005"/>
      <c r="AM174" s="1005"/>
      <c r="AN174" s="1005"/>
      <c r="AO174" s="1005"/>
      <c r="AP174" s="1005"/>
      <c r="AQ174" s="1005"/>
      <c r="AR174" s="1005"/>
      <c r="AS174" s="1005"/>
      <c r="AT174" s="1005"/>
      <c r="AU174" s="1006"/>
      <c r="AV174" s="1270"/>
      <c r="AW174" s="1480">
        <v>9.870000000000001E-2</v>
      </c>
      <c r="AX174" s="1006"/>
      <c r="AY174" s="1006"/>
      <c r="AZ174" s="1006"/>
      <c r="BA174" s="1006"/>
      <c r="BB174" s="1006"/>
      <c r="BC174" s="1006"/>
      <c r="BD174" s="1006"/>
      <c r="BE174" s="1006"/>
      <c r="BF174" s="1006"/>
      <c r="BG174" s="1006"/>
      <c r="BH174" s="1006"/>
      <c r="BI174" s="1006"/>
      <c r="BJ174" s="1006"/>
      <c r="BK174" s="1006"/>
      <c r="BL174" s="1006"/>
      <c r="BM174" s="1006"/>
      <c r="BN174" s="1006"/>
      <c r="BO174" s="1006"/>
      <c r="BP174" s="1006"/>
      <c r="BQ174" s="1006"/>
      <c r="BR174" s="1006"/>
      <c r="BS174" s="1006"/>
      <c r="BT174" s="1480">
        <v>9.9886311700567981E-3</v>
      </c>
      <c r="BU174" s="1006"/>
      <c r="BV174" s="1006"/>
      <c r="BW174" s="1006"/>
      <c r="BX174" s="1006"/>
      <c r="BY174" s="1006"/>
      <c r="BZ174" s="1006"/>
      <c r="CA174" s="1006"/>
      <c r="CB174" s="1006"/>
      <c r="CC174" s="1006"/>
      <c r="CD174" s="1006"/>
      <c r="CE174" s="1006"/>
      <c r="CF174" s="1006"/>
      <c r="CG174" s="1209"/>
      <c r="CH174" s="1236">
        <v>31857.221298068554</v>
      </c>
      <c r="CI174" s="1007"/>
      <c r="CJ174" s="1007"/>
      <c r="CK174" s="1007"/>
      <c r="CL174" s="1007"/>
      <c r="CM174" s="1007"/>
      <c r="CN174" s="1007"/>
      <c r="CO174" s="1007"/>
      <c r="CP174" s="1007"/>
      <c r="CQ174" s="1007"/>
      <c r="CR174" s="1007"/>
      <c r="CS174" s="1007"/>
      <c r="CT174" s="1007"/>
      <c r="CU174" s="1007"/>
      <c r="CV174" s="1007"/>
      <c r="CW174" s="1007"/>
      <c r="CX174" s="1007"/>
      <c r="CY174" s="1007"/>
      <c r="CZ174" s="1007"/>
      <c r="DA174" s="1007"/>
      <c r="DB174" s="1007"/>
      <c r="DC174" s="1007"/>
      <c r="DD174" s="1007"/>
      <c r="DE174" s="1236">
        <v>196269339.19384453</v>
      </c>
      <c r="DF174" s="1007"/>
      <c r="DG174" s="1007"/>
      <c r="DH174" s="1007"/>
      <c r="DI174" s="1006"/>
      <c r="DJ174" s="1006"/>
      <c r="DK174" s="1007"/>
      <c r="DL174" s="1007"/>
      <c r="DM174" s="1007"/>
      <c r="DN174" s="1007"/>
      <c r="DO174" s="1112"/>
      <c r="DP174" s="1112"/>
      <c r="DQ174" s="1270"/>
      <c r="DR174" s="1154">
        <f t="shared" si="638"/>
        <v>1216532.665425983</v>
      </c>
      <c r="DS174" s="1154">
        <f t="shared" si="639"/>
        <v>0</v>
      </c>
      <c r="DT174" s="1154">
        <f t="shared" si="640"/>
        <v>0</v>
      </c>
      <c r="DU174" s="1154">
        <f t="shared" si="641"/>
        <v>0</v>
      </c>
      <c r="DV174" s="1154">
        <f t="shared" si="642"/>
        <v>0</v>
      </c>
      <c r="DW174" s="1154">
        <f t="shared" si="643"/>
        <v>0</v>
      </c>
      <c r="DX174" s="1154">
        <f t="shared" si="644"/>
        <v>0</v>
      </c>
      <c r="DY174" s="1154">
        <f t="shared" si="645"/>
        <v>0</v>
      </c>
      <c r="DZ174" s="1154">
        <f t="shared" si="646"/>
        <v>0</v>
      </c>
      <c r="EA174" s="1154">
        <f t="shared" si="647"/>
        <v>0</v>
      </c>
      <c r="EB174" s="1154">
        <f t="shared" si="648"/>
        <v>0</v>
      </c>
      <c r="EC174" s="1154">
        <f t="shared" si="649"/>
        <v>0</v>
      </c>
      <c r="ED174" s="1154">
        <f t="shared" si="650"/>
        <v>0</v>
      </c>
      <c r="EE174" s="1154">
        <f t="shared" si="651"/>
        <v>0</v>
      </c>
      <c r="EF174" s="1154">
        <f t="shared" si="652"/>
        <v>0</v>
      </c>
      <c r="EG174" s="1154">
        <f t="shared" si="653"/>
        <v>0</v>
      </c>
      <c r="EH174" s="1154">
        <f t="shared" si="654"/>
        <v>0</v>
      </c>
      <c r="EI174" s="1154">
        <f t="shared" si="655"/>
        <v>0</v>
      </c>
      <c r="EJ174" s="1154">
        <f t="shared" si="656"/>
        <v>0</v>
      </c>
      <c r="EK174" s="1154">
        <f t="shared" si="657"/>
        <v>0</v>
      </c>
      <c r="EL174" s="1154">
        <f t="shared" si="658"/>
        <v>0</v>
      </c>
      <c r="EM174" s="1154">
        <f t="shared" si="659"/>
        <v>0</v>
      </c>
      <c r="EN174" s="1154">
        <f t="shared" si="660"/>
        <v>0</v>
      </c>
      <c r="EO174" s="1154">
        <f t="shared" si="661"/>
        <v>2503639.3147386005</v>
      </c>
      <c r="EP174" s="1154">
        <f t="shared" si="662"/>
        <v>0</v>
      </c>
      <c r="EQ174" s="1154">
        <f t="shared" si="663"/>
        <v>0</v>
      </c>
      <c r="ER174" s="1154">
        <f t="shared" si="664"/>
        <v>0</v>
      </c>
      <c r="ES174" s="1154">
        <f t="shared" si="665"/>
        <v>0</v>
      </c>
      <c r="ET174" s="1154">
        <f t="shared" si="666"/>
        <v>0</v>
      </c>
      <c r="EU174" s="1154">
        <f t="shared" si="667"/>
        <v>0</v>
      </c>
      <c r="EV174" s="1154">
        <f t="shared" si="668"/>
        <v>0</v>
      </c>
      <c r="EW174" s="1154">
        <f t="shared" si="669"/>
        <v>0</v>
      </c>
      <c r="EX174" s="1154">
        <f t="shared" si="670"/>
        <v>0</v>
      </c>
      <c r="EY174" s="1154">
        <f t="shared" si="671"/>
        <v>0</v>
      </c>
      <c r="EZ174" s="1154">
        <f t="shared" si="672"/>
        <v>0</v>
      </c>
      <c r="FA174" s="1174">
        <f t="shared" si="673"/>
        <v>3720171.9801645838</v>
      </c>
      <c r="FC174" s="1154">
        <f t="shared" si="674"/>
        <v>1147672.3258735689</v>
      </c>
      <c r="FD174" s="1154">
        <f t="shared" si="675"/>
        <v>0</v>
      </c>
      <c r="FE174" s="1154">
        <f t="shared" si="676"/>
        <v>0</v>
      </c>
      <c r="FF174" s="1154">
        <f t="shared" si="677"/>
        <v>0</v>
      </c>
      <c r="FG174" s="1154">
        <f t="shared" si="678"/>
        <v>0</v>
      </c>
      <c r="FH174" s="1154">
        <f t="shared" si="679"/>
        <v>0</v>
      </c>
      <c r="FI174" s="1154">
        <f t="shared" si="680"/>
        <v>0</v>
      </c>
      <c r="FJ174" s="1154">
        <f t="shared" si="681"/>
        <v>0</v>
      </c>
      <c r="FK174" s="1154">
        <f t="shared" si="682"/>
        <v>0</v>
      </c>
      <c r="FL174" s="1154">
        <f t="shared" si="683"/>
        <v>0</v>
      </c>
      <c r="FM174" s="1154">
        <f t="shared" si="684"/>
        <v>0</v>
      </c>
      <c r="FN174" s="1154">
        <f t="shared" si="685"/>
        <v>0</v>
      </c>
      <c r="FO174" s="1154">
        <f t="shared" si="686"/>
        <v>0</v>
      </c>
      <c r="FP174" s="1154">
        <f t="shared" si="687"/>
        <v>0</v>
      </c>
      <c r="FQ174" s="1154">
        <f t="shared" si="688"/>
        <v>0</v>
      </c>
      <c r="FR174" s="1154">
        <f t="shared" si="689"/>
        <v>0</v>
      </c>
      <c r="FS174" s="1154">
        <f t="shared" si="690"/>
        <v>0</v>
      </c>
      <c r="FT174" s="1154">
        <f t="shared" si="691"/>
        <v>0</v>
      </c>
      <c r="FU174" s="1154">
        <f t="shared" si="692"/>
        <v>0</v>
      </c>
      <c r="FV174" s="1154">
        <f t="shared" si="693"/>
        <v>0</v>
      </c>
      <c r="FW174" s="1154">
        <f t="shared" si="694"/>
        <v>0</v>
      </c>
      <c r="FX174" s="1154">
        <f t="shared" si="695"/>
        <v>0</v>
      </c>
      <c r="FY174" s="1154">
        <f t="shared" si="696"/>
        <v>0</v>
      </c>
      <c r="FZ174" s="1154">
        <f t="shared" si="697"/>
        <v>1960462.0391980859</v>
      </c>
      <c r="GA174" s="1154">
        <f t="shared" si="698"/>
        <v>0</v>
      </c>
      <c r="GB174" s="1154">
        <f t="shared" si="699"/>
        <v>0</v>
      </c>
      <c r="GC174" s="1154">
        <f t="shared" si="700"/>
        <v>0</v>
      </c>
      <c r="GD174" s="1154">
        <f t="shared" si="701"/>
        <v>0</v>
      </c>
      <c r="GE174" s="1154">
        <f t="shared" si="702"/>
        <v>0</v>
      </c>
      <c r="GF174" s="1154">
        <f t="shared" si="703"/>
        <v>0</v>
      </c>
      <c r="GG174" s="1154">
        <f t="shared" si="704"/>
        <v>0</v>
      </c>
      <c r="GH174" s="1154">
        <f t="shared" si="705"/>
        <v>0</v>
      </c>
      <c r="GI174" s="1154">
        <f t="shared" si="706"/>
        <v>0</v>
      </c>
      <c r="GJ174" s="1154">
        <f t="shared" si="707"/>
        <v>0</v>
      </c>
      <c r="GK174" s="1154">
        <f t="shared" si="708"/>
        <v>0</v>
      </c>
      <c r="GL174" s="1174">
        <f t="shared" si="709"/>
        <v>3108134.3650716548</v>
      </c>
    </row>
    <row r="175" spans="1:194">
      <c r="B175" s="1290" t="str">
        <f t="shared" si="637"/>
        <v>SACDUOSWRIB</v>
      </c>
      <c r="C175" s="1289" t="str">
        <f>C174</f>
        <v>West SAC&lt;100MWhpa Residential IBT</v>
      </c>
      <c r="D175" s="1113" t="str">
        <f t="shared" ref="D175:H176" si="714">D174</f>
        <v>West SAC&lt;100MWhpa Residential IBT</v>
      </c>
      <c r="E175" s="1113" t="str">
        <f t="shared" si="714"/>
        <v>SAC</v>
      </c>
      <c r="F175" s="1113" t="str">
        <f t="shared" si="714"/>
        <v>SACS Res</v>
      </c>
      <c r="G175" s="1113" t="str">
        <f t="shared" ref="G175" si="715">G174</f>
        <v>West</v>
      </c>
      <c r="H175" s="1113" t="str">
        <f t="shared" si="714"/>
        <v>WRIB</v>
      </c>
      <c r="I175" s="1114" t="s">
        <v>752</v>
      </c>
      <c r="J175" s="1114" t="s">
        <v>934</v>
      </c>
      <c r="K175" s="1270"/>
      <c r="L175" s="1233">
        <v>0.17445225</v>
      </c>
      <c r="M175" s="1007"/>
      <c r="N175" s="1007"/>
      <c r="O175" s="1007"/>
      <c r="P175" s="1007"/>
      <c r="Q175" s="1007"/>
      <c r="R175" s="1007"/>
      <c r="S175" s="1007"/>
      <c r="T175" s="1007"/>
      <c r="U175" s="1007"/>
      <c r="V175" s="1007"/>
      <c r="W175" s="1007"/>
      <c r="X175" s="1007"/>
      <c r="Y175" s="1007"/>
      <c r="Z175" s="1007"/>
      <c r="AA175" s="1007"/>
      <c r="AB175" s="1007"/>
      <c r="AC175" s="1007"/>
      <c r="AD175" s="1007"/>
      <c r="AE175" s="1007"/>
      <c r="AF175" s="1007"/>
      <c r="AG175" s="1007"/>
      <c r="AH175" s="1007"/>
      <c r="AI175" s="1233">
        <v>1.3580961239131205E-2</v>
      </c>
      <c r="AJ175" s="1005"/>
      <c r="AK175" s="1005"/>
      <c r="AL175" s="1005"/>
      <c r="AM175" s="1005"/>
      <c r="AN175" s="1005"/>
      <c r="AO175" s="1005"/>
      <c r="AP175" s="1005"/>
      <c r="AQ175" s="1005"/>
      <c r="AR175" s="1005"/>
      <c r="AS175" s="1005"/>
      <c r="AT175" s="1005"/>
      <c r="AU175" s="1006"/>
      <c r="AV175" s="1270"/>
      <c r="AW175" s="1480">
        <v>0.17272499999999999</v>
      </c>
      <c r="AX175" s="1006"/>
      <c r="AY175" s="1006"/>
      <c r="AZ175" s="1006"/>
      <c r="BA175" s="1006"/>
      <c r="BB175" s="1006"/>
      <c r="BC175" s="1006"/>
      <c r="BD175" s="1006"/>
      <c r="BE175" s="1006"/>
      <c r="BF175" s="1006"/>
      <c r="BG175" s="1006"/>
      <c r="BH175" s="1006"/>
      <c r="BI175" s="1006"/>
      <c r="BJ175" s="1006"/>
      <c r="BK175" s="1006"/>
      <c r="BL175" s="1006"/>
      <c r="BM175" s="1006"/>
      <c r="BN175" s="1006"/>
      <c r="BO175" s="1006"/>
      <c r="BP175" s="1006"/>
      <c r="BQ175" s="1006"/>
      <c r="BR175" s="1006"/>
      <c r="BS175" s="1006"/>
      <c r="BT175" s="1480">
        <v>1.3226767178995704E-2</v>
      </c>
      <c r="BU175" s="1006"/>
      <c r="BV175" s="1006"/>
      <c r="BW175" s="1006"/>
      <c r="BX175" s="1006"/>
      <c r="BY175" s="1006"/>
      <c r="BZ175" s="1006"/>
      <c r="CA175" s="1006"/>
      <c r="CB175" s="1006"/>
      <c r="CC175" s="1006"/>
      <c r="CD175" s="1006"/>
      <c r="CE175" s="1006"/>
      <c r="CF175" s="1006"/>
      <c r="CG175" s="1209"/>
      <c r="CH175" s="1236">
        <v>7912.4197086041295</v>
      </c>
      <c r="CI175" s="1007"/>
      <c r="CJ175" s="1007"/>
      <c r="CK175" s="1007"/>
      <c r="CL175" s="1007"/>
      <c r="CM175" s="1007"/>
      <c r="CN175" s="1007"/>
      <c r="CO175" s="1007"/>
      <c r="CP175" s="1007"/>
      <c r="CQ175" s="1007"/>
      <c r="CR175" s="1007"/>
      <c r="CS175" s="1007"/>
      <c r="CT175" s="1007"/>
      <c r="CU175" s="1007"/>
      <c r="CV175" s="1007"/>
      <c r="CW175" s="1007"/>
      <c r="CX175" s="1007"/>
      <c r="CY175" s="1007"/>
      <c r="CZ175" s="1007"/>
      <c r="DA175" s="1007"/>
      <c r="DB175" s="1007"/>
      <c r="DC175" s="1007"/>
      <c r="DD175" s="1007"/>
      <c r="DE175" s="1236">
        <v>48747672.406891234</v>
      </c>
      <c r="DF175" s="1007"/>
      <c r="DG175" s="1007"/>
      <c r="DH175" s="1007"/>
      <c r="DI175" s="1006"/>
      <c r="DJ175" s="1006"/>
      <c r="DK175" s="1007"/>
      <c r="DL175" s="1007"/>
      <c r="DM175" s="1007"/>
      <c r="DN175" s="1007"/>
      <c r="DO175" s="1112"/>
      <c r="DP175" s="1112"/>
      <c r="DQ175" s="1270"/>
      <c r="DR175" s="1154">
        <f t="shared" si="638"/>
        <v>503823.88870527223</v>
      </c>
      <c r="DS175" s="1154">
        <f t="shared" si="639"/>
        <v>0</v>
      </c>
      <c r="DT175" s="1154">
        <f t="shared" si="640"/>
        <v>0</v>
      </c>
      <c r="DU175" s="1154">
        <f t="shared" si="641"/>
        <v>0</v>
      </c>
      <c r="DV175" s="1154">
        <f t="shared" si="642"/>
        <v>0</v>
      </c>
      <c r="DW175" s="1154">
        <f t="shared" si="643"/>
        <v>0</v>
      </c>
      <c r="DX175" s="1154">
        <f t="shared" si="644"/>
        <v>0</v>
      </c>
      <c r="DY175" s="1154">
        <f t="shared" si="645"/>
        <v>0</v>
      </c>
      <c r="DZ175" s="1154">
        <f t="shared" si="646"/>
        <v>0</v>
      </c>
      <c r="EA175" s="1154">
        <f t="shared" si="647"/>
        <v>0</v>
      </c>
      <c r="EB175" s="1154">
        <f t="shared" si="648"/>
        <v>0</v>
      </c>
      <c r="EC175" s="1154">
        <f t="shared" si="649"/>
        <v>0</v>
      </c>
      <c r="ED175" s="1154">
        <f t="shared" si="650"/>
        <v>0</v>
      </c>
      <c r="EE175" s="1154">
        <f t="shared" si="651"/>
        <v>0</v>
      </c>
      <c r="EF175" s="1154">
        <f t="shared" si="652"/>
        <v>0</v>
      </c>
      <c r="EG175" s="1154">
        <f t="shared" si="653"/>
        <v>0</v>
      </c>
      <c r="EH175" s="1154">
        <f t="shared" si="654"/>
        <v>0</v>
      </c>
      <c r="EI175" s="1154">
        <f t="shared" si="655"/>
        <v>0</v>
      </c>
      <c r="EJ175" s="1154">
        <f t="shared" si="656"/>
        <v>0</v>
      </c>
      <c r="EK175" s="1154">
        <f t="shared" si="657"/>
        <v>0</v>
      </c>
      <c r="EL175" s="1154">
        <f t="shared" si="658"/>
        <v>0</v>
      </c>
      <c r="EM175" s="1154">
        <f t="shared" si="659"/>
        <v>0</v>
      </c>
      <c r="EN175" s="1154">
        <f t="shared" si="660"/>
        <v>0</v>
      </c>
      <c r="EO175" s="1154">
        <f t="shared" si="661"/>
        <v>662040.24945585569</v>
      </c>
      <c r="EP175" s="1154">
        <f t="shared" si="662"/>
        <v>0</v>
      </c>
      <c r="EQ175" s="1154">
        <f t="shared" si="663"/>
        <v>0</v>
      </c>
      <c r="ER175" s="1154">
        <f t="shared" si="664"/>
        <v>0</v>
      </c>
      <c r="ES175" s="1154">
        <f t="shared" si="665"/>
        <v>0</v>
      </c>
      <c r="ET175" s="1154">
        <f t="shared" si="666"/>
        <v>0</v>
      </c>
      <c r="EU175" s="1154">
        <f t="shared" si="667"/>
        <v>0</v>
      </c>
      <c r="EV175" s="1154">
        <f t="shared" si="668"/>
        <v>0</v>
      </c>
      <c r="EW175" s="1154">
        <f t="shared" si="669"/>
        <v>0</v>
      </c>
      <c r="EX175" s="1154">
        <f t="shared" si="670"/>
        <v>0</v>
      </c>
      <c r="EY175" s="1154">
        <f t="shared" si="671"/>
        <v>0</v>
      </c>
      <c r="EZ175" s="1154">
        <f t="shared" si="672"/>
        <v>0</v>
      </c>
      <c r="FA175" s="1174">
        <f t="shared" si="673"/>
        <v>1165864.1381611279</v>
      </c>
      <c r="FC175" s="1154">
        <f t="shared" si="674"/>
        <v>498835.53337155655</v>
      </c>
      <c r="FD175" s="1154">
        <f t="shared" si="675"/>
        <v>0</v>
      </c>
      <c r="FE175" s="1154">
        <f t="shared" si="676"/>
        <v>0</v>
      </c>
      <c r="FF175" s="1154">
        <f t="shared" si="677"/>
        <v>0</v>
      </c>
      <c r="FG175" s="1154">
        <f t="shared" si="678"/>
        <v>0</v>
      </c>
      <c r="FH175" s="1154">
        <f t="shared" si="679"/>
        <v>0</v>
      </c>
      <c r="FI175" s="1154">
        <f t="shared" si="680"/>
        <v>0</v>
      </c>
      <c r="FJ175" s="1154">
        <f t="shared" si="681"/>
        <v>0</v>
      </c>
      <c r="FK175" s="1154">
        <f t="shared" si="682"/>
        <v>0</v>
      </c>
      <c r="FL175" s="1154">
        <f t="shared" si="683"/>
        <v>0</v>
      </c>
      <c r="FM175" s="1154">
        <f t="shared" si="684"/>
        <v>0</v>
      </c>
      <c r="FN175" s="1154">
        <f t="shared" si="685"/>
        <v>0</v>
      </c>
      <c r="FO175" s="1154">
        <f t="shared" si="686"/>
        <v>0</v>
      </c>
      <c r="FP175" s="1154">
        <f t="shared" si="687"/>
        <v>0</v>
      </c>
      <c r="FQ175" s="1154">
        <f t="shared" si="688"/>
        <v>0</v>
      </c>
      <c r="FR175" s="1154">
        <f t="shared" si="689"/>
        <v>0</v>
      </c>
      <c r="FS175" s="1154">
        <f t="shared" si="690"/>
        <v>0</v>
      </c>
      <c r="FT175" s="1154">
        <f t="shared" si="691"/>
        <v>0</v>
      </c>
      <c r="FU175" s="1154">
        <f t="shared" si="692"/>
        <v>0</v>
      </c>
      <c r="FV175" s="1154">
        <f t="shared" si="693"/>
        <v>0</v>
      </c>
      <c r="FW175" s="1154">
        <f t="shared" si="694"/>
        <v>0</v>
      </c>
      <c r="FX175" s="1154">
        <f t="shared" si="695"/>
        <v>0</v>
      </c>
      <c r="FY175" s="1154">
        <f t="shared" si="696"/>
        <v>0</v>
      </c>
      <c r="FZ175" s="1154">
        <f t="shared" si="697"/>
        <v>644774.11344390351</v>
      </c>
      <c r="GA175" s="1154">
        <f t="shared" si="698"/>
        <v>0</v>
      </c>
      <c r="GB175" s="1154">
        <f t="shared" si="699"/>
        <v>0</v>
      </c>
      <c r="GC175" s="1154">
        <f t="shared" si="700"/>
        <v>0</v>
      </c>
      <c r="GD175" s="1154">
        <f t="shared" si="701"/>
        <v>0</v>
      </c>
      <c r="GE175" s="1154">
        <f t="shared" si="702"/>
        <v>0</v>
      </c>
      <c r="GF175" s="1154">
        <f t="shared" si="703"/>
        <v>0</v>
      </c>
      <c r="GG175" s="1154">
        <f t="shared" si="704"/>
        <v>0</v>
      </c>
      <c r="GH175" s="1154">
        <f t="shared" si="705"/>
        <v>0</v>
      </c>
      <c r="GI175" s="1154">
        <f t="shared" si="706"/>
        <v>0</v>
      </c>
      <c r="GJ175" s="1154">
        <f t="shared" si="707"/>
        <v>0</v>
      </c>
      <c r="GK175" s="1154">
        <f t="shared" si="708"/>
        <v>0</v>
      </c>
      <c r="GL175" s="1174">
        <f t="shared" si="709"/>
        <v>1143609.6468154602</v>
      </c>
    </row>
    <row r="176" spans="1:194">
      <c r="B176" s="1290" t="str">
        <f t="shared" si="637"/>
        <v>SACDUOSWRIB</v>
      </c>
      <c r="C176" s="1289" t="str">
        <f t="shared" ref="C176" si="716">C175</f>
        <v>West SAC&lt;100MWhpa Residential IBT</v>
      </c>
      <c r="D176" s="1113" t="str">
        <f t="shared" si="714"/>
        <v>West SAC&lt;100MWhpa Residential IBT</v>
      </c>
      <c r="E176" s="1113" t="str">
        <f t="shared" si="714"/>
        <v>SAC</v>
      </c>
      <c r="F176" s="1113" t="str">
        <f t="shared" si="714"/>
        <v>SACS Res</v>
      </c>
      <c r="G176" s="1113" t="str">
        <f t="shared" ref="G176" si="717">G175</f>
        <v>West</v>
      </c>
      <c r="H176" s="1113" t="str">
        <f t="shared" si="714"/>
        <v>WRIB</v>
      </c>
      <c r="I176" s="1114" t="s">
        <v>759</v>
      </c>
      <c r="J176" s="1114" t="s">
        <v>934</v>
      </c>
      <c r="K176" s="1270"/>
      <c r="L176" s="1233">
        <v>0.28228199999999998</v>
      </c>
      <c r="M176" s="1007"/>
      <c r="N176" s="1007"/>
      <c r="O176" s="1007"/>
      <c r="P176" s="1007"/>
      <c r="Q176" s="1007"/>
      <c r="R176" s="1007"/>
      <c r="S176" s="1007"/>
      <c r="T176" s="1007"/>
      <c r="U176" s="1007"/>
      <c r="V176" s="1007"/>
      <c r="W176" s="1007"/>
      <c r="X176" s="1007"/>
      <c r="Y176" s="1007"/>
      <c r="Z176" s="1007"/>
      <c r="AA176" s="1007"/>
      <c r="AB176" s="1007"/>
      <c r="AC176" s="1007"/>
      <c r="AD176" s="1007"/>
      <c r="AE176" s="1007"/>
      <c r="AF176" s="1007"/>
      <c r="AG176" s="1007"/>
      <c r="AH176" s="1007"/>
      <c r="AI176" s="1233">
        <v>1.4121324100704864E-2</v>
      </c>
      <c r="AJ176" s="1005"/>
      <c r="AK176" s="1005"/>
      <c r="AL176" s="1005"/>
      <c r="AM176" s="1005"/>
      <c r="AN176" s="1005"/>
      <c r="AO176" s="1005"/>
      <c r="AP176" s="1005"/>
      <c r="AQ176" s="1005"/>
      <c r="AR176" s="1005"/>
      <c r="AS176" s="1005"/>
      <c r="AT176" s="1005"/>
      <c r="AU176" s="1006"/>
      <c r="AV176" s="1270"/>
      <c r="AW176" s="1480">
        <v>0.28228199999999998</v>
      </c>
      <c r="AX176" s="1006"/>
      <c r="AY176" s="1006"/>
      <c r="AZ176" s="1006"/>
      <c r="BA176" s="1006"/>
      <c r="BB176" s="1006"/>
      <c r="BC176" s="1006"/>
      <c r="BD176" s="1006"/>
      <c r="BE176" s="1006"/>
      <c r="BF176" s="1006"/>
      <c r="BG176" s="1006"/>
      <c r="BH176" s="1006"/>
      <c r="BI176" s="1006"/>
      <c r="BJ176" s="1006"/>
      <c r="BK176" s="1006"/>
      <c r="BL176" s="1006"/>
      <c r="BM176" s="1006"/>
      <c r="BN176" s="1006"/>
      <c r="BO176" s="1006"/>
      <c r="BP176" s="1006"/>
      <c r="BQ176" s="1006"/>
      <c r="BR176" s="1006"/>
      <c r="BS176" s="1006"/>
      <c r="BT176" s="1480">
        <v>1.4772535454067301E-2</v>
      </c>
      <c r="BU176" s="1006"/>
      <c r="BV176" s="1006"/>
      <c r="BW176" s="1006"/>
      <c r="BX176" s="1006"/>
      <c r="BY176" s="1006"/>
      <c r="BZ176" s="1006"/>
      <c r="CA176" s="1006"/>
      <c r="CB176" s="1006"/>
      <c r="CC176" s="1006"/>
      <c r="CD176" s="1006"/>
      <c r="CE176" s="1006"/>
      <c r="CF176" s="1006"/>
      <c r="CG176" s="1209"/>
      <c r="CH176" s="1236">
        <v>1629.3089933273095</v>
      </c>
      <c r="CI176" s="1007"/>
      <c r="CJ176" s="1007"/>
      <c r="CK176" s="1007"/>
      <c r="CL176" s="1007"/>
      <c r="CM176" s="1007"/>
      <c r="CN176" s="1007"/>
      <c r="CO176" s="1007"/>
      <c r="CP176" s="1007"/>
      <c r="CQ176" s="1007"/>
      <c r="CR176" s="1007"/>
      <c r="CS176" s="1007"/>
      <c r="CT176" s="1007"/>
      <c r="CU176" s="1007"/>
      <c r="CV176" s="1007"/>
      <c r="CW176" s="1007"/>
      <c r="CX176" s="1007"/>
      <c r="CY176" s="1007"/>
      <c r="CZ176" s="1007"/>
      <c r="DA176" s="1007"/>
      <c r="DB176" s="1007"/>
      <c r="DC176" s="1007"/>
      <c r="DD176" s="1007"/>
      <c r="DE176" s="1236">
        <v>10038019.213004211</v>
      </c>
      <c r="DF176" s="1007"/>
      <c r="DG176" s="1007"/>
      <c r="DH176" s="1007"/>
      <c r="DI176" s="1006"/>
      <c r="DJ176" s="1006"/>
      <c r="DK176" s="1007"/>
      <c r="DL176" s="1007"/>
      <c r="DM176" s="1007"/>
      <c r="DN176" s="1007"/>
      <c r="DO176" s="1112"/>
      <c r="DP176" s="1112"/>
      <c r="DQ176" s="1270"/>
      <c r="DR176" s="1154">
        <f t="shared" si="638"/>
        <v>167872.47945786314</v>
      </c>
      <c r="DS176" s="1154">
        <f t="shared" si="639"/>
        <v>0</v>
      </c>
      <c r="DT176" s="1154">
        <f t="shared" si="640"/>
        <v>0</v>
      </c>
      <c r="DU176" s="1154">
        <f t="shared" si="641"/>
        <v>0</v>
      </c>
      <c r="DV176" s="1154">
        <f t="shared" si="642"/>
        <v>0</v>
      </c>
      <c r="DW176" s="1154">
        <f t="shared" si="643"/>
        <v>0</v>
      </c>
      <c r="DX176" s="1154">
        <f t="shared" si="644"/>
        <v>0</v>
      </c>
      <c r="DY176" s="1154">
        <f t="shared" si="645"/>
        <v>0</v>
      </c>
      <c r="DZ176" s="1154">
        <f t="shared" si="646"/>
        <v>0</v>
      </c>
      <c r="EA176" s="1154">
        <f t="shared" si="647"/>
        <v>0</v>
      </c>
      <c r="EB176" s="1154">
        <f t="shared" si="648"/>
        <v>0</v>
      </c>
      <c r="EC176" s="1154">
        <f t="shared" si="649"/>
        <v>0</v>
      </c>
      <c r="ED176" s="1154">
        <f t="shared" si="650"/>
        <v>0</v>
      </c>
      <c r="EE176" s="1154">
        <f t="shared" si="651"/>
        <v>0</v>
      </c>
      <c r="EF176" s="1154">
        <f t="shared" si="652"/>
        <v>0</v>
      </c>
      <c r="EG176" s="1154">
        <f t="shared" si="653"/>
        <v>0</v>
      </c>
      <c r="EH176" s="1154">
        <f t="shared" si="654"/>
        <v>0</v>
      </c>
      <c r="EI176" s="1154">
        <f t="shared" si="655"/>
        <v>0</v>
      </c>
      <c r="EJ176" s="1154">
        <f t="shared" si="656"/>
        <v>0</v>
      </c>
      <c r="EK176" s="1154">
        <f t="shared" si="657"/>
        <v>0</v>
      </c>
      <c r="EL176" s="1154">
        <f t="shared" si="658"/>
        <v>0</v>
      </c>
      <c r="EM176" s="1154">
        <f t="shared" si="659"/>
        <v>0</v>
      </c>
      <c r="EN176" s="1154">
        <f t="shared" si="660"/>
        <v>0</v>
      </c>
      <c r="EO176" s="1154">
        <f t="shared" si="661"/>
        <v>141750.12263593482</v>
      </c>
      <c r="EP176" s="1154">
        <f t="shared" si="662"/>
        <v>0</v>
      </c>
      <c r="EQ176" s="1154">
        <f t="shared" si="663"/>
        <v>0</v>
      </c>
      <c r="ER176" s="1154">
        <f t="shared" si="664"/>
        <v>0</v>
      </c>
      <c r="ES176" s="1154">
        <f t="shared" si="665"/>
        <v>0</v>
      </c>
      <c r="ET176" s="1154">
        <f t="shared" si="666"/>
        <v>0</v>
      </c>
      <c r="EU176" s="1154">
        <f t="shared" si="667"/>
        <v>0</v>
      </c>
      <c r="EV176" s="1154">
        <f t="shared" si="668"/>
        <v>0</v>
      </c>
      <c r="EW176" s="1154">
        <f t="shared" si="669"/>
        <v>0</v>
      </c>
      <c r="EX176" s="1154">
        <f t="shared" si="670"/>
        <v>0</v>
      </c>
      <c r="EY176" s="1154">
        <f t="shared" si="671"/>
        <v>0</v>
      </c>
      <c r="EZ176" s="1154">
        <f t="shared" si="672"/>
        <v>0</v>
      </c>
      <c r="FA176" s="1174">
        <f t="shared" si="673"/>
        <v>309622.60209379799</v>
      </c>
      <c r="FC176" s="1154">
        <f t="shared" si="674"/>
        <v>167872.47945786314</v>
      </c>
      <c r="FD176" s="1154">
        <f t="shared" si="675"/>
        <v>0</v>
      </c>
      <c r="FE176" s="1154">
        <f t="shared" si="676"/>
        <v>0</v>
      </c>
      <c r="FF176" s="1154">
        <f t="shared" si="677"/>
        <v>0</v>
      </c>
      <c r="FG176" s="1154">
        <f t="shared" si="678"/>
        <v>0</v>
      </c>
      <c r="FH176" s="1154">
        <f t="shared" si="679"/>
        <v>0</v>
      </c>
      <c r="FI176" s="1154">
        <f t="shared" si="680"/>
        <v>0</v>
      </c>
      <c r="FJ176" s="1154">
        <f t="shared" si="681"/>
        <v>0</v>
      </c>
      <c r="FK176" s="1154">
        <f t="shared" si="682"/>
        <v>0</v>
      </c>
      <c r="FL176" s="1154">
        <f t="shared" si="683"/>
        <v>0</v>
      </c>
      <c r="FM176" s="1154">
        <f t="shared" si="684"/>
        <v>0</v>
      </c>
      <c r="FN176" s="1154">
        <f t="shared" si="685"/>
        <v>0</v>
      </c>
      <c r="FO176" s="1154">
        <f t="shared" si="686"/>
        <v>0</v>
      </c>
      <c r="FP176" s="1154">
        <f t="shared" si="687"/>
        <v>0</v>
      </c>
      <c r="FQ176" s="1154">
        <f t="shared" si="688"/>
        <v>0</v>
      </c>
      <c r="FR176" s="1154">
        <f t="shared" si="689"/>
        <v>0</v>
      </c>
      <c r="FS176" s="1154">
        <f t="shared" si="690"/>
        <v>0</v>
      </c>
      <c r="FT176" s="1154">
        <f t="shared" si="691"/>
        <v>0</v>
      </c>
      <c r="FU176" s="1154">
        <f t="shared" si="692"/>
        <v>0</v>
      </c>
      <c r="FV176" s="1154">
        <f t="shared" si="693"/>
        <v>0</v>
      </c>
      <c r="FW176" s="1154">
        <f t="shared" si="694"/>
        <v>0</v>
      </c>
      <c r="FX176" s="1154">
        <f t="shared" si="695"/>
        <v>0</v>
      </c>
      <c r="FY176" s="1154">
        <f t="shared" si="696"/>
        <v>0</v>
      </c>
      <c r="FZ176" s="1154">
        <f t="shared" si="697"/>
        <v>148286.99471271347</v>
      </c>
      <c r="GA176" s="1154">
        <f t="shared" si="698"/>
        <v>0</v>
      </c>
      <c r="GB176" s="1154">
        <f t="shared" si="699"/>
        <v>0</v>
      </c>
      <c r="GC176" s="1154">
        <f t="shared" si="700"/>
        <v>0</v>
      </c>
      <c r="GD176" s="1154">
        <f t="shared" si="701"/>
        <v>0</v>
      </c>
      <c r="GE176" s="1154">
        <f t="shared" si="702"/>
        <v>0</v>
      </c>
      <c r="GF176" s="1154">
        <f t="shared" si="703"/>
        <v>0</v>
      </c>
      <c r="GG176" s="1154">
        <f t="shared" si="704"/>
        <v>0</v>
      </c>
      <c r="GH176" s="1154">
        <f t="shared" si="705"/>
        <v>0</v>
      </c>
      <c r="GI176" s="1154">
        <f t="shared" si="706"/>
        <v>0</v>
      </c>
      <c r="GJ176" s="1154">
        <f t="shared" si="707"/>
        <v>0</v>
      </c>
      <c r="GK176" s="1154">
        <f t="shared" si="708"/>
        <v>0</v>
      </c>
      <c r="GL176" s="1174">
        <f t="shared" si="709"/>
        <v>316159.47417057661</v>
      </c>
    </row>
    <row r="177" spans="2:194">
      <c r="B177" s="1290" t="str">
        <f t="shared" si="637"/>
        <v>SACDUOSMRIB</v>
      </c>
      <c r="C177" s="1289" t="str">
        <f>Prop2021DUOSTariffs!C79</f>
        <v>MtIsa SAC&lt;100MWhpa Residential IBT</v>
      </c>
      <c r="D177" s="1113" t="str">
        <f>Prop2021DUOSTariffs!D79</f>
        <v>MtIsa SAC&lt;100MWhpa Residential IBT</v>
      </c>
      <c r="E177" s="1113" t="str">
        <f>Prop2021DUOSTariffs!E79</f>
        <v>SAC</v>
      </c>
      <c r="F177" s="1113" t="str">
        <f>Prop2021DUOSTariffs!F79</f>
        <v>SACS Res</v>
      </c>
      <c r="G177" s="1113" t="str">
        <f>Prop2021DUOSTariffs!G79</f>
        <v>Mt Isa</v>
      </c>
      <c r="H177" s="1113" t="str">
        <f>IF(Prop2021DUOSTariffs!H79="","",Prop2021DUOSTariffs!H79)</f>
        <v>MRIB</v>
      </c>
      <c r="I177" s="1114" t="s">
        <v>761</v>
      </c>
      <c r="J177" s="1114" t="s">
        <v>934</v>
      </c>
      <c r="K177" s="1270"/>
      <c r="L177" s="1233">
        <v>0.14140000000000003</v>
      </c>
      <c r="M177" s="1007"/>
      <c r="N177" s="1007"/>
      <c r="O177" s="1007"/>
      <c r="P177" s="1007"/>
      <c r="Q177" s="1007"/>
      <c r="R177" s="1007"/>
      <c r="S177" s="1007"/>
      <c r="T177" s="1007"/>
      <c r="U177" s="1007"/>
      <c r="V177" s="1007"/>
      <c r="W177" s="1007"/>
      <c r="X177" s="1007"/>
      <c r="Y177" s="1007"/>
      <c r="Z177" s="1007"/>
      <c r="AA177" s="1007"/>
      <c r="AB177" s="1007"/>
      <c r="AC177" s="1007"/>
      <c r="AD177" s="1007"/>
      <c r="AE177" s="1007"/>
      <c r="AF177" s="1007"/>
      <c r="AG177" s="1007"/>
      <c r="AH177" s="1007"/>
      <c r="AI177" s="1233">
        <v>7.7007696230930512E-4</v>
      </c>
      <c r="AJ177" s="1005"/>
      <c r="AK177" s="1005"/>
      <c r="AL177" s="1005"/>
      <c r="AM177" s="1005"/>
      <c r="AN177" s="1005"/>
      <c r="AO177" s="1005"/>
      <c r="AP177" s="1005"/>
      <c r="AQ177" s="1005"/>
      <c r="AR177" s="1005"/>
      <c r="AS177" s="1005"/>
      <c r="AT177" s="1005"/>
      <c r="AU177" s="1006"/>
      <c r="AV177" s="1270"/>
      <c r="AW177" s="1480">
        <v>0.14000000000000001</v>
      </c>
      <c r="AX177" s="1006"/>
      <c r="AY177" s="1006"/>
      <c r="AZ177" s="1006"/>
      <c r="BA177" s="1006"/>
      <c r="BB177" s="1006"/>
      <c r="BC177" s="1006"/>
      <c r="BD177" s="1006"/>
      <c r="BE177" s="1006"/>
      <c r="BF177" s="1006"/>
      <c r="BG177" s="1006"/>
      <c r="BH177" s="1006"/>
      <c r="BI177" s="1006"/>
      <c r="BJ177" s="1006"/>
      <c r="BK177" s="1006"/>
      <c r="BL177" s="1006"/>
      <c r="BM177" s="1006"/>
      <c r="BN177" s="1006"/>
      <c r="BO177" s="1006"/>
      <c r="BP177" s="1006"/>
      <c r="BQ177" s="1006"/>
      <c r="BR177" s="1006"/>
      <c r="BS177" s="1006"/>
      <c r="BT177" s="1480">
        <v>6.1898319928093575E-4</v>
      </c>
      <c r="BU177" s="1006"/>
      <c r="BV177" s="1006"/>
      <c r="BW177" s="1006"/>
      <c r="BX177" s="1006"/>
      <c r="BY177" s="1006"/>
      <c r="BZ177" s="1006"/>
      <c r="CA177" s="1006"/>
      <c r="CB177" s="1006"/>
      <c r="CC177" s="1006"/>
      <c r="CD177" s="1006"/>
      <c r="CE177" s="1006"/>
      <c r="CF177" s="1006"/>
      <c r="CG177" s="1209"/>
      <c r="CH177" s="1236">
        <v>8874.9</v>
      </c>
      <c r="CI177" s="1007"/>
      <c r="CJ177" s="1007"/>
      <c r="CK177" s="1007"/>
      <c r="CL177" s="1007"/>
      <c r="CM177" s="1007"/>
      <c r="CN177" s="1007"/>
      <c r="CO177" s="1007"/>
      <c r="CP177" s="1007"/>
      <c r="CQ177" s="1007"/>
      <c r="CR177" s="1007"/>
      <c r="CS177" s="1007"/>
      <c r="CT177" s="1007"/>
      <c r="CU177" s="1007"/>
      <c r="CV177" s="1007"/>
      <c r="CW177" s="1007"/>
      <c r="CX177" s="1007"/>
      <c r="CY177" s="1007"/>
      <c r="CZ177" s="1007"/>
      <c r="DA177" s="1007"/>
      <c r="DB177" s="1007"/>
      <c r="DC177" s="1007"/>
      <c r="DD177" s="1007"/>
      <c r="DE177" s="1236">
        <v>69574550.328569993</v>
      </c>
      <c r="DF177" s="1007"/>
      <c r="DG177" s="1007"/>
      <c r="DH177" s="1007"/>
      <c r="DI177" s="1006"/>
      <c r="DJ177" s="1006"/>
      <c r="DK177" s="1007"/>
      <c r="DL177" s="1007"/>
      <c r="DM177" s="1007"/>
      <c r="DN177" s="1007"/>
      <c r="DO177" s="1112"/>
      <c r="DP177" s="1112"/>
      <c r="DQ177" s="1270"/>
      <c r="DR177" s="1154">
        <f t="shared" si="638"/>
        <v>458042.46390000009</v>
      </c>
      <c r="DS177" s="1154">
        <f t="shared" si="639"/>
        <v>0</v>
      </c>
      <c r="DT177" s="1154">
        <f t="shared" si="640"/>
        <v>0</v>
      </c>
      <c r="DU177" s="1154">
        <f t="shared" si="641"/>
        <v>0</v>
      </c>
      <c r="DV177" s="1154">
        <f t="shared" si="642"/>
        <v>0</v>
      </c>
      <c r="DW177" s="1154">
        <f t="shared" si="643"/>
        <v>0</v>
      </c>
      <c r="DX177" s="1154">
        <f t="shared" si="644"/>
        <v>0</v>
      </c>
      <c r="DY177" s="1154">
        <f t="shared" si="645"/>
        <v>0</v>
      </c>
      <c r="DZ177" s="1154">
        <f t="shared" si="646"/>
        <v>0</v>
      </c>
      <c r="EA177" s="1154">
        <f t="shared" si="647"/>
        <v>0</v>
      </c>
      <c r="EB177" s="1154">
        <f t="shared" si="648"/>
        <v>0</v>
      </c>
      <c r="EC177" s="1154">
        <f t="shared" si="649"/>
        <v>0</v>
      </c>
      <c r="ED177" s="1154">
        <f t="shared" si="650"/>
        <v>0</v>
      </c>
      <c r="EE177" s="1154">
        <f t="shared" si="651"/>
        <v>0</v>
      </c>
      <c r="EF177" s="1154">
        <f t="shared" si="652"/>
        <v>0</v>
      </c>
      <c r="EG177" s="1154">
        <f t="shared" si="653"/>
        <v>0</v>
      </c>
      <c r="EH177" s="1154">
        <f t="shared" si="654"/>
        <v>0</v>
      </c>
      <c r="EI177" s="1154">
        <f t="shared" si="655"/>
        <v>0</v>
      </c>
      <c r="EJ177" s="1154">
        <f t="shared" si="656"/>
        <v>0</v>
      </c>
      <c r="EK177" s="1154">
        <f t="shared" si="657"/>
        <v>0</v>
      </c>
      <c r="EL177" s="1154">
        <f t="shared" si="658"/>
        <v>0</v>
      </c>
      <c r="EM177" s="1154">
        <f t="shared" si="659"/>
        <v>0</v>
      </c>
      <c r="EN177" s="1154">
        <f t="shared" si="660"/>
        <v>0</v>
      </c>
      <c r="EO177" s="1154">
        <f t="shared" si="661"/>
        <v>53577.758371061049</v>
      </c>
      <c r="EP177" s="1154">
        <f t="shared" si="662"/>
        <v>0</v>
      </c>
      <c r="EQ177" s="1154">
        <f t="shared" si="663"/>
        <v>0</v>
      </c>
      <c r="ER177" s="1154">
        <f t="shared" si="664"/>
        <v>0</v>
      </c>
      <c r="ES177" s="1154">
        <f t="shared" si="665"/>
        <v>0</v>
      </c>
      <c r="ET177" s="1154">
        <f t="shared" si="666"/>
        <v>0</v>
      </c>
      <c r="EU177" s="1154">
        <f t="shared" si="667"/>
        <v>0</v>
      </c>
      <c r="EV177" s="1154">
        <f t="shared" si="668"/>
        <v>0</v>
      </c>
      <c r="EW177" s="1154">
        <f t="shared" si="669"/>
        <v>0</v>
      </c>
      <c r="EX177" s="1154">
        <f t="shared" si="670"/>
        <v>0</v>
      </c>
      <c r="EY177" s="1154">
        <f t="shared" si="671"/>
        <v>0</v>
      </c>
      <c r="EZ177" s="1154">
        <f t="shared" si="672"/>
        <v>0</v>
      </c>
      <c r="FA177" s="1174">
        <f t="shared" si="673"/>
        <v>511620.22227106115</v>
      </c>
      <c r="FC177" s="1154">
        <f t="shared" si="674"/>
        <v>453507.39</v>
      </c>
      <c r="FD177" s="1154">
        <f t="shared" si="675"/>
        <v>0</v>
      </c>
      <c r="FE177" s="1154">
        <f t="shared" si="676"/>
        <v>0</v>
      </c>
      <c r="FF177" s="1154">
        <f t="shared" si="677"/>
        <v>0</v>
      </c>
      <c r="FG177" s="1154">
        <f t="shared" si="678"/>
        <v>0</v>
      </c>
      <c r="FH177" s="1154">
        <f t="shared" si="679"/>
        <v>0</v>
      </c>
      <c r="FI177" s="1154">
        <f t="shared" si="680"/>
        <v>0</v>
      </c>
      <c r="FJ177" s="1154">
        <f t="shared" si="681"/>
        <v>0</v>
      </c>
      <c r="FK177" s="1154">
        <f t="shared" si="682"/>
        <v>0</v>
      </c>
      <c r="FL177" s="1154">
        <f t="shared" si="683"/>
        <v>0</v>
      </c>
      <c r="FM177" s="1154">
        <f t="shared" si="684"/>
        <v>0</v>
      </c>
      <c r="FN177" s="1154">
        <f t="shared" si="685"/>
        <v>0</v>
      </c>
      <c r="FO177" s="1154">
        <f t="shared" si="686"/>
        <v>0</v>
      </c>
      <c r="FP177" s="1154">
        <f t="shared" si="687"/>
        <v>0</v>
      </c>
      <c r="FQ177" s="1154">
        <f t="shared" si="688"/>
        <v>0</v>
      </c>
      <c r="FR177" s="1154">
        <f t="shared" si="689"/>
        <v>0</v>
      </c>
      <c r="FS177" s="1154">
        <f t="shared" si="690"/>
        <v>0</v>
      </c>
      <c r="FT177" s="1154">
        <f t="shared" si="691"/>
        <v>0</v>
      </c>
      <c r="FU177" s="1154">
        <f t="shared" si="692"/>
        <v>0</v>
      </c>
      <c r="FV177" s="1154">
        <f t="shared" si="693"/>
        <v>0</v>
      </c>
      <c r="FW177" s="1154">
        <f t="shared" si="694"/>
        <v>0</v>
      </c>
      <c r="FX177" s="1154">
        <f t="shared" si="695"/>
        <v>0</v>
      </c>
      <c r="FY177" s="1154">
        <f t="shared" si="696"/>
        <v>0</v>
      </c>
      <c r="FZ177" s="1154">
        <f t="shared" si="697"/>
        <v>43065.477750910737</v>
      </c>
      <c r="GA177" s="1154">
        <f t="shared" si="698"/>
        <v>0</v>
      </c>
      <c r="GB177" s="1154">
        <f t="shared" si="699"/>
        <v>0</v>
      </c>
      <c r="GC177" s="1154">
        <f t="shared" si="700"/>
        <v>0</v>
      </c>
      <c r="GD177" s="1154">
        <f t="shared" si="701"/>
        <v>0</v>
      </c>
      <c r="GE177" s="1154">
        <f t="shared" si="702"/>
        <v>0</v>
      </c>
      <c r="GF177" s="1154">
        <f t="shared" si="703"/>
        <v>0</v>
      </c>
      <c r="GG177" s="1154">
        <f t="shared" si="704"/>
        <v>0</v>
      </c>
      <c r="GH177" s="1154">
        <f t="shared" si="705"/>
        <v>0</v>
      </c>
      <c r="GI177" s="1154">
        <f t="shared" si="706"/>
        <v>0</v>
      </c>
      <c r="GJ177" s="1154">
        <f t="shared" si="707"/>
        <v>0</v>
      </c>
      <c r="GK177" s="1154">
        <f t="shared" si="708"/>
        <v>0</v>
      </c>
      <c r="GL177" s="1174">
        <f t="shared" si="709"/>
        <v>496572.86775091075</v>
      </c>
    </row>
    <row r="178" spans="2:194">
      <c r="B178" s="1290" t="str">
        <f t="shared" si="637"/>
        <v>SACDUOSERTOUE</v>
      </c>
      <c r="C178" s="1289" t="str">
        <f>Prop2021DUOSTariffs!C80</f>
        <v>East SAC&lt;100MWhpa Residential TOU Energy</v>
      </c>
      <c r="D178" s="1113" t="str">
        <f>Prop2021DUOSTariffs!D80</f>
        <v>East SAC&lt;100MWhpa Residential TOU Energy</v>
      </c>
      <c r="E178" s="1113" t="str">
        <f>Prop2021DUOSTariffs!E80</f>
        <v>SAC</v>
      </c>
      <c r="F178" s="1113" t="str">
        <f>Prop2021DUOSTariffs!F80</f>
        <v>SACS Res</v>
      </c>
      <c r="G178" s="1113" t="str">
        <f>Prop2021DUOSTariffs!G80</f>
        <v>East</v>
      </c>
      <c r="H178" s="1113" t="str">
        <f>Prop2021DUOSTariffs!H80</f>
        <v>ERTOUE</v>
      </c>
      <c r="I178" s="1114" t="s">
        <v>798</v>
      </c>
      <c r="J178" s="1114" t="s">
        <v>934</v>
      </c>
      <c r="K178" s="1270"/>
      <c r="L178" s="1233">
        <v>5.231100000000001E-2</v>
      </c>
      <c r="M178" s="1007"/>
      <c r="N178" s="1007"/>
      <c r="O178" s="1007"/>
      <c r="P178" s="1007"/>
      <c r="Q178" s="1007"/>
      <c r="R178" s="1007"/>
      <c r="S178" s="1007"/>
      <c r="T178" s="1007"/>
      <c r="U178" s="1007"/>
      <c r="V178" s="1007"/>
      <c r="W178" s="1007"/>
      <c r="X178" s="1007"/>
      <c r="Y178" s="1007"/>
      <c r="Z178" s="1007"/>
      <c r="AA178" s="1007"/>
      <c r="AB178" s="1007"/>
      <c r="AC178" s="1007"/>
      <c r="AD178" s="1007"/>
      <c r="AE178" s="1007"/>
      <c r="AF178" s="1007"/>
      <c r="AG178" s="1007"/>
      <c r="AH178" s="1007"/>
      <c r="AI178" s="1005"/>
      <c r="AJ178" s="1005"/>
      <c r="AK178" s="1005"/>
      <c r="AL178" s="1005"/>
      <c r="AM178" s="1233">
        <v>1.3404371772805507E-2</v>
      </c>
      <c r="AN178" s="1233">
        <v>1.5736426912027361E-2</v>
      </c>
      <c r="AO178" s="1233">
        <v>1.5736426912027361E-2</v>
      </c>
      <c r="AP178" s="1005"/>
      <c r="AQ178" s="1005"/>
      <c r="AR178" s="1005"/>
      <c r="AS178" s="1005"/>
      <c r="AT178" s="1005"/>
      <c r="AU178" s="1006"/>
      <c r="AV178" s="1270"/>
      <c r="AW178" s="1480">
        <v>4.9350000000000005E-2</v>
      </c>
      <c r="AX178" s="1006"/>
      <c r="AY178" s="1006"/>
      <c r="AZ178" s="1006"/>
      <c r="BA178" s="1006"/>
      <c r="BB178" s="1006"/>
      <c r="BC178" s="1006"/>
      <c r="BD178" s="1006"/>
      <c r="BE178" s="1006"/>
      <c r="BF178" s="1006"/>
      <c r="BG178" s="1006"/>
      <c r="BH178" s="1006"/>
      <c r="BI178" s="1006"/>
      <c r="BJ178" s="1006"/>
      <c r="BK178" s="1006"/>
      <c r="BL178" s="1006"/>
      <c r="BM178" s="1006"/>
      <c r="BN178" s="1006"/>
      <c r="BO178" s="1006"/>
      <c r="BP178" s="1006"/>
      <c r="BQ178" s="1006"/>
      <c r="BR178" s="1006"/>
      <c r="BS178" s="1006"/>
      <c r="BT178" s="1480">
        <v>0</v>
      </c>
      <c r="BU178" s="1006"/>
      <c r="BV178" s="1006"/>
      <c r="BW178" s="1006"/>
      <c r="BX178" s="1480">
        <v>1.329E-2</v>
      </c>
      <c r="BY178" s="1480">
        <v>9.2013681147982158E-3</v>
      </c>
      <c r="BZ178" s="1480">
        <v>9.2013681147982158E-3</v>
      </c>
      <c r="CA178" s="1006"/>
      <c r="CB178" s="1006"/>
      <c r="CC178" s="1006"/>
      <c r="CD178" s="1006"/>
      <c r="CE178" s="1006"/>
      <c r="CF178" s="1006"/>
      <c r="CG178" s="1209"/>
      <c r="CH178" s="1236">
        <v>151.82615375100414</v>
      </c>
      <c r="CI178" s="1007"/>
      <c r="CJ178" s="1007"/>
      <c r="CK178" s="1007"/>
      <c r="CL178" s="1007"/>
      <c r="CM178" s="1007"/>
      <c r="CN178" s="1007"/>
      <c r="CO178" s="1007"/>
      <c r="CP178" s="1007"/>
      <c r="CQ178" s="1007"/>
      <c r="CR178" s="1007"/>
      <c r="CS178" s="1007"/>
      <c r="CT178" s="1007"/>
      <c r="CU178" s="1007"/>
      <c r="CV178" s="1007"/>
      <c r="CW178" s="1007"/>
      <c r="CX178" s="1007"/>
      <c r="CY178" s="1007"/>
      <c r="CZ178" s="1007"/>
      <c r="DA178" s="1007"/>
      <c r="DB178" s="1007"/>
      <c r="DC178" s="1007"/>
      <c r="DD178" s="1007"/>
      <c r="DE178" s="1007"/>
      <c r="DF178" s="1112"/>
      <c r="DG178" s="1007"/>
      <c r="DH178" s="1007"/>
      <c r="DI178" s="1236">
        <v>363292.46457806084</v>
      </c>
      <c r="DJ178" s="1236">
        <v>506747.3845118793</v>
      </c>
      <c r="DK178" s="1236">
        <v>319386.431780037</v>
      </c>
      <c r="DL178" s="1007"/>
      <c r="DM178" s="1007"/>
      <c r="DN178" s="1007"/>
      <c r="DO178" s="1112"/>
      <c r="DP178" s="1112"/>
      <c r="DQ178" s="1270"/>
      <c r="DR178" s="1154">
        <f t="shared" si="638"/>
        <v>2898.8949440371043</v>
      </c>
      <c r="DS178" s="1154">
        <f t="shared" si="639"/>
        <v>0</v>
      </c>
      <c r="DT178" s="1154">
        <f t="shared" si="640"/>
        <v>0</v>
      </c>
      <c r="DU178" s="1154">
        <f t="shared" si="641"/>
        <v>0</v>
      </c>
      <c r="DV178" s="1154">
        <f t="shared" si="642"/>
        <v>0</v>
      </c>
      <c r="DW178" s="1154">
        <f t="shared" si="643"/>
        <v>0</v>
      </c>
      <c r="DX178" s="1154">
        <f t="shared" si="644"/>
        <v>0</v>
      </c>
      <c r="DY178" s="1154">
        <f t="shared" si="645"/>
        <v>0</v>
      </c>
      <c r="DZ178" s="1154">
        <f t="shared" si="646"/>
        <v>0</v>
      </c>
      <c r="EA178" s="1154">
        <f t="shared" si="647"/>
        <v>0</v>
      </c>
      <c r="EB178" s="1154">
        <f t="shared" si="648"/>
        <v>0</v>
      </c>
      <c r="EC178" s="1154">
        <f t="shared" si="649"/>
        <v>0</v>
      </c>
      <c r="ED178" s="1154">
        <f t="shared" si="650"/>
        <v>0</v>
      </c>
      <c r="EE178" s="1154">
        <f t="shared" si="651"/>
        <v>0</v>
      </c>
      <c r="EF178" s="1154">
        <f t="shared" si="652"/>
        <v>0</v>
      </c>
      <c r="EG178" s="1154">
        <f t="shared" si="653"/>
        <v>0</v>
      </c>
      <c r="EH178" s="1154">
        <f t="shared" si="654"/>
        <v>0</v>
      </c>
      <c r="EI178" s="1154">
        <f t="shared" si="655"/>
        <v>0</v>
      </c>
      <c r="EJ178" s="1154">
        <f t="shared" si="656"/>
        <v>0</v>
      </c>
      <c r="EK178" s="1154">
        <f t="shared" si="657"/>
        <v>0</v>
      </c>
      <c r="EL178" s="1154">
        <f t="shared" si="658"/>
        <v>0</v>
      </c>
      <c r="EM178" s="1154">
        <f t="shared" si="659"/>
        <v>0</v>
      </c>
      <c r="EN178" s="1154">
        <f t="shared" si="660"/>
        <v>0</v>
      </c>
      <c r="EO178" s="1154">
        <f t="shared" si="661"/>
        <v>0</v>
      </c>
      <c r="EP178" s="1154">
        <f t="shared" si="662"/>
        <v>0</v>
      </c>
      <c r="EQ178" s="1154">
        <f t="shared" si="663"/>
        <v>0</v>
      </c>
      <c r="ER178" s="1154">
        <f t="shared" si="664"/>
        <v>0</v>
      </c>
      <c r="ES178" s="1154">
        <f t="shared" si="665"/>
        <v>4869.7072574631029</v>
      </c>
      <c r="ET178" s="1154">
        <f t="shared" si="666"/>
        <v>7974.3931792322146</v>
      </c>
      <c r="EU178" s="1154">
        <f t="shared" si="667"/>
        <v>5026.0012403997653</v>
      </c>
      <c r="EV178" s="1154">
        <f t="shared" si="668"/>
        <v>0</v>
      </c>
      <c r="EW178" s="1154">
        <f t="shared" si="669"/>
        <v>0</v>
      </c>
      <c r="EX178" s="1154">
        <f t="shared" si="670"/>
        <v>0</v>
      </c>
      <c r="EY178" s="1154">
        <f t="shared" si="671"/>
        <v>0</v>
      </c>
      <c r="EZ178" s="1154">
        <f t="shared" si="672"/>
        <v>0</v>
      </c>
      <c r="FA178" s="1174">
        <f t="shared" si="673"/>
        <v>20768.996621132188</v>
      </c>
      <c r="FC178" s="1154">
        <f t="shared" si="674"/>
        <v>2734.8065509784001</v>
      </c>
      <c r="FD178" s="1154">
        <f t="shared" si="675"/>
        <v>0</v>
      </c>
      <c r="FE178" s="1154">
        <f t="shared" si="676"/>
        <v>0</v>
      </c>
      <c r="FF178" s="1154">
        <f t="shared" si="677"/>
        <v>0</v>
      </c>
      <c r="FG178" s="1154">
        <f t="shared" si="678"/>
        <v>0</v>
      </c>
      <c r="FH178" s="1154">
        <f t="shared" si="679"/>
        <v>0</v>
      </c>
      <c r="FI178" s="1154">
        <f t="shared" si="680"/>
        <v>0</v>
      </c>
      <c r="FJ178" s="1154">
        <f t="shared" si="681"/>
        <v>0</v>
      </c>
      <c r="FK178" s="1154">
        <f t="shared" si="682"/>
        <v>0</v>
      </c>
      <c r="FL178" s="1154">
        <f t="shared" si="683"/>
        <v>0</v>
      </c>
      <c r="FM178" s="1154">
        <f t="shared" si="684"/>
        <v>0</v>
      </c>
      <c r="FN178" s="1154">
        <f t="shared" si="685"/>
        <v>0</v>
      </c>
      <c r="FO178" s="1154">
        <f t="shared" si="686"/>
        <v>0</v>
      </c>
      <c r="FP178" s="1154">
        <f t="shared" si="687"/>
        <v>0</v>
      </c>
      <c r="FQ178" s="1154">
        <f t="shared" si="688"/>
        <v>0</v>
      </c>
      <c r="FR178" s="1154">
        <f t="shared" si="689"/>
        <v>0</v>
      </c>
      <c r="FS178" s="1154">
        <f t="shared" si="690"/>
        <v>0</v>
      </c>
      <c r="FT178" s="1154">
        <f t="shared" si="691"/>
        <v>0</v>
      </c>
      <c r="FU178" s="1154">
        <f t="shared" si="692"/>
        <v>0</v>
      </c>
      <c r="FV178" s="1154">
        <f t="shared" si="693"/>
        <v>0</v>
      </c>
      <c r="FW178" s="1154">
        <f t="shared" si="694"/>
        <v>0</v>
      </c>
      <c r="FX178" s="1154">
        <f t="shared" si="695"/>
        <v>0</v>
      </c>
      <c r="FY178" s="1154">
        <f t="shared" si="696"/>
        <v>0</v>
      </c>
      <c r="FZ178" s="1154">
        <f t="shared" si="697"/>
        <v>0</v>
      </c>
      <c r="GA178" s="1154">
        <f t="shared" si="698"/>
        <v>0</v>
      </c>
      <c r="GB178" s="1154">
        <f t="shared" si="699"/>
        <v>0</v>
      </c>
      <c r="GC178" s="1154">
        <f t="shared" si="700"/>
        <v>0</v>
      </c>
      <c r="GD178" s="1154">
        <f t="shared" si="701"/>
        <v>4828.1568542424284</v>
      </c>
      <c r="GE178" s="1154">
        <f t="shared" si="702"/>
        <v>4662.769226104997</v>
      </c>
      <c r="GF178" s="1154">
        <f t="shared" si="703"/>
        <v>2938.7921296800082</v>
      </c>
      <c r="GG178" s="1154">
        <f t="shared" si="704"/>
        <v>0</v>
      </c>
      <c r="GH178" s="1154">
        <f t="shared" si="705"/>
        <v>0</v>
      </c>
      <c r="GI178" s="1154">
        <f t="shared" si="706"/>
        <v>0</v>
      </c>
      <c r="GJ178" s="1154">
        <f t="shared" si="707"/>
        <v>0</v>
      </c>
      <c r="GK178" s="1154">
        <f t="shared" si="708"/>
        <v>0</v>
      </c>
      <c r="GL178" s="1174">
        <f t="shared" si="709"/>
        <v>15164.524761005834</v>
      </c>
    </row>
    <row r="179" spans="2:194">
      <c r="B179" s="1290" t="str">
        <f t="shared" si="637"/>
        <v>SACDUOSERTOUE</v>
      </c>
      <c r="C179" s="1289" t="str">
        <f>C178</f>
        <v>East SAC&lt;100MWhpa Residential TOU Energy</v>
      </c>
      <c r="D179" s="1113" t="str">
        <f t="shared" ref="D179:H180" si="718">D178</f>
        <v>East SAC&lt;100MWhpa Residential TOU Energy</v>
      </c>
      <c r="E179" s="1113" t="str">
        <f t="shared" si="718"/>
        <v>SAC</v>
      </c>
      <c r="F179" s="1113" t="str">
        <f t="shared" si="718"/>
        <v>SACS Res</v>
      </c>
      <c r="G179" s="1113" t="str">
        <f t="shared" si="718"/>
        <v>East</v>
      </c>
      <c r="H179" s="1113" t="str">
        <f t="shared" si="718"/>
        <v>ERTOUE</v>
      </c>
      <c r="I179" s="1114" t="s">
        <v>752</v>
      </c>
      <c r="J179" s="1114" t="s">
        <v>934</v>
      </c>
      <c r="K179" s="1270"/>
      <c r="L179" s="1233">
        <v>8.7226125000000002E-2</v>
      </c>
      <c r="M179" s="1007"/>
      <c r="N179" s="1007"/>
      <c r="O179" s="1007"/>
      <c r="P179" s="1007"/>
      <c r="Q179" s="1007"/>
      <c r="R179" s="1007"/>
      <c r="S179" s="1007"/>
      <c r="T179" s="1007"/>
      <c r="U179" s="1007"/>
      <c r="V179" s="1007"/>
      <c r="W179" s="1007"/>
      <c r="X179" s="1007"/>
      <c r="Y179" s="1007"/>
      <c r="Z179" s="1007"/>
      <c r="AA179" s="1007"/>
      <c r="AB179" s="1007"/>
      <c r="AC179" s="1007"/>
      <c r="AD179" s="1007"/>
      <c r="AE179" s="1007"/>
      <c r="AF179" s="1007"/>
      <c r="AG179" s="1007"/>
      <c r="AH179" s="1007"/>
      <c r="AI179" s="1005"/>
      <c r="AJ179" s="1005"/>
      <c r="AK179" s="1005"/>
      <c r="AL179" s="1005"/>
      <c r="AM179" s="1233">
        <v>3.0510327022375213E-2</v>
      </c>
      <c r="AN179" s="1233">
        <v>1.1890904236579927E-2</v>
      </c>
      <c r="AO179" s="1233">
        <v>1.1890904236579927E-2</v>
      </c>
      <c r="AP179" s="1005"/>
      <c r="AQ179" s="1005"/>
      <c r="AR179" s="1005"/>
      <c r="AS179" s="1005"/>
      <c r="AT179" s="1005"/>
      <c r="AU179" s="1006"/>
      <c r="AV179" s="1270"/>
      <c r="AW179" s="1480">
        <v>8.6362499999999995E-2</v>
      </c>
      <c r="AX179" s="1006"/>
      <c r="AY179" s="1006"/>
      <c r="AZ179" s="1006"/>
      <c r="BA179" s="1006"/>
      <c r="BB179" s="1006"/>
      <c r="BC179" s="1006"/>
      <c r="BD179" s="1006"/>
      <c r="BE179" s="1006"/>
      <c r="BF179" s="1006"/>
      <c r="BG179" s="1006"/>
      <c r="BH179" s="1006"/>
      <c r="BI179" s="1006"/>
      <c r="BJ179" s="1006"/>
      <c r="BK179" s="1006"/>
      <c r="BL179" s="1006"/>
      <c r="BM179" s="1006"/>
      <c r="BN179" s="1006"/>
      <c r="BO179" s="1006"/>
      <c r="BP179" s="1006"/>
      <c r="BQ179" s="1006"/>
      <c r="BR179" s="1006"/>
      <c r="BS179" s="1006"/>
      <c r="BT179" s="1480">
        <v>0</v>
      </c>
      <c r="BU179" s="1006"/>
      <c r="BV179" s="1006"/>
      <c r="BW179" s="1006"/>
      <c r="BX179" s="1480">
        <v>3.0249999999999999E-2</v>
      </c>
      <c r="BY179" s="1480">
        <v>9.5715790282080594E-3</v>
      </c>
      <c r="BZ179" s="1480">
        <v>9.5715790282080594E-3</v>
      </c>
      <c r="CA179" s="1006"/>
      <c r="CB179" s="1006"/>
      <c r="CC179" s="1006"/>
      <c r="CD179" s="1006"/>
      <c r="CE179" s="1006"/>
      <c r="CF179" s="1006"/>
      <c r="CG179" s="1209"/>
      <c r="CH179" s="1236">
        <v>91.992763677005158</v>
      </c>
      <c r="CI179" s="1007"/>
      <c r="CJ179" s="1007"/>
      <c r="CK179" s="1007"/>
      <c r="CL179" s="1007"/>
      <c r="CM179" s="1007"/>
      <c r="CN179" s="1007"/>
      <c r="CO179" s="1007"/>
      <c r="CP179" s="1007"/>
      <c r="CQ179" s="1007"/>
      <c r="CR179" s="1007"/>
      <c r="CS179" s="1007"/>
      <c r="CT179" s="1007"/>
      <c r="CU179" s="1007"/>
      <c r="CV179" s="1007"/>
      <c r="CW179" s="1007"/>
      <c r="CX179" s="1007"/>
      <c r="CY179" s="1007"/>
      <c r="CZ179" s="1007"/>
      <c r="DA179" s="1007"/>
      <c r="DB179" s="1007"/>
      <c r="DC179" s="1007"/>
      <c r="DD179" s="1007"/>
      <c r="DE179" s="1007"/>
      <c r="DF179" s="1112"/>
      <c r="DG179" s="1007"/>
      <c r="DH179" s="1007"/>
      <c r="DI179" s="1236">
        <v>220122.00805913709</v>
      </c>
      <c r="DJ179" s="1236">
        <v>307042.56964708539</v>
      </c>
      <c r="DK179" s="1236">
        <v>193518.9676777843</v>
      </c>
      <c r="DL179" s="1007"/>
      <c r="DM179" s="1007"/>
      <c r="DN179" s="1007"/>
      <c r="DO179" s="1112"/>
      <c r="DP179" s="1112"/>
      <c r="DQ179" s="1270"/>
      <c r="DR179" s="1154">
        <f t="shared" si="638"/>
        <v>2928.8228908088581</v>
      </c>
      <c r="DS179" s="1154">
        <f t="shared" si="639"/>
        <v>0</v>
      </c>
      <c r="DT179" s="1154">
        <f t="shared" si="640"/>
        <v>0</v>
      </c>
      <c r="DU179" s="1154">
        <f t="shared" si="641"/>
        <v>0</v>
      </c>
      <c r="DV179" s="1154">
        <f t="shared" si="642"/>
        <v>0</v>
      </c>
      <c r="DW179" s="1154">
        <f t="shared" si="643"/>
        <v>0</v>
      </c>
      <c r="DX179" s="1154">
        <f t="shared" si="644"/>
        <v>0</v>
      </c>
      <c r="DY179" s="1154">
        <f t="shared" si="645"/>
        <v>0</v>
      </c>
      <c r="DZ179" s="1154">
        <f t="shared" si="646"/>
        <v>0</v>
      </c>
      <c r="EA179" s="1154">
        <f t="shared" si="647"/>
        <v>0</v>
      </c>
      <c r="EB179" s="1154">
        <f t="shared" si="648"/>
        <v>0</v>
      </c>
      <c r="EC179" s="1154">
        <f t="shared" si="649"/>
        <v>0</v>
      </c>
      <c r="ED179" s="1154">
        <f t="shared" si="650"/>
        <v>0</v>
      </c>
      <c r="EE179" s="1154">
        <f t="shared" si="651"/>
        <v>0</v>
      </c>
      <c r="EF179" s="1154">
        <f t="shared" si="652"/>
        <v>0</v>
      </c>
      <c r="EG179" s="1154">
        <f t="shared" si="653"/>
        <v>0</v>
      </c>
      <c r="EH179" s="1154">
        <f t="shared" si="654"/>
        <v>0</v>
      </c>
      <c r="EI179" s="1154">
        <f t="shared" si="655"/>
        <v>0</v>
      </c>
      <c r="EJ179" s="1154">
        <f t="shared" si="656"/>
        <v>0</v>
      </c>
      <c r="EK179" s="1154">
        <f t="shared" si="657"/>
        <v>0</v>
      </c>
      <c r="EL179" s="1154">
        <f t="shared" si="658"/>
        <v>0</v>
      </c>
      <c r="EM179" s="1154">
        <f t="shared" si="659"/>
        <v>0</v>
      </c>
      <c r="EN179" s="1154">
        <f t="shared" si="660"/>
        <v>0</v>
      </c>
      <c r="EO179" s="1154">
        <f t="shared" si="661"/>
        <v>0</v>
      </c>
      <c r="EP179" s="1154">
        <f t="shared" si="662"/>
        <v>0</v>
      </c>
      <c r="EQ179" s="1154">
        <f t="shared" si="663"/>
        <v>0</v>
      </c>
      <c r="ER179" s="1154">
        <f t="shared" si="664"/>
        <v>0</v>
      </c>
      <c r="ES179" s="1154">
        <f t="shared" si="665"/>
        <v>6715.9944507061846</v>
      </c>
      <c r="ET179" s="1154">
        <f t="shared" si="666"/>
        <v>3651.0137922269146</v>
      </c>
      <c r="EU179" s="1154">
        <f t="shared" si="667"/>
        <v>2301.1155126183394</v>
      </c>
      <c r="EV179" s="1154">
        <f t="shared" si="668"/>
        <v>0</v>
      </c>
      <c r="EW179" s="1154">
        <f t="shared" si="669"/>
        <v>0</v>
      </c>
      <c r="EX179" s="1154">
        <f t="shared" si="670"/>
        <v>0</v>
      </c>
      <c r="EY179" s="1154">
        <f t="shared" si="671"/>
        <v>0</v>
      </c>
      <c r="EZ179" s="1154">
        <f t="shared" si="672"/>
        <v>0</v>
      </c>
      <c r="FA179" s="1174">
        <f t="shared" si="673"/>
        <v>15596.946646360298</v>
      </c>
      <c r="FC179" s="1154">
        <f t="shared" si="674"/>
        <v>2899.8246443652056</v>
      </c>
      <c r="FD179" s="1154">
        <f t="shared" si="675"/>
        <v>0</v>
      </c>
      <c r="FE179" s="1154">
        <f t="shared" si="676"/>
        <v>0</v>
      </c>
      <c r="FF179" s="1154">
        <f t="shared" si="677"/>
        <v>0</v>
      </c>
      <c r="FG179" s="1154">
        <f t="shared" si="678"/>
        <v>0</v>
      </c>
      <c r="FH179" s="1154">
        <f t="shared" si="679"/>
        <v>0</v>
      </c>
      <c r="FI179" s="1154">
        <f t="shared" si="680"/>
        <v>0</v>
      </c>
      <c r="FJ179" s="1154">
        <f t="shared" si="681"/>
        <v>0</v>
      </c>
      <c r="FK179" s="1154">
        <f t="shared" si="682"/>
        <v>0</v>
      </c>
      <c r="FL179" s="1154">
        <f t="shared" si="683"/>
        <v>0</v>
      </c>
      <c r="FM179" s="1154">
        <f t="shared" si="684"/>
        <v>0</v>
      </c>
      <c r="FN179" s="1154">
        <f t="shared" si="685"/>
        <v>0</v>
      </c>
      <c r="FO179" s="1154">
        <f t="shared" si="686"/>
        <v>0</v>
      </c>
      <c r="FP179" s="1154">
        <f t="shared" si="687"/>
        <v>0</v>
      </c>
      <c r="FQ179" s="1154">
        <f t="shared" si="688"/>
        <v>0</v>
      </c>
      <c r="FR179" s="1154">
        <f t="shared" si="689"/>
        <v>0</v>
      </c>
      <c r="FS179" s="1154">
        <f t="shared" si="690"/>
        <v>0</v>
      </c>
      <c r="FT179" s="1154">
        <f t="shared" si="691"/>
        <v>0</v>
      </c>
      <c r="FU179" s="1154">
        <f t="shared" si="692"/>
        <v>0</v>
      </c>
      <c r="FV179" s="1154">
        <f t="shared" si="693"/>
        <v>0</v>
      </c>
      <c r="FW179" s="1154">
        <f t="shared" si="694"/>
        <v>0</v>
      </c>
      <c r="FX179" s="1154">
        <f t="shared" si="695"/>
        <v>0</v>
      </c>
      <c r="FY179" s="1154">
        <f t="shared" si="696"/>
        <v>0</v>
      </c>
      <c r="FZ179" s="1154">
        <f t="shared" si="697"/>
        <v>0</v>
      </c>
      <c r="GA179" s="1154">
        <f t="shared" si="698"/>
        <v>0</v>
      </c>
      <c r="GB179" s="1154">
        <f t="shared" si="699"/>
        <v>0</v>
      </c>
      <c r="GC179" s="1154">
        <f t="shared" si="700"/>
        <v>0</v>
      </c>
      <c r="GD179" s="1154">
        <f t="shared" si="701"/>
        <v>6658.6907437888967</v>
      </c>
      <c r="GE179" s="1154">
        <f t="shared" si="702"/>
        <v>2938.8822204011549</v>
      </c>
      <c r="GF179" s="1154">
        <f t="shared" si="703"/>
        <v>1852.2820925851536</v>
      </c>
      <c r="GG179" s="1154">
        <f t="shared" si="704"/>
        <v>0</v>
      </c>
      <c r="GH179" s="1154">
        <f t="shared" si="705"/>
        <v>0</v>
      </c>
      <c r="GI179" s="1154">
        <f t="shared" si="706"/>
        <v>0</v>
      </c>
      <c r="GJ179" s="1154">
        <f t="shared" si="707"/>
        <v>0</v>
      </c>
      <c r="GK179" s="1154">
        <f t="shared" si="708"/>
        <v>0</v>
      </c>
      <c r="GL179" s="1174">
        <f t="shared" si="709"/>
        <v>14349.679701140411</v>
      </c>
    </row>
    <row r="180" spans="2:194">
      <c r="B180" s="1290" t="str">
        <f t="shared" si="637"/>
        <v>SACDUOSERTOUE</v>
      </c>
      <c r="C180" s="1289" t="str">
        <f t="shared" ref="C180:F180" si="719">C179</f>
        <v>East SAC&lt;100MWhpa Residential TOU Energy</v>
      </c>
      <c r="D180" s="1113" t="str">
        <f t="shared" si="719"/>
        <v>East SAC&lt;100MWhpa Residential TOU Energy</v>
      </c>
      <c r="E180" s="1113" t="str">
        <f t="shared" si="719"/>
        <v>SAC</v>
      </c>
      <c r="F180" s="1113" t="str">
        <f t="shared" si="719"/>
        <v>SACS Res</v>
      </c>
      <c r="G180" s="1113" t="str">
        <f t="shared" si="718"/>
        <v>East</v>
      </c>
      <c r="H180" s="1113" t="str">
        <f t="shared" si="718"/>
        <v>ERTOUE</v>
      </c>
      <c r="I180" s="1114" t="s">
        <v>759</v>
      </c>
      <c r="J180" s="1114" t="s">
        <v>934</v>
      </c>
      <c r="K180" s="1270"/>
      <c r="L180" s="1233">
        <v>0.14114099999999999</v>
      </c>
      <c r="M180" s="1007"/>
      <c r="N180" s="1007"/>
      <c r="O180" s="1007"/>
      <c r="P180" s="1007"/>
      <c r="Q180" s="1007"/>
      <c r="R180" s="1007"/>
      <c r="S180" s="1007"/>
      <c r="T180" s="1007"/>
      <c r="U180" s="1007"/>
      <c r="V180" s="1007"/>
      <c r="W180" s="1007"/>
      <c r="X180" s="1007"/>
      <c r="Y180" s="1007"/>
      <c r="Z180" s="1007"/>
      <c r="AA180" s="1007"/>
      <c r="AB180" s="1007"/>
      <c r="AC180" s="1007"/>
      <c r="AD180" s="1007"/>
      <c r="AE180" s="1007"/>
      <c r="AF180" s="1007"/>
      <c r="AG180" s="1007"/>
      <c r="AH180" s="1007"/>
      <c r="AI180" s="1005"/>
      <c r="AJ180" s="1005"/>
      <c r="AK180" s="1005"/>
      <c r="AL180" s="1005"/>
      <c r="AM180" s="1233">
        <v>5.9195077452667812E-2</v>
      </c>
      <c r="AN180" s="1233">
        <v>3.7919442077064855E-3</v>
      </c>
      <c r="AO180" s="1233">
        <v>3.7919442077064855E-3</v>
      </c>
      <c r="AP180" s="1005"/>
      <c r="AQ180" s="1005"/>
      <c r="AR180" s="1005"/>
      <c r="AS180" s="1005"/>
      <c r="AT180" s="1005"/>
      <c r="AU180" s="1006"/>
      <c r="AV180" s="1270"/>
      <c r="AW180" s="1480">
        <v>0.14114099999999999</v>
      </c>
      <c r="AX180" s="1006"/>
      <c r="AY180" s="1006"/>
      <c r="AZ180" s="1006"/>
      <c r="BA180" s="1006"/>
      <c r="BB180" s="1006"/>
      <c r="BC180" s="1006"/>
      <c r="BD180" s="1006"/>
      <c r="BE180" s="1006"/>
      <c r="BF180" s="1006"/>
      <c r="BG180" s="1006"/>
      <c r="BH180" s="1006"/>
      <c r="BI180" s="1006"/>
      <c r="BJ180" s="1006"/>
      <c r="BK180" s="1006"/>
      <c r="BL180" s="1006"/>
      <c r="BM180" s="1006"/>
      <c r="BN180" s="1006"/>
      <c r="BO180" s="1006"/>
      <c r="BP180" s="1006"/>
      <c r="BQ180" s="1006"/>
      <c r="BR180" s="1006"/>
      <c r="BS180" s="1006"/>
      <c r="BT180" s="1480">
        <v>0</v>
      </c>
      <c r="BU180" s="1006"/>
      <c r="BV180" s="1006"/>
      <c r="BW180" s="1006"/>
      <c r="BX180" s="1480">
        <v>5.8689999999999999E-2</v>
      </c>
      <c r="BY180" s="1480">
        <v>5.5588915412242302E-3</v>
      </c>
      <c r="BZ180" s="1480">
        <v>5.5588915412242302E-3</v>
      </c>
      <c r="CA180" s="1006"/>
      <c r="CB180" s="1006"/>
      <c r="CC180" s="1006"/>
      <c r="CD180" s="1006"/>
      <c r="CE180" s="1006"/>
      <c r="CF180" s="1006"/>
      <c r="CG180" s="1209"/>
      <c r="CH180" s="1236">
        <v>69.771082571990661</v>
      </c>
      <c r="CI180" s="1007"/>
      <c r="CJ180" s="1007"/>
      <c r="CK180" s="1007"/>
      <c r="CL180" s="1007"/>
      <c r="CM180" s="1007"/>
      <c r="CN180" s="1007"/>
      <c r="CO180" s="1007"/>
      <c r="CP180" s="1007"/>
      <c r="CQ180" s="1007"/>
      <c r="CR180" s="1007"/>
      <c r="CS180" s="1007"/>
      <c r="CT180" s="1007"/>
      <c r="CU180" s="1007"/>
      <c r="CV180" s="1007"/>
      <c r="CW180" s="1007"/>
      <c r="CX180" s="1007"/>
      <c r="CY180" s="1007"/>
      <c r="CZ180" s="1007"/>
      <c r="DA180" s="1007"/>
      <c r="DB180" s="1007"/>
      <c r="DC180" s="1007"/>
      <c r="DD180" s="1007"/>
      <c r="DE180" s="1007"/>
      <c r="DF180" s="1112"/>
      <c r="DG180" s="1007"/>
      <c r="DH180" s="1007"/>
      <c r="DI180" s="1236">
        <v>166949.55327280189</v>
      </c>
      <c r="DJ180" s="1236">
        <v>232873.66988103522</v>
      </c>
      <c r="DK180" s="1236">
        <v>146772.71704217856</v>
      </c>
      <c r="DL180" s="1007"/>
      <c r="DM180" s="1007"/>
      <c r="DN180" s="1007"/>
      <c r="DO180" s="1112"/>
      <c r="DP180" s="1112"/>
      <c r="DQ180" s="1270"/>
      <c r="DR180" s="1154">
        <f t="shared" si="638"/>
        <v>3594.3595333320663</v>
      </c>
      <c r="DS180" s="1154">
        <f t="shared" si="639"/>
        <v>0</v>
      </c>
      <c r="DT180" s="1154">
        <f t="shared" si="640"/>
        <v>0</v>
      </c>
      <c r="DU180" s="1154">
        <f t="shared" si="641"/>
        <v>0</v>
      </c>
      <c r="DV180" s="1154">
        <f t="shared" si="642"/>
        <v>0</v>
      </c>
      <c r="DW180" s="1154">
        <f t="shared" si="643"/>
        <v>0</v>
      </c>
      <c r="DX180" s="1154">
        <f t="shared" si="644"/>
        <v>0</v>
      </c>
      <c r="DY180" s="1154">
        <f t="shared" si="645"/>
        <v>0</v>
      </c>
      <c r="DZ180" s="1154">
        <f t="shared" si="646"/>
        <v>0</v>
      </c>
      <c r="EA180" s="1154">
        <f t="shared" si="647"/>
        <v>0</v>
      </c>
      <c r="EB180" s="1154">
        <f t="shared" si="648"/>
        <v>0</v>
      </c>
      <c r="EC180" s="1154">
        <f t="shared" si="649"/>
        <v>0</v>
      </c>
      <c r="ED180" s="1154">
        <f t="shared" si="650"/>
        <v>0</v>
      </c>
      <c r="EE180" s="1154">
        <f t="shared" si="651"/>
        <v>0</v>
      </c>
      <c r="EF180" s="1154">
        <f t="shared" si="652"/>
        <v>0</v>
      </c>
      <c r="EG180" s="1154">
        <f t="shared" si="653"/>
        <v>0</v>
      </c>
      <c r="EH180" s="1154">
        <f t="shared" si="654"/>
        <v>0</v>
      </c>
      <c r="EI180" s="1154">
        <f t="shared" si="655"/>
        <v>0</v>
      </c>
      <c r="EJ180" s="1154">
        <f t="shared" si="656"/>
        <v>0</v>
      </c>
      <c r="EK180" s="1154">
        <f t="shared" si="657"/>
        <v>0</v>
      </c>
      <c r="EL180" s="1154">
        <f t="shared" si="658"/>
        <v>0</v>
      </c>
      <c r="EM180" s="1154">
        <f t="shared" si="659"/>
        <v>0</v>
      </c>
      <c r="EN180" s="1154">
        <f t="shared" si="660"/>
        <v>0</v>
      </c>
      <c r="EO180" s="1154">
        <f t="shared" si="661"/>
        <v>0</v>
      </c>
      <c r="EP180" s="1154">
        <f t="shared" si="662"/>
        <v>0</v>
      </c>
      <c r="EQ180" s="1154">
        <f t="shared" si="663"/>
        <v>0</v>
      </c>
      <c r="ER180" s="1154">
        <f t="shared" si="664"/>
        <v>0</v>
      </c>
      <c r="ES180" s="1154">
        <f t="shared" si="665"/>
        <v>9882.5917366717986</v>
      </c>
      <c r="ET180" s="1154">
        <f t="shared" si="666"/>
        <v>883.04396363274373</v>
      </c>
      <c r="EU180" s="1154">
        <f t="shared" si="667"/>
        <v>556.55395423743198</v>
      </c>
      <c r="EV180" s="1154">
        <f t="shared" si="668"/>
        <v>0</v>
      </c>
      <c r="EW180" s="1154">
        <f t="shared" si="669"/>
        <v>0</v>
      </c>
      <c r="EX180" s="1154">
        <f t="shared" si="670"/>
        <v>0</v>
      </c>
      <c r="EY180" s="1154">
        <f t="shared" si="671"/>
        <v>0</v>
      </c>
      <c r="EZ180" s="1154">
        <f t="shared" si="672"/>
        <v>0</v>
      </c>
      <c r="FA180" s="1174">
        <f t="shared" si="673"/>
        <v>14916.549187874039</v>
      </c>
      <c r="FC180" s="1154">
        <f t="shared" si="674"/>
        <v>3594.3595333320663</v>
      </c>
      <c r="FD180" s="1154">
        <f t="shared" si="675"/>
        <v>0</v>
      </c>
      <c r="FE180" s="1154">
        <f t="shared" si="676"/>
        <v>0</v>
      </c>
      <c r="FF180" s="1154">
        <f t="shared" si="677"/>
        <v>0</v>
      </c>
      <c r="FG180" s="1154">
        <f t="shared" si="678"/>
        <v>0</v>
      </c>
      <c r="FH180" s="1154">
        <f t="shared" si="679"/>
        <v>0</v>
      </c>
      <c r="FI180" s="1154">
        <f t="shared" si="680"/>
        <v>0</v>
      </c>
      <c r="FJ180" s="1154">
        <f t="shared" si="681"/>
        <v>0</v>
      </c>
      <c r="FK180" s="1154">
        <f t="shared" si="682"/>
        <v>0</v>
      </c>
      <c r="FL180" s="1154">
        <f t="shared" si="683"/>
        <v>0</v>
      </c>
      <c r="FM180" s="1154">
        <f t="shared" si="684"/>
        <v>0</v>
      </c>
      <c r="FN180" s="1154">
        <f t="shared" si="685"/>
        <v>0</v>
      </c>
      <c r="FO180" s="1154">
        <f t="shared" si="686"/>
        <v>0</v>
      </c>
      <c r="FP180" s="1154">
        <f t="shared" si="687"/>
        <v>0</v>
      </c>
      <c r="FQ180" s="1154">
        <f t="shared" si="688"/>
        <v>0</v>
      </c>
      <c r="FR180" s="1154">
        <f t="shared" si="689"/>
        <v>0</v>
      </c>
      <c r="FS180" s="1154">
        <f t="shared" si="690"/>
        <v>0</v>
      </c>
      <c r="FT180" s="1154">
        <f t="shared" si="691"/>
        <v>0</v>
      </c>
      <c r="FU180" s="1154">
        <f t="shared" si="692"/>
        <v>0</v>
      </c>
      <c r="FV180" s="1154">
        <f t="shared" si="693"/>
        <v>0</v>
      </c>
      <c r="FW180" s="1154">
        <f t="shared" si="694"/>
        <v>0</v>
      </c>
      <c r="FX180" s="1154">
        <f t="shared" si="695"/>
        <v>0</v>
      </c>
      <c r="FY180" s="1154">
        <f t="shared" si="696"/>
        <v>0</v>
      </c>
      <c r="FZ180" s="1154">
        <f t="shared" si="697"/>
        <v>0</v>
      </c>
      <c r="GA180" s="1154">
        <f t="shared" si="698"/>
        <v>0</v>
      </c>
      <c r="GB180" s="1154">
        <f t="shared" si="699"/>
        <v>0</v>
      </c>
      <c r="GC180" s="1154">
        <f t="shared" si="700"/>
        <v>0</v>
      </c>
      <c r="GD180" s="1154">
        <f t="shared" si="701"/>
        <v>9798.2692815807422</v>
      </c>
      <c r="GE180" s="1154">
        <f t="shared" si="702"/>
        <v>1294.5194736755304</v>
      </c>
      <c r="GF180" s="1154">
        <f t="shared" si="703"/>
        <v>815.89361524826381</v>
      </c>
      <c r="GG180" s="1154">
        <f t="shared" si="704"/>
        <v>0</v>
      </c>
      <c r="GH180" s="1154">
        <f t="shared" si="705"/>
        <v>0</v>
      </c>
      <c r="GI180" s="1154">
        <f t="shared" si="706"/>
        <v>0</v>
      </c>
      <c r="GJ180" s="1154">
        <f t="shared" si="707"/>
        <v>0</v>
      </c>
      <c r="GK180" s="1154">
        <f t="shared" si="708"/>
        <v>0</v>
      </c>
      <c r="GL180" s="1174">
        <f t="shared" si="709"/>
        <v>15503.041903836604</v>
      </c>
    </row>
    <row r="181" spans="2:194">
      <c r="B181" s="1290" t="str">
        <f t="shared" si="637"/>
        <v>SACDUOSWRTOUE</v>
      </c>
      <c r="C181" s="1289" t="str">
        <f>Prop2021DUOSTariffs!C81</f>
        <v>West SAC&lt;100MWhpa Residential TOU Energy</v>
      </c>
      <c r="D181" s="1113" t="str">
        <f>Prop2021DUOSTariffs!D81</f>
        <v>West SAC&lt;100MWhpa Residential TOU Energy</v>
      </c>
      <c r="E181" s="1113" t="str">
        <f>Prop2021DUOSTariffs!E81</f>
        <v>SAC</v>
      </c>
      <c r="F181" s="1113" t="str">
        <f>Prop2021DUOSTariffs!F81</f>
        <v>SACS Res</v>
      </c>
      <c r="G181" s="1113" t="str">
        <f>Prop2021DUOSTariffs!G81</f>
        <v>West</v>
      </c>
      <c r="H181" s="1113" t="str">
        <f>Prop2021DUOSTariffs!H81</f>
        <v>WRTOUE</v>
      </c>
      <c r="I181" s="1114" t="s">
        <v>798</v>
      </c>
      <c r="J181" s="1114" t="s">
        <v>934</v>
      </c>
      <c r="K181" s="1270"/>
      <c r="L181" s="1233">
        <v>5.231100000000001E-2</v>
      </c>
      <c r="M181" s="1007"/>
      <c r="N181" s="1007"/>
      <c r="O181" s="1007"/>
      <c r="P181" s="1007"/>
      <c r="Q181" s="1007"/>
      <c r="R181" s="1007"/>
      <c r="S181" s="1007"/>
      <c r="T181" s="1007"/>
      <c r="U181" s="1007"/>
      <c r="V181" s="1007"/>
      <c r="W181" s="1007"/>
      <c r="X181" s="1007"/>
      <c r="Y181" s="1007"/>
      <c r="Z181" s="1007"/>
      <c r="AA181" s="1007"/>
      <c r="AB181" s="1007"/>
      <c r="AC181" s="1007"/>
      <c r="AD181" s="1007"/>
      <c r="AE181" s="1007"/>
      <c r="AF181" s="1007"/>
      <c r="AG181" s="1007"/>
      <c r="AH181" s="1007"/>
      <c r="AI181" s="1005"/>
      <c r="AJ181" s="1005"/>
      <c r="AK181" s="1005"/>
      <c r="AL181" s="1005"/>
      <c r="AM181" s="1233">
        <v>1.3404371772805507E-2</v>
      </c>
      <c r="AN181" s="1233">
        <v>1.5736426912027361E-2</v>
      </c>
      <c r="AO181" s="1233">
        <v>1.5736426912027361E-2</v>
      </c>
      <c r="AP181" s="1005"/>
      <c r="AQ181" s="1005"/>
      <c r="AR181" s="1005"/>
      <c r="AS181" s="1005"/>
      <c r="AT181" s="1005"/>
      <c r="AU181" s="1006"/>
      <c r="AV181" s="1270"/>
      <c r="AW181" s="1480">
        <v>4.9350000000000005E-2</v>
      </c>
      <c r="AX181" s="1006"/>
      <c r="AY181" s="1006"/>
      <c r="AZ181" s="1006"/>
      <c r="BA181" s="1006"/>
      <c r="BB181" s="1006"/>
      <c r="BC181" s="1006"/>
      <c r="BD181" s="1006"/>
      <c r="BE181" s="1006"/>
      <c r="BF181" s="1006"/>
      <c r="BG181" s="1006"/>
      <c r="BH181" s="1006"/>
      <c r="BI181" s="1006"/>
      <c r="BJ181" s="1006"/>
      <c r="BK181" s="1006"/>
      <c r="BL181" s="1006"/>
      <c r="BM181" s="1006"/>
      <c r="BN181" s="1006"/>
      <c r="BO181" s="1006"/>
      <c r="BP181" s="1006"/>
      <c r="BQ181" s="1006"/>
      <c r="BR181" s="1006"/>
      <c r="BS181" s="1006"/>
      <c r="BT181" s="1480">
        <v>0</v>
      </c>
      <c r="BU181" s="1006"/>
      <c r="BV181" s="1006"/>
      <c r="BW181" s="1006"/>
      <c r="BX181" s="1480">
        <v>1.329E-2</v>
      </c>
      <c r="BY181" s="1480">
        <v>9.2013681147982158E-3</v>
      </c>
      <c r="BZ181" s="1480">
        <v>9.2013681147982158E-3</v>
      </c>
      <c r="CA181" s="1006"/>
      <c r="CB181" s="1006"/>
      <c r="CC181" s="1006"/>
      <c r="CD181" s="1006"/>
      <c r="CE181" s="1006"/>
      <c r="CF181" s="1006"/>
      <c r="CG181" s="1209"/>
      <c r="CH181" s="1236">
        <v>16.583104619160085</v>
      </c>
      <c r="CI181" s="1007"/>
      <c r="CJ181" s="1007"/>
      <c r="CK181" s="1007"/>
      <c r="CL181" s="1007"/>
      <c r="CM181" s="1007"/>
      <c r="CN181" s="1007"/>
      <c r="CO181" s="1007"/>
      <c r="CP181" s="1007"/>
      <c r="CQ181" s="1007"/>
      <c r="CR181" s="1007"/>
      <c r="CS181" s="1007"/>
      <c r="CT181" s="1007"/>
      <c r="CU181" s="1007"/>
      <c r="CV181" s="1007"/>
      <c r="CW181" s="1007"/>
      <c r="CX181" s="1007"/>
      <c r="CY181" s="1007"/>
      <c r="CZ181" s="1007"/>
      <c r="DA181" s="1007"/>
      <c r="DB181" s="1007"/>
      <c r="DC181" s="1007"/>
      <c r="DD181" s="1007"/>
      <c r="DE181" s="1007"/>
      <c r="DF181" s="1112"/>
      <c r="DG181" s="1007"/>
      <c r="DH181" s="1007"/>
      <c r="DI181" s="1236">
        <v>57829.37415406634</v>
      </c>
      <c r="DJ181" s="1236">
        <v>77200.723661914744</v>
      </c>
      <c r="DK181" s="1236">
        <v>47713.774717714259</v>
      </c>
      <c r="DL181" s="1007"/>
      <c r="DM181" s="1007"/>
      <c r="DN181" s="1007"/>
      <c r="DO181" s="1112"/>
      <c r="DP181" s="1112"/>
      <c r="DQ181" s="1270"/>
      <c r="DR181" s="1154">
        <f t="shared" si="638"/>
        <v>316.62975679250246</v>
      </c>
      <c r="DS181" s="1154">
        <f t="shared" si="639"/>
        <v>0</v>
      </c>
      <c r="DT181" s="1154">
        <f t="shared" si="640"/>
        <v>0</v>
      </c>
      <c r="DU181" s="1154">
        <f t="shared" si="641"/>
        <v>0</v>
      </c>
      <c r="DV181" s="1154">
        <f t="shared" si="642"/>
        <v>0</v>
      </c>
      <c r="DW181" s="1154">
        <f t="shared" si="643"/>
        <v>0</v>
      </c>
      <c r="DX181" s="1154">
        <f t="shared" si="644"/>
        <v>0</v>
      </c>
      <c r="DY181" s="1154">
        <f t="shared" si="645"/>
        <v>0</v>
      </c>
      <c r="DZ181" s="1154">
        <f t="shared" si="646"/>
        <v>0</v>
      </c>
      <c r="EA181" s="1154">
        <f t="shared" si="647"/>
        <v>0</v>
      </c>
      <c r="EB181" s="1154">
        <f t="shared" si="648"/>
        <v>0</v>
      </c>
      <c r="EC181" s="1154">
        <f t="shared" si="649"/>
        <v>0</v>
      </c>
      <c r="ED181" s="1154">
        <f t="shared" si="650"/>
        <v>0</v>
      </c>
      <c r="EE181" s="1154">
        <f t="shared" si="651"/>
        <v>0</v>
      </c>
      <c r="EF181" s="1154">
        <f t="shared" si="652"/>
        <v>0</v>
      </c>
      <c r="EG181" s="1154">
        <f t="shared" si="653"/>
        <v>0</v>
      </c>
      <c r="EH181" s="1154">
        <f t="shared" si="654"/>
        <v>0</v>
      </c>
      <c r="EI181" s="1154">
        <f t="shared" si="655"/>
        <v>0</v>
      </c>
      <c r="EJ181" s="1154">
        <f t="shared" si="656"/>
        <v>0</v>
      </c>
      <c r="EK181" s="1154">
        <f t="shared" si="657"/>
        <v>0</v>
      </c>
      <c r="EL181" s="1154">
        <f t="shared" si="658"/>
        <v>0</v>
      </c>
      <c r="EM181" s="1154">
        <f t="shared" si="659"/>
        <v>0</v>
      </c>
      <c r="EN181" s="1154">
        <f t="shared" si="660"/>
        <v>0</v>
      </c>
      <c r="EO181" s="1154">
        <f t="shared" si="661"/>
        <v>0</v>
      </c>
      <c r="EP181" s="1154">
        <f t="shared" si="662"/>
        <v>0</v>
      </c>
      <c r="EQ181" s="1154">
        <f t="shared" si="663"/>
        <v>0</v>
      </c>
      <c r="ER181" s="1154">
        <f t="shared" si="664"/>
        <v>0</v>
      </c>
      <c r="ES181" s="1154">
        <f t="shared" si="665"/>
        <v>775.16643054977521</v>
      </c>
      <c r="ET181" s="1154">
        <f t="shared" si="666"/>
        <v>1214.8635454613427</v>
      </c>
      <c r="EU181" s="1154">
        <f t="shared" si="667"/>
        <v>750.8443285422494</v>
      </c>
      <c r="EV181" s="1154">
        <f t="shared" si="668"/>
        <v>0</v>
      </c>
      <c r="EW181" s="1154">
        <f t="shared" si="669"/>
        <v>0</v>
      </c>
      <c r="EX181" s="1154">
        <f t="shared" si="670"/>
        <v>0</v>
      </c>
      <c r="EY181" s="1154">
        <f t="shared" si="671"/>
        <v>0</v>
      </c>
      <c r="EZ181" s="1154">
        <f t="shared" si="672"/>
        <v>0</v>
      </c>
      <c r="FA181" s="1174">
        <f t="shared" si="673"/>
        <v>3057.50406134587</v>
      </c>
      <c r="FC181" s="1154">
        <f t="shared" si="674"/>
        <v>298.70731772877588</v>
      </c>
      <c r="FD181" s="1154">
        <f t="shared" si="675"/>
        <v>0</v>
      </c>
      <c r="FE181" s="1154">
        <f t="shared" si="676"/>
        <v>0</v>
      </c>
      <c r="FF181" s="1154">
        <f t="shared" si="677"/>
        <v>0</v>
      </c>
      <c r="FG181" s="1154">
        <f t="shared" si="678"/>
        <v>0</v>
      </c>
      <c r="FH181" s="1154">
        <f t="shared" si="679"/>
        <v>0</v>
      </c>
      <c r="FI181" s="1154">
        <f t="shared" si="680"/>
        <v>0</v>
      </c>
      <c r="FJ181" s="1154">
        <f t="shared" si="681"/>
        <v>0</v>
      </c>
      <c r="FK181" s="1154">
        <f t="shared" si="682"/>
        <v>0</v>
      </c>
      <c r="FL181" s="1154">
        <f t="shared" si="683"/>
        <v>0</v>
      </c>
      <c r="FM181" s="1154">
        <f t="shared" si="684"/>
        <v>0</v>
      </c>
      <c r="FN181" s="1154">
        <f t="shared" si="685"/>
        <v>0</v>
      </c>
      <c r="FO181" s="1154">
        <f t="shared" si="686"/>
        <v>0</v>
      </c>
      <c r="FP181" s="1154">
        <f t="shared" si="687"/>
        <v>0</v>
      </c>
      <c r="FQ181" s="1154">
        <f t="shared" si="688"/>
        <v>0</v>
      </c>
      <c r="FR181" s="1154">
        <f t="shared" si="689"/>
        <v>0</v>
      </c>
      <c r="FS181" s="1154">
        <f t="shared" si="690"/>
        <v>0</v>
      </c>
      <c r="FT181" s="1154">
        <f t="shared" si="691"/>
        <v>0</v>
      </c>
      <c r="FU181" s="1154">
        <f t="shared" si="692"/>
        <v>0</v>
      </c>
      <c r="FV181" s="1154">
        <f t="shared" si="693"/>
        <v>0</v>
      </c>
      <c r="FW181" s="1154">
        <f t="shared" si="694"/>
        <v>0</v>
      </c>
      <c r="FX181" s="1154">
        <f t="shared" si="695"/>
        <v>0</v>
      </c>
      <c r="FY181" s="1154">
        <f t="shared" si="696"/>
        <v>0</v>
      </c>
      <c r="FZ181" s="1154">
        <f t="shared" si="697"/>
        <v>0</v>
      </c>
      <c r="GA181" s="1154">
        <f t="shared" si="698"/>
        <v>0</v>
      </c>
      <c r="GB181" s="1154">
        <f t="shared" si="699"/>
        <v>0</v>
      </c>
      <c r="GC181" s="1154">
        <f t="shared" si="700"/>
        <v>0</v>
      </c>
      <c r="GD181" s="1154">
        <f t="shared" si="701"/>
        <v>768.55238250754167</v>
      </c>
      <c r="GE181" s="1154">
        <f t="shared" si="702"/>
        <v>710.35227714209043</v>
      </c>
      <c r="GF181" s="1154">
        <f t="shared" si="703"/>
        <v>439.0320053242412</v>
      </c>
      <c r="GG181" s="1154">
        <f t="shared" si="704"/>
        <v>0</v>
      </c>
      <c r="GH181" s="1154">
        <f t="shared" si="705"/>
        <v>0</v>
      </c>
      <c r="GI181" s="1154">
        <f t="shared" si="706"/>
        <v>0</v>
      </c>
      <c r="GJ181" s="1154">
        <f t="shared" si="707"/>
        <v>0</v>
      </c>
      <c r="GK181" s="1154">
        <f t="shared" si="708"/>
        <v>0</v>
      </c>
      <c r="GL181" s="1174">
        <f t="shared" si="709"/>
        <v>2216.6439827026493</v>
      </c>
    </row>
    <row r="182" spans="2:194">
      <c r="B182" s="1290" t="str">
        <f t="shared" si="637"/>
        <v>SACDUOSWRTOUE</v>
      </c>
      <c r="C182" s="1289" t="str">
        <f>C181</f>
        <v>West SAC&lt;100MWhpa Residential TOU Energy</v>
      </c>
      <c r="D182" s="1113" t="str">
        <f t="shared" ref="D182:H182" si="720">D181</f>
        <v>West SAC&lt;100MWhpa Residential TOU Energy</v>
      </c>
      <c r="E182" s="1113" t="str">
        <f t="shared" si="720"/>
        <v>SAC</v>
      </c>
      <c r="F182" s="1113" t="str">
        <f t="shared" si="720"/>
        <v>SACS Res</v>
      </c>
      <c r="G182" s="1113" t="str">
        <f t="shared" si="720"/>
        <v>West</v>
      </c>
      <c r="H182" s="1113" t="str">
        <f t="shared" si="720"/>
        <v>WRTOUE</v>
      </c>
      <c r="I182" s="1114" t="s">
        <v>752</v>
      </c>
      <c r="J182" s="1114" t="s">
        <v>934</v>
      </c>
      <c r="K182" s="1270"/>
      <c r="L182" s="1233">
        <v>8.7226125000000002E-2</v>
      </c>
      <c r="M182" s="1007"/>
      <c r="N182" s="1007"/>
      <c r="O182" s="1007"/>
      <c r="P182" s="1007"/>
      <c r="Q182" s="1007"/>
      <c r="R182" s="1007"/>
      <c r="S182" s="1007"/>
      <c r="T182" s="1007"/>
      <c r="U182" s="1007"/>
      <c r="V182" s="1007"/>
      <c r="W182" s="1007"/>
      <c r="X182" s="1007"/>
      <c r="Y182" s="1007"/>
      <c r="Z182" s="1007"/>
      <c r="AA182" s="1007"/>
      <c r="AB182" s="1007"/>
      <c r="AC182" s="1007"/>
      <c r="AD182" s="1007"/>
      <c r="AE182" s="1007"/>
      <c r="AF182" s="1007"/>
      <c r="AG182" s="1007"/>
      <c r="AH182" s="1007"/>
      <c r="AI182" s="1005"/>
      <c r="AJ182" s="1005"/>
      <c r="AK182" s="1005"/>
      <c r="AL182" s="1005"/>
      <c r="AM182" s="1233">
        <v>3.0510327022375213E-2</v>
      </c>
      <c r="AN182" s="1233">
        <v>1.1890904236579927E-2</v>
      </c>
      <c r="AO182" s="1233">
        <v>1.1890904236579927E-2</v>
      </c>
      <c r="AP182" s="1005"/>
      <c r="AQ182" s="1005"/>
      <c r="AR182" s="1005"/>
      <c r="AS182" s="1005"/>
      <c r="AT182" s="1005"/>
      <c r="AU182" s="1006"/>
      <c r="AV182" s="1270"/>
      <c r="AW182" s="1480">
        <v>8.6362499999999995E-2</v>
      </c>
      <c r="AX182" s="1006"/>
      <c r="AY182" s="1006"/>
      <c r="AZ182" s="1006"/>
      <c r="BA182" s="1006"/>
      <c r="BB182" s="1006"/>
      <c r="BC182" s="1006"/>
      <c r="BD182" s="1006"/>
      <c r="BE182" s="1006"/>
      <c r="BF182" s="1006"/>
      <c r="BG182" s="1006"/>
      <c r="BH182" s="1006"/>
      <c r="BI182" s="1006"/>
      <c r="BJ182" s="1006"/>
      <c r="BK182" s="1006"/>
      <c r="BL182" s="1006"/>
      <c r="BM182" s="1006"/>
      <c r="BN182" s="1006"/>
      <c r="BO182" s="1006"/>
      <c r="BP182" s="1006"/>
      <c r="BQ182" s="1006"/>
      <c r="BR182" s="1006"/>
      <c r="BS182" s="1006"/>
      <c r="BT182" s="1480">
        <v>0</v>
      </c>
      <c r="BU182" s="1006"/>
      <c r="BV182" s="1006"/>
      <c r="BW182" s="1006"/>
      <c r="BX182" s="1480">
        <v>3.0249999999999999E-2</v>
      </c>
      <c r="BY182" s="1480">
        <v>9.5715790282080594E-3</v>
      </c>
      <c r="BZ182" s="1480">
        <v>9.5715790282080594E-3</v>
      </c>
      <c r="CA182" s="1006"/>
      <c r="CB182" s="1006"/>
      <c r="CC182" s="1006"/>
      <c r="CD182" s="1006"/>
      <c r="CE182" s="1006"/>
      <c r="CF182" s="1006"/>
      <c r="CG182" s="1209"/>
      <c r="CH182" s="1236">
        <v>4.1187673774436062</v>
      </c>
      <c r="CI182" s="1007"/>
      <c r="CJ182" s="1007"/>
      <c r="CK182" s="1007"/>
      <c r="CL182" s="1007"/>
      <c r="CM182" s="1007"/>
      <c r="CN182" s="1007"/>
      <c r="CO182" s="1007"/>
      <c r="CP182" s="1007"/>
      <c r="CQ182" s="1007"/>
      <c r="CR182" s="1007"/>
      <c r="CS182" s="1007"/>
      <c r="CT182" s="1007"/>
      <c r="CU182" s="1007"/>
      <c r="CV182" s="1007"/>
      <c r="CW182" s="1007"/>
      <c r="CX182" s="1007"/>
      <c r="CY182" s="1007"/>
      <c r="CZ182" s="1007"/>
      <c r="DA182" s="1007"/>
      <c r="DB182" s="1007"/>
      <c r="DC182" s="1007"/>
      <c r="DD182" s="1007"/>
      <c r="DE182" s="1007"/>
      <c r="DF182" s="1112"/>
      <c r="DG182" s="1007"/>
      <c r="DH182" s="1007"/>
      <c r="DI182" s="1236">
        <v>14363.157273249642</v>
      </c>
      <c r="DJ182" s="1236">
        <v>19174.444679457014</v>
      </c>
      <c r="DK182" s="1236">
        <v>11850.732614624767</v>
      </c>
      <c r="DL182" s="1007"/>
      <c r="DM182" s="1007"/>
      <c r="DN182" s="1007"/>
      <c r="DO182" s="1112"/>
      <c r="DP182" s="1112"/>
      <c r="DQ182" s="1270"/>
      <c r="DR182" s="1154">
        <f t="shared" si="638"/>
        <v>131.13140311044864</v>
      </c>
      <c r="DS182" s="1154">
        <f t="shared" si="639"/>
        <v>0</v>
      </c>
      <c r="DT182" s="1154">
        <f t="shared" si="640"/>
        <v>0</v>
      </c>
      <c r="DU182" s="1154">
        <f t="shared" si="641"/>
        <v>0</v>
      </c>
      <c r="DV182" s="1154">
        <f t="shared" si="642"/>
        <v>0</v>
      </c>
      <c r="DW182" s="1154">
        <f t="shared" si="643"/>
        <v>0</v>
      </c>
      <c r="DX182" s="1154">
        <f t="shared" si="644"/>
        <v>0</v>
      </c>
      <c r="DY182" s="1154">
        <f t="shared" si="645"/>
        <v>0</v>
      </c>
      <c r="DZ182" s="1154">
        <f t="shared" si="646"/>
        <v>0</v>
      </c>
      <c r="EA182" s="1154">
        <f t="shared" si="647"/>
        <v>0</v>
      </c>
      <c r="EB182" s="1154">
        <f t="shared" si="648"/>
        <v>0</v>
      </c>
      <c r="EC182" s="1154">
        <f t="shared" si="649"/>
        <v>0</v>
      </c>
      <c r="ED182" s="1154">
        <f t="shared" si="650"/>
        <v>0</v>
      </c>
      <c r="EE182" s="1154">
        <f t="shared" si="651"/>
        <v>0</v>
      </c>
      <c r="EF182" s="1154">
        <f t="shared" si="652"/>
        <v>0</v>
      </c>
      <c r="EG182" s="1154">
        <f t="shared" si="653"/>
        <v>0</v>
      </c>
      <c r="EH182" s="1154">
        <f t="shared" si="654"/>
        <v>0</v>
      </c>
      <c r="EI182" s="1154">
        <f t="shared" si="655"/>
        <v>0</v>
      </c>
      <c r="EJ182" s="1154">
        <f t="shared" si="656"/>
        <v>0</v>
      </c>
      <c r="EK182" s="1154">
        <f t="shared" si="657"/>
        <v>0</v>
      </c>
      <c r="EL182" s="1154">
        <f t="shared" si="658"/>
        <v>0</v>
      </c>
      <c r="EM182" s="1154">
        <f t="shared" si="659"/>
        <v>0</v>
      </c>
      <c r="EN182" s="1154">
        <f t="shared" si="660"/>
        <v>0</v>
      </c>
      <c r="EO182" s="1154">
        <f t="shared" si="661"/>
        <v>0</v>
      </c>
      <c r="EP182" s="1154">
        <f t="shared" si="662"/>
        <v>0</v>
      </c>
      <c r="EQ182" s="1154">
        <f t="shared" si="663"/>
        <v>0</v>
      </c>
      <c r="ER182" s="1154">
        <f t="shared" si="664"/>
        <v>0</v>
      </c>
      <c r="ES182" s="1154">
        <f t="shared" si="665"/>
        <v>438.22462548065363</v>
      </c>
      <c r="ET182" s="1154">
        <f t="shared" si="666"/>
        <v>228.00148547302283</v>
      </c>
      <c r="EU182" s="1154">
        <f t="shared" si="667"/>
        <v>140.91592665381756</v>
      </c>
      <c r="EV182" s="1154">
        <f t="shared" si="668"/>
        <v>0</v>
      </c>
      <c r="EW182" s="1154">
        <f t="shared" si="669"/>
        <v>0</v>
      </c>
      <c r="EX182" s="1154">
        <f t="shared" si="670"/>
        <v>0</v>
      </c>
      <c r="EY182" s="1154">
        <f t="shared" si="671"/>
        <v>0</v>
      </c>
      <c r="EZ182" s="1154">
        <f t="shared" si="672"/>
        <v>0</v>
      </c>
      <c r="FA182" s="1174">
        <f t="shared" si="673"/>
        <v>938.27344071794266</v>
      </c>
      <c r="FC182" s="1154">
        <f t="shared" si="674"/>
        <v>129.83307238658278</v>
      </c>
      <c r="FD182" s="1154">
        <f t="shared" si="675"/>
        <v>0</v>
      </c>
      <c r="FE182" s="1154">
        <f t="shared" si="676"/>
        <v>0</v>
      </c>
      <c r="FF182" s="1154">
        <f t="shared" si="677"/>
        <v>0</v>
      </c>
      <c r="FG182" s="1154">
        <f t="shared" si="678"/>
        <v>0</v>
      </c>
      <c r="FH182" s="1154">
        <f t="shared" si="679"/>
        <v>0</v>
      </c>
      <c r="FI182" s="1154">
        <f t="shared" si="680"/>
        <v>0</v>
      </c>
      <c r="FJ182" s="1154">
        <f t="shared" si="681"/>
        <v>0</v>
      </c>
      <c r="FK182" s="1154">
        <f t="shared" si="682"/>
        <v>0</v>
      </c>
      <c r="FL182" s="1154">
        <f t="shared" si="683"/>
        <v>0</v>
      </c>
      <c r="FM182" s="1154">
        <f t="shared" si="684"/>
        <v>0</v>
      </c>
      <c r="FN182" s="1154">
        <f t="shared" si="685"/>
        <v>0</v>
      </c>
      <c r="FO182" s="1154">
        <f t="shared" si="686"/>
        <v>0</v>
      </c>
      <c r="FP182" s="1154">
        <f t="shared" si="687"/>
        <v>0</v>
      </c>
      <c r="FQ182" s="1154">
        <f t="shared" si="688"/>
        <v>0</v>
      </c>
      <c r="FR182" s="1154">
        <f t="shared" si="689"/>
        <v>0</v>
      </c>
      <c r="FS182" s="1154">
        <f t="shared" si="690"/>
        <v>0</v>
      </c>
      <c r="FT182" s="1154">
        <f t="shared" si="691"/>
        <v>0</v>
      </c>
      <c r="FU182" s="1154">
        <f t="shared" si="692"/>
        <v>0</v>
      </c>
      <c r="FV182" s="1154">
        <f t="shared" si="693"/>
        <v>0</v>
      </c>
      <c r="FW182" s="1154">
        <f t="shared" si="694"/>
        <v>0</v>
      </c>
      <c r="FX182" s="1154">
        <f t="shared" si="695"/>
        <v>0</v>
      </c>
      <c r="FY182" s="1154">
        <f t="shared" si="696"/>
        <v>0</v>
      </c>
      <c r="FZ182" s="1154">
        <f t="shared" si="697"/>
        <v>0</v>
      </c>
      <c r="GA182" s="1154">
        <f t="shared" si="698"/>
        <v>0</v>
      </c>
      <c r="GB182" s="1154">
        <f t="shared" si="699"/>
        <v>0</v>
      </c>
      <c r="GC182" s="1154">
        <f t="shared" si="700"/>
        <v>0</v>
      </c>
      <c r="GD182" s="1154">
        <f t="shared" si="701"/>
        <v>434.48550751580166</v>
      </c>
      <c r="GE182" s="1154">
        <f t="shared" si="702"/>
        <v>183.52971257142636</v>
      </c>
      <c r="GF182" s="1154">
        <f t="shared" si="703"/>
        <v>113.43022376304368</v>
      </c>
      <c r="GG182" s="1154">
        <f t="shared" si="704"/>
        <v>0</v>
      </c>
      <c r="GH182" s="1154">
        <f t="shared" si="705"/>
        <v>0</v>
      </c>
      <c r="GI182" s="1154">
        <f t="shared" si="706"/>
        <v>0</v>
      </c>
      <c r="GJ182" s="1154">
        <f t="shared" si="707"/>
        <v>0</v>
      </c>
      <c r="GK182" s="1154">
        <f t="shared" si="708"/>
        <v>0</v>
      </c>
      <c r="GL182" s="1174">
        <f t="shared" si="709"/>
        <v>861.27851623685456</v>
      </c>
    </row>
    <row r="183" spans="2:194">
      <c r="B183" s="1290" t="str">
        <f t="shared" si="637"/>
        <v>SACDUOSWRTOUE</v>
      </c>
      <c r="C183" s="1289" t="str">
        <f t="shared" ref="C183:H183" si="721">C182</f>
        <v>West SAC&lt;100MWhpa Residential TOU Energy</v>
      </c>
      <c r="D183" s="1113" t="str">
        <f t="shared" si="721"/>
        <v>West SAC&lt;100MWhpa Residential TOU Energy</v>
      </c>
      <c r="E183" s="1113" t="str">
        <f t="shared" si="721"/>
        <v>SAC</v>
      </c>
      <c r="F183" s="1113" t="str">
        <f t="shared" si="721"/>
        <v>SACS Res</v>
      </c>
      <c r="G183" s="1113" t="str">
        <f t="shared" si="721"/>
        <v>West</v>
      </c>
      <c r="H183" s="1113" t="str">
        <f t="shared" si="721"/>
        <v>WRTOUE</v>
      </c>
      <c r="I183" s="1114" t="s">
        <v>759</v>
      </c>
      <c r="J183" s="1114" t="s">
        <v>934</v>
      </c>
      <c r="K183" s="1270"/>
      <c r="L183" s="1233">
        <v>0.14114099999999999</v>
      </c>
      <c r="M183" s="1007"/>
      <c r="N183" s="1007"/>
      <c r="O183" s="1007"/>
      <c r="P183" s="1007"/>
      <c r="Q183" s="1007"/>
      <c r="R183" s="1007"/>
      <c r="S183" s="1007"/>
      <c r="T183" s="1007"/>
      <c r="U183" s="1007"/>
      <c r="V183" s="1007"/>
      <c r="W183" s="1007"/>
      <c r="X183" s="1007"/>
      <c r="Y183" s="1007"/>
      <c r="Z183" s="1007"/>
      <c r="AA183" s="1007"/>
      <c r="AB183" s="1007"/>
      <c r="AC183" s="1007"/>
      <c r="AD183" s="1007"/>
      <c r="AE183" s="1007"/>
      <c r="AF183" s="1007"/>
      <c r="AG183" s="1007"/>
      <c r="AH183" s="1007"/>
      <c r="AI183" s="1005"/>
      <c r="AJ183" s="1005"/>
      <c r="AK183" s="1005"/>
      <c r="AL183" s="1005"/>
      <c r="AM183" s="1233">
        <v>5.9195077452667812E-2</v>
      </c>
      <c r="AN183" s="1233">
        <v>3.7919442077064855E-3</v>
      </c>
      <c r="AO183" s="1233">
        <v>3.7919442077064855E-3</v>
      </c>
      <c r="AP183" s="1005"/>
      <c r="AQ183" s="1005"/>
      <c r="AR183" s="1005"/>
      <c r="AS183" s="1005"/>
      <c r="AT183" s="1005"/>
      <c r="AU183" s="1006"/>
      <c r="AV183" s="1270"/>
      <c r="AW183" s="1480">
        <v>0.14114099999999999</v>
      </c>
      <c r="AX183" s="1006"/>
      <c r="AY183" s="1006"/>
      <c r="AZ183" s="1006"/>
      <c r="BA183" s="1006"/>
      <c r="BB183" s="1006"/>
      <c r="BC183" s="1006"/>
      <c r="BD183" s="1006"/>
      <c r="BE183" s="1006"/>
      <c r="BF183" s="1006"/>
      <c r="BG183" s="1006"/>
      <c r="BH183" s="1006"/>
      <c r="BI183" s="1006"/>
      <c r="BJ183" s="1006"/>
      <c r="BK183" s="1006"/>
      <c r="BL183" s="1006"/>
      <c r="BM183" s="1006"/>
      <c r="BN183" s="1006"/>
      <c r="BO183" s="1006"/>
      <c r="BP183" s="1006"/>
      <c r="BQ183" s="1006"/>
      <c r="BR183" s="1006"/>
      <c r="BS183" s="1006"/>
      <c r="BT183" s="1480">
        <v>0</v>
      </c>
      <c r="BU183" s="1006"/>
      <c r="BV183" s="1006"/>
      <c r="BW183" s="1006"/>
      <c r="BX183" s="1480">
        <v>5.8689999999999999E-2</v>
      </c>
      <c r="BY183" s="1480">
        <v>5.5588915412242302E-3</v>
      </c>
      <c r="BZ183" s="1480">
        <v>5.5588915412242302E-3</v>
      </c>
      <c r="CA183" s="1006"/>
      <c r="CB183" s="1006"/>
      <c r="CC183" s="1006"/>
      <c r="CD183" s="1006"/>
      <c r="CE183" s="1006"/>
      <c r="CF183" s="1006"/>
      <c r="CG183" s="1209"/>
      <c r="CH183" s="1236">
        <v>0.84812800339630645</v>
      </c>
      <c r="CI183" s="1007"/>
      <c r="CJ183" s="1007"/>
      <c r="CK183" s="1007"/>
      <c r="CL183" s="1007"/>
      <c r="CM183" s="1007"/>
      <c r="CN183" s="1007"/>
      <c r="CO183" s="1007"/>
      <c r="CP183" s="1007"/>
      <c r="CQ183" s="1007"/>
      <c r="CR183" s="1007"/>
      <c r="CS183" s="1007"/>
      <c r="CT183" s="1007"/>
      <c r="CU183" s="1007"/>
      <c r="CV183" s="1007"/>
      <c r="CW183" s="1007"/>
      <c r="CX183" s="1007"/>
      <c r="CY183" s="1007"/>
      <c r="CZ183" s="1007"/>
      <c r="DA183" s="1007"/>
      <c r="DB183" s="1007"/>
      <c r="DC183" s="1007"/>
      <c r="DD183" s="1007"/>
      <c r="DE183" s="1007"/>
      <c r="DF183" s="1112"/>
      <c r="DG183" s="1007"/>
      <c r="DH183" s="1007"/>
      <c r="DI183" s="1236">
        <v>2957.6314426840063</v>
      </c>
      <c r="DJ183" s="1236">
        <v>3948.3617286282329</v>
      </c>
      <c r="DK183" s="1236">
        <v>2440.2781876609661</v>
      </c>
      <c r="DL183" s="1007"/>
      <c r="DM183" s="1007"/>
      <c r="DN183" s="1007"/>
      <c r="DO183" s="1112"/>
      <c r="DP183" s="1112"/>
      <c r="DQ183" s="1270"/>
      <c r="DR183" s="1154">
        <f t="shared" si="638"/>
        <v>43.692556602485702</v>
      </c>
      <c r="DS183" s="1154">
        <f t="shared" si="639"/>
        <v>0</v>
      </c>
      <c r="DT183" s="1154">
        <f t="shared" si="640"/>
        <v>0</v>
      </c>
      <c r="DU183" s="1154">
        <f t="shared" si="641"/>
        <v>0</v>
      </c>
      <c r="DV183" s="1154">
        <f t="shared" si="642"/>
        <v>0</v>
      </c>
      <c r="DW183" s="1154">
        <f t="shared" si="643"/>
        <v>0</v>
      </c>
      <c r="DX183" s="1154">
        <f t="shared" si="644"/>
        <v>0</v>
      </c>
      <c r="DY183" s="1154">
        <f t="shared" si="645"/>
        <v>0</v>
      </c>
      <c r="DZ183" s="1154">
        <f t="shared" si="646"/>
        <v>0</v>
      </c>
      <c r="EA183" s="1154">
        <f t="shared" si="647"/>
        <v>0</v>
      </c>
      <c r="EB183" s="1154">
        <f t="shared" si="648"/>
        <v>0</v>
      </c>
      <c r="EC183" s="1154">
        <f t="shared" si="649"/>
        <v>0</v>
      </c>
      <c r="ED183" s="1154">
        <f t="shared" si="650"/>
        <v>0</v>
      </c>
      <c r="EE183" s="1154">
        <f t="shared" si="651"/>
        <v>0</v>
      </c>
      <c r="EF183" s="1154">
        <f t="shared" si="652"/>
        <v>0</v>
      </c>
      <c r="EG183" s="1154">
        <f t="shared" si="653"/>
        <v>0</v>
      </c>
      <c r="EH183" s="1154">
        <f t="shared" si="654"/>
        <v>0</v>
      </c>
      <c r="EI183" s="1154">
        <f t="shared" si="655"/>
        <v>0</v>
      </c>
      <c r="EJ183" s="1154">
        <f t="shared" si="656"/>
        <v>0</v>
      </c>
      <c r="EK183" s="1154">
        <f t="shared" si="657"/>
        <v>0</v>
      </c>
      <c r="EL183" s="1154">
        <f t="shared" si="658"/>
        <v>0</v>
      </c>
      <c r="EM183" s="1154">
        <f t="shared" si="659"/>
        <v>0</v>
      </c>
      <c r="EN183" s="1154">
        <f t="shared" si="660"/>
        <v>0</v>
      </c>
      <c r="EO183" s="1154">
        <f t="shared" si="661"/>
        <v>0</v>
      </c>
      <c r="EP183" s="1154">
        <f t="shared" si="662"/>
        <v>0</v>
      </c>
      <c r="EQ183" s="1154">
        <f t="shared" si="663"/>
        <v>0</v>
      </c>
      <c r="ER183" s="1154">
        <f t="shared" si="664"/>
        <v>0</v>
      </c>
      <c r="ES183" s="1154">
        <f t="shared" si="665"/>
        <v>175.07722232612539</v>
      </c>
      <c r="ET183" s="1154">
        <f t="shared" si="666"/>
        <v>14.971967386801794</v>
      </c>
      <c r="EU183" s="1154">
        <f t="shared" si="667"/>
        <v>9.2533987388934804</v>
      </c>
      <c r="EV183" s="1154">
        <f t="shared" si="668"/>
        <v>0</v>
      </c>
      <c r="EW183" s="1154">
        <f t="shared" si="669"/>
        <v>0</v>
      </c>
      <c r="EX183" s="1154">
        <f t="shared" si="670"/>
        <v>0</v>
      </c>
      <c r="EY183" s="1154">
        <f t="shared" si="671"/>
        <v>0</v>
      </c>
      <c r="EZ183" s="1154">
        <f t="shared" si="672"/>
        <v>0</v>
      </c>
      <c r="FA183" s="1174">
        <f t="shared" si="673"/>
        <v>242.99514505430636</v>
      </c>
      <c r="FC183" s="1154">
        <f t="shared" si="674"/>
        <v>43.692556602485702</v>
      </c>
      <c r="FD183" s="1154">
        <f t="shared" si="675"/>
        <v>0</v>
      </c>
      <c r="FE183" s="1154">
        <f t="shared" si="676"/>
        <v>0</v>
      </c>
      <c r="FF183" s="1154">
        <f t="shared" si="677"/>
        <v>0</v>
      </c>
      <c r="FG183" s="1154">
        <f t="shared" si="678"/>
        <v>0</v>
      </c>
      <c r="FH183" s="1154">
        <f t="shared" si="679"/>
        <v>0</v>
      </c>
      <c r="FI183" s="1154">
        <f t="shared" si="680"/>
        <v>0</v>
      </c>
      <c r="FJ183" s="1154">
        <f t="shared" si="681"/>
        <v>0</v>
      </c>
      <c r="FK183" s="1154">
        <f t="shared" si="682"/>
        <v>0</v>
      </c>
      <c r="FL183" s="1154">
        <f t="shared" si="683"/>
        <v>0</v>
      </c>
      <c r="FM183" s="1154">
        <f t="shared" si="684"/>
        <v>0</v>
      </c>
      <c r="FN183" s="1154">
        <f t="shared" si="685"/>
        <v>0</v>
      </c>
      <c r="FO183" s="1154">
        <f t="shared" si="686"/>
        <v>0</v>
      </c>
      <c r="FP183" s="1154">
        <f t="shared" si="687"/>
        <v>0</v>
      </c>
      <c r="FQ183" s="1154">
        <f t="shared" si="688"/>
        <v>0</v>
      </c>
      <c r="FR183" s="1154">
        <f t="shared" si="689"/>
        <v>0</v>
      </c>
      <c r="FS183" s="1154">
        <f t="shared" si="690"/>
        <v>0</v>
      </c>
      <c r="FT183" s="1154">
        <f t="shared" si="691"/>
        <v>0</v>
      </c>
      <c r="FU183" s="1154">
        <f t="shared" si="692"/>
        <v>0</v>
      </c>
      <c r="FV183" s="1154">
        <f t="shared" si="693"/>
        <v>0</v>
      </c>
      <c r="FW183" s="1154">
        <f t="shared" si="694"/>
        <v>0</v>
      </c>
      <c r="FX183" s="1154">
        <f t="shared" si="695"/>
        <v>0</v>
      </c>
      <c r="FY183" s="1154">
        <f t="shared" si="696"/>
        <v>0</v>
      </c>
      <c r="FZ183" s="1154">
        <f t="shared" si="697"/>
        <v>0</v>
      </c>
      <c r="GA183" s="1154">
        <f t="shared" si="698"/>
        <v>0</v>
      </c>
      <c r="GB183" s="1154">
        <f t="shared" si="699"/>
        <v>0</v>
      </c>
      <c r="GC183" s="1154">
        <f t="shared" si="700"/>
        <v>0</v>
      </c>
      <c r="GD183" s="1154">
        <f t="shared" si="701"/>
        <v>173.58338937112433</v>
      </c>
      <c r="GE183" s="1154">
        <f t="shared" si="702"/>
        <v>21.948514614964964</v>
      </c>
      <c r="GF183" s="1154">
        <f t="shared" si="703"/>
        <v>13.565241775622539</v>
      </c>
      <c r="GG183" s="1154">
        <f t="shared" si="704"/>
        <v>0</v>
      </c>
      <c r="GH183" s="1154">
        <f t="shared" si="705"/>
        <v>0</v>
      </c>
      <c r="GI183" s="1154">
        <f t="shared" si="706"/>
        <v>0</v>
      </c>
      <c r="GJ183" s="1154">
        <f t="shared" si="707"/>
        <v>0</v>
      </c>
      <c r="GK183" s="1154">
        <f t="shared" si="708"/>
        <v>0</v>
      </c>
      <c r="GL183" s="1174">
        <f t="shared" si="709"/>
        <v>252.78970236419752</v>
      </c>
    </row>
    <row r="184" spans="2:194">
      <c r="B184" s="1290" t="str">
        <f t="shared" si="637"/>
        <v>SACDUOSMRTOUE</v>
      </c>
      <c r="C184" s="1289" t="str">
        <f>Prop2021DUOSTariffs!C82</f>
        <v>MtIsa SAC&lt;100MWhpa Residential TOU Energy</v>
      </c>
      <c r="D184" s="1113" t="str">
        <f>Prop2021DUOSTariffs!D82</f>
        <v>MtIsa SAC&lt;100MWhpa Residential TOU Energy</v>
      </c>
      <c r="E184" s="1113" t="str">
        <f>Prop2021DUOSTariffs!E82</f>
        <v>SAC</v>
      </c>
      <c r="F184" s="1113" t="str">
        <f>Prop2021DUOSTariffs!F82</f>
        <v>SACS Res</v>
      </c>
      <c r="G184" s="1113" t="str">
        <f>Prop2021DUOSTariffs!G82</f>
        <v>Mt Isa</v>
      </c>
      <c r="H184" s="1113" t="str">
        <f>Prop2021DUOSTariffs!H82</f>
        <v>MRTOUE</v>
      </c>
      <c r="I184" s="1114" t="s">
        <v>761</v>
      </c>
      <c r="J184" s="1114" t="s">
        <v>934</v>
      </c>
      <c r="K184" s="1270"/>
      <c r="L184" s="1233">
        <v>0.14140000000000003</v>
      </c>
      <c r="M184" s="1007"/>
      <c r="N184" s="1007"/>
      <c r="O184" s="1007"/>
      <c r="P184" s="1007"/>
      <c r="Q184" s="1007"/>
      <c r="R184" s="1007"/>
      <c r="S184" s="1007"/>
      <c r="T184" s="1007"/>
      <c r="U184" s="1007"/>
      <c r="V184" s="1007"/>
      <c r="W184" s="1007"/>
      <c r="X184" s="1007"/>
      <c r="Y184" s="1007"/>
      <c r="Z184" s="1007"/>
      <c r="AA184" s="1007"/>
      <c r="AB184" s="1007"/>
      <c r="AC184" s="1007"/>
      <c r="AD184" s="1007"/>
      <c r="AE184" s="1007"/>
      <c r="AF184" s="1007"/>
      <c r="AG184" s="1007"/>
      <c r="AH184" s="1007"/>
      <c r="AI184" s="1005"/>
      <c r="AJ184" s="1005"/>
      <c r="AK184" s="1005"/>
      <c r="AL184" s="1005"/>
      <c r="AM184" s="1233">
        <v>6.9684578313253002E-3</v>
      </c>
      <c r="AN184" s="1233">
        <v>6.4199999999999999E-4</v>
      </c>
      <c r="AO184" s="1233">
        <v>6.4199999999999999E-4</v>
      </c>
      <c r="AP184" s="1005"/>
      <c r="AQ184" s="1005"/>
      <c r="AR184" s="1005"/>
      <c r="AS184" s="1005"/>
      <c r="AT184" s="1005"/>
      <c r="AU184" s="1006"/>
      <c r="AV184" s="1270"/>
      <c r="AW184" s="1480">
        <v>0.11</v>
      </c>
      <c r="AX184" s="1006"/>
      <c r="AY184" s="1006"/>
      <c r="AZ184" s="1006"/>
      <c r="BA184" s="1006"/>
      <c r="BB184" s="1006"/>
      <c r="BC184" s="1006"/>
      <c r="BD184" s="1006"/>
      <c r="BE184" s="1006"/>
      <c r="BF184" s="1006"/>
      <c r="BG184" s="1006"/>
      <c r="BH184" s="1006"/>
      <c r="BI184" s="1006"/>
      <c r="BJ184" s="1006"/>
      <c r="BK184" s="1006"/>
      <c r="BL184" s="1006"/>
      <c r="BM184" s="1006"/>
      <c r="BN184" s="1006"/>
      <c r="BO184" s="1006"/>
      <c r="BP184" s="1006"/>
      <c r="BQ184" s="1006"/>
      <c r="BR184" s="1006"/>
      <c r="BS184" s="1006"/>
      <c r="BT184" s="1480">
        <v>0</v>
      </c>
      <c r="BU184" s="1006"/>
      <c r="BV184" s="1006"/>
      <c r="BW184" s="1006"/>
      <c r="BX184" s="1480">
        <v>6.9089999999999993E-3</v>
      </c>
      <c r="BY184" s="1480">
        <v>5.9999999999999995E-4</v>
      </c>
      <c r="BZ184" s="1480">
        <v>5.9999999999999995E-4</v>
      </c>
      <c r="CA184" s="1006"/>
      <c r="CB184" s="1006"/>
      <c r="CC184" s="1006"/>
      <c r="CD184" s="1006"/>
      <c r="CE184" s="1006"/>
      <c r="CF184" s="1006"/>
      <c r="CG184" s="1209"/>
      <c r="CH184" s="1236">
        <v>0</v>
      </c>
      <c r="CI184" s="1007"/>
      <c r="CJ184" s="1007"/>
      <c r="CK184" s="1007"/>
      <c r="CL184" s="1007"/>
      <c r="CM184" s="1007"/>
      <c r="CN184" s="1007"/>
      <c r="CO184" s="1007"/>
      <c r="CP184" s="1007"/>
      <c r="CQ184" s="1007"/>
      <c r="CR184" s="1007"/>
      <c r="CS184" s="1007"/>
      <c r="CT184" s="1007"/>
      <c r="CU184" s="1007"/>
      <c r="CV184" s="1007"/>
      <c r="CW184" s="1007"/>
      <c r="CX184" s="1007"/>
      <c r="CY184" s="1007"/>
      <c r="CZ184" s="1007"/>
      <c r="DA184" s="1007"/>
      <c r="DB184" s="1007"/>
      <c r="DC184" s="1007"/>
      <c r="DD184" s="1007"/>
      <c r="DE184" s="1007"/>
      <c r="DF184" s="1112"/>
      <c r="DG184" s="1007"/>
      <c r="DH184" s="1007"/>
      <c r="DI184" s="1236">
        <v>0</v>
      </c>
      <c r="DJ184" s="1236">
        <v>0</v>
      </c>
      <c r="DK184" s="1236">
        <v>0</v>
      </c>
      <c r="DL184" s="1007"/>
      <c r="DM184" s="1007"/>
      <c r="DN184" s="1007"/>
      <c r="DO184" s="1112"/>
      <c r="DP184" s="1112"/>
      <c r="DQ184" s="1270"/>
      <c r="DR184" s="1154">
        <f t="shared" si="638"/>
        <v>0</v>
      </c>
      <c r="DS184" s="1154">
        <f t="shared" si="639"/>
        <v>0</v>
      </c>
      <c r="DT184" s="1154">
        <f t="shared" si="640"/>
        <v>0</v>
      </c>
      <c r="DU184" s="1154">
        <f t="shared" si="641"/>
        <v>0</v>
      </c>
      <c r="DV184" s="1154">
        <f t="shared" si="642"/>
        <v>0</v>
      </c>
      <c r="DW184" s="1154">
        <f t="shared" si="643"/>
        <v>0</v>
      </c>
      <c r="DX184" s="1154">
        <f t="shared" si="644"/>
        <v>0</v>
      </c>
      <c r="DY184" s="1154">
        <f t="shared" si="645"/>
        <v>0</v>
      </c>
      <c r="DZ184" s="1154">
        <f t="shared" si="646"/>
        <v>0</v>
      </c>
      <c r="EA184" s="1154">
        <f t="shared" si="647"/>
        <v>0</v>
      </c>
      <c r="EB184" s="1154">
        <f t="shared" si="648"/>
        <v>0</v>
      </c>
      <c r="EC184" s="1154">
        <f t="shared" si="649"/>
        <v>0</v>
      </c>
      <c r="ED184" s="1154">
        <f t="shared" si="650"/>
        <v>0</v>
      </c>
      <c r="EE184" s="1154">
        <f t="shared" si="651"/>
        <v>0</v>
      </c>
      <c r="EF184" s="1154">
        <f t="shared" si="652"/>
        <v>0</v>
      </c>
      <c r="EG184" s="1154">
        <f t="shared" si="653"/>
        <v>0</v>
      </c>
      <c r="EH184" s="1154">
        <f t="shared" si="654"/>
        <v>0</v>
      </c>
      <c r="EI184" s="1154">
        <f t="shared" si="655"/>
        <v>0</v>
      </c>
      <c r="EJ184" s="1154">
        <f t="shared" si="656"/>
        <v>0</v>
      </c>
      <c r="EK184" s="1154">
        <f t="shared" si="657"/>
        <v>0</v>
      </c>
      <c r="EL184" s="1154">
        <f t="shared" si="658"/>
        <v>0</v>
      </c>
      <c r="EM184" s="1154">
        <f t="shared" si="659"/>
        <v>0</v>
      </c>
      <c r="EN184" s="1154">
        <f t="shared" si="660"/>
        <v>0</v>
      </c>
      <c r="EO184" s="1154">
        <f t="shared" si="661"/>
        <v>0</v>
      </c>
      <c r="EP184" s="1154">
        <f t="shared" si="662"/>
        <v>0</v>
      </c>
      <c r="EQ184" s="1154">
        <f t="shared" si="663"/>
        <v>0</v>
      </c>
      <c r="ER184" s="1154">
        <f t="shared" si="664"/>
        <v>0</v>
      </c>
      <c r="ES184" s="1154">
        <f t="shared" si="665"/>
        <v>0</v>
      </c>
      <c r="ET184" s="1154">
        <f t="shared" si="666"/>
        <v>0</v>
      </c>
      <c r="EU184" s="1154">
        <f t="shared" si="667"/>
        <v>0</v>
      </c>
      <c r="EV184" s="1154">
        <f t="shared" si="668"/>
        <v>0</v>
      </c>
      <c r="EW184" s="1154">
        <f t="shared" si="669"/>
        <v>0</v>
      </c>
      <c r="EX184" s="1154">
        <f t="shared" si="670"/>
        <v>0</v>
      </c>
      <c r="EY184" s="1154">
        <f t="shared" si="671"/>
        <v>0</v>
      </c>
      <c r="EZ184" s="1154">
        <f t="shared" si="672"/>
        <v>0</v>
      </c>
      <c r="FA184" s="1174">
        <f t="shared" si="673"/>
        <v>0</v>
      </c>
      <c r="FC184" s="1154">
        <f t="shared" si="674"/>
        <v>0</v>
      </c>
      <c r="FD184" s="1154">
        <f t="shared" si="675"/>
        <v>0</v>
      </c>
      <c r="FE184" s="1154">
        <f t="shared" si="676"/>
        <v>0</v>
      </c>
      <c r="FF184" s="1154">
        <f t="shared" si="677"/>
        <v>0</v>
      </c>
      <c r="FG184" s="1154">
        <f t="shared" si="678"/>
        <v>0</v>
      </c>
      <c r="FH184" s="1154">
        <f t="shared" si="679"/>
        <v>0</v>
      </c>
      <c r="FI184" s="1154">
        <f t="shared" si="680"/>
        <v>0</v>
      </c>
      <c r="FJ184" s="1154">
        <f t="shared" si="681"/>
        <v>0</v>
      </c>
      <c r="FK184" s="1154">
        <f t="shared" si="682"/>
        <v>0</v>
      </c>
      <c r="FL184" s="1154">
        <f t="shared" si="683"/>
        <v>0</v>
      </c>
      <c r="FM184" s="1154">
        <f t="shared" si="684"/>
        <v>0</v>
      </c>
      <c r="FN184" s="1154">
        <f t="shared" si="685"/>
        <v>0</v>
      </c>
      <c r="FO184" s="1154">
        <f t="shared" si="686"/>
        <v>0</v>
      </c>
      <c r="FP184" s="1154">
        <f t="shared" si="687"/>
        <v>0</v>
      </c>
      <c r="FQ184" s="1154">
        <f t="shared" si="688"/>
        <v>0</v>
      </c>
      <c r="FR184" s="1154">
        <f t="shared" si="689"/>
        <v>0</v>
      </c>
      <c r="FS184" s="1154">
        <f t="shared" si="690"/>
        <v>0</v>
      </c>
      <c r="FT184" s="1154">
        <f t="shared" si="691"/>
        <v>0</v>
      </c>
      <c r="FU184" s="1154">
        <f t="shared" si="692"/>
        <v>0</v>
      </c>
      <c r="FV184" s="1154">
        <f t="shared" si="693"/>
        <v>0</v>
      </c>
      <c r="FW184" s="1154">
        <f t="shared" si="694"/>
        <v>0</v>
      </c>
      <c r="FX184" s="1154">
        <f t="shared" si="695"/>
        <v>0</v>
      </c>
      <c r="FY184" s="1154">
        <f t="shared" si="696"/>
        <v>0</v>
      </c>
      <c r="FZ184" s="1154">
        <f t="shared" si="697"/>
        <v>0</v>
      </c>
      <c r="GA184" s="1154">
        <f t="shared" si="698"/>
        <v>0</v>
      </c>
      <c r="GB184" s="1154">
        <f t="shared" si="699"/>
        <v>0</v>
      </c>
      <c r="GC184" s="1154">
        <f t="shared" si="700"/>
        <v>0</v>
      </c>
      <c r="GD184" s="1154">
        <f t="shared" si="701"/>
        <v>0</v>
      </c>
      <c r="GE184" s="1154">
        <f t="shared" si="702"/>
        <v>0</v>
      </c>
      <c r="GF184" s="1154">
        <f t="shared" si="703"/>
        <v>0</v>
      </c>
      <c r="GG184" s="1154">
        <f t="shared" si="704"/>
        <v>0</v>
      </c>
      <c r="GH184" s="1154">
        <f t="shared" si="705"/>
        <v>0</v>
      </c>
      <c r="GI184" s="1154">
        <f t="shared" si="706"/>
        <v>0</v>
      </c>
      <c r="GJ184" s="1154">
        <f t="shared" si="707"/>
        <v>0</v>
      </c>
      <c r="GK184" s="1154">
        <f t="shared" si="708"/>
        <v>0</v>
      </c>
      <c r="GL184" s="1174">
        <f t="shared" si="709"/>
        <v>0</v>
      </c>
    </row>
    <row r="185" spans="2:194">
      <c r="B185" s="1290" t="str">
        <f t="shared" ref="B185:B198" si="722">$E185&amp;"DUOS"&amp;$H185</f>
        <v>SACDUOSERTDEM</v>
      </c>
      <c r="C185" s="1289" t="str">
        <f>Prop2021DUOSTariffs!C83</f>
        <v>East SAC&lt;100MWhpa Residential TOU Transitional Demand</v>
      </c>
      <c r="D185" s="1113" t="str">
        <f>Prop2021DUOSTariffs!D83</f>
        <v>East SAC&lt;100MWhpa Residential TOU Transitional Demand</v>
      </c>
      <c r="E185" s="1113" t="str">
        <f>Prop2021DUOSTariffs!E83</f>
        <v>SAC</v>
      </c>
      <c r="F185" s="1113" t="str">
        <f>Prop2021DUOSTariffs!F83</f>
        <v>SACS Res</v>
      </c>
      <c r="G185" s="1113" t="str">
        <f>Prop2021DUOSTariffs!G83</f>
        <v>East</v>
      </c>
      <c r="H185" s="1113" t="str">
        <f>Prop2021DUOSTariffs!H83</f>
        <v>ERTDEM</v>
      </c>
      <c r="I185" s="1114" t="s">
        <v>798</v>
      </c>
      <c r="J185" s="1114" t="s">
        <v>934</v>
      </c>
      <c r="K185" s="1270"/>
      <c r="L185" s="1233">
        <v>2.0924400000000006E-2</v>
      </c>
      <c r="M185" s="1007"/>
      <c r="N185" s="1007"/>
      <c r="O185" s="1007"/>
      <c r="P185" s="1007"/>
      <c r="Q185" s="1007"/>
      <c r="R185" s="1007"/>
      <c r="S185" s="1007"/>
      <c r="T185" s="1007"/>
      <c r="U185" s="1007"/>
      <c r="V185" s="1007"/>
      <c r="W185" s="1007"/>
      <c r="X185" s="1007"/>
      <c r="Y185" s="1007"/>
      <c r="Z185" s="1007"/>
      <c r="AA185" s="1007"/>
      <c r="AB185" s="1233">
        <v>0.46933792312105571</v>
      </c>
      <c r="AC185" s="1007"/>
      <c r="AD185" s="1007"/>
      <c r="AE185" s="1007"/>
      <c r="AF185" s="1007"/>
      <c r="AG185" s="1007"/>
      <c r="AH185" s="1007"/>
      <c r="AI185" s="1233">
        <v>1.0544881443151606E-2</v>
      </c>
      <c r="AJ185" s="1005"/>
      <c r="AK185" s="1005"/>
      <c r="AL185" s="1005"/>
      <c r="AM185" s="1005"/>
      <c r="AN185" s="1005"/>
      <c r="AO185" s="1005"/>
      <c r="AP185" s="1005"/>
      <c r="AQ185" s="1005"/>
      <c r="AR185" s="1005"/>
      <c r="AS185" s="1005"/>
      <c r="AT185" s="1005"/>
      <c r="AU185" s="1006"/>
      <c r="AV185" s="1270"/>
      <c r="AW185" s="1480">
        <v>1.9740000000000004E-2</v>
      </c>
      <c r="AX185" s="1006"/>
      <c r="AY185" s="1006"/>
      <c r="AZ185" s="1006"/>
      <c r="BA185" s="1006"/>
      <c r="BB185" s="1006"/>
      <c r="BC185" s="1006"/>
      <c r="BD185" s="1006"/>
      <c r="BE185" s="1006"/>
      <c r="BF185" s="1006"/>
      <c r="BG185" s="1006"/>
      <c r="BH185" s="1006"/>
      <c r="BI185" s="1006"/>
      <c r="BJ185" s="1006"/>
      <c r="BK185" s="1006"/>
      <c r="BL185" s="1006"/>
      <c r="BM185" s="1480">
        <v>0.46533333333333338</v>
      </c>
      <c r="BN185" s="1006"/>
      <c r="BO185" s="1006"/>
      <c r="BP185" s="1006"/>
      <c r="BQ185" s="1006"/>
      <c r="BR185" s="1006"/>
      <c r="BS185" s="1006"/>
      <c r="BT185" s="1480">
        <v>7.6058147926043795E-3</v>
      </c>
      <c r="BU185" s="1006"/>
      <c r="BV185" s="1006"/>
      <c r="BW185" s="1006"/>
      <c r="BX185" s="1006"/>
      <c r="BY185" s="1006"/>
      <c r="BZ185" s="1006"/>
      <c r="CA185" s="1006"/>
      <c r="CB185" s="1006"/>
      <c r="CC185" s="1006"/>
      <c r="CD185" s="1006"/>
      <c r="CE185" s="1006"/>
      <c r="CF185" s="1006"/>
      <c r="CG185" s="1209"/>
      <c r="CH185" s="1236">
        <v>58575.637863684744</v>
      </c>
      <c r="CI185" s="1007"/>
      <c r="CJ185" s="1007"/>
      <c r="CK185" s="1007"/>
      <c r="CL185" s="1007"/>
      <c r="CM185" s="1007"/>
      <c r="CN185" s="1007"/>
      <c r="CO185" s="1007"/>
      <c r="CP185" s="1007"/>
      <c r="CQ185" s="1007"/>
      <c r="CR185" s="1007"/>
      <c r="CS185" s="1007"/>
      <c r="CT185" s="1007"/>
      <c r="CU185" s="1007"/>
      <c r="CV185" s="1007"/>
      <c r="CW185" s="1007"/>
      <c r="CX185" s="1236">
        <v>2899276.3837257344</v>
      </c>
      <c r="CY185" s="1007"/>
      <c r="CZ185" s="1007"/>
      <c r="DA185" s="1007"/>
      <c r="DB185" s="1007"/>
      <c r="DC185" s="1007"/>
      <c r="DD185" s="1007"/>
      <c r="DE185" s="1236">
        <v>233046290.83518717</v>
      </c>
      <c r="DF185" s="1007"/>
      <c r="DG185" s="1007"/>
      <c r="DH185" s="1007"/>
      <c r="DI185" s="1006"/>
      <c r="DJ185" s="1006"/>
      <c r="DK185" s="1007"/>
      <c r="DL185" s="1007"/>
      <c r="DM185" s="1007"/>
      <c r="DN185" s="1007"/>
      <c r="DO185" s="1112"/>
      <c r="DP185" s="1112"/>
      <c r="DQ185" s="1270"/>
      <c r="DR185" s="1154">
        <f t="shared" si="638"/>
        <v>447365.92807393317</v>
      </c>
      <c r="DS185" s="1154">
        <f t="shared" si="639"/>
        <v>0</v>
      </c>
      <c r="DT185" s="1154">
        <f t="shared" si="640"/>
        <v>0</v>
      </c>
      <c r="DU185" s="1154">
        <f t="shared" si="641"/>
        <v>0</v>
      </c>
      <c r="DV185" s="1154">
        <f t="shared" si="642"/>
        <v>0</v>
      </c>
      <c r="DW185" s="1154">
        <f t="shared" si="643"/>
        <v>0</v>
      </c>
      <c r="DX185" s="1154">
        <f t="shared" si="644"/>
        <v>0</v>
      </c>
      <c r="DY185" s="1154">
        <f t="shared" si="645"/>
        <v>0</v>
      </c>
      <c r="DZ185" s="1154">
        <f t="shared" si="646"/>
        <v>0</v>
      </c>
      <c r="EA185" s="1154">
        <f t="shared" si="647"/>
        <v>0</v>
      </c>
      <c r="EB185" s="1154">
        <f t="shared" si="648"/>
        <v>0</v>
      </c>
      <c r="EC185" s="1154">
        <f t="shared" si="649"/>
        <v>0</v>
      </c>
      <c r="ED185" s="1154">
        <f t="shared" si="650"/>
        <v>0</v>
      </c>
      <c r="EE185" s="1154">
        <f t="shared" si="651"/>
        <v>0</v>
      </c>
      <c r="EF185" s="1154">
        <f t="shared" si="652"/>
        <v>0</v>
      </c>
      <c r="EG185" s="1154">
        <f t="shared" si="653"/>
        <v>0</v>
      </c>
      <c r="EH185" s="1154">
        <f t="shared" si="654"/>
        <v>1360740.356491761</v>
      </c>
      <c r="EI185" s="1154">
        <f t="shared" si="655"/>
        <v>0</v>
      </c>
      <c r="EJ185" s="1154">
        <f t="shared" si="656"/>
        <v>0</v>
      </c>
      <c r="EK185" s="1154">
        <f t="shared" si="657"/>
        <v>0</v>
      </c>
      <c r="EL185" s="1154">
        <f t="shared" si="658"/>
        <v>0</v>
      </c>
      <c r="EM185" s="1154">
        <f t="shared" si="659"/>
        <v>0</v>
      </c>
      <c r="EN185" s="1154">
        <f t="shared" si="660"/>
        <v>0</v>
      </c>
      <c r="EO185" s="1154">
        <f t="shared" si="661"/>
        <v>2457445.5076232776</v>
      </c>
      <c r="EP185" s="1154">
        <f t="shared" si="662"/>
        <v>0</v>
      </c>
      <c r="EQ185" s="1154">
        <f t="shared" si="663"/>
        <v>0</v>
      </c>
      <c r="ER185" s="1154">
        <f t="shared" si="664"/>
        <v>0</v>
      </c>
      <c r="ES185" s="1154">
        <f t="shared" si="665"/>
        <v>0</v>
      </c>
      <c r="ET185" s="1154">
        <f t="shared" si="666"/>
        <v>0</v>
      </c>
      <c r="EU185" s="1154">
        <f t="shared" si="667"/>
        <v>0</v>
      </c>
      <c r="EV185" s="1154">
        <f t="shared" si="668"/>
        <v>0</v>
      </c>
      <c r="EW185" s="1154">
        <f t="shared" si="669"/>
        <v>0</v>
      </c>
      <c r="EX185" s="1154">
        <f t="shared" si="670"/>
        <v>0</v>
      </c>
      <c r="EY185" s="1154">
        <f t="shared" si="671"/>
        <v>0</v>
      </c>
      <c r="EZ185" s="1154">
        <f t="shared" si="672"/>
        <v>0</v>
      </c>
      <c r="FA185" s="1174">
        <f t="shared" ref="FA185:FA198" si="723">SUM(DR185:EZ185)</f>
        <v>4265551.7921889722</v>
      </c>
      <c r="FC185" s="1154">
        <f t="shared" si="674"/>
        <v>422043.32837163506</v>
      </c>
      <c r="FD185" s="1154">
        <f t="shared" si="675"/>
        <v>0</v>
      </c>
      <c r="FE185" s="1154">
        <f t="shared" si="676"/>
        <v>0</v>
      </c>
      <c r="FF185" s="1154">
        <f t="shared" si="677"/>
        <v>0</v>
      </c>
      <c r="FG185" s="1154">
        <f t="shared" si="678"/>
        <v>0</v>
      </c>
      <c r="FH185" s="1154">
        <f t="shared" si="679"/>
        <v>0</v>
      </c>
      <c r="FI185" s="1154">
        <f t="shared" si="680"/>
        <v>0</v>
      </c>
      <c r="FJ185" s="1154">
        <f t="shared" si="681"/>
        <v>0</v>
      </c>
      <c r="FK185" s="1154">
        <f t="shared" si="682"/>
        <v>0</v>
      </c>
      <c r="FL185" s="1154">
        <f t="shared" si="683"/>
        <v>0</v>
      </c>
      <c r="FM185" s="1154">
        <f t="shared" si="684"/>
        <v>0</v>
      </c>
      <c r="FN185" s="1154">
        <f t="shared" si="685"/>
        <v>0</v>
      </c>
      <c r="FO185" s="1154">
        <f t="shared" si="686"/>
        <v>0</v>
      </c>
      <c r="FP185" s="1154">
        <f t="shared" si="687"/>
        <v>0</v>
      </c>
      <c r="FQ185" s="1154">
        <f t="shared" si="688"/>
        <v>0</v>
      </c>
      <c r="FR185" s="1154">
        <f t="shared" si="689"/>
        <v>0</v>
      </c>
      <c r="FS185" s="1154">
        <f t="shared" si="690"/>
        <v>1349129.9438937085</v>
      </c>
      <c r="FT185" s="1154">
        <f t="shared" si="691"/>
        <v>0</v>
      </c>
      <c r="FU185" s="1154">
        <f t="shared" si="692"/>
        <v>0</v>
      </c>
      <c r="FV185" s="1154">
        <f t="shared" si="693"/>
        <v>0</v>
      </c>
      <c r="FW185" s="1154">
        <f t="shared" si="694"/>
        <v>0</v>
      </c>
      <c r="FX185" s="1154">
        <f t="shared" si="695"/>
        <v>0</v>
      </c>
      <c r="FY185" s="1154">
        <f t="shared" si="696"/>
        <v>0</v>
      </c>
      <c r="FZ185" s="1154">
        <f t="shared" si="697"/>
        <v>1772506.926195849</v>
      </c>
      <c r="GA185" s="1154">
        <f t="shared" si="698"/>
        <v>0</v>
      </c>
      <c r="GB185" s="1154">
        <f t="shared" si="699"/>
        <v>0</v>
      </c>
      <c r="GC185" s="1154">
        <f t="shared" si="700"/>
        <v>0</v>
      </c>
      <c r="GD185" s="1154">
        <f t="shared" si="701"/>
        <v>0</v>
      </c>
      <c r="GE185" s="1154">
        <f t="shared" si="702"/>
        <v>0</v>
      </c>
      <c r="GF185" s="1154">
        <f t="shared" si="703"/>
        <v>0</v>
      </c>
      <c r="GG185" s="1154">
        <f t="shared" si="704"/>
        <v>0</v>
      </c>
      <c r="GH185" s="1154">
        <f t="shared" si="705"/>
        <v>0</v>
      </c>
      <c r="GI185" s="1154">
        <f t="shared" si="706"/>
        <v>0</v>
      </c>
      <c r="GJ185" s="1154">
        <f t="shared" si="707"/>
        <v>0</v>
      </c>
      <c r="GK185" s="1154">
        <f t="shared" si="708"/>
        <v>0</v>
      </c>
      <c r="GL185" s="1174">
        <f t="shared" ref="GL185:GL198" si="724">SUM(FC185:GK185)</f>
        <v>3543680.1984611927</v>
      </c>
    </row>
    <row r="186" spans="2:194">
      <c r="B186" s="1290" t="str">
        <f t="shared" si="722"/>
        <v>SACDUOSERTDEM</v>
      </c>
      <c r="C186" s="1289" t="str">
        <f>C185</f>
        <v>East SAC&lt;100MWhpa Residential TOU Transitional Demand</v>
      </c>
      <c r="D186" s="1113" t="str">
        <f t="shared" ref="D186:H187" si="725">D185</f>
        <v>East SAC&lt;100MWhpa Residential TOU Transitional Demand</v>
      </c>
      <c r="E186" s="1113" t="str">
        <f t="shared" si="725"/>
        <v>SAC</v>
      </c>
      <c r="F186" s="1113" t="str">
        <f t="shared" si="725"/>
        <v>SACS Res</v>
      </c>
      <c r="G186" s="1113" t="str">
        <f t="shared" si="725"/>
        <v>East</v>
      </c>
      <c r="H186" s="1113" t="str">
        <f t="shared" si="725"/>
        <v>ERTDEM</v>
      </c>
      <c r="I186" s="1114" t="s">
        <v>752</v>
      </c>
      <c r="J186" s="1114" t="s">
        <v>934</v>
      </c>
      <c r="K186" s="1270"/>
      <c r="L186" s="1233">
        <v>3.4890450000000003E-2</v>
      </c>
      <c r="M186" s="1007"/>
      <c r="N186" s="1007"/>
      <c r="O186" s="1007"/>
      <c r="P186" s="1007"/>
      <c r="Q186" s="1007"/>
      <c r="R186" s="1007"/>
      <c r="S186" s="1007"/>
      <c r="T186" s="1007"/>
      <c r="U186" s="1007"/>
      <c r="V186" s="1007"/>
      <c r="W186" s="1007"/>
      <c r="X186" s="1007"/>
      <c r="Y186" s="1007"/>
      <c r="Z186" s="1007"/>
      <c r="AA186" s="1007"/>
      <c r="AB186" s="1233">
        <v>1.0640791738382098</v>
      </c>
      <c r="AC186" s="1007"/>
      <c r="AD186" s="1007"/>
      <c r="AE186" s="1007"/>
      <c r="AF186" s="1007"/>
      <c r="AG186" s="1007"/>
      <c r="AH186" s="1007"/>
      <c r="AI186" s="1233">
        <v>1.1118059898008639E-2</v>
      </c>
      <c r="AJ186" s="1005"/>
      <c r="AK186" s="1005"/>
      <c r="AL186" s="1005"/>
      <c r="AM186" s="1005"/>
      <c r="AN186" s="1005"/>
      <c r="AO186" s="1005"/>
      <c r="AP186" s="1005"/>
      <c r="AQ186" s="1005"/>
      <c r="AR186" s="1005"/>
      <c r="AS186" s="1005"/>
      <c r="AT186" s="1005"/>
      <c r="AU186" s="1006"/>
      <c r="AV186" s="1270"/>
      <c r="AW186" s="1480">
        <v>3.4544999999999999E-2</v>
      </c>
      <c r="AX186" s="1006"/>
      <c r="AY186" s="1006"/>
      <c r="AZ186" s="1006"/>
      <c r="BA186" s="1006"/>
      <c r="BB186" s="1006"/>
      <c r="BC186" s="1006"/>
      <c r="BD186" s="1006"/>
      <c r="BE186" s="1006"/>
      <c r="BF186" s="1006"/>
      <c r="BG186" s="1006"/>
      <c r="BH186" s="1006"/>
      <c r="BI186" s="1006"/>
      <c r="BJ186" s="1006"/>
      <c r="BK186" s="1006"/>
      <c r="BL186" s="1006"/>
      <c r="BM186" s="1480">
        <v>1.0549999999999999</v>
      </c>
      <c r="BN186" s="1006"/>
      <c r="BO186" s="1006"/>
      <c r="BP186" s="1006"/>
      <c r="BQ186" s="1006"/>
      <c r="BR186" s="1006"/>
      <c r="BS186" s="1006"/>
      <c r="BT186" s="1480">
        <v>1.0692073223663293E-2</v>
      </c>
      <c r="BU186" s="1006"/>
      <c r="BV186" s="1006"/>
      <c r="BW186" s="1006"/>
      <c r="BX186" s="1006"/>
      <c r="BY186" s="1006"/>
      <c r="BZ186" s="1006"/>
      <c r="CA186" s="1006"/>
      <c r="CB186" s="1006"/>
      <c r="CC186" s="1006"/>
      <c r="CD186" s="1006"/>
      <c r="CE186" s="1006"/>
      <c r="CF186" s="1006"/>
      <c r="CG186" s="1209"/>
      <c r="CH186" s="1236">
        <v>35491.479419685609</v>
      </c>
      <c r="CI186" s="1007"/>
      <c r="CJ186" s="1007"/>
      <c r="CK186" s="1007"/>
      <c r="CL186" s="1007"/>
      <c r="CM186" s="1007"/>
      <c r="CN186" s="1007"/>
      <c r="CO186" s="1007"/>
      <c r="CP186" s="1007"/>
      <c r="CQ186" s="1007"/>
      <c r="CR186" s="1007"/>
      <c r="CS186" s="1007"/>
      <c r="CT186" s="1007"/>
      <c r="CU186" s="1007"/>
      <c r="CV186" s="1007"/>
      <c r="CW186" s="1007"/>
      <c r="CX186" s="1236">
        <v>1756696.3307245057</v>
      </c>
      <c r="CY186" s="1007"/>
      <c r="CZ186" s="1007"/>
      <c r="DA186" s="1007"/>
      <c r="DB186" s="1007"/>
      <c r="DC186" s="1007"/>
      <c r="DD186" s="1007"/>
      <c r="DE186" s="1236">
        <v>141204738.63655522</v>
      </c>
      <c r="DF186" s="1007"/>
      <c r="DG186" s="1007"/>
      <c r="DH186" s="1007"/>
      <c r="DI186" s="1006"/>
      <c r="DJ186" s="1006"/>
      <c r="DK186" s="1007"/>
      <c r="DL186" s="1007"/>
      <c r="DM186" s="1007"/>
      <c r="DN186" s="1007"/>
      <c r="DO186" s="1112"/>
      <c r="DP186" s="1112"/>
      <c r="DQ186" s="1270"/>
      <c r="DR186" s="1154">
        <f t="shared" si="638"/>
        <v>451984.496163278</v>
      </c>
      <c r="DS186" s="1154">
        <f t="shared" si="639"/>
        <v>0</v>
      </c>
      <c r="DT186" s="1154">
        <f t="shared" si="640"/>
        <v>0</v>
      </c>
      <c r="DU186" s="1154">
        <f t="shared" si="641"/>
        <v>0</v>
      </c>
      <c r="DV186" s="1154">
        <f t="shared" si="642"/>
        <v>0</v>
      </c>
      <c r="DW186" s="1154">
        <f t="shared" si="643"/>
        <v>0</v>
      </c>
      <c r="DX186" s="1154">
        <f t="shared" si="644"/>
        <v>0</v>
      </c>
      <c r="DY186" s="1154">
        <f t="shared" si="645"/>
        <v>0</v>
      </c>
      <c r="DZ186" s="1154">
        <f t="shared" si="646"/>
        <v>0</v>
      </c>
      <c r="EA186" s="1154">
        <f t="shared" si="647"/>
        <v>0</v>
      </c>
      <c r="EB186" s="1154">
        <f t="shared" si="648"/>
        <v>0</v>
      </c>
      <c r="EC186" s="1154">
        <f t="shared" si="649"/>
        <v>0</v>
      </c>
      <c r="ED186" s="1154">
        <f t="shared" si="650"/>
        <v>0</v>
      </c>
      <c r="EE186" s="1154">
        <f t="shared" si="651"/>
        <v>0</v>
      </c>
      <c r="EF186" s="1154">
        <f t="shared" si="652"/>
        <v>0</v>
      </c>
      <c r="EG186" s="1154">
        <f t="shared" si="653"/>
        <v>0</v>
      </c>
      <c r="EH186" s="1154">
        <f t="shared" si="654"/>
        <v>1869263.9802819467</v>
      </c>
      <c r="EI186" s="1154">
        <f t="shared" si="655"/>
        <v>0</v>
      </c>
      <c r="EJ186" s="1154">
        <f t="shared" si="656"/>
        <v>0</v>
      </c>
      <c r="EK186" s="1154">
        <f t="shared" si="657"/>
        <v>0</v>
      </c>
      <c r="EL186" s="1154">
        <f t="shared" si="658"/>
        <v>0</v>
      </c>
      <c r="EM186" s="1154">
        <f t="shared" si="659"/>
        <v>0</v>
      </c>
      <c r="EN186" s="1154">
        <f t="shared" si="660"/>
        <v>0</v>
      </c>
      <c r="EO186" s="1154">
        <f t="shared" si="661"/>
        <v>1569922.7420438759</v>
      </c>
      <c r="EP186" s="1154">
        <f t="shared" si="662"/>
        <v>0</v>
      </c>
      <c r="EQ186" s="1154">
        <f t="shared" si="663"/>
        <v>0</v>
      </c>
      <c r="ER186" s="1154">
        <f t="shared" si="664"/>
        <v>0</v>
      </c>
      <c r="ES186" s="1154">
        <f t="shared" si="665"/>
        <v>0</v>
      </c>
      <c r="ET186" s="1154">
        <f t="shared" si="666"/>
        <v>0</v>
      </c>
      <c r="EU186" s="1154">
        <f t="shared" si="667"/>
        <v>0</v>
      </c>
      <c r="EV186" s="1154">
        <f t="shared" si="668"/>
        <v>0</v>
      </c>
      <c r="EW186" s="1154">
        <f t="shared" si="669"/>
        <v>0</v>
      </c>
      <c r="EX186" s="1154">
        <f t="shared" si="670"/>
        <v>0</v>
      </c>
      <c r="EY186" s="1154">
        <f t="shared" si="671"/>
        <v>0</v>
      </c>
      <c r="EZ186" s="1154">
        <f t="shared" si="672"/>
        <v>0</v>
      </c>
      <c r="FA186" s="1174">
        <f t="shared" si="723"/>
        <v>3891171.2184891002</v>
      </c>
      <c r="FC186" s="1154">
        <f t="shared" si="674"/>
        <v>447509.40214185935</v>
      </c>
      <c r="FD186" s="1154">
        <f t="shared" si="675"/>
        <v>0</v>
      </c>
      <c r="FE186" s="1154">
        <f t="shared" si="676"/>
        <v>0</v>
      </c>
      <c r="FF186" s="1154">
        <f t="shared" si="677"/>
        <v>0</v>
      </c>
      <c r="FG186" s="1154">
        <f t="shared" si="678"/>
        <v>0</v>
      </c>
      <c r="FH186" s="1154">
        <f t="shared" si="679"/>
        <v>0</v>
      </c>
      <c r="FI186" s="1154">
        <f t="shared" si="680"/>
        <v>0</v>
      </c>
      <c r="FJ186" s="1154">
        <f t="shared" si="681"/>
        <v>0</v>
      </c>
      <c r="FK186" s="1154">
        <f t="shared" si="682"/>
        <v>0</v>
      </c>
      <c r="FL186" s="1154">
        <f t="shared" si="683"/>
        <v>0</v>
      </c>
      <c r="FM186" s="1154">
        <f t="shared" si="684"/>
        <v>0</v>
      </c>
      <c r="FN186" s="1154">
        <f t="shared" si="685"/>
        <v>0</v>
      </c>
      <c r="FO186" s="1154">
        <f t="shared" si="686"/>
        <v>0</v>
      </c>
      <c r="FP186" s="1154">
        <f t="shared" si="687"/>
        <v>0</v>
      </c>
      <c r="FQ186" s="1154">
        <f t="shared" si="688"/>
        <v>0</v>
      </c>
      <c r="FR186" s="1154">
        <f t="shared" si="689"/>
        <v>0</v>
      </c>
      <c r="FS186" s="1154">
        <f t="shared" si="690"/>
        <v>1853314.6289143534</v>
      </c>
      <c r="FT186" s="1154">
        <f t="shared" si="691"/>
        <v>0</v>
      </c>
      <c r="FU186" s="1154">
        <f t="shared" si="692"/>
        <v>0</v>
      </c>
      <c r="FV186" s="1154">
        <f t="shared" si="693"/>
        <v>0</v>
      </c>
      <c r="FW186" s="1154">
        <f t="shared" si="694"/>
        <v>0</v>
      </c>
      <c r="FX186" s="1154">
        <f t="shared" si="695"/>
        <v>0</v>
      </c>
      <c r="FY186" s="1154">
        <f t="shared" si="696"/>
        <v>0</v>
      </c>
      <c r="FZ186" s="1154">
        <f t="shared" si="697"/>
        <v>1509771.4050302857</v>
      </c>
      <c r="GA186" s="1154">
        <f t="shared" si="698"/>
        <v>0</v>
      </c>
      <c r="GB186" s="1154">
        <f t="shared" si="699"/>
        <v>0</v>
      </c>
      <c r="GC186" s="1154">
        <f t="shared" si="700"/>
        <v>0</v>
      </c>
      <c r="GD186" s="1154">
        <f t="shared" si="701"/>
        <v>0</v>
      </c>
      <c r="GE186" s="1154">
        <f t="shared" si="702"/>
        <v>0</v>
      </c>
      <c r="GF186" s="1154">
        <f t="shared" si="703"/>
        <v>0</v>
      </c>
      <c r="GG186" s="1154">
        <f t="shared" si="704"/>
        <v>0</v>
      </c>
      <c r="GH186" s="1154">
        <f t="shared" si="705"/>
        <v>0</v>
      </c>
      <c r="GI186" s="1154">
        <f t="shared" si="706"/>
        <v>0</v>
      </c>
      <c r="GJ186" s="1154">
        <f t="shared" si="707"/>
        <v>0</v>
      </c>
      <c r="GK186" s="1154">
        <f t="shared" si="708"/>
        <v>0</v>
      </c>
      <c r="GL186" s="1174">
        <f t="shared" si="724"/>
        <v>3810595.4360864982</v>
      </c>
    </row>
    <row r="187" spans="2:194">
      <c r="B187" s="1290" t="str">
        <f t="shared" si="722"/>
        <v>SACDUOSERTDEM</v>
      </c>
      <c r="C187" s="1289" t="str">
        <f t="shared" ref="C187:F187" si="726">C186</f>
        <v>East SAC&lt;100MWhpa Residential TOU Transitional Demand</v>
      </c>
      <c r="D187" s="1113" t="str">
        <f t="shared" si="726"/>
        <v>East SAC&lt;100MWhpa Residential TOU Transitional Demand</v>
      </c>
      <c r="E187" s="1113" t="str">
        <f t="shared" si="726"/>
        <v>SAC</v>
      </c>
      <c r="F187" s="1113" t="str">
        <f t="shared" si="726"/>
        <v>SACS Res</v>
      </c>
      <c r="G187" s="1113" t="str">
        <f t="shared" si="725"/>
        <v>East</v>
      </c>
      <c r="H187" s="1113" t="str">
        <f t="shared" si="725"/>
        <v>ERTDEM</v>
      </c>
      <c r="I187" s="1114" t="s">
        <v>759</v>
      </c>
      <c r="J187" s="1114" t="s">
        <v>934</v>
      </c>
      <c r="K187" s="1270"/>
      <c r="L187" s="1233">
        <v>5.6456399999999997E-2</v>
      </c>
      <c r="M187" s="1007"/>
      <c r="N187" s="1007"/>
      <c r="O187" s="1007"/>
      <c r="P187" s="1007"/>
      <c r="Q187" s="1007"/>
      <c r="R187" s="1007"/>
      <c r="S187" s="1007"/>
      <c r="T187" s="1007"/>
      <c r="U187" s="1007"/>
      <c r="V187" s="1007"/>
      <c r="W187" s="1007"/>
      <c r="X187" s="1007"/>
      <c r="Y187" s="1007"/>
      <c r="Z187" s="1007"/>
      <c r="AA187" s="1007"/>
      <c r="AB187" s="1233">
        <v>2.0602455536431443</v>
      </c>
      <c r="AC187" s="1007"/>
      <c r="AD187" s="1007"/>
      <c r="AE187" s="1007"/>
      <c r="AF187" s="1007"/>
      <c r="AG187" s="1007"/>
      <c r="AH187" s="1007"/>
      <c r="AI187" s="1233">
        <v>9.0017455877270149E-3</v>
      </c>
      <c r="AJ187" s="1005"/>
      <c r="AK187" s="1005"/>
      <c r="AL187" s="1005"/>
      <c r="AM187" s="1005"/>
      <c r="AN187" s="1005"/>
      <c r="AO187" s="1005"/>
      <c r="AP187" s="1005"/>
      <c r="AQ187" s="1005"/>
      <c r="AR187" s="1005"/>
      <c r="AS187" s="1005"/>
      <c r="AT187" s="1005"/>
      <c r="AU187" s="1006"/>
      <c r="AV187" s="1270"/>
      <c r="AW187" s="1480">
        <v>5.6456399999999997E-2</v>
      </c>
      <c r="AX187" s="1006"/>
      <c r="AY187" s="1006"/>
      <c r="AZ187" s="1006"/>
      <c r="BA187" s="1006"/>
      <c r="BB187" s="1006"/>
      <c r="BC187" s="1006"/>
      <c r="BD187" s="1006"/>
      <c r="BE187" s="1006"/>
      <c r="BF187" s="1006"/>
      <c r="BG187" s="1006"/>
      <c r="BH187" s="1006"/>
      <c r="BI187" s="1006"/>
      <c r="BJ187" s="1006"/>
      <c r="BK187" s="1006"/>
      <c r="BL187" s="1006"/>
      <c r="BM187" s="1480">
        <v>2.0426666666666669</v>
      </c>
      <c r="BN187" s="1006"/>
      <c r="BO187" s="1006"/>
      <c r="BP187" s="1006"/>
      <c r="BQ187" s="1006"/>
      <c r="BR187" s="1006"/>
      <c r="BS187" s="1006"/>
      <c r="BT187" s="1480">
        <v>1.1810621882137735E-2</v>
      </c>
      <c r="BU187" s="1006"/>
      <c r="BV187" s="1006"/>
      <c r="BW187" s="1006"/>
      <c r="BX187" s="1006"/>
      <c r="BY187" s="1006"/>
      <c r="BZ187" s="1006"/>
      <c r="CA187" s="1006"/>
      <c r="CB187" s="1006"/>
      <c r="CC187" s="1006"/>
      <c r="CD187" s="1006"/>
      <c r="CE187" s="1006"/>
      <c r="CF187" s="1006"/>
      <c r="CG187" s="1209"/>
      <c r="CH187" s="1236">
        <v>26918.192716629637</v>
      </c>
      <c r="CI187" s="1007"/>
      <c r="CJ187" s="1007"/>
      <c r="CK187" s="1007"/>
      <c r="CL187" s="1007"/>
      <c r="CM187" s="1007"/>
      <c r="CN187" s="1007"/>
      <c r="CO187" s="1007"/>
      <c r="CP187" s="1007"/>
      <c r="CQ187" s="1007"/>
      <c r="CR187" s="1007"/>
      <c r="CS187" s="1007"/>
      <c r="CT187" s="1007"/>
      <c r="CU187" s="1007"/>
      <c r="CV187" s="1007"/>
      <c r="CW187" s="1007"/>
      <c r="CX187" s="1236">
        <v>1332350.5006897592</v>
      </c>
      <c r="CY187" s="1007"/>
      <c r="CZ187" s="1007"/>
      <c r="DA187" s="1007"/>
      <c r="DB187" s="1007"/>
      <c r="DC187" s="1007"/>
      <c r="DD187" s="1007"/>
      <c r="DE187" s="1236">
        <v>107095461.48171759</v>
      </c>
      <c r="DF187" s="1007"/>
      <c r="DG187" s="1007"/>
      <c r="DH187" s="1007"/>
      <c r="DI187" s="1006"/>
      <c r="DJ187" s="1006"/>
      <c r="DK187" s="1007"/>
      <c r="DL187" s="1007"/>
      <c r="DM187" s="1007"/>
      <c r="DN187" s="1007"/>
      <c r="DO187" s="1112"/>
      <c r="DP187" s="1112"/>
      <c r="DQ187" s="1270"/>
      <c r="DR187" s="1154">
        <f t="shared" si="638"/>
        <v>554692.05317980226</v>
      </c>
      <c r="DS187" s="1154">
        <f t="shared" si="639"/>
        <v>0</v>
      </c>
      <c r="DT187" s="1154">
        <f t="shared" si="640"/>
        <v>0</v>
      </c>
      <c r="DU187" s="1154">
        <f t="shared" si="641"/>
        <v>0</v>
      </c>
      <c r="DV187" s="1154">
        <f t="shared" si="642"/>
        <v>0</v>
      </c>
      <c r="DW187" s="1154">
        <f t="shared" si="643"/>
        <v>0</v>
      </c>
      <c r="DX187" s="1154">
        <f t="shared" si="644"/>
        <v>0</v>
      </c>
      <c r="DY187" s="1154">
        <f t="shared" si="645"/>
        <v>0</v>
      </c>
      <c r="DZ187" s="1154">
        <f t="shared" si="646"/>
        <v>0</v>
      </c>
      <c r="EA187" s="1154">
        <f t="shared" si="647"/>
        <v>0</v>
      </c>
      <c r="EB187" s="1154">
        <f t="shared" si="648"/>
        <v>0</v>
      </c>
      <c r="EC187" s="1154">
        <f t="shared" si="649"/>
        <v>0</v>
      </c>
      <c r="ED187" s="1154">
        <f t="shared" si="650"/>
        <v>0</v>
      </c>
      <c r="EE187" s="1154">
        <f t="shared" si="651"/>
        <v>0</v>
      </c>
      <c r="EF187" s="1154">
        <f t="shared" si="652"/>
        <v>0</v>
      </c>
      <c r="EG187" s="1154">
        <f t="shared" si="653"/>
        <v>0</v>
      </c>
      <c r="EH187" s="1154">
        <f t="shared" si="654"/>
        <v>2744969.1949402932</v>
      </c>
      <c r="EI187" s="1154">
        <f t="shared" si="655"/>
        <v>0</v>
      </c>
      <c r="EJ187" s="1154">
        <f t="shared" si="656"/>
        <v>0</v>
      </c>
      <c r="EK187" s="1154">
        <f t="shared" si="657"/>
        <v>0</v>
      </c>
      <c r="EL187" s="1154">
        <f t="shared" si="658"/>
        <v>0</v>
      </c>
      <c r="EM187" s="1154">
        <f t="shared" si="659"/>
        <v>0</v>
      </c>
      <c r="EN187" s="1154">
        <f t="shared" si="660"/>
        <v>0</v>
      </c>
      <c r="EO187" s="1154">
        <f t="shared" si="661"/>
        <v>964046.09785863978</v>
      </c>
      <c r="EP187" s="1154">
        <f t="shared" si="662"/>
        <v>0</v>
      </c>
      <c r="EQ187" s="1154">
        <f t="shared" si="663"/>
        <v>0</v>
      </c>
      <c r="ER187" s="1154">
        <f t="shared" si="664"/>
        <v>0</v>
      </c>
      <c r="ES187" s="1154">
        <f t="shared" si="665"/>
        <v>0</v>
      </c>
      <c r="ET187" s="1154">
        <f t="shared" si="666"/>
        <v>0</v>
      </c>
      <c r="EU187" s="1154">
        <f t="shared" si="667"/>
        <v>0</v>
      </c>
      <c r="EV187" s="1154">
        <f t="shared" si="668"/>
        <v>0</v>
      </c>
      <c r="EW187" s="1154">
        <f t="shared" si="669"/>
        <v>0</v>
      </c>
      <c r="EX187" s="1154">
        <f t="shared" si="670"/>
        <v>0</v>
      </c>
      <c r="EY187" s="1154">
        <f t="shared" si="671"/>
        <v>0</v>
      </c>
      <c r="EZ187" s="1154">
        <f t="shared" si="672"/>
        <v>0</v>
      </c>
      <c r="FA187" s="1174">
        <f t="shared" si="723"/>
        <v>4263707.345978735</v>
      </c>
      <c r="FC187" s="1154">
        <f t="shared" si="674"/>
        <v>554692.05317980226</v>
      </c>
      <c r="FD187" s="1154">
        <f t="shared" si="675"/>
        <v>0</v>
      </c>
      <c r="FE187" s="1154">
        <f t="shared" si="676"/>
        <v>0</v>
      </c>
      <c r="FF187" s="1154">
        <f t="shared" si="677"/>
        <v>0</v>
      </c>
      <c r="FG187" s="1154">
        <f t="shared" si="678"/>
        <v>0</v>
      </c>
      <c r="FH187" s="1154">
        <f t="shared" si="679"/>
        <v>0</v>
      </c>
      <c r="FI187" s="1154">
        <f t="shared" si="680"/>
        <v>0</v>
      </c>
      <c r="FJ187" s="1154">
        <f t="shared" si="681"/>
        <v>0</v>
      </c>
      <c r="FK187" s="1154">
        <f t="shared" si="682"/>
        <v>0</v>
      </c>
      <c r="FL187" s="1154">
        <f t="shared" si="683"/>
        <v>0</v>
      </c>
      <c r="FM187" s="1154">
        <f t="shared" si="684"/>
        <v>0</v>
      </c>
      <c r="FN187" s="1154">
        <f t="shared" si="685"/>
        <v>0</v>
      </c>
      <c r="FO187" s="1154">
        <f t="shared" si="686"/>
        <v>0</v>
      </c>
      <c r="FP187" s="1154">
        <f t="shared" si="687"/>
        <v>0</v>
      </c>
      <c r="FQ187" s="1154">
        <f t="shared" si="688"/>
        <v>0</v>
      </c>
      <c r="FR187" s="1154">
        <f t="shared" si="689"/>
        <v>0</v>
      </c>
      <c r="FS187" s="1154">
        <f t="shared" si="690"/>
        <v>2721547.9560756148</v>
      </c>
      <c r="FT187" s="1154">
        <f t="shared" si="691"/>
        <v>0</v>
      </c>
      <c r="FU187" s="1154">
        <f t="shared" si="692"/>
        <v>0</v>
      </c>
      <c r="FV187" s="1154">
        <f t="shared" si="693"/>
        <v>0</v>
      </c>
      <c r="FW187" s="1154">
        <f t="shared" si="694"/>
        <v>0</v>
      </c>
      <c r="FX187" s="1154">
        <f t="shared" si="695"/>
        <v>0</v>
      </c>
      <c r="FY187" s="1154">
        <f t="shared" si="696"/>
        <v>0</v>
      </c>
      <c r="FZ187" s="1154">
        <f t="shared" si="697"/>
        <v>1264864.0008536126</v>
      </c>
      <c r="GA187" s="1154">
        <f t="shared" si="698"/>
        <v>0</v>
      </c>
      <c r="GB187" s="1154">
        <f t="shared" si="699"/>
        <v>0</v>
      </c>
      <c r="GC187" s="1154">
        <f t="shared" si="700"/>
        <v>0</v>
      </c>
      <c r="GD187" s="1154">
        <f t="shared" si="701"/>
        <v>0</v>
      </c>
      <c r="GE187" s="1154">
        <f t="shared" si="702"/>
        <v>0</v>
      </c>
      <c r="GF187" s="1154">
        <f t="shared" si="703"/>
        <v>0</v>
      </c>
      <c r="GG187" s="1154">
        <f t="shared" si="704"/>
        <v>0</v>
      </c>
      <c r="GH187" s="1154">
        <f t="shared" si="705"/>
        <v>0</v>
      </c>
      <c r="GI187" s="1154">
        <f t="shared" si="706"/>
        <v>0</v>
      </c>
      <c r="GJ187" s="1154">
        <f t="shared" si="707"/>
        <v>0</v>
      </c>
      <c r="GK187" s="1154">
        <f t="shared" si="708"/>
        <v>0</v>
      </c>
      <c r="GL187" s="1174">
        <f t="shared" si="724"/>
        <v>4541104.0101090297</v>
      </c>
    </row>
    <row r="188" spans="2:194">
      <c r="B188" s="1290" t="str">
        <f t="shared" si="722"/>
        <v>SACDUOSWRTDEM</v>
      </c>
      <c r="C188" s="1289" t="str">
        <f>Prop2021DUOSTariffs!C84</f>
        <v>West SAC&lt;100MWhpa Residential TOU Transitional Demand</v>
      </c>
      <c r="D188" s="1113" t="str">
        <f>Prop2021DUOSTariffs!D84</f>
        <v>West SAC&lt;100MWhpa Residential TOU Transitional Demand</v>
      </c>
      <c r="E188" s="1113" t="str">
        <f>Prop2021DUOSTariffs!E84</f>
        <v>SAC</v>
      </c>
      <c r="F188" s="1113" t="str">
        <f>Prop2021DUOSTariffs!F84</f>
        <v>SACS Res</v>
      </c>
      <c r="G188" s="1113" t="str">
        <f>Prop2021DUOSTariffs!G84</f>
        <v>West</v>
      </c>
      <c r="H188" s="1113" t="str">
        <f>Prop2021DUOSTariffs!H84</f>
        <v>WRTDEM</v>
      </c>
      <c r="I188" s="1114" t="s">
        <v>798</v>
      </c>
      <c r="J188" s="1114" t="s">
        <v>934</v>
      </c>
      <c r="K188" s="1270"/>
      <c r="L188" s="1233">
        <v>2.0924400000000006E-2</v>
      </c>
      <c r="M188" s="1007"/>
      <c r="N188" s="1007"/>
      <c r="O188" s="1007"/>
      <c r="P188" s="1007"/>
      <c r="Q188" s="1007"/>
      <c r="R188" s="1007"/>
      <c r="S188" s="1007"/>
      <c r="T188" s="1007"/>
      <c r="U188" s="1007"/>
      <c r="V188" s="1007"/>
      <c r="W188" s="1007"/>
      <c r="X188" s="1007"/>
      <c r="Y188" s="1007"/>
      <c r="Z188" s="1007"/>
      <c r="AA188" s="1007"/>
      <c r="AB188" s="1233">
        <v>0.46933792312105571</v>
      </c>
      <c r="AC188" s="1007"/>
      <c r="AD188" s="1007"/>
      <c r="AE188" s="1007"/>
      <c r="AF188" s="1007"/>
      <c r="AG188" s="1007"/>
      <c r="AH188" s="1007"/>
      <c r="AI188" s="1233">
        <v>1.0544881443151606E-2</v>
      </c>
      <c r="AJ188" s="1005"/>
      <c r="AK188" s="1005"/>
      <c r="AL188" s="1005"/>
      <c r="AM188" s="1005"/>
      <c r="AN188" s="1005"/>
      <c r="AO188" s="1005"/>
      <c r="AP188" s="1005"/>
      <c r="AQ188" s="1005"/>
      <c r="AR188" s="1005"/>
      <c r="AS188" s="1005"/>
      <c r="AT188" s="1005"/>
      <c r="AU188" s="1006"/>
      <c r="AV188" s="1270"/>
      <c r="AW188" s="1480">
        <v>1.9740000000000004E-2</v>
      </c>
      <c r="AX188" s="1006"/>
      <c r="AY188" s="1006"/>
      <c r="AZ188" s="1006"/>
      <c r="BA188" s="1006"/>
      <c r="BB188" s="1006"/>
      <c r="BC188" s="1006"/>
      <c r="BD188" s="1006"/>
      <c r="BE188" s="1006"/>
      <c r="BF188" s="1006"/>
      <c r="BG188" s="1006"/>
      <c r="BH188" s="1006"/>
      <c r="BI188" s="1006"/>
      <c r="BJ188" s="1006"/>
      <c r="BK188" s="1006"/>
      <c r="BL188" s="1006"/>
      <c r="BM188" s="1480">
        <v>0.46533333333333338</v>
      </c>
      <c r="BN188" s="1006"/>
      <c r="BO188" s="1006"/>
      <c r="BP188" s="1006"/>
      <c r="BQ188" s="1006"/>
      <c r="BR188" s="1006"/>
      <c r="BS188" s="1006"/>
      <c r="BT188" s="1480">
        <v>7.6058147926043795E-3</v>
      </c>
      <c r="BU188" s="1006"/>
      <c r="BV188" s="1006"/>
      <c r="BW188" s="1006"/>
      <c r="BX188" s="1006"/>
      <c r="BY188" s="1006"/>
      <c r="BZ188" s="1006"/>
      <c r="CA188" s="1006"/>
      <c r="CB188" s="1006"/>
      <c r="CC188" s="1006"/>
      <c r="CD188" s="1006"/>
      <c r="CE188" s="1006"/>
      <c r="CF188" s="1006"/>
      <c r="CG188" s="1209"/>
      <c r="CH188" s="1236">
        <v>3873.7978486834813</v>
      </c>
      <c r="CI188" s="1007"/>
      <c r="CJ188" s="1007"/>
      <c r="CK188" s="1007"/>
      <c r="CL188" s="1007"/>
      <c r="CM188" s="1007"/>
      <c r="CN188" s="1007"/>
      <c r="CO188" s="1007"/>
      <c r="CP188" s="1007"/>
      <c r="CQ188" s="1007"/>
      <c r="CR188" s="1007"/>
      <c r="CS188" s="1007"/>
      <c r="CT188" s="1007"/>
      <c r="CU188" s="1007"/>
      <c r="CV188" s="1007"/>
      <c r="CW188" s="1007"/>
      <c r="CX188" s="1236">
        <v>208691.39483144728</v>
      </c>
      <c r="CY188" s="1007"/>
      <c r="CZ188" s="1007"/>
      <c r="DA188" s="1007"/>
      <c r="DB188" s="1007"/>
      <c r="DC188" s="1007"/>
      <c r="DD188" s="1007"/>
      <c r="DE188" s="1236">
        <v>19210403.226955179</v>
      </c>
      <c r="DF188" s="1007"/>
      <c r="DG188" s="1007"/>
      <c r="DH188" s="1007"/>
      <c r="DI188" s="1006"/>
      <c r="DJ188" s="1006"/>
      <c r="DK188" s="1007"/>
      <c r="DL188" s="1007"/>
      <c r="DM188" s="1007"/>
      <c r="DN188" s="1007"/>
      <c r="DO188" s="1112"/>
      <c r="DP188" s="1112"/>
      <c r="DQ188" s="1270"/>
      <c r="DR188" s="1154">
        <f t="shared" si="638"/>
        <v>29585.76693232232</v>
      </c>
      <c r="DS188" s="1154">
        <f t="shared" si="639"/>
        <v>0</v>
      </c>
      <c r="DT188" s="1154">
        <f t="shared" si="640"/>
        <v>0</v>
      </c>
      <c r="DU188" s="1154">
        <f t="shared" si="641"/>
        <v>0</v>
      </c>
      <c r="DV188" s="1154">
        <f t="shared" si="642"/>
        <v>0</v>
      </c>
      <c r="DW188" s="1154">
        <f t="shared" si="643"/>
        <v>0</v>
      </c>
      <c r="DX188" s="1154">
        <f t="shared" si="644"/>
        <v>0</v>
      </c>
      <c r="DY188" s="1154">
        <f t="shared" si="645"/>
        <v>0</v>
      </c>
      <c r="DZ188" s="1154">
        <f t="shared" si="646"/>
        <v>0</v>
      </c>
      <c r="EA188" s="1154">
        <f t="shared" si="647"/>
        <v>0</v>
      </c>
      <c r="EB188" s="1154">
        <f t="shared" si="648"/>
        <v>0</v>
      </c>
      <c r="EC188" s="1154">
        <f t="shared" si="649"/>
        <v>0</v>
      </c>
      <c r="ED188" s="1154">
        <f t="shared" si="650"/>
        <v>0</v>
      </c>
      <c r="EE188" s="1154">
        <f t="shared" si="651"/>
        <v>0</v>
      </c>
      <c r="EF188" s="1154">
        <f t="shared" si="652"/>
        <v>0</v>
      </c>
      <c r="EG188" s="1154">
        <f t="shared" si="653"/>
        <v>0</v>
      </c>
      <c r="EH188" s="1154">
        <f t="shared" si="654"/>
        <v>97946.785823427694</v>
      </c>
      <c r="EI188" s="1154">
        <f t="shared" si="655"/>
        <v>0</v>
      </c>
      <c r="EJ188" s="1154">
        <f t="shared" si="656"/>
        <v>0</v>
      </c>
      <c r="EK188" s="1154">
        <f t="shared" si="657"/>
        <v>0</v>
      </c>
      <c r="EL188" s="1154">
        <f t="shared" si="658"/>
        <v>0</v>
      </c>
      <c r="EM188" s="1154">
        <f t="shared" si="659"/>
        <v>0</v>
      </c>
      <c r="EN188" s="1154">
        <f t="shared" si="660"/>
        <v>0</v>
      </c>
      <c r="EO188" s="1154">
        <f t="shared" si="661"/>
        <v>202571.42450337941</v>
      </c>
      <c r="EP188" s="1154">
        <f t="shared" si="662"/>
        <v>0</v>
      </c>
      <c r="EQ188" s="1154">
        <f t="shared" si="663"/>
        <v>0</v>
      </c>
      <c r="ER188" s="1154">
        <f t="shared" si="664"/>
        <v>0</v>
      </c>
      <c r="ES188" s="1154">
        <f t="shared" si="665"/>
        <v>0</v>
      </c>
      <c r="ET188" s="1154">
        <f t="shared" si="666"/>
        <v>0</v>
      </c>
      <c r="EU188" s="1154">
        <f t="shared" si="667"/>
        <v>0</v>
      </c>
      <c r="EV188" s="1154">
        <f t="shared" si="668"/>
        <v>0</v>
      </c>
      <c r="EW188" s="1154">
        <f t="shared" si="669"/>
        <v>0</v>
      </c>
      <c r="EX188" s="1154">
        <f t="shared" si="670"/>
        <v>0</v>
      </c>
      <c r="EY188" s="1154">
        <f t="shared" si="671"/>
        <v>0</v>
      </c>
      <c r="EZ188" s="1154">
        <f t="shared" si="672"/>
        <v>0</v>
      </c>
      <c r="FA188" s="1174">
        <f t="shared" si="723"/>
        <v>330103.9772591294</v>
      </c>
      <c r="FC188" s="1154">
        <f t="shared" si="674"/>
        <v>27911.100879549358</v>
      </c>
      <c r="FD188" s="1154">
        <f t="shared" si="675"/>
        <v>0</v>
      </c>
      <c r="FE188" s="1154">
        <f t="shared" si="676"/>
        <v>0</v>
      </c>
      <c r="FF188" s="1154">
        <f t="shared" si="677"/>
        <v>0</v>
      </c>
      <c r="FG188" s="1154">
        <f t="shared" si="678"/>
        <v>0</v>
      </c>
      <c r="FH188" s="1154">
        <f t="shared" si="679"/>
        <v>0</v>
      </c>
      <c r="FI188" s="1154">
        <f t="shared" si="680"/>
        <v>0</v>
      </c>
      <c r="FJ188" s="1154">
        <f t="shared" si="681"/>
        <v>0</v>
      </c>
      <c r="FK188" s="1154">
        <f t="shared" si="682"/>
        <v>0</v>
      </c>
      <c r="FL188" s="1154">
        <f t="shared" si="683"/>
        <v>0</v>
      </c>
      <c r="FM188" s="1154">
        <f t="shared" si="684"/>
        <v>0</v>
      </c>
      <c r="FN188" s="1154">
        <f t="shared" si="685"/>
        <v>0</v>
      </c>
      <c r="FO188" s="1154">
        <f t="shared" si="686"/>
        <v>0</v>
      </c>
      <c r="FP188" s="1154">
        <f t="shared" si="687"/>
        <v>0</v>
      </c>
      <c r="FQ188" s="1154">
        <f t="shared" si="688"/>
        <v>0</v>
      </c>
      <c r="FR188" s="1154">
        <f t="shared" si="689"/>
        <v>0</v>
      </c>
      <c r="FS188" s="1154">
        <f t="shared" si="690"/>
        <v>97111.062394900146</v>
      </c>
      <c r="FT188" s="1154">
        <f t="shared" si="691"/>
        <v>0</v>
      </c>
      <c r="FU188" s="1154">
        <f t="shared" si="692"/>
        <v>0</v>
      </c>
      <c r="FV188" s="1154">
        <f t="shared" si="693"/>
        <v>0</v>
      </c>
      <c r="FW188" s="1154">
        <f t="shared" si="694"/>
        <v>0</v>
      </c>
      <c r="FX188" s="1154">
        <f t="shared" si="695"/>
        <v>0</v>
      </c>
      <c r="FY188" s="1154">
        <f t="shared" si="696"/>
        <v>0</v>
      </c>
      <c r="FZ188" s="1154">
        <f t="shared" si="697"/>
        <v>146110.76903547061</v>
      </c>
      <c r="GA188" s="1154">
        <f t="shared" si="698"/>
        <v>0</v>
      </c>
      <c r="GB188" s="1154">
        <f t="shared" si="699"/>
        <v>0</v>
      </c>
      <c r="GC188" s="1154">
        <f t="shared" si="700"/>
        <v>0</v>
      </c>
      <c r="GD188" s="1154">
        <f t="shared" si="701"/>
        <v>0</v>
      </c>
      <c r="GE188" s="1154">
        <f t="shared" si="702"/>
        <v>0</v>
      </c>
      <c r="GF188" s="1154">
        <f t="shared" si="703"/>
        <v>0</v>
      </c>
      <c r="GG188" s="1154">
        <f t="shared" si="704"/>
        <v>0</v>
      </c>
      <c r="GH188" s="1154">
        <f t="shared" si="705"/>
        <v>0</v>
      </c>
      <c r="GI188" s="1154">
        <f t="shared" si="706"/>
        <v>0</v>
      </c>
      <c r="GJ188" s="1154">
        <f t="shared" si="707"/>
        <v>0</v>
      </c>
      <c r="GK188" s="1154">
        <f t="shared" si="708"/>
        <v>0</v>
      </c>
      <c r="GL188" s="1174">
        <f t="shared" si="724"/>
        <v>271132.93230992008</v>
      </c>
    </row>
    <row r="189" spans="2:194">
      <c r="B189" s="1290" t="str">
        <f t="shared" si="722"/>
        <v>SACDUOSWRTDEM</v>
      </c>
      <c r="C189" s="1289" t="str">
        <f>C188</f>
        <v>West SAC&lt;100MWhpa Residential TOU Transitional Demand</v>
      </c>
      <c r="D189" s="1113" t="str">
        <f t="shared" ref="D189:H189" si="727">D188</f>
        <v>West SAC&lt;100MWhpa Residential TOU Transitional Demand</v>
      </c>
      <c r="E189" s="1113" t="str">
        <f t="shared" si="727"/>
        <v>SAC</v>
      </c>
      <c r="F189" s="1113" t="str">
        <f t="shared" si="727"/>
        <v>SACS Res</v>
      </c>
      <c r="G189" s="1113" t="str">
        <f t="shared" si="727"/>
        <v>West</v>
      </c>
      <c r="H189" s="1113" t="str">
        <f t="shared" si="727"/>
        <v>WRTDEM</v>
      </c>
      <c r="I189" s="1114" t="s">
        <v>752</v>
      </c>
      <c r="J189" s="1114" t="s">
        <v>934</v>
      </c>
      <c r="K189" s="1270"/>
      <c r="L189" s="1233">
        <v>3.4890450000000003E-2</v>
      </c>
      <c r="M189" s="1007"/>
      <c r="N189" s="1007"/>
      <c r="O189" s="1007"/>
      <c r="P189" s="1007"/>
      <c r="Q189" s="1007"/>
      <c r="R189" s="1007"/>
      <c r="S189" s="1007"/>
      <c r="T189" s="1007"/>
      <c r="U189" s="1007"/>
      <c r="V189" s="1007"/>
      <c r="W189" s="1007"/>
      <c r="X189" s="1007"/>
      <c r="Y189" s="1007"/>
      <c r="Z189" s="1007"/>
      <c r="AA189" s="1007"/>
      <c r="AB189" s="1233">
        <v>1.0640791738382098</v>
      </c>
      <c r="AC189" s="1007"/>
      <c r="AD189" s="1007"/>
      <c r="AE189" s="1007"/>
      <c r="AF189" s="1007"/>
      <c r="AG189" s="1007"/>
      <c r="AH189" s="1007"/>
      <c r="AI189" s="1233">
        <v>1.1118059898008639E-2</v>
      </c>
      <c r="AJ189" s="1005"/>
      <c r="AK189" s="1005"/>
      <c r="AL189" s="1005"/>
      <c r="AM189" s="1005"/>
      <c r="AN189" s="1005"/>
      <c r="AO189" s="1005"/>
      <c r="AP189" s="1005"/>
      <c r="AQ189" s="1005"/>
      <c r="AR189" s="1005"/>
      <c r="AS189" s="1005"/>
      <c r="AT189" s="1005"/>
      <c r="AU189" s="1006"/>
      <c r="AV189" s="1270"/>
      <c r="AW189" s="1480">
        <v>3.4544999999999999E-2</v>
      </c>
      <c r="AX189" s="1006"/>
      <c r="AY189" s="1006"/>
      <c r="AZ189" s="1006"/>
      <c r="BA189" s="1006"/>
      <c r="BB189" s="1006"/>
      <c r="BC189" s="1006"/>
      <c r="BD189" s="1006"/>
      <c r="BE189" s="1006"/>
      <c r="BF189" s="1006"/>
      <c r="BG189" s="1006"/>
      <c r="BH189" s="1006"/>
      <c r="BI189" s="1006"/>
      <c r="BJ189" s="1006"/>
      <c r="BK189" s="1006"/>
      <c r="BL189" s="1006"/>
      <c r="BM189" s="1480">
        <v>1.0549999999999999</v>
      </c>
      <c r="BN189" s="1006"/>
      <c r="BO189" s="1006"/>
      <c r="BP189" s="1006"/>
      <c r="BQ189" s="1006"/>
      <c r="BR189" s="1006"/>
      <c r="BS189" s="1006"/>
      <c r="BT189" s="1480">
        <v>1.0692073223663293E-2</v>
      </c>
      <c r="BU189" s="1006"/>
      <c r="BV189" s="1006"/>
      <c r="BW189" s="1006"/>
      <c r="BX189" s="1006"/>
      <c r="BY189" s="1006"/>
      <c r="BZ189" s="1006"/>
      <c r="CA189" s="1006"/>
      <c r="CB189" s="1006"/>
      <c r="CC189" s="1006"/>
      <c r="CD189" s="1006"/>
      <c r="CE189" s="1006"/>
      <c r="CF189" s="1006"/>
      <c r="CG189" s="1209"/>
      <c r="CH189" s="1236">
        <v>962.14023684889855</v>
      </c>
      <c r="CI189" s="1007"/>
      <c r="CJ189" s="1007"/>
      <c r="CK189" s="1007"/>
      <c r="CL189" s="1007"/>
      <c r="CM189" s="1007"/>
      <c r="CN189" s="1007"/>
      <c r="CO189" s="1007"/>
      <c r="CP189" s="1007"/>
      <c r="CQ189" s="1007"/>
      <c r="CR189" s="1007"/>
      <c r="CS189" s="1007"/>
      <c r="CT189" s="1007"/>
      <c r="CU189" s="1007"/>
      <c r="CV189" s="1007"/>
      <c r="CW189" s="1007"/>
      <c r="CX189" s="1236">
        <v>51832.954608019812</v>
      </c>
      <c r="CY189" s="1007"/>
      <c r="CZ189" s="1007"/>
      <c r="DA189" s="1007"/>
      <c r="DB189" s="1007"/>
      <c r="DC189" s="1007"/>
      <c r="DD189" s="1007"/>
      <c r="DE189" s="1236">
        <v>4771312.967977155</v>
      </c>
      <c r="DF189" s="1007"/>
      <c r="DG189" s="1007"/>
      <c r="DH189" s="1007"/>
      <c r="DI189" s="1006"/>
      <c r="DJ189" s="1006"/>
      <c r="DK189" s="1007"/>
      <c r="DL189" s="1007"/>
      <c r="DM189" s="1007"/>
      <c r="DN189" s="1007"/>
      <c r="DO189" s="1112"/>
      <c r="DP189" s="1112"/>
      <c r="DQ189" s="1270"/>
      <c r="DR189" s="1154">
        <f t="shared" si="638"/>
        <v>12252.869626769099</v>
      </c>
      <c r="DS189" s="1154">
        <f t="shared" si="639"/>
        <v>0</v>
      </c>
      <c r="DT189" s="1154">
        <f t="shared" si="640"/>
        <v>0</v>
      </c>
      <c r="DU189" s="1154">
        <f t="shared" si="641"/>
        <v>0</v>
      </c>
      <c r="DV189" s="1154">
        <f t="shared" si="642"/>
        <v>0</v>
      </c>
      <c r="DW189" s="1154">
        <f t="shared" si="643"/>
        <v>0</v>
      </c>
      <c r="DX189" s="1154">
        <f t="shared" si="644"/>
        <v>0</v>
      </c>
      <c r="DY189" s="1154">
        <f t="shared" si="645"/>
        <v>0</v>
      </c>
      <c r="DZ189" s="1154">
        <f t="shared" si="646"/>
        <v>0</v>
      </c>
      <c r="EA189" s="1154">
        <f t="shared" si="647"/>
        <v>0</v>
      </c>
      <c r="EB189" s="1154">
        <f t="shared" si="648"/>
        <v>0</v>
      </c>
      <c r="EC189" s="1154">
        <f t="shared" si="649"/>
        <v>0</v>
      </c>
      <c r="ED189" s="1154">
        <f t="shared" si="650"/>
        <v>0</v>
      </c>
      <c r="EE189" s="1154">
        <f t="shared" si="651"/>
        <v>0</v>
      </c>
      <c r="EF189" s="1154">
        <f t="shared" si="652"/>
        <v>0</v>
      </c>
      <c r="EG189" s="1154">
        <f t="shared" si="653"/>
        <v>0</v>
      </c>
      <c r="EH189" s="1154">
        <f t="shared" si="654"/>
        <v>55154.367516895152</v>
      </c>
      <c r="EI189" s="1154">
        <f t="shared" si="655"/>
        <v>0</v>
      </c>
      <c r="EJ189" s="1154">
        <f t="shared" si="656"/>
        <v>0</v>
      </c>
      <c r="EK189" s="1154">
        <f t="shared" si="657"/>
        <v>0</v>
      </c>
      <c r="EL189" s="1154">
        <f t="shared" si="658"/>
        <v>0</v>
      </c>
      <c r="EM189" s="1154">
        <f t="shared" si="659"/>
        <v>0</v>
      </c>
      <c r="EN189" s="1154">
        <f t="shared" si="660"/>
        <v>0</v>
      </c>
      <c r="EO189" s="1154">
        <f t="shared" si="661"/>
        <v>53047.743370115386</v>
      </c>
      <c r="EP189" s="1154">
        <f t="shared" si="662"/>
        <v>0</v>
      </c>
      <c r="EQ189" s="1154">
        <f t="shared" si="663"/>
        <v>0</v>
      </c>
      <c r="ER189" s="1154">
        <f t="shared" si="664"/>
        <v>0</v>
      </c>
      <c r="ES189" s="1154">
        <f t="shared" si="665"/>
        <v>0</v>
      </c>
      <c r="ET189" s="1154">
        <f t="shared" si="666"/>
        <v>0</v>
      </c>
      <c r="EU189" s="1154">
        <f t="shared" si="667"/>
        <v>0</v>
      </c>
      <c r="EV189" s="1154">
        <f t="shared" si="668"/>
        <v>0</v>
      </c>
      <c r="EW189" s="1154">
        <f t="shared" si="669"/>
        <v>0</v>
      </c>
      <c r="EX189" s="1154">
        <f t="shared" si="670"/>
        <v>0</v>
      </c>
      <c r="EY189" s="1154">
        <f t="shared" si="671"/>
        <v>0</v>
      </c>
      <c r="EZ189" s="1154">
        <f t="shared" si="672"/>
        <v>0</v>
      </c>
      <c r="FA189" s="1174">
        <f t="shared" si="723"/>
        <v>120454.98051377965</v>
      </c>
      <c r="FC189" s="1154">
        <f t="shared" si="674"/>
        <v>12131.554085909997</v>
      </c>
      <c r="FD189" s="1154">
        <f t="shared" si="675"/>
        <v>0</v>
      </c>
      <c r="FE189" s="1154">
        <f t="shared" si="676"/>
        <v>0</v>
      </c>
      <c r="FF189" s="1154">
        <f t="shared" si="677"/>
        <v>0</v>
      </c>
      <c r="FG189" s="1154">
        <f t="shared" si="678"/>
        <v>0</v>
      </c>
      <c r="FH189" s="1154">
        <f t="shared" si="679"/>
        <v>0</v>
      </c>
      <c r="FI189" s="1154">
        <f t="shared" si="680"/>
        <v>0</v>
      </c>
      <c r="FJ189" s="1154">
        <f t="shared" si="681"/>
        <v>0</v>
      </c>
      <c r="FK189" s="1154">
        <f t="shared" si="682"/>
        <v>0</v>
      </c>
      <c r="FL189" s="1154">
        <f t="shared" si="683"/>
        <v>0</v>
      </c>
      <c r="FM189" s="1154">
        <f t="shared" si="684"/>
        <v>0</v>
      </c>
      <c r="FN189" s="1154">
        <f t="shared" si="685"/>
        <v>0</v>
      </c>
      <c r="FO189" s="1154">
        <f t="shared" si="686"/>
        <v>0</v>
      </c>
      <c r="FP189" s="1154">
        <f t="shared" si="687"/>
        <v>0</v>
      </c>
      <c r="FQ189" s="1154">
        <f t="shared" si="688"/>
        <v>0</v>
      </c>
      <c r="FR189" s="1154">
        <f t="shared" si="689"/>
        <v>0</v>
      </c>
      <c r="FS189" s="1154">
        <f t="shared" si="690"/>
        <v>54683.767111460897</v>
      </c>
      <c r="FT189" s="1154">
        <f t="shared" si="691"/>
        <v>0</v>
      </c>
      <c r="FU189" s="1154">
        <f t="shared" si="692"/>
        <v>0</v>
      </c>
      <c r="FV189" s="1154">
        <f t="shared" si="693"/>
        <v>0</v>
      </c>
      <c r="FW189" s="1154">
        <f t="shared" si="694"/>
        <v>0</v>
      </c>
      <c r="FX189" s="1154">
        <f t="shared" si="695"/>
        <v>0</v>
      </c>
      <c r="FY189" s="1154">
        <f t="shared" si="696"/>
        <v>0</v>
      </c>
      <c r="FZ189" s="1154">
        <f t="shared" si="697"/>
        <v>51015.227626625972</v>
      </c>
      <c r="GA189" s="1154">
        <f t="shared" si="698"/>
        <v>0</v>
      </c>
      <c r="GB189" s="1154">
        <f t="shared" si="699"/>
        <v>0</v>
      </c>
      <c r="GC189" s="1154">
        <f t="shared" si="700"/>
        <v>0</v>
      </c>
      <c r="GD189" s="1154">
        <f t="shared" si="701"/>
        <v>0</v>
      </c>
      <c r="GE189" s="1154">
        <f t="shared" si="702"/>
        <v>0</v>
      </c>
      <c r="GF189" s="1154">
        <f t="shared" si="703"/>
        <v>0</v>
      </c>
      <c r="GG189" s="1154">
        <f t="shared" si="704"/>
        <v>0</v>
      </c>
      <c r="GH189" s="1154">
        <f t="shared" si="705"/>
        <v>0</v>
      </c>
      <c r="GI189" s="1154">
        <f t="shared" si="706"/>
        <v>0</v>
      </c>
      <c r="GJ189" s="1154">
        <f t="shared" si="707"/>
        <v>0</v>
      </c>
      <c r="GK189" s="1154">
        <f t="shared" si="708"/>
        <v>0</v>
      </c>
      <c r="GL189" s="1174">
        <f t="shared" si="724"/>
        <v>117830.54882399687</v>
      </c>
    </row>
    <row r="190" spans="2:194">
      <c r="B190" s="1290" t="str">
        <f t="shared" si="722"/>
        <v>SACDUOSWRTDEM</v>
      </c>
      <c r="C190" s="1289" t="str">
        <f t="shared" ref="C190:H190" si="728">C189</f>
        <v>West SAC&lt;100MWhpa Residential TOU Transitional Demand</v>
      </c>
      <c r="D190" s="1113" t="str">
        <f t="shared" si="728"/>
        <v>West SAC&lt;100MWhpa Residential TOU Transitional Demand</v>
      </c>
      <c r="E190" s="1113" t="str">
        <f t="shared" si="728"/>
        <v>SAC</v>
      </c>
      <c r="F190" s="1113" t="str">
        <f t="shared" si="728"/>
        <v>SACS Res</v>
      </c>
      <c r="G190" s="1113" t="str">
        <f t="shared" si="728"/>
        <v>West</v>
      </c>
      <c r="H190" s="1113" t="str">
        <f t="shared" si="728"/>
        <v>WRTDEM</v>
      </c>
      <c r="I190" s="1114" t="s">
        <v>759</v>
      </c>
      <c r="J190" s="1114" t="s">
        <v>934</v>
      </c>
      <c r="K190" s="1270"/>
      <c r="L190" s="1233">
        <v>5.6456399999999997E-2</v>
      </c>
      <c r="M190" s="1007"/>
      <c r="N190" s="1007"/>
      <c r="O190" s="1007"/>
      <c r="P190" s="1007"/>
      <c r="Q190" s="1007"/>
      <c r="R190" s="1007"/>
      <c r="S190" s="1007"/>
      <c r="T190" s="1007"/>
      <c r="U190" s="1007"/>
      <c r="V190" s="1007"/>
      <c r="W190" s="1007"/>
      <c r="X190" s="1007"/>
      <c r="Y190" s="1007"/>
      <c r="Z190" s="1007"/>
      <c r="AA190" s="1007"/>
      <c r="AB190" s="1233">
        <v>2.0602455536431443</v>
      </c>
      <c r="AC190" s="1007"/>
      <c r="AD190" s="1007"/>
      <c r="AE190" s="1007"/>
      <c r="AF190" s="1007"/>
      <c r="AG190" s="1007"/>
      <c r="AH190" s="1007"/>
      <c r="AI190" s="1233">
        <v>9.0017455877270149E-3</v>
      </c>
      <c r="AJ190" s="1005"/>
      <c r="AK190" s="1005"/>
      <c r="AL190" s="1005"/>
      <c r="AM190" s="1005"/>
      <c r="AN190" s="1005"/>
      <c r="AO190" s="1005"/>
      <c r="AP190" s="1005"/>
      <c r="AQ190" s="1005"/>
      <c r="AR190" s="1005"/>
      <c r="AS190" s="1005"/>
      <c r="AT190" s="1005"/>
      <c r="AU190" s="1006"/>
      <c r="AV190" s="1270"/>
      <c r="AW190" s="1480">
        <v>5.6456399999999997E-2</v>
      </c>
      <c r="AX190" s="1006"/>
      <c r="AY190" s="1006"/>
      <c r="AZ190" s="1006"/>
      <c r="BA190" s="1006"/>
      <c r="BB190" s="1006"/>
      <c r="BC190" s="1006"/>
      <c r="BD190" s="1006"/>
      <c r="BE190" s="1006"/>
      <c r="BF190" s="1006"/>
      <c r="BG190" s="1006"/>
      <c r="BH190" s="1006"/>
      <c r="BI190" s="1006"/>
      <c r="BJ190" s="1006"/>
      <c r="BK190" s="1006"/>
      <c r="BL190" s="1006"/>
      <c r="BM190" s="1480">
        <v>2.0426666666666669</v>
      </c>
      <c r="BN190" s="1006"/>
      <c r="BO190" s="1006"/>
      <c r="BP190" s="1006"/>
      <c r="BQ190" s="1006"/>
      <c r="BR190" s="1006"/>
      <c r="BS190" s="1006"/>
      <c r="BT190" s="1480">
        <v>1.1810621882137735E-2</v>
      </c>
      <c r="BU190" s="1006"/>
      <c r="BV190" s="1006"/>
      <c r="BW190" s="1006"/>
      <c r="BX190" s="1006"/>
      <c r="BY190" s="1006"/>
      <c r="BZ190" s="1006"/>
      <c r="CA190" s="1006"/>
      <c r="CB190" s="1006"/>
      <c r="CC190" s="1006"/>
      <c r="CD190" s="1006"/>
      <c r="CE190" s="1006"/>
      <c r="CF190" s="1006"/>
      <c r="CG190" s="1209"/>
      <c r="CH190" s="1236">
        <v>198.12191446762</v>
      </c>
      <c r="CI190" s="1007"/>
      <c r="CJ190" s="1007"/>
      <c r="CK190" s="1007"/>
      <c r="CL190" s="1007"/>
      <c r="CM190" s="1007"/>
      <c r="CN190" s="1007"/>
      <c r="CO190" s="1007"/>
      <c r="CP190" s="1007"/>
      <c r="CQ190" s="1007"/>
      <c r="CR190" s="1007"/>
      <c r="CS190" s="1007"/>
      <c r="CT190" s="1007"/>
      <c r="CU190" s="1007"/>
      <c r="CV190" s="1007"/>
      <c r="CW190" s="1007"/>
      <c r="CX190" s="1236">
        <v>10673.33410053288</v>
      </c>
      <c r="CY190" s="1007"/>
      <c r="CZ190" s="1007"/>
      <c r="DA190" s="1007"/>
      <c r="DB190" s="1007"/>
      <c r="DC190" s="1007"/>
      <c r="DD190" s="1007"/>
      <c r="DE190" s="1236">
        <v>982498.83284766227</v>
      </c>
      <c r="DF190" s="1007"/>
      <c r="DG190" s="1007"/>
      <c r="DH190" s="1007"/>
      <c r="DI190" s="1006"/>
      <c r="DJ190" s="1006"/>
      <c r="DK190" s="1007"/>
      <c r="DL190" s="1007"/>
      <c r="DM190" s="1007"/>
      <c r="DN190" s="1007"/>
      <c r="DO190" s="1112"/>
      <c r="DP190" s="1112"/>
      <c r="DQ190" s="1270"/>
      <c r="DR190" s="1154">
        <f t="shared" si="638"/>
        <v>4082.6162689616554</v>
      </c>
      <c r="DS190" s="1154">
        <f t="shared" si="639"/>
        <v>0</v>
      </c>
      <c r="DT190" s="1154">
        <f t="shared" si="640"/>
        <v>0</v>
      </c>
      <c r="DU190" s="1154">
        <f t="shared" si="641"/>
        <v>0</v>
      </c>
      <c r="DV190" s="1154">
        <f t="shared" si="642"/>
        <v>0</v>
      </c>
      <c r="DW190" s="1154">
        <f t="shared" si="643"/>
        <v>0</v>
      </c>
      <c r="DX190" s="1154">
        <f t="shared" si="644"/>
        <v>0</v>
      </c>
      <c r="DY190" s="1154">
        <f t="shared" si="645"/>
        <v>0</v>
      </c>
      <c r="DZ190" s="1154">
        <f t="shared" si="646"/>
        <v>0</v>
      </c>
      <c r="EA190" s="1154">
        <f t="shared" si="647"/>
        <v>0</v>
      </c>
      <c r="EB190" s="1154">
        <f t="shared" si="648"/>
        <v>0</v>
      </c>
      <c r="EC190" s="1154">
        <f t="shared" si="649"/>
        <v>0</v>
      </c>
      <c r="ED190" s="1154">
        <f t="shared" si="650"/>
        <v>0</v>
      </c>
      <c r="EE190" s="1154">
        <f t="shared" si="651"/>
        <v>0</v>
      </c>
      <c r="EF190" s="1154">
        <f t="shared" si="652"/>
        <v>0</v>
      </c>
      <c r="EG190" s="1154">
        <f t="shared" si="653"/>
        <v>0</v>
      </c>
      <c r="EH190" s="1154">
        <f t="shared" si="654"/>
        <v>21989.689123170614</v>
      </c>
      <c r="EI190" s="1154">
        <f t="shared" si="655"/>
        <v>0</v>
      </c>
      <c r="EJ190" s="1154">
        <f t="shared" si="656"/>
        <v>0</v>
      </c>
      <c r="EK190" s="1154">
        <f t="shared" si="657"/>
        <v>0</v>
      </c>
      <c r="EL190" s="1154">
        <f t="shared" si="658"/>
        <v>0</v>
      </c>
      <c r="EM190" s="1154">
        <f t="shared" si="659"/>
        <v>0</v>
      </c>
      <c r="EN190" s="1154">
        <f t="shared" si="660"/>
        <v>0</v>
      </c>
      <c r="EO190" s="1154">
        <f t="shared" si="661"/>
        <v>8844.204533533386</v>
      </c>
      <c r="EP190" s="1154">
        <f t="shared" si="662"/>
        <v>0</v>
      </c>
      <c r="EQ190" s="1154">
        <f t="shared" si="663"/>
        <v>0</v>
      </c>
      <c r="ER190" s="1154">
        <f t="shared" si="664"/>
        <v>0</v>
      </c>
      <c r="ES190" s="1154">
        <f t="shared" si="665"/>
        <v>0</v>
      </c>
      <c r="ET190" s="1154">
        <f t="shared" si="666"/>
        <v>0</v>
      </c>
      <c r="EU190" s="1154">
        <f t="shared" si="667"/>
        <v>0</v>
      </c>
      <c r="EV190" s="1154">
        <f t="shared" si="668"/>
        <v>0</v>
      </c>
      <c r="EW190" s="1154">
        <f t="shared" si="669"/>
        <v>0</v>
      </c>
      <c r="EX190" s="1154">
        <f t="shared" si="670"/>
        <v>0</v>
      </c>
      <c r="EY190" s="1154">
        <f t="shared" si="671"/>
        <v>0</v>
      </c>
      <c r="EZ190" s="1154">
        <f t="shared" si="672"/>
        <v>0</v>
      </c>
      <c r="FA190" s="1174">
        <f t="shared" si="723"/>
        <v>34916.509925665654</v>
      </c>
      <c r="FC190" s="1154">
        <f t="shared" si="674"/>
        <v>4082.6162689616554</v>
      </c>
      <c r="FD190" s="1154">
        <f t="shared" si="675"/>
        <v>0</v>
      </c>
      <c r="FE190" s="1154">
        <f t="shared" si="676"/>
        <v>0</v>
      </c>
      <c r="FF190" s="1154">
        <f t="shared" si="677"/>
        <v>0</v>
      </c>
      <c r="FG190" s="1154">
        <f t="shared" si="678"/>
        <v>0</v>
      </c>
      <c r="FH190" s="1154">
        <f t="shared" si="679"/>
        <v>0</v>
      </c>
      <c r="FI190" s="1154">
        <f t="shared" si="680"/>
        <v>0</v>
      </c>
      <c r="FJ190" s="1154">
        <f t="shared" si="681"/>
        <v>0</v>
      </c>
      <c r="FK190" s="1154">
        <f t="shared" si="682"/>
        <v>0</v>
      </c>
      <c r="FL190" s="1154">
        <f t="shared" si="683"/>
        <v>0</v>
      </c>
      <c r="FM190" s="1154">
        <f t="shared" si="684"/>
        <v>0</v>
      </c>
      <c r="FN190" s="1154">
        <f t="shared" si="685"/>
        <v>0</v>
      </c>
      <c r="FO190" s="1154">
        <f t="shared" si="686"/>
        <v>0</v>
      </c>
      <c r="FP190" s="1154">
        <f t="shared" si="687"/>
        <v>0</v>
      </c>
      <c r="FQ190" s="1154">
        <f t="shared" si="688"/>
        <v>0</v>
      </c>
      <c r="FR190" s="1154">
        <f t="shared" si="689"/>
        <v>0</v>
      </c>
      <c r="FS190" s="1154">
        <f t="shared" si="690"/>
        <v>21802.063789355165</v>
      </c>
      <c r="FT190" s="1154">
        <f t="shared" si="691"/>
        <v>0</v>
      </c>
      <c r="FU190" s="1154">
        <f t="shared" si="692"/>
        <v>0</v>
      </c>
      <c r="FV190" s="1154">
        <f t="shared" si="693"/>
        <v>0</v>
      </c>
      <c r="FW190" s="1154">
        <f t="shared" si="694"/>
        <v>0</v>
      </c>
      <c r="FX190" s="1154">
        <f t="shared" si="695"/>
        <v>0</v>
      </c>
      <c r="FY190" s="1154">
        <f t="shared" si="696"/>
        <v>0</v>
      </c>
      <c r="FZ190" s="1154">
        <f t="shared" si="697"/>
        <v>11603.922214405384</v>
      </c>
      <c r="GA190" s="1154">
        <f t="shared" si="698"/>
        <v>0</v>
      </c>
      <c r="GB190" s="1154">
        <f t="shared" si="699"/>
        <v>0</v>
      </c>
      <c r="GC190" s="1154">
        <f t="shared" si="700"/>
        <v>0</v>
      </c>
      <c r="GD190" s="1154">
        <f t="shared" si="701"/>
        <v>0</v>
      </c>
      <c r="GE190" s="1154">
        <f t="shared" si="702"/>
        <v>0</v>
      </c>
      <c r="GF190" s="1154">
        <f t="shared" si="703"/>
        <v>0</v>
      </c>
      <c r="GG190" s="1154">
        <f t="shared" si="704"/>
        <v>0</v>
      </c>
      <c r="GH190" s="1154">
        <f t="shared" si="705"/>
        <v>0</v>
      </c>
      <c r="GI190" s="1154">
        <f t="shared" si="706"/>
        <v>0</v>
      </c>
      <c r="GJ190" s="1154">
        <f t="shared" si="707"/>
        <v>0</v>
      </c>
      <c r="GK190" s="1154">
        <f t="shared" si="708"/>
        <v>0</v>
      </c>
      <c r="GL190" s="1174">
        <f t="shared" si="724"/>
        <v>37488.602272722201</v>
      </c>
    </row>
    <row r="191" spans="2:194">
      <c r="B191" s="1290" t="str">
        <f t="shared" si="722"/>
        <v>SACDUOSMRTDEM</v>
      </c>
      <c r="C191" s="1289" t="str">
        <f>Prop2021DUOSTariffs!C85</f>
        <v>MtIsa SAC&lt;100MWhpa Residential TOU Transitional Demand</v>
      </c>
      <c r="D191" s="1113" t="str">
        <f>Prop2021DUOSTariffs!D85</f>
        <v>MtIsa SAC&lt;100MWhpa Residential TOU Transitional Demand</v>
      </c>
      <c r="E191" s="1113" t="str">
        <f>Prop2021DUOSTariffs!E85</f>
        <v>SAC</v>
      </c>
      <c r="F191" s="1113" t="str">
        <f>Prop2021DUOSTariffs!F85</f>
        <v>SACS Res</v>
      </c>
      <c r="G191" s="1113" t="str">
        <f>Prop2021DUOSTariffs!G85</f>
        <v>Mt Isa</v>
      </c>
      <c r="H191" s="1113" t="str">
        <f>Prop2021DUOSTariffs!H85</f>
        <v>MRTDEM</v>
      </c>
      <c r="I191" s="1114" t="s">
        <v>761</v>
      </c>
      <c r="J191" s="1114" t="s">
        <v>934</v>
      </c>
      <c r="K191" s="1270"/>
      <c r="L191" s="1233">
        <v>0.11312000000000003</v>
      </c>
      <c r="M191" s="1007"/>
      <c r="N191" s="1007"/>
      <c r="O191" s="1007"/>
      <c r="P191" s="1007"/>
      <c r="Q191" s="1007"/>
      <c r="R191" s="1007"/>
      <c r="S191" s="1007"/>
      <c r="T191" s="1007"/>
      <c r="U191" s="1007"/>
      <c r="V191" s="1007"/>
      <c r="W191" s="1007"/>
      <c r="X191" s="1007"/>
      <c r="Y191" s="1007"/>
      <c r="Z191" s="1007"/>
      <c r="AA191" s="1007"/>
      <c r="AB191" s="1233">
        <v>0.19970395869191052</v>
      </c>
      <c r="AC191" s="1007"/>
      <c r="AD191" s="1007"/>
      <c r="AE191" s="1007"/>
      <c r="AF191" s="1007"/>
      <c r="AG191" s="1007"/>
      <c r="AH191" s="1007"/>
      <c r="AI191" s="1233">
        <v>7.3089293572221642E-4</v>
      </c>
      <c r="AJ191" s="1005"/>
      <c r="AK191" s="1005"/>
      <c r="AL191" s="1005"/>
      <c r="AM191" s="1005"/>
      <c r="AN191" s="1005"/>
      <c r="AO191" s="1005"/>
      <c r="AP191" s="1005"/>
      <c r="AQ191" s="1005"/>
      <c r="AR191" s="1005"/>
      <c r="AS191" s="1005"/>
      <c r="AT191" s="1005"/>
      <c r="AU191" s="1006"/>
      <c r="AV191" s="1270"/>
      <c r="AW191" s="1480">
        <v>0.11</v>
      </c>
      <c r="AX191" s="1006"/>
      <c r="AY191" s="1006"/>
      <c r="AZ191" s="1006"/>
      <c r="BA191" s="1006"/>
      <c r="BB191" s="1006"/>
      <c r="BC191" s="1006"/>
      <c r="BD191" s="1006"/>
      <c r="BE191" s="1006"/>
      <c r="BF191" s="1006"/>
      <c r="BG191" s="1006"/>
      <c r="BH191" s="1006"/>
      <c r="BI191" s="1006"/>
      <c r="BJ191" s="1006"/>
      <c r="BK191" s="1006"/>
      <c r="BL191" s="1006"/>
      <c r="BM191" s="1480">
        <v>0.19800000000000001</v>
      </c>
      <c r="BN191" s="1006"/>
      <c r="BO191" s="1006"/>
      <c r="BP191" s="1006"/>
      <c r="BQ191" s="1006"/>
      <c r="BR191" s="1006"/>
      <c r="BS191" s="1006"/>
      <c r="BT191" s="1480">
        <v>6.9999999999999999E-4</v>
      </c>
      <c r="BU191" s="1006"/>
      <c r="BV191" s="1006"/>
      <c r="BW191" s="1006"/>
      <c r="BX191" s="1006"/>
      <c r="BY191" s="1006"/>
      <c r="BZ191" s="1006"/>
      <c r="CA191" s="1006"/>
      <c r="CB191" s="1006"/>
      <c r="CC191" s="1006"/>
      <c r="CD191" s="1006"/>
      <c r="CE191" s="1006"/>
      <c r="CF191" s="1006"/>
      <c r="CG191" s="1209"/>
      <c r="CH191" s="1236">
        <v>153</v>
      </c>
      <c r="CI191" s="1007"/>
      <c r="CJ191" s="1007"/>
      <c r="CK191" s="1007"/>
      <c r="CL191" s="1007"/>
      <c r="CM191" s="1007"/>
      <c r="CN191" s="1007"/>
      <c r="CO191" s="1007"/>
      <c r="CP191" s="1007"/>
      <c r="CQ191" s="1007"/>
      <c r="CR191" s="1007"/>
      <c r="CS191" s="1007"/>
      <c r="CT191" s="1007"/>
      <c r="CU191" s="1007"/>
      <c r="CV191" s="1007"/>
      <c r="CW191" s="1007"/>
      <c r="CX191" s="1236">
        <v>8815.2000000000007</v>
      </c>
      <c r="CY191" s="1007"/>
      <c r="CZ191" s="1007"/>
      <c r="DA191" s="1007"/>
      <c r="DB191" s="1007"/>
      <c r="DC191" s="1007"/>
      <c r="DD191" s="1007"/>
      <c r="DE191" s="1236">
        <v>639264.90599999996</v>
      </c>
      <c r="DF191" s="1007"/>
      <c r="DG191" s="1007"/>
      <c r="DH191" s="1007"/>
      <c r="DI191" s="1006"/>
      <c r="DJ191" s="1006"/>
      <c r="DK191" s="1007"/>
      <c r="DL191" s="1007"/>
      <c r="DM191" s="1007"/>
      <c r="DN191" s="1007"/>
      <c r="DO191" s="1112"/>
      <c r="DP191" s="1112"/>
      <c r="DQ191" s="1270"/>
      <c r="DR191" s="1154">
        <f t="shared" si="638"/>
        <v>6317.1864000000014</v>
      </c>
      <c r="DS191" s="1154">
        <f t="shared" si="639"/>
        <v>0</v>
      </c>
      <c r="DT191" s="1154">
        <f t="shared" si="640"/>
        <v>0</v>
      </c>
      <c r="DU191" s="1154">
        <f t="shared" si="641"/>
        <v>0</v>
      </c>
      <c r="DV191" s="1154">
        <f t="shared" si="642"/>
        <v>0</v>
      </c>
      <c r="DW191" s="1154">
        <f t="shared" si="643"/>
        <v>0</v>
      </c>
      <c r="DX191" s="1154">
        <f t="shared" si="644"/>
        <v>0</v>
      </c>
      <c r="DY191" s="1154">
        <f t="shared" si="645"/>
        <v>0</v>
      </c>
      <c r="DZ191" s="1154">
        <f t="shared" si="646"/>
        <v>0</v>
      </c>
      <c r="EA191" s="1154">
        <f t="shared" si="647"/>
        <v>0</v>
      </c>
      <c r="EB191" s="1154">
        <f t="shared" si="648"/>
        <v>0</v>
      </c>
      <c r="EC191" s="1154">
        <f t="shared" si="649"/>
        <v>0</v>
      </c>
      <c r="ED191" s="1154">
        <f t="shared" si="650"/>
        <v>0</v>
      </c>
      <c r="EE191" s="1154">
        <f t="shared" si="651"/>
        <v>0</v>
      </c>
      <c r="EF191" s="1154">
        <f t="shared" si="652"/>
        <v>0</v>
      </c>
      <c r="EG191" s="1154">
        <f t="shared" si="653"/>
        <v>0</v>
      </c>
      <c r="EH191" s="1154">
        <f t="shared" si="654"/>
        <v>1760.4303366609297</v>
      </c>
      <c r="EI191" s="1154">
        <f t="shared" si="655"/>
        <v>0</v>
      </c>
      <c r="EJ191" s="1154">
        <f t="shared" si="656"/>
        <v>0</v>
      </c>
      <c r="EK191" s="1154">
        <f t="shared" si="657"/>
        <v>0</v>
      </c>
      <c r="EL191" s="1154">
        <f t="shared" si="658"/>
        <v>0</v>
      </c>
      <c r="EM191" s="1154">
        <f t="shared" si="659"/>
        <v>0</v>
      </c>
      <c r="EN191" s="1154">
        <f t="shared" si="660"/>
        <v>0</v>
      </c>
      <c r="EO191" s="1154">
        <f t="shared" si="661"/>
        <v>467.23420385052668</v>
      </c>
      <c r="EP191" s="1154">
        <f t="shared" si="662"/>
        <v>0</v>
      </c>
      <c r="EQ191" s="1154">
        <f t="shared" si="663"/>
        <v>0</v>
      </c>
      <c r="ER191" s="1154">
        <f t="shared" si="664"/>
        <v>0</v>
      </c>
      <c r="ES191" s="1154">
        <f t="shared" si="665"/>
        <v>0</v>
      </c>
      <c r="ET191" s="1154">
        <f t="shared" si="666"/>
        <v>0</v>
      </c>
      <c r="EU191" s="1154">
        <f t="shared" si="667"/>
        <v>0</v>
      </c>
      <c r="EV191" s="1154">
        <f t="shared" si="668"/>
        <v>0</v>
      </c>
      <c r="EW191" s="1154">
        <f t="shared" si="669"/>
        <v>0</v>
      </c>
      <c r="EX191" s="1154">
        <f t="shared" si="670"/>
        <v>0</v>
      </c>
      <c r="EY191" s="1154">
        <f t="shared" si="671"/>
        <v>0</v>
      </c>
      <c r="EZ191" s="1154">
        <f t="shared" si="672"/>
        <v>0</v>
      </c>
      <c r="FA191" s="1174">
        <f t="shared" si="723"/>
        <v>8544.8509405114582</v>
      </c>
      <c r="FC191" s="1154">
        <f t="shared" si="674"/>
        <v>6142.9500000000007</v>
      </c>
      <c r="FD191" s="1154">
        <f t="shared" si="675"/>
        <v>0</v>
      </c>
      <c r="FE191" s="1154">
        <f t="shared" si="676"/>
        <v>0</v>
      </c>
      <c r="FF191" s="1154">
        <f t="shared" si="677"/>
        <v>0</v>
      </c>
      <c r="FG191" s="1154">
        <f t="shared" si="678"/>
        <v>0</v>
      </c>
      <c r="FH191" s="1154">
        <f t="shared" si="679"/>
        <v>0</v>
      </c>
      <c r="FI191" s="1154">
        <f t="shared" si="680"/>
        <v>0</v>
      </c>
      <c r="FJ191" s="1154">
        <f t="shared" si="681"/>
        <v>0</v>
      </c>
      <c r="FK191" s="1154">
        <f t="shared" si="682"/>
        <v>0</v>
      </c>
      <c r="FL191" s="1154">
        <f t="shared" si="683"/>
        <v>0</v>
      </c>
      <c r="FM191" s="1154">
        <f t="shared" si="684"/>
        <v>0</v>
      </c>
      <c r="FN191" s="1154">
        <f t="shared" si="685"/>
        <v>0</v>
      </c>
      <c r="FO191" s="1154">
        <f t="shared" si="686"/>
        <v>0</v>
      </c>
      <c r="FP191" s="1154">
        <f t="shared" si="687"/>
        <v>0</v>
      </c>
      <c r="FQ191" s="1154">
        <f t="shared" si="688"/>
        <v>0</v>
      </c>
      <c r="FR191" s="1154">
        <f t="shared" si="689"/>
        <v>0</v>
      </c>
      <c r="FS191" s="1154">
        <f t="shared" si="690"/>
        <v>1745.4096000000002</v>
      </c>
      <c r="FT191" s="1154">
        <f t="shared" si="691"/>
        <v>0</v>
      </c>
      <c r="FU191" s="1154">
        <f t="shared" si="692"/>
        <v>0</v>
      </c>
      <c r="FV191" s="1154">
        <f t="shared" si="693"/>
        <v>0</v>
      </c>
      <c r="FW191" s="1154">
        <f t="shared" si="694"/>
        <v>0</v>
      </c>
      <c r="FX191" s="1154">
        <f t="shared" si="695"/>
        <v>0</v>
      </c>
      <c r="FY191" s="1154">
        <f t="shared" si="696"/>
        <v>0</v>
      </c>
      <c r="FZ191" s="1154">
        <f t="shared" si="697"/>
        <v>447.48543419999999</v>
      </c>
      <c r="GA191" s="1154">
        <f t="shared" si="698"/>
        <v>0</v>
      </c>
      <c r="GB191" s="1154">
        <f t="shared" si="699"/>
        <v>0</v>
      </c>
      <c r="GC191" s="1154">
        <f t="shared" si="700"/>
        <v>0</v>
      </c>
      <c r="GD191" s="1154">
        <f t="shared" si="701"/>
        <v>0</v>
      </c>
      <c r="GE191" s="1154">
        <f t="shared" si="702"/>
        <v>0</v>
      </c>
      <c r="GF191" s="1154">
        <f t="shared" si="703"/>
        <v>0</v>
      </c>
      <c r="GG191" s="1154">
        <f t="shared" si="704"/>
        <v>0</v>
      </c>
      <c r="GH191" s="1154">
        <f t="shared" si="705"/>
        <v>0</v>
      </c>
      <c r="GI191" s="1154">
        <f t="shared" si="706"/>
        <v>0</v>
      </c>
      <c r="GJ191" s="1154">
        <f t="shared" si="707"/>
        <v>0</v>
      </c>
      <c r="GK191" s="1154">
        <f t="shared" si="708"/>
        <v>0</v>
      </c>
      <c r="GL191" s="1174">
        <f t="shared" si="724"/>
        <v>8335.8450342000015</v>
      </c>
    </row>
    <row r="192" spans="2:194">
      <c r="B192" s="1290" t="str">
        <f t="shared" si="722"/>
        <v>SACDUOSERDEM</v>
      </c>
      <c r="C192" s="1289" t="str">
        <f>Prop2021DUOSTariffs!C86</f>
        <v>East SAC&lt;100MWhpa Residential TOU Demand</v>
      </c>
      <c r="D192" s="1113" t="str">
        <f>Prop2021DUOSTariffs!D86</f>
        <v>East SAC&lt;100MWhpa Residential TOU Demand</v>
      </c>
      <c r="E192" s="1113" t="str">
        <f>Prop2021DUOSTariffs!E86</f>
        <v>SAC</v>
      </c>
      <c r="F192" s="1113" t="str">
        <f>Prop2021DUOSTariffs!F86</f>
        <v>SACS Res</v>
      </c>
      <c r="G192" s="1113" t="str">
        <f>Prop2021DUOSTariffs!G86</f>
        <v>East</v>
      </c>
      <c r="H192" s="1113" t="str">
        <f>Prop2021DUOSTariffs!H86</f>
        <v>ERDEM</v>
      </c>
      <c r="I192" s="1114" t="s">
        <v>798</v>
      </c>
      <c r="J192" s="1114" t="s">
        <v>934</v>
      </c>
      <c r="K192" s="1270"/>
      <c r="L192" s="1233">
        <v>2.0924400000000006E-2</v>
      </c>
      <c r="M192" s="1007"/>
      <c r="N192" s="1007"/>
      <c r="O192" s="1007"/>
      <c r="P192" s="1007"/>
      <c r="Q192" s="1007"/>
      <c r="R192" s="1007"/>
      <c r="S192" s="1007"/>
      <c r="T192" s="1007"/>
      <c r="U192" s="1007"/>
      <c r="V192" s="1007"/>
      <c r="W192" s="1007"/>
      <c r="X192" s="1007"/>
      <c r="Y192" s="1007"/>
      <c r="Z192" s="1007"/>
      <c r="AA192" s="1007"/>
      <c r="AB192" s="1233">
        <v>0.46933792312105571</v>
      </c>
      <c r="AC192" s="1007"/>
      <c r="AD192" s="1007"/>
      <c r="AE192" s="1007"/>
      <c r="AF192" s="1007"/>
      <c r="AG192" s="1007"/>
      <c r="AH192" s="1007"/>
      <c r="AI192" s="1233">
        <v>1.0544881443151606E-2</v>
      </c>
      <c r="AJ192" s="1005"/>
      <c r="AK192" s="1005"/>
      <c r="AL192" s="1005"/>
      <c r="AM192" s="1005"/>
      <c r="AN192" s="1005"/>
      <c r="AO192" s="1005"/>
      <c r="AP192" s="1005"/>
      <c r="AQ192" s="1005"/>
      <c r="AR192" s="1005"/>
      <c r="AS192" s="1005"/>
      <c r="AT192" s="1005"/>
      <c r="AU192" s="1006"/>
      <c r="AV192" s="1270"/>
      <c r="AW192" s="1480">
        <v>1.9740000000000004E-2</v>
      </c>
      <c r="AX192" s="1006"/>
      <c r="AY192" s="1006"/>
      <c r="AZ192" s="1006"/>
      <c r="BA192" s="1006"/>
      <c r="BB192" s="1006"/>
      <c r="BC192" s="1006"/>
      <c r="BD192" s="1006"/>
      <c r="BE192" s="1006"/>
      <c r="BF192" s="1006"/>
      <c r="BG192" s="1006"/>
      <c r="BH192" s="1006"/>
      <c r="BI192" s="1006"/>
      <c r="BJ192" s="1006"/>
      <c r="BK192" s="1006"/>
      <c r="BL192" s="1006"/>
      <c r="BM192" s="1480">
        <v>0.46533333333333338</v>
      </c>
      <c r="BN192" s="1006"/>
      <c r="BO192" s="1006"/>
      <c r="BP192" s="1006"/>
      <c r="BQ192" s="1006"/>
      <c r="BR192" s="1006"/>
      <c r="BS192" s="1006"/>
      <c r="BT192" s="1480">
        <v>7.6058147926043795E-3</v>
      </c>
      <c r="BU192" s="1006"/>
      <c r="BV192" s="1006"/>
      <c r="BW192" s="1006"/>
      <c r="BX192" s="1006"/>
      <c r="BY192" s="1006"/>
      <c r="BZ192" s="1006"/>
      <c r="CA192" s="1006"/>
      <c r="CB192" s="1006"/>
      <c r="CC192" s="1006"/>
      <c r="CD192" s="1006"/>
      <c r="CE192" s="1006"/>
      <c r="CF192" s="1006"/>
      <c r="CG192" s="1209"/>
      <c r="CH192" s="1236">
        <v>129.30810658445162</v>
      </c>
      <c r="CI192" s="1007"/>
      <c r="CJ192" s="1007"/>
      <c r="CK192" s="1007"/>
      <c r="CL192" s="1007"/>
      <c r="CM192" s="1007"/>
      <c r="CN192" s="1007"/>
      <c r="CO192" s="1007"/>
      <c r="CP192" s="1007"/>
      <c r="CQ192" s="1007"/>
      <c r="CR192" s="1007"/>
      <c r="CS192" s="1007"/>
      <c r="CT192" s="1007"/>
      <c r="CU192" s="1007"/>
      <c r="CV192" s="1007"/>
      <c r="CW192" s="1007"/>
      <c r="CX192" s="1236">
        <v>6207.8639400637776</v>
      </c>
      <c r="CY192" s="1007"/>
      <c r="CZ192" s="1007"/>
      <c r="DA192" s="1007"/>
      <c r="DB192" s="1007"/>
      <c r="DC192" s="1007"/>
      <c r="DD192" s="1007"/>
      <c r="DE192" s="1236">
        <v>1002405.4392603907</v>
      </c>
      <c r="DF192" s="1007"/>
      <c r="DG192" s="1007"/>
      <c r="DH192" s="1007"/>
      <c r="DI192" s="1006"/>
      <c r="DJ192" s="1006"/>
      <c r="DK192" s="1007"/>
      <c r="DL192" s="1007"/>
      <c r="DM192" s="1007"/>
      <c r="DN192" s="1007"/>
      <c r="DO192" s="1112"/>
      <c r="DP192" s="1112"/>
      <c r="DQ192" s="1270"/>
      <c r="DR192" s="1154">
        <f t="shared" si="638"/>
        <v>987.57850907673071</v>
      </c>
      <c r="DS192" s="1154">
        <f t="shared" si="639"/>
        <v>0</v>
      </c>
      <c r="DT192" s="1154">
        <f t="shared" si="640"/>
        <v>0</v>
      </c>
      <c r="DU192" s="1154">
        <f t="shared" si="641"/>
        <v>0</v>
      </c>
      <c r="DV192" s="1154">
        <f t="shared" si="642"/>
        <v>0</v>
      </c>
      <c r="DW192" s="1154">
        <f t="shared" si="643"/>
        <v>0</v>
      </c>
      <c r="DX192" s="1154">
        <f t="shared" si="644"/>
        <v>0</v>
      </c>
      <c r="DY192" s="1154">
        <f t="shared" si="645"/>
        <v>0</v>
      </c>
      <c r="DZ192" s="1154">
        <f t="shared" si="646"/>
        <v>0</v>
      </c>
      <c r="EA192" s="1154">
        <f t="shared" si="647"/>
        <v>0</v>
      </c>
      <c r="EB192" s="1154">
        <f t="shared" si="648"/>
        <v>0</v>
      </c>
      <c r="EC192" s="1154">
        <f t="shared" si="649"/>
        <v>0</v>
      </c>
      <c r="ED192" s="1154">
        <f t="shared" si="650"/>
        <v>0</v>
      </c>
      <c r="EE192" s="1154">
        <f t="shared" si="651"/>
        <v>0</v>
      </c>
      <c r="EF192" s="1154">
        <f t="shared" si="652"/>
        <v>0</v>
      </c>
      <c r="EG192" s="1154">
        <f t="shared" si="653"/>
        <v>0</v>
      </c>
      <c r="EH192" s="1154">
        <f t="shared" si="654"/>
        <v>2913.5859686476274</v>
      </c>
      <c r="EI192" s="1154">
        <f t="shared" si="655"/>
        <v>0</v>
      </c>
      <c r="EJ192" s="1154">
        <f t="shared" si="656"/>
        <v>0</v>
      </c>
      <c r="EK192" s="1154">
        <f t="shared" si="657"/>
        <v>0</v>
      </c>
      <c r="EL192" s="1154">
        <f t="shared" si="658"/>
        <v>0</v>
      </c>
      <c r="EM192" s="1154">
        <f t="shared" si="659"/>
        <v>0</v>
      </c>
      <c r="EN192" s="1154">
        <f t="shared" si="660"/>
        <v>0</v>
      </c>
      <c r="EO192" s="1154">
        <f t="shared" si="661"/>
        <v>10570.246514971128</v>
      </c>
      <c r="EP192" s="1154">
        <f t="shared" si="662"/>
        <v>0</v>
      </c>
      <c r="EQ192" s="1154">
        <f t="shared" si="663"/>
        <v>0</v>
      </c>
      <c r="ER192" s="1154">
        <f t="shared" si="664"/>
        <v>0</v>
      </c>
      <c r="ES192" s="1154">
        <f t="shared" si="665"/>
        <v>0</v>
      </c>
      <c r="ET192" s="1154">
        <f t="shared" si="666"/>
        <v>0</v>
      </c>
      <c r="EU192" s="1154">
        <f t="shared" si="667"/>
        <v>0</v>
      </c>
      <c r="EV192" s="1154">
        <f t="shared" si="668"/>
        <v>0</v>
      </c>
      <c r="EW192" s="1154">
        <f t="shared" si="669"/>
        <v>0</v>
      </c>
      <c r="EX192" s="1154">
        <f t="shared" si="670"/>
        <v>0</v>
      </c>
      <c r="EY192" s="1154">
        <f t="shared" si="671"/>
        <v>0</v>
      </c>
      <c r="EZ192" s="1154">
        <f t="shared" si="672"/>
        <v>0</v>
      </c>
      <c r="FA192" s="1174">
        <f t="shared" si="723"/>
        <v>14471.410992695486</v>
      </c>
      <c r="FC192" s="1154">
        <f t="shared" si="674"/>
        <v>931.67783875163263</v>
      </c>
      <c r="FD192" s="1154">
        <f t="shared" si="675"/>
        <v>0</v>
      </c>
      <c r="FE192" s="1154">
        <f t="shared" si="676"/>
        <v>0</v>
      </c>
      <c r="FF192" s="1154">
        <f t="shared" si="677"/>
        <v>0</v>
      </c>
      <c r="FG192" s="1154">
        <f t="shared" si="678"/>
        <v>0</v>
      </c>
      <c r="FH192" s="1154">
        <f t="shared" si="679"/>
        <v>0</v>
      </c>
      <c r="FI192" s="1154">
        <f t="shared" si="680"/>
        <v>0</v>
      </c>
      <c r="FJ192" s="1154">
        <f t="shared" si="681"/>
        <v>0</v>
      </c>
      <c r="FK192" s="1154">
        <f t="shared" si="682"/>
        <v>0</v>
      </c>
      <c r="FL192" s="1154">
        <f t="shared" si="683"/>
        <v>0</v>
      </c>
      <c r="FM192" s="1154">
        <f t="shared" si="684"/>
        <v>0</v>
      </c>
      <c r="FN192" s="1154">
        <f t="shared" si="685"/>
        <v>0</v>
      </c>
      <c r="FO192" s="1154">
        <f t="shared" si="686"/>
        <v>0</v>
      </c>
      <c r="FP192" s="1154">
        <f t="shared" si="687"/>
        <v>0</v>
      </c>
      <c r="FQ192" s="1154">
        <f t="shared" si="688"/>
        <v>0</v>
      </c>
      <c r="FR192" s="1154">
        <f t="shared" si="689"/>
        <v>0</v>
      </c>
      <c r="FS192" s="1154">
        <f t="shared" si="690"/>
        <v>2888.7260201096783</v>
      </c>
      <c r="FT192" s="1154">
        <f t="shared" si="691"/>
        <v>0</v>
      </c>
      <c r="FU192" s="1154">
        <f t="shared" si="692"/>
        <v>0</v>
      </c>
      <c r="FV192" s="1154">
        <f t="shared" si="693"/>
        <v>0</v>
      </c>
      <c r="FW192" s="1154">
        <f t="shared" si="694"/>
        <v>0</v>
      </c>
      <c r="FX192" s="1154">
        <f t="shared" si="695"/>
        <v>0</v>
      </c>
      <c r="FY192" s="1154">
        <f t="shared" si="696"/>
        <v>0</v>
      </c>
      <c r="FZ192" s="1154">
        <f t="shared" si="697"/>
        <v>7624.1101181137701</v>
      </c>
      <c r="GA192" s="1154">
        <f t="shared" si="698"/>
        <v>0</v>
      </c>
      <c r="GB192" s="1154">
        <f t="shared" si="699"/>
        <v>0</v>
      </c>
      <c r="GC192" s="1154">
        <f t="shared" si="700"/>
        <v>0</v>
      </c>
      <c r="GD192" s="1154">
        <f t="shared" si="701"/>
        <v>0</v>
      </c>
      <c r="GE192" s="1154">
        <f t="shared" si="702"/>
        <v>0</v>
      </c>
      <c r="GF192" s="1154">
        <f t="shared" si="703"/>
        <v>0</v>
      </c>
      <c r="GG192" s="1154">
        <f t="shared" si="704"/>
        <v>0</v>
      </c>
      <c r="GH192" s="1154">
        <f t="shared" si="705"/>
        <v>0</v>
      </c>
      <c r="GI192" s="1154">
        <f t="shared" si="706"/>
        <v>0</v>
      </c>
      <c r="GJ192" s="1154">
        <f t="shared" si="707"/>
        <v>0</v>
      </c>
      <c r="GK192" s="1154">
        <f t="shared" si="708"/>
        <v>0</v>
      </c>
      <c r="GL192" s="1174">
        <f t="shared" si="724"/>
        <v>11444.513976975082</v>
      </c>
    </row>
    <row r="193" spans="1:194">
      <c r="B193" s="1290" t="str">
        <f t="shared" si="722"/>
        <v>SACDUOSERDEM</v>
      </c>
      <c r="C193" s="1289" t="str">
        <f>C192</f>
        <v>East SAC&lt;100MWhpa Residential TOU Demand</v>
      </c>
      <c r="D193" s="1113" t="str">
        <f t="shared" ref="D193:H194" si="729">D192</f>
        <v>East SAC&lt;100MWhpa Residential TOU Demand</v>
      </c>
      <c r="E193" s="1113" t="str">
        <f t="shared" si="729"/>
        <v>SAC</v>
      </c>
      <c r="F193" s="1113" t="str">
        <f t="shared" si="729"/>
        <v>SACS Res</v>
      </c>
      <c r="G193" s="1113" t="str">
        <f t="shared" si="729"/>
        <v>East</v>
      </c>
      <c r="H193" s="1113" t="str">
        <f t="shared" si="729"/>
        <v>ERDEM</v>
      </c>
      <c r="I193" s="1114" t="s">
        <v>752</v>
      </c>
      <c r="J193" s="1114" t="s">
        <v>934</v>
      </c>
      <c r="K193" s="1270"/>
      <c r="L193" s="1233">
        <v>3.4890450000000003E-2</v>
      </c>
      <c r="M193" s="1007"/>
      <c r="N193" s="1007"/>
      <c r="O193" s="1007"/>
      <c r="P193" s="1007"/>
      <c r="Q193" s="1007"/>
      <c r="R193" s="1007"/>
      <c r="S193" s="1007"/>
      <c r="T193" s="1007"/>
      <c r="U193" s="1007"/>
      <c r="V193" s="1007"/>
      <c r="W193" s="1007"/>
      <c r="X193" s="1007"/>
      <c r="Y193" s="1007"/>
      <c r="Z193" s="1007"/>
      <c r="AA193" s="1007"/>
      <c r="AB193" s="1233">
        <v>1.0640791738382098</v>
      </c>
      <c r="AC193" s="1007"/>
      <c r="AD193" s="1007"/>
      <c r="AE193" s="1007"/>
      <c r="AF193" s="1007"/>
      <c r="AG193" s="1007"/>
      <c r="AH193" s="1007"/>
      <c r="AI193" s="1233">
        <v>1.1118059898008639E-2</v>
      </c>
      <c r="AJ193" s="1005"/>
      <c r="AK193" s="1005"/>
      <c r="AL193" s="1005"/>
      <c r="AM193" s="1005"/>
      <c r="AN193" s="1005"/>
      <c r="AO193" s="1005"/>
      <c r="AP193" s="1005"/>
      <c r="AQ193" s="1005"/>
      <c r="AR193" s="1005"/>
      <c r="AS193" s="1005"/>
      <c r="AT193" s="1005"/>
      <c r="AU193" s="1006"/>
      <c r="AV193" s="1270"/>
      <c r="AW193" s="1480">
        <v>3.4544999999999999E-2</v>
      </c>
      <c r="AX193" s="1006"/>
      <c r="AY193" s="1006"/>
      <c r="AZ193" s="1006"/>
      <c r="BA193" s="1006"/>
      <c r="BB193" s="1006"/>
      <c r="BC193" s="1006"/>
      <c r="BD193" s="1006"/>
      <c r="BE193" s="1006"/>
      <c r="BF193" s="1006"/>
      <c r="BG193" s="1006"/>
      <c r="BH193" s="1006"/>
      <c r="BI193" s="1006"/>
      <c r="BJ193" s="1006"/>
      <c r="BK193" s="1006"/>
      <c r="BL193" s="1006"/>
      <c r="BM193" s="1480">
        <v>1.0549999999999999</v>
      </c>
      <c r="BN193" s="1006"/>
      <c r="BO193" s="1006"/>
      <c r="BP193" s="1006"/>
      <c r="BQ193" s="1006"/>
      <c r="BR193" s="1006"/>
      <c r="BS193" s="1006"/>
      <c r="BT193" s="1480">
        <v>1.0692073223663293E-2</v>
      </c>
      <c r="BU193" s="1006"/>
      <c r="BV193" s="1006"/>
      <c r="BW193" s="1006"/>
      <c r="BX193" s="1006"/>
      <c r="BY193" s="1006"/>
      <c r="BZ193" s="1006"/>
      <c r="CA193" s="1006"/>
      <c r="CB193" s="1006"/>
      <c r="CC193" s="1006"/>
      <c r="CD193" s="1006"/>
      <c r="CE193" s="1006"/>
      <c r="CF193" s="1006"/>
      <c r="CG193" s="1209"/>
      <c r="CH193" s="1236">
        <v>78.348886516963347</v>
      </c>
      <c r="CI193" s="1007"/>
      <c r="CJ193" s="1007"/>
      <c r="CK193" s="1007"/>
      <c r="CL193" s="1007"/>
      <c r="CM193" s="1007"/>
      <c r="CN193" s="1007"/>
      <c r="CO193" s="1007"/>
      <c r="CP193" s="1007"/>
      <c r="CQ193" s="1007"/>
      <c r="CR193" s="1007"/>
      <c r="CS193" s="1007"/>
      <c r="CT193" s="1007"/>
      <c r="CU193" s="1007"/>
      <c r="CV193" s="1007"/>
      <c r="CW193" s="1007"/>
      <c r="CX193" s="1236">
        <v>3761.3977978646667</v>
      </c>
      <c r="CY193" s="1007"/>
      <c r="CZ193" s="1007"/>
      <c r="DA193" s="1007"/>
      <c r="DB193" s="1007"/>
      <c r="DC193" s="1007"/>
      <c r="DD193" s="1007"/>
      <c r="DE193" s="1236">
        <v>607366.01964940305</v>
      </c>
      <c r="DF193" s="1007"/>
      <c r="DG193" s="1007"/>
      <c r="DH193" s="1007"/>
      <c r="DI193" s="1006"/>
      <c r="DJ193" s="1006"/>
      <c r="DK193" s="1007"/>
      <c r="DL193" s="1007"/>
      <c r="DM193" s="1007"/>
      <c r="DN193" s="1007"/>
      <c r="DO193" s="1112"/>
      <c r="DP193" s="1112"/>
      <c r="DQ193" s="1270"/>
      <c r="DR193" s="1154">
        <f t="shared" si="638"/>
        <v>997.77418626516123</v>
      </c>
      <c r="DS193" s="1154">
        <f t="shared" si="639"/>
        <v>0</v>
      </c>
      <c r="DT193" s="1154">
        <f t="shared" si="640"/>
        <v>0</v>
      </c>
      <c r="DU193" s="1154">
        <f t="shared" si="641"/>
        <v>0</v>
      </c>
      <c r="DV193" s="1154">
        <f t="shared" si="642"/>
        <v>0</v>
      </c>
      <c r="DW193" s="1154">
        <f t="shared" si="643"/>
        <v>0</v>
      </c>
      <c r="DX193" s="1154">
        <f t="shared" si="644"/>
        <v>0</v>
      </c>
      <c r="DY193" s="1154">
        <f t="shared" si="645"/>
        <v>0</v>
      </c>
      <c r="DZ193" s="1154">
        <f t="shared" si="646"/>
        <v>0</v>
      </c>
      <c r="EA193" s="1154">
        <f t="shared" si="647"/>
        <v>0</v>
      </c>
      <c r="EB193" s="1154">
        <f t="shared" si="648"/>
        <v>0</v>
      </c>
      <c r="EC193" s="1154">
        <f t="shared" si="649"/>
        <v>0</v>
      </c>
      <c r="ED193" s="1154">
        <f t="shared" si="650"/>
        <v>0</v>
      </c>
      <c r="EE193" s="1154">
        <f t="shared" si="651"/>
        <v>0</v>
      </c>
      <c r="EF193" s="1154">
        <f t="shared" si="652"/>
        <v>0</v>
      </c>
      <c r="EG193" s="1154">
        <f t="shared" si="653"/>
        <v>0</v>
      </c>
      <c r="EH193" s="1154">
        <f t="shared" si="654"/>
        <v>4002.4250612286964</v>
      </c>
      <c r="EI193" s="1154">
        <f t="shared" si="655"/>
        <v>0</v>
      </c>
      <c r="EJ193" s="1154">
        <f t="shared" si="656"/>
        <v>0</v>
      </c>
      <c r="EK193" s="1154">
        <f t="shared" si="657"/>
        <v>0</v>
      </c>
      <c r="EL193" s="1154">
        <f t="shared" si="658"/>
        <v>0</v>
      </c>
      <c r="EM193" s="1154">
        <f t="shared" si="659"/>
        <v>0</v>
      </c>
      <c r="EN193" s="1154">
        <f t="shared" si="660"/>
        <v>0</v>
      </c>
      <c r="EO193" s="1154">
        <f t="shared" si="661"/>
        <v>6752.7317864771549</v>
      </c>
      <c r="EP193" s="1154">
        <f t="shared" si="662"/>
        <v>0</v>
      </c>
      <c r="EQ193" s="1154">
        <f t="shared" si="663"/>
        <v>0</v>
      </c>
      <c r="ER193" s="1154">
        <f t="shared" si="664"/>
        <v>0</v>
      </c>
      <c r="ES193" s="1154">
        <f t="shared" si="665"/>
        <v>0</v>
      </c>
      <c r="ET193" s="1154">
        <f t="shared" si="666"/>
        <v>0</v>
      </c>
      <c r="EU193" s="1154">
        <f t="shared" si="667"/>
        <v>0</v>
      </c>
      <c r="EV193" s="1154">
        <f t="shared" si="668"/>
        <v>0</v>
      </c>
      <c r="EW193" s="1154">
        <f t="shared" si="669"/>
        <v>0</v>
      </c>
      <c r="EX193" s="1154">
        <f t="shared" si="670"/>
        <v>0</v>
      </c>
      <c r="EY193" s="1154">
        <f t="shared" si="671"/>
        <v>0</v>
      </c>
      <c r="EZ193" s="1154">
        <f t="shared" si="672"/>
        <v>0</v>
      </c>
      <c r="FA193" s="1174">
        <f t="shared" si="723"/>
        <v>11752.931033971014</v>
      </c>
      <c r="FC193" s="1154">
        <f t="shared" si="674"/>
        <v>987.89523392590206</v>
      </c>
      <c r="FD193" s="1154">
        <f t="shared" si="675"/>
        <v>0</v>
      </c>
      <c r="FE193" s="1154">
        <f t="shared" si="676"/>
        <v>0</v>
      </c>
      <c r="FF193" s="1154">
        <f t="shared" si="677"/>
        <v>0</v>
      </c>
      <c r="FG193" s="1154">
        <f t="shared" si="678"/>
        <v>0</v>
      </c>
      <c r="FH193" s="1154">
        <f t="shared" si="679"/>
        <v>0</v>
      </c>
      <c r="FI193" s="1154">
        <f t="shared" si="680"/>
        <v>0</v>
      </c>
      <c r="FJ193" s="1154">
        <f t="shared" si="681"/>
        <v>0</v>
      </c>
      <c r="FK193" s="1154">
        <f t="shared" si="682"/>
        <v>0</v>
      </c>
      <c r="FL193" s="1154">
        <f t="shared" si="683"/>
        <v>0</v>
      </c>
      <c r="FM193" s="1154">
        <f t="shared" si="684"/>
        <v>0</v>
      </c>
      <c r="FN193" s="1154">
        <f t="shared" si="685"/>
        <v>0</v>
      </c>
      <c r="FO193" s="1154">
        <f t="shared" si="686"/>
        <v>0</v>
      </c>
      <c r="FP193" s="1154">
        <f t="shared" si="687"/>
        <v>0</v>
      </c>
      <c r="FQ193" s="1154">
        <f t="shared" si="688"/>
        <v>0</v>
      </c>
      <c r="FR193" s="1154">
        <f t="shared" si="689"/>
        <v>0</v>
      </c>
      <c r="FS193" s="1154">
        <f t="shared" si="690"/>
        <v>3968.2746767472231</v>
      </c>
      <c r="FT193" s="1154">
        <f t="shared" si="691"/>
        <v>0</v>
      </c>
      <c r="FU193" s="1154">
        <f t="shared" si="692"/>
        <v>0</v>
      </c>
      <c r="FV193" s="1154">
        <f t="shared" si="693"/>
        <v>0</v>
      </c>
      <c r="FW193" s="1154">
        <f t="shared" si="694"/>
        <v>0</v>
      </c>
      <c r="FX193" s="1154">
        <f t="shared" si="695"/>
        <v>0</v>
      </c>
      <c r="FY193" s="1154">
        <f t="shared" si="696"/>
        <v>0</v>
      </c>
      <c r="FZ193" s="1154">
        <f t="shared" si="697"/>
        <v>6494.0019556563357</v>
      </c>
      <c r="GA193" s="1154">
        <f t="shared" si="698"/>
        <v>0</v>
      </c>
      <c r="GB193" s="1154">
        <f t="shared" si="699"/>
        <v>0</v>
      </c>
      <c r="GC193" s="1154">
        <f t="shared" si="700"/>
        <v>0</v>
      </c>
      <c r="GD193" s="1154">
        <f t="shared" si="701"/>
        <v>0</v>
      </c>
      <c r="GE193" s="1154">
        <f t="shared" si="702"/>
        <v>0</v>
      </c>
      <c r="GF193" s="1154">
        <f t="shared" si="703"/>
        <v>0</v>
      </c>
      <c r="GG193" s="1154">
        <f t="shared" si="704"/>
        <v>0</v>
      </c>
      <c r="GH193" s="1154">
        <f t="shared" si="705"/>
        <v>0</v>
      </c>
      <c r="GI193" s="1154">
        <f t="shared" si="706"/>
        <v>0</v>
      </c>
      <c r="GJ193" s="1154">
        <f t="shared" si="707"/>
        <v>0</v>
      </c>
      <c r="GK193" s="1154">
        <f t="shared" si="708"/>
        <v>0</v>
      </c>
      <c r="GL193" s="1174">
        <f t="shared" si="724"/>
        <v>11450.17186632946</v>
      </c>
    </row>
    <row r="194" spans="1:194">
      <c r="B194" s="1290" t="str">
        <f t="shared" si="722"/>
        <v>SACDUOSERDEM</v>
      </c>
      <c r="C194" s="1289" t="str">
        <f t="shared" ref="C194:E194" si="730">C193</f>
        <v>East SAC&lt;100MWhpa Residential TOU Demand</v>
      </c>
      <c r="D194" s="1113" t="str">
        <f t="shared" si="730"/>
        <v>East SAC&lt;100MWhpa Residential TOU Demand</v>
      </c>
      <c r="E194" s="1113" t="str">
        <f t="shared" si="730"/>
        <v>SAC</v>
      </c>
      <c r="F194" s="1113" t="str">
        <f t="shared" si="729"/>
        <v>SACS Res</v>
      </c>
      <c r="G194" s="1113" t="str">
        <f t="shared" si="729"/>
        <v>East</v>
      </c>
      <c r="H194" s="1113" t="str">
        <f t="shared" si="729"/>
        <v>ERDEM</v>
      </c>
      <c r="I194" s="1114" t="s">
        <v>759</v>
      </c>
      <c r="J194" s="1114" t="s">
        <v>934</v>
      </c>
      <c r="K194" s="1270"/>
      <c r="L194" s="1233">
        <v>5.6456399999999997E-2</v>
      </c>
      <c r="M194" s="1007"/>
      <c r="N194" s="1007"/>
      <c r="O194" s="1007"/>
      <c r="P194" s="1007"/>
      <c r="Q194" s="1007"/>
      <c r="R194" s="1007"/>
      <c r="S194" s="1007"/>
      <c r="T194" s="1007"/>
      <c r="U194" s="1007"/>
      <c r="V194" s="1007"/>
      <c r="W194" s="1007"/>
      <c r="X194" s="1007"/>
      <c r="Y194" s="1007"/>
      <c r="Z194" s="1007"/>
      <c r="AA194" s="1007"/>
      <c r="AB194" s="1233">
        <v>2.0602455536431443</v>
      </c>
      <c r="AC194" s="1007"/>
      <c r="AD194" s="1007"/>
      <c r="AE194" s="1007"/>
      <c r="AF194" s="1007"/>
      <c r="AG194" s="1007"/>
      <c r="AH194" s="1007"/>
      <c r="AI194" s="1233">
        <v>9.0017455877270149E-3</v>
      </c>
      <c r="AJ194" s="1005"/>
      <c r="AK194" s="1005"/>
      <c r="AL194" s="1005"/>
      <c r="AM194" s="1005"/>
      <c r="AN194" s="1005"/>
      <c r="AO194" s="1005"/>
      <c r="AP194" s="1005"/>
      <c r="AQ194" s="1005"/>
      <c r="AR194" s="1005"/>
      <c r="AS194" s="1005"/>
      <c r="AT194" s="1005"/>
      <c r="AU194" s="1006"/>
      <c r="AV194" s="1270"/>
      <c r="AW194" s="1480">
        <v>5.6456399999999997E-2</v>
      </c>
      <c r="AX194" s="1006"/>
      <c r="AY194" s="1006"/>
      <c r="AZ194" s="1006"/>
      <c r="BA194" s="1006"/>
      <c r="BB194" s="1006"/>
      <c r="BC194" s="1006"/>
      <c r="BD194" s="1006"/>
      <c r="BE194" s="1006"/>
      <c r="BF194" s="1006"/>
      <c r="BG194" s="1006"/>
      <c r="BH194" s="1006"/>
      <c r="BI194" s="1006"/>
      <c r="BJ194" s="1006"/>
      <c r="BK194" s="1006"/>
      <c r="BL194" s="1006"/>
      <c r="BM194" s="1480">
        <v>2.0426666666666669</v>
      </c>
      <c r="BN194" s="1006"/>
      <c r="BO194" s="1006"/>
      <c r="BP194" s="1006"/>
      <c r="BQ194" s="1006"/>
      <c r="BR194" s="1006"/>
      <c r="BS194" s="1006"/>
      <c r="BT194" s="1480">
        <v>1.1810621882137735E-2</v>
      </c>
      <c r="BU194" s="1006"/>
      <c r="BV194" s="1006"/>
      <c r="BW194" s="1006"/>
      <c r="BX194" s="1006"/>
      <c r="BY194" s="1006"/>
      <c r="BZ194" s="1006"/>
      <c r="CA194" s="1006"/>
      <c r="CB194" s="1006"/>
      <c r="CC194" s="1006"/>
      <c r="CD194" s="1006"/>
      <c r="CE194" s="1006"/>
      <c r="CF194" s="1006"/>
      <c r="CG194" s="1209"/>
      <c r="CH194" s="1236">
        <v>59.423006898584987</v>
      </c>
      <c r="CI194" s="1007"/>
      <c r="CJ194" s="1007"/>
      <c r="CK194" s="1007"/>
      <c r="CL194" s="1007"/>
      <c r="CM194" s="1007"/>
      <c r="CN194" s="1007"/>
      <c r="CO194" s="1007"/>
      <c r="CP194" s="1007"/>
      <c r="CQ194" s="1007"/>
      <c r="CR194" s="1007"/>
      <c r="CS194" s="1007"/>
      <c r="CT194" s="1007"/>
      <c r="CU194" s="1007"/>
      <c r="CV194" s="1007"/>
      <c r="CW194" s="1007"/>
      <c r="CX194" s="1236">
        <v>2852.7982620715538</v>
      </c>
      <c r="CY194" s="1007"/>
      <c r="CZ194" s="1007"/>
      <c r="DA194" s="1007"/>
      <c r="DB194" s="1007"/>
      <c r="DC194" s="1007"/>
      <c r="DD194" s="1007"/>
      <c r="DE194" s="1236">
        <v>460651.28402020613</v>
      </c>
      <c r="DF194" s="1007"/>
      <c r="DG194" s="1007"/>
      <c r="DH194" s="1007"/>
      <c r="DI194" s="1006"/>
      <c r="DJ194" s="1006"/>
      <c r="DK194" s="1007"/>
      <c r="DL194" s="1007"/>
      <c r="DM194" s="1007"/>
      <c r="DN194" s="1007"/>
      <c r="DO194" s="1112"/>
      <c r="DP194" s="1112"/>
      <c r="DQ194" s="1270"/>
      <c r="DR194" s="1154">
        <f t="shared" si="638"/>
        <v>1224.5053020342848</v>
      </c>
      <c r="DS194" s="1154">
        <f t="shared" si="639"/>
        <v>0</v>
      </c>
      <c r="DT194" s="1154">
        <f t="shared" si="640"/>
        <v>0</v>
      </c>
      <c r="DU194" s="1154">
        <f t="shared" si="641"/>
        <v>0</v>
      </c>
      <c r="DV194" s="1154">
        <f t="shared" si="642"/>
        <v>0</v>
      </c>
      <c r="DW194" s="1154">
        <f t="shared" si="643"/>
        <v>0</v>
      </c>
      <c r="DX194" s="1154">
        <f t="shared" si="644"/>
        <v>0</v>
      </c>
      <c r="DY194" s="1154">
        <f t="shared" si="645"/>
        <v>0</v>
      </c>
      <c r="DZ194" s="1154">
        <f t="shared" si="646"/>
        <v>0</v>
      </c>
      <c r="EA194" s="1154">
        <f t="shared" si="647"/>
        <v>0</v>
      </c>
      <c r="EB194" s="1154">
        <f t="shared" si="648"/>
        <v>0</v>
      </c>
      <c r="EC194" s="1154">
        <f t="shared" si="649"/>
        <v>0</v>
      </c>
      <c r="ED194" s="1154">
        <f t="shared" si="650"/>
        <v>0</v>
      </c>
      <c r="EE194" s="1154">
        <f t="shared" si="651"/>
        <v>0</v>
      </c>
      <c r="EF194" s="1154">
        <f t="shared" si="652"/>
        <v>0</v>
      </c>
      <c r="EG194" s="1154">
        <f t="shared" si="653"/>
        <v>0</v>
      </c>
      <c r="EH194" s="1154">
        <f t="shared" si="654"/>
        <v>5877.4649348738085</v>
      </c>
      <c r="EI194" s="1154">
        <f t="shared" si="655"/>
        <v>0</v>
      </c>
      <c r="EJ194" s="1154">
        <f t="shared" si="656"/>
        <v>0</v>
      </c>
      <c r="EK194" s="1154">
        <f t="shared" si="657"/>
        <v>0</v>
      </c>
      <c r="EL194" s="1154">
        <f t="shared" si="658"/>
        <v>0</v>
      </c>
      <c r="EM194" s="1154">
        <f t="shared" si="659"/>
        <v>0</v>
      </c>
      <c r="EN194" s="1154">
        <f t="shared" si="660"/>
        <v>0</v>
      </c>
      <c r="EO194" s="1154">
        <f t="shared" si="661"/>
        <v>4146.6656634096744</v>
      </c>
      <c r="EP194" s="1154">
        <f t="shared" si="662"/>
        <v>0</v>
      </c>
      <c r="EQ194" s="1154">
        <f t="shared" si="663"/>
        <v>0</v>
      </c>
      <c r="ER194" s="1154">
        <f t="shared" si="664"/>
        <v>0</v>
      </c>
      <c r="ES194" s="1154">
        <f t="shared" si="665"/>
        <v>0</v>
      </c>
      <c r="ET194" s="1154">
        <f t="shared" si="666"/>
        <v>0</v>
      </c>
      <c r="EU194" s="1154">
        <f t="shared" si="667"/>
        <v>0</v>
      </c>
      <c r="EV194" s="1154">
        <f t="shared" si="668"/>
        <v>0</v>
      </c>
      <c r="EW194" s="1154">
        <f t="shared" si="669"/>
        <v>0</v>
      </c>
      <c r="EX194" s="1154">
        <f t="shared" si="670"/>
        <v>0</v>
      </c>
      <c r="EY194" s="1154">
        <f t="shared" si="671"/>
        <v>0</v>
      </c>
      <c r="EZ194" s="1154">
        <f t="shared" si="672"/>
        <v>0</v>
      </c>
      <c r="FA194" s="1174">
        <f t="shared" si="723"/>
        <v>11248.635900317768</v>
      </c>
      <c r="FC194" s="1154">
        <f t="shared" si="674"/>
        <v>1224.5053020342848</v>
      </c>
      <c r="FD194" s="1154">
        <f t="shared" si="675"/>
        <v>0</v>
      </c>
      <c r="FE194" s="1154">
        <f t="shared" si="676"/>
        <v>0</v>
      </c>
      <c r="FF194" s="1154">
        <f t="shared" si="677"/>
        <v>0</v>
      </c>
      <c r="FG194" s="1154">
        <f t="shared" si="678"/>
        <v>0</v>
      </c>
      <c r="FH194" s="1154">
        <f t="shared" si="679"/>
        <v>0</v>
      </c>
      <c r="FI194" s="1154">
        <f t="shared" si="680"/>
        <v>0</v>
      </c>
      <c r="FJ194" s="1154">
        <f t="shared" si="681"/>
        <v>0</v>
      </c>
      <c r="FK194" s="1154">
        <f t="shared" si="682"/>
        <v>0</v>
      </c>
      <c r="FL194" s="1154">
        <f t="shared" si="683"/>
        <v>0</v>
      </c>
      <c r="FM194" s="1154">
        <f t="shared" si="684"/>
        <v>0</v>
      </c>
      <c r="FN194" s="1154">
        <f t="shared" si="685"/>
        <v>0</v>
      </c>
      <c r="FO194" s="1154">
        <f t="shared" si="686"/>
        <v>0</v>
      </c>
      <c r="FP194" s="1154">
        <f t="shared" si="687"/>
        <v>0</v>
      </c>
      <c r="FQ194" s="1154">
        <f t="shared" si="688"/>
        <v>0</v>
      </c>
      <c r="FR194" s="1154">
        <f t="shared" si="689"/>
        <v>0</v>
      </c>
      <c r="FS194" s="1154">
        <f t="shared" si="690"/>
        <v>5827.3159166581609</v>
      </c>
      <c r="FT194" s="1154">
        <f t="shared" si="691"/>
        <v>0</v>
      </c>
      <c r="FU194" s="1154">
        <f t="shared" si="692"/>
        <v>0</v>
      </c>
      <c r="FV194" s="1154">
        <f t="shared" si="693"/>
        <v>0</v>
      </c>
      <c r="FW194" s="1154">
        <f t="shared" si="694"/>
        <v>0</v>
      </c>
      <c r="FX194" s="1154">
        <f t="shared" si="695"/>
        <v>0</v>
      </c>
      <c r="FY194" s="1154">
        <f t="shared" si="696"/>
        <v>0</v>
      </c>
      <c r="FZ194" s="1154">
        <f t="shared" si="697"/>
        <v>5440.5781350838915</v>
      </c>
      <c r="GA194" s="1154">
        <f t="shared" si="698"/>
        <v>0</v>
      </c>
      <c r="GB194" s="1154">
        <f t="shared" si="699"/>
        <v>0</v>
      </c>
      <c r="GC194" s="1154">
        <f t="shared" si="700"/>
        <v>0</v>
      </c>
      <c r="GD194" s="1154">
        <f t="shared" si="701"/>
        <v>0</v>
      </c>
      <c r="GE194" s="1154">
        <f t="shared" si="702"/>
        <v>0</v>
      </c>
      <c r="GF194" s="1154">
        <f t="shared" si="703"/>
        <v>0</v>
      </c>
      <c r="GG194" s="1154">
        <f t="shared" si="704"/>
        <v>0</v>
      </c>
      <c r="GH194" s="1154">
        <f t="shared" si="705"/>
        <v>0</v>
      </c>
      <c r="GI194" s="1154">
        <f t="shared" si="706"/>
        <v>0</v>
      </c>
      <c r="GJ194" s="1154">
        <f t="shared" si="707"/>
        <v>0</v>
      </c>
      <c r="GK194" s="1154">
        <f t="shared" si="708"/>
        <v>0</v>
      </c>
      <c r="GL194" s="1174">
        <f t="shared" si="724"/>
        <v>12492.399353776338</v>
      </c>
    </row>
    <row r="195" spans="1:194">
      <c r="B195" s="1290" t="str">
        <f t="shared" si="722"/>
        <v>SACDUOSWRDEM</v>
      </c>
      <c r="C195" s="1289" t="str">
        <f>Prop2021DUOSTariffs!C87</f>
        <v>West SAC&lt;100MWhpa Residential TOU Demand</v>
      </c>
      <c r="D195" s="1113" t="str">
        <f>Prop2021DUOSTariffs!D87</f>
        <v>West SAC&lt;100MWhpa Residential TOU Demand</v>
      </c>
      <c r="E195" s="1113" t="str">
        <f>Prop2021DUOSTariffs!E87</f>
        <v>SAC</v>
      </c>
      <c r="F195" s="1113" t="str">
        <f>Prop2021DUOSTariffs!F87</f>
        <v>SACS Res</v>
      </c>
      <c r="G195" s="1113" t="str">
        <f>Prop2021DUOSTariffs!G87</f>
        <v>West</v>
      </c>
      <c r="H195" s="1113" t="str">
        <f>Prop2021DUOSTariffs!H87</f>
        <v>WRDEM</v>
      </c>
      <c r="I195" s="1114" t="s">
        <v>798</v>
      </c>
      <c r="J195" s="1114" t="s">
        <v>934</v>
      </c>
      <c r="K195" s="1270"/>
      <c r="L195" s="1233">
        <v>2.0924400000000006E-2</v>
      </c>
      <c r="M195" s="1007"/>
      <c r="N195" s="1007"/>
      <c r="O195" s="1007"/>
      <c r="P195" s="1007"/>
      <c r="Q195" s="1007"/>
      <c r="R195" s="1007"/>
      <c r="S195" s="1007"/>
      <c r="T195" s="1007"/>
      <c r="U195" s="1007"/>
      <c r="V195" s="1007"/>
      <c r="W195" s="1007"/>
      <c r="X195" s="1007"/>
      <c r="Y195" s="1007"/>
      <c r="Z195" s="1007"/>
      <c r="AA195" s="1007"/>
      <c r="AB195" s="1233">
        <v>0.46933792312105571</v>
      </c>
      <c r="AC195" s="1007"/>
      <c r="AD195" s="1007"/>
      <c r="AE195" s="1007"/>
      <c r="AF195" s="1007"/>
      <c r="AG195" s="1007"/>
      <c r="AH195" s="1007"/>
      <c r="AI195" s="1233">
        <v>1.0544881443151606E-2</v>
      </c>
      <c r="AJ195" s="1005"/>
      <c r="AK195" s="1005"/>
      <c r="AL195" s="1005"/>
      <c r="AM195" s="1005"/>
      <c r="AN195" s="1005"/>
      <c r="AO195" s="1005"/>
      <c r="AP195" s="1005"/>
      <c r="AQ195" s="1005"/>
      <c r="AR195" s="1005"/>
      <c r="AS195" s="1005"/>
      <c r="AT195" s="1005"/>
      <c r="AU195" s="1006"/>
      <c r="AV195" s="1270"/>
      <c r="AW195" s="1480">
        <v>1.9740000000000004E-2</v>
      </c>
      <c r="AX195" s="1006"/>
      <c r="AY195" s="1006"/>
      <c r="AZ195" s="1006"/>
      <c r="BA195" s="1006"/>
      <c r="BB195" s="1006"/>
      <c r="BC195" s="1006"/>
      <c r="BD195" s="1006"/>
      <c r="BE195" s="1006"/>
      <c r="BF195" s="1006"/>
      <c r="BG195" s="1006"/>
      <c r="BH195" s="1006"/>
      <c r="BI195" s="1006"/>
      <c r="BJ195" s="1006"/>
      <c r="BK195" s="1006"/>
      <c r="BL195" s="1006"/>
      <c r="BM195" s="1480">
        <v>0.46533333333333338</v>
      </c>
      <c r="BN195" s="1006"/>
      <c r="BO195" s="1006"/>
      <c r="BP195" s="1006"/>
      <c r="BQ195" s="1006"/>
      <c r="BR195" s="1006"/>
      <c r="BS195" s="1006"/>
      <c r="BT195" s="1480">
        <v>7.6058147926043795E-3</v>
      </c>
      <c r="BU195" s="1006"/>
      <c r="BV195" s="1006"/>
      <c r="BW195" s="1006"/>
      <c r="BX195" s="1006"/>
      <c r="BY195" s="1006"/>
      <c r="BZ195" s="1006"/>
      <c r="CA195" s="1006"/>
      <c r="CB195" s="1006"/>
      <c r="CC195" s="1006"/>
      <c r="CD195" s="1006"/>
      <c r="CE195" s="1006"/>
      <c r="CF195" s="1006"/>
      <c r="CG195" s="1209"/>
      <c r="CH195" s="1236">
        <v>56.805790393800343</v>
      </c>
      <c r="CI195" s="1007"/>
      <c r="CJ195" s="1007"/>
      <c r="CK195" s="1007"/>
      <c r="CL195" s="1007"/>
      <c r="CM195" s="1007"/>
      <c r="CN195" s="1007"/>
      <c r="CO195" s="1007"/>
      <c r="CP195" s="1007"/>
      <c r="CQ195" s="1007"/>
      <c r="CR195" s="1007"/>
      <c r="CS195" s="1007"/>
      <c r="CT195" s="1007"/>
      <c r="CU195" s="1007"/>
      <c r="CV195" s="1007"/>
      <c r="CW195" s="1007"/>
      <c r="CX195" s="1236">
        <v>2968.1987377780351</v>
      </c>
      <c r="CY195" s="1007"/>
      <c r="CZ195" s="1007"/>
      <c r="DA195" s="1007"/>
      <c r="DB195" s="1007"/>
      <c r="DC195" s="1007"/>
      <c r="DD195" s="1007"/>
      <c r="DE195" s="1236">
        <v>594695.21692467597</v>
      </c>
      <c r="DF195" s="1007"/>
      <c r="DG195" s="1007"/>
      <c r="DH195" s="1007"/>
      <c r="DI195" s="1006"/>
      <c r="DJ195" s="1006"/>
      <c r="DK195" s="1007"/>
      <c r="DL195" s="1007"/>
      <c r="DM195" s="1007"/>
      <c r="DN195" s="1007"/>
      <c r="DO195" s="1112"/>
      <c r="DP195" s="1112"/>
      <c r="DQ195" s="1270"/>
      <c r="DR195" s="1154">
        <f t="shared" si="638"/>
        <v>433.84888438835321</v>
      </c>
      <c r="DS195" s="1154">
        <f t="shared" si="639"/>
        <v>0</v>
      </c>
      <c r="DT195" s="1154">
        <f t="shared" si="640"/>
        <v>0</v>
      </c>
      <c r="DU195" s="1154">
        <f t="shared" si="641"/>
        <v>0</v>
      </c>
      <c r="DV195" s="1154">
        <f t="shared" si="642"/>
        <v>0</v>
      </c>
      <c r="DW195" s="1154">
        <f t="shared" si="643"/>
        <v>0</v>
      </c>
      <c r="DX195" s="1154">
        <f t="shared" si="644"/>
        <v>0</v>
      </c>
      <c r="DY195" s="1154">
        <f t="shared" si="645"/>
        <v>0</v>
      </c>
      <c r="DZ195" s="1154">
        <f t="shared" si="646"/>
        <v>0</v>
      </c>
      <c r="EA195" s="1154">
        <f t="shared" si="647"/>
        <v>0</v>
      </c>
      <c r="EB195" s="1154">
        <f t="shared" si="648"/>
        <v>0</v>
      </c>
      <c r="EC195" s="1154">
        <f t="shared" si="649"/>
        <v>0</v>
      </c>
      <c r="ED195" s="1154">
        <f t="shared" si="650"/>
        <v>0</v>
      </c>
      <c r="EE195" s="1154">
        <f t="shared" si="651"/>
        <v>0</v>
      </c>
      <c r="EF195" s="1154">
        <f t="shared" si="652"/>
        <v>0</v>
      </c>
      <c r="EG195" s="1154">
        <f t="shared" si="653"/>
        <v>0</v>
      </c>
      <c r="EH195" s="1154">
        <f t="shared" si="654"/>
        <v>1393.0882309992821</v>
      </c>
      <c r="EI195" s="1154">
        <f t="shared" si="655"/>
        <v>0</v>
      </c>
      <c r="EJ195" s="1154">
        <f t="shared" si="656"/>
        <v>0</v>
      </c>
      <c r="EK195" s="1154">
        <f t="shared" si="657"/>
        <v>0</v>
      </c>
      <c r="EL195" s="1154">
        <f t="shared" si="658"/>
        <v>0</v>
      </c>
      <c r="EM195" s="1154">
        <f t="shared" si="659"/>
        <v>0</v>
      </c>
      <c r="EN195" s="1154">
        <f t="shared" si="660"/>
        <v>0</v>
      </c>
      <c r="EO195" s="1154">
        <f t="shared" si="661"/>
        <v>6270.9905572800344</v>
      </c>
      <c r="EP195" s="1154">
        <f t="shared" si="662"/>
        <v>0</v>
      </c>
      <c r="EQ195" s="1154">
        <f t="shared" si="663"/>
        <v>0</v>
      </c>
      <c r="ER195" s="1154">
        <f t="shared" si="664"/>
        <v>0</v>
      </c>
      <c r="ES195" s="1154">
        <f t="shared" si="665"/>
        <v>0</v>
      </c>
      <c r="ET195" s="1154">
        <f t="shared" si="666"/>
        <v>0</v>
      </c>
      <c r="EU195" s="1154">
        <f t="shared" si="667"/>
        <v>0</v>
      </c>
      <c r="EV195" s="1154">
        <f t="shared" si="668"/>
        <v>0</v>
      </c>
      <c r="EW195" s="1154">
        <f t="shared" si="669"/>
        <v>0</v>
      </c>
      <c r="EX195" s="1154">
        <f t="shared" si="670"/>
        <v>0</v>
      </c>
      <c r="EY195" s="1154">
        <f t="shared" si="671"/>
        <v>0</v>
      </c>
      <c r="EZ195" s="1154">
        <f t="shared" si="672"/>
        <v>0</v>
      </c>
      <c r="FA195" s="1174">
        <f t="shared" si="723"/>
        <v>8097.9276726676699</v>
      </c>
      <c r="FC195" s="1154">
        <f t="shared" si="674"/>
        <v>409.29140036637091</v>
      </c>
      <c r="FD195" s="1154">
        <f t="shared" si="675"/>
        <v>0</v>
      </c>
      <c r="FE195" s="1154">
        <f t="shared" si="676"/>
        <v>0</v>
      </c>
      <c r="FF195" s="1154">
        <f t="shared" si="677"/>
        <v>0</v>
      </c>
      <c r="FG195" s="1154">
        <f t="shared" si="678"/>
        <v>0</v>
      </c>
      <c r="FH195" s="1154">
        <f t="shared" si="679"/>
        <v>0</v>
      </c>
      <c r="FI195" s="1154">
        <f t="shared" si="680"/>
        <v>0</v>
      </c>
      <c r="FJ195" s="1154">
        <f t="shared" si="681"/>
        <v>0</v>
      </c>
      <c r="FK195" s="1154">
        <f t="shared" si="682"/>
        <v>0</v>
      </c>
      <c r="FL195" s="1154">
        <f t="shared" si="683"/>
        <v>0</v>
      </c>
      <c r="FM195" s="1154">
        <f t="shared" si="684"/>
        <v>0</v>
      </c>
      <c r="FN195" s="1154">
        <f t="shared" si="685"/>
        <v>0</v>
      </c>
      <c r="FO195" s="1154">
        <f t="shared" si="686"/>
        <v>0</v>
      </c>
      <c r="FP195" s="1154">
        <f t="shared" si="687"/>
        <v>0</v>
      </c>
      <c r="FQ195" s="1154">
        <f t="shared" si="688"/>
        <v>0</v>
      </c>
      <c r="FR195" s="1154">
        <f t="shared" si="689"/>
        <v>0</v>
      </c>
      <c r="FS195" s="1154">
        <f t="shared" si="690"/>
        <v>1381.2018126460457</v>
      </c>
      <c r="FT195" s="1154">
        <f t="shared" si="691"/>
        <v>0</v>
      </c>
      <c r="FU195" s="1154">
        <f t="shared" si="692"/>
        <v>0</v>
      </c>
      <c r="FV195" s="1154">
        <f t="shared" si="693"/>
        <v>0</v>
      </c>
      <c r="FW195" s="1154">
        <f t="shared" si="694"/>
        <v>0</v>
      </c>
      <c r="FX195" s="1154">
        <f t="shared" si="695"/>
        <v>0</v>
      </c>
      <c r="FY195" s="1154">
        <f t="shared" si="696"/>
        <v>0</v>
      </c>
      <c r="FZ195" s="1154">
        <f t="shared" si="697"/>
        <v>4523.1416779767706</v>
      </c>
      <c r="GA195" s="1154">
        <f t="shared" si="698"/>
        <v>0</v>
      </c>
      <c r="GB195" s="1154">
        <f t="shared" si="699"/>
        <v>0</v>
      </c>
      <c r="GC195" s="1154">
        <f t="shared" si="700"/>
        <v>0</v>
      </c>
      <c r="GD195" s="1154">
        <f t="shared" si="701"/>
        <v>0</v>
      </c>
      <c r="GE195" s="1154">
        <f t="shared" si="702"/>
        <v>0</v>
      </c>
      <c r="GF195" s="1154">
        <f t="shared" si="703"/>
        <v>0</v>
      </c>
      <c r="GG195" s="1154">
        <f t="shared" si="704"/>
        <v>0</v>
      </c>
      <c r="GH195" s="1154">
        <f t="shared" si="705"/>
        <v>0</v>
      </c>
      <c r="GI195" s="1154">
        <f t="shared" si="706"/>
        <v>0</v>
      </c>
      <c r="GJ195" s="1154">
        <f t="shared" si="707"/>
        <v>0</v>
      </c>
      <c r="GK195" s="1154">
        <f t="shared" si="708"/>
        <v>0</v>
      </c>
      <c r="GL195" s="1174">
        <f t="shared" si="724"/>
        <v>6313.6348909891876</v>
      </c>
    </row>
    <row r="196" spans="1:194">
      <c r="B196" s="1290" t="str">
        <f t="shared" si="722"/>
        <v>SACDUOSWRDEM</v>
      </c>
      <c r="C196" s="1289" t="str">
        <f>C195</f>
        <v>West SAC&lt;100MWhpa Residential TOU Demand</v>
      </c>
      <c r="D196" s="1113" t="str">
        <f t="shared" ref="D196:H196" si="731">D195</f>
        <v>West SAC&lt;100MWhpa Residential TOU Demand</v>
      </c>
      <c r="E196" s="1113" t="str">
        <f t="shared" si="731"/>
        <v>SAC</v>
      </c>
      <c r="F196" s="1113" t="str">
        <f t="shared" si="731"/>
        <v>SACS Res</v>
      </c>
      <c r="G196" s="1113" t="str">
        <f t="shared" si="731"/>
        <v>West</v>
      </c>
      <c r="H196" s="1113" t="str">
        <f t="shared" si="731"/>
        <v>WRDEM</v>
      </c>
      <c r="I196" s="1114" t="s">
        <v>752</v>
      </c>
      <c r="J196" s="1114" t="s">
        <v>934</v>
      </c>
      <c r="K196" s="1270"/>
      <c r="L196" s="1233">
        <v>3.4890450000000003E-2</v>
      </c>
      <c r="M196" s="1007"/>
      <c r="N196" s="1007"/>
      <c r="O196" s="1007"/>
      <c r="P196" s="1007"/>
      <c r="Q196" s="1007"/>
      <c r="R196" s="1007"/>
      <c r="S196" s="1007"/>
      <c r="T196" s="1007"/>
      <c r="U196" s="1007"/>
      <c r="V196" s="1007"/>
      <c r="W196" s="1007"/>
      <c r="X196" s="1007"/>
      <c r="Y196" s="1007"/>
      <c r="Z196" s="1007"/>
      <c r="AA196" s="1007"/>
      <c r="AB196" s="1233">
        <v>1.0640791738382098</v>
      </c>
      <c r="AC196" s="1007"/>
      <c r="AD196" s="1007"/>
      <c r="AE196" s="1007"/>
      <c r="AF196" s="1007"/>
      <c r="AG196" s="1007"/>
      <c r="AH196" s="1007"/>
      <c r="AI196" s="1233">
        <v>1.1118059898008639E-2</v>
      </c>
      <c r="AJ196" s="1005"/>
      <c r="AK196" s="1005"/>
      <c r="AL196" s="1005"/>
      <c r="AM196" s="1005"/>
      <c r="AN196" s="1005"/>
      <c r="AO196" s="1005"/>
      <c r="AP196" s="1005"/>
      <c r="AQ196" s="1005"/>
      <c r="AR196" s="1005"/>
      <c r="AS196" s="1005"/>
      <c r="AT196" s="1005"/>
      <c r="AU196" s="1006"/>
      <c r="AV196" s="1270"/>
      <c r="AW196" s="1480">
        <v>3.4544999999999999E-2</v>
      </c>
      <c r="AX196" s="1006"/>
      <c r="AY196" s="1006"/>
      <c r="AZ196" s="1006"/>
      <c r="BA196" s="1006"/>
      <c r="BB196" s="1006"/>
      <c r="BC196" s="1006"/>
      <c r="BD196" s="1006"/>
      <c r="BE196" s="1006"/>
      <c r="BF196" s="1006"/>
      <c r="BG196" s="1006"/>
      <c r="BH196" s="1006"/>
      <c r="BI196" s="1006"/>
      <c r="BJ196" s="1006"/>
      <c r="BK196" s="1006"/>
      <c r="BL196" s="1006"/>
      <c r="BM196" s="1480">
        <v>1.0549999999999999</v>
      </c>
      <c r="BN196" s="1006"/>
      <c r="BO196" s="1006"/>
      <c r="BP196" s="1006"/>
      <c r="BQ196" s="1006"/>
      <c r="BR196" s="1006"/>
      <c r="BS196" s="1006"/>
      <c r="BT196" s="1480">
        <v>1.0692073223663293E-2</v>
      </c>
      <c r="BU196" s="1006"/>
      <c r="BV196" s="1006"/>
      <c r="BW196" s="1006"/>
      <c r="BX196" s="1006"/>
      <c r="BY196" s="1006"/>
      <c r="BZ196" s="1006"/>
      <c r="CA196" s="1006"/>
      <c r="CB196" s="1006"/>
      <c r="CC196" s="1006"/>
      <c r="CD196" s="1006"/>
      <c r="CE196" s="1006"/>
      <c r="CF196" s="1006"/>
      <c r="CG196" s="1209"/>
      <c r="CH196" s="1236">
        <v>14.108928436328863</v>
      </c>
      <c r="CI196" s="1007"/>
      <c r="CJ196" s="1007"/>
      <c r="CK196" s="1007"/>
      <c r="CL196" s="1007"/>
      <c r="CM196" s="1007"/>
      <c r="CN196" s="1007"/>
      <c r="CO196" s="1007"/>
      <c r="CP196" s="1007"/>
      <c r="CQ196" s="1007"/>
      <c r="CR196" s="1007"/>
      <c r="CS196" s="1007"/>
      <c r="CT196" s="1007"/>
      <c r="CU196" s="1007"/>
      <c r="CV196" s="1007"/>
      <c r="CW196" s="1007"/>
      <c r="CX196" s="1236">
        <v>737.21540156023332</v>
      </c>
      <c r="CY196" s="1007"/>
      <c r="CZ196" s="1007"/>
      <c r="DA196" s="1007"/>
      <c r="DB196" s="1007"/>
      <c r="DC196" s="1007"/>
      <c r="DD196" s="1007"/>
      <c r="DE196" s="1236">
        <v>147705.22861931773</v>
      </c>
      <c r="DF196" s="1007"/>
      <c r="DG196" s="1007"/>
      <c r="DH196" s="1007"/>
      <c r="DI196" s="1006"/>
      <c r="DJ196" s="1006"/>
      <c r="DK196" s="1007"/>
      <c r="DL196" s="1007"/>
      <c r="DM196" s="1007"/>
      <c r="DN196" s="1007"/>
      <c r="DO196" s="1112"/>
      <c r="DP196" s="1112"/>
      <c r="DQ196" s="1270"/>
      <c r="DR196" s="1154">
        <f t="shared" si="638"/>
        <v>179.67740468887831</v>
      </c>
      <c r="DS196" s="1154">
        <f t="shared" si="639"/>
        <v>0</v>
      </c>
      <c r="DT196" s="1154">
        <f t="shared" si="640"/>
        <v>0</v>
      </c>
      <c r="DU196" s="1154">
        <f t="shared" si="641"/>
        <v>0</v>
      </c>
      <c r="DV196" s="1154">
        <f t="shared" si="642"/>
        <v>0</v>
      </c>
      <c r="DW196" s="1154">
        <f t="shared" si="643"/>
        <v>0</v>
      </c>
      <c r="DX196" s="1154">
        <f t="shared" si="644"/>
        <v>0</v>
      </c>
      <c r="DY196" s="1154">
        <f t="shared" si="645"/>
        <v>0</v>
      </c>
      <c r="DZ196" s="1154">
        <f t="shared" si="646"/>
        <v>0</v>
      </c>
      <c r="EA196" s="1154">
        <f t="shared" si="647"/>
        <v>0</v>
      </c>
      <c r="EB196" s="1154">
        <f t="shared" si="648"/>
        <v>0</v>
      </c>
      <c r="EC196" s="1154">
        <f t="shared" si="649"/>
        <v>0</v>
      </c>
      <c r="ED196" s="1154">
        <f t="shared" si="650"/>
        <v>0</v>
      </c>
      <c r="EE196" s="1154">
        <f t="shared" si="651"/>
        <v>0</v>
      </c>
      <c r="EF196" s="1154">
        <f t="shared" si="652"/>
        <v>0</v>
      </c>
      <c r="EG196" s="1154">
        <f t="shared" si="653"/>
        <v>0</v>
      </c>
      <c r="EH196" s="1154">
        <f t="shared" si="654"/>
        <v>784.45555543301714</v>
      </c>
      <c r="EI196" s="1154">
        <f t="shared" si="655"/>
        <v>0</v>
      </c>
      <c r="EJ196" s="1154">
        <f t="shared" si="656"/>
        <v>0</v>
      </c>
      <c r="EK196" s="1154">
        <f t="shared" si="657"/>
        <v>0</v>
      </c>
      <c r="EL196" s="1154">
        <f t="shared" si="658"/>
        <v>0</v>
      </c>
      <c r="EM196" s="1154">
        <f t="shared" si="659"/>
        <v>0</v>
      </c>
      <c r="EN196" s="1154">
        <f t="shared" si="660"/>
        <v>0</v>
      </c>
      <c r="EO196" s="1154">
        <f t="shared" si="661"/>
        <v>1642.1955790386344</v>
      </c>
      <c r="EP196" s="1154">
        <f t="shared" si="662"/>
        <v>0</v>
      </c>
      <c r="EQ196" s="1154">
        <f t="shared" si="663"/>
        <v>0</v>
      </c>
      <c r="ER196" s="1154">
        <f t="shared" si="664"/>
        <v>0</v>
      </c>
      <c r="ES196" s="1154">
        <f t="shared" si="665"/>
        <v>0</v>
      </c>
      <c r="ET196" s="1154">
        <f t="shared" si="666"/>
        <v>0</v>
      </c>
      <c r="EU196" s="1154">
        <f t="shared" si="667"/>
        <v>0</v>
      </c>
      <c r="EV196" s="1154">
        <f t="shared" si="668"/>
        <v>0</v>
      </c>
      <c r="EW196" s="1154">
        <f t="shared" si="669"/>
        <v>0</v>
      </c>
      <c r="EX196" s="1154">
        <f t="shared" si="670"/>
        <v>0</v>
      </c>
      <c r="EY196" s="1154">
        <f t="shared" si="671"/>
        <v>0</v>
      </c>
      <c r="EZ196" s="1154">
        <f t="shared" si="672"/>
        <v>0</v>
      </c>
      <c r="FA196" s="1174">
        <f t="shared" si="723"/>
        <v>2606.3285391605295</v>
      </c>
      <c r="FC196" s="1154">
        <f t="shared" si="674"/>
        <v>177.8984204840379</v>
      </c>
      <c r="FD196" s="1154">
        <f t="shared" si="675"/>
        <v>0</v>
      </c>
      <c r="FE196" s="1154">
        <f t="shared" si="676"/>
        <v>0</v>
      </c>
      <c r="FF196" s="1154">
        <f t="shared" si="677"/>
        <v>0</v>
      </c>
      <c r="FG196" s="1154">
        <f t="shared" si="678"/>
        <v>0</v>
      </c>
      <c r="FH196" s="1154">
        <f t="shared" si="679"/>
        <v>0</v>
      </c>
      <c r="FI196" s="1154">
        <f t="shared" si="680"/>
        <v>0</v>
      </c>
      <c r="FJ196" s="1154">
        <f t="shared" si="681"/>
        <v>0</v>
      </c>
      <c r="FK196" s="1154">
        <f t="shared" si="682"/>
        <v>0</v>
      </c>
      <c r="FL196" s="1154">
        <f t="shared" si="683"/>
        <v>0</v>
      </c>
      <c r="FM196" s="1154">
        <f t="shared" si="684"/>
        <v>0</v>
      </c>
      <c r="FN196" s="1154">
        <f t="shared" si="685"/>
        <v>0</v>
      </c>
      <c r="FO196" s="1154">
        <f t="shared" si="686"/>
        <v>0</v>
      </c>
      <c r="FP196" s="1154">
        <f t="shared" si="687"/>
        <v>0</v>
      </c>
      <c r="FQ196" s="1154">
        <f t="shared" si="688"/>
        <v>0</v>
      </c>
      <c r="FR196" s="1154">
        <f t="shared" si="689"/>
        <v>0</v>
      </c>
      <c r="FS196" s="1154">
        <f t="shared" si="690"/>
        <v>777.76224864604615</v>
      </c>
      <c r="FT196" s="1154">
        <f t="shared" si="691"/>
        <v>0</v>
      </c>
      <c r="FU196" s="1154">
        <f t="shared" si="692"/>
        <v>0</v>
      </c>
      <c r="FV196" s="1154">
        <f t="shared" si="693"/>
        <v>0</v>
      </c>
      <c r="FW196" s="1154">
        <f t="shared" si="694"/>
        <v>0</v>
      </c>
      <c r="FX196" s="1154">
        <f t="shared" si="695"/>
        <v>0</v>
      </c>
      <c r="FY196" s="1154">
        <f t="shared" si="696"/>
        <v>0</v>
      </c>
      <c r="FZ196" s="1154">
        <f t="shared" si="697"/>
        <v>1579.2751199156721</v>
      </c>
      <c r="GA196" s="1154">
        <f t="shared" si="698"/>
        <v>0</v>
      </c>
      <c r="GB196" s="1154">
        <f t="shared" si="699"/>
        <v>0</v>
      </c>
      <c r="GC196" s="1154">
        <f t="shared" si="700"/>
        <v>0</v>
      </c>
      <c r="GD196" s="1154">
        <f t="shared" si="701"/>
        <v>0</v>
      </c>
      <c r="GE196" s="1154">
        <f t="shared" si="702"/>
        <v>0</v>
      </c>
      <c r="GF196" s="1154">
        <f t="shared" si="703"/>
        <v>0</v>
      </c>
      <c r="GG196" s="1154">
        <f t="shared" si="704"/>
        <v>0</v>
      </c>
      <c r="GH196" s="1154">
        <f t="shared" si="705"/>
        <v>0</v>
      </c>
      <c r="GI196" s="1154">
        <f t="shared" si="706"/>
        <v>0</v>
      </c>
      <c r="GJ196" s="1154">
        <f t="shared" si="707"/>
        <v>0</v>
      </c>
      <c r="GK196" s="1154">
        <f t="shared" si="708"/>
        <v>0</v>
      </c>
      <c r="GL196" s="1174">
        <f t="shared" si="724"/>
        <v>2534.9357890457559</v>
      </c>
    </row>
    <row r="197" spans="1:194">
      <c r="B197" s="1290" t="str">
        <f t="shared" si="722"/>
        <v>SACDUOSWRDEM</v>
      </c>
      <c r="C197" s="1289" t="str">
        <f t="shared" ref="C197:H197" si="732">C196</f>
        <v>West SAC&lt;100MWhpa Residential TOU Demand</v>
      </c>
      <c r="D197" s="1113" t="str">
        <f t="shared" si="732"/>
        <v>West SAC&lt;100MWhpa Residential TOU Demand</v>
      </c>
      <c r="E197" s="1113" t="str">
        <f t="shared" si="732"/>
        <v>SAC</v>
      </c>
      <c r="F197" s="1113" t="str">
        <f t="shared" si="732"/>
        <v>SACS Res</v>
      </c>
      <c r="G197" s="1113" t="str">
        <f t="shared" si="732"/>
        <v>West</v>
      </c>
      <c r="H197" s="1113" t="str">
        <f t="shared" si="732"/>
        <v>WRDEM</v>
      </c>
      <c r="I197" s="1114" t="s">
        <v>759</v>
      </c>
      <c r="J197" s="1114" t="s">
        <v>934</v>
      </c>
      <c r="K197" s="1270"/>
      <c r="L197" s="1233">
        <v>5.6456399999999997E-2</v>
      </c>
      <c r="M197" s="1007"/>
      <c r="N197" s="1007"/>
      <c r="O197" s="1007"/>
      <c r="P197" s="1007"/>
      <c r="Q197" s="1007"/>
      <c r="R197" s="1007"/>
      <c r="S197" s="1007"/>
      <c r="T197" s="1007"/>
      <c r="U197" s="1007"/>
      <c r="V197" s="1007"/>
      <c r="W197" s="1007"/>
      <c r="X197" s="1007"/>
      <c r="Y197" s="1007"/>
      <c r="Z197" s="1007"/>
      <c r="AA197" s="1007"/>
      <c r="AB197" s="1233">
        <v>2.0602455536431443</v>
      </c>
      <c r="AC197" s="1007"/>
      <c r="AD197" s="1007"/>
      <c r="AE197" s="1007"/>
      <c r="AF197" s="1007"/>
      <c r="AG197" s="1007"/>
      <c r="AH197" s="1007"/>
      <c r="AI197" s="1233">
        <v>9.0017455877270149E-3</v>
      </c>
      <c r="AJ197" s="1005"/>
      <c r="AK197" s="1005"/>
      <c r="AL197" s="1005"/>
      <c r="AM197" s="1005"/>
      <c r="AN197" s="1005"/>
      <c r="AO197" s="1005"/>
      <c r="AP197" s="1005"/>
      <c r="AQ197" s="1005"/>
      <c r="AR197" s="1005"/>
      <c r="AS197" s="1005"/>
      <c r="AT197" s="1005"/>
      <c r="AU197" s="1006"/>
      <c r="AV197" s="1270"/>
      <c r="AW197" s="1480">
        <v>5.6456399999999997E-2</v>
      </c>
      <c r="AX197" s="1006"/>
      <c r="AY197" s="1006"/>
      <c r="AZ197" s="1006"/>
      <c r="BA197" s="1006"/>
      <c r="BB197" s="1006"/>
      <c r="BC197" s="1006"/>
      <c r="BD197" s="1006"/>
      <c r="BE197" s="1006"/>
      <c r="BF197" s="1006"/>
      <c r="BG197" s="1006"/>
      <c r="BH197" s="1006"/>
      <c r="BI197" s="1006"/>
      <c r="BJ197" s="1006"/>
      <c r="BK197" s="1006"/>
      <c r="BL197" s="1006"/>
      <c r="BM197" s="1480">
        <v>2.0426666666666669</v>
      </c>
      <c r="BN197" s="1006"/>
      <c r="BO197" s="1006"/>
      <c r="BP197" s="1006"/>
      <c r="BQ197" s="1006"/>
      <c r="BR197" s="1006"/>
      <c r="BS197" s="1006"/>
      <c r="BT197" s="1480">
        <v>1.1810621882137735E-2</v>
      </c>
      <c r="BU197" s="1006"/>
      <c r="BV197" s="1006"/>
      <c r="BW197" s="1006"/>
      <c r="BX197" s="1006"/>
      <c r="BY197" s="1006"/>
      <c r="BZ197" s="1006"/>
      <c r="CA197" s="1006"/>
      <c r="CB197" s="1006"/>
      <c r="CC197" s="1006"/>
      <c r="CD197" s="1006"/>
      <c r="CE197" s="1006"/>
      <c r="CF197" s="1006"/>
      <c r="CG197" s="1209"/>
      <c r="CH197" s="1236">
        <v>2.9052811698707814</v>
      </c>
      <c r="CI197" s="1007"/>
      <c r="CJ197" s="1007"/>
      <c r="CK197" s="1007"/>
      <c r="CL197" s="1007"/>
      <c r="CM197" s="1007"/>
      <c r="CN197" s="1007"/>
      <c r="CO197" s="1007"/>
      <c r="CP197" s="1007"/>
      <c r="CQ197" s="1007"/>
      <c r="CR197" s="1007"/>
      <c r="CS197" s="1007"/>
      <c r="CT197" s="1007"/>
      <c r="CU197" s="1007"/>
      <c r="CV197" s="1007"/>
      <c r="CW197" s="1007"/>
      <c r="CX197" s="1236">
        <v>151.80586066173092</v>
      </c>
      <c r="CY197" s="1007"/>
      <c r="CZ197" s="1007"/>
      <c r="DA197" s="1007"/>
      <c r="DB197" s="1007"/>
      <c r="DC197" s="1007"/>
      <c r="DD197" s="1007"/>
      <c r="DE197" s="1236">
        <v>30415.153166006192</v>
      </c>
      <c r="DF197" s="1007"/>
      <c r="DG197" s="1007"/>
      <c r="DH197" s="1007"/>
      <c r="DI197" s="1006"/>
      <c r="DJ197" s="1006"/>
      <c r="DK197" s="1007"/>
      <c r="DL197" s="1007"/>
      <c r="DM197" s="1007"/>
      <c r="DN197" s="1007"/>
      <c r="DO197" s="1112"/>
      <c r="DP197" s="1112"/>
      <c r="DQ197" s="1270"/>
      <c r="DR197" s="1154">
        <f t="shared" si="638"/>
        <v>59.867926281122863</v>
      </c>
      <c r="DS197" s="1154">
        <f t="shared" si="639"/>
        <v>0</v>
      </c>
      <c r="DT197" s="1154">
        <f t="shared" si="640"/>
        <v>0</v>
      </c>
      <c r="DU197" s="1154">
        <f t="shared" si="641"/>
        <v>0</v>
      </c>
      <c r="DV197" s="1154">
        <f t="shared" si="642"/>
        <v>0</v>
      </c>
      <c r="DW197" s="1154">
        <f t="shared" si="643"/>
        <v>0</v>
      </c>
      <c r="DX197" s="1154">
        <f t="shared" si="644"/>
        <v>0</v>
      </c>
      <c r="DY197" s="1154">
        <f t="shared" si="645"/>
        <v>0</v>
      </c>
      <c r="DZ197" s="1154">
        <f t="shared" si="646"/>
        <v>0</v>
      </c>
      <c r="EA197" s="1154">
        <f t="shared" si="647"/>
        <v>0</v>
      </c>
      <c r="EB197" s="1154">
        <f t="shared" si="648"/>
        <v>0</v>
      </c>
      <c r="EC197" s="1154">
        <f t="shared" si="649"/>
        <v>0</v>
      </c>
      <c r="ED197" s="1154">
        <f t="shared" si="650"/>
        <v>0</v>
      </c>
      <c r="EE197" s="1154">
        <f t="shared" si="651"/>
        <v>0</v>
      </c>
      <c r="EF197" s="1154">
        <f t="shared" si="652"/>
        <v>0</v>
      </c>
      <c r="EG197" s="1154">
        <f t="shared" si="653"/>
        <v>0</v>
      </c>
      <c r="EH197" s="1154">
        <f t="shared" si="654"/>
        <v>312.75734944530183</v>
      </c>
      <c r="EI197" s="1154">
        <f t="shared" si="655"/>
        <v>0</v>
      </c>
      <c r="EJ197" s="1154">
        <f t="shared" si="656"/>
        <v>0</v>
      </c>
      <c r="EK197" s="1154">
        <f t="shared" si="657"/>
        <v>0</v>
      </c>
      <c r="EL197" s="1154">
        <f t="shared" si="658"/>
        <v>0</v>
      </c>
      <c r="EM197" s="1154">
        <f t="shared" si="659"/>
        <v>0</v>
      </c>
      <c r="EN197" s="1154">
        <f t="shared" si="660"/>
        <v>0</v>
      </c>
      <c r="EO197" s="1154">
        <f t="shared" si="661"/>
        <v>273.78947081213761</v>
      </c>
      <c r="EP197" s="1154">
        <f t="shared" si="662"/>
        <v>0</v>
      </c>
      <c r="EQ197" s="1154">
        <f t="shared" si="663"/>
        <v>0</v>
      </c>
      <c r="ER197" s="1154">
        <f t="shared" si="664"/>
        <v>0</v>
      </c>
      <c r="ES197" s="1154">
        <f t="shared" si="665"/>
        <v>0</v>
      </c>
      <c r="ET197" s="1154">
        <f t="shared" si="666"/>
        <v>0</v>
      </c>
      <c r="EU197" s="1154">
        <f t="shared" si="667"/>
        <v>0</v>
      </c>
      <c r="EV197" s="1154">
        <f t="shared" si="668"/>
        <v>0</v>
      </c>
      <c r="EW197" s="1154">
        <f t="shared" si="669"/>
        <v>0</v>
      </c>
      <c r="EX197" s="1154">
        <f t="shared" si="670"/>
        <v>0</v>
      </c>
      <c r="EY197" s="1154">
        <f t="shared" si="671"/>
        <v>0</v>
      </c>
      <c r="EZ197" s="1154">
        <f t="shared" si="672"/>
        <v>0</v>
      </c>
      <c r="FA197" s="1174">
        <f t="shared" si="723"/>
        <v>646.41474653856221</v>
      </c>
      <c r="FC197" s="1154">
        <f t="shared" si="674"/>
        <v>59.867926281122863</v>
      </c>
      <c r="FD197" s="1154">
        <f t="shared" si="675"/>
        <v>0</v>
      </c>
      <c r="FE197" s="1154">
        <f t="shared" si="676"/>
        <v>0</v>
      </c>
      <c r="FF197" s="1154">
        <f t="shared" si="677"/>
        <v>0</v>
      </c>
      <c r="FG197" s="1154">
        <f t="shared" si="678"/>
        <v>0</v>
      </c>
      <c r="FH197" s="1154">
        <f t="shared" si="679"/>
        <v>0</v>
      </c>
      <c r="FI197" s="1154">
        <f t="shared" si="680"/>
        <v>0</v>
      </c>
      <c r="FJ197" s="1154">
        <f t="shared" si="681"/>
        <v>0</v>
      </c>
      <c r="FK197" s="1154">
        <f t="shared" si="682"/>
        <v>0</v>
      </c>
      <c r="FL197" s="1154">
        <f t="shared" si="683"/>
        <v>0</v>
      </c>
      <c r="FM197" s="1154">
        <f t="shared" si="684"/>
        <v>0</v>
      </c>
      <c r="FN197" s="1154">
        <f t="shared" si="685"/>
        <v>0</v>
      </c>
      <c r="FO197" s="1154">
        <f t="shared" si="686"/>
        <v>0</v>
      </c>
      <c r="FP197" s="1154">
        <f t="shared" si="687"/>
        <v>0</v>
      </c>
      <c r="FQ197" s="1154">
        <f t="shared" si="688"/>
        <v>0</v>
      </c>
      <c r="FR197" s="1154">
        <f t="shared" si="689"/>
        <v>0</v>
      </c>
      <c r="FS197" s="1154">
        <f t="shared" si="690"/>
        <v>310.08877137836237</v>
      </c>
      <c r="FT197" s="1154">
        <f t="shared" si="691"/>
        <v>0</v>
      </c>
      <c r="FU197" s="1154">
        <f t="shared" si="692"/>
        <v>0</v>
      </c>
      <c r="FV197" s="1154">
        <f t="shared" si="693"/>
        <v>0</v>
      </c>
      <c r="FW197" s="1154">
        <f t="shared" si="694"/>
        <v>0</v>
      </c>
      <c r="FX197" s="1154">
        <f t="shared" si="695"/>
        <v>0</v>
      </c>
      <c r="FY197" s="1154">
        <f t="shared" si="696"/>
        <v>0</v>
      </c>
      <c r="FZ197" s="1154">
        <f t="shared" si="697"/>
        <v>359.22187353100355</v>
      </c>
      <c r="GA197" s="1154">
        <f t="shared" si="698"/>
        <v>0</v>
      </c>
      <c r="GB197" s="1154">
        <f t="shared" si="699"/>
        <v>0</v>
      </c>
      <c r="GC197" s="1154">
        <f t="shared" si="700"/>
        <v>0</v>
      </c>
      <c r="GD197" s="1154">
        <f t="shared" si="701"/>
        <v>0</v>
      </c>
      <c r="GE197" s="1154">
        <f t="shared" si="702"/>
        <v>0</v>
      </c>
      <c r="GF197" s="1154">
        <f t="shared" si="703"/>
        <v>0</v>
      </c>
      <c r="GG197" s="1154">
        <f t="shared" si="704"/>
        <v>0</v>
      </c>
      <c r="GH197" s="1154">
        <f t="shared" si="705"/>
        <v>0</v>
      </c>
      <c r="GI197" s="1154">
        <f t="shared" si="706"/>
        <v>0</v>
      </c>
      <c r="GJ197" s="1154">
        <f t="shared" si="707"/>
        <v>0</v>
      </c>
      <c r="GK197" s="1154">
        <f t="shared" si="708"/>
        <v>0</v>
      </c>
      <c r="GL197" s="1174">
        <f t="shared" si="724"/>
        <v>729.17857119048881</v>
      </c>
    </row>
    <row r="198" spans="1:194">
      <c r="B198" s="1290" t="str">
        <f t="shared" si="722"/>
        <v>SACDUOSMRDEM</v>
      </c>
      <c r="C198" s="1289" t="str">
        <f>Prop2021DUOSTariffs!C88</f>
        <v>MtIsa SAC&lt;100MWhpa Residential TOU Demand</v>
      </c>
      <c r="D198" s="1113" t="str">
        <f>Prop2021DUOSTariffs!D88</f>
        <v>MtIsa SAC&lt;100MWhpa Residential TOU Demand</v>
      </c>
      <c r="E198" s="1113" t="str">
        <f>Prop2021DUOSTariffs!E88</f>
        <v>SAC</v>
      </c>
      <c r="F198" s="1113" t="str">
        <f>Prop2021DUOSTariffs!F88</f>
        <v>SACS Res</v>
      </c>
      <c r="G198" s="1113" t="str">
        <f>Prop2021DUOSTariffs!G88</f>
        <v>Mt Isa</v>
      </c>
      <c r="H198" s="1113" t="str">
        <f>Prop2021DUOSTariffs!H88</f>
        <v>MRDEM</v>
      </c>
      <c r="I198" s="1114" t="s">
        <v>761</v>
      </c>
      <c r="J198" s="1114" t="s">
        <v>934</v>
      </c>
      <c r="K198" s="1270"/>
      <c r="L198" s="1233">
        <v>0.14140000000000003</v>
      </c>
      <c r="M198" s="1007"/>
      <c r="N198" s="1007"/>
      <c r="O198" s="1007"/>
      <c r="P198" s="1007"/>
      <c r="Q198" s="1007"/>
      <c r="R198" s="1007"/>
      <c r="S198" s="1007"/>
      <c r="T198" s="1007"/>
      <c r="U198" s="1007"/>
      <c r="V198" s="1007"/>
      <c r="W198" s="1007"/>
      <c r="X198" s="1007"/>
      <c r="Y198" s="1007"/>
      <c r="Z198" s="1007"/>
      <c r="AA198" s="1007"/>
      <c r="AB198" s="1233">
        <v>0.19970395869191052</v>
      </c>
      <c r="AC198" s="1007"/>
      <c r="AD198" s="1007"/>
      <c r="AE198" s="1007"/>
      <c r="AF198" s="1007"/>
      <c r="AG198" s="1007"/>
      <c r="AH198" s="1007"/>
      <c r="AI198" s="1233">
        <v>7.3089293572221642E-4</v>
      </c>
      <c r="AJ198" s="1005"/>
      <c r="AK198" s="1005"/>
      <c r="AL198" s="1005"/>
      <c r="AM198" s="1005"/>
      <c r="AN198" s="1005"/>
      <c r="AO198" s="1005"/>
      <c r="AP198" s="1005"/>
      <c r="AQ198" s="1005"/>
      <c r="AR198" s="1005"/>
      <c r="AS198" s="1005"/>
      <c r="AT198" s="1005"/>
      <c r="AU198" s="1006"/>
      <c r="AV198" s="1270"/>
      <c r="AW198" s="1480">
        <v>0.11</v>
      </c>
      <c r="AX198" s="1006"/>
      <c r="AY198" s="1006"/>
      <c r="AZ198" s="1006"/>
      <c r="BA198" s="1006"/>
      <c r="BB198" s="1006"/>
      <c r="BC198" s="1006"/>
      <c r="BD198" s="1006"/>
      <c r="BE198" s="1006"/>
      <c r="BF198" s="1006"/>
      <c r="BG198" s="1006"/>
      <c r="BH198" s="1006"/>
      <c r="BI198" s="1006"/>
      <c r="BJ198" s="1006"/>
      <c r="BK198" s="1006"/>
      <c r="BL198" s="1006"/>
      <c r="BM198" s="1480">
        <v>0.19800000000000001</v>
      </c>
      <c r="BN198" s="1006"/>
      <c r="BO198" s="1006"/>
      <c r="BP198" s="1006"/>
      <c r="BQ198" s="1006"/>
      <c r="BR198" s="1006"/>
      <c r="BS198" s="1006"/>
      <c r="BT198" s="1480">
        <v>6.9999999999999999E-4</v>
      </c>
      <c r="BU198" s="1006"/>
      <c r="BV198" s="1006"/>
      <c r="BW198" s="1006"/>
      <c r="BX198" s="1006"/>
      <c r="BY198" s="1006"/>
      <c r="BZ198" s="1006"/>
      <c r="CA198" s="1006"/>
      <c r="CB198" s="1006"/>
      <c r="CC198" s="1006"/>
      <c r="CD198" s="1006"/>
      <c r="CE198" s="1006"/>
      <c r="CF198" s="1006"/>
      <c r="CG198" s="1209"/>
      <c r="CH198" s="1236">
        <v>0</v>
      </c>
      <c r="CI198" s="1007"/>
      <c r="CJ198" s="1007"/>
      <c r="CK198" s="1007"/>
      <c r="CL198" s="1007"/>
      <c r="CM198" s="1007"/>
      <c r="CN198" s="1007"/>
      <c r="CO198" s="1007"/>
      <c r="CP198" s="1007"/>
      <c r="CQ198" s="1007"/>
      <c r="CR198" s="1007"/>
      <c r="CS198" s="1007"/>
      <c r="CT198" s="1007"/>
      <c r="CU198" s="1007"/>
      <c r="CV198" s="1007"/>
      <c r="CW198" s="1007"/>
      <c r="CX198" s="1236">
        <v>0</v>
      </c>
      <c r="CY198" s="1007"/>
      <c r="CZ198" s="1007"/>
      <c r="DA198" s="1007"/>
      <c r="DB198" s="1007"/>
      <c r="DC198" s="1007"/>
      <c r="DD198" s="1007"/>
      <c r="DE198" s="1236">
        <v>0</v>
      </c>
      <c r="DF198" s="1007"/>
      <c r="DG198" s="1007"/>
      <c r="DH198" s="1007"/>
      <c r="DI198" s="1006"/>
      <c r="DJ198" s="1006"/>
      <c r="DK198" s="1007"/>
      <c r="DL198" s="1007"/>
      <c r="DM198" s="1007"/>
      <c r="DN198" s="1007"/>
      <c r="DO198" s="1112"/>
      <c r="DP198" s="1112"/>
      <c r="DQ198" s="1270"/>
      <c r="DR198" s="1154">
        <f t="shared" si="638"/>
        <v>0</v>
      </c>
      <c r="DS198" s="1154">
        <f t="shared" si="639"/>
        <v>0</v>
      </c>
      <c r="DT198" s="1154">
        <f t="shared" si="640"/>
        <v>0</v>
      </c>
      <c r="DU198" s="1154">
        <f t="shared" si="641"/>
        <v>0</v>
      </c>
      <c r="DV198" s="1154">
        <f t="shared" si="642"/>
        <v>0</v>
      </c>
      <c r="DW198" s="1154">
        <f t="shared" si="643"/>
        <v>0</v>
      </c>
      <c r="DX198" s="1154">
        <f t="shared" si="644"/>
        <v>0</v>
      </c>
      <c r="DY198" s="1154">
        <f t="shared" si="645"/>
        <v>0</v>
      </c>
      <c r="DZ198" s="1154">
        <f t="shared" si="646"/>
        <v>0</v>
      </c>
      <c r="EA198" s="1154">
        <f t="shared" si="647"/>
        <v>0</v>
      </c>
      <c r="EB198" s="1154">
        <f t="shared" si="648"/>
        <v>0</v>
      </c>
      <c r="EC198" s="1154">
        <f t="shared" si="649"/>
        <v>0</v>
      </c>
      <c r="ED198" s="1154">
        <f t="shared" si="650"/>
        <v>0</v>
      </c>
      <c r="EE198" s="1154">
        <f t="shared" si="651"/>
        <v>0</v>
      </c>
      <c r="EF198" s="1154">
        <f t="shared" si="652"/>
        <v>0</v>
      </c>
      <c r="EG198" s="1154">
        <f t="shared" si="653"/>
        <v>0</v>
      </c>
      <c r="EH198" s="1154">
        <f t="shared" si="654"/>
        <v>0</v>
      </c>
      <c r="EI198" s="1154">
        <f t="shared" si="655"/>
        <v>0</v>
      </c>
      <c r="EJ198" s="1154">
        <f t="shared" si="656"/>
        <v>0</v>
      </c>
      <c r="EK198" s="1154">
        <f t="shared" si="657"/>
        <v>0</v>
      </c>
      <c r="EL198" s="1154">
        <f t="shared" si="658"/>
        <v>0</v>
      </c>
      <c r="EM198" s="1154">
        <f t="shared" si="659"/>
        <v>0</v>
      </c>
      <c r="EN198" s="1154">
        <f t="shared" si="660"/>
        <v>0</v>
      </c>
      <c r="EO198" s="1154">
        <f t="shared" si="661"/>
        <v>0</v>
      </c>
      <c r="EP198" s="1154">
        <f t="shared" si="662"/>
        <v>0</v>
      </c>
      <c r="EQ198" s="1154">
        <f t="shared" si="663"/>
        <v>0</v>
      </c>
      <c r="ER198" s="1154">
        <f t="shared" si="664"/>
        <v>0</v>
      </c>
      <c r="ES198" s="1154">
        <f t="shared" si="665"/>
        <v>0</v>
      </c>
      <c r="ET198" s="1154">
        <f t="shared" si="666"/>
        <v>0</v>
      </c>
      <c r="EU198" s="1154">
        <f t="shared" si="667"/>
        <v>0</v>
      </c>
      <c r="EV198" s="1154">
        <f t="shared" si="668"/>
        <v>0</v>
      </c>
      <c r="EW198" s="1154">
        <f t="shared" si="669"/>
        <v>0</v>
      </c>
      <c r="EX198" s="1154">
        <f t="shared" si="670"/>
        <v>0</v>
      </c>
      <c r="EY198" s="1154">
        <f t="shared" si="671"/>
        <v>0</v>
      </c>
      <c r="EZ198" s="1154">
        <f t="shared" si="672"/>
        <v>0</v>
      </c>
      <c r="FA198" s="1174">
        <f t="shared" si="723"/>
        <v>0</v>
      </c>
      <c r="FC198" s="1154">
        <f t="shared" si="674"/>
        <v>0</v>
      </c>
      <c r="FD198" s="1154">
        <f t="shared" si="675"/>
        <v>0</v>
      </c>
      <c r="FE198" s="1154">
        <f t="shared" si="676"/>
        <v>0</v>
      </c>
      <c r="FF198" s="1154">
        <f t="shared" si="677"/>
        <v>0</v>
      </c>
      <c r="FG198" s="1154">
        <f t="shared" si="678"/>
        <v>0</v>
      </c>
      <c r="FH198" s="1154">
        <f t="shared" si="679"/>
        <v>0</v>
      </c>
      <c r="FI198" s="1154">
        <f t="shared" si="680"/>
        <v>0</v>
      </c>
      <c r="FJ198" s="1154">
        <f t="shared" si="681"/>
        <v>0</v>
      </c>
      <c r="FK198" s="1154">
        <f t="shared" si="682"/>
        <v>0</v>
      </c>
      <c r="FL198" s="1154">
        <f t="shared" si="683"/>
        <v>0</v>
      </c>
      <c r="FM198" s="1154">
        <f t="shared" si="684"/>
        <v>0</v>
      </c>
      <c r="FN198" s="1154">
        <f t="shared" si="685"/>
        <v>0</v>
      </c>
      <c r="FO198" s="1154">
        <f t="shared" si="686"/>
        <v>0</v>
      </c>
      <c r="FP198" s="1154">
        <f t="shared" si="687"/>
        <v>0</v>
      </c>
      <c r="FQ198" s="1154">
        <f t="shared" si="688"/>
        <v>0</v>
      </c>
      <c r="FR198" s="1154">
        <f t="shared" si="689"/>
        <v>0</v>
      </c>
      <c r="FS198" s="1154">
        <f t="shared" si="690"/>
        <v>0</v>
      </c>
      <c r="FT198" s="1154">
        <f t="shared" si="691"/>
        <v>0</v>
      </c>
      <c r="FU198" s="1154">
        <f t="shared" si="692"/>
        <v>0</v>
      </c>
      <c r="FV198" s="1154">
        <f t="shared" si="693"/>
        <v>0</v>
      </c>
      <c r="FW198" s="1154">
        <f t="shared" si="694"/>
        <v>0</v>
      </c>
      <c r="FX198" s="1154">
        <f t="shared" si="695"/>
        <v>0</v>
      </c>
      <c r="FY198" s="1154">
        <f t="shared" si="696"/>
        <v>0</v>
      </c>
      <c r="FZ198" s="1154">
        <f t="shared" si="697"/>
        <v>0</v>
      </c>
      <c r="GA198" s="1154">
        <f t="shared" si="698"/>
        <v>0</v>
      </c>
      <c r="GB198" s="1154">
        <f t="shared" si="699"/>
        <v>0</v>
      </c>
      <c r="GC198" s="1154">
        <f t="shared" si="700"/>
        <v>0</v>
      </c>
      <c r="GD198" s="1154">
        <f t="shared" si="701"/>
        <v>0</v>
      </c>
      <c r="GE198" s="1154">
        <f t="shared" si="702"/>
        <v>0</v>
      </c>
      <c r="GF198" s="1154">
        <f t="shared" si="703"/>
        <v>0</v>
      </c>
      <c r="GG198" s="1154">
        <f t="shared" si="704"/>
        <v>0</v>
      </c>
      <c r="GH198" s="1154">
        <f t="shared" si="705"/>
        <v>0</v>
      </c>
      <c r="GI198" s="1154">
        <f t="shared" si="706"/>
        <v>0</v>
      </c>
      <c r="GJ198" s="1154">
        <f t="shared" si="707"/>
        <v>0</v>
      </c>
      <c r="GK198" s="1154">
        <f t="shared" si="708"/>
        <v>0</v>
      </c>
      <c r="GL198" s="1174">
        <f t="shared" si="724"/>
        <v>0</v>
      </c>
    </row>
    <row r="199" spans="1:194" ht="6" customHeight="1">
      <c r="A199" s="1205"/>
      <c r="B199" s="1266" t="s">
        <v>742</v>
      </c>
      <c r="C199" s="1780"/>
      <c r="D199" s="1781"/>
      <c r="E199" s="1781"/>
      <c r="F199" s="1781"/>
      <c r="G199" s="1781"/>
      <c r="H199" s="1781"/>
      <c r="I199" s="1781"/>
      <c r="J199" s="1782"/>
      <c r="K199" s="1234"/>
      <c r="L199" s="1266"/>
      <c r="M199" s="1184"/>
      <c r="N199" s="1184"/>
      <c r="O199" s="1184"/>
      <c r="P199" s="1184"/>
      <c r="Q199" s="1184"/>
      <c r="R199" s="1184"/>
      <c r="S199" s="1184"/>
      <c r="T199" s="1184"/>
      <c r="U199" s="1184"/>
      <c r="V199" s="1184"/>
      <c r="W199" s="1184"/>
      <c r="X199" s="1184"/>
      <c r="Y199" s="1184"/>
      <c r="Z199" s="1184"/>
      <c r="AA199" s="1184"/>
      <c r="AB199" s="1184"/>
      <c r="AC199" s="1184"/>
      <c r="AD199" s="1184"/>
      <c r="AE199" s="1184"/>
      <c r="AF199" s="1184"/>
      <c r="AG199" s="1184"/>
      <c r="AH199" s="1184"/>
      <c r="AI199" s="1184"/>
      <c r="AJ199" s="1184"/>
      <c r="AK199" s="1184"/>
      <c r="AL199" s="1184"/>
      <c r="AM199" s="1184"/>
      <c r="AN199" s="1184"/>
      <c r="AO199" s="1184"/>
      <c r="AP199" s="1184"/>
      <c r="AQ199" s="1184"/>
      <c r="AR199" s="1184"/>
      <c r="AS199" s="1184"/>
      <c r="AT199" s="1184"/>
      <c r="AU199" s="1205"/>
      <c r="AV199" s="1234"/>
      <c r="AW199" s="1205"/>
      <c r="AX199" s="1205"/>
      <c r="AY199" s="1205"/>
      <c r="AZ199" s="1205"/>
      <c r="BA199" s="1205"/>
      <c r="BB199" s="1205"/>
      <c r="BC199" s="1205"/>
      <c r="BD199" s="1205"/>
      <c r="BE199" s="1205"/>
      <c r="BF199" s="1205"/>
      <c r="BG199" s="1205"/>
      <c r="BH199" s="1205"/>
      <c r="BI199" s="1205"/>
      <c r="BJ199" s="1205"/>
      <c r="BK199" s="1205"/>
      <c r="BL199" s="1205"/>
      <c r="BM199" s="1205"/>
      <c r="BN199" s="1205"/>
      <c r="BO199" s="1205"/>
      <c r="BP199" s="1205"/>
      <c r="BQ199" s="1205"/>
      <c r="BR199" s="1205"/>
      <c r="BS199" s="1205"/>
      <c r="BT199" s="1205"/>
      <c r="BU199" s="1205"/>
      <c r="BV199" s="1205"/>
      <c r="BW199" s="1205"/>
      <c r="BX199" s="1205"/>
      <c r="BY199" s="1205"/>
      <c r="BZ199" s="1205"/>
      <c r="CA199" s="1205"/>
      <c r="CB199" s="1205"/>
      <c r="CC199" s="1205"/>
      <c r="CD199" s="1205"/>
      <c r="CE199" s="1205"/>
      <c r="CF199" s="1205"/>
      <c r="CG199" s="1208"/>
      <c r="CH199" s="1205"/>
      <c r="CI199" s="1205"/>
      <c r="CJ199" s="1205"/>
      <c r="CK199" s="1205"/>
      <c r="CL199" s="1205"/>
      <c r="CM199" s="1205"/>
      <c r="CN199" s="1205"/>
      <c r="CO199" s="1205"/>
      <c r="CP199" s="1205"/>
      <c r="CQ199" s="1205"/>
      <c r="CR199" s="1205"/>
      <c r="CS199" s="1205"/>
      <c r="CT199" s="1205"/>
      <c r="CU199" s="1205"/>
      <c r="CV199" s="1205"/>
      <c r="CW199" s="1205"/>
      <c r="CX199" s="1205"/>
      <c r="CY199" s="1205"/>
      <c r="CZ199" s="1205"/>
      <c r="DA199" s="1205"/>
      <c r="DB199" s="1205"/>
      <c r="DC199" s="1205"/>
      <c r="DD199" s="1205"/>
      <c r="DE199" s="1205"/>
      <c r="DF199" s="1205"/>
      <c r="DG199" s="1205"/>
      <c r="DH199" s="1205"/>
      <c r="DI199" s="1205"/>
      <c r="DJ199" s="1205"/>
      <c r="DK199" s="1184"/>
      <c r="DL199" s="1184"/>
      <c r="DM199" s="1184"/>
      <c r="DN199" s="1184"/>
      <c r="DO199" s="1266"/>
      <c r="DP199" s="1266"/>
      <c r="DQ199" s="1234"/>
      <c r="DR199" s="1283"/>
      <c r="DS199" s="1283"/>
      <c r="DT199" s="1283"/>
      <c r="DU199" s="1283"/>
      <c r="DV199" s="1283"/>
      <c r="DW199" s="1283"/>
      <c r="DX199" s="1283"/>
      <c r="DY199" s="1283"/>
      <c r="DZ199" s="1283"/>
      <c r="EA199" s="1283"/>
      <c r="EB199" s="1283"/>
      <c r="EC199" s="1283"/>
      <c r="ED199" s="1283"/>
      <c r="EE199" s="1283"/>
      <c r="EF199" s="1283"/>
      <c r="EG199" s="1283"/>
      <c r="EH199" s="1283"/>
      <c r="EI199" s="1283"/>
      <c r="EJ199" s="1283"/>
      <c r="EK199" s="1283"/>
      <c r="EL199" s="1283"/>
      <c r="EM199" s="1283"/>
      <c r="EN199" s="1283"/>
      <c r="EO199" s="1283"/>
      <c r="EP199" s="1283"/>
      <c r="EQ199" s="1283"/>
      <c r="ER199" s="1283"/>
      <c r="ES199" s="1283"/>
      <c r="ET199" s="1283"/>
      <c r="EU199" s="1283"/>
      <c r="EV199" s="1283"/>
      <c r="EW199" s="1283"/>
      <c r="EX199" s="1283"/>
      <c r="EY199" s="1283"/>
      <c r="EZ199" s="1283"/>
      <c r="FA199" s="1283"/>
      <c r="FC199" s="1283"/>
      <c r="FD199" s="1283"/>
      <c r="FE199" s="1283"/>
      <c r="FF199" s="1283"/>
      <c r="FG199" s="1283"/>
      <c r="FH199" s="1283"/>
      <c r="FI199" s="1283"/>
      <c r="FJ199" s="1283"/>
      <c r="FK199" s="1283"/>
      <c r="FL199" s="1283"/>
      <c r="FM199" s="1283"/>
      <c r="FN199" s="1283"/>
      <c r="FO199" s="1283"/>
      <c r="FP199" s="1283"/>
      <c r="FQ199" s="1283"/>
      <c r="FR199" s="1283"/>
      <c r="FS199" s="1283"/>
      <c r="FT199" s="1283"/>
      <c r="FU199" s="1283"/>
      <c r="FV199" s="1283"/>
      <c r="FW199" s="1283"/>
      <c r="FX199" s="1283"/>
      <c r="FY199" s="1283"/>
      <c r="FZ199" s="1283"/>
      <c r="GA199" s="1283"/>
      <c r="GB199" s="1283"/>
      <c r="GC199" s="1283"/>
      <c r="GD199" s="1283"/>
      <c r="GE199" s="1283"/>
      <c r="GF199" s="1283"/>
      <c r="GG199" s="1283"/>
      <c r="GH199" s="1283"/>
      <c r="GI199" s="1283"/>
      <c r="GJ199" s="1283"/>
      <c r="GK199" s="1283"/>
      <c r="GL199" s="1283"/>
    </row>
    <row r="200" spans="1:194">
      <c r="B200" s="1290" t="str">
        <f t="shared" ref="B200:B220" si="733">$E200&amp;"DUOS"&amp;$H200</f>
        <v>SACDUOSEVN</v>
      </c>
      <c r="C200" s="1289" t="str">
        <f>Prop2021DUOSTariffs!C90</f>
        <v>East SAC&lt;100MWhpa Volume Night Controlled</v>
      </c>
      <c r="D200" s="1113" t="str">
        <f>Prop2021DUOSTariffs!D90</f>
        <v>East SAC&lt;100MWhpa Volume Night Controlled</v>
      </c>
      <c r="E200" s="1113" t="str">
        <f>Prop2021DUOSTariffs!E90</f>
        <v>SAC</v>
      </c>
      <c r="F200" s="1113" t="str">
        <f>Prop2021DUOSTariffs!F90</f>
        <v>SACS CL</v>
      </c>
      <c r="G200" s="1113" t="str">
        <f>Prop2021DUOSTariffs!G90</f>
        <v>East</v>
      </c>
      <c r="H200" s="1113" t="str">
        <f>Prop2021DUOSTariffs!H90</f>
        <v>EVN</v>
      </c>
      <c r="I200" s="1114" t="s">
        <v>798</v>
      </c>
      <c r="J200" s="1114" t="s">
        <v>934</v>
      </c>
      <c r="K200" s="1270"/>
      <c r="L200" s="1112"/>
      <c r="M200" s="1007"/>
      <c r="N200" s="1007"/>
      <c r="O200" s="1007"/>
      <c r="P200" s="1007"/>
      <c r="Q200" s="1007"/>
      <c r="R200" s="1007"/>
      <c r="S200" s="1007"/>
      <c r="T200" s="1007"/>
      <c r="U200" s="1007"/>
      <c r="V200" s="1007"/>
      <c r="W200" s="1007"/>
      <c r="X200" s="1007"/>
      <c r="Y200" s="1007"/>
      <c r="Z200" s="1007"/>
      <c r="AA200" s="1007"/>
      <c r="AB200" s="1007"/>
      <c r="AC200" s="1007"/>
      <c r="AD200" s="1007"/>
      <c r="AE200" s="1007"/>
      <c r="AF200" s="1007"/>
      <c r="AG200" s="1007"/>
      <c r="AH200" s="1007"/>
      <c r="AI200" s="1233">
        <v>1.2756140745273986E-2</v>
      </c>
      <c r="AJ200" s="1005"/>
      <c r="AK200" s="1005"/>
      <c r="AL200" s="1005"/>
      <c r="AM200" s="1005"/>
      <c r="AN200" s="1005"/>
      <c r="AO200" s="1005"/>
      <c r="AP200" s="1005"/>
      <c r="AQ200" s="1005"/>
      <c r="AR200" s="1005"/>
      <c r="AS200" s="1005"/>
      <c r="AT200" s="1005"/>
      <c r="AU200" s="1006"/>
      <c r="AV200" s="1270"/>
      <c r="AW200" s="1006"/>
      <c r="AX200" s="1006"/>
      <c r="AY200" s="1006"/>
      <c r="AZ200" s="1006"/>
      <c r="BA200" s="1006"/>
      <c r="BB200" s="1006"/>
      <c r="BC200" s="1006"/>
      <c r="BD200" s="1006"/>
      <c r="BE200" s="1006"/>
      <c r="BF200" s="1006"/>
      <c r="BG200" s="1006"/>
      <c r="BH200" s="1006"/>
      <c r="BI200" s="1006"/>
      <c r="BJ200" s="1006"/>
      <c r="BK200" s="1006"/>
      <c r="BL200" s="1006"/>
      <c r="BM200" s="1006"/>
      <c r="BN200" s="1006"/>
      <c r="BO200" s="1006"/>
      <c r="BP200" s="1006"/>
      <c r="BQ200" s="1006"/>
      <c r="BR200" s="1006"/>
      <c r="BS200" s="1006"/>
      <c r="BT200" s="1480">
        <v>9.9886311700567981E-3</v>
      </c>
      <c r="BU200" s="1006"/>
      <c r="BV200" s="1006"/>
      <c r="BW200" s="1006"/>
      <c r="BX200" s="1006"/>
      <c r="BY200" s="1006"/>
      <c r="BZ200" s="1006"/>
      <c r="CA200" s="1006"/>
      <c r="CB200" s="1006"/>
      <c r="CC200" s="1006"/>
      <c r="CD200" s="1006"/>
      <c r="CE200" s="1006"/>
      <c r="CF200" s="1006"/>
      <c r="CG200" s="1209"/>
      <c r="CH200" s="1112"/>
      <c r="CI200" s="1007"/>
      <c r="CJ200" s="1007"/>
      <c r="CK200" s="1007"/>
      <c r="CL200" s="1007"/>
      <c r="CM200" s="1007"/>
      <c r="CN200" s="1007"/>
      <c r="CO200" s="1007"/>
      <c r="CP200" s="1007"/>
      <c r="CQ200" s="1007"/>
      <c r="CR200" s="1007"/>
      <c r="CS200" s="1007"/>
      <c r="CT200" s="1007"/>
      <c r="CU200" s="1007"/>
      <c r="CV200" s="1007"/>
      <c r="CW200" s="1007"/>
      <c r="CX200" s="1007"/>
      <c r="CY200" s="1007"/>
      <c r="CZ200" s="1007"/>
      <c r="DA200" s="1007"/>
      <c r="DB200" s="1007"/>
      <c r="DC200" s="1007"/>
      <c r="DD200" s="1007"/>
      <c r="DE200" s="1236">
        <v>73588527.662987903</v>
      </c>
      <c r="DF200" s="1007"/>
      <c r="DG200" s="1007"/>
      <c r="DH200" s="1007"/>
      <c r="DI200" s="1006"/>
      <c r="DJ200" s="1006"/>
      <c r="DK200" s="1007"/>
      <c r="DL200" s="1007"/>
      <c r="DM200" s="1007"/>
      <c r="DN200" s="1007"/>
      <c r="DO200" s="1112"/>
      <c r="DP200" s="1112"/>
      <c r="DQ200" s="1270"/>
      <c r="DR200" s="1154">
        <f t="shared" ref="DR200:DR220" si="734">L200*CH200*DR$229</f>
        <v>0</v>
      </c>
      <c r="DS200" s="1154">
        <f t="shared" ref="DS200:DS220" si="735">M200*CI200*DS$229</f>
        <v>0</v>
      </c>
      <c r="DT200" s="1154">
        <f t="shared" ref="DT200:DT220" si="736">N200*CJ200*DT$229</f>
        <v>0</v>
      </c>
      <c r="DU200" s="1154">
        <f t="shared" ref="DU200:DU220" si="737">O200*CK200*DU$229</f>
        <v>0</v>
      </c>
      <c r="DV200" s="1154">
        <f t="shared" ref="DV200:DV220" si="738">P200*CL200*DV$229</f>
        <v>0</v>
      </c>
      <c r="DW200" s="1154">
        <f t="shared" ref="DW200:DW220" si="739">Q200*CM200*DW$229</f>
        <v>0</v>
      </c>
      <c r="DX200" s="1154">
        <f t="shared" ref="DX200:DX220" si="740">R200*CN200*DX$229</f>
        <v>0</v>
      </c>
      <c r="DY200" s="1154">
        <f t="shared" ref="DY200:DY220" si="741">S200*CO200*DY$229</f>
        <v>0</v>
      </c>
      <c r="DZ200" s="1154">
        <f t="shared" ref="DZ200:DZ220" si="742">T200*CP200*DZ$229</f>
        <v>0</v>
      </c>
      <c r="EA200" s="1154">
        <f t="shared" ref="EA200:EA220" si="743">U200*CQ200*EA$229</f>
        <v>0</v>
      </c>
      <c r="EB200" s="1154">
        <f t="shared" ref="EB200:EB220" si="744">V200*CR200*EB$229</f>
        <v>0</v>
      </c>
      <c r="EC200" s="1154">
        <f t="shared" ref="EC200:EC220" si="745">W200*CS200*EC$229</f>
        <v>0</v>
      </c>
      <c r="ED200" s="1154">
        <f t="shared" ref="ED200:ED220" si="746">X200*CT200*ED$229</f>
        <v>0</v>
      </c>
      <c r="EE200" s="1154">
        <f t="shared" ref="EE200:EE220" si="747">Y200*CU200*EE$229</f>
        <v>0</v>
      </c>
      <c r="EF200" s="1154">
        <f t="shared" ref="EF200:EF220" si="748">Z200*CV200*EF$229</f>
        <v>0</v>
      </c>
      <c r="EG200" s="1154">
        <f t="shared" ref="EG200:EG220" si="749">AA200*CW200*EG$229</f>
        <v>0</v>
      </c>
      <c r="EH200" s="1154">
        <f t="shared" ref="EH200:EH220" si="750">AB200*CX200*EH$229</f>
        <v>0</v>
      </c>
      <c r="EI200" s="1154">
        <f t="shared" ref="EI200:EI220" si="751">AC200*CY200*EI$229</f>
        <v>0</v>
      </c>
      <c r="EJ200" s="1154">
        <f t="shared" ref="EJ200:EJ220" si="752">AD200*CZ200*EJ$229</f>
        <v>0</v>
      </c>
      <c r="EK200" s="1154">
        <f t="shared" ref="EK200:EK220" si="753">AE200*DA200*EK$229</f>
        <v>0</v>
      </c>
      <c r="EL200" s="1154">
        <f t="shared" ref="EL200:EL220" si="754">AF200*DB200*EL$229</f>
        <v>0</v>
      </c>
      <c r="EM200" s="1154">
        <f t="shared" ref="EM200:EM220" si="755">AG200*DC200*EM$229*$AU200</f>
        <v>0</v>
      </c>
      <c r="EN200" s="1154">
        <f t="shared" ref="EN200:EN220" si="756">AH200*DD200*EN$229*$AU200</f>
        <v>0</v>
      </c>
      <c r="EO200" s="1154">
        <f t="shared" ref="EO200:EO220" si="757">AI200*DE200*EO$229</f>
        <v>938705.61610656185</v>
      </c>
      <c r="EP200" s="1154">
        <f t="shared" ref="EP200:EP220" si="758">AJ200*DF200*EP$229</f>
        <v>0</v>
      </c>
      <c r="EQ200" s="1154">
        <f t="shared" ref="EQ200:EQ220" si="759">AK200*DG200*EQ$229</f>
        <v>0</v>
      </c>
      <c r="ER200" s="1154">
        <f t="shared" ref="ER200:ER220" si="760">AL200*DH200*ER$229</f>
        <v>0</v>
      </c>
      <c r="ES200" s="1154">
        <f t="shared" ref="ES200:ES220" si="761">AM200*DI200*ES$229</f>
        <v>0</v>
      </c>
      <c r="ET200" s="1154">
        <f t="shared" ref="ET200:ET220" si="762">AN200*DJ200*ET$229</f>
        <v>0</v>
      </c>
      <c r="EU200" s="1154">
        <f t="shared" ref="EU200:EU220" si="763">AO200*DK200*EU$229</f>
        <v>0</v>
      </c>
      <c r="EV200" s="1154">
        <f t="shared" ref="EV200:EV220" si="764">AP200*DL200*EV$229</f>
        <v>0</v>
      </c>
      <c r="EW200" s="1154">
        <f t="shared" ref="EW200:EW220" si="765">AQ200*DM200*EW$229</f>
        <v>0</v>
      </c>
      <c r="EX200" s="1154">
        <f t="shared" ref="EX200:EX220" si="766">AR200*DN200*EX$229</f>
        <v>0</v>
      </c>
      <c r="EY200" s="1154">
        <f t="shared" ref="EY200:EY220" si="767">AS200*DO200*EY$229</f>
        <v>0</v>
      </c>
      <c r="EZ200" s="1154">
        <f t="shared" ref="EZ200:EZ220" si="768">AT200*DP200*EZ$229</f>
        <v>0</v>
      </c>
      <c r="FA200" s="1174">
        <f t="shared" ref="FA200:FA220" si="769">SUM(DR200:EZ200)</f>
        <v>938705.61610656185</v>
      </c>
      <c r="FC200" s="1154">
        <f t="shared" ref="FC200:FC220" si="770">AW200*CH200*FC$229</f>
        <v>0</v>
      </c>
      <c r="FD200" s="1154">
        <f t="shared" ref="FD200:FD220" si="771">AX200*CI200*FD$229</f>
        <v>0</v>
      </c>
      <c r="FE200" s="1154">
        <f t="shared" ref="FE200:FE220" si="772">AY200*CJ200*FE$229</f>
        <v>0</v>
      </c>
      <c r="FF200" s="1154">
        <f t="shared" ref="FF200:FF220" si="773">AZ200*CK200*FF$229</f>
        <v>0</v>
      </c>
      <c r="FG200" s="1154">
        <f t="shared" ref="FG200:FG220" si="774">BA200*CL200*FG$229</f>
        <v>0</v>
      </c>
      <c r="FH200" s="1154">
        <f t="shared" ref="FH200:FH220" si="775">BB200*CM200*FH$229</f>
        <v>0</v>
      </c>
      <c r="FI200" s="1154">
        <f t="shared" ref="FI200:FI220" si="776">BC200*CN200*FI$229</f>
        <v>0</v>
      </c>
      <c r="FJ200" s="1154">
        <f t="shared" ref="FJ200:FJ220" si="777">BD200*CO200*FJ$229</f>
        <v>0</v>
      </c>
      <c r="FK200" s="1154">
        <f t="shared" ref="FK200:FK220" si="778">BE200*CP200*FK$229</f>
        <v>0</v>
      </c>
      <c r="FL200" s="1154">
        <f t="shared" ref="FL200:FL220" si="779">BF200*CQ200*FL$229</f>
        <v>0</v>
      </c>
      <c r="FM200" s="1154">
        <f t="shared" ref="FM200:FM220" si="780">BG200*CR200*FM$229</f>
        <v>0</v>
      </c>
      <c r="FN200" s="1154">
        <f t="shared" ref="FN200:FN220" si="781">BH200*CS200*FN$229</f>
        <v>0</v>
      </c>
      <c r="FO200" s="1154">
        <f t="shared" ref="FO200:FO220" si="782">BI200*CT200*FO$229</f>
        <v>0</v>
      </c>
      <c r="FP200" s="1154">
        <f t="shared" ref="FP200:FP220" si="783">BJ200*CU200*FP$229</f>
        <v>0</v>
      </c>
      <c r="FQ200" s="1154">
        <f t="shared" ref="FQ200:FQ220" si="784">BK200*CV200*FQ$229</f>
        <v>0</v>
      </c>
      <c r="FR200" s="1154">
        <f t="shared" ref="FR200:FR220" si="785">BL200*CW200*FR$229</f>
        <v>0</v>
      </c>
      <c r="FS200" s="1154">
        <f t="shared" ref="FS200:FS220" si="786">BM200*CX200*FS$229</f>
        <v>0</v>
      </c>
      <c r="FT200" s="1154">
        <f t="shared" ref="FT200:FT220" si="787">BN200*CY200*FT$229</f>
        <v>0</v>
      </c>
      <c r="FU200" s="1154">
        <f t="shared" ref="FU200:FU220" si="788">BO200*CZ200*FU$229</f>
        <v>0</v>
      </c>
      <c r="FV200" s="1154">
        <f t="shared" ref="FV200:FV220" si="789">BP200*DA200*FV$229</f>
        <v>0</v>
      </c>
      <c r="FW200" s="1154">
        <f t="shared" ref="FW200:FW220" si="790">BQ200*DB200*FW$229</f>
        <v>0</v>
      </c>
      <c r="FX200" s="1154">
        <f t="shared" ref="FX200:FX220" si="791">BR200*DC200*FX$229</f>
        <v>0</v>
      </c>
      <c r="FY200" s="1154">
        <f t="shared" ref="FY200:FY220" si="792">BS200*DD200*FY$229</f>
        <v>0</v>
      </c>
      <c r="FZ200" s="1154">
        <f t="shared" ref="FZ200:FZ220" si="793">BT200*DE200*FZ$229</f>
        <v>735048.66117310792</v>
      </c>
      <c r="GA200" s="1154">
        <f t="shared" ref="GA200:GA220" si="794">BU200*DF200*GA$229</f>
        <v>0</v>
      </c>
      <c r="GB200" s="1154">
        <f t="shared" ref="GB200:GB220" si="795">BV200*DG200*GB$229</f>
        <v>0</v>
      </c>
      <c r="GC200" s="1154">
        <f t="shared" ref="GC200:GC220" si="796">BW200*DH200*GC$229</f>
        <v>0</v>
      </c>
      <c r="GD200" s="1154">
        <f t="shared" ref="GD200:GD220" si="797">BX200*DI200*GD$229</f>
        <v>0</v>
      </c>
      <c r="GE200" s="1154">
        <f t="shared" ref="GE200:GE220" si="798">BY200*DJ200*GE$229</f>
        <v>0</v>
      </c>
      <c r="GF200" s="1154">
        <f t="shared" ref="GF200:GF220" si="799">BZ200*DK200*GF$229</f>
        <v>0</v>
      </c>
      <c r="GG200" s="1154">
        <f t="shared" ref="GG200:GG220" si="800">CA200*DL200*GG$229</f>
        <v>0</v>
      </c>
      <c r="GH200" s="1154">
        <f t="shared" ref="GH200:GH220" si="801">CB200*DM200*GH$229</f>
        <v>0</v>
      </c>
      <c r="GI200" s="1154">
        <f t="shared" ref="GI200:GI220" si="802">CC200*DN200*GI$229</f>
        <v>0</v>
      </c>
      <c r="GJ200" s="1154">
        <f t="shared" ref="GJ200:GJ220" si="803">CD200*DO200*GJ$229</f>
        <v>0</v>
      </c>
      <c r="GK200" s="1154">
        <f t="shared" ref="GK200:GK220" si="804">CE200*DP200*GK$229</f>
        <v>0</v>
      </c>
      <c r="GL200" s="1174">
        <f t="shared" ref="GL200:GL220" si="805">SUM(FC200:GK200)</f>
        <v>735048.66117310792</v>
      </c>
    </row>
    <row r="201" spans="1:194">
      <c r="B201" s="1290" t="str">
        <f t="shared" si="733"/>
        <v>SACDUOSEVN</v>
      </c>
      <c r="C201" s="1289" t="str">
        <f t="shared" ref="C201:H201" si="806">C200</f>
        <v>East SAC&lt;100MWhpa Volume Night Controlled</v>
      </c>
      <c r="D201" s="1113" t="str">
        <f t="shared" si="806"/>
        <v>East SAC&lt;100MWhpa Volume Night Controlled</v>
      </c>
      <c r="E201" s="1113" t="str">
        <f t="shared" si="806"/>
        <v>SAC</v>
      </c>
      <c r="F201" s="1113" t="str">
        <f t="shared" si="806"/>
        <v>SACS CL</v>
      </c>
      <c r="G201" s="1113" t="str">
        <f t="shared" si="806"/>
        <v>East</v>
      </c>
      <c r="H201" s="1113" t="str">
        <f t="shared" si="806"/>
        <v>EVN</v>
      </c>
      <c r="I201" s="1114" t="s">
        <v>752</v>
      </c>
      <c r="J201" s="1114" t="s">
        <v>934</v>
      </c>
      <c r="K201" s="1270"/>
      <c r="L201" s="1112"/>
      <c r="M201" s="1007"/>
      <c r="N201" s="1007"/>
      <c r="O201" s="1007"/>
      <c r="P201" s="1007"/>
      <c r="Q201" s="1007"/>
      <c r="R201" s="1007"/>
      <c r="S201" s="1007"/>
      <c r="T201" s="1007"/>
      <c r="U201" s="1007"/>
      <c r="V201" s="1007"/>
      <c r="W201" s="1007"/>
      <c r="X201" s="1007"/>
      <c r="Y201" s="1007"/>
      <c r="Z201" s="1007"/>
      <c r="AA201" s="1007"/>
      <c r="AB201" s="1007"/>
      <c r="AC201" s="1007"/>
      <c r="AD201" s="1007"/>
      <c r="AE201" s="1007"/>
      <c r="AF201" s="1007"/>
      <c r="AG201" s="1007"/>
      <c r="AH201" s="1007"/>
      <c r="AI201" s="1233">
        <v>1.3580961239131205E-2</v>
      </c>
      <c r="AJ201" s="1005"/>
      <c r="AK201" s="1005"/>
      <c r="AL201" s="1005"/>
      <c r="AM201" s="1005"/>
      <c r="AN201" s="1005"/>
      <c r="AO201" s="1005"/>
      <c r="AP201" s="1005"/>
      <c r="AQ201" s="1005"/>
      <c r="AR201" s="1005"/>
      <c r="AS201" s="1005"/>
      <c r="AT201" s="1005"/>
      <c r="AU201" s="1006"/>
      <c r="AV201" s="1270"/>
      <c r="AW201" s="1006"/>
      <c r="AX201" s="1006"/>
      <c r="AY201" s="1006"/>
      <c r="AZ201" s="1006"/>
      <c r="BA201" s="1006"/>
      <c r="BB201" s="1006"/>
      <c r="BC201" s="1006"/>
      <c r="BD201" s="1006"/>
      <c r="BE201" s="1006"/>
      <c r="BF201" s="1006"/>
      <c r="BG201" s="1006"/>
      <c r="BH201" s="1006"/>
      <c r="BI201" s="1006"/>
      <c r="BJ201" s="1006"/>
      <c r="BK201" s="1006"/>
      <c r="BL201" s="1006"/>
      <c r="BM201" s="1006"/>
      <c r="BN201" s="1006"/>
      <c r="BO201" s="1006"/>
      <c r="BP201" s="1006"/>
      <c r="BQ201" s="1006"/>
      <c r="BR201" s="1006"/>
      <c r="BS201" s="1006"/>
      <c r="BT201" s="1480">
        <v>1.3226767178995704E-2</v>
      </c>
      <c r="BU201" s="1006"/>
      <c r="BV201" s="1006"/>
      <c r="BW201" s="1006"/>
      <c r="BX201" s="1006"/>
      <c r="BY201" s="1006"/>
      <c r="BZ201" s="1006"/>
      <c r="CA201" s="1006"/>
      <c r="CB201" s="1006"/>
      <c r="CC201" s="1006"/>
      <c r="CD201" s="1006"/>
      <c r="CE201" s="1006"/>
      <c r="CF201" s="1006"/>
      <c r="CG201" s="1209"/>
      <c r="CH201" s="1112"/>
      <c r="CI201" s="1007"/>
      <c r="CJ201" s="1007"/>
      <c r="CK201" s="1007"/>
      <c r="CL201" s="1007"/>
      <c r="CM201" s="1007"/>
      <c r="CN201" s="1007"/>
      <c r="CO201" s="1007"/>
      <c r="CP201" s="1007"/>
      <c r="CQ201" s="1007"/>
      <c r="CR201" s="1007"/>
      <c r="CS201" s="1007"/>
      <c r="CT201" s="1007"/>
      <c r="CU201" s="1007"/>
      <c r="CV201" s="1007"/>
      <c r="CW201" s="1007"/>
      <c r="CX201" s="1007"/>
      <c r="CY201" s="1007"/>
      <c r="CZ201" s="1007"/>
      <c r="DA201" s="1007"/>
      <c r="DB201" s="1007"/>
      <c r="DC201" s="1007"/>
      <c r="DD201" s="1007"/>
      <c r="DE201" s="1236">
        <v>59289058.097952493</v>
      </c>
      <c r="DF201" s="1007"/>
      <c r="DG201" s="1007"/>
      <c r="DH201" s="1007"/>
      <c r="DI201" s="1006"/>
      <c r="DJ201" s="1006"/>
      <c r="DK201" s="1007"/>
      <c r="DL201" s="1007"/>
      <c r="DM201" s="1007"/>
      <c r="DN201" s="1007"/>
      <c r="DO201" s="1112"/>
      <c r="DP201" s="1112"/>
      <c r="DQ201" s="1270"/>
      <c r="DR201" s="1154">
        <f t="shared" si="734"/>
        <v>0</v>
      </c>
      <c r="DS201" s="1154">
        <f t="shared" si="735"/>
        <v>0</v>
      </c>
      <c r="DT201" s="1154">
        <f t="shared" si="736"/>
        <v>0</v>
      </c>
      <c r="DU201" s="1154">
        <f t="shared" si="737"/>
        <v>0</v>
      </c>
      <c r="DV201" s="1154">
        <f t="shared" si="738"/>
        <v>0</v>
      </c>
      <c r="DW201" s="1154">
        <f t="shared" si="739"/>
        <v>0</v>
      </c>
      <c r="DX201" s="1154">
        <f t="shared" si="740"/>
        <v>0</v>
      </c>
      <c r="DY201" s="1154">
        <f t="shared" si="741"/>
        <v>0</v>
      </c>
      <c r="DZ201" s="1154">
        <f t="shared" si="742"/>
        <v>0</v>
      </c>
      <c r="EA201" s="1154">
        <f t="shared" si="743"/>
        <v>0</v>
      </c>
      <c r="EB201" s="1154">
        <f t="shared" si="744"/>
        <v>0</v>
      </c>
      <c r="EC201" s="1154">
        <f t="shared" si="745"/>
        <v>0</v>
      </c>
      <c r="ED201" s="1154">
        <f t="shared" si="746"/>
        <v>0</v>
      </c>
      <c r="EE201" s="1154">
        <f t="shared" si="747"/>
        <v>0</v>
      </c>
      <c r="EF201" s="1154">
        <f t="shared" si="748"/>
        <v>0</v>
      </c>
      <c r="EG201" s="1154">
        <f t="shared" si="749"/>
        <v>0</v>
      </c>
      <c r="EH201" s="1154">
        <f t="shared" si="750"/>
        <v>0</v>
      </c>
      <c r="EI201" s="1154">
        <f t="shared" si="751"/>
        <v>0</v>
      </c>
      <c r="EJ201" s="1154">
        <f t="shared" si="752"/>
        <v>0</v>
      </c>
      <c r="EK201" s="1154">
        <f t="shared" si="753"/>
        <v>0</v>
      </c>
      <c r="EL201" s="1154">
        <f t="shared" si="754"/>
        <v>0</v>
      </c>
      <c r="EM201" s="1154">
        <f t="shared" si="755"/>
        <v>0</v>
      </c>
      <c r="EN201" s="1154">
        <f t="shared" si="756"/>
        <v>0</v>
      </c>
      <c r="EO201" s="1154">
        <f t="shared" si="757"/>
        <v>805202.3999328909</v>
      </c>
      <c r="EP201" s="1154">
        <f t="shared" si="758"/>
        <v>0</v>
      </c>
      <c r="EQ201" s="1154">
        <f t="shared" si="759"/>
        <v>0</v>
      </c>
      <c r="ER201" s="1154">
        <f t="shared" si="760"/>
        <v>0</v>
      </c>
      <c r="ES201" s="1154">
        <f t="shared" si="761"/>
        <v>0</v>
      </c>
      <c r="ET201" s="1154">
        <f t="shared" si="762"/>
        <v>0</v>
      </c>
      <c r="EU201" s="1154">
        <f t="shared" si="763"/>
        <v>0</v>
      </c>
      <c r="EV201" s="1154">
        <f t="shared" si="764"/>
        <v>0</v>
      </c>
      <c r="EW201" s="1154">
        <f t="shared" si="765"/>
        <v>0</v>
      </c>
      <c r="EX201" s="1154">
        <f t="shared" si="766"/>
        <v>0</v>
      </c>
      <c r="EY201" s="1154">
        <f t="shared" si="767"/>
        <v>0</v>
      </c>
      <c r="EZ201" s="1154">
        <f t="shared" si="768"/>
        <v>0</v>
      </c>
      <c r="FA201" s="1174">
        <f t="shared" si="769"/>
        <v>805202.3999328909</v>
      </c>
      <c r="FC201" s="1154">
        <f t="shared" si="770"/>
        <v>0</v>
      </c>
      <c r="FD201" s="1154">
        <f t="shared" si="771"/>
        <v>0</v>
      </c>
      <c r="FE201" s="1154">
        <f t="shared" si="772"/>
        <v>0</v>
      </c>
      <c r="FF201" s="1154">
        <f t="shared" si="773"/>
        <v>0</v>
      </c>
      <c r="FG201" s="1154">
        <f t="shared" si="774"/>
        <v>0</v>
      </c>
      <c r="FH201" s="1154">
        <f t="shared" si="775"/>
        <v>0</v>
      </c>
      <c r="FI201" s="1154">
        <f t="shared" si="776"/>
        <v>0</v>
      </c>
      <c r="FJ201" s="1154">
        <f t="shared" si="777"/>
        <v>0</v>
      </c>
      <c r="FK201" s="1154">
        <f t="shared" si="778"/>
        <v>0</v>
      </c>
      <c r="FL201" s="1154">
        <f t="shared" si="779"/>
        <v>0</v>
      </c>
      <c r="FM201" s="1154">
        <f t="shared" si="780"/>
        <v>0</v>
      </c>
      <c r="FN201" s="1154">
        <f t="shared" si="781"/>
        <v>0</v>
      </c>
      <c r="FO201" s="1154">
        <f t="shared" si="782"/>
        <v>0</v>
      </c>
      <c r="FP201" s="1154">
        <f t="shared" si="783"/>
        <v>0</v>
      </c>
      <c r="FQ201" s="1154">
        <f t="shared" si="784"/>
        <v>0</v>
      </c>
      <c r="FR201" s="1154">
        <f t="shared" si="785"/>
        <v>0</v>
      </c>
      <c r="FS201" s="1154">
        <f t="shared" si="786"/>
        <v>0</v>
      </c>
      <c r="FT201" s="1154">
        <f t="shared" si="787"/>
        <v>0</v>
      </c>
      <c r="FU201" s="1154">
        <f t="shared" si="788"/>
        <v>0</v>
      </c>
      <c r="FV201" s="1154">
        <f t="shared" si="789"/>
        <v>0</v>
      </c>
      <c r="FW201" s="1154">
        <f t="shared" si="790"/>
        <v>0</v>
      </c>
      <c r="FX201" s="1154">
        <f t="shared" si="791"/>
        <v>0</v>
      </c>
      <c r="FY201" s="1154">
        <f t="shared" si="792"/>
        <v>0</v>
      </c>
      <c r="FZ201" s="1154">
        <f t="shared" si="793"/>
        <v>784202.56772356748</v>
      </c>
      <c r="GA201" s="1154">
        <f t="shared" si="794"/>
        <v>0</v>
      </c>
      <c r="GB201" s="1154">
        <f t="shared" si="795"/>
        <v>0</v>
      </c>
      <c r="GC201" s="1154">
        <f t="shared" si="796"/>
        <v>0</v>
      </c>
      <c r="GD201" s="1154">
        <f t="shared" si="797"/>
        <v>0</v>
      </c>
      <c r="GE201" s="1154">
        <f t="shared" si="798"/>
        <v>0</v>
      </c>
      <c r="GF201" s="1154">
        <f t="shared" si="799"/>
        <v>0</v>
      </c>
      <c r="GG201" s="1154">
        <f t="shared" si="800"/>
        <v>0</v>
      </c>
      <c r="GH201" s="1154">
        <f t="shared" si="801"/>
        <v>0</v>
      </c>
      <c r="GI201" s="1154">
        <f t="shared" si="802"/>
        <v>0</v>
      </c>
      <c r="GJ201" s="1154">
        <f t="shared" si="803"/>
        <v>0</v>
      </c>
      <c r="GK201" s="1154">
        <f t="shared" si="804"/>
        <v>0</v>
      </c>
      <c r="GL201" s="1174">
        <f t="shared" si="805"/>
        <v>784202.56772356748</v>
      </c>
    </row>
    <row r="202" spans="1:194">
      <c r="B202" s="1290" t="str">
        <f t="shared" si="733"/>
        <v>SACDUOSEVN</v>
      </c>
      <c r="C202" s="1289" t="str">
        <f t="shared" ref="C202" si="807">C201</f>
        <v>East SAC&lt;100MWhpa Volume Night Controlled</v>
      </c>
      <c r="D202" s="1113" t="str">
        <f t="shared" ref="D202:H202" si="808">D201</f>
        <v>East SAC&lt;100MWhpa Volume Night Controlled</v>
      </c>
      <c r="E202" s="1113" t="str">
        <f t="shared" si="808"/>
        <v>SAC</v>
      </c>
      <c r="F202" s="1113" t="str">
        <f t="shared" si="808"/>
        <v>SACS CL</v>
      </c>
      <c r="G202" s="1113" t="str">
        <f t="shared" ref="G202" si="809">G201</f>
        <v>East</v>
      </c>
      <c r="H202" s="1113" t="str">
        <f t="shared" si="808"/>
        <v>EVN</v>
      </c>
      <c r="I202" s="1114" t="s">
        <v>759</v>
      </c>
      <c r="J202" s="1114" t="s">
        <v>934</v>
      </c>
      <c r="K202" s="1270"/>
      <c r="L202" s="1112"/>
      <c r="M202" s="1007"/>
      <c r="N202" s="1007"/>
      <c r="O202" s="1007"/>
      <c r="P202" s="1007"/>
      <c r="Q202" s="1007"/>
      <c r="R202" s="1007"/>
      <c r="S202" s="1007"/>
      <c r="T202" s="1007"/>
      <c r="U202" s="1007"/>
      <c r="V202" s="1007"/>
      <c r="W202" s="1007"/>
      <c r="X202" s="1007"/>
      <c r="Y202" s="1007"/>
      <c r="Z202" s="1007"/>
      <c r="AA202" s="1007"/>
      <c r="AB202" s="1007"/>
      <c r="AC202" s="1007"/>
      <c r="AD202" s="1007"/>
      <c r="AE202" s="1007"/>
      <c r="AF202" s="1007"/>
      <c r="AG202" s="1007"/>
      <c r="AH202" s="1007"/>
      <c r="AI202" s="1233">
        <v>1.4121324100704864E-2</v>
      </c>
      <c r="AJ202" s="1005"/>
      <c r="AK202" s="1005"/>
      <c r="AL202" s="1005"/>
      <c r="AM202" s="1005"/>
      <c r="AN202" s="1005"/>
      <c r="AO202" s="1005"/>
      <c r="AP202" s="1005"/>
      <c r="AQ202" s="1005"/>
      <c r="AR202" s="1005"/>
      <c r="AS202" s="1005"/>
      <c r="AT202" s="1005"/>
      <c r="AU202" s="1006"/>
      <c r="AV202" s="1270"/>
      <c r="AW202" s="1006"/>
      <c r="AX202" s="1006"/>
      <c r="AY202" s="1006"/>
      <c r="AZ202" s="1006"/>
      <c r="BA202" s="1006"/>
      <c r="BB202" s="1006"/>
      <c r="BC202" s="1006"/>
      <c r="BD202" s="1006"/>
      <c r="BE202" s="1006"/>
      <c r="BF202" s="1006"/>
      <c r="BG202" s="1006"/>
      <c r="BH202" s="1006"/>
      <c r="BI202" s="1006"/>
      <c r="BJ202" s="1006"/>
      <c r="BK202" s="1006"/>
      <c r="BL202" s="1006"/>
      <c r="BM202" s="1006"/>
      <c r="BN202" s="1006"/>
      <c r="BO202" s="1006"/>
      <c r="BP202" s="1006"/>
      <c r="BQ202" s="1006"/>
      <c r="BR202" s="1006"/>
      <c r="BS202" s="1006"/>
      <c r="BT202" s="1480">
        <v>1.4772535454067301E-2</v>
      </c>
      <c r="BU202" s="1006"/>
      <c r="BV202" s="1006"/>
      <c r="BW202" s="1006"/>
      <c r="BX202" s="1006"/>
      <c r="BY202" s="1006"/>
      <c r="BZ202" s="1006"/>
      <c r="CA202" s="1006"/>
      <c r="CB202" s="1006"/>
      <c r="CC202" s="1006"/>
      <c r="CD202" s="1006"/>
      <c r="CE202" s="1006"/>
      <c r="CF202" s="1006"/>
      <c r="CG202" s="1209"/>
      <c r="CH202" s="1112"/>
      <c r="CI202" s="1007"/>
      <c r="CJ202" s="1007"/>
      <c r="CK202" s="1007"/>
      <c r="CL202" s="1007"/>
      <c r="CM202" s="1007"/>
      <c r="CN202" s="1007"/>
      <c r="CO202" s="1007"/>
      <c r="CP202" s="1007"/>
      <c r="CQ202" s="1007"/>
      <c r="CR202" s="1007"/>
      <c r="CS202" s="1007"/>
      <c r="CT202" s="1007"/>
      <c r="CU202" s="1007"/>
      <c r="CV202" s="1007"/>
      <c r="CW202" s="1007"/>
      <c r="CX202" s="1007"/>
      <c r="CY202" s="1007"/>
      <c r="CZ202" s="1007"/>
      <c r="DA202" s="1007"/>
      <c r="DB202" s="1007"/>
      <c r="DC202" s="1007"/>
      <c r="DD202" s="1007"/>
      <c r="DE202" s="1236">
        <v>31435106.141639587</v>
      </c>
      <c r="DF202" s="1007"/>
      <c r="DG202" s="1007"/>
      <c r="DH202" s="1007"/>
      <c r="DI202" s="1006"/>
      <c r="DJ202" s="1006"/>
      <c r="DK202" s="1007"/>
      <c r="DL202" s="1007"/>
      <c r="DM202" s="1007"/>
      <c r="DN202" s="1007"/>
      <c r="DO202" s="1112"/>
      <c r="DP202" s="1112"/>
      <c r="DQ202" s="1270"/>
      <c r="DR202" s="1154">
        <f t="shared" si="734"/>
        <v>0</v>
      </c>
      <c r="DS202" s="1154">
        <f t="shared" si="735"/>
        <v>0</v>
      </c>
      <c r="DT202" s="1154">
        <f t="shared" si="736"/>
        <v>0</v>
      </c>
      <c r="DU202" s="1154">
        <f t="shared" si="737"/>
        <v>0</v>
      </c>
      <c r="DV202" s="1154">
        <f t="shared" si="738"/>
        <v>0</v>
      </c>
      <c r="DW202" s="1154">
        <f t="shared" si="739"/>
        <v>0</v>
      </c>
      <c r="DX202" s="1154">
        <f t="shared" si="740"/>
        <v>0</v>
      </c>
      <c r="DY202" s="1154">
        <f t="shared" si="741"/>
        <v>0</v>
      </c>
      <c r="DZ202" s="1154">
        <f t="shared" si="742"/>
        <v>0</v>
      </c>
      <c r="EA202" s="1154">
        <f t="shared" si="743"/>
        <v>0</v>
      </c>
      <c r="EB202" s="1154">
        <f t="shared" si="744"/>
        <v>0</v>
      </c>
      <c r="EC202" s="1154">
        <f t="shared" si="745"/>
        <v>0</v>
      </c>
      <c r="ED202" s="1154">
        <f t="shared" si="746"/>
        <v>0</v>
      </c>
      <c r="EE202" s="1154">
        <f t="shared" si="747"/>
        <v>0</v>
      </c>
      <c r="EF202" s="1154">
        <f t="shared" si="748"/>
        <v>0</v>
      </c>
      <c r="EG202" s="1154">
        <f t="shared" si="749"/>
        <v>0</v>
      </c>
      <c r="EH202" s="1154">
        <f t="shared" si="750"/>
        <v>0</v>
      </c>
      <c r="EI202" s="1154">
        <f t="shared" si="751"/>
        <v>0</v>
      </c>
      <c r="EJ202" s="1154">
        <f t="shared" si="752"/>
        <v>0</v>
      </c>
      <c r="EK202" s="1154">
        <f t="shared" si="753"/>
        <v>0</v>
      </c>
      <c r="EL202" s="1154">
        <f t="shared" si="754"/>
        <v>0</v>
      </c>
      <c r="EM202" s="1154">
        <f t="shared" si="755"/>
        <v>0</v>
      </c>
      <c r="EN202" s="1154">
        <f t="shared" si="756"/>
        <v>0</v>
      </c>
      <c r="EO202" s="1154">
        <f t="shared" si="757"/>
        <v>443905.3219661506</v>
      </c>
      <c r="EP202" s="1154">
        <f t="shared" si="758"/>
        <v>0</v>
      </c>
      <c r="EQ202" s="1154">
        <f t="shared" si="759"/>
        <v>0</v>
      </c>
      <c r="ER202" s="1154">
        <f t="shared" si="760"/>
        <v>0</v>
      </c>
      <c r="ES202" s="1154">
        <f t="shared" si="761"/>
        <v>0</v>
      </c>
      <c r="ET202" s="1154">
        <f t="shared" si="762"/>
        <v>0</v>
      </c>
      <c r="EU202" s="1154">
        <f t="shared" si="763"/>
        <v>0</v>
      </c>
      <c r="EV202" s="1154">
        <f t="shared" si="764"/>
        <v>0</v>
      </c>
      <c r="EW202" s="1154">
        <f t="shared" si="765"/>
        <v>0</v>
      </c>
      <c r="EX202" s="1154">
        <f t="shared" si="766"/>
        <v>0</v>
      </c>
      <c r="EY202" s="1154">
        <f t="shared" si="767"/>
        <v>0</v>
      </c>
      <c r="EZ202" s="1154">
        <f t="shared" si="768"/>
        <v>0</v>
      </c>
      <c r="FA202" s="1174">
        <f t="shared" si="769"/>
        <v>443905.3219661506</v>
      </c>
      <c r="FC202" s="1154">
        <f t="shared" si="770"/>
        <v>0</v>
      </c>
      <c r="FD202" s="1154">
        <f t="shared" si="771"/>
        <v>0</v>
      </c>
      <c r="FE202" s="1154">
        <f t="shared" si="772"/>
        <v>0</v>
      </c>
      <c r="FF202" s="1154">
        <f t="shared" si="773"/>
        <v>0</v>
      </c>
      <c r="FG202" s="1154">
        <f t="shared" si="774"/>
        <v>0</v>
      </c>
      <c r="FH202" s="1154">
        <f t="shared" si="775"/>
        <v>0</v>
      </c>
      <c r="FI202" s="1154">
        <f t="shared" si="776"/>
        <v>0</v>
      </c>
      <c r="FJ202" s="1154">
        <f t="shared" si="777"/>
        <v>0</v>
      </c>
      <c r="FK202" s="1154">
        <f t="shared" si="778"/>
        <v>0</v>
      </c>
      <c r="FL202" s="1154">
        <f t="shared" si="779"/>
        <v>0</v>
      </c>
      <c r="FM202" s="1154">
        <f t="shared" si="780"/>
        <v>0</v>
      </c>
      <c r="FN202" s="1154">
        <f t="shared" si="781"/>
        <v>0</v>
      </c>
      <c r="FO202" s="1154">
        <f t="shared" si="782"/>
        <v>0</v>
      </c>
      <c r="FP202" s="1154">
        <f t="shared" si="783"/>
        <v>0</v>
      </c>
      <c r="FQ202" s="1154">
        <f t="shared" si="784"/>
        <v>0</v>
      </c>
      <c r="FR202" s="1154">
        <f t="shared" si="785"/>
        <v>0</v>
      </c>
      <c r="FS202" s="1154">
        <f t="shared" si="786"/>
        <v>0</v>
      </c>
      <c r="FT202" s="1154">
        <f t="shared" si="787"/>
        <v>0</v>
      </c>
      <c r="FU202" s="1154">
        <f t="shared" si="788"/>
        <v>0</v>
      </c>
      <c r="FV202" s="1154">
        <f t="shared" si="789"/>
        <v>0</v>
      </c>
      <c r="FW202" s="1154">
        <f t="shared" si="790"/>
        <v>0</v>
      </c>
      <c r="FX202" s="1154">
        <f t="shared" si="791"/>
        <v>0</v>
      </c>
      <c r="FY202" s="1154">
        <f t="shared" si="792"/>
        <v>0</v>
      </c>
      <c r="FZ202" s="1154">
        <f t="shared" si="793"/>
        <v>464376.21997973957</v>
      </c>
      <c r="GA202" s="1154">
        <f t="shared" si="794"/>
        <v>0</v>
      </c>
      <c r="GB202" s="1154">
        <f t="shared" si="795"/>
        <v>0</v>
      </c>
      <c r="GC202" s="1154">
        <f t="shared" si="796"/>
        <v>0</v>
      </c>
      <c r="GD202" s="1154">
        <f t="shared" si="797"/>
        <v>0</v>
      </c>
      <c r="GE202" s="1154">
        <f t="shared" si="798"/>
        <v>0</v>
      </c>
      <c r="GF202" s="1154">
        <f t="shared" si="799"/>
        <v>0</v>
      </c>
      <c r="GG202" s="1154">
        <f t="shared" si="800"/>
        <v>0</v>
      </c>
      <c r="GH202" s="1154">
        <f t="shared" si="801"/>
        <v>0</v>
      </c>
      <c r="GI202" s="1154">
        <f t="shared" si="802"/>
        <v>0</v>
      </c>
      <c r="GJ202" s="1154">
        <f t="shared" si="803"/>
        <v>0</v>
      </c>
      <c r="GK202" s="1154">
        <f t="shared" si="804"/>
        <v>0</v>
      </c>
      <c r="GL202" s="1174">
        <f t="shared" si="805"/>
        <v>464376.21997973957</v>
      </c>
    </row>
    <row r="203" spans="1:194">
      <c r="B203" s="1290" t="str">
        <f t="shared" si="733"/>
        <v>SACDUOSWVN</v>
      </c>
      <c r="C203" s="1289" t="str">
        <f>Prop2021DUOSTariffs!C91</f>
        <v>West SAC&lt;100MWhpa VolumeNightControlled</v>
      </c>
      <c r="D203" s="1113" t="str">
        <f>Prop2021DUOSTariffs!D91</f>
        <v>West SAC&lt;100MWhpa VolumeNightControlled</v>
      </c>
      <c r="E203" s="1113" t="str">
        <f>Prop2021DUOSTariffs!E91</f>
        <v>SAC</v>
      </c>
      <c r="F203" s="1113" t="str">
        <f>Prop2021DUOSTariffs!F91</f>
        <v>SACS CL</v>
      </c>
      <c r="G203" s="1113" t="str">
        <f>Prop2021DUOSTariffs!G91</f>
        <v>West</v>
      </c>
      <c r="H203" s="1113" t="str">
        <f>Prop2021DUOSTariffs!H91</f>
        <v>WVN</v>
      </c>
      <c r="I203" s="1114" t="s">
        <v>798</v>
      </c>
      <c r="J203" s="1114" t="s">
        <v>934</v>
      </c>
      <c r="K203" s="1270"/>
      <c r="L203" s="1112"/>
      <c r="M203" s="1007"/>
      <c r="N203" s="1007"/>
      <c r="O203" s="1007"/>
      <c r="P203" s="1007"/>
      <c r="Q203" s="1007"/>
      <c r="R203" s="1007"/>
      <c r="S203" s="1007"/>
      <c r="T203" s="1007"/>
      <c r="U203" s="1007"/>
      <c r="V203" s="1007"/>
      <c r="W203" s="1007"/>
      <c r="X203" s="1007"/>
      <c r="Y203" s="1007"/>
      <c r="Z203" s="1007"/>
      <c r="AA203" s="1007"/>
      <c r="AB203" s="1007"/>
      <c r="AC203" s="1007"/>
      <c r="AD203" s="1007"/>
      <c r="AE203" s="1007"/>
      <c r="AF203" s="1007"/>
      <c r="AG203" s="1007"/>
      <c r="AH203" s="1007"/>
      <c r="AI203" s="1233">
        <v>1.2756140745273986E-2</v>
      </c>
      <c r="AJ203" s="1005"/>
      <c r="AK203" s="1005"/>
      <c r="AL203" s="1005"/>
      <c r="AM203" s="1005"/>
      <c r="AN203" s="1005"/>
      <c r="AO203" s="1005"/>
      <c r="AP203" s="1005"/>
      <c r="AQ203" s="1005"/>
      <c r="AR203" s="1005"/>
      <c r="AS203" s="1005"/>
      <c r="AT203" s="1005"/>
      <c r="AU203" s="1006"/>
      <c r="AV203" s="1270"/>
      <c r="AW203" s="1006"/>
      <c r="AX203" s="1006"/>
      <c r="AY203" s="1006"/>
      <c r="AZ203" s="1006"/>
      <c r="BA203" s="1006"/>
      <c r="BB203" s="1006"/>
      <c r="BC203" s="1006"/>
      <c r="BD203" s="1006"/>
      <c r="BE203" s="1006"/>
      <c r="BF203" s="1006"/>
      <c r="BG203" s="1006"/>
      <c r="BH203" s="1006"/>
      <c r="BI203" s="1006"/>
      <c r="BJ203" s="1006"/>
      <c r="BK203" s="1006"/>
      <c r="BL203" s="1006"/>
      <c r="BM203" s="1006"/>
      <c r="BN203" s="1006"/>
      <c r="BO203" s="1006"/>
      <c r="BP203" s="1006"/>
      <c r="BQ203" s="1006"/>
      <c r="BR203" s="1006"/>
      <c r="BS203" s="1006"/>
      <c r="BT203" s="1480">
        <v>9.9886311700567981E-3</v>
      </c>
      <c r="BU203" s="1006"/>
      <c r="BV203" s="1006"/>
      <c r="BW203" s="1006"/>
      <c r="BX203" s="1006"/>
      <c r="BY203" s="1006"/>
      <c r="BZ203" s="1006"/>
      <c r="CA203" s="1006"/>
      <c r="CB203" s="1006"/>
      <c r="CC203" s="1006"/>
      <c r="CD203" s="1006"/>
      <c r="CE203" s="1006"/>
      <c r="CF203" s="1006"/>
      <c r="CG203" s="1209"/>
      <c r="CH203" s="1112"/>
      <c r="CI203" s="1007"/>
      <c r="CJ203" s="1007"/>
      <c r="CK203" s="1007"/>
      <c r="CL203" s="1007"/>
      <c r="CM203" s="1007"/>
      <c r="CN203" s="1007"/>
      <c r="CO203" s="1007"/>
      <c r="CP203" s="1007"/>
      <c r="CQ203" s="1007"/>
      <c r="CR203" s="1007"/>
      <c r="CS203" s="1007"/>
      <c r="CT203" s="1007"/>
      <c r="CU203" s="1007"/>
      <c r="CV203" s="1007"/>
      <c r="CW203" s="1007"/>
      <c r="CX203" s="1007"/>
      <c r="CY203" s="1007"/>
      <c r="CZ203" s="1007"/>
      <c r="DA203" s="1007"/>
      <c r="DB203" s="1007"/>
      <c r="DC203" s="1007"/>
      <c r="DD203" s="1007"/>
      <c r="DE203" s="1236">
        <v>5906590.0143644297</v>
      </c>
      <c r="DF203" s="1007"/>
      <c r="DG203" s="1007"/>
      <c r="DH203" s="1007"/>
      <c r="DI203" s="1006"/>
      <c r="DJ203" s="1006"/>
      <c r="DK203" s="1007"/>
      <c r="DL203" s="1007"/>
      <c r="DM203" s="1007"/>
      <c r="DN203" s="1007"/>
      <c r="DO203" s="1112"/>
      <c r="DP203" s="1112"/>
      <c r="DQ203" s="1270"/>
      <c r="DR203" s="1154">
        <f t="shared" si="734"/>
        <v>0</v>
      </c>
      <c r="DS203" s="1154">
        <f t="shared" si="735"/>
        <v>0</v>
      </c>
      <c r="DT203" s="1154">
        <f t="shared" si="736"/>
        <v>0</v>
      </c>
      <c r="DU203" s="1154">
        <f t="shared" si="737"/>
        <v>0</v>
      </c>
      <c r="DV203" s="1154">
        <f t="shared" si="738"/>
        <v>0</v>
      </c>
      <c r="DW203" s="1154">
        <f t="shared" si="739"/>
        <v>0</v>
      </c>
      <c r="DX203" s="1154">
        <f t="shared" si="740"/>
        <v>0</v>
      </c>
      <c r="DY203" s="1154">
        <f t="shared" si="741"/>
        <v>0</v>
      </c>
      <c r="DZ203" s="1154">
        <f t="shared" si="742"/>
        <v>0</v>
      </c>
      <c r="EA203" s="1154">
        <f t="shared" si="743"/>
        <v>0</v>
      </c>
      <c r="EB203" s="1154">
        <f t="shared" si="744"/>
        <v>0</v>
      </c>
      <c r="EC203" s="1154">
        <f t="shared" si="745"/>
        <v>0</v>
      </c>
      <c r="ED203" s="1154">
        <f t="shared" si="746"/>
        <v>0</v>
      </c>
      <c r="EE203" s="1154">
        <f t="shared" si="747"/>
        <v>0</v>
      </c>
      <c r="EF203" s="1154">
        <f t="shared" si="748"/>
        <v>0</v>
      </c>
      <c r="EG203" s="1154">
        <f t="shared" si="749"/>
        <v>0</v>
      </c>
      <c r="EH203" s="1154">
        <f t="shared" si="750"/>
        <v>0</v>
      </c>
      <c r="EI203" s="1154">
        <f t="shared" si="751"/>
        <v>0</v>
      </c>
      <c r="EJ203" s="1154">
        <f t="shared" si="752"/>
        <v>0</v>
      </c>
      <c r="EK203" s="1154">
        <f t="shared" si="753"/>
        <v>0</v>
      </c>
      <c r="EL203" s="1154">
        <f t="shared" si="754"/>
        <v>0</v>
      </c>
      <c r="EM203" s="1154">
        <f t="shared" si="755"/>
        <v>0</v>
      </c>
      <c r="EN203" s="1154">
        <f t="shared" si="756"/>
        <v>0</v>
      </c>
      <c r="EO203" s="1154">
        <f t="shared" si="757"/>
        <v>75345.293547862559</v>
      </c>
      <c r="EP203" s="1154">
        <f t="shared" si="758"/>
        <v>0</v>
      </c>
      <c r="EQ203" s="1154">
        <f t="shared" si="759"/>
        <v>0</v>
      </c>
      <c r="ER203" s="1154">
        <f t="shared" si="760"/>
        <v>0</v>
      </c>
      <c r="ES203" s="1154">
        <f t="shared" si="761"/>
        <v>0</v>
      </c>
      <c r="ET203" s="1154">
        <f t="shared" si="762"/>
        <v>0</v>
      </c>
      <c r="EU203" s="1154">
        <f t="shared" si="763"/>
        <v>0</v>
      </c>
      <c r="EV203" s="1154">
        <f t="shared" si="764"/>
        <v>0</v>
      </c>
      <c r="EW203" s="1154">
        <f t="shared" si="765"/>
        <v>0</v>
      </c>
      <c r="EX203" s="1154">
        <f t="shared" si="766"/>
        <v>0</v>
      </c>
      <c r="EY203" s="1154">
        <f t="shared" si="767"/>
        <v>0</v>
      </c>
      <c r="EZ203" s="1154">
        <f t="shared" si="768"/>
        <v>0</v>
      </c>
      <c r="FA203" s="1174">
        <f t="shared" si="769"/>
        <v>75345.293547862559</v>
      </c>
      <c r="FC203" s="1154">
        <f t="shared" si="770"/>
        <v>0</v>
      </c>
      <c r="FD203" s="1154">
        <f t="shared" si="771"/>
        <v>0</v>
      </c>
      <c r="FE203" s="1154">
        <f t="shared" si="772"/>
        <v>0</v>
      </c>
      <c r="FF203" s="1154">
        <f t="shared" si="773"/>
        <v>0</v>
      </c>
      <c r="FG203" s="1154">
        <f t="shared" si="774"/>
        <v>0</v>
      </c>
      <c r="FH203" s="1154">
        <f t="shared" si="775"/>
        <v>0</v>
      </c>
      <c r="FI203" s="1154">
        <f t="shared" si="776"/>
        <v>0</v>
      </c>
      <c r="FJ203" s="1154">
        <f t="shared" si="777"/>
        <v>0</v>
      </c>
      <c r="FK203" s="1154">
        <f t="shared" si="778"/>
        <v>0</v>
      </c>
      <c r="FL203" s="1154">
        <f t="shared" si="779"/>
        <v>0</v>
      </c>
      <c r="FM203" s="1154">
        <f t="shared" si="780"/>
        <v>0</v>
      </c>
      <c r="FN203" s="1154">
        <f t="shared" si="781"/>
        <v>0</v>
      </c>
      <c r="FO203" s="1154">
        <f t="shared" si="782"/>
        <v>0</v>
      </c>
      <c r="FP203" s="1154">
        <f t="shared" si="783"/>
        <v>0</v>
      </c>
      <c r="FQ203" s="1154">
        <f t="shared" si="784"/>
        <v>0</v>
      </c>
      <c r="FR203" s="1154">
        <f t="shared" si="785"/>
        <v>0</v>
      </c>
      <c r="FS203" s="1154">
        <f t="shared" si="786"/>
        <v>0</v>
      </c>
      <c r="FT203" s="1154">
        <f t="shared" si="787"/>
        <v>0</v>
      </c>
      <c r="FU203" s="1154">
        <f t="shared" si="788"/>
        <v>0</v>
      </c>
      <c r="FV203" s="1154">
        <f t="shared" si="789"/>
        <v>0</v>
      </c>
      <c r="FW203" s="1154">
        <f t="shared" si="790"/>
        <v>0</v>
      </c>
      <c r="FX203" s="1154">
        <f t="shared" si="791"/>
        <v>0</v>
      </c>
      <c r="FY203" s="1154">
        <f t="shared" si="792"/>
        <v>0</v>
      </c>
      <c r="FZ203" s="1154">
        <f t="shared" si="793"/>
        <v>58998.749126226772</v>
      </c>
      <c r="GA203" s="1154">
        <f t="shared" si="794"/>
        <v>0</v>
      </c>
      <c r="GB203" s="1154">
        <f t="shared" si="795"/>
        <v>0</v>
      </c>
      <c r="GC203" s="1154">
        <f t="shared" si="796"/>
        <v>0</v>
      </c>
      <c r="GD203" s="1154">
        <f t="shared" si="797"/>
        <v>0</v>
      </c>
      <c r="GE203" s="1154">
        <f t="shared" si="798"/>
        <v>0</v>
      </c>
      <c r="GF203" s="1154">
        <f t="shared" si="799"/>
        <v>0</v>
      </c>
      <c r="GG203" s="1154">
        <f t="shared" si="800"/>
        <v>0</v>
      </c>
      <c r="GH203" s="1154">
        <f t="shared" si="801"/>
        <v>0</v>
      </c>
      <c r="GI203" s="1154">
        <f t="shared" si="802"/>
        <v>0</v>
      </c>
      <c r="GJ203" s="1154">
        <f t="shared" si="803"/>
        <v>0</v>
      </c>
      <c r="GK203" s="1154">
        <f t="shared" si="804"/>
        <v>0</v>
      </c>
      <c r="GL203" s="1174">
        <f t="shared" si="805"/>
        <v>58998.749126226772</v>
      </c>
    </row>
    <row r="204" spans="1:194">
      <c r="B204" s="1290" t="str">
        <f t="shared" si="733"/>
        <v>SACDUOSWVN</v>
      </c>
      <c r="C204" s="1289" t="str">
        <f>C203</f>
        <v>West SAC&lt;100MWhpa VolumeNightControlled</v>
      </c>
      <c r="D204" s="1113" t="str">
        <f t="shared" ref="D204:H205" si="810">D203</f>
        <v>West SAC&lt;100MWhpa VolumeNightControlled</v>
      </c>
      <c r="E204" s="1113" t="str">
        <f t="shared" si="810"/>
        <v>SAC</v>
      </c>
      <c r="F204" s="1113" t="str">
        <f t="shared" si="810"/>
        <v>SACS CL</v>
      </c>
      <c r="G204" s="1113" t="str">
        <f t="shared" si="810"/>
        <v>West</v>
      </c>
      <c r="H204" s="1113" t="str">
        <f t="shared" si="810"/>
        <v>WVN</v>
      </c>
      <c r="I204" s="1114" t="s">
        <v>752</v>
      </c>
      <c r="J204" s="1114" t="s">
        <v>934</v>
      </c>
      <c r="K204" s="1270"/>
      <c r="L204" s="1112"/>
      <c r="M204" s="1007"/>
      <c r="N204" s="1007"/>
      <c r="O204" s="1007"/>
      <c r="P204" s="1007"/>
      <c r="Q204" s="1007"/>
      <c r="R204" s="1007"/>
      <c r="S204" s="1007"/>
      <c r="T204" s="1007"/>
      <c r="U204" s="1007"/>
      <c r="V204" s="1007"/>
      <c r="W204" s="1007"/>
      <c r="X204" s="1007"/>
      <c r="Y204" s="1007"/>
      <c r="Z204" s="1007"/>
      <c r="AA204" s="1007"/>
      <c r="AB204" s="1007"/>
      <c r="AC204" s="1007"/>
      <c r="AD204" s="1007"/>
      <c r="AE204" s="1007"/>
      <c r="AF204" s="1007"/>
      <c r="AG204" s="1007"/>
      <c r="AH204" s="1007"/>
      <c r="AI204" s="1233">
        <v>1.3580961239131205E-2</v>
      </c>
      <c r="AJ204" s="1005"/>
      <c r="AK204" s="1005"/>
      <c r="AL204" s="1005"/>
      <c r="AM204" s="1005"/>
      <c r="AN204" s="1005"/>
      <c r="AO204" s="1005"/>
      <c r="AP204" s="1005"/>
      <c r="AQ204" s="1005"/>
      <c r="AR204" s="1005"/>
      <c r="AS204" s="1005"/>
      <c r="AT204" s="1005"/>
      <c r="AU204" s="1006"/>
      <c r="AV204" s="1270"/>
      <c r="AW204" s="1006"/>
      <c r="AX204" s="1006"/>
      <c r="AY204" s="1006"/>
      <c r="AZ204" s="1006"/>
      <c r="BA204" s="1006"/>
      <c r="BB204" s="1006"/>
      <c r="BC204" s="1006"/>
      <c r="BD204" s="1006"/>
      <c r="BE204" s="1006"/>
      <c r="BF204" s="1006"/>
      <c r="BG204" s="1006"/>
      <c r="BH204" s="1006"/>
      <c r="BI204" s="1006"/>
      <c r="BJ204" s="1006"/>
      <c r="BK204" s="1006"/>
      <c r="BL204" s="1006"/>
      <c r="BM204" s="1006"/>
      <c r="BN204" s="1006"/>
      <c r="BO204" s="1006"/>
      <c r="BP204" s="1006"/>
      <c r="BQ204" s="1006"/>
      <c r="BR204" s="1006"/>
      <c r="BS204" s="1006"/>
      <c r="BT204" s="1480">
        <v>1.3226767178995704E-2</v>
      </c>
      <c r="BU204" s="1006"/>
      <c r="BV204" s="1006"/>
      <c r="BW204" s="1006"/>
      <c r="BX204" s="1006"/>
      <c r="BY204" s="1006"/>
      <c r="BZ204" s="1006"/>
      <c r="CA204" s="1006"/>
      <c r="CB204" s="1006"/>
      <c r="CC204" s="1006"/>
      <c r="CD204" s="1006"/>
      <c r="CE204" s="1006"/>
      <c r="CF204" s="1006"/>
      <c r="CG204" s="1209"/>
      <c r="CH204" s="1112"/>
      <c r="CI204" s="1007"/>
      <c r="CJ204" s="1007"/>
      <c r="CK204" s="1007"/>
      <c r="CL204" s="1007"/>
      <c r="CM204" s="1007"/>
      <c r="CN204" s="1007"/>
      <c r="CO204" s="1007"/>
      <c r="CP204" s="1007"/>
      <c r="CQ204" s="1007"/>
      <c r="CR204" s="1007"/>
      <c r="CS204" s="1007"/>
      <c r="CT204" s="1007"/>
      <c r="CU204" s="1007"/>
      <c r="CV204" s="1007"/>
      <c r="CW204" s="1007"/>
      <c r="CX204" s="1007"/>
      <c r="CY204" s="1007"/>
      <c r="CZ204" s="1007"/>
      <c r="DA204" s="1007"/>
      <c r="DB204" s="1007"/>
      <c r="DC204" s="1007"/>
      <c r="DD204" s="1007"/>
      <c r="DE204" s="1236">
        <v>1732315.9479483415</v>
      </c>
      <c r="DF204" s="1007"/>
      <c r="DG204" s="1007"/>
      <c r="DH204" s="1007"/>
      <c r="DI204" s="1006"/>
      <c r="DJ204" s="1006"/>
      <c r="DK204" s="1007"/>
      <c r="DL204" s="1007"/>
      <c r="DM204" s="1007"/>
      <c r="DN204" s="1007"/>
      <c r="DO204" s="1112"/>
      <c r="DP204" s="1112"/>
      <c r="DQ204" s="1270"/>
      <c r="DR204" s="1154">
        <f t="shared" si="734"/>
        <v>0</v>
      </c>
      <c r="DS204" s="1154">
        <f t="shared" si="735"/>
        <v>0</v>
      </c>
      <c r="DT204" s="1154">
        <f t="shared" si="736"/>
        <v>0</v>
      </c>
      <c r="DU204" s="1154">
        <f t="shared" si="737"/>
        <v>0</v>
      </c>
      <c r="DV204" s="1154">
        <f t="shared" si="738"/>
        <v>0</v>
      </c>
      <c r="DW204" s="1154">
        <f t="shared" si="739"/>
        <v>0</v>
      </c>
      <c r="DX204" s="1154">
        <f t="shared" si="740"/>
        <v>0</v>
      </c>
      <c r="DY204" s="1154">
        <f t="shared" si="741"/>
        <v>0</v>
      </c>
      <c r="DZ204" s="1154">
        <f t="shared" si="742"/>
        <v>0</v>
      </c>
      <c r="EA204" s="1154">
        <f t="shared" si="743"/>
        <v>0</v>
      </c>
      <c r="EB204" s="1154">
        <f t="shared" si="744"/>
        <v>0</v>
      </c>
      <c r="EC204" s="1154">
        <f t="shared" si="745"/>
        <v>0</v>
      </c>
      <c r="ED204" s="1154">
        <f t="shared" si="746"/>
        <v>0</v>
      </c>
      <c r="EE204" s="1154">
        <f t="shared" si="747"/>
        <v>0</v>
      </c>
      <c r="EF204" s="1154">
        <f t="shared" si="748"/>
        <v>0</v>
      </c>
      <c r="EG204" s="1154">
        <f t="shared" si="749"/>
        <v>0</v>
      </c>
      <c r="EH204" s="1154">
        <f t="shared" si="750"/>
        <v>0</v>
      </c>
      <c r="EI204" s="1154">
        <f t="shared" si="751"/>
        <v>0</v>
      </c>
      <c r="EJ204" s="1154">
        <f t="shared" si="752"/>
        <v>0</v>
      </c>
      <c r="EK204" s="1154">
        <f t="shared" si="753"/>
        <v>0</v>
      </c>
      <c r="EL204" s="1154">
        <f t="shared" si="754"/>
        <v>0</v>
      </c>
      <c r="EM204" s="1154">
        <f t="shared" si="755"/>
        <v>0</v>
      </c>
      <c r="EN204" s="1154">
        <f t="shared" si="756"/>
        <v>0</v>
      </c>
      <c r="EO204" s="1154">
        <f t="shared" si="757"/>
        <v>23526.515743015258</v>
      </c>
      <c r="EP204" s="1154">
        <f t="shared" si="758"/>
        <v>0</v>
      </c>
      <c r="EQ204" s="1154">
        <f t="shared" si="759"/>
        <v>0</v>
      </c>
      <c r="ER204" s="1154">
        <f t="shared" si="760"/>
        <v>0</v>
      </c>
      <c r="ES204" s="1154">
        <f t="shared" si="761"/>
        <v>0</v>
      </c>
      <c r="ET204" s="1154">
        <f t="shared" si="762"/>
        <v>0</v>
      </c>
      <c r="EU204" s="1154">
        <f t="shared" si="763"/>
        <v>0</v>
      </c>
      <c r="EV204" s="1154">
        <f t="shared" si="764"/>
        <v>0</v>
      </c>
      <c r="EW204" s="1154">
        <f t="shared" si="765"/>
        <v>0</v>
      </c>
      <c r="EX204" s="1154">
        <f t="shared" si="766"/>
        <v>0</v>
      </c>
      <c r="EY204" s="1154">
        <f t="shared" si="767"/>
        <v>0</v>
      </c>
      <c r="EZ204" s="1154">
        <f t="shared" si="768"/>
        <v>0</v>
      </c>
      <c r="FA204" s="1174">
        <f t="shared" si="769"/>
        <v>23526.515743015258</v>
      </c>
      <c r="FC204" s="1154">
        <f t="shared" si="770"/>
        <v>0</v>
      </c>
      <c r="FD204" s="1154">
        <f t="shared" si="771"/>
        <v>0</v>
      </c>
      <c r="FE204" s="1154">
        <f t="shared" si="772"/>
        <v>0</v>
      </c>
      <c r="FF204" s="1154">
        <f t="shared" si="773"/>
        <v>0</v>
      </c>
      <c r="FG204" s="1154">
        <f t="shared" si="774"/>
        <v>0</v>
      </c>
      <c r="FH204" s="1154">
        <f t="shared" si="775"/>
        <v>0</v>
      </c>
      <c r="FI204" s="1154">
        <f t="shared" si="776"/>
        <v>0</v>
      </c>
      <c r="FJ204" s="1154">
        <f t="shared" si="777"/>
        <v>0</v>
      </c>
      <c r="FK204" s="1154">
        <f t="shared" si="778"/>
        <v>0</v>
      </c>
      <c r="FL204" s="1154">
        <f t="shared" si="779"/>
        <v>0</v>
      </c>
      <c r="FM204" s="1154">
        <f t="shared" si="780"/>
        <v>0</v>
      </c>
      <c r="FN204" s="1154">
        <f t="shared" si="781"/>
        <v>0</v>
      </c>
      <c r="FO204" s="1154">
        <f t="shared" si="782"/>
        <v>0</v>
      </c>
      <c r="FP204" s="1154">
        <f t="shared" si="783"/>
        <v>0</v>
      </c>
      <c r="FQ204" s="1154">
        <f t="shared" si="784"/>
        <v>0</v>
      </c>
      <c r="FR204" s="1154">
        <f t="shared" si="785"/>
        <v>0</v>
      </c>
      <c r="FS204" s="1154">
        <f t="shared" si="786"/>
        <v>0</v>
      </c>
      <c r="FT204" s="1154">
        <f t="shared" si="787"/>
        <v>0</v>
      </c>
      <c r="FU204" s="1154">
        <f t="shared" si="788"/>
        <v>0</v>
      </c>
      <c r="FV204" s="1154">
        <f t="shared" si="789"/>
        <v>0</v>
      </c>
      <c r="FW204" s="1154">
        <f t="shared" si="790"/>
        <v>0</v>
      </c>
      <c r="FX204" s="1154">
        <f t="shared" si="791"/>
        <v>0</v>
      </c>
      <c r="FY204" s="1154">
        <f t="shared" si="792"/>
        <v>0</v>
      </c>
      <c r="FZ204" s="1154">
        <f t="shared" si="793"/>
        <v>22912.939723973952</v>
      </c>
      <c r="GA204" s="1154">
        <f t="shared" si="794"/>
        <v>0</v>
      </c>
      <c r="GB204" s="1154">
        <f t="shared" si="795"/>
        <v>0</v>
      </c>
      <c r="GC204" s="1154">
        <f t="shared" si="796"/>
        <v>0</v>
      </c>
      <c r="GD204" s="1154">
        <f t="shared" si="797"/>
        <v>0</v>
      </c>
      <c r="GE204" s="1154">
        <f t="shared" si="798"/>
        <v>0</v>
      </c>
      <c r="GF204" s="1154">
        <f t="shared" si="799"/>
        <v>0</v>
      </c>
      <c r="GG204" s="1154">
        <f t="shared" si="800"/>
        <v>0</v>
      </c>
      <c r="GH204" s="1154">
        <f t="shared" si="801"/>
        <v>0</v>
      </c>
      <c r="GI204" s="1154">
        <f t="shared" si="802"/>
        <v>0</v>
      </c>
      <c r="GJ204" s="1154">
        <f t="shared" si="803"/>
        <v>0</v>
      </c>
      <c r="GK204" s="1154">
        <f t="shared" si="804"/>
        <v>0</v>
      </c>
      <c r="GL204" s="1174">
        <f t="shared" si="805"/>
        <v>22912.939723973952</v>
      </c>
    </row>
    <row r="205" spans="1:194">
      <c r="B205" s="1290" t="str">
        <f t="shared" si="733"/>
        <v>SACDUOSWVN</v>
      </c>
      <c r="C205" s="1289" t="str">
        <f t="shared" ref="C205:F205" si="811">C204</f>
        <v>West SAC&lt;100MWhpa VolumeNightControlled</v>
      </c>
      <c r="D205" s="1113" t="str">
        <f t="shared" si="811"/>
        <v>West SAC&lt;100MWhpa VolumeNightControlled</v>
      </c>
      <c r="E205" s="1113" t="str">
        <f t="shared" si="811"/>
        <v>SAC</v>
      </c>
      <c r="F205" s="1113" t="str">
        <f t="shared" si="811"/>
        <v>SACS CL</v>
      </c>
      <c r="G205" s="1113" t="str">
        <f t="shared" si="810"/>
        <v>West</v>
      </c>
      <c r="H205" s="1113" t="str">
        <f t="shared" si="810"/>
        <v>WVN</v>
      </c>
      <c r="I205" s="1114" t="s">
        <v>759</v>
      </c>
      <c r="J205" s="1114" t="s">
        <v>934</v>
      </c>
      <c r="K205" s="1270"/>
      <c r="L205" s="1112"/>
      <c r="M205" s="1007"/>
      <c r="N205" s="1007"/>
      <c r="O205" s="1007"/>
      <c r="P205" s="1007"/>
      <c r="Q205" s="1007"/>
      <c r="R205" s="1007"/>
      <c r="S205" s="1007"/>
      <c r="T205" s="1007"/>
      <c r="U205" s="1007"/>
      <c r="V205" s="1007"/>
      <c r="W205" s="1007"/>
      <c r="X205" s="1007"/>
      <c r="Y205" s="1007"/>
      <c r="Z205" s="1007"/>
      <c r="AA205" s="1007"/>
      <c r="AB205" s="1007"/>
      <c r="AC205" s="1007"/>
      <c r="AD205" s="1007"/>
      <c r="AE205" s="1007"/>
      <c r="AF205" s="1007"/>
      <c r="AG205" s="1007"/>
      <c r="AH205" s="1007"/>
      <c r="AI205" s="1233">
        <v>1.4121324100704864E-2</v>
      </c>
      <c r="AJ205" s="1005"/>
      <c r="AK205" s="1005"/>
      <c r="AL205" s="1005"/>
      <c r="AM205" s="1005"/>
      <c r="AN205" s="1005"/>
      <c r="AO205" s="1005"/>
      <c r="AP205" s="1005"/>
      <c r="AQ205" s="1005"/>
      <c r="AR205" s="1005"/>
      <c r="AS205" s="1005"/>
      <c r="AT205" s="1005"/>
      <c r="AU205" s="1006"/>
      <c r="AV205" s="1270"/>
      <c r="AW205" s="1006"/>
      <c r="AX205" s="1006"/>
      <c r="AY205" s="1006"/>
      <c r="AZ205" s="1006"/>
      <c r="BA205" s="1006"/>
      <c r="BB205" s="1006"/>
      <c r="BC205" s="1006"/>
      <c r="BD205" s="1006"/>
      <c r="BE205" s="1006"/>
      <c r="BF205" s="1006"/>
      <c r="BG205" s="1006"/>
      <c r="BH205" s="1006"/>
      <c r="BI205" s="1006"/>
      <c r="BJ205" s="1006"/>
      <c r="BK205" s="1006"/>
      <c r="BL205" s="1006"/>
      <c r="BM205" s="1006"/>
      <c r="BN205" s="1006"/>
      <c r="BO205" s="1006"/>
      <c r="BP205" s="1006"/>
      <c r="BQ205" s="1006"/>
      <c r="BR205" s="1006"/>
      <c r="BS205" s="1006"/>
      <c r="BT205" s="1480">
        <v>1.4772535454067301E-2</v>
      </c>
      <c r="BU205" s="1006"/>
      <c r="BV205" s="1006"/>
      <c r="BW205" s="1006"/>
      <c r="BX205" s="1006"/>
      <c r="BY205" s="1006"/>
      <c r="BZ205" s="1006"/>
      <c r="CA205" s="1006"/>
      <c r="CB205" s="1006"/>
      <c r="CC205" s="1006"/>
      <c r="CD205" s="1006"/>
      <c r="CE205" s="1006"/>
      <c r="CF205" s="1006"/>
      <c r="CG205" s="1209"/>
      <c r="CH205" s="1112"/>
      <c r="CI205" s="1007"/>
      <c r="CJ205" s="1007"/>
      <c r="CK205" s="1007"/>
      <c r="CL205" s="1007"/>
      <c r="CM205" s="1007"/>
      <c r="CN205" s="1007"/>
      <c r="CO205" s="1007"/>
      <c r="CP205" s="1007"/>
      <c r="CQ205" s="1007"/>
      <c r="CR205" s="1007"/>
      <c r="CS205" s="1007"/>
      <c r="CT205" s="1007"/>
      <c r="CU205" s="1007"/>
      <c r="CV205" s="1007"/>
      <c r="CW205" s="1007"/>
      <c r="CX205" s="1007"/>
      <c r="CY205" s="1007"/>
      <c r="CZ205" s="1007"/>
      <c r="DA205" s="1007"/>
      <c r="DB205" s="1007"/>
      <c r="DC205" s="1007"/>
      <c r="DD205" s="1007"/>
      <c r="DE205" s="1236">
        <v>313827.77721722901</v>
      </c>
      <c r="DF205" s="1007"/>
      <c r="DG205" s="1007"/>
      <c r="DH205" s="1007"/>
      <c r="DI205" s="1006"/>
      <c r="DJ205" s="1006"/>
      <c r="DK205" s="1007"/>
      <c r="DL205" s="1007"/>
      <c r="DM205" s="1007"/>
      <c r="DN205" s="1007"/>
      <c r="DO205" s="1112"/>
      <c r="DP205" s="1112"/>
      <c r="DQ205" s="1270"/>
      <c r="DR205" s="1154">
        <f t="shared" si="734"/>
        <v>0</v>
      </c>
      <c r="DS205" s="1154">
        <f t="shared" si="735"/>
        <v>0</v>
      </c>
      <c r="DT205" s="1154">
        <f t="shared" si="736"/>
        <v>0</v>
      </c>
      <c r="DU205" s="1154">
        <f t="shared" si="737"/>
        <v>0</v>
      </c>
      <c r="DV205" s="1154">
        <f t="shared" si="738"/>
        <v>0</v>
      </c>
      <c r="DW205" s="1154">
        <f t="shared" si="739"/>
        <v>0</v>
      </c>
      <c r="DX205" s="1154">
        <f t="shared" si="740"/>
        <v>0</v>
      </c>
      <c r="DY205" s="1154">
        <f t="shared" si="741"/>
        <v>0</v>
      </c>
      <c r="DZ205" s="1154">
        <f t="shared" si="742"/>
        <v>0</v>
      </c>
      <c r="EA205" s="1154">
        <f t="shared" si="743"/>
        <v>0</v>
      </c>
      <c r="EB205" s="1154">
        <f t="shared" si="744"/>
        <v>0</v>
      </c>
      <c r="EC205" s="1154">
        <f t="shared" si="745"/>
        <v>0</v>
      </c>
      <c r="ED205" s="1154">
        <f t="shared" si="746"/>
        <v>0</v>
      </c>
      <c r="EE205" s="1154">
        <f t="shared" si="747"/>
        <v>0</v>
      </c>
      <c r="EF205" s="1154">
        <f t="shared" si="748"/>
        <v>0</v>
      </c>
      <c r="EG205" s="1154">
        <f t="shared" si="749"/>
        <v>0</v>
      </c>
      <c r="EH205" s="1154">
        <f t="shared" si="750"/>
        <v>0</v>
      </c>
      <c r="EI205" s="1154">
        <f t="shared" si="751"/>
        <v>0</v>
      </c>
      <c r="EJ205" s="1154">
        <f t="shared" si="752"/>
        <v>0</v>
      </c>
      <c r="EK205" s="1154">
        <f t="shared" si="753"/>
        <v>0</v>
      </c>
      <c r="EL205" s="1154">
        <f t="shared" si="754"/>
        <v>0</v>
      </c>
      <c r="EM205" s="1154">
        <f t="shared" si="755"/>
        <v>0</v>
      </c>
      <c r="EN205" s="1154">
        <f t="shared" si="756"/>
        <v>0</v>
      </c>
      <c r="EO205" s="1154">
        <f t="shared" si="757"/>
        <v>4431.6637538882933</v>
      </c>
      <c r="EP205" s="1154">
        <f t="shared" si="758"/>
        <v>0</v>
      </c>
      <c r="EQ205" s="1154">
        <f t="shared" si="759"/>
        <v>0</v>
      </c>
      <c r="ER205" s="1154">
        <f t="shared" si="760"/>
        <v>0</v>
      </c>
      <c r="ES205" s="1154">
        <f t="shared" si="761"/>
        <v>0</v>
      </c>
      <c r="ET205" s="1154">
        <f t="shared" si="762"/>
        <v>0</v>
      </c>
      <c r="EU205" s="1154">
        <f t="shared" si="763"/>
        <v>0</v>
      </c>
      <c r="EV205" s="1154">
        <f t="shared" si="764"/>
        <v>0</v>
      </c>
      <c r="EW205" s="1154">
        <f t="shared" si="765"/>
        <v>0</v>
      </c>
      <c r="EX205" s="1154">
        <f t="shared" si="766"/>
        <v>0</v>
      </c>
      <c r="EY205" s="1154">
        <f t="shared" si="767"/>
        <v>0</v>
      </c>
      <c r="EZ205" s="1154">
        <f t="shared" si="768"/>
        <v>0</v>
      </c>
      <c r="FA205" s="1174">
        <f t="shared" si="769"/>
        <v>4431.6637538882933</v>
      </c>
      <c r="FC205" s="1154">
        <f t="shared" si="770"/>
        <v>0</v>
      </c>
      <c r="FD205" s="1154">
        <f t="shared" si="771"/>
        <v>0</v>
      </c>
      <c r="FE205" s="1154">
        <f t="shared" si="772"/>
        <v>0</v>
      </c>
      <c r="FF205" s="1154">
        <f t="shared" si="773"/>
        <v>0</v>
      </c>
      <c r="FG205" s="1154">
        <f t="shared" si="774"/>
        <v>0</v>
      </c>
      <c r="FH205" s="1154">
        <f t="shared" si="775"/>
        <v>0</v>
      </c>
      <c r="FI205" s="1154">
        <f t="shared" si="776"/>
        <v>0</v>
      </c>
      <c r="FJ205" s="1154">
        <f t="shared" si="777"/>
        <v>0</v>
      </c>
      <c r="FK205" s="1154">
        <f t="shared" si="778"/>
        <v>0</v>
      </c>
      <c r="FL205" s="1154">
        <f t="shared" si="779"/>
        <v>0</v>
      </c>
      <c r="FM205" s="1154">
        <f t="shared" si="780"/>
        <v>0</v>
      </c>
      <c r="FN205" s="1154">
        <f t="shared" si="781"/>
        <v>0</v>
      </c>
      <c r="FO205" s="1154">
        <f t="shared" si="782"/>
        <v>0</v>
      </c>
      <c r="FP205" s="1154">
        <f t="shared" si="783"/>
        <v>0</v>
      </c>
      <c r="FQ205" s="1154">
        <f t="shared" si="784"/>
        <v>0</v>
      </c>
      <c r="FR205" s="1154">
        <f t="shared" si="785"/>
        <v>0</v>
      </c>
      <c r="FS205" s="1154">
        <f t="shared" si="786"/>
        <v>0</v>
      </c>
      <c r="FT205" s="1154">
        <f t="shared" si="787"/>
        <v>0</v>
      </c>
      <c r="FU205" s="1154">
        <f t="shared" si="788"/>
        <v>0</v>
      </c>
      <c r="FV205" s="1154">
        <f t="shared" si="789"/>
        <v>0</v>
      </c>
      <c r="FW205" s="1154">
        <f t="shared" si="790"/>
        <v>0</v>
      </c>
      <c r="FX205" s="1154">
        <f t="shared" si="791"/>
        <v>0</v>
      </c>
      <c r="FY205" s="1154">
        <f t="shared" si="792"/>
        <v>0</v>
      </c>
      <c r="FZ205" s="1154">
        <f t="shared" si="793"/>
        <v>4636.0319654126497</v>
      </c>
      <c r="GA205" s="1154">
        <f t="shared" si="794"/>
        <v>0</v>
      </c>
      <c r="GB205" s="1154">
        <f t="shared" si="795"/>
        <v>0</v>
      </c>
      <c r="GC205" s="1154">
        <f t="shared" si="796"/>
        <v>0</v>
      </c>
      <c r="GD205" s="1154">
        <f t="shared" si="797"/>
        <v>0</v>
      </c>
      <c r="GE205" s="1154">
        <f t="shared" si="798"/>
        <v>0</v>
      </c>
      <c r="GF205" s="1154">
        <f t="shared" si="799"/>
        <v>0</v>
      </c>
      <c r="GG205" s="1154">
        <f t="shared" si="800"/>
        <v>0</v>
      </c>
      <c r="GH205" s="1154">
        <f t="shared" si="801"/>
        <v>0</v>
      </c>
      <c r="GI205" s="1154">
        <f t="shared" si="802"/>
        <v>0</v>
      </c>
      <c r="GJ205" s="1154">
        <f t="shared" si="803"/>
        <v>0</v>
      </c>
      <c r="GK205" s="1154">
        <f t="shared" si="804"/>
        <v>0</v>
      </c>
      <c r="GL205" s="1174">
        <f t="shared" si="805"/>
        <v>4636.0319654126497</v>
      </c>
    </row>
    <row r="206" spans="1:194">
      <c r="B206" s="1290" t="str">
        <f t="shared" si="733"/>
        <v>SACDUOSMVN</v>
      </c>
      <c r="C206" s="1289" t="str">
        <f>Prop2021DUOSTariffs!C92</f>
        <v>MtIsa SAC&lt;100MWhpa VolumeNightControlled</v>
      </c>
      <c r="D206" s="1113" t="str">
        <f>Prop2021DUOSTariffs!D92</f>
        <v>MtIsa SAC&lt;100MWhpa VolumeNightControlled</v>
      </c>
      <c r="E206" s="1113" t="str">
        <f>Prop2021DUOSTariffs!E92</f>
        <v>SAC</v>
      </c>
      <c r="F206" s="1113" t="str">
        <f>Prop2021DUOSTariffs!F92</f>
        <v>SACS CL</v>
      </c>
      <c r="G206" s="1113" t="str">
        <f>Prop2021DUOSTariffs!G92</f>
        <v>Mt Isa</v>
      </c>
      <c r="H206" s="1113" t="str">
        <f>Prop2021DUOSTariffs!H92</f>
        <v>MVN</v>
      </c>
      <c r="I206" s="1114" t="s">
        <v>761</v>
      </c>
      <c r="J206" s="1114" t="s">
        <v>934</v>
      </c>
      <c r="K206" s="1270"/>
      <c r="L206" s="1112"/>
      <c r="M206" s="1007"/>
      <c r="N206" s="1007"/>
      <c r="O206" s="1007"/>
      <c r="P206" s="1007"/>
      <c r="Q206" s="1007"/>
      <c r="R206" s="1007"/>
      <c r="S206" s="1007"/>
      <c r="T206" s="1007"/>
      <c r="U206" s="1007"/>
      <c r="V206" s="1007"/>
      <c r="W206" s="1007"/>
      <c r="X206" s="1007"/>
      <c r="Y206" s="1007"/>
      <c r="Z206" s="1007"/>
      <c r="AA206" s="1007"/>
      <c r="AB206" s="1007"/>
      <c r="AC206" s="1007"/>
      <c r="AD206" s="1007"/>
      <c r="AE206" s="1007"/>
      <c r="AF206" s="1007"/>
      <c r="AG206" s="1007"/>
      <c r="AH206" s="1007"/>
      <c r="AI206" s="1233">
        <v>7.7007696230930512E-4</v>
      </c>
      <c r="AJ206" s="1005"/>
      <c r="AK206" s="1005"/>
      <c r="AL206" s="1005"/>
      <c r="AM206" s="1005"/>
      <c r="AN206" s="1005"/>
      <c r="AO206" s="1005"/>
      <c r="AP206" s="1005"/>
      <c r="AQ206" s="1005"/>
      <c r="AR206" s="1005"/>
      <c r="AS206" s="1005"/>
      <c r="AT206" s="1005"/>
      <c r="AU206" s="1006"/>
      <c r="AV206" s="1270"/>
      <c r="AW206" s="1006"/>
      <c r="AX206" s="1006"/>
      <c r="AY206" s="1006"/>
      <c r="AZ206" s="1006"/>
      <c r="BA206" s="1006"/>
      <c r="BB206" s="1006"/>
      <c r="BC206" s="1006"/>
      <c r="BD206" s="1006"/>
      <c r="BE206" s="1006"/>
      <c r="BF206" s="1006"/>
      <c r="BG206" s="1006"/>
      <c r="BH206" s="1006"/>
      <c r="BI206" s="1006"/>
      <c r="BJ206" s="1006"/>
      <c r="BK206" s="1006"/>
      <c r="BL206" s="1006"/>
      <c r="BM206" s="1006"/>
      <c r="BN206" s="1006"/>
      <c r="BO206" s="1006"/>
      <c r="BP206" s="1006"/>
      <c r="BQ206" s="1006"/>
      <c r="BR206" s="1006"/>
      <c r="BS206" s="1006"/>
      <c r="BT206" s="1480">
        <v>6.1898319928093575E-4</v>
      </c>
      <c r="BU206" s="1006"/>
      <c r="BV206" s="1006"/>
      <c r="BW206" s="1006"/>
      <c r="BX206" s="1006"/>
      <c r="BY206" s="1006"/>
      <c r="BZ206" s="1006"/>
      <c r="CA206" s="1006"/>
      <c r="CB206" s="1006"/>
      <c r="CC206" s="1006"/>
      <c r="CD206" s="1006"/>
      <c r="CE206" s="1006"/>
      <c r="CF206" s="1006"/>
      <c r="CG206" s="1209"/>
      <c r="CH206" s="1112"/>
      <c r="CI206" s="1007"/>
      <c r="CJ206" s="1007"/>
      <c r="CK206" s="1007"/>
      <c r="CL206" s="1007"/>
      <c r="CM206" s="1007"/>
      <c r="CN206" s="1007"/>
      <c r="CO206" s="1007"/>
      <c r="CP206" s="1007"/>
      <c r="CQ206" s="1007"/>
      <c r="CR206" s="1007"/>
      <c r="CS206" s="1007"/>
      <c r="CT206" s="1007"/>
      <c r="CU206" s="1007"/>
      <c r="CV206" s="1007"/>
      <c r="CW206" s="1007"/>
      <c r="CX206" s="1007"/>
      <c r="CY206" s="1007"/>
      <c r="CZ206" s="1007"/>
      <c r="DA206" s="1007"/>
      <c r="DB206" s="1007"/>
      <c r="DC206" s="1007"/>
      <c r="DD206" s="1007"/>
      <c r="DE206" s="1236">
        <v>659608.30886999995</v>
      </c>
      <c r="DF206" s="1007"/>
      <c r="DG206" s="1007"/>
      <c r="DH206" s="1007"/>
      <c r="DI206" s="1006"/>
      <c r="DJ206" s="1006"/>
      <c r="DK206" s="1007"/>
      <c r="DL206" s="1007"/>
      <c r="DM206" s="1007"/>
      <c r="DN206" s="1007"/>
      <c r="DO206" s="1112"/>
      <c r="DP206" s="1112"/>
      <c r="DQ206" s="1270"/>
      <c r="DR206" s="1154">
        <f t="shared" si="734"/>
        <v>0</v>
      </c>
      <c r="DS206" s="1154">
        <f t="shared" si="735"/>
        <v>0</v>
      </c>
      <c r="DT206" s="1154">
        <f t="shared" si="736"/>
        <v>0</v>
      </c>
      <c r="DU206" s="1154">
        <f t="shared" si="737"/>
        <v>0</v>
      </c>
      <c r="DV206" s="1154">
        <f t="shared" si="738"/>
        <v>0</v>
      </c>
      <c r="DW206" s="1154">
        <f t="shared" si="739"/>
        <v>0</v>
      </c>
      <c r="DX206" s="1154">
        <f t="shared" si="740"/>
        <v>0</v>
      </c>
      <c r="DY206" s="1154">
        <f t="shared" si="741"/>
        <v>0</v>
      </c>
      <c r="DZ206" s="1154">
        <f t="shared" si="742"/>
        <v>0</v>
      </c>
      <c r="EA206" s="1154">
        <f t="shared" si="743"/>
        <v>0</v>
      </c>
      <c r="EB206" s="1154">
        <f t="shared" si="744"/>
        <v>0</v>
      </c>
      <c r="EC206" s="1154">
        <f t="shared" si="745"/>
        <v>0</v>
      </c>
      <c r="ED206" s="1154">
        <f t="shared" si="746"/>
        <v>0</v>
      </c>
      <c r="EE206" s="1154">
        <f t="shared" si="747"/>
        <v>0</v>
      </c>
      <c r="EF206" s="1154">
        <f t="shared" si="748"/>
        <v>0</v>
      </c>
      <c r="EG206" s="1154">
        <f t="shared" si="749"/>
        <v>0</v>
      </c>
      <c r="EH206" s="1154">
        <f t="shared" si="750"/>
        <v>0</v>
      </c>
      <c r="EI206" s="1154">
        <f t="shared" si="751"/>
        <v>0</v>
      </c>
      <c r="EJ206" s="1154">
        <f t="shared" si="752"/>
        <v>0</v>
      </c>
      <c r="EK206" s="1154">
        <f t="shared" si="753"/>
        <v>0</v>
      </c>
      <c r="EL206" s="1154">
        <f t="shared" si="754"/>
        <v>0</v>
      </c>
      <c r="EM206" s="1154">
        <f t="shared" si="755"/>
        <v>0</v>
      </c>
      <c r="EN206" s="1154">
        <f t="shared" si="756"/>
        <v>0</v>
      </c>
      <c r="EO206" s="1154">
        <f t="shared" si="757"/>
        <v>507.94916280858746</v>
      </c>
      <c r="EP206" s="1154">
        <f t="shared" si="758"/>
        <v>0</v>
      </c>
      <c r="EQ206" s="1154">
        <f t="shared" si="759"/>
        <v>0</v>
      </c>
      <c r="ER206" s="1154">
        <f t="shared" si="760"/>
        <v>0</v>
      </c>
      <c r="ES206" s="1154">
        <f t="shared" si="761"/>
        <v>0</v>
      </c>
      <c r="ET206" s="1154">
        <f t="shared" si="762"/>
        <v>0</v>
      </c>
      <c r="EU206" s="1154">
        <f t="shared" si="763"/>
        <v>0</v>
      </c>
      <c r="EV206" s="1154">
        <f t="shared" si="764"/>
        <v>0</v>
      </c>
      <c r="EW206" s="1154">
        <f t="shared" si="765"/>
        <v>0</v>
      </c>
      <c r="EX206" s="1154">
        <f t="shared" si="766"/>
        <v>0</v>
      </c>
      <c r="EY206" s="1154">
        <f t="shared" si="767"/>
        <v>0</v>
      </c>
      <c r="EZ206" s="1154">
        <f t="shared" si="768"/>
        <v>0</v>
      </c>
      <c r="FA206" s="1174">
        <f t="shared" si="769"/>
        <v>507.94916280858746</v>
      </c>
      <c r="FC206" s="1154">
        <f t="shared" si="770"/>
        <v>0</v>
      </c>
      <c r="FD206" s="1154">
        <f t="shared" si="771"/>
        <v>0</v>
      </c>
      <c r="FE206" s="1154">
        <f t="shared" si="772"/>
        <v>0</v>
      </c>
      <c r="FF206" s="1154">
        <f t="shared" si="773"/>
        <v>0</v>
      </c>
      <c r="FG206" s="1154">
        <f t="shared" si="774"/>
        <v>0</v>
      </c>
      <c r="FH206" s="1154">
        <f t="shared" si="775"/>
        <v>0</v>
      </c>
      <c r="FI206" s="1154">
        <f t="shared" si="776"/>
        <v>0</v>
      </c>
      <c r="FJ206" s="1154">
        <f t="shared" si="777"/>
        <v>0</v>
      </c>
      <c r="FK206" s="1154">
        <f t="shared" si="778"/>
        <v>0</v>
      </c>
      <c r="FL206" s="1154">
        <f t="shared" si="779"/>
        <v>0</v>
      </c>
      <c r="FM206" s="1154">
        <f t="shared" si="780"/>
        <v>0</v>
      </c>
      <c r="FN206" s="1154">
        <f t="shared" si="781"/>
        <v>0</v>
      </c>
      <c r="FO206" s="1154">
        <f t="shared" si="782"/>
        <v>0</v>
      </c>
      <c r="FP206" s="1154">
        <f t="shared" si="783"/>
        <v>0</v>
      </c>
      <c r="FQ206" s="1154">
        <f t="shared" si="784"/>
        <v>0</v>
      </c>
      <c r="FR206" s="1154">
        <f t="shared" si="785"/>
        <v>0</v>
      </c>
      <c r="FS206" s="1154">
        <f t="shared" si="786"/>
        <v>0</v>
      </c>
      <c r="FT206" s="1154">
        <f t="shared" si="787"/>
        <v>0</v>
      </c>
      <c r="FU206" s="1154">
        <f t="shared" si="788"/>
        <v>0</v>
      </c>
      <c r="FV206" s="1154">
        <f t="shared" si="789"/>
        <v>0</v>
      </c>
      <c r="FW206" s="1154">
        <f t="shared" si="790"/>
        <v>0</v>
      </c>
      <c r="FX206" s="1154">
        <f t="shared" si="791"/>
        <v>0</v>
      </c>
      <c r="FY206" s="1154">
        <f t="shared" si="792"/>
        <v>0</v>
      </c>
      <c r="FZ206" s="1154">
        <f t="shared" si="793"/>
        <v>408.2864612966402</v>
      </c>
      <c r="GA206" s="1154">
        <f t="shared" si="794"/>
        <v>0</v>
      </c>
      <c r="GB206" s="1154">
        <f t="shared" si="795"/>
        <v>0</v>
      </c>
      <c r="GC206" s="1154">
        <f t="shared" si="796"/>
        <v>0</v>
      </c>
      <c r="GD206" s="1154">
        <f t="shared" si="797"/>
        <v>0</v>
      </c>
      <c r="GE206" s="1154">
        <f t="shared" si="798"/>
        <v>0</v>
      </c>
      <c r="GF206" s="1154">
        <f t="shared" si="799"/>
        <v>0</v>
      </c>
      <c r="GG206" s="1154">
        <f t="shared" si="800"/>
        <v>0</v>
      </c>
      <c r="GH206" s="1154">
        <f t="shared" si="801"/>
        <v>0</v>
      </c>
      <c r="GI206" s="1154">
        <f t="shared" si="802"/>
        <v>0</v>
      </c>
      <c r="GJ206" s="1154">
        <f t="shared" si="803"/>
        <v>0</v>
      </c>
      <c r="GK206" s="1154">
        <f t="shared" si="804"/>
        <v>0</v>
      </c>
      <c r="GL206" s="1174">
        <f t="shared" si="805"/>
        <v>408.2864612966402</v>
      </c>
    </row>
    <row r="207" spans="1:194">
      <c r="B207" s="1290" t="str">
        <f t="shared" si="733"/>
        <v>SACDUOSEVC</v>
      </c>
      <c r="C207" s="1289" t="str">
        <f>Prop2021DUOSTariffs!C93</f>
        <v>East SAC&lt;100MWhpa VolumeControlled</v>
      </c>
      <c r="D207" s="1113" t="str">
        <f>Prop2021DUOSTariffs!D93</f>
        <v>East SAC&lt;100MWhpa VolumeControlled</v>
      </c>
      <c r="E207" s="1113" t="str">
        <f>Prop2021DUOSTariffs!E93</f>
        <v>SAC</v>
      </c>
      <c r="F207" s="1113" t="str">
        <f>Prop2021DUOSTariffs!F93</f>
        <v>SACS CL</v>
      </c>
      <c r="G207" s="1113" t="str">
        <f>Prop2021DUOSTariffs!G93</f>
        <v>East</v>
      </c>
      <c r="H207" s="1113" t="str">
        <f>Prop2021DUOSTariffs!H93</f>
        <v>EVC</v>
      </c>
      <c r="I207" s="1114" t="s">
        <v>798</v>
      </c>
      <c r="J207" s="1114" t="s">
        <v>934</v>
      </c>
      <c r="K207" s="1270"/>
      <c r="L207" s="1112"/>
      <c r="M207" s="1007"/>
      <c r="N207" s="1007"/>
      <c r="O207" s="1007"/>
      <c r="P207" s="1007"/>
      <c r="Q207" s="1007"/>
      <c r="R207" s="1007"/>
      <c r="S207" s="1007"/>
      <c r="T207" s="1007"/>
      <c r="U207" s="1007"/>
      <c r="V207" s="1007"/>
      <c r="W207" s="1007"/>
      <c r="X207" s="1007"/>
      <c r="Y207" s="1007"/>
      <c r="Z207" s="1007"/>
      <c r="AA207" s="1007"/>
      <c r="AB207" s="1007"/>
      <c r="AC207" s="1007"/>
      <c r="AD207" s="1007"/>
      <c r="AE207" s="1007"/>
      <c r="AF207" s="1007"/>
      <c r="AG207" s="1007"/>
      <c r="AH207" s="1007"/>
      <c r="AI207" s="1233">
        <v>1.2756140745273986E-2</v>
      </c>
      <c r="AJ207" s="1005"/>
      <c r="AK207" s="1005"/>
      <c r="AL207" s="1005"/>
      <c r="AM207" s="1005"/>
      <c r="AN207" s="1005"/>
      <c r="AO207" s="1005"/>
      <c r="AP207" s="1005"/>
      <c r="AQ207" s="1005"/>
      <c r="AR207" s="1005"/>
      <c r="AS207" s="1005"/>
      <c r="AT207" s="1005"/>
      <c r="AU207" s="1006"/>
      <c r="AV207" s="1270"/>
      <c r="AW207" s="1006"/>
      <c r="AX207" s="1006"/>
      <c r="AY207" s="1006"/>
      <c r="AZ207" s="1006"/>
      <c r="BA207" s="1006"/>
      <c r="BB207" s="1006"/>
      <c r="BC207" s="1006"/>
      <c r="BD207" s="1006"/>
      <c r="BE207" s="1006"/>
      <c r="BF207" s="1006"/>
      <c r="BG207" s="1006"/>
      <c r="BH207" s="1006"/>
      <c r="BI207" s="1006"/>
      <c r="BJ207" s="1006"/>
      <c r="BK207" s="1006"/>
      <c r="BL207" s="1006"/>
      <c r="BM207" s="1006"/>
      <c r="BN207" s="1006"/>
      <c r="BO207" s="1006"/>
      <c r="BP207" s="1006"/>
      <c r="BQ207" s="1006"/>
      <c r="BR207" s="1006"/>
      <c r="BS207" s="1006"/>
      <c r="BT207" s="1480">
        <v>9.9886311700567981E-3</v>
      </c>
      <c r="BU207" s="1006"/>
      <c r="BV207" s="1006"/>
      <c r="BW207" s="1006"/>
      <c r="BX207" s="1006"/>
      <c r="BY207" s="1006"/>
      <c r="BZ207" s="1006"/>
      <c r="CA207" s="1006"/>
      <c r="CB207" s="1006"/>
      <c r="CC207" s="1006"/>
      <c r="CD207" s="1006"/>
      <c r="CE207" s="1006"/>
      <c r="CF207" s="1006"/>
      <c r="CG207" s="1209"/>
      <c r="CH207" s="1112"/>
      <c r="CI207" s="1007"/>
      <c r="CJ207" s="1007"/>
      <c r="CK207" s="1007"/>
      <c r="CL207" s="1007"/>
      <c r="CM207" s="1007"/>
      <c r="CN207" s="1007"/>
      <c r="CO207" s="1007"/>
      <c r="CP207" s="1007"/>
      <c r="CQ207" s="1007"/>
      <c r="CR207" s="1007"/>
      <c r="CS207" s="1007"/>
      <c r="CT207" s="1007"/>
      <c r="CU207" s="1007"/>
      <c r="CV207" s="1007"/>
      <c r="CW207" s="1007"/>
      <c r="CX207" s="1007"/>
      <c r="CY207" s="1007"/>
      <c r="CZ207" s="1007"/>
      <c r="DA207" s="1007"/>
      <c r="DB207" s="1007"/>
      <c r="DC207" s="1007"/>
      <c r="DD207" s="1007"/>
      <c r="DE207" s="1236">
        <v>267148318.44029158</v>
      </c>
      <c r="DF207" s="1007"/>
      <c r="DG207" s="1007"/>
      <c r="DH207" s="1007"/>
      <c r="DI207" s="1006"/>
      <c r="DJ207" s="1006"/>
      <c r="DK207" s="1007"/>
      <c r="DL207" s="1007"/>
      <c r="DM207" s="1007"/>
      <c r="DN207" s="1007"/>
      <c r="DO207" s="1112"/>
      <c r="DP207" s="1112"/>
      <c r="DQ207" s="1270"/>
      <c r="DR207" s="1154">
        <f t="shared" si="734"/>
        <v>0</v>
      </c>
      <c r="DS207" s="1154">
        <f t="shared" si="735"/>
        <v>0</v>
      </c>
      <c r="DT207" s="1154">
        <f t="shared" si="736"/>
        <v>0</v>
      </c>
      <c r="DU207" s="1154">
        <f t="shared" si="737"/>
        <v>0</v>
      </c>
      <c r="DV207" s="1154">
        <f t="shared" si="738"/>
        <v>0</v>
      </c>
      <c r="DW207" s="1154">
        <f t="shared" si="739"/>
        <v>0</v>
      </c>
      <c r="DX207" s="1154">
        <f t="shared" si="740"/>
        <v>0</v>
      </c>
      <c r="DY207" s="1154">
        <f t="shared" si="741"/>
        <v>0</v>
      </c>
      <c r="DZ207" s="1154">
        <f t="shared" si="742"/>
        <v>0</v>
      </c>
      <c r="EA207" s="1154">
        <f t="shared" si="743"/>
        <v>0</v>
      </c>
      <c r="EB207" s="1154">
        <f t="shared" si="744"/>
        <v>0</v>
      </c>
      <c r="EC207" s="1154">
        <f t="shared" si="745"/>
        <v>0</v>
      </c>
      <c r="ED207" s="1154">
        <f t="shared" si="746"/>
        <v>0</v>
      </c>
      <c r="EE207" s="1154">
        <f t="shared" si="747"/>
        <v>0</v>
      </c>
      <c r="EF207" s="1154">
        <f t="shared" si="748"/>
        <v>0</v>
      </c>
      <c r="EG207" s="1154">
        <f t="shared" si="749"/>
        <v>0</v>
      </c>
      <c r="EH207" s="1154">
        <f t="shared" si="750"/>
        <v>0</v>
      </c>
      <c r="EI207" s="1154">
        <f t="shared" si="751"/>
        <v>0</v>
      </c>
      <c r="EJ207" s="1154">
        <f t="shared" si="752"/>
        <v>0</v>
      </c>
      <c r="EK207" s="1154">
        <f t="shared" si="753"/>
        <v>0</v>
      </c>
      <c r="EL207" s="1154">
        <f t="shared" si="754"/>
        <v>0</v>
      </c>
      <c r="EM207" s="1154">
        <f t="shared" si="755"/>
        <v>0</v>
      </c>
      <c r="EN207" s="1154">
        <f t="shared" si="756"/>
        <v>0</v>
      </c>
      <c r="EO207" s="1154">
        <f t="shared" si="757"/>
        <v>3407781.549887633</v>
      </c>
      <c r="EP207" s="1154">
        <f t="shared" si="758"/>
        <v>0</v>
      </c>
      <c r="EQ207" s="1154">
        <f t="shared" si="759"/>
        <v>0</v>
      </c>
      <c r="ER207" s="1154">
        <f t="shared" si="760"/>
        <v>0</v>
      </c>
      <c r="ES207" s="1154">
        <f t="shared" si="761"/>
        <v>0</v>
      </c>
      <c r="ET207" s="1154">
        <f t="shared" si="762"/>
        <v>0</v>
      </c>
      <c r="EU207" s="1154">
        <f t="shared" si="763"/>
        <v>0</v>
      </c>
      <c r="EV207" s="1154">
        <f t="shared" si="764"/>
        <v>0</v>
      </c>
      <c r="EW207" s="1154">
        <f t="shared" si="765"/>
        <v>0</v>
      </c>
      <c r="EX207" s="1154">
        <f t="shared" si="766"/>
        <v>0</v>
      </c>
      <c r="EY207" s="1154">
        <f t="shared" si="767"/>
        <v>0</v>
      </c>
      <c r="EZ207" s="1154">
        <f t="shared" si="768"/>
        <v>0</v>
      </c>
      <c r="FA207" s="1174">
        <f t="shared" si="769"/>
        <v>3407781.549887633</v>
      </c>
      <c r="FC207" s="1154">
        <f t="shared" si="770"/>
        <v>0</v>
      </c>
      <c r="FD207" s="1154">
        <f t="shared" si="771"/>
        <v>0</v>
      </c>
      <c r="FE207" s="1154">
        <f t="shared" si="772"/>
        <v>0</v>
      </c>
      <c r="FF207" s="1154">
        <f t="shared" si="773"/>
        <v>0</v>
      </c>
      <c r="FG207" s="1154">
        <f t="shared" si="774"/>
        <v>0</v>
      </c>
      <c r="FH207" s="1154">
        <f t="shared" si="775"/>
        <v>0</v>
      </c>
      <c r="FI207" s="1154">
        <f t="shared" si="776"/>
        <v>0</v>
      </c>
      <c r="FJ207" s="1154">
        <f t="shared" si="777"/>
        <v>0</v>
      </c>
      <c r="FK207" s="1154">
        <f t="shared" si="778"/>
        <v>0</v>
      </c>
      <c r="FL207" s="1154">
        <f t="shared" si="779"/>
        <v>0</v>
      </c>
      <c r="FM207" s="1154">
        <f t="shared" si="780"/>
        <v>0</v>
      </c>
      <c r="FN207" s="1154">
        <f t="shared" si="781"/>
        <v>0</v>
      </c>
      <c r="FO207" s="1154">
        <f t="shared" si="782"/>
        <v>0</v>
      </c>
      <c r="FP207" s="1154">
        <f t="shared" si="783"/>
        <v>0</v>
      </c>
      <c r="FQ207" s="1154">
        <f t="shared" si="784"/>
        <v>0</v>
      </c>
      <c r="FR207" s="1154">
        <f t="shared" si="785"/>
        <v>0</v>
      </c>
      <c r="FS207" s="1154">
        <f t="shared" si="786"/>
        <v>0</v>
      </c>
      <c r="FT207" s="1154">
        <f t="shared" si="787"/>
        <v>0</v>
      </c>
      <c r="FU207" s="1154">
        <f t="shared" si="788"/>
        <v>0</v>
      </c>
      <c r="FV207" s="1154">
        <f t="shared" si="789"/>
        <v>0</v>
      </c>
      <c r="FW207" s="1154">
        <f t="shared" si="790"/>
        <v>0</v>
      </c>
      <c r="FX207" s="1154">
        <f t="shared" si="791"/>
        <v>0</v>
      </c>
      <c r="FY207" s="1154">
        <f t="shared" si="792"/>
        <v>0</v>
      </c>
      <c r="FZ207" s="1154">
        <f t="shared" si="793"/>
        <v>2668446.0206009559</v>
      </c>
      <c r="GA207" s="1154">
        <f t="shared" si="794"/>
        <v>0</v>
      </c>
      <c r="GB207" s="1154">
        <f t="shared" si="795"/>
        <v>0</v>
      </c>
      <c r="GC207" s="1154">
        <f t="shared" si="796"/>
        <v>0</v>
      </c>
      <c r="GD207" s="1154">
        <f t="shared" si="797"/>
        <v>0</v>
      </c>
      <c r="GE207" s="1154">
        <f t="shared" si="798"/>
        <v>0</v>
      </c>
      <c r="GF207" s="1154">
        <f t="shared" si="799"/>
        <v>0</v>
      </c>
      <c r="GG207" s="1154">
        <f t="shared" si="800"/>
        <v>0</v>
      </c>
      <c r="GH207" s="1154">
        <f t="shared" si="801"/>
        <v>0</v>
      </c>
      <c r="GI207" s="1154">
        <f t="shared" si="802"/>
        <v>0</v>
      </c>
      <c r="GJ207" s="1154">
        <f t="shared" si="803"/>
        <v>0</v>
      </c>
      <c r="GK207" s="1154">
        <f t="shared" si="804"/>
        <v>0</v>
      </c>
      <c r="GL207" s="1174">
        <f t="shared" si="805"/>
        <v>2668446.0206009559</v>
      </c>
    </row>
    <row r="208" spans="1:194">
      <c r="B208" s="1290" t="str">
        <f t="shared" si="733"/>
        <v>SACDUOSEVC</v>
      </c>
      <c r="C208" s="1289" t="str">
        <f>C207</f>
        <v>East SAC&lt;100MWhpa VolumeControlled</v>
      </c>
      <c r="D208" s="1113" t="str">
        <f t="shared" ref="D208:H208" si="812">D207</f>
        <v>East SAC&lt;100MWhpa VolumeControlled</v>
      </c>
      <c r="E208" s="1113" t="str">
        <f t="shared" si="812"/>
        <v>SAC</v>
      </c>
      <c r="F208" s="1113" t="str">
        <f t="shared" si="812"/>
        <v>SACS CL</v>
      </c>
      <c r="G208" s="1113" t="str">
        <f t="shared" si="812"/>
        <v>East</v>
      </c>
      <c r="H208" s="1113" t="str">
        <f t="shared" si="812"/>
        <v>EVC</v>
      </c>
      <c r="I208" s="1114" t="s">
        <v>752</v>
      </c>
      <c r="J208" s="1114" t="s">
        <v>934</v>
      </c>
      <c r="K208" s="1270"/>
      <c r="L208" s="1112"/>
      <c r="M208" s="1007"/>
      <c r="N208" s="1007"/>
      <c r="O208" s="1007"/>
      <c r="P208" s="1007"/>
      <c r="Q208" s="1007"/>
      <c r="R208" s="1007"/>
      <c r="S208" s="1007"/>
      <c r="T208" s="1007"/>
      <c r="U208" s="1007"/>
      <c r="V208" s="1007"/>
      <c r="W208" s="1007"/>
      <c r="X208" s="1007"/>
      <c r="Y208" s="1007"/>
      <c r="Z208" s="1007"/>
      <c r="AA208" s="1007"/>
      <c r="AB208" s="1007"/>
      <c r="AC208" s="1007"/>
      <c r="AD208" s="1007"/>
      <c r="AE208" s="1007"/>
      <c r="AF208" s="1007"/>
      <c r="AG208" s="1007"/>
      <c r="AH208" s="1007"/>
      <c r="AI208" s="1233">
        <v>1.3580961239131205E-2</v>
      </c>
      <c r="AJ208" s="1005"/>
      <c r="AK208" s="1005"/>
      <c r="AL208" s="1005"/>
      <c r="AM208" s="1005"/>
      <c r="AN208" s="1005"/>
      <c r="AO208" s="1005"/>
      <c r="AP208" s="1005"/>
      <c r="AQ208" s="1005"/>
      <c r="AR208" s="1005"/>
      <c r="AS208" s="1005"/>
      <c r="AT208" s="1005"/>
      <c r="AU208" s="1006"/>
      <c r="AV208" s="1270"/>
      <c r="AW208" s="1006"/>
      <c r="AX208" s="1006"/>
      <c r="AY208" s="1006"/>
      <c r="AZ208" s="1006"/>
      <c r="BA208" s="1006"/>
      <c r="BB208" s="1006"/>
      <c r="BC208" s="1006"/>
      <c r="BD208" s="1006"/>
      <c r="BE208" s="1006"/>
      <c r="BF208" s="1006"/>
      <c r="BG208" s="1006"/>
      <c r="BH208" s="1006"/>
      <c r="BI208" s="1006"/>
      <c r="BJ208" s="1006"/>
      <c r="BK208" s="1006"/>
      <c r="BL208" s="1006"/>
      <c r="BM208" s="1006"/>
      <c r="BN208" s="1006"/>
      <c r="BO208" s="1006"/>
      <c r="BP208" s="1006"/>
      <c r="BQ208" s="1006"/>
      <c r="BR208" s="1006"/>
      <c r="BS208" s="1006"/>
      <c r="BT208" s="1480">
        <v>1.3226767178995704E-2</v>
      </c>
      <c r="BU208" s="1006"/>
      <c r="BV208" s="1006"/>
      <c r="BW208" s="1006"/>
      <c r="BX208" s="1006"/>
      <c r="BY208" s="1006"/>
      <c r="BZ208" s="1006"/>
      <c r="CA208" s="1006"/>
      <c r="CB208" s="1006"/>
      <c r="CC208" s="1006"/>
      <c r="CD208" s="1006"/>
      <c r="CE208" s="1006"/>
      <c r="CF208" s="1006"/>
      <c r="CG208" s="1209"/>
      <c r="CH208" s="1112"/>
      <c r="CI208" s="1007"/>
      <c r="CJ208" s="1007"/>
      <c r="CK208" s="1007"/>
      <c r="CL208" s="1007"/>
      <c r="CM208" s="1007"/>
      <c r="CN208" s="1007"/>
      <c r="CO208" s="1007"/>
      <c r="CP208" s="1007"/>
      <c r="CQ208" s="1007"/>
      <c r="CR208" s="1007"/>
      <c r="CS208" s="1007"/>
      <c r="CT208" s="1007"/>
      <c r="CU208" s="1007"/>
      <c r="CV208" s="1007"/>
      <c r="CW208" s="1007"/>
      <c r="CX208" s="1007"/>
      <c r="CY208" s="1007"/>
      <c r="CZ208" s="1007"/>
      <c r="DA208" s="1007"/>
      <c r="DB208" s="1007"/>
      <c r="DC208" s="1007"/>
      <c r="DD208" s="1007"/>
      <c r="DE208" s="1236">
        <v>215236976.14000684</v>
      </c>
      <c r="DF208" s="1007"/>
      <c r="DG208" s="1007"/>
      <c r="DH208" s="1007"/>
      <c r="DI208" s="1006"/>
      <c r="DJ208" s="1006"/>
      <c r="DK208" s="1007"/>
      <c r="DL208" s="1007"/>
      <c r="DM208" s="1007"/>
      <c r="DN208" s="1007"/>
      <c r="DO208" s="1112"/>
      <c r="DP208" s="1112"/>
      <c r="DQ208" s="1270"/>
      <c r="DR208" s="1154">
        <f t="shared" si="734"/>
        <v>0</v>
      </c>
      <c r="DS208" s="1154">
        <f t="shared" si="735"/>
        <v>0</v>
      </c>
      <c r="DT208" s="1154">
        <f t="shared" si="736"/>
        <v>0</v>
      </c>
      <c r="DU208" s="1154">
        <f t="shared" si="737"/>
        <v>0</v>
      </c>
      <c r="DV208" s="1154">
        <f t="shared" si="738"/>
        <v>0</v>
      </c>
      <c r="DW208" s="1154">
        <f t="shared" si="739"/>
        <v>0</v>
      </c>
      <c r="DX208" s="1154">
        <f t="shared" si="740"/>
        <v>0</v>
      </c>
      <c r="DY208" s="1154">
        <f t="shared" si="741"/>
        <v>0</v>
      </c>
      <c r="DZ208" s="1154">
        <f t="shared" si="742"/>
        <v>0</v>
      </c>
      <c r="EA208" s="1154">
        <f t="shared" si="743"/>
        <v>0</v>
      </c>
      <c r="EB208" s="1154">
        <f t="shared" si="744"/>
        <v>0</v>
      </c>
      <c r="EC208" s="1154">
        <f t="shared" si="745"/>
        <v>0</v>
      </c>
      <c r="ED208" s="1154">
        <f t="shared" si="746"/>
        <v>0</v>
      </c>
      <c r="EE208" s="1154">
        <f t="shared" si="747"/>
        <v>0</v>
      </c>
      <c r="EF208" s="1154">
        <f t="shared" si="748"/>
        <v>0</v>
      </c>
      <c r="EG208" s="1154">
        <f t="shared" si="749"/>
        <v>0</v>
      </c>
      <c r="EH208" s="1154">
        <f t="shared" si="750"/>
        <v>0</v>
      </c>
      <c r="EI208" s="1154">
        <f t="shared" si="751"/>
        <v>0</v>
      </c>
      <c r="EJ208" s="1154">
        <f t="shared" si="752"/>
        <v>0</v>
      </c>
      <c r="EK208" s="1154">
        <f t="shared" si="753"/>
        <v>0</v>
      </c>
      <c r="EL208" s="1154">
        <f t="shared" si="754"/>
        <v>0</v>
      </c>
      <c r="EM208" s="1154">
        <f t="shared" si="755"/>
        <v>0</v>
      </c>
      <c r="EN208" s="1154">
        <f t="shared" si="756"/>
        <v>0</v>
      </c>
      <c r="EO208" s="1154">
        <f t="shared" si="757"/>
        <v>2923125.0301852408</v>
      </c>
      <c r="EP208" s="1154">
        <f t="shared" si="758"/>
        <v>0</v>
      </c>
      <c r="EQ208" s="1154">
        <f t="shared" si="759"/>
        <v>0</v>
      </c>
      <c r="ER208" s="1154">
        <f t="shared" si="760"/>
        <v>0</v>
      </c>
      <c r="ES208" s="1154">
        <f t="shared" si="761"/>
        <v>0</v>
      </c>
      <c r="ET208" s="1154">
        <f t="shared" si="762"/>
        <v>0</v>
      </c>
      <c r="EU208" s="1154">
        <f t="shared" si="763"/>
        <v>0</v>
      </c>
      <c r="EV208" s="1154">
        <f t="shared" si="764"/>
        <v>0</v>
      </c>
      <c r="EW208" s="1154">
        <f t="shared" si="765"/>
        <v>0</v>
      </c>
      <c r="EX208" s="1154">
        <f t="shared" si="766"/>
        <v>0</v>
      </c>
      <c r="EY208" s="1154">
        <f t="shared" si="767"/>
        <v>0</v>
      </c>
      <c r="EZ208" s="1154">
        <f t="shared" si="768"/>
        <v>0</v>
      </c>
      <c r="FA208" s="1174">
        <f t="shared" si="769"/>
        <v>2923125.0301852408</v>
      </c>
      <c r="FC208" s="1154">
        <f t="shared" si="770"/>
        <v>0</v>
      </c>
      <c r="FD208" s="1154">
        <f t="shared" si="771"/>
        <v>0</v>
      </c>
      <c r="FE208" s="1154">
        <f t="shared" si="772"/>
        <v>0</v>
      </c>
      <c r="FF208" s="1154">
        <f t="shared" si="773"/>
        <v>0</v>
      </c>
      <c r="FG208" s="1154">
        <f t="shared" si="774"/>
        <v>0</v>
      </c>
      <c r="FH208" s="1154">
        <f t="shared" si="775"/>
        <v>0</v>
      </c>
      <c r="FI208" s="1154">
        <f t="shared" si="776"/>
        <v>0</v>
      </c>
      <c r="FJ208" s="1154">
        <f t="shared" si="777"/>
        <v>0</v>
      </c>
      <c r="FK208" s="1154">
        <f t="shared" si="778"/>
        <v>0</v>
      </c>
      <c r="FL208" s="1154">
        <f t="shared" si="779"/>
        <v>0</v>
      </c>
      <c r="FM208" s="1154">
        <f t="shared" si="780"/>
        <v>0</v>
      </c>
      <c r="FN208" s="1154">
        <f t="shared" si="781"/>
        <v>0</v>
      </c>
      <c r="FO208" s="1154">
        <f t="shared" si="782"/>
        <v>0</v>
      </c>
      <c r="FP208" s="1154">
        <f t="shared" si="783"/>
        <v>0</v>
      </c>
      <c r="FQ208" s="1154">
        <f t="shared" si="784"/>
        <v>0</v>
      </c>
      <c r="FR208" s="1154">
        <f t="shared" si="785"/>
        <v>0</v>
      </c>
      <c r="FS208" s="1154">
        <f t="shared" si="786"/>
        <v>0</v>
      </c>
      <c r="FT208" s="1154">
        <f t="shared" si="787"/>
        <v>0</v>
      </c>
      <c r="FU208" s="1154">
        <f t="shared" si="788"/>
        <v>0</v>
      </c>
      <c r="FV208" s="1154">
        <f t="shared" si="789"/>
        <v>0</v>
      </c>
      <c r="FW208" s="1154">
        <f t="shared" si="790"/>
        <v>0</v>
      </c>
      <c r="FX208" s="1154">
        <f t="shared" si="791"/>
        <v>0</v>
      </c>
      <c r="FY208" s="1154">
        <f t="shared" si="792"/>
        <v>0</v>
      </c>
      <c r="FZ208" s="1154">
        <f t="shared" si="793"/>
        <v>2846889.371714924</v>
      </c>
      <c r="GA208" s="1154">
        <f t="shared" si="794"/>
        <v>0</v>
      </c>
      <c r="GB208" s="1154">
        <f t="shared" si="795"/>
        <v>0</v>
      </c>
      <c r="GC208" s="1154">
        <f t="shared" si="796"/>
        <v>0</v>
      </c>
      <c r="GD208" s="1154">
        <f t="shared" si="797"/>
        <v>0</v>
      </c>
      <c r="GE208" s="1154">
        <f t="shared" si="798"/>
        <v>0</v>
      </c>
      <c r="GF208" s="1154">
        <f t="shared" si="799"/>
        <v>0</v>
      </c>
      <c r="GG208" s="1154">
        <f t="shared" si="800"/>
        <v>0</v>
      </c>
      <c r="GH208" s="1154">
        <f t="shared" si="801"/>
        <v>0</v>
      </c>
      <c r="GI208" s="1154">
        <f t="shared" si="802"/>
        <v>0</v>
      </c>
      <c r="GJ208" s="1154">
        <f t="shared" si="803"/>
        <v>0</v>
      </c>
      <c r="GK208" s="1154">
        <f t="shared" si="804"/>
        <v>0</v>
      </c>
      <c r="GL208" s="1174">
        <f t="shared" si="805"/>
        <v>2846889.371714924</v>
      </c>
    </row>
    <row r="209" spans="2:216">
      <c r="B209" s="1290" t="str">
        <f t="shared" si="733"/>
        <v>SACDUOSEVC</v>
      </c>
      <c r="C209" s="1289" t="str">
        <f t="shared" ref="C209:H209" si="813">C208</f>
        <v>East SAC&lt;100MWhpa VolumeControlled</v>
      </c>
      <c r="D209" s="1113" t="str">
        <f t="shared" si="813"/>
        <v>East SAC&lt;100MWhpa VolumeControlled</v>
      </c>
      <c r="E209" s="1113" t="str">
        <f t="shared" si="813"/>
        <v>SAC</v>
      </c>
      <c r="F209" s="1113" t="str">
        <f t="shared" si="813"/>
        <v>SACS CL</v>
      </c>
      <c r="G209" s="1113" t="str">
        <f t="shared" si="813"/>
        <v>East</v>
      </c>
      <c r="H209" s="1113" t="str">
        <f t="shared" si="813"/>
        <v>EVC</v>
      </c>
      <c r="I209" s="1114" t="s">
        <v>759</v>
      </c>
      <c r="J209" s="1114" t="s">
        <v>934</v>
      </c>
      <c r="K209" s="1270"/>
      <c r="L209" s="1112"/>
      <c r="M209" s="1007"/>
      <c r="N209" s="1007"/>
      <c r="O209" s="1007"/>
      <c r="P209" s="1007"/>
      <c r="Q209" s="1007"/>
      <c r="R209" s="1007"/>
      <c r="S209" s="1007"/>
      <c r="T209" s="1007"/>
      <c r="U209" s="1007"/>
      <c r="V209" s="1007"/>
      <c r="W209" s="1007"/>
      <c r="X209" s="1007"/>
      <c r="Y209" s="1007"/>
      <c r="Z209" s="1007"/>
      <c r="AA209" s="1007"/>
      <c r="AB209" s="1007"/>
      <c r="AC209" s="1007"/>
      <c r="AD209" s="1007"/>
      <c r="AE209" s="1007"/>
      <c r="AF209" s="1007"/>
      <c r="AG209" s="1007"/>
      <c r="AH209" s="1007"/>
      <c r="AI209" s="1233">
        <v>1.4121324100704864E-2</v>
      </c>
      <c r="AJ209" s="1005"/>
      <c r="AK209" s="1005"/>
      <c r="AL209" s="1005"/>
      <c r="AM209" s="1005"/>
      <c r="AN209" s="1005"/>
      <c r="AO209" s="1005"/>
      <c r="AP209" s="1005"/>
      <c r="AQ209" s="1005"/>
      <c r="AR209" s="1005"/>
      <c r="AS209" s="1005"/>
      <c r="AT209" s="1005"/>
      <c r="AU209" s="1006"/>
      <c r="AV209" s="1270"/>
      <c r="AW209" s="1006"/>
      <c r="AX209" s="1006"/>
      <c r="AY209" s="1006"/>
      <c r="AZ209" s="1006"/>
      <c r="BA209" s="1006"/>
      <c r="BB209" s="1006"/>
      <c r="BC209" s="1006"/>
      <c r="BD209" s="1006"/>
      <c r="BE209" s="1006"/>
      <c r="BF209" s="1006"/>
      <c r="BG209" s="1006"/>
      <c r="BH209" s="1006"/>
      <c r="BI209" s="1006"/>
      <c r="BJ209" s="1006"/>
      <c r="BK209" s="1006"/>
      <c r="BL209" s="1006"/>
      <c r="BM209" s="1006"/>
      <c r="BN209" s="1006"/>
      <c r="BO209" s="1006"/>
      <c r="BP209" s="1006"/>
      <c r="BQ209" s="1006"/>
      <c r="BR209" s="1006"/>
      <c r="BS209" s="1006"/>
      <c r="BT209" s="1480">
        <v>1.4772535454067301E-2</v>
      </c>
      <c r="BU209" s="1006"/>
      <c r="BV209" s="1006"/>
      <c r="BW209" s="1006"/>
      <c r="BX209" s="1006"/>
      <c r="BY209" s="1006"/>
      <c r="BZ209" s="1006"/>
      <c r="CA209" s="1006"/>
      <c r="CB209" s="1006"/>
      <c r="CC209" s="1006"/>
      <c r="CD209" s="1006"/>
      <c r="CE209" s="1006"/>
      <c r="CF209" s="1006"/>
      <c r="CG209" s="1209"/>
      <c r="CH209" s="1112"/>
      <c r="CI209" s="1007"/>
      <c r="CJ209" s="1007"/>
      <c r="CK209" s="1007"/>
      <c r="CL209" s="1007"/>
      <c r="CM209" s="1007"/>
      <c r="CN209" s="1007"/>
      <c r="CO209" s="1007"/>
      <c r="CP209" s="1007"/>
      <c r="CQ209" s="1007"/>
      <c r="CR209" s="1007"/>
      <c r="CS209" s="1007"/>
      <c r="CT209" s="1007"/>
      <c r="CU209" s="1007"/>
      <c r="CV209" s="1007"/>
      <c r="CW209" s="1007"/>
      <c r="CX209" s="1007"/>
      <c r="CY209" s="1007"/>
      <c r="CZ209" s="1007"/>
      <c r="DA209" s="1007"/>
      <c r="DB209" s="1007"/>
      <c r="DC209" s="1007"/>
      <c r="DD209" s="1007"/>
      <c r="DE209" s="1236">
        <v>114118817.32694151</v>
      </c>
      <c r="DF209" s="1007"/>
      <c r="DG209" s="1007"/>
      <c r="DH209" s="1007"/>
      <c r="DI209" s="1006"/>
      <c r="DJ209" s="1006"/>
      <c r="DK209" s="1007"/>
      <c r="DL209" s="1007"/>
      <c r="DM209" s="1007"/>
      <c r="DN209" s="1007"/>
      <c r="DO209" s="1112"/>
      <c r="DP209" s="1112"/>
      <c r="DQ209" s="1270"/>
      <c r="DR209" s="1154">
        <f t="shared" si="734"/>
        <v>0</v>
      </c>
      <c r="DS209" s="1154">
        <f t="shared" si="735"/>
        <v>0</v>
      </c>
      <c r="DT209" s="1154">
        <f t="shared" si="736"/>
        <v>0</v>
      </c>
      <c r="DU209" s="1154">
        <f t="shared" si="737"/>
        <v>0</v>
      </c>
      <c r="DV209" s="1154">
        <f t="shared" si="738"/>
        <v>0</v>
      </c>
      <c r="DW209" s="1154">
        <f t="shared" si="739"/>
        <v>0</v>
      </c>
      <c r="DX209" s="1154">
        <f t="shared" si="740"/>
        <v>0</v>
      </c>
      <c r="DY209" s="1154">
        <f t="shared" si="741"/>
        <v>0</v>
      </c>
      <c r="DZ209" s="1154">
        <f t="shared" si="742"/>
        <v>0</v>
      </c>
      <c r="EA209" s="1154">
        <f t="shared" si="743"/>
        <v>0</v>
      </c>
      <c r="EB209" s="1154">
        <f t="shared" si="744"/>
        <v>0</v>
      </c>
      <c r="EC209" s="1154">
        <f t="shared" si="745"/>
        <v>0</v>
      </c>
      <c r="ED209" s="1154">
        <f t="shared" si="746"/>
        <v>0</v>
      </c>
      <c r="EE209" s="1154">
        <f t="shared" si="747"/>
        <v>0</v>
      </c>
      <c r="EF209" s="1154">
        <f t="shared" si="748"/>
        <v>0</v>
      </c>
      <c r="EG209" s="1154">
        <f t="shared" si="749"/>
        <v>0</v>
      </c>
      <c r="EH209" s="1154">
        <f t="shared" si="750"/>
        <v>0</v>
      </c>
      <c r="EI209" s="1154">
        <f t="shared" si="751"/>
        <v>0</v>
      </c>
      <c r="EJ209" s="1154">
        <f t="shared" si="752"/>
        <v>0</v>
      </c>
      <c r="EK209" s="1154">
        <f t="shared" si="753"/>
        <v>0</v>
      </c>
      <c r="EL209" s="1154">
        <f t="shared" si="754"/>
        <v>0</v>
      </c>
      <c r="EM209" s="1154">
        <f t="shared" si="755"/>
        <v>0</v>
      </c>
      <c r="EN209" s="1154">
        <f t="shared" si="756"/>
        <v>0</v>
      </c>
      <c r="EO209" s="1154">
        <f t="shared" si="757"/>
        <v>1611508.8054628749</v>
      </c>
      <c r="EP209" s="1154">
        <f t="shared" si="758"/>
        <v>0</v>
      </c>
      <c r="EQ209" s="1154">
        <f t="shared" si="759"/>
        <v>0</v>
      </c>
      <c r="ER209" s="1154">
        <f t="shared" si="760"/>
        <v>0</v>
      </c>
      <c r="ES209" s="1154">
        <f t="shared" si="761"/>
        <v>0</v>
      </c>
      <c r="ET209" s="1154">
        <f t="shared" si="762"/>
        <v>0</v>
      </c>
      <c r="EU209" s="1154">
        <f t="shared" si="763"/>
        <v>0</v>
      </c>
      <c r="EV209" s="1154">
        <f t="shared" si="764"/>
        <v>0</v>
      </c>
      <c r="EW209" s="1154">
        <f t="shared" si="765"/>
        <v>0</v>
      </c>
      <c r="EX209" s="1154">
        <f t="shared" si="766"/>
        <v>0</v>
      </c>
      <c r="EY209" s="1154">
        <f t="shared" si="767"/>
        <v>0</v>
      </c>
      <c r="EZ209" s="1154">
        <f t="shared" si="768"/>
        <v>0</v>
      </c>
      <c r="FA209" s="1174">
        <f t="shared" si="769"/>
        <v>1611508.8054628749</v>
      </c>
      <c r="FC209" s="1154">
        <f t="shared" si="770"/>
        <v>0</v>
      </c>
      <c r="FD209" s="1154">
        <f t="shared" si="771"/>
        <v>0</v>
      </c>
      <c r="FE209" s="1154">
        <f t="shared" si="772"/>
        <v>0</v>
      </c>
      <c r="FF209" s="1154">
        <f t="shared" si="773"/>
        <v>0</v>
      </c>
      <c r="FG209" s="1154">
        <f t="shared" si="774"/>
        <v>0</v>
      </c>
      <c r="FH209" s="1154">
        <f t="shared" si="775"/>
        <v>0</v>
      </c>
      <c r="FI209" s="1154">
        <f t="shared" si="776"/>
        <v>0</v>
      </c>
      <c r="FJ209" s="1154">
        <f t="shared" si="777"/>
        <v>0</v>
      </c>
      <c r="FK209" s="1154">
        <f t="shared" si="778"/>
        <v>0</v>
      </c>
      <c r="FL209" s="1154">
        <f t="shared" si="779"/>
        <v>0</v>
      </c>
      <c r="FM209" s="1154">
        <f t="shared" si="780"/>
        <v>0</v>
      </c>
      <c r="FN209" s="1154">
        <f t="shared" si="781"/>
        <v>0</v>
      </c>
      <c r="FO209" s="1154">
        <f t="shared" si="782"/>
        <v>0</v>
      </c>
      <c r="FP209" s="1154">
        <f t="shared" si="783"/>
        <v>0</v>
      </c>
      <c r="FQ209" s="1154">
        <f t="shared" si="784"/>
        <v>0</v>
      </c>
      <c r="FR209" s="1154">
        <f t="shared" si="785"/>
        <v>0</v>
      </c>
      <c r="FS209" s="1154">
        <f t="shared" si="786"/>
        <v>0</v>
      </c>
      <c r="FT209" s="1154">
        <f t="shared" si="787"/>
        <v>0</v>
      </c>
      <c r="FU209" s="1154">
        <f t="shared" si="788"/>
        <v>0</v>
      </c>
      <c r="FV209" s="1154">
        <f t="shared" si="789"/>
        <v>0</v>
      </c>
      <c r="FW209" s="1154">
        <f t="shared" si="790"/>
        <v>0</v>
      </c>
      <c r="FX209" s="1154">
        <f t="shared" si="791"/>
        <v>0</v>
      </c>
      <c r="FY209" s="1154">
        <f t="shared" si="792"/>
        <v>0</v>
      </c>
      <c r="FZ209" s="1154">
        <f t="shared" si="793"/>
        <v>1685824.2749384732</v>
      </c>
      <c r="GA209" s="1154">
        <f t="shared" si="794"/>
        <v>0</v>
      </c>
      <c r="GB209" s="1154">
        <f t="shared" si="795"/>
        <v>0</v>
      </c>
      <c r="GC209" s="1154">
        <f t="shared" si="796"/>
        <v>0</v>
      </c>
      <c r="GD209" s="1154">
        <f t="shared" si="797"/>
        <v>0</v>
      </c>
      <c r="GE209" s="1154">
        <f t="shared" si="798"/>
        <v>0</v>
      </c>
      <c r="GF209" s="1154">
        <f t="shared" si="799"/>
        <v>0</v>
      </c>
      <c r="GG209" s="1154">
        <f t="shared" si="800"/>
        <v>0</v>
      </c>
      <c r="GH209" s="1154">
        <f t="shared" si="801"/>
        <v>0</v>
      </c>
      <c r="GI209" s="1154">
        <f t="shared" si="802"/>
        <v>0</v>
      </c>
      <c r="GJ209" s="1154">
        <f t="shared" si="803"/>
        <v>0</v>
      </c>
      <c r="GK209" s="1154">
        <f t="shared" si="804"/>
        <v>0</v>
      </c>
      <c r="GL209" s="1174">
        <f t="shared" si="805"/>
        <v>1685824.2749384732</v>
      </c>
    </row>
    <row r="210" spans="2:216">
      <c r="B210" s="1290" t="str">
        <f t="shared" si="733"/>
        <v>SACDUOSWVC</v>
      </c>
      <c r="C210" s="1289" t="str">
        <f>Prop2021DUOSTariffs!C94</f>
        <v>West SAC&lt;100MWhpa VolumeControlled</v>
      </c>
      <c r="D210" s="1113" t="str">
        <f>Prop2021DUOSTariffs!D94</f>
        <v>West SAC&lt;100MWhpa VolumeControlled</v>
      </c>
      <c r="E210" s="1113" t="str">
        <f>Prop2021DUOSTariffs!E94</f>
        <v>SAC</v>
      </c>
      <c r="F210" s="1113" t="str">
        <f>Prop2021DUOSTariffs!F94</f>
        <v>SACS CL</v>
      </c>
      <c r="G210" s="1113" t="str">
        <f>Prop2021DUOSTariffs!G94</f>
        <v>West</v>
      </c>
      <c r="H210" s="1113" t="str">
        <f>Prop2021DUOSTariffs!H94</f>
        <v>WVC</v>
      </c>
      <c r="I210" s="1114" t="s">
        <v>798</v>
      </c>
      <c r="J210" s="1114" t="s">
        <v>934</v>
      </c>
      <c r="K210" s="1270"/>
      <c r="L210" s="1112"/>
      <c r="M210" s="1007"/>
      <c r="N210" s="1007"/>
      <c r="O210" s="1007"/>
      <c r="P210" s="1007"/>
      <c r="Q210" s="1007"/>
      <c r="R210" s="1007"/>
      <c r="S210" s="1007"/>
      <c r="T210" s="1007"/>
      <c r="U210" s="1007"/>
      <c r="V210" s="1007"/>
      <c r="W210" s="1007"/>
      <c r="X210" s="1007"/>
      <c r="Y210" s="1007"/>
      <c r="Z210" s="1007"/>
      <c r="AA210" s="1007"/>
      <c r="AB210" s="1007"/>
      <c r="AC210" s="1007"/>
      <c r="AD210" s="1007"/>
      <c r="AE210" s="1007"/>
      <c r="AF210" s="1007"/>
      <c r="AG210" s="1007"/>
      <c r="AH210" s="1007"/>
      <c r="AI210" s="1233">
        <v>1.2756140745273986E-2</v>
      </c>
      <c r="AJ210" s="1005"/>
      <c r="AK210" s="1005"/>
      <c r="AL210" s="1005"/>
      <c r="AM210" s="1005"/>
      <c r="AN210" s="1005"/>
      <c r="AO210" s="1005"/>
      <c r="AP210" s="1005"/>
      <c r="AQ210" s="1005"/>
      <c r="AR210" s="1005"/>
      <c r="AS210" s="1005"/>
      <c r="AT210" s="1005"/>
      <c r="AU210" s="1006"/>
      <c r="AV210" s="1270"/>
      <c r="AW210" s="1006"/>
      <c r="AX210" s="1006"/>
      <c r="AY210" s="1006"/>
      <c r="AZ210" s="1006"/>
      <c r="BA210" s="1006"/>
      <c r="BB210" s="1006"/>
      <c r="BC210" s="1006"/>
      <c r="BD210" s="1006"/>
      <c r="BE210" s="1006"/>
      <c r="BF210" s="1006"/>
      <c r="BG210" s="1006"/>
      <c r="BH210" s="1006"/>
      <c r="BI210" s="1006"/>
      <c r="BJ210" s="1006"/>
      <c r="BK210" s="1006"/>
      <c r="BL210" s="1006"/>
      <c r="BM210" s="1006"/>
      <c r="BN210" s="1006"/>
      <c r="BO210" s="1006"/>
      <c r="BP210" s="1006"/>
      <c r="BQ210" s="1006"/>
      <c r="BR210" s="1006"/>
      <c r="BS210" s="1006"/>
      <c r="BT210" s="1480">
        <v>9.9886311700567981E-3</v>
      </c>
      <c r="BU210" s="1006"/>
      <c r="BV210" s="1006"/>
      <c r="BW210" s="1006"/>
      <c r="BX210" s="1006"/>
      <c r="BY210" s="1006"/>
      <c r="BZ210" s="1006"/>
      <c r="CA210" s="1006"/>
      <c r="CB210" s="1006"/>
      <c r="CC210" s="1006"/>
      <c r="CD210" s="1006"/>
      <c r="CE210" s="1006"/>
      <c r="CF210" s="1006"/>
      <c r="CG210" s="1209"/>
      <c r="CH210" s="1112"/>
      <c r="CI210" s="1007"/>
      <c r="CJ210" s="1007"/>
      <c r="CK210" s="1007"/>
      <c r="CL210" s="1007"/>
      <c r="CM210" s="1007"/>
      <c r="CN210" s="1007"/>
      <c r="CO210" s="1007"/>
      <c r="CP210" s="1007"/>
      <c r="CQ210" s="1007"/>
      <c r="CR210" s="1007"/>
      <c r="CS210" s="1007"/>
      <c r="CT210" s="1007"/>
      <c r="CU210" s="1007"/>
      <c r="CV210" s="1007"/>
      <c r="CW210" s="1007"/>
      <c r="CX210" s="1007"/>
      <c r="CY210" s="1007"/>
      <c r="CZ210" s="1007"/>
      <c r="DA210" s="1007"/>
      <c r="DB210" s="1007"/>
      <c r="DC210" s="1007"/>
      <c r="DD210" s="1007"/>
      <c r="DE210" s="1236">
        <v>25915162.750240333</v>
      </c>
      <c r="DF210" s="1007"/>
      <c r="DG210" s="1007"/>
      <c r="DH210" s="1007"/>
      <c r="DI210" s="1006"/>
      <c r="DJ210" s="1006"/>
      <c r="DK210" s="1007"/>
      <c r="DL210" s="1007"/>
      <c r="DM210" s="1007"/>
      <c r="DN210" s="1007"/>
      <c r="DO210" s="1112"/>
      <c r="DP210" s="1112"/>
      <c r="DQ210" s="1270"/>
      <c r="DR210" s="1154">
        <f t="shared" si="734"/>
        <v>0</v>
      </c>
      <c r="DS210" s="1154">
        <f t="shared" si="735"/>
        <v>0</v>
      </c>
      <c r="DT210" s="1154">
        <f t="shared" si="736"/>
        <v>0</v>
      </c>
      <c r="DU210" s="1154">
        <f t="shared" si="737"/>
        <v>0</v>
      </c>
      <c r="DV210" s="1154">
        <f t="shared" si="738"/>
        <v>0</v>
      </c>
      <c r="DW210" s="1154">
        <f t="shared" si="739"/>
        <v>0</v>
      </c>
      <c r="DX210" s="1154">
        <f t="shared" si="740"/>
        <v>0</v>
      </c>
      <c r="DY210" s="1154">
        <f t="shared" si="741"/>
        <v>0</v>
      </c>
      <c r="DZ210" s="1154">
        <f t="shared" si="742"/>
        <v>0</v>
      </c>
      <c r="EA210" s="1154">
        <f t="shared" si="743"/>
        <v>0</v>
      </c>
      <c r="EB210" s="1154">
        <f t="shared" si="744"/>
        <v>0</v>
      </c>
      <c r="EC210" s="1154">
        <f t="shared" si="745"/>
        <v>0</v>
      </c>
      <c r="ED210" s="1154">
        <f t="shared" si="746"/>
        <v>0</v>
      </c>
      <c r="EE210" s="1154">
        <f t="shared" si="747"/>
        <v>0</v>
      </c>
      <c r="EF210" s="1154">
        <f t="shared" si="748"/>
        <v>0</v>
      </c>
      <c r="EG210" s="1154">
        <f t="shared" si="749"/>
        <v>0</v>
      </c>
      <c r="EH210" s="1154">
        <f t="shared" si="750"/>
        <v>0</v>
      </c>
      <c r="EI210" s="1154">
        <f t="shared" si="751"/>
        <v>0</v>
      </c>
      <c r="EJ210" s="1154">
        <f t="shared" si="752"/>
        <v>0</v>
      </c>
      <c r="EK210" s="1154">
        <f t="shared" si="753"/>
        <v>0</v>
      </c>
      <c r="EL210" s="1154">
        <f t="shared" si="754"/>
        <v>0</v>
      </c>
      <c r="EM210" s="1154">
        <f t="shared" si="755"/>
        <v>0</v>
      </c>
      <c r="EN210" s="1154">
        <f t="shared" si="756"/>
        <v>0</v>
      </c>
      <c r="EO210" s="1154">
        <f t="shared" si="757"/>
        <v>330577.46347874735</v>
      </c>
      <c r="EP210" s="1154">
        <f t="shared" si="758"/>
        <v>0</v>
      </c>
      <c r="EQ210" s="1154">
        <f t="shared" si="759"/>
        <v>0</v>
      </c>
      <c r="ER210" s="1154">
        <f t="shared" si="760"/>
        <v>0</v>
      </c>
      <c r="ES210" s="1154">
        <f t="shared" si="761"/>
        <v>0</v>
      </c>
      <c r="ET210" s="1154">
        <f t="shared" si="762"/>
        <v>0</v>
      </c>
      <c r="EU210" s="1154">
        <f t="shared" si="763"/>
        <v>0</v>
      </c>
      <c r="EV210" s="1154">
        <f t="shared" si="764"/>
        <v>0</v>
      </c>
      <c r="EW210" s="1154">
        <f t="shared" si="765"/>
        <v>0</v>
      </c>
      <c r="EX210" s="1154">
        <f t="shared" si="766"/>
        <v>0</v>
      </c>
      <c r="EY210" s="1154">
        <f t="shared" si="767"/>
        <v>0</v>
      </c>
      <c r="EZ210" s="1154">
        <f t="shared" si="768"/>
        <v>0</v>
      </c>
      <c r="FA210" s="1174">
        <f t="shared" si="769"/>
        <v>330577.46347874735</v>
      </c>
      <c r="FC210" s="1154">
        <f t="shared" si="770"/>
        <v>0</v>
      </c>
      <c r="FD210" s="1154">
        <f t="shared" si="771"/>
        <v>0</v>
      </c>
      <c r="FE210" s="1154">
        <f t="shared" si="772"/>
        <v>0</v>
      </c>
      <c r="FF210" s="1154">
        <f t="shared" si="773"/>
        <v>0</v>
      </c>
      <c r="FG210" s="1154">
        <f t="shared" si="774"/>
        <v>0</v>
      </c>
      <c r="FH210" s="1154">
        <f t="shared" si="775"/>
        <v>0</v>
      </c>
      <c r="FI210" s="1154">
        <f t="shared" si="776"/>
        <v>0</v>
      </c>
      <c r="FJ210" s="1154">
        <f t="shared" si="777"/>
        <v>0</v>
      </c>
      <c r="FK210" s="1154">
        <f t="shared" si="778"/>
        <v>0</v>
      </c>
      <c r="FL210" s="1154">
        <f t="shared" si="779"/>
        <v>0</v>
      </c>
      <c r="FM210" s="1154">
        <f t="shared" si="780"/>
        <v>0</v>
      </c>
      <c r="FN210" s="1154">
        <f t="shared" si="781"/>
        <v>0</v>
      </c>
      <c r="FO210" s="1154">
        <f t="shared" si="782"/>
        <v>0</v>
      </c>
      <c r="FP210" s="1154">
        <f t="shared" si="783"/>
        <v>0</v>
      </c>
      <c r="FQ210" s="1154">
        <f t="shared" si="784"/>
        <v>0</v>
      </c>
      <c r="FR210" s="1154">
        <f t="shared" si="785"/>
        <v>0</v>
      </c>
      <c r="FS210" s="1154">
        <f t="shared" si="786"/>
        <v>0</v>
      </c>
      <c r="FT210" s="1154">
        <f t="shared" si="787"/>
        <v>0</v>
      </c>
      <c r="FU210" s="1154">
        <f t="shared" si="788"/>
        <v>0</v>
      </c>
      <c r="FV210" s="1154">
        <f t="shared" si="789"/>
        <v>0</v>
      </c>
      <c r="FW210" s="1154">
        <f t="shared" si="790"/>
        <v>0</v>
      </c>
      <c r="FX210" s="1154">
        <f t="shared" si="791"/>
        <v>0</v>
      </c>
      <c r="FY210" s="1154">
        <f t="shared" si="792"/>
        <v>0</v>
      </c>
      <c r="FZ210" s="1154">
        <f t="shared" si="793"/>
        <v>258857.00242414544</v>
      </c>
      <c r="GA210" s="1154">
        <f t="shared" si="794"/>
        <v>0</v>
      </c>
      <c r="GB210" s="1154">
        <f t="shared" si="795"/>
        <v>0</v>
      </c>
      <c r="GC210" s="1154">
        <f t="shared" si="796"/>
        <v>0</v>
      </c>
      <c r="GD210" s="1154">
        <f t="shared" si="797"/>
        <v>0</v>
      </c>
      <c r="GE210" s="1154">
        <f t="shared" si="798"/>
        <v>0</v>
      </c>
      <c r="GF210" s="1154">
        <f t="shared" si="799"/>
        <v>0</v>
      </c>
      <c r="GG210" s="1154">
        <f t="shared" si="800"/>
        <v>0</v>
      </c>
      <c r="GH210" s="1154">
        <f t="shared" si="801"/>
        <v>0</v>
      </c>
      <c r="GI210" s="1154">
        <f t="shared" si="802"/>
        <v>0</v>
      </c>
      <c r="GJ210" s="1154">
        <f t="shared" si="803"/>
        <v>0</v>
      </c>
      <c r="GK210" s="1154">
        <f t="shared" si="804"/>
        <v>0</v>
      </c>
      <c r="GL210" s="1174">
        <f t="shared" si="805"/>
        <v>258857.00242414544</v>
      </c>
    </row>
    <row r="211" spans="2:216">
      <c r="B211" s="1290" t="str">
        <f t="shared" si="733"/>
        <v>SACDUOSWVC</v>
      </c>
      <c r="C211" s="1289" t="str">
        <f>C210</f>
        <v>West SAC&lt;100MWhpa VolumeControlled</v>
      </c>
      <c r="D211" s="1113" t="str">
        <f t="shared" ref="D211:H211" si="814">D210</f>
        <v>West SAC&lt;100MWhpa VolumeControlled</v>
      </c>
      <c r="E211" s="1113" t="str">
        <f t="shared" si="814"/>
        <v>SAC</v>
      </c>
      <c r="F211" s="1113" t="str">
        <f t="shared" si="814"/>
        <v>SACS CL</v>
      </c>
      <c r="G211" s="1113" t="str">
        <f t="shared" si="814"/>
        <v>West</v>
      </c>
      <c r="H211" s="1113" t="str">
        <f t="shared" si="814"/>
        <v>WVC</v>
      </c>
      <c r="I211" s="1114" t="s">
        <v>752</v>
      </c>
      <c r="J211" s="1114" t="s">
        <v>934</v>
      </c>
      <c r="K211" s="1270"/>
      <c r="L211" s="1112"/>
      <c r="M211" s="1007"/>
      <c r="N211" s="1007"/>
      <c r="O211" s="1007"/>
      <c r="P211" s="1007"/>
      <c r="Q211" s="1007"/>
      <c r="R211" s="1007"/>
      <c r="S211" s="1007"/>
      <c r="T211" s="1007"/>
      <c r="U211" s="1007"/>
      <c r="V211" s="1007"/>
      <c r="W211" s="1007"/>
      <c r="X211" s="1007"/>
      <c r="Y211" s="1007"/>
      <c r="Z211" s="1007"/>
      <c r="AA211" s="1007"/>
      <c r="AB211" s="1007"/>
      <c r="AC211" s="1007"/>
      <c r="AD211" s="1007"/>
      <c r="AE211" s="1007"/>
      <c r="AF211" s="1007"/>
      <c r="AG211" s="1007"/>
      <c r="AH211" s="1007"/>
      <c r="AI211" s="1233">
        <v>1.3580961239131205E-2</v>
      </c>
      <c r="AJ211" s="1005"/>
      <c r="AK211" s="1005"/>
      <c r="AL211" s="1005"/>
      <c r="AM211" s="1005"/>
      <c r="AN211" s="1005"/>
      <c r="AO211" s="1005"/>
      <c r="AP211" s="1005"/>
      <c r="AQ211" s="1005"/>
      <c r="AR211" s="1005"/>
      <c r="AS211" s="1005"/>
      <c r="AT211" s="1005"/>
      <c r="AU211" s="1006"/>
      <c r="AV211" s="1270"/>
      <c r="AW211" s="1006"/>
      <c r="AX211" s="1006"/>
      <c r="AY211" s="1006"/>
      <c r="AZ211" s="1006"/>
      <c r="BA211" s="1006"/>
      <c r="BB211" s="1006"/>
      <c r="BC211" s="1006"/>
      <c r="BD211" s="1006"/>
      <c r="BE211" s="1006"/>
      <c r="BF211" s="1006"/>
      <c r="BG211" s="1006"/>
      <c r="BH211" s="1006"/>
      <c r="BI211" s="1006"/>
      <c r="BJ211" s="1006"/>
      <c r="BK211" s="1006"/>
      <c r="BL211" s="1006"/>
      <c r="BM211" s="1006"/>
      <c r="BN211" s="1006"/>
      <c r="BO211" s="1006"/>
      <c r="BP211" s="1006"/>
      <c r="BQ211" s="1006"/>
      <c r="BR211" s="1006"/>
      <c r="BS211" s="1006"/>
      <c r="BT211" s="1480">
        <v>1.3226767178995704E-2</v>
      </c>
      <c r="BU211" s="1006"/>
      <c r="BV211" s="1006"/>
      <c r="BW211" s="1006"/>
      <c r="BX211" s="1006"/>
      <c r="BY211" s="1006"/>
      <c r="BZ211" s="1006"/>
      <c r="CA211" s="1006"/>
      <c r="CB211" s="1006"/>
      <c r="CC211" s="1006"/>
      <c r="CD211" s="1006"/>
      <c r="CE211" s="1006"/>
      <c r="CF211" s="1006"/>
      <c r="CG211" s="1209"/>
      <c r="CH211" s="1112"/>
      <c r="CI211" s="1007"/>
      <c r="CJ211" s="1007"/>
      <c r="CK211" s="1007"/>
      <c r="CL211" s="1007"/>
      <c r="CM211" s="1007"/>
      <c r="CN211" s="1007"/>
      <c r="CO211" s="1007"/>
      <c r="CP211" s="1007"/>
      <c r="CQ211" s="1007"/>
      <c r="CR211" s="1007"/>
      <c r="CS211" s="1007"/>
      <c r="CT211" s="1007"/>
      <c r="CU211" s="1007"/>
      <c r="CV211" s="1007"/>
      <c r="CW211" s="1007"/>
      <c r="CX211" s="1007"/>
      <c r="CY211" s="1007"/>
      <c r="CZ211" s="1007"/>
      <c r="DA211" s="1007"/>
      <c r="DB211" s="1007"/>
      <c r="DC211" s="1007"/>
      <c r="DD211" s="1007"/>
      <c r="DE211" s="1236">
        <v>7600535.9465852138</v>
      </c>
      <c r="DF211" s="1007"/>
      <c r="DG211" s="1007"/>
      <c r="DH211" s="1007"/>
      <c r="DI211" s="1006"/>
      <c r="DJ211" s="1006"/>
      <c r="DK211" s="1007"/>
      <c r="DL211" s="1007"/>
      <c r="DM211" s="1007"/>
      <c r="DN211" s="1007"/>
      <c r="DO211" s="1112"/>
      <c r="DP211" s="1112"/>
      <c r="DQ211" s="1270"/>
      <c r="DR211" s="1154">
        <f t="shared" si="734"/>
        <v>0</v>
      </c>
      <c r="DS211" s="1154">
        <f t="shared" si="735"/>
        <v>0</v>
      </c>
      <c r="DT211" s="1154">
        <f t="shared" si="736"/>
        <v>0</v>
      </c>
      <c r="DU211" s="1154">
        <f t="shared" si="737"/>
        <v>0</v>
      </c>
      <c r="DV211" s="1154">
        <f t="shared" si="738"/>
        <v>0</v>
      </c>
      <c r="DW211" s="1154">
        <f t="shared" si="739"/>
        <v>0</v>
      </c>
      <c r="DX211" s="1154">
        <f t="shared" si="740"/>
        <v>0</v>
      </c>
      <c r="DY211" s="1154">
        <f t="shared" si="741"/>
        <v>0</v>
      </c>
      <c r="DZ211" s="1154">
        <f t="shared" si="742"/>
        <v>0</v>
      </c>
      <c r="EA211" s="1154">
        <f t="shared" si="743"/>
        <v>0</v>
      </c>
      <c r="EB211" s="1154">
        <f t="shared" si="744"/>
        <v>0</v>
      </c>
      <c r="EC211" s="1154">
        <f t="shared" si="745"/>
        <v>0</v>
      </c>
      <c r="ED211" s="1154">
        <f t="shared" si="746"/>
        <v>0</v>
      </c>
      <c r="EE211" s="1154">
        <f t="shared" si="747"/>
        <v>0</v>
      </c>
      <c r="EF211" s="1154">
        <f t="shared" si="748"/>
        <v>0</v>
      </c>
      <c r="EG211" s="1154">
        <f t="shared" si="749"/>
        <v>0</v>
      </c>
      <c r="EH211" s="1154">
        <f t="shared" si="750"/>
        <v>0</v>
      </c>
      <c r="EI211" s="1154">
        <f t="shared" si="751"/>
        <v>0</v>
      </c>
      <c r="EJ211" s="1154">
        <f t="shared" si="752"/>
        <v>0</v>
      </c>
      <c r="EK211" s="1154">
        <f t="shared" si="753"/>
        <v>0</v>
      </c>
      <c r="EL211" s="1154">
        <f t="shared" si="754"/>
        <v>0</v>
      </c>
      <c r="EM211" s="1154">
        <f t="shared" si="755"/>
        <v>0</v>
      </c>
      <c r="EN211" s="1154">
        <f t="shared" si="756"/>
        <v>0</v>
      </c>
      <c r="EO211" s="1154">
        <f t="shared" si="757"/>
        <v>103222.58408719719</v>
      </c>
      <c r="EP211" s="1154">
        <f t="shared" si="758"/>
        <v>0</v>
      </c>
      <c r="EQ211" s="1154">
        <f t="shared" si="759"/>
        <v>0</v>
      </c>
      <c r="ER211" s="1154">
        <f t="shared" si="760"/>
        <v>0</v>
      </c>
      <c r="ES211" s="1154">
        <f t="shared" si="761"/>
        <v>0</v>
      </c>
      <c r="ET211" s="1154">
        <f t="shared" si="762"/>
        <v>0</v>
      </c>
      <c r="EU211" s="1154">
        <f t="shared" si="763"/>
        <v>0</v>
      </c>
      <c r="EV211" s="1154">
        <f t="shared" si="764"/>
        <v>0</v>
      </c>
      <c r="EW211" s="1154">
        <f t="shared" si="765"/>
        <v>0</v>
      </c>
      <c r="EX211" s="1154">
        <f t="shared" si="766"/>
        <v>0</v>
      </c>
      <c r="EY211" s="1154">
        <f t="shared" si="767"/>
        <v>0</v>
      </c>
      <c r="EZ211" s="1154">
        <f t="shared" si="768"/>
        <v>0</v>
      </c>
      <c r="FA211" s="1174">
        <f t="shared" si="769"/>
        <v>103222.58408719719</v>
      </c>
      <c r="FC211" s="1154">
        <f t="shared" si="770"/>
        <v>0</v>
      </c>
      <c r="FD211" s="1154">
        <f t="shared" si="771"/>
        <v>0</v>
      </c>
      <c r="FE211" s="1154">
        <f t="shared" si="772"/>
        <v>0</v>
      </c>
      <c r="FF211" s="1154">
        <f t="shared" si="773"/>
        <v>0</v>
      </c>
      <c r="FG211" s="1154">
        <f t="shared" si="774"/>
        <v>0</v>
      </c>
      <c r="FH211" s="1154">
        <f t="shared" si="775"/>
        <v>0</v>
      </c>
      <c r="FI211" s="1154">
        <f t="shared" si="776"/>
        <v>0</v>
      </c>
      <c r="FJ211" s="1154">
        <f t="shared" si="777"/>
        <v>0</v>
      </c>
      <c r="FK211" s="1154">
        <f t="shared" si="778"/>
        <v>0</v>
      </c>
      <c r="FL211" s="1154">
        <f t="shared" si="779"/>
        <v>0</v>
      </c>
      <c r="FM211" s="1154">
        <f t="shared" si="780"/>
        <v>0</v>
      </c>
      <c r="FN211" s="1154">
        <f t="shared" si="781"/>
        <v>0</v>
      </c>
      <c r="FO211" s="1154">
        <f t="shared" si="782"/>
        <v>0</v>
      </c>
      <c r="FP211" s="1154">
        <f t="shared" si="783"/>
        <v>0</v>
      </c>
      <c r="FQ211" s="1154">
        <f t="shared" si="784"/>
        <v>0</v>
      </c>
      <c r="FR211" s="1154">
        <f t="shared" si="785"/>
        <v>0</v>
      </c>
      <c r="FS211" s="1154">
        <f t="shared" si="786"/>
        <v>0</v>
      </c>
      <c r="FT211" s="1154">
        <f t="shared" si="787"/>
        <v>0</v>
      </c>
      <c r="FU211" s="1154">
        <f t="shared" si="788"/>
        <v>0</v>
      </c>
      <c r="FV211" s="1154">
        <f t="shared" si="789"/>
        <v>0</v>
      </c>
      <c r="FW211" s="1154">
        <f t="shared" si="790"/>
        <v>0</v>
      </c>
      <c r="FX211" s="1154">
        <f t="shared" si="791"/>
        <v>0</v>
      </c>
      <c r="FY211" s="1154">
        <f t="shared" si="792"/>
        <v>0</v>
      </c>
      <c r="FZ211" s="1154">
        <f t="shared" si="793"/>
        <v>100530.51940107036</v>
      </c>
      <c r="GA211" s="1154">
        <f t="shared" si="794"/>
        <v>0</v>
      </c>
      <c r="GB211" s="1154">
        <f t="shared" si="795"/>
        <v>0</v>
      </c>
      <c r="GC211" s="1154">
        <f t="shared" si="796"/>
        <v>0</v>
      </c>
      <c r="GD211" s="1154">
        <f t="shared" si="797"/>
        <v>0</v>
      </c>
      <c r="GE211" s="1154">
        <f t="shared" si="798"/>
        <v>0</v>
      </c>
      <c r="GF211" s="1154">
        <f t="shared" si="799"/>
        <v>0</v>
      </c>
      <c r="GG211" s="1154">
        <f t="shared" si="800"/>
        <v>0</v>
      </c>
      <c r="GH211" s="1154">
        <f t="shared" si="801"/>
        <v>0</v>
      </c>
      <c r="GI211" s="1154">
        <f t="shared" si="802"/>
        <v>0</v>
      </c>
      <c r="GJ211" s="1154">
        <f t="shared" si="803"/>
        <v>0</v>
      </c>
      <c r="GK211" s="1154">
        <f t="shared" si="804"/>
        <v>0</v>
      </c>
      <c r="GL211" s="1174">
        <f t="shared" si="805"/>
        <v>100530.51940107036</v>
      </c>
    </row>
    <row r="212" spans="2:216">
      <c r="B212" s="1290" t="str">
        <f t="shared" si="733"/>
        <v>SACDUOSWVC</v>
      </c>
      <c r="C212" s="1289" t="str">
        <f t="shared" ref="C212:H212" si="815">C211</f>
        <v>West SAC&lt;100MWhpa VolumeControlled</v>
      </c>
      <c r="D212" s="1113" t="str">
        <f t="shared" si="815"/>
        <v>West SAC&lt;100MWhpa VolumeControlled</v>
      </c>
      <c r="E212" s="1113" t="str">
        <f t="shared" si="815"/>
        <v>SAC</v>
      </c>
      <c r="F212" s="1113" t="str">
        <f t="shared" si="815"/>
        <v>SACS CL</v>
      </c>
      <c r="G212" s="1113" t="str">
        <f t="shared" si="815"/>
        <v>West</v>
      </c>
      <c r="H212" s="1113" t="str">
        <f t="shared" si="815"/>
        <v>WVC</v>
      </c>
      <c r="I212" s="1114" t="s">
        <v>759</v>
      </c>
      <c r="J212" s="1114" t="s">
        <v>934</v>
      </c>
      <c r="K212" s="1270"/>
      <c r="L212" s="1112"/>
      <c r="M212" s="1007"/>
      <c r="N212" s="1007"/>
      <c r="O212" s="1007"/>
      <c r="P212" s="1007"/>
      <c r="Q212" s="1007"/>
      <c r="R212" s="1007"/>
      <c r="S212" s="1007"/>
      <c r="T212" s="1007"/>
      <c r="U212" s="1007"/>
      <c r="V212" s="1007"/>
      <c r="W212" s="1007"/>
      <c r="X212" s="1007"/>
      <c r="Y212" s="1007"/>
      <c r="Z212" s="1007"/>
      <c r="AA212" s="1007"/>
      <c r="AB212" s="1007"/>
      <c r="AC212" s="1007"/>
      <c r="AD212" s="1007"/>
      <c r="AE212" s="1007"/>
      <c r="AF212" s="1007"/>
      <c r="AG212" s="1007"/>
      <c r="AH212" s="1007"/>
      <c r="AI212" s="1233">
        <v>1.4121324100704864E-2</v>
      </c>
      <c r="AJ212" s="1005"/>
      <c r="AK212" s="1005"/>
      <c r="AL212" s="1005"/>
      <c r="AM212" s="1005"/>
      <c r="AN212" s="1005"/>
      <c r="AO212" s="1005"/>
      <c r="AP212" s="1005"/>
      <c r="AQ212" s="1005"/>
      <c r="AR212" s="1005"/>
      <c r="AS212" s="1005"/>
      <c r="AT212" s="1005"/>
      <c r="AU212" s="1006"/>
      <c r="AV212" s="1270"/>
      <c r="AW212" s="1006"/>
      <c r="AX212" s="1006"/>
      <c r="AY212" s="1006"/>
      <c r="AZ212" s="1006"/>
      <c r="BA212" s="1006"/>
      <c r="BB212" s="1006"/>
      <c r="BC212" s="1006"/>
      <c r="BD212" s="1006"/>
      <c r="BE212" s="1006"/>
      <c r="BF212" s="1006"/>
      <c r="BG212" s="1006"/>
      <c r="BH212" s="1006"/>
      <c r="BI212" s="1006"/>
      <c r="BJ212" s="1006"/>
      <c r="BK212" s="1006"/>
      <c r="BL212" s="1006"/>
      <c r="BM212" s="1006"/>
      <c r="BN212" s="1006"/>
      <c r="BO212" s="1006"/>
      <c r="BP212" s="1006"/>
      <c r="BQ212" s="1006"/>
      <c r="BR212" s="1006"/>
      <c r="BS212" s="1006"/>
      <c r="BT212" s="1480">
        <v>1.4772535454067301E-2</v>
      </c>
      <c r="BU212" s="1006"/>
      <c r="BV212" s="1006"/>
      <c r="BW212" s="1006"/>
      <c r="BX212" s="1006"/>
      <c r="BY212" s="1006"/>
      <c r="BZ212" s="1006"/>
      <c r="CA212" s="1006"/>
      <c r="CB212" s="1006"/>
      <c r="CC212" s="1006"/>
      <c r="CD212" s="1006"/>
      <c r="CE212" s="1006"/>
      <c r="CF212" s="1006"/>
      <c r="CG212" s="1209"/>
      <c r="CH212" s="1112"/>
      <c r="CI212" s="1007"/>
      <c r="CJ212" s="1007"/>
      <c r="CK212" s="1007"/>
      <c r="CL212" s="1007"/>
      <c r="CM212" s="1007"/>
      <c r="CN212" s="1007"/>
      <c r="CO212" s="1007"/>
      <c r="CP212" s="1007"/>
      <c r="CQ212" s="1007"/>
      <c r="CR212" s="1007"/>
      <c r="CS212" s="1007"/>
      <c r="CT212" s="1007"/>
      <c r="CU212" s="1007"/>
      <c r="CV212" s="1007"/>
      <c r="CW212" s="1007"/>
      <c r="CX212" s="1007"/>
      <c r="CY212" s="1007"/>
      <c r="CZ212" s="1007"/>
      <c r="DA212" s="1007"/>
      <c r="DB212" s="1007"/>
      <c r="DC212" s="1007"/>
      <c r="DD212" s="1007"/>
      <c r="DE212" s="1236">
        <v>1376919.3227144582</v>
      </c>
      <c r="DF212" s="1007"/>
      <c r="DG212" s="1007"/>
      <c r="DH212" s="1007"/>
      <c r="DI212" s="1006"/>
      <c r="DJ212" s="1006"/>
      <c r="DK212" s="1007"/>
      <c r="DL212" s="1007"/>
      <c r="DM212" s="1007"/>
      <c r="DN212" s="1007"/>
      <c r="DO212" s="1112"/>
      <c r="DP212" s="1112"/>
      <c r="DQ212" s="1270"/>
      <c r="DR212" s="1154">
        <f t="shared" si="734"/>
        <v>0</v>
      </c>
      <c r="DS212" s="1154">
        <f t="shared" si="735"/>
        <v>0</v>
      </c>
      <c r="DT212" s="1154">
        <f t="shared" si="736"/>
        <v>0</v>
      </c>
      <c r="DU212" s="1154">
        <f t="shared" si="737"/>
        <v>0</v>
      </c>
      <c r="DV212" s="1154">
        <f t="shared" si="738"/>
        <v>0</v>
      </c>
      <c r="DW212" s="1154">
        <f t="shared" si="739"/>
        <v>0</v>
      </c>
      <c r="DX212" s="1154">
        <f t="shared" si="740"/>
        <v>0</v>
      </c>
      <c r="DY212" s="1154">
        <f t="shared" si="741"/>
        <v>0</v>
      </c>
      <c r="DZ212" s="1154">
        <f t="shared" si="742"/>
        <v>0</v>
      </c>
      <c r="EA212" s="1154">
        <f t="shared" si="743"/>
        <v>0</v>
      </c>
      <c r="EB212" s="1154">
        <f t="shared" si="744"/>
        <v>0</v>
      </c>
      <c r="EC212" s="1154">
        <f t="shared" si="745"/>
        <v>0</v>
      </c>
      <c r="ED212" s="1154">
        <f t="shared" si="746"/>
        <v>0</v>
      </c>
      <c r="EE212" s="1154">
        <f t="shared" si="747"/>
        <v>0</v>
      </c>
      <c r="EF212" s="1154">
        <f t="shared" si="748"/>
        <v>0</v>
      </c>
      <c r="EG212" s="1154">
        <f t="shared" si="749"/>
        <v>0</v>
      </c>
      <c r="EH212" s="1154">
        <f t="shared" si="750"/>
        <v>0</v>
      </c>
      <c r="EI212" s="1154">
        <f t="shared" si="751"/>
        <v>0</v>
      </c>
      <c r="EJ212" s="1154">
        <f t="shared" si="752"/>
        <v>0</v>
      </c>
      <c r="EK212" s="1154">
        <f t="shared" si="753"/>
        <v>0</v>
      </c>
      <c r="EL212" s="1154">
        <f t="shared" si="754"/>
        <v>0</v>
      </c>
      <c r="EM212" s="1154">
        <f t="shared" si="755"/>
        <v>0</v>
      </c>
      <c r="EN212" s="1154">
        <f t="shared" si="756"/>
        <v>0</v>
      </c>
      <c r="EO212" s="1154">
        <f t="shared" si="757"/>
        <v>19443.924016573896</v>
      </c>
      <c r="EP212" s="1154">
        <f t="shared" si="758"/>
        <v>0</v>
      </c>
      <c r="EQ212" s="1154">
        <f t="shared" si="759"/>
        <v>0</v>
      </c>
      <c r="ER212" s="1154">
        <f t="shared" si="760"/>
        <v>0</v>
      </c>
      <c r="ES212" s="1154">
        <f t="shared" si="761"/>
        <v>0</v>
      </c>
      <c r="ET212" s="1154">
        <f t="shared" si="762"/>
        <v>0</v>
      </c>
      <c r="EU212" s="1154">
        <f t="shared" si="763"/>
        <v>0</v>
      </c>
      <c r="EV212" s="1154">
        <f t="shared" si="764"/>
        <v>0</v>
      </c>
      <c r="EW212" s="1154">
        <f t="shared" si="765"/>
        <v>0</v>
      </c>
      <c r="EX212" s="1154">
        <f t="shared" si="766"/>
        <v>0</v>
      </c>
      <c r="EY212" s="1154">
        <f t="shared" si="767"/>
        <v>0</v>
      </c>
      <c r="EZ212" s="1154">
        <f t="shared" si="768"/>
        <v>0</v>
      </c>
      <c r="FA212" s="1174">
        <f t="shared" si="769"/>
        <v>19443.924016573896</v>
      </c>
      <c r="FC212" s="1154">
        <f t="shared" si="770"/>
        <v>0</v>
      </c>
      <c r="FD212" s="1154">
        <f t="shared" si="771"/>
        <v>0</v>
      </c>
      <c r="FE212" s="1154">
        <f t="shared" si="772"/>
        <v>0</v>
      </c>
      <c r="FF212" s="1154">
        <f t="shared" si="773"/>
        <v>0</v>
      </c>
      <c r="FG212" s="1154">
        <f t="shared" si="774"/>
        <v>0</v>
      </c>
      <c r="FH212" s="1154">
        <f t="shared" si="775"/>
        <v>0</v>
      </c>
      <c r="FI212" s="1154">
        <f t="shared" si="776"/>
        <v>0</v>
      </c>
      <c r="FJ212" s="1154">
        <f t="shared" si="777"/>
        <v>0</v>
      </c>
      <c r="FK212" s="1154">
        <f t="shared" si="778"/>
        <v>0</v>
      </c>
      <c r="FL212" s="1154">
        <f t="shared" si="779"/>
        <v>0</v>
      </c>
      <c r="FM212" s="1154">
        <f t="shared" si="780"/>
        <v>0</v>
      </c>
      <c r="FN212" s="1154">
        <f t="shared" si="781"/>
        <v>0</v>
      </c>
      <c r="FO212" s="1154">
        <f t="shared" si="782"/>
        <v>0</v>
      </c>
      <c r="FP212" s="1154">
        <f t="shared" si="783"/>
        <v>0</v>
      </c>
      <c r="FQ212" s="1154">
        <f t="shared" si="784"/>
        <v>0</v>
      </c>
      <c r="FR212" s="1154">
        <f t="shared" si="785"/>
        <v>0</v>
      </c>
      <c r="FS212" s="1154">
        <f t="shared" si="786"/>
        <v>0</v>
      </c>
      <c r="FT212" s="1154">
        <f t="shared" si="787"/>
        <v>0</v>
      </c>
      <c r="FU212" s="1154">
        <f t="shared" si="788"/>
        <v>0</v>
      </c>
      <c r="FV212" s="1154">
        <f t="shared" si="789"/>
        <v>0</v>
      </c>
      <c r="FW212" s="1154">
        <f t="shared" si="790"/>
        <v>0</v>
      </c>
      <c r="FX212" s="1154">
        <f t="shared" si="791"/>
        <v>0</v>
      </c>
      <c r="FY212" s="1154">
        <f t="shared" si="792"/>
        <v>0</v>
      </c>
      <c r="FZ212" s="1154">
        <f t="shared" si="793"/>
        <v>20340.589512189668</v>
      </c>
      <c r="GA212" s="1154">
        <f t="shared" si="794"/>
        <v>0</v>
      </c>
      <c r="GB212" s="1154">
        <f t="shared" si="795"/>
        <v>0</v>
      </c>
      <c r="GC212" s="1154">
        <f t="shared" si="796"/>
        <v>0</v>
      </c>
      <c r="GD212" s="1154">
        <f t="shared" si="797"/>
        <v>0</v>
      </c>
      <c r="GE212" s="1154">
        <f t="shared" si="798"/>
        <v>0</v>
      </c>
      <c r="GF212" s="1154">
        <f t="shared" si="799"/>
        <v>0</v>
      </c>
      <c r="GG212" s="1154">
        <f t="shared" si="800"/>
        <v>0</v>
      </c>
      <c r="GH212" s="1154">
        <f t="shared" si="801"/>
        <v>0</v>
      </c>
      <c r="GI212" s="1154">
        <f t="shared" si="802"/>
        <v>0</v>
      </c>
      <c r="GJ212" s="1154">
        <f t="shared" si="803"/>
        <v>0</v>
      </c>
      <c r="GK212" s="1154">
        <f t="shared" si="804"/>
        <v>0</v>
      </c>
      <c r="GL212" s="1174">
        <f t="shared" si="805"/>
        <v>20340.589512189668</v>
      </c>
    </row>
    <row r="213" spans="2:216">
      <c r="B213" s="1290" t="str">
        <f t="shared" si="733"/>
        <v>SACDUOSMVC</v>
      </c>
      <c r="C213" s="1289" t="str">
        <f>Prop2021DUOSTariffs!C95</f>
        <v>MtIsa SAC&lt;100MWhpa VolumeControlled</v>
      </c>
      <c r="D213" s="1113" t="str">
        <f>Prop2021DUOSTariffs!D95</f>
        <v>MtIsa SAC&lt;100MWhpa VolumeControlled</v>
      </c>
      <c r="E213" s="1113" t="str">
        <f>Prop2021DUOSTariffs!E95</f>
        <v>SAC</v>
      </c>
      <c r="F213" s="1113" t="str">
        <f>Prop2021DUOSTariffs!F95</f>
        <v>SACS CL</v>
      </c>
      <c r="G213" s="1113" t="str">
        <f>Prop2021DUOSTariffs!G95</f>
        <v>Mt Isa</v>
      </c>
      <c r="H213" s="1113" t="str">
        <f>Prop2021DUOSTariffs!H95</f>
        <v>MVC</v>
      </c>
      <c r="I213" s="1114" t="s">
        <v>761</v>
      </c>
      <c r="J213" s="1114" t="s">
        <v>934</v>
      </c>
      <c r="K213" s="1270"/>
      <c r="L213" s="1112"/>
      <c r="M213" s="1007"/>
      <c r="N213" s="1007"/>
      <c r="O213" s="1007"/>
      <c r="P213" s="1007"/>
      <c r="Q213" s="1007"/>
      <c r="R213" s="1007"/>
      <c r="S213" s="1007"/>
      <c r="T213" s="1007"/>
      <c r="U213" s="1007"/>
      <c r="V213" s="1007"/>
      <c r="W213" s="1007"/>
      <c r="X213" s="1007"/>
      <c r="Y213" s="1007"/>
      <c r="Z213" s="1007"/>
      <c r="AA213" s="1007"/>
      <c r="AB213" s="1007"/>
      <c r="AC213" s="1007"/>
      <c r="AD213" s="1007"/>
      <c r="AE213" s="1007"/>
      <c r="AF213" s="1007"/>
      <c r="AG213" s="1007"/>
      <c r="AH213" s="1007"/>
      <c r="AI213" s="1233">
        <v>7.7007696230930512E-4</v>
      </c>
      <c r="AJ213" s="1005"/>
      <c r="AK213" s="1005"/>
      <c r="AL213" s="1005"/>
      <c r="AM213" s="1005"/>
      <c r="AN213" s="1005"/>
      <c r="AO213" s="1005"/>
      <c r="AP213" s="1005"/>
      <c r="AQ213" s="1005"/>
      <c r="AR213" s="1005"/>
      <c r="AS213" s="1005"/>
      <c r="AT213" s="1005"/>
      <c r="AU213" s="1006"/>
      <c r="AV213" s="1270"/>
      <c r="AW213" s="1006"/>
      <c r="AX213" s="1006"/>
      <c r="AY213" s="1006"/>
      <c r="AZ213" s="1006"/>
      <c r="BA213" s="1006"/>
      <c r="BB213" s="1006"/>
      <c r="BC213" s="1006"/>
      <c r="BD213" s="1006"/>
      <c r="BE213" s="1006"/>
      <c r="BF213" s="1006"/>
      <c r="BG213" s="1006"/>
      <c r="BH213" s="1006"/>
      <c r="BI213" s="1006"/>
      <c r="BJ213" s="1006"/>
      <c r="BK213" s="1006"/>
      <c r="BL213" s="1006"/>
      <c r="BM213" s="1006"/>
      <c r="BN213" s="1006"/>
      <c r="BO213" s="1006"/>
      <c r="BP213" s="1006"/>
      <c r="BQ213" s="1006"/>
      <c r="BR213" s="1006"/>
      <c r="BS213" s="1006"/>
      <c r="BT213" s="1480">
        <v>6.1898319928093575E-4</v>
      </c>
      <c r="BU213" s="1006"/>
      <c r="BV213" s="1006"/>
      <c r="BW213" s="1006"/>
      <c r="BX213" s="1006"/>
      <c r="BY213" s="1006"/>
      <c r="BZ213" s="1006"/>
      <c r="CA213" s="1006"/>
      <c r="CB213" s="1006"/>
      <c r="CC213" s="1006"/>
      <c r="CD213" s="1006"/>
      <c r="CE213" s="1006"/>
      <c r="CF213" s="1006"/>
      <c r="CG213" s="1209"/>
      <c r="CH213" s="1112"/>
      <c r="CI213" s="1007"/>
      <c r="CJ213" s="1007"/>
      <c r="CK213" s="1007"/>
      <c r="CL213" s="1007"/>
      <c r="CM213" s="1007"/>
      <c r="CN213" s="1007"/>
      <c r="CO213" s="1007"/>
      <c r="CP213" s="1007"/>
      <c r="CQ213" s="1007"/>
      <c r="CR213" s="1007"/>
      <c r="CS213" s="1007"/>
      <c r="CT213" s="1007"/>
      <c r="CU213" s="1007"/>
      <c r="CV213" s="1007"/>
      <c r="CW213" s="1007"/>
      <c r="CX213" s="1007"/>
      <c r="CY213" s="1007"/>
      <c r="CZ213" s="1007"/>
      <c r="DA213" s="1007"/>
      <c r="DB213" s="1007"/>
      <c r="DC213" s="1007"/>
      <c r="DD213" s="1007"/>
      <c r="DE213" s="1236">
        <v>10438709.27799</v>
      </c>
      <c r="DF213" s="1007"/>
      <c r="DG213" s="1007"/>
      <c r="DH213" s="1007"/>
      <c r="DI213" s="1006"/>
      <c r="DJ213" s="1006"/>
      <c r="DK213" s="1007"/>
      <c r="DL213" s="1007"/>
      <c r="DM213" s="1007"/>
      <c r="DN213" s="1007"/>
      <c r="DO213" s="1112"/>
      <c r="DP213" s="1112"/>
      <c r="DQ213" s="1270"/>
      <c r="DR213" s="1154">
        <f t="shared" si="734"/>
        <v>0</v>
      </c>
      <c r="DS213" s="1154">
        <f t="shared" si="735"/>
        <v>0</v>
      </c>
      <c r="DT213" s="1154">
        <f t="shared" si="736"/>
        <v>0</v>
      </c>
      <c r="DU213" s="1154">
        <f t="shared" si="737"/>
        <v>0</v>
      </c>
      <c r="DV213" s="1154">
        <f t="shared" si="738"/>
        <v>0</v>
      </c>
      <c r="DW213" s="1154">
        <f t="shared" si="739"/>
        <v>0</v>
      </c>
      <c r="DX213" s="1154">
        <f t="shared" si="740"/>
        <v>0</v>
      </c>
      <c r="DY213" s="1154">
        <f t="shared" si="741"/>
        <v>0</v>
      </c>
      <c r="DZ213" s="1154">
        <f t="shared" si="742"/>
        <v>0</v>
      </c>
      <c r="EA213" s="1154">
        <f t="shared" si="743"/>
        <v>0</v>
      </c>
      <c r="EB213" s="1154">
        <f t="shared" si="744"/>
        <v>0</v>
      </c>
      <c r="EC213" s="1154">
        <f t="shared" si="745"/>
        <v>0</v>
      </c>
      <c r="ED213" s="1154">
        <f t="shared" si="746"/>
        <v>0</v>
      </c>
      <c r="EE213" s="1154">
        <f t="shared" si="747"/>
        <v>0</v>
      </c>
      <c r="EF213" s="1154">
        <f t="shared" si="748"/>
        <v>0</v>
      </c>
      <c r="EG213" s="1154">
        <f t="shared" si="749"/>
        <v>0</v>
      </c>
      <c r="EH213" s="1154">
        <f t="shared" si="750"/>
        <v>0</v>
      </c>
      <c r="EI213" s="1154">
        <f t="shared" si="751"/>
        <v>0</v>
      </c>
      <c r="EJ213" s="1154">
        <f t="shared" si="752"/>
        <v>0</v>
      </c>
      <c r="EK213" s="1154">
        <f t="shared" si="753"/>
        <v>0</v>
      </c>
      <c r="EL213" s="1154">
        <f t="shared" si="754"/>
        <v>0</v>
      </c>
      <c r="EM213" s="1154">
        <f t="shared" si="755"/>
        <v>0</v>
      </c>
      <c r="EN213" s="1154">
        <f t="shared" si="756"/>
        <v>0</v>
      </c>
      <c r="EO213" s="1154">
        <f t="shared" si="757"/>
        <v>8038.6095312244988</v>
      </c>
      <c r="EP213" s="1154">
        <f t="shared" si="758"/>
        <v>0</v>
      </c>
      <c r="EQ213" s="1154">
        <f t="shared" si="759"/>
        <v>0</v>
      </c>
      <c r="ER213" s="1154">
        <f t="shared" si="760"/>
        <v>0</v>
      </c>
      <c r="ES213" s="1154">
        <f t="shared" si="761"/>
        <v>0</v>
      </c>
      <c r="ET213" s="1154">
        <f t="shared" si="762"/>
        <v>0</v>
      </c>
      <c r="EU213" s="1154">
        <f t="shared" si="763"/>
        <v>0</v>
      </c>
      <c r="EV213" s="1154">
        <f t="shared" si="764"/>
        <v>0</v>
      </c>
      <c r="EW213" s="1154">
        <f t="shared" si="765"/>
        <v>0</v>
      </c>
      <c r="EX213" s="1154">
        <f t="shared" si="766"/>
        <v>0</v>
      </c>
      <c r="EY213" s="1154">
        <f t="shared" si="767"/>
        <v>0</v>
      </c>
      <c r="EZ213" s="1154">
        <f t="shared" si="768"/>
        <v>0</v>
      </c>
      <c r="FA213" s="1174">
        <f t="shared" si="769"/>
        <v>8038.6095312244988</v>
      </c>
      <c r="FC213" s="1154">
        <f t="shared" si="770"/>
        <v>0</v>
      </c>
      <c r="FD213" s="1154">
        <f t="shared" si="771"/>
        <v>0</v>
      </c>
      <c r="FE213" s="1154">
        <f t="shared" si="772"/>
        <v>0</v>
      </c>
      <c r="FF213" s="1154">
        <f t="shared" si="773"/>
        <v>0</v>
      </c>
      <c r="FG213" s="1154">
        <f t="shared" si="774"/>
        <v>0</v>
      </c>
      <c r="FH213" s="1154">
        <f t="shared" si="775"/>
        <v>0</v>
      </c>
      <c r="FI213" s="1154">
        <f t="shared" si="776"/>
        <v>0</v>
      </c>
      <c r="FJ213" s="1154">
        <f t="shared" si="777"/>
        <v>0</v>
      </c>
      <c r="FK213" s="1154">
        <f t="shared" si="778"/>
        <v>0</v>
      </c>
      <c r="FL213" s="1154">
        <f t="shared" si="779"/>
        <v>0</v>
      </c>
      <c r="FM213" s="1154">
        <f t="shared" si="780"/>
        <v>0</v>
      </c>
      <c r="FN213" s="1154">
        <f t="shared" si="781"/>
        <v>0</v>
      </c>
      <c r="FO213" s="1154">
        <f t="shared" si="782"/>
        <v>0</v>
      </c>
      <c r="FP213" s="1154">
        <f t="shared" si="783"/>
        <v>0</v>
      </c>
      <c r="FQ213" s="1154">
        <f t="shared" si="784"/>
        <v>0</v>
      </c>
      <c r="FR213" s="1154">
        <f t="shared" si="785"/>
        <v>0</v>
      </c>
      <c r="FS213" s="1154">
        <f t="shared" si="786"/>
        <v>0</v>
      </c>
      <c r="FT213" s="1154">
        <f t="shared" si="787"/>
        <v>0</v>
      </c>
      <c r="FU213" s="1154">
        <f t="shared" si="788"/>
        <v>0</v>
      </c>
      <c r="FV213" s="1154">
        <f t="shared" si="789"/>
        <v>0</v>
      </c>
      <c r="FW213" s="1154">
        <f t="shared" si="790"/>
        <v>0</v>
      </c>
      <c r="FX213" s="1154">
        <f t="shared" si="791"/>
        <v>0</v>
      </c>
      <c r="FY213" s="1154">
        <f t="shared" si="792"/>
        <v>0</v>
      </c>
      <c r="FZ213" s="1154">
        <f t="shared" si="793"/>
        <v>6461.385665253837</v>
      </c>
      <c r="GA213" s="1154">
        <f t="shared" si="794"/>
        <v>0</v>
      </c>
      <c r="GB213" s="1154">
        <f t="shared" si="795"/>
        <v>0</v>
      </c>
      <c r="GC213" s="1154">
        <f t="shared" si="796"/>
        <v>0</v>
      </c>
      <c r="GD213" s="1154">
        <f t="shared" si="797"/>
        <v>0</v>
      </c>
      <c r="GE213" s="1154">
        <f t="shared" si="798"/>
        <v>0</v>
      </c>
      <c r="GF213" s="1154">
        <f t="shared" si="799"/>
        <v>0</v>
      </c>
      <c r="GG213" s="1154">
        <f t="shared" si="800"/>
        <v>0</v>
      </c>
      <c r="GH213" s="1154">
        <f t="shared" si="801"/>
        <v>0</v>
      </c>
      <c r="GI213" s="1154">
        <f t="shared" si="802"/>
        <v>0</v>
      </c>
      <c r="GJ213" s="1154">
        <f t="shared" si="803"/>
        <v>0</v>
      </c>
      <c r="GK213" s="1154">
        <f t="shared" si="804"/>
        <v>0</v>
      </c>
      <c r="GL213" s="1174">
        <f t="shared" si="805"/>
        <v>6461.385665253837</v>
      </c>
    </row>
    <row r="214" spans="2:216">
      <c r="B214" s="1290" t="str">
        <f t="shared" si="733"/>
        <v>SACDUOSEVU</v>
      </c>
      <c r="C214" s="1289" t="str">
        <f>Prop2021DUOSTariffs!C96</f>
        <v>East SAC&lt;100MWhpa VolumeUnmetered</v>
      </c>
      <c r="D214" s="1113" t="str">
        <f>Prop2021DUOSTariffs!D96</f>
        <v>East SAC&lt;100MWhpa VolumeUnmetered</v>
      </c>
      <c r="E214" s="1113" t="str">
        <f>Prop2021DUOSTariffs!E96</f>
        <v>SAC</v>
      </c>
      <c r="F214" s="1113" t="str">
        <f>Prop2021DUOSTariffs!F96</f>
        <v>SACS Unm</v>
      </c>
      <c r="G214" s="1113" t="str">
        <f>Prop2021DUOSTariffs!G96</f>
        <v>East</v>
      </c>
      <c r="H214" s="1113" t="str">
        <f>Prop2021DUOSTariffs!H96</f>
        <v>EVU</v>
      </c>
      <c r="I214" s="1114" t="s">
        <v>798</v>
      </c>
      <c r="J214" s="1114" t="s">
        <v>934</v>
      </c>
      <c r="K214" s="1270"/>
      <c r="L214" s="1112"/>
      <c r="M214" s="1007"/>
      <c r="N214" s="1007"/>
      <c r="O214" s="1007"/>
      <c r="P214" s="1007"/>
      <c r="Q214" s="1007"/>
      <c r="R214" s="1007"/>
      <c r="S214" s="1007"/>
      <c r="T214" s="1007"/>
      <c r="U214" s="1007"/>
      <c r="V214" s="1007"/>
      <c r="W214" s="1007"/>
      <c r="X214" s="1007"/>
      <c r="Y214" s="1007"/>
      <c r="Z214" s="1007"/>
      <c r="AA214" s="1007"/>
      <c r="AB214" s="1007"/>
      <c r="AC214" s="1007"/>
      <c r="AD214" s="1007"/>
      <c r="AE214" s="1007"/>
      <c r="AF214" s="1007"/>
      <c r="AG214" s="1007"/>
      <c r="AH214" s="1007"/>
      <c r="AI214" s="1233">
        <v>1.2756140745273986E-2</v>
      </c>
      <c r="AJ214" s="1005"/>
      <c r="AK214" s="1005"/>
      <c r="AL214" s="1005"/>
      <c r="AM214" s="1005"/>
      <c r="AN214" s="1005"/>
      <c r="AO214" s="1005"/>
      <c r="AP214" s="1005"/>
      <c r="AQ214" s="1005"/>
      <c r="AR214" s="1005"/>
      <c r="AS214" s="1005"/>
      <c r="AT214" s="1005"/>
      <c r="AU214" s="1006"/>
      <c r="AV214" s="1270"/>
      <c r="AW214" s="1006"/>
      <c r="AX214" s="1006"/>
      <c r="AY214" s="1006"/>
      <c r="AZ214" s="1006"/>
      <c r="BA214" s="1006"/>
      <c r="BB214" s="1006"/>
      <c r="BC214" s="1006"/>
      <c r="BD214" s="1006"/>
      <c r="BE214" s="1006"/>
      <c r="BF214" s="1006"/>
      <c r="BG214" s="1006"/>
      <c r="BH214" s="1006"/>
      <c r="BI214" s="1006"/>
      <c r="BJ214" s="1006"/>
      <c r="BK214" s="1006"/>
      <c r="BL214" s="1006"/>
      <c r="BM214" s="1006"/>
      <c r="BN214" s="1006"/>
      <c r="BO214" s="1006"/>
      <c r="BP214" s="1006"/>
      <c r="BQ214" s="1006"/>
      <c r="BR214" s="1006"/>
      <c r="BS214" s="1006"/>
      <c r="BT214" s="1480">
        <v>9.9886311700567981E-3</v>
      </c>
      <c r="BU214" s="1006"/>
      <c r="BV214" s="1006"/>
      <c r="BW214" s="1006"/>
      <c r="BX214" s="1006"/>
      <c r="BY214" s="1006"/>
      <c r="BZ214" s="1006"/>
      <c r="CA214" s="1006"/>
      <c r="CB214" s="1006"/>
      <c r="CC214" s="1006"/>
      <c r="CD214" s="1006"/>
      <c r="CE214" s="1006"/>
      <c r="CF214" s="1006"/>
      <c r="CG214" s="1209"/>
      <c r="CH214" s="1112"/>
      <c r="CI214" s="1007"/>
      <c r="CJ214" s="1007"/>
      <c r="CK214" s="1007"/>
      <c r="CL214" s="1007"/>
      <c r="CM214" s="1007"/>
      <c r="CN214" s="1007"/>
      <c r="CO214" s="1007"/>
      <c r="CP214" s="1007"/>
      <c r="CQ214" s="1007"/>
      <c r="CR214" s="1007"/>
      <c r="CS214" s="1007"/>
      <c r="CT214" s="1007"/>
      <c r="CU214" s="1007"/>
      <c r="CV214" s="1007"/>
      <c r="CW214" s="1007"/>
      <c r="CX214" s="1007"/>
      <c r="CY214" s="1007"/>
      <c r="CZ214" s="1007"/>
      <c r="DA214" s="1007"/>
      <c r="DB214" s="1007"/>
      <c r="DC214" s="1007"/>
      <c r="DD214" s="1007"/>
      <c r="DE214" s="1236">
        <v>62509428.801319763</v>
      </c>
      <c r="DF214" s="1007"/>
      <c r="DG214" s="1007"/>
      <c r="DH214" s="1007"/>
      <c r="DI214" s="1006"/>
      <c r="DJ214" s="1006"/>
      <c r="DK214" s="1007"/>
      <c r="DL214" s="1007"/>
      <c r="DM214" s="1007"/>
      <c r="DN214" s="1007"/>
      <c r="DO214" s="1112"/>
      <c r="DP214" s="1112"/>
      <c r="DQ214" s="1270"/>
      <c r="DR214" s="1154">
        <f t="shared" si="734"/>
        <v>0</v>
      </c>
      <c r="DS214" s="1154">
        <f t="shared" si="735"/>
        <v>0</v>
      </c>
      <c r="DT214" s="1154">
        <f t="shared" si="736"/>
        <v>0</v>
      </c>
      <c r="DU214" s="1154">
        <f t="shared" si="737"/>
        <v>0</v>
      </c>
      <c r="DV214" s="1154">
        <f t="shared" si="738"/>
        <v>0</v>
      </c>
      <c r="DW214" s="1154">
        <f t="shared" si="739"/>
        <v>0</v>
      </c>
      <c r="DX214" s="1154">
        <f t="shared" si="740"/>
        <v>0</v>
      </c>
      <c r="DY214" s="1154">
        <f t="shared" si="741"/>
        <v>0</v>
      </c>
      <c r="DZ214" s="1154">
        <f t="shared" si="742"/>
        <v>0</v>
      </c>
      <c r="EA214" s="1154">
        <f t="shared" si="743"/>
        <v>0</v>
      </c>
      <c r="EB214" s="1154">
        <f t="shared" si="744"/>
        <v>0</v>
      </c>
      <c r="EC214" s="1154">
        <f t="shared" si="745"/>
        <v>0</v>
      </c>
      <c r="ED214" s="1154">
        <f t="shared" si="746"/>
        <v>0</v>
      </c>
      <c r="EE214" s="1154">
        <f t="shared" si="747"/>
        <v>0</v>
      </c>
      <c r="EF214" s="1154">
        <f t="shared" si="748"/>
        <v>0</v>
      </c>
      <c r="EG214" s="1154">
        <f t="shared" si="749"/>
        <v>0</v>
      </c>
      <c r="EH214" s="1154">
        <f t="shared" si="750"/>
        <v>0</v>
      </c>
      <c r="EI214" s="1154">
        <f t="shared" si="751"/>
        <v>0</v>
      </c>
      <c r="EJ214" s="1154">
        <f t="shared" si="752"/>
        <v>0</v>
      </c>
      <c r="EK214" s="1154">
        <f t="shared" si="753"/>
        <v>0</v>
      </c>
      <c r="EL214" s="1154">
        <f t="shared" si="754"/>
        <v>0</v>
      </c>
      <c r="EM214" s="1154">
        <f t="shared" si="755"/>
        <v>0</v>
      </c>
      <c r="EN214" s="1154">
        <f t="shared" si="756"/>
        <v>0</v>
      </c>
      <c r="EO214" s="1154">
        <f t="shared" si="757"/>
        <v>797379.07169631822</v>
      </c>
      <c r="EP214" s="1154">
        <f t="shared" si="758"/>
        <v>0</v>
      </c>
      <c r="EQ214" s="1154">
        <f t="shared" si="759"/>
        <v>0</v>
      </c>
      <c r="ER214" s="1154">
        <f t="shared" si="760"/>
        <v>0</v>
      </c>
      <c r="ES214" s="1154">
        <f t="shared" si="761"/>
        <v>0</v>
      </c>
      <c r="ET214" s="1154">
        <f t="shared" si="762"/>
        <v>0</v>
      </c>
      <c r="EU214" s="1154">
        <f t="shared" si="763"/>
        <v>0</v>
      </c>
      <c r="EV214" s="1154">
        <f t="shared" si="764"/>
        <v>0</v>
      </c>
      <c r="EW214" s="1154">
        <f t="shared" si="765"/>
        <v>0</v>
      </c>
      <c r="EX214" s="1154">
        <f t="shared" si="766"/>
        <v>0</v>
      </c>
      <c r="EY214" s="1154">
        <f t="shared" si="767"/>
        <v>0</v>
      </c>
      <c r="EZ214" s="1154">
        <f t="shared" si="768"/>
        <v>0</v>
      </c>
      <c r="FA214" s="1174">
        <f t="shared" si="769"/>
        <v>797379.07169631822</v>
      </c>
      <c r="FC214" s="1154">
        <f t="shared" si="770"/>
        <v>0</v>
      </c>
      <c r="FD214" s="1154">
        <f t="shared" si="771"/>
        <v>0</v>
      </c>
      <c r="FE214" s="1154">
        <f t="shared" si="772"/>
        <v>0</v>
      </c>
      <c r="FF214" s="1154">
        <f t="shared" si="773"/>
        <v>0</v>
      </c>
      <c r="FG214" s="1154">
        <f t="shared" si="774"/>
        <v>0</v>
      </c>
      <c r="FH214" s="1154">
        <f t="shared" si="775"/>
        <v>0</v>
      </c>
      <c r="FI214" s="1154">
        <f t="shared" si="776"/>
        <v>0</v>
      </c>
      <c r="FJ214" s="1154">
        <f t="shared" si="777"/>
        <v>0</v>
      </c>
      <c r="FK214" s="1154">
        <f t="shared" si="778"/>
        <v>0</v>
      </c>
      <c r="FL214" s="1154">
        <f t="shared" si="779"/>
        <v>0</v>
      </c>
      <c r="FM214" s="1154">
        <f t="shared" si="780"/>
        <v>0</v>
      </c>
      <c r="FN214" s="1154">
        <f t="shared" si="781"/>
        <v>0</v>
      </c>
      <c r="FO214" s="1154">
        <f t="shared" si="782"/>
        <v>0</v>
      </c>
      <c r="FP214" s="1154">
        <f t="shared" si="783"/>
        <v>0</v>
      </c>
      <c r="FQ214" s="1154">
        <f t="shared" si="784"/>
        <v>0</v>
      </c>
      <c r="FR214" s="1154">
        <f t="shared" si="785"/>
        <v>0</v>
      </c>
      <c r="FS214" s="1154">
        <f t="shared" si="786"/>
        <v>0</v>
      </c>
      <c r="FT214" s="1154">
        <f t="shared" si="787"/>
        <v>0</v>
      </c>
      <c r="FU214" s="1154">
        <f t="shared" si="788"/>
        <v>0</v>
      </c>
      <c r="FV214" s="1154">
        <f t="shared" si="789"/>
        <v>0</v>
      </c>
      <c r="FW214" s="1154">
        <f t="shared" si="790"/>
        <v>0</v>
      </c>
      <c r="FX214" s="1154">
        <f t="shared" si="791"/>
        <v>0</v>
      </c>
      <c r="FY214" s="1154">
        <f t="shared" si="792"/>
        <v>0</v>
      </c>
      <c r="FZ214" s="1154">
        <f t="shared" si="793"/>
        <v>624383.62894730875</v>
      </c>
      <c r="GA214" s="1154">
        <f t="shared" si="794"/>
        <v>0</v>
      </c>
      <c r="GB214" s="1154">
        <f t="shared" si="795"/>
        <v>0</v>
      </c>
      <c r="GC214" s="1154">
        <f t="shared" si="796"/>
        <v>0</v>
      </c>
      <c r="GD214" s="1154">
        <f t="shared" si="797"/>
        <v>0</v>
      </c>
      <c r="GE214" s="1154">
        <f t="shared" si="798"/>
        <v>0</v>
      </c>
      <c r="GF214" s="1154">
        <f t="shared" si="799"/>
        <v>0</v>
      </c>
      <c r="GG214" s="1154">
        <f t="shared" si="800"/>
        <v>0</v>
      </c>
      <c r="GH214" s="1154">
        <f t="shared" si="801"/>
        <v>0</v>
      </c>
      <c r="GI214" s="1154">
        <f t="shared" si="802"/>
        <v>0</v>
      </c>
      <c r="GJ214" s="1154">
        <f t="shared" si="803"/>
        <v>0</v>
      </c>
      <c r="GK214" s="1154">
        <f t="shared" si="804"/>
        <v>0</v>
      </c>
      <c r="GL214" s="1174">
        <f t="shared" si="805"/>
        <v>624383.62894730875</v>
      </c>
    </row>
    <row r="215" spans="2:216">
      <c r="B215" s="1290" t="str">
        <f t="shared" si="733"/>
        <v>SACDUOSEVU</v>
      </c>
      <c r="C215" s="1289" t="str">
        <f>C214</f>
        <v>East SAC&lt;100MWhpa VolumeUnmetered</v>
      </c>
      <c r="D215" s="1113" t="str">
        <f t="shared" ref="D215:H215" si="816">D214</f>
        <v>East SAC&lt;100MWhpa VolumeUnmetered</v>
      </c>
      <c r="E215" s="1113" t="str">
        <f t="shared" si="816"/>
        <v>SAC</v>
      </c>
      <c r="F215" s="1113" t="str">
        <f t="shared" si="816"/>
        <v>SACS Unm</v>
      </c>
      <c r="G215" s="1113" t="str">
        <f t="shared" si="816"/>
        <v>East</v>
      </c>
      <c r="H215" s="1113" t="str">
        <f t="shared" si="816"/>
        <v>EVU</v>
      </c>
      <c r="I215" s="1114" t="s">
        <v>752</v>
      </c>
      <c r="J215" s="1114" t="s">
        <v>934</v>
      </c>
      <c r="K215" s="1270"/>
      <c r="L215" s="1112"/>
      <c r="M215" s="1007"/>
      <c r="N215" s="1007"/>
      <c r="O215" s="1007"/>
      <c r="P215" s="1007"/>
      <c r="Q215" s="1007"/>
      <c r="R215" s="1007"/>
      <c r="S215" s="1007"/>
      <c r="T215" s="1007"/>
      <c r="U215" s="1007"/>
      <c r="V215" s="1007"/>
      <c r="W215" s="1007"/>
      <c r="X215" s="1007"/>
      <c r="Y215" s="1007"/>
      <c r="Z215" s="1007"/>
      <c r="AA215" s="1007"/>
      <c r="AB215" s="1007"/>
      <c r="AC215" s="1007"/>
      <c r="AD215" s="1007"/>
      <c r="AE215" s="1007"/>
      <c r="AF215" s="1007"/>
      <c r="AG215" s="1007"/>
      <c r="AH215" s="1007"/>
      <c r="AI215" s="1233">
        <v>1.3580961239131205E-2</v>
      </c>
      <c r="AJ215" s="1005"/>
      <c r="AK215" s="1005"/>
      <c r="AL215" s="1005"/>
      <c r="AM215" s="1005"/>
      <c r="AN215" s="1005"/>
      <c r="AO215" s="1005"/>
      <c r="AP215" s="1005"/>
      <c r="AQ215" s="1005"/>
      <c r="AR215" s="1005"/>
      <c r="AS215" s="1005"/>
      <c r="AT215" s="1005"/>
      <c r="AU215" s="1006"/>
      <c r="AV215" s="1270"/>
      <c r="AW215" s="1006"/>
      <c r="AX215" s="1006"/>
      <c r="AY215" s="1006"/>
      <c r="AZ215" s="1006"/>
      <c r="BA215" s="1006"/>
      <c r="BB215" s="1006"/>
      <c r="BC215" s="1006"/>
      <c r="BD215" s="1006"/>
      <c r="BE215" s="1006"/>
      <c r="BF215" s="1006"/>
      <c r="BG215" s="1006"/>
      <c r="BH215" s="1006"/>
      <c r="BI215" s="1006"/>
      <c r="BJ215" s="1006"/>
      <c r="BK215" s="1006"/>
      <c r="BL215" s="1006"/>
      <c r="BM215" s="1006"/>
      <c r="BN215" s="1006"/>
      <c r="BO215" s="1006"/>
      <c r="BP215" s="1006"/>
      <c r="BQ215" s="1006"/>
      <c r="BR215" s="1006"/>
      <c r="BS215" s="1006"/>
      <c r="BT215" s="1480">
        <v>1.3226767178995704E-2</v>
      </c>
      <c r="BU215" s="1006"/>
      <c r="BV215" s="1006"/>
      <c r="BW215" s="1006"/>
      <c r="BX215" s="1006"/>
      <c r="BY215" s="1006"/>
      <c r="BZ215" s="1006"/>
      <c r="CA215" s="1006"/>
      <c r="CB215" s="1006"/>
      <c r="CC215" s="1006"/>
      <c r="CD215" s="1006"/>
      <c r="CE215" s="1006"/>
      <c r="CF215" s="1006"/>
      <c r="CG215" s="1209"/>
      <c r="CH215" s="1112"/>
      <c r="CI215" s="1007"/>
      <c r="CJ215" s="1007"/>
      <c r="CK215" s="1007"/>
      <c r="CL215" s="1007"/>
      <c r="CM215" s="1007"/>
      <c r="CN215" s="1007"/>
      <c r="CO215" s="1007"/>
      <c r="CP215" s="1007"/>
      <c r="CQ215" s="1007"/>
      <c r="CR215" s="1007"/>
      <c r="CS215" s="1007"/>
      <c r="CT215" s="1007"/>
      <c r="CU215" s="1007"/>
      <c r="CV215" s="1007"/>
      <c r="CW215" s="1007"/>
      <c r="CX215" s="1007"/>
      <c r="CY215" s="1007"/>
      <c r="CZ215" s="1007"/>
      <c r="DA215" s="1007"/>
      <c r="DB215" s="1007"/>
      <c r="DC215" s="1007"/>
      <c r="DD215" s="1007"/>
      <c r="DE215" s="1236">
        <v>42104827.75736741</v>
      </c>
      <c r="DF215" s="1007"/>
      <c r="DG215" s="1007"/>
      <c r="DH215" s="1007"/>
      <c r="DI215" s="1006"/>
      <c r="DJ215" s="1006"/>
      <c r="DK215" s="1007"/>
      <c r="DL215" s="1007"/>
      <c r="DM215" s="1007"/>
      <c r="DN215" s="1007"/>
      <c r="DO215" s="1112"/>
      <c r="DP215" s="1112"/>
      <c r="DQ215" s="1270"/>
      <c r="DR215" s="1154">
        <f t="shared" si="734"/>
        <v>0</v>
      </c>
      <c r="DS215" s="1154">
        <f t="shared" si="735"/>
        <v>0</v>
      </c>
      <c r="DT215" s="1154">
        <f t="shared" si="736"/>
        <v>0</v>
      </c>
      <c r="DU215" s="1154">
        <f t="shared" si="737"/>
        <v>0</v>
      </c>
      <c r="DV215" s="1154">
        <f t="shared" si="738"/>
        <v>0</v>
      </c>
      <c r="DW215" s="1154">
        <f t="shared" si="739"/>
        <v>0</v>
      </c>
      <c r="DX215" s="1154">
        <f t="shared" si="740"/>
        <v>0</v>
      </c>
      <c r="DY215" s="1154">
        <f t="shared" si="741"/>
        <v>0</v>
      </c>
      <c r="DZ215" s="1154">
        <f t="shared" si="742"/>
        <v>0</v>
      </c>
      <c r="EA215" s="1154">
        <f t="shared" si="743"/>
        <v>0</v>
      </c>
      <c r="EB215" s="1154">
        <f t="shared" si="744"/>
        <v>0</v>
      </c>
      <c r="EC215" s="1154">
        <f t="shared" si="745"/>
        <v>0</v>
      </c>
      <c r="ED215" s="1154">
        <f t="shared" si="746"/>
        <v>0</v>
      </c>
      <c r="EE215" s="1154">
        <f t="shared" si="747"/>
        <v>0</v>
      </c>
      <c r="EF215" s="1154">
        <f t="shared" si="748"/>
        <v>0</v>
      </c>
      <c r="EG215" s="1154">
        <f t="shared" si="749"/>
        <v>0</v>
      </c>
      <c r="EH215" s="1154">
        <f t="shared" si="750"/>
        <v>0</v>
      </c>
      <c r="EI215" s="1154">
        <f t="shared" si="751"/>
        <v>0</v>
      </c>
      <c r="EJ215" s="1154">
        <f t="shared" si="752"/>
        <v>0</v>
      </c>
      <c r="EK215" s="1154">
        <f t="shared" si="753"/>
        <v>0</v>
      </c>
      <c r="EL215" s="1154">
        <f t="shared" si="754"/>
        <v>0</v>
      </c>
      <c r="EM215" s="1154">
        <f t="shared" si="755"/>
        <v>0</v>
      </c>
      <c r="EN215" s="1154">
        <f t="shared" si="756"/>
        <v>0</v>
      </c>
      <c r="EO215" s="1154">
        <f t="shared" si="757"/>
        <v>571824.03375310241</v>
      </c>
      <c r="EP215" s="1154">
        <f t="shared" si="758"/>
        <v>0</v>
      </c>
      <c r="EQ215" s="1154">
        <f t="shared" si="759"/>
        <v>0</v>
      </c>
      <c r="ER215" s="1154">
        <f t="shared" si="760"/>
        <v>0</v>
      </c>
      <c r="ES215" s="1154">
        <f t="shared" si="761"/>
        <v>0</v>
      </c>
      <c r="ET215" s="1154">
        <f t="shared" si="762"/>
        <v>0</v>
      </c>
      <c r="EU215" s="1154">
        <f t="shared" si="763"/>
        <v>0</v>
      </c>
      <c r="EV215" s="1154">
        <f t="shared" si="764"/>
        <v>0</v>
      </c>
      <c r="EW215" s="1154">
        <f t="shared" si="765"/>
        <v>0</v>
      </c>
      <c r="EX215" s="1154">
        <f t="shared" si="766"/>
        <v>0</v>
      </c>
      <c r="EY215" s="1154">
        <f t="shared" si="767"/>
        <v>0</v>
      </c>
      <c r="EZ215" s="1154">
        <f t="shared" si="768"/>
        <v>0</v>
      </c>
      <c r="FA215" s="1174">
        <f t="shared" si="769"/>
        <v>571824.03375310241</v>
      </c>
      <c r="FC215" s="1154">
        <f t="shared" si="770"/>
        <v>0</v>
      </c>
      <c r="FD215" s="1154">
        <f t="shared" si="771"/>
        <v>0</v>
      </c>
      <c r="FE215" s="1154">
        <f t="shared" si="772"/>
        <v>0</v>
      </c>
      <c r="FF215" s="1154">
        <f t="shared" si="773"/>
        <v>0</v>
      </c>
      <c r="FG215" s="1154">
        <f t="shared" si="774"/>
        <v>0</v>
      </c>
      <c r="FH215" s="1154">
        <f t="shared" si="775"/>
        <v>0</v>
      </c>
      <c r="FI215" s="1154">
        <f t="shared" si="776"/>
        <v>0</v>
      </c>
      <c r="FJ215" s="1154">
        <f t="shared" si="777"/>
        <v>0</v>
      </c>
      <c r="FK215" s="1154">
        <f t="shared" si="778"/>
        <v>0</v>
      </c>
      <c r="FL215" s="1154">
        <f t="shared" si="779"/>
        <v>0</v>
      </c>
      <c r="FM215" s="1154">
        <f t="shared" si="780"/>
        <v>0</v>
      </c>
      <c r="FN215" s="1154">
        <f t="shared" si="781"/>
        <v>0</v>
      </c>
      <c r="FO215" s="1154">
        <f t="shared" si="782"/>
        <v>0</v>
      </c>
      <c r="FP215" s="1154">
        <f t="shared" si="783"/>
        <v>0</v>
      </c>
      <c r="FQ215" s="1154">
        <f t="shared" si="784"/>
        <v>0</v>
      </c>
      <c r="FR215" s="1154">
        <f t="shared" si="785"/>
        <v>0</v>
      </c>
      <c r="FS215" s="1154">
        <f t="shared" si="786"/>
        <v>0</v>
      </c>
      <c r="FT215" s="1154">
        <f t="shared" si="787"/>
        <v>0</v>
      </c>
      <c r="FU215" s="1154">
        <f t="shared" si="788"/>
        <v>0</v>
      </c>
      <c r="FV215" s="1154">
        <f t="shared" si="789"/>
        <v>0</v>
      </c>
      <c r="FW215" s="1154">
        <f t="shared" si="790"/>
        <v>0</v>
      </c>
      <c r="FX215" s="1154">
        <f t="shared" si="791"/>
        <v>0</v>
      </c>
      <c r="FY215" s="1154">
        <f t="shared" si="792"/>
        <v>0</v>
      </c>
      <c r="FZ215" s="1154">
        <f t="shared" si="793"/>
        <v>556910.7538584146</v>
      </c>
      <c r="GA215" s="1154">
        <f t="shared" si="794"/>
        <v>0</v>
      </c>
      <c r="GB215" s="1154">
        <f t="shared" si="795"/>
        <v>0</v>
      </c>
      <c r="GC215" s="1154">
        <f t="shared" si="796"/>
        <v>0</v>
      </c>
      <c r="GD215" s="1154">
        <f t="shared" si="797"/>
        <v>0</v>
      </c>
      <c r="GE215" s="1154">
        <f t="shared" si="798"/>
        <v>0</v>
      </c>
      <c r="GF215" s="1154">
        <f t="shared" si="799"/>
        <v>0</v>
      </c>
      <c r="GG215" s="1154">
        <f t="shared" si="800"/>
        <v>0</v>
      </c>
      <c r="GH215" s="1154">
        <f t="shared" si="801"/>
        <v>0</v>
      </c>
      <c r="GI215" s="1154">
        <f t="shared" si="802"/>
        <v>0</v>
      </c>
      <c r="GJ215" s="1154">
        <f t="shared" si="803"/>
        <v>0</v>
      </c>
      <c r="GK215" s="1154">
        <f t="shared" si="804"/>
        <v>0</v>
      </c>
      <c r="GL215" s="1174">
        <f t="shared" si="805"/>
        <v>556910.7538584146</v>
      </c>
    </row>
    <row r="216" spans="2:216">
      <c r="B216" s="1290" t="str">
        <f t="shared" si="733"/>
        <v>SACDUOSEVU</v>
      </c>
      <c r="C216" s="1289" t="str">
        <f t="shared" ref="C216:H216" si="817">C215</f>
        <v>East SAC&lt;100MWhpa VolumeUnmetered</v>
      </c>
      <c r="D216" s="1113" t="str">
        <f t="shared" si="817"/>
        <v>East SAC&lt;100MWhpa VolumeUnmetered</v>
      </c>
      <c r="E216" s="1113" t="str">
        <f t="shared" si="817"/>
        <v>SAC</v>
      </c>
      <c r="F216" s="1113" t="str">
        <f t="shared" si="817"/>
        <v>SACS Unm</v>
      </c>
      <c r="G216" s="1113" t="str">
        <f t="shared" si="817"/>
        <v>East</v>
      </c>
      <c r="H216" s="1113" t="str">
        <f t="shared" si="817"/>
        <v>EVU</v>
      </c>
      <c r="I216" s="1114" t="s">
        <v>759</v>
      </c>
      <c r="J216" s="1114" t="s">
        <v>934</v>
      </c>
      <c r="K216" s="1270"/>
      <c r="L216" s="1112"/>
      <c r="M216" s="1007"/>
      <c r="N216" s="1007"/>
      <c r="O216" s="1007"/>
      <c r="P216" s="1007"/>
      <c r="Q216" s="1007"/>
      <c r="R216" s="1007"/>
      <c r="S216" s="1007"/>
      <c r="T216" s="1007"/>
      <c r="U216" s="1007"/>
      <c r="V216" s="1007"/>
      <c r="W216" s="1007"/>
      <c r="X216" s="1007"/>
      <c r="Y216" s="1007"/>
      <c r="Z216" s="1007"/>
      <c r="AA216" s="1007"/>
      <c r="AB216" s="1007"/>
      <c r="AC216" s="1007"/>
      <c r="AD216" s="1007"/>
      <c r="AE216" s="1007"/>
      <c r="AF216" s="1007"/>
      <c r="AG216" s="1007"/>
      <c r="AH216" s="1007"/>
      <c r="AI216" s="1233">
        <v>1.4121324100704864E-2</v>
      </c>
      <c r="AJ216" s="1005"/>
      <c r="AK216" s="1005"/>
      <c r="AL216" s="1005"/>
      <c r="AM216" s="1005"/>
      <c r="AN216" s="1005"/>
      <c r="AO216" s="1005"/>
      <c r="AP216" s="1005"/>
      <c r="AQ216" s="1005"/>
      <c r="AR216" s="1005"/>
      <c r="AS216" s="1005"/>
      <c r="AT216" s="1005"/>
      <c r="AU216" s="1006"/>
      <c r="AV216" s="1270"/>
      <c r="AW216" s="1006"/>
      <c r="AX216" s="1006"/>
      <c r="AY216" s="1006"/>
      <c r="AZ216" s="1006"/>
      <c r="BA216" s="1006"/>
      <c r="BB216" s="1006"/>
      <c r="BC216" s="1006"/>
      <c r="BD216" s="1006"/>
      <c r="BE216" s="1006"/>
      <c r="BF216" s="1006"/>
      <c r="BG216" s="1006"/>
      <c r="BH216" s="1006"/>
      <c r="BI216" s="1006"/>
      <c r="BJ216" s="1006"/>
      <c r="BK216" s="1006"/>
      <c r="BL216" s="1006"/>
      <c r="BM216" s="1006"/>
      <c r="BN216" s="1006"/>
      <c r="BO216" s="1006"/>
      <c r="BP216" s="1006"/>
      <c r="BQ216" s="1006"/>
      <c r="BR216" s="1006"/>
      <c r="BS216" s="1006"/>
      <c r="BT216" s="1480">
        <v>1.4772535454067301E-2</v>
      </c>
      <c r="BU216" s="1006"/>
      <c r="BV216" s="1006"/>
      <c r="BW216" s="1006"/>
      <c r="BX216" s="1006"/>
      <c r="BY216" s="1006"/>
      <c r="BZ216" s="1006"/>
      <c r="CA216" s="1006"/>
      <c r="CB216" s="1006"/>
      <c r="CC216" s="1006"/>
      <c r="CD216" s="1006"/>
      <c r="CE216" s="1006"/>
      <c r="CF216" s="1006"/>
      <c r="CG216" s="1209"/>
      <c r="CH216" s="1112"/>
      <c r="CI216" s="1007"/>
      <c r="CJ216" s="1007"/>
      <c r="CK216" s="1007"/>
      <c r="CL216" s="1007"/>
      <c r="CM216" s="1007"/>
      <c r="CN216" s="1007"/>
      <c r="CO216" s="1007"/>
      <c r="CP216" s="1007"/>
      <c r="CQ216" s="1007"/>
      <c r="CR216" s="1007"/>
      <c r="CS216" s="1007"/>
      <c r="CT216" s="1007"/>
      <c r="CU216" s="1007"/>
      <c r="CV216" s="1007"/>
      <c r="CW216" s="1007"/>
      <c r="CX216" s="1007"/>
      <c r="CY216" s="1007"/>
      <c r="CZ216" s="1007"/>
      <c r="DA216" s="1007"/>
      <c r="DB216" s="1007"/>
      <c r="DC216" s="1007"/>
      <c r="DD216" s="1007"/>
      <c r="DE216" s="1236">
        <v>26434973.059692819</v>
      </c>
      <c r="DF216" s="1007"/>
      <c r="DG216" s="1007"/>
      <c r="DH216" s="1007"/>
      <c r="DI216" s="1006"/>
      <c r="DJ216" s="1006"/>
      <c r="DK216" s="1007"/>
      <c r="DL216" s="1007"/>
      <c r="DM216" s="1007"/>
      <c r="DN216" s="1007"/>
      <c r="DO216" s="1112"/>
      <c r="DP216" s="1112"/>
      <c r="DQ216" s="1270"/>
      <c r="DR216" s="1154">
        <f t="shared" si="734"/>
        <v>0</v>
      </c>
      <c r="DS216" s="1154">
        <f t="shared" si="735"/>
        <v>0</v>
      </c>
      <c r="DT216" s="1154">
        <f t="shared" si="736"/>
        <v>0</v>
      </c>
      <c r="DU216" s="1154">
        <f t="shared" si="737"/>
        <v>0</v>
      </c>
      <c r="DV216" s="1154">
        <f t="shared" si="738"/>
        <v>0</v>
      </c>
      <c r="DW216" s="1154">
        <f t="shared" si="739"/>
        <v>0</v>
      </c>
      <c r="DX216" s="1154">
        <f t="shared" si="740"/>
        <v>0</v>
      </c>
      <c r="DY216" s="1154">
        <f t="shared" si="741"/>
        <v>0</v>
      </c>
      <c r="DZ216" s="1154">
        <f t="shared" si="742"/>
        <v>0</v>
      </c>
      <c r="EA216" s="1154">
        <f t="shared" si="743"/>
        <v>0</v>
      </c>
      <c r="EB216" s="1154">
        <f t="shared" si="744"/>
        <v>0</v>
      </c>
      <c r="EC216" s="1154">
        <f t="shared" si="745"/>
        <v>0</v>
      </c>
      <c r="ED216" s="1154">
        <f t="shared" si="746"/>
        <v>0</v>
      </c>
      <c r="EE216" s="1154">
        <f t="shared" si="747"/>
        <v>0</v>
      </c>
      <c r="EF216" s="1154">
        <f t="shared" si="748"/>
        <v>0</v>
      </c>
      <c r="EG216" s="1154">
        <f t="shared" si="749"/>
        <v>0</v>
      </c>
      <c r="EH216" s="1154">
        <f t="shared" si="750"/>
        <v>0</v>
      </c>
      <c r="EI216" s="1154">
        <f t="shared" si="751"/>
        <v>0</v>
      </c>
      <c r="EJ216" s="1154">
        <f t="shared" si="752"/>
        <v>0</v>
      </c>
      <c r="EK216" s="1154">
        <f t="shared" si="753"/>
        <v>0</v>
      </c>
      <c r="EL216" s="1154">
        <f t="shared" si="754"/>
        <v>0</v>
      </c>
      <c r="EM216" s="1154">
        <f t="shared" si="755"/>
        <v>0</v>
      </c>
      <c r="EN216" s="1154">
        <f t="shared" si="756"/>
        <v>0</v>
      </c>
      <c r="EO216" s="1154">
        <f t="shared" si="757"/>
        <v>373296.82216932398</v>
      </c>
      <c r="EP216" s="1154">
        <f t="shared" si="758"/>
        <v>0</v>
      </c>
      <c r="EQ216" s="1154">
        <f t="shared" si="759"/>
        <v>0</v>
      </c>
      <c r="ER216" s="1154">
        <f t="shared" si="760"/>
        <v>0</v>
      </c>
      <c r="ES216" s="1154">
        <f t="shared" si="761"/>
        <v>0</v>
      </c>
      <c r="ET216" s="1154">
        <f t="shared" si="762"/>
        <v>0</v>
      </c>
      <c r="EU216" s="1154">
        <f t="shared" si="763"/>
        <v>0</v>
      </c>
      <c r="EV216" s="1154">
        <f t="shared" si="764"/>
        <v>0</v>
      </c>
      <c r="EW216" s="1154">
        <f t="shared" si="765"/>
        <v>0</v>
      </c>
      <c r="EX216" s="1154">
        <f t="shared" si="766"/>
        <v>0</v>
      </c>
      <c r="EY216" s="1154">
        <f t="shared" si="767"/>
        <v>0</v>
      </c>
      <c r="EZ216" s="1154">
        <f t="shared" si="768"/>
        <v>0</v>
      </c>
      <c r="FA216" s="1174">
        <f t="shared" si="769"/>
        <v>373296.82216932398</v>
      </c>
      <c r="FC216" s="1154">
        <f t="shared" si="770"/>
        <v>0</v>
      </c>
      <c r="FD216" s="1154">
        <f t="shared" si="771"/>
        <v>0</v>
      </c>
      <c r="FE216" s="1154">
        <f t="shared" si="772"/>
        <v>0</v>
      </c>
      <c r="FF216" s="1154">
        <f t="shared" si="773"/>
        <v>0</v>
      </c>
      <c r="FG216" s="1154">
        <f t="shared" si="774"/>
        <v>0</v>
      </c>
      <c r="FH216" s="1154">
        <f t="shared" si="775"/>
        <v>0</v>
      </c>
      <c r="FI216" s="1154">
        <f t="shared" si="776"/>
        <v>0</v>
      </c>
      <c r="FJ216" s="1154">
        <f t="shared" si="777"/>
        <v>0</v>
      </c>
      <c r="FK216" s="1154">
        <f t="shared" si="778"/>
        <v>0</v>
      </c>
      <c r="FL216" s="1154">
        <f t="shared" si="779"/>
        <v>0</v>
      </c>
      <c r="FM216" s="1154">
        <f t="shared" si="780"/>
        <v>0</v>
      </c>
      <c r="FN216" s="1154">
        <f t="shared" si="781"/>
        <v>0</v>
      </c>
      <c r="FO216" s="1154">
        <f t="shared" si="782"/>
        <v>0</v>
      </c>
      <c r="FP216" s="1154">
        <f t="shared" si="783"/>
        <v>0</v>
      </c>
      <c r="FQ216" s="1154">
        <f t="shared" si="784"/>
        <v>0</v>
      </c>
      <c r="FR216" s="1154">
        <f t="shared" si="785"/>
        <v>0</v>
      </c>
      <c r="FS216" s="1154">
        <f t="shared" si="786"/>
        <v>0</v>
      </c>
      <c r="FT216" s="1154">
        <f t="shared" si="787"/>
        <v>0</v>
      </c>
      <c r="FU216" s="1154">
        <f t="shared" si="788"/>
        <v>0</v>
      </c>
      <c r="FV216" s="1154">
        <f t="shared" si="789"/>
        <v>0</v>
      </c>
      <c r="FW216" s="1154">
        <f t="shared" si="790"/>
        <v>0</v>
      </c>
      <c r="FX216" s="1154">
        <f t="shared" si="791"/>
        <v>0</v>
      </c>
      <c r="FY216" s="1154">
        <f t="shared" si="792"/>
        <v>0</v>
      </c>
      <c r="FZ216" s="1154">
        <f t="shared" si="793"/>
        <v>390511.5767516261</v>
      </c>
      <c r="GA216" s="1154">
        <f t="shared" si="794"/>
        <v>0</v>
      </c>
      <c r="GB216" s="1154">
        <f t="shared" si="795"/>
        <v>0</v>
      </c>
      <c r="GC216" s="1154">
        <f t="shared" si="796"/>
        <v>0</v>
      </c>
      <c r="GD216" s="1154">
        <f t="shared" si="797"/>
        <v>0</v>
      </c>
      <c r="GE216" s="1154">
        <f t="shared" si="798"/>
        <v>0</v>
      </c>
      <c r="GF216" s="1154">
        <f t="shared" si="799"/>
        <v>0</v>
      </c>
      <c r="GG216" s="1154">
        <f t="shared" si="800"/>
        <v>0</v>
      </c>
      <c r="GH216" s="1154">
        <f t="shared" si="801"/>
        <v>0</v>
      </c>
      <c r="GI216" s="1154">
        <f t="shared" si="802"/>
        <v>0</v>
      </c>
      <c r="GJ216" s="1154">
        <f t="shared" si="803"/>
        <v>0</v>
      </c>
      <c r="GK216" s="1154">
        <f t="shared" si="804"/>
        <v>0</v>
      </c>
      <c r="GL216" s="1174">
        <f t="shared" si="805"/>
        <v>390511.5767516261</v>
      </c>
    </row>
    <row r="217" spans="2:216">
      <c r="B217" s="1290" t="str">
        <f t="shared" si="733"/>
        <v>SACDUOSWVU</v>
      </c>
      <c r="C217" s="1289" t="str">
        <f>Prop2021DUOSTariffs!C97</f>
        <v>West SAC&lt;100MWhpa VolumeUnmetered</v>
      </c>
      <c r="D217" s="1113" t="str">
        <f>Prop2021DUOSTariffs!D97</f>
        <v>West SAC&lt;100MWhpa VolumeUnmetered</v>
      </c>
      <c r="E217" s="1113" t="str">
        <f>Prop2021DUOSTariffs!E97</f>
        <v>SAC</v>
      </c>
      <c r="F217" s="1113" t="str">
        <f>Prop2021DUOSTariffs!F97</f>
        <v>SACS Unm</v>
      </c>
      <c r="G217" s="1113" t="str">
        <f>Prop2021DUOSTariffs!G97</f>
        <v>West</v>
      </c>
      <c r="H217" s="1113" t="str">
        <f>Prop2021DUOSTariffs!H97</f>
        <v>WVU</v>
      </c>
      <c r="I217" s="1114" t="s">
        <v>798</v>
      </c>
      <c r="J217" s="1114" t="s">
        <v>934</v>
      </c>
      <c r="K217" s="1180"/>
      <c r="L217" s="1112"/>
      <c r="M217" s="1007"/>
      <c r="N217" s="1007"/>
      <c r="O217" s="1007"/>
      <c r="P217" s="1007"/>
      <c r="Q217" s="1007"/>
      <c r="R217" s="1007"/>
      <c r="S217" s="1007"/>
      <c r="T217" s="1007"/>
      <c r="U217" s="1007"/>
      <c r="V217" s="1007"/>
      <c r="W217" s="1007"/>
      <c r="X217" s="1007"/>
      <c r="Y217" s="1007"/>
      <c r="Z217" s="1007"/>
      <c r="AA217" s="1007"/>
      <c r="AB217" s="1007"/>
      <c r="AC217" s="1007"/>
      <c r="AD217" s="1007"/>
      <c r="AE217" s="1007"/>
      <c r="AF217" s="1007"/>
      <c r="AG217" s="1007"/>
      <c r="AH217" s="1007"/>
      <c r="AI217" s="1233">
        <v>1.2756140745273986E-2</v>
      </c>
      <c r="AJ217" s="1005"/>
      <c r="AK217" s="1005"/>
      <c r="AL217" s="1005"/>
      <c r="AM217" s="1005"/>
      <c r="AN217" s="1005"/>
      <c r="AO217" s="1005"/>
      <c r="AP217" s="1005"/>
      <c r="AQ217" s="1005"/>
      <c r="AR217" s="1005"/>
      <c r="AS217" s="1005"/>
      <c r="AT217" s="1005"/>
      <c r="AU217" s="1006"/>
      <c r="AV217" s="1180"/>
      <c r="AW217" s="1006"/>
      <c r="AX217" s="1006"/>
      <c r="AY217" s="1006"/>
      <c r="AZ217" s="1006"/>
      <c r="BA217" s="1006"/>
      <c r="BB217" s="1006"/>
      <c r="BC217" s="1006"/>
      <c r="BD217" s="1006"/>
      <c r="BE217" s="1006"/>
      <c r="BF217" s="1006"/>
      <c r="BG217" s="1006"/>
      <c r="BH217" s="1006"/>
      <c r="BI217" s="1006"/>
      <c r="BJ217" s="1006"/>
      <c r="BK217" s="1006"/>
      <c r="BL217" s="1006"/>
      <c r="BM217" s="1006"/>
      <c r="BN217" s="1006"/>
      <c r="BO217" s="1006"/>
      <c r="BP217" s="1006"/>
      <c r="BQ217" s="1006"/>
      <c r="BR217" s="1006"/>
      <c r="BS217" s="1006"/>
      <c r="BT217" s="1480">
        <v>9.9886311700567981E-3</v>
      </c>
      <c r="BU217" s="1006"/>
      <c r="BV217" s="1006"/>
      <c r="BW217" s="1006"/>
      <c r="BX217" s="1006"/>
      <c r="BY217" s="1006"/>
      <c r="BZ217" s="1006"/>
      <c r="CA217" s="1006"/>
      <c r="CB217" s="1006"/>
      <c r="CC217" s="1006"/>
      <c r="CD217" s="1006"/>
      <c r="CE217" s="1006"/>
      <c r="CF217" s="1006"/>
      <c r="CG217" s="1209"/>
      <c r="CH217" s="1112"/>
      <c r="CI217" s="1007"/>
      <c r="CJ217" s="1007"/>
      <c r="CK217" s="1007"/>
      <c r="CL217" s="1007"/>
      <c r="CM217" s="1007"/>
      <c r="CN217" s="1007"/>
      <c r="CO217" s="1007"/>
      <c r="CP217" s="1007"/>
      <c r="CQ217" s="1007"/>
      <c r="CR217" s="1007"/>
      <c r="CS217" s="1007"/>
      <c r="CT217" s="1007"/>
      <c r="CU217" s="1007"/>
      <c r="CV217" s="1007"/>
      <c r="CW217" s="1007"/>
      <c r="CX217" s="1007"/>
      <c r="CY217" s="1007"/>
      <c r="CZ217" s="1007"/>
      <c r="DA217" s="1007"/>
      <c r="DB217" s="1007"/>
      <c r="DC217" s="1007"/>
      <c r="DD217" s="1007"/>
      <c r="DE217" s="1236">
        <v>7800998.3918056721</v>
      </c>
      <c r="DF217" s="1007"/>
      <c r="DG217" s="1007"/>
      <c r="DH217" s="1007"/>
      <c r="DI217" s="1006"/>
      <c r="DJ217" s="1006"/>
      <c r="DK217" s="1007"/>
      <c r="DL217" s="1007"/>
      <c r="DM217" s="1007"/>
      <c r="DN217" s="1007"/>
      <c r="DO217" s="1112"/>
      <c r="DP217" s="1112"/>
      <c r="DQ217" s="1180"/>
      <c r="DR217" s="1154">
        <f t="shared" si="734"/>
        <v>0</v>
      </c>
      <c r="DS217" s="1154">
        <f t="shared" si="735"/>
        <v>0</v>
      </c>
      <c r="DT217" s="1154">
        <f t="shared" si="736"/>
        <v>0</v>
      </c>
      <c r="DU217" s="1154">
        <f t="shared" si="737"/>
        <v>0</v>
      </c>
      <c r="DV217" s="1154">
        <f t="shared" si="738"/>
        <v>0</v>
      </c>
      <c r="DW217" s="1154">
        <f t="shared" si="739"/>
        <v>0</v>
      </c>
      <c r="DX217" s="1154">
        <f t="shared" si="740"/>
        <v>0</v>
      </c>
      <c r="DY217" s="1154">
        <f t="shared" si="741"/>
        <v>0</v>
      </c>
      <c r="DZ217" s="1154">
        <f t="shared" si="742"/>
        <v>0</v>
      </c>
      <c r="EA217" s="1154">
        <f t="shared" si="743"/>
        <v>0</v>
      </c>
      <c r="EB217" s="1154">
        <f t="shared" si="744"/>
        <v>0</v>
      </c>
      <c r="EC217" s="1154">
        <f t="shared" si="745"/>
        <v>0</v>
      </c>
      <c r="ED217" s="1154">
        <f t="shared" si="746"/>
        <v>0</v>
      </c>
      <c r="EE217" s="1154">
        <f t="shared" si="747"/>
        <v>0</v>
      </c>
      <c r="EF217" s="1154">
        <f t="shared" si="748"/>
        <v>0</v>
      </c>
      <c r="EG217" s="1154">
        <f t="shared" si="749"/>
        <v>0</v>
      </c>
      <c r="EH217" s="1154">
        <f t="shared" si="750"/>
        <v>0</v>
      </c>
      <c r="EI217" s="1154">
        <f t="shared" si="751"/>
        <v>0</v>
      </c>
      <c r="EJ217" s="1154">
        <f t="shared" si="752"/>
        <v>0</v>
      </c>
      <c r="EK217" s="1154">
        <f t="shared" si="753"/>
        <v>0</v>
      </c>
      <c r="EL217" s="1154">
        <f t="shared" si="754"/>
        <v>0</v>
      </c>
      <c r="EM217" s="1154">
        <f t="shared" si="755"/>
        <v>0</v>
      </c>
      <c r="EN217" s="1154">
        <f t="shared" si="756"/>
        <v>0</v>
      </c>
      <c r="EO217" s="1154">
        <f t="shared" si="757"/>
        <v>99510.633439529163</v>
      </c>
      <c r="EP217" s="1154">
        <f t="shared" si="758"/>
        <v>0</v>
      </c>
      <c r="EQ217" s="1154">
        <f t="shared" si="759"/>
        <v>0</v>
      </c>
      <c r="ER217" s="1154">
        <f t="shared" si="760"/>
        <v>0</v>
      </c>
      <c r="ES217" s="1154">
        <f t="shared" si="761"/>
        <v>0</v>
      </c>
      <c r="ET217" s="1154">
        <f t="shared" si="762"/>
        <v>0</v>
      </c>
      <c r="EU217" s="1154">
        <f t="shared" si="763"/>
        <v>0</v>
      </c>
      <c r="EV217" s="1154">
        <f t="shared" si="764"/>
        <v>0</v>
      </c>
      <c r="EW217" s="1154">
        <f t="shared" si="765"/>
        <v>0</v>
      </c>
      <c r="EX217" s="1154">
        <f t="shared" si="766"/>
        <v>0</v>
      </c>
      <c r="EY217" s="1154">
        <f t="shared" si="767"/>
        <v>0</v>
      </c>
      <c r="EZ217" s="1154">
        <f t="shared" si="768"/>
        <v>0</v>
      </c>
      <c r="FA217" s="1174">
        <f t="shared" si="769"/>
        <v>99510.633439529163</v>
      </c>
      <c r="FC217" s="1154">
        <f t="shared" si="770"/>
        <v>0</v>
      </c>
      <c r="FD217" s="1154">
        <f t="shared" si="771"/>
        <v>0</v>
      </c>
      <c r="FE217" s="1154">
        <f t="shared" si="772"/>
        <v>0</v>
      </c>
      <c r="FF217" s="1154">
        <f t="shared" si="773"/>
        <v>0</v>
      </c>
      <c r="FG217" s="1154">
        <f t="shared" si="774"/>
        <v>0</v>
      </c>
      <c r="FH217" s="1154">
        <f t="shared" si="775"/>
        <v>0</v>
      </c>
      <c r="FI217" s="1154">
        <f t="shared" si="776"/>
        <v>0</v>
      </c>
      <c r="FJ217" s="1154">
        <f t="shared" si="777"/>
        <v>0</v>
      </c>
      <c r="FK217" s="1154">
        <f t="shared" si="778"/>
        <v>0</v>
      </c>
      <c r="FL217" s="1154">
        <f t="shared" si="779"/>
        <v>0</v>
      </c>
      <c r="FM217" s="1154">
        <f t="shared" si="780"/>
        <v>0</v>
      </c>
      <c r="FN217" s="1154">
        <f t="shared" si="781"/>
        <v>0</v>
      </c>
      <c r="FO217" s="1154">
        <f t="shared" si="782"/>
        <v>0</v>
      </c>
      <c r="FP217" s="1154">
        <f t="shared" si="783"/>
        <v>0</v>
      </c>
      <c r="FQ217" s="1154">
        <f t="shared" si="784"/>
        <v>0</v>
      </c>
      <c r="FR217" s="1154">
        <f t="shared" si="785"/>
        <v>0</v>
      </c>
      <c r="FS217" s="1154">
        <f t="shared" si="786"/>
        <v>0</v>
      </c>
      <c r="FT217" s="1154">
        <f t="shared" si="787"/>
        <v>0</v>
      </c>
      <c r="FU217" s="1154">
        <f t="shared" si="788"/>
        <v>0</v>
      </c>
      <c r="FV217" s="1154">
        <f t="shared" si="789"/>
        <v>0</v>
      </c>
      <c r="FW217" s="1154">
        <f t="shared" si="790"/>
        <v>0</v>
      </c>
      <c r="FX217" s="1154">
        <f t="shared" si="791"/>
        <v>0</v>
      </c>
      <c r="FY217" s="1154">
        <f t="shared" si="792"/>
        <v>0</v>
      </c>
      <c r="FZ217" s="1154">
        <f t="shared" si="793"/>
        <v>77921.295693953085</v>
      </c>
      <c r="GA217" s="1154">
        <f t="shared" si="794"/>
        <v>0</v>
      </c>
      <c r="GB217" s="1154">
        <f t="shared" si="795"/>
        <v>0</v>
      </c>
      <c r="GC217" s="1154">
        <f t="shared" si="796"/>
        <v>0</v>
      </c>
      <c r="GD217" s="1154">
        <f t="shared" si="797"/>
        <v>0</v>
      </c>
      <c r="GE217" s="1154">
        <f t="shared" si="798"/>
        <v>0</v>
      </c>
      <c r="GF217" s="1154">
        <f t="shared" si="799"/>
        <v>0</v>
      </c>
      <c r="GG217" s="1154">
        <f t="shared" si="800"/>
        <v>0</v>
      </c>
      <c r="GH217" s="1154">
        <f t="shared" si="801"/>
        <v>0</v>
      </c>
      <c r="GI217" s="1154">
        <f t="shared" si="802"/>
        <v>0</v>
      </c>
      <c r="GJ217" s="1154">
        <f t="shared" si="803"/>
        <v>0</v>
      </c>
      <c r="GK217" s="1154">
        <f t="shared" si="804"/>
        <v>0</v>
      </c>
      <c r="GL217" s="1174">
        <f t="shared" si="805"/>
        <v>77921.295693953085</v>
      </c>
    </row>
    <row r="218" spans="2:216">
      <c r="B218" s="1290" t="str">
        <f t="shared" si="733"/>
        <v>SACDUOSWVU</v>
      </c>
      <c r="C218" s="1289" t="str">
        <f>C217</f>
        <v>West SAC&lt;100MWhpa VolumeUnmetered</v>
      </c>
      <c r="D218" s="1113" t="str">
        <f t="shared" ref="D218:H218" si="818">D217</f>
        <v>West SAC&lt;100MWhpa VolumeUnmetered</v>
      </c>
      <c r="E218" s="1113" t="str">
        <f t="shared" si="818"/>
        <v>SAC</v>
      </c>
      <c r="F218" s="1113" t="str">
        <f t="shared" si="818"/>
        <v>SACS Unm</v>
      </c>
      <c r="G218" s="1113" t="str">
        <f t="shared" si="818"/>
        <v>West</v>
      </c>
      <c r="H218" s="1113" t="str">
        <f t="shared" si="818"/>
        <v>WVU</v>
      </c>
      <c r="I218" s="1114" t="s">
        <v>752</v>
      </c>
      <c r="J218" s="1114" t="s">
        <v>934</v>
      </c>
      <c r="K218" s="1270"/>
      <c r="L218" s="1112"/>
      <c r="M218" s="1007"/>
      <c r="N218" s="1007"/>
      <c r="O218" s="1007"/>
      <c r="P218" s="1007"/>
      <c r="Q218" s="1007"/>
      <c r="R218" s="1007"/>
      <c r="S218" s="1007"/>
      <c r="T218" s="1007"/>
      <c r="U218" s="1007"/>
      <c r="V218" s="1007"/>
      <c r="W218" s="1007"/>
      <c r="X218" s="1007"/>
      <c r="Y218" s="1007"/>
      <c r="Z218" s="1007"/>
      <c r="AA218" s="1007"/>
      <c r="AB218" s="1007"/>
      <c r="AC218" s="1007"/>
      <c r="AD218" s="1007"/>
      <c r="AE218" s="1007"/>
      <c r="AF218" s="1007"/>
      <c r="AG218" s="1007"/>
      <c r="AH218" s="1007"/>
      <c r="AI218" s="1233">
        <v>1.3580961239131205E-2</v>
      </c>
      <c r="AJ218" s="1005"/>
      <c r="AK218" s="1005"/>
      <c r="AL218" s="1005"/>
      <c r="AM218" s="1005"/>
      <c r="AN218" s="1005"/>
      <c r="AO218" s="1005"/>
      <c r="AP218" s="1005"/>
      <c r="AQ218" s="1005"/>
      <c r="AR218" s="1005"/>
      <c r="AS218" s="1005"/>
      <c r="AT218" s="1005"/>
      <c r="AU218" s="1006"/>
      <c r="AV218" s="1270"/>
      <c r="AW218" s="1006"/>
      <c r="AX218" s="1006"/>
      <c r="AY218" s="1006"/>
      <c r="AZ218" s="1006"/>
      <c r="BA218" s="1006"/>
      <c r="BB218" s="1006"/>
      <c r="BC218" s="1006"/>
      <c r="BD218" s="1006"/>
      <c r="BE218" s="1006"/>
      <c r="BF218" s="1006"/>
      <c r="BG218" s="1006"/>
      <c r="BH218" s="1006"/>
      <c r="BI218" s="1006"/>
      <c r="BJ218" s="1006"/>
      <c r="BK218" s="1006"/>
      <c r="BL218" s="1006"/>
      <c r="BM218" s="1006"/>
      <c r="BN218" s="1006"/>
      <c r="BO218" s="1006"/>
      <c r="BP218" s="1006"/>
      <c r="BQ218" s="1006"/>
      <c r="BR218" s="1006"/>
      <c r="BS218" s="1006"/>
      <c r="BT218" s="1480">
        <v>1.3226767178995704E-2</v>
      </c>
      <c r="BU218" s="1006"/>
      <c r="BV218" s="1006"/>
      <c r="BW218" s="1006"/>
      <c r="BX218" s="1006"/>
      <c r="BY218" s="1006"/>
      <c r="BZ218" s="1006"/>
      <c r="CA218" s="1006"/>
      <c r="CB218" s="1006"/>
      <c r="CC218" s="1006"/>
      <c r="CD218" s="1006"/>
      <c r="CE218" s="1006"/>
      <c r="CF218" s="1006"/>
      <c r="CG218" s="1209"/>
      <c r="CH218" s="1112"/>
      <c r="CI218" s="1007"/>
      <c r="CJ218" s="1007"/>
      <c r="CK218" s="1007"/>
      <c r="CL218" s="1007"/>
      <c r="CM218" s="1007"/>
      <c r="CN218" s="1007"/>
      <c r="CO218" s="1007"/>
      <c r="CP218" s="1007"/>
      <c r="CQ218" s="1007"/>
      <c r="CR218" s="1007"/>
      <c r="CS218" s="1007"/>
      <c r="CT218" s="1007"/>
      <c r="CU218" s="1007"/>
      <c r="CV218" s="1007"/>
      <c r="CW218" s="1007"/>
      <c r="CX218" s="1007"/>
      <c r="CY218" s="1007"/>
      <c r="CZ218" s="1007"/>
      <c r="DA218" s="1007"/>
      <c r="DB218" s="1007"/>
      <c r="DC218" s="1007"/>
      <c r="DD218" s="1007"/>
      <c r="DE218" s="1236">
        <v>1929204.6960375651</v>
      </c>
      <c r="DF218" s="1007"/>
      <c r="DG218" s="1007"/>
      <c r="DH218" s="1007"/>
      <c r="DI218" s="1006"/>
      <c r="DJ218" s="1006"/>
      <c r="DK218" s="1007"/>
      <c r="DL218" s="1007"/>
      <c r="DM218" s="1007"/>
      <c r="DN218" s="1007"/>
      <c r="DO218" s="1112"/>
      <c r="DP218" s="1112"/>
      <c r="DQ218" s="1270"/>
      <c r="DR218" s="1154">
        <f t="shared" si="734"/>
        <v>0</v>
      </c>
      <c r="DS218" s="1154">
        <f t="shared" si="735"/>
        <v>0</v>
      </c>
      <c r="DT218" s="1154">
        <f t="shared" si="736"/>
        <v>0</v>
      </c>
      <c r="DU218" s="1154">
        <f t="shared" si="737"/>
        <v>0</v>
      </c>
      <c r="DV218" s="1154">
        <f t="shared" si="738"/>
        <v>0</v>
      </c>
      <c r="DW218" s="1154">
        <f t="shared" si="739"/>
        <v>0</v>
      </c>
      <c r="DX218" s="1154">
        <f t="shared" si="740"/>
        <v>0</v>
      </c>
      <c r="DY218" s="1154">
        <f t="shared" si="741"/>
        <v>0</v>
      </c>
      <c r="DZ218" s="1154">
        <f t="shared" si="742"/>
        <v>0</v>
      </c>
      <c r="EA218" s="1154">
        <f t="shared" si="743"/>
        <v>0</v>
      </c>
      <c r="EB218" s="1154">
        <f t="shared" si="744"/>
        <v>0</v>
      </c>
      <c r="EC218" s="1154">
        <f t="shared" si="745"/>
        <v>0</v>
      </c>
      <c r="ED218" s="1154">
        <f t="shared" si="746"/>
        <v>0</v>
      </c>
      <c r="EE218" s="1154">
        <f t="shared" si="747"/>
        <v>0</v>
      </c>
      <c r="EF218" s="1154">
        <f t="shared" si="748"/>
        <v>0</v>
      </c>
      <c r="EG218" s="1154">
        <f t="shared" si="749"/>
        <v>0</v>
      </c>
      <c r="EH218" s="1154">
        <f t="shared" si="750"/>
        <v>0</v>
      </c>
      <c r="EI218" s="1154">
        <f t="shared" si="751"/>
        <v>0</v>
      </c>
      <c r="EJ218" s="1154">
        <f t="shared" si="752"/>
        <v>0</v>
      </c>
      <c r="EK218" s="1154">
        <f t="shared" si="753"/>
        <v>0</v>
      </c>
      <c r="EL218" s="1154">
        <f t="shared" si="754"/>
        <v>0</v>
      </c>
      <c r="EM218" s="1154">
        <f t="shared" si="755"/>
        <v>0</v>
      </c>
      <c r="EN218" s="1154">
        <f t="shared" si="756"/>
        <v>0</v>
      </c>
      <c r="EO218" s="1154">
        <f t="shared" si="757"/>
        <v>26200.454199236072</v>
      </c>
      <c r="EP218" s="1154">
        <f t="shared" si="758"/>
        <v>0</v>
      </c>
      <c r="EQ218" s="1154">
        <f t="shared" si="759"/>
        <v>0</v>
      </c>
      <c r="ER218" s="1154">
        <f t="shared" si="760"/>
        <v>0</v>
      </c>
      <c r="ES218" s="1154">
        <f t="shared" si="761"/>
        <v>0</v>
      </c>
      <c r="ET218" s="1154">
        <f t="shared" si="762"/>
        <v>0</v>
      </c>
      <c r="EU218" s="1154">
        <f t="shared" si="763"/>
        <v>0</v>
      </c>
      <c r="EV218" s="1154">
        <f t="shared" si="764"/>
        <v>0</v>
      </c>
      <c r="EW218" s="1154">
        <f t="shared" si="765"/>
        <v>0</v>
      </c>
      <c r="EX218" s="1154">
        <f t="shared" si="766"/>
        <v>0</v>
      </c>
      <c r="EY218" s="1154">
        <f t="shared" si="767"/>
        <v>0</v>
      </c>
      <c r="EZ218" s="1154">
        <f t="shared" si="768"/>
        <v>0</v>
      </c>
      <c r="FA218" s="1174">
        <f t="shared" si="769"/>
        <v>26200.454199236072</v>
      </c>
      <c r="FC218" s="1154">
        <f t="shared" si="770"/>
        <v>0</v>
      </c>
      <c r="FD218" s="1154">
        <f t="shared" si="771"/>
        <v>0</v>
      </c>
      <c r="FE218" s="1154">
        <f t="shared" si="772"/>
        <v>0</v>
      </c>
      <c r="FF218" s="1154">
        <f t="shared" si="773"/>
        <v>0</v>
      </c>
      <c r="FG218" s="1154">
        <f t="shared" si="774"/>
        <v>0</v>
      </c>
      <c r="FH218" s="1154">
        <f t="shared" si="775"/>
        <v>0</v>
      </c>
      <c r="FI218" s="1154">
        <f t="shared" si="776"/>
        <v>0</v>
      </c>
      <c r="FJ218" s="1154">
        <f t="shared" si="777"/>
        <v>0</v>
      </c>
      <c r="FK218" s="1154">
        <f t="shared" si="778"/>
        <v>0</v>
      </c>
      <c r="FL218" s="1154">
        <f t="shared" si="779"/>
        <v>0</v>
      </c>
      <c r="FM218" s="1154">
        <f t="shared" si="780"/>
        <v>0</v>
      </c>
      <c r="FN218" s="1154">
        <f t="shared" si="781"/>
        <v>0</v>
      </c>
      <c r="FO218" s="1154">
        <f t="shared" si="782"/>
        <v>0</v>
      </c>
      <c r="FP218" s="1154">
        <f t="shared" si="783"/>
        <v>0</v>
      </c>
      <c r="FQ218" s="1154">
        <f t="shared" si="784"/>
        <v>0</v>
      </c>
      <c r="FR218" s="1154">
        <f t="shared" si="785"/>
        <v>0</v>
      </c>
      <c r="FS218" s="1154">
        <f t="shared" si="786"/>
        <v>0</v>
      </c>
      <c r="FT218" s="1154">
        <f t="shared" si="787"/>
        <v>0</v>
      </c>
      <c r="FU218" s="1154">
        <f t="shared" si="788"/>
        <v>0</v>
      </c>
      <c r="FV218" s="1154">
        <f t="shared" si="789"/>
        <v>0</v>
      </c>
      <c r="FW218" s="1154">
        <f t="shared" si="790"/>
        <v>0</v>
      </c>
      <c r="FX218" s="1154">
        <f t="shared" si="791"/>
        <v>0</v>
      </c>
      <c r="FY218" s="1154">
        <f t="shared" si="792"/>
        <v>0</v>
      </c>
      <c r="FZ218" s="1154">
        <f t="shared" si="793"/>
        <v>25517.14135511405</v>
      </c>
      <c r="GA218" s="1154">
        <f t="shared" si="794"/>
        <v>0</v>
      </c>
      <c r="GB218" s="1154">
        <f t="shared" si="795"/>
        <v>0</v>
      </c>
      <c r="GC218" s="1154">
        <f t="shared" si="796"/>
        <v>0</v>
      </c>
      <c r="GD218" s="1154">
        <f t="shared" si="797"/>
        <v>0</v>
      </c>
      <c r="GE218" s="1154">
        <f t="shared" si="798"/>
        <v>0</v>
      </c>
      <c r="GF218" s="1154">
        <f t="shared" si="799"/>
        <v>0</v>
      </c>
      <c r="GG218" s="1154">
        <f t="shared" si="800"/>
        <v>0</v>
      </c>
      <c r="GH218" s="1154">
        <f t="shared" si="801"/>
        <v>0</v>
      </c>
      <c r="GI218" s="1154">
        <f t="shared" si="802"/>
        <v>0</v>
      </c>
      <c r="GJ218" s="1154">
        <f t="shared" si="803"/>
        <v>0</v>
      </c>
      <c r="GK218" s="1154">
        <f t="shared" si="804"/>
        <v>0</v>
      </c>
      <c r="GL218" s="1174">
        <f t="shared" si="805"/>
        <v>25517.14135511405</v>
      </c>
    </row>
    <row r="219" spans="2:216">
      <c r="B219" s="1290" t="str">
        <f t="shared" si="733"/>
        <v>SACDUOSWVU</v>
      </c>
      <c r="C219" s="1289" t="str">
        <f>C217</f>
        <v>West SAC&lt;100MWhpa VolumeUnmetered</v>
      </c>
      <c r="D219" s="1113" t="str">
        <f t="shared" ref="D219:H219" si="819">D217</f>
        <v>West SAC&lt;100MWhpa VolumeUnmetered</v>
      </c>
      <c r="E219" s="1113" t="str">
        <f t="shared" si="819"/>
        <v>SAC</v>
      </c>
      <c r="F219" s="1113" t="str">
        <f t="shared" si="819"/>
        <v>SACS Unm</v>
      </c>
      <c r="G219" s="1113" t="str">
        <f t="shared" si="819"/>
        <v>West</v>
      </c>
      <c r="H219" s="1113" t="str">
        <f t="shared" si="819"/>
        <v>WVU</v>
      </c>
      <c r="I219" s="1114" t="s">
        <v>759</v>
      </c>
      <c r="J219" s="1114" t="s">
        <v>934</v>
      </c>
      <c r="K219" s="1270"/>
      <c r="L219" s="1112"/>
      <c r="M219" s="1007"/>
      <c r="N219" s="1007"/>
      <c r="O219" s="1007"/>
      <c r="P219" s="1007"/>
      <c r="Q219" s="1007"/>
      <c r="R219" s="1007"/>
      <c r="S219" s="1007"/>
      <c r="T219" s="1007"/>
      <c r="U219" s="1007"/>
      <c r="V219" s="1007"/>
      <c r="W219" s="1007"/>
      <c r="X219" s="1007"/>
      <c r="Y219" s="1007"/>
      <c r="Z219" s="1007"/>
      <c r="AA219" s="1007"/>
      <c r="AB219" s="1007"/>
      <c r="AC219" s="1007"/>
      <c r="AD219" s="1007"/>
      <c r="AE219" s="1007"/>
      <c r="AF219" s="1007"/>
      <c r="AG219" s="1007"/>
      <c r="AH219" s="1007"/>
      <c r="AI219" s="1233">
        <v>1.4121324100704864E-2</v>
      </c>
      <c r="AJ219" s="1005"/>
      <c r="AK219" s="1005"/>
      <c r="AL219" s="1005"/>
      <c r="AM219" s="1005"/>
      <c r="AN219" s="1005"/>
      <c r="AO219" s="1005"/>
      <c r="AP219" s="1005"/>
      <c r="AQ219" s="1005"/>
      <c r="AR219" s="1005"/>
      <c r="AS219" s="1005"/>
      <c r="AT219" s="1005"/>
      <c r="AU219" s="1006"/>
      <c r="AV219" s="1270"/>
      <c r="AW219" s="1006"/>
      <c r="AX219" s="1006"/>
      <c r="AY219" s="1006"/>
      <c r="AZ219" s="1006"/>
      <c r="BA219" s="1006"/>
      <c r="BB219" s="1006"/>
      <c r="BC219" s="1006"/>
      <c r="BD219" s="1006"/>
      <c r="BE219" s="1006"/>
      <c r="BF219" s="1006"/>
      <c r="BG219" s="1006"/>
      <c r="BH219" s="1006"/>
      <c r="BI219" s="1006"/>
      <c r="BJ219" s="1006"/>
      <c r="BK219" s="1006"/>
      <c r="BL219" s="1006"/>
      <c r="BM219" s="1006"/>
      <c r="BN219" s="1006"/>
      <c r="BO219" s="1006"/>
      <c r="BP219" s="1006"/>
      <c r="BQ219" s="1006"/>
      <c r="BR219" s="1006"/>
      <c r="BS219" s="1006"/>
      <c r="BT219" s="1480">
        <v>1.4772535454067301E-2</v>
      </c>
      <c r="BU219" s="1006"/>
      <c r="BV219" s="1006"/>
      <c r="BW219" s="1006"/>
      <c r="BX219" s="1006"/>
      <c r="BY219" s="1006"/>
      <c r="BZ219" s="1006"/>
      <c r="CA219" s="1006"/>
      <c r="CB219" s="1006"/>
      <c r="CC219" s="1006"/>
      <c r="CD219" s="1006"/>
      <c r="CE219" s="1006"/>
      <c r="CF219" s="1006"/>
      <c r="CG219" s="1209"/>
      <c r="CH219" s="1112"/>
      <c r="CI219" s="1007"/>
      <c r="CJ219" s="1007"/>
      <c r="CK219" s="1007"/>
      <c r="CL219" s="1007"/>
      <c r="CM219" s="1007"/>
      <c r="CN219" s="1007"/>
      <c r="CO219" s="1007"/>
      <c r="CP219" s="1007"/>
      <c r="CQ219" s="1007"/>
      <c r="CR219" s="1007"/>
      <c r="CS219" s="1007"/>
      <c r="CT219" s="1007"/>
      <c r="CU219" s="1007"/>
      <c r="CV219" s="1007"/>
      <c r="CW219" s="1007"/>
      <c r="CX219" s="1007"/>
      <c r="CY219" s="1007"/>
      <c r="CZ219" s="1007"/>
      <c r="DA219" s="1007"/>
      <c r="DB219" s="1007"/>
      <c r="DC219" s="1007"/>
      <c r="DD219" s="1007"/>
      <c r="DE219" s="1236">
        <v>294888.31127676333</v>
      </c>
      <c r="DF219" s="1007"/>
      <c r="DG219" s="1007"/>
      <c r="DH219" s="1007"/>
      <c r="DI219" s="1006"/>
      <c r="DJ219" s="1006"/>
      <c r="DK219" s="1007"/>
      <c r="DL219" s="1007"/>
      <c r="DM219" s="1007"/>
      <c r="DN219" s="1007"/>
      <c r="DO219" s="1112"/>
      <c r="DP219" s="1112"/>
      <c r="DQ219" s="1270"/>
      <c r="DR219" s="1154">
        <f t="shared" si="734"/>
        <v>0</v>
      </c>
      <c r="DS219" s="1154">
        <f t="shared" si="735"/>
        <v>0</v>
      </c>
      <c r="DT219" s="1154">
        <f t="shared" si="736"/>
        <v>0</v>
      </c>
      <c r="DU219" s="1154">
        <f t="shared" si="737"/>
        <v>0</v>
      </c>
      <c r="DV219" s="1154">
        <f t="shared" si="738"/>
        <v>0</v>
      </c>
      <c r="DW219" s="1154">
        <f t="shared" si="739"/>
        <v>0</v>
      </c>
      <c r="DX219" s="1154">
        <f t="shared" si="740"/>
        <v>0</v>
      </c>
      <c r="DY219" s="1154">
        <f t="shared" si="741"/>
        <v>0</v>
      </c>
      <c r="DZ219" s="1154">
        <f t="shared" si="742"/>
        <v>0</v>
      </c>
      <c r="EA219" s="1154">
        <f t="shared" si="743"/>
        <v>0</v>
      </c>
      <c r="EB219" s="1154">
        <f t="shared" si="744"/>
        <v>0</v>
      </c>
      <c r="EC219" s="1154">
        <f t="shared" si="745"/>
        <v>0</v>
      </c>
      <c r="ED219" s="1154">
        <f t="shared" si="746"/>
        <v>0</v>
      </c>
      <c r="EE219" s="1154">
        <f t="shared" si="747"/>
        <v>0</v>
      </c>
      <c r="EF219" s="1154">
        <f t="shared" si="748"/>
        <v>0</v>
      </c>
      <c r="EG219" s="1154">
        <f t="shared" si="749"/>
        <v>0</v>
      </c>
      <c r="EH219" s="1154">
        <f t="shared" si="750"/>
        <v>0</v>
      </c>
      <c r="EI219" s="1154">
        <f t="shared" si="751"/>
        <v>0</v>
      </c>
      <c r="EJ219" s="1154">
        <f t="shared" si="752"/>
        <v>0</v>
      </c>
      <c r="EK219" s="1154">
        <f t="shared" si="753"/>
        <v>0</v>
      </c>
      <c r="EL219" s="1154">
        <f t="shared" si="754"/>
        <v>0</v>
      </c>
      <c r="EM219" s="1154">
        <f t="shared" si="755"/>
        <v>0</v>
      </c>
      <c r="EN219" s="1154">
        <f t="shared" si="756"/>
        <v>0</v>
      </c>
      <c r="EO219" s="1154">
        <f t="shared" si="757"/>
        <v>4164.2134170487161</v>
      </c>
      <c r="EP219" s="1154">
        <f t="shared" si="758"/>
        <v>0</v>
      </c>
      <c r="EQ219" s="1154">
        <f t="shared" si="759"/>
        <v>0</v>
      </c>
      <c r="ER219" s="1154">
        <f t="shared" si="760"/>
        <v>0</v>
      </c>
      <c r="ES219" s="1154">
        <f t="shared" si="761"/>
        <v>0</v>
      </c>
      <c r="ET219" s="1154">
        <f t="shared" si="762"/>
        <v>0</v>
      </c>
      <c r="EU219" s="1154">
        <f t="shared" si="763"/>
        <v>0</v>
      </c>
      <c r="EV219" s="1154">
        <f t="shared" si="764"/>
        <v>0</v>
      </c>
      <c r="EW219" s="1154">
        <f t="shared" si="765"/>
        <v>0</v>
      </c>
      <c r="EX219" s="1154">
        <f t="shared" si="766"/>
        <v>0</v>
      </c>
      <c r="EY219" s="1154">
        <f t="shared" si="767"/>
        <v>0</v>
      </c>
      <c r="EZ219" s="1154">
        <f t="shared" si="768"/>
        <v>0</v>
      </c>
      <c r="FA219" s="1174">
        <f t="shared" si="769"/>
        <v>4164.2134170487161</v>
      </c>
      <c r="FC219" s="1154">
        <f t="shared" si="770"/>
        <v>0</v>
      </c>
      <c r="FD219" s="1154">
        <f t="shared" si="771"/>
        <v>0</v>
      </c>
      <c r="FE219" s="1154">
        <f t="shared" si="772"/>
        <v>0</v>
      </c>
      <c r="FF219" s="1154">
        <f t="shared" si="773"/>
        <v>0</v>
      </c>
      <c r="FG219" s="1154">
        <f t="shared" si="774"/>
        <v>0</v>
      </c>
      <c r="FH219" s="1154">
        <f t="shared" si="775"/>
        <v>0</v>
      </c>
      <c r="FI219" s="1154">
        <f t="shared" si="776"/>
        <v>0</v>
      </c>
      <c r="FJ219" s="1154">
        <f t="shared" si="777"/>
        <v>0</v>
      </c>
      <c r="FK219" s="1154">
        <f t="shared" si="778"/>
        <v>0</v>
      </c>
      <c r="FL219" s="1154">
        <f t="shared" si="779"/>
        <v>0</v>
      </c>
      <c r="FM219" s="1154">
        <f t="shared" si="780"/>
        <v>0</v>
      </c>
      <c r="FN219" s="1154">
        <f t="shared" si="781"/>
        <v>0</v>
      </c>
      <c r="FO219" s="1154">
        <f t="shared" si="782"/>
        <v>0</v>
      </c>
      <c r="FP219" s="1154">
        <f t="shared" si="783"/>
        <v>0</v>
      </c>
      <c r="FQ219" s="1154">
        <f t="shared" si="784"/>
        <v>0</v>
      </c>
      <c r="FR219" s="1154">
        <f t="shared" si="785"/>
        <v>0</v>
      </c>
      <c r="FS219" s="1154">
        <f t="shared" si="786"/>
        <v>0</v>
      </c>
      <c r="FT219" s="1154">
        <f t="shared" si="787"/>
        <v>0</v>
      </c>
      <c r="FU219" s="1154">
        <f t="shared" si="788"/>
        <v>0</v>
      </c>
      <c r="FV219" s="1154">
        <f t="shared" si="789"/>
        <v>0</v>
      </c>
      <c r="FW219" s="1154">
        <f t="shared" si="790"/>
        <v>0</v>
      </c>
      <c r="FX219" s="1154">
        <f t="shared" si="791"/>
        <v>0</v>
      </c>
      <c r="FY219" s="1154">
        <f t="shared" si="792"/>
        <v>0</v>
      </c>
      <c r="FZ219" s="1154">
        <f t="shared" si="793"/>
        <v>4356.248033326021</v>
      </c>
      <c r="GA219" s="1154">
        <f t="shared" si="794"/>
        <v>0</v>
      </c>
      <c r="GB219" s="1154">
        <f t="shared" si="795"/>
        <v>0</v>
      </c>
      <c r="GC219" s="1154">
        <f t="shared" si="796"/>
        <v>0</v>
      </c>
      <c r="GD219" s="1154">
        <f t="shared" si="797"/>
        <v>0</v>
      </c>
      <c r="GE219" s="1154">
        <f t="shared" si="798"/>
        <v>0</v>
      </c>
      <c r="GF219" s="1154">
        <f t="shared" si="799"/>
        <v>0</v>
      </c>
      <c r="GG219" s="1154">
        <f t="shared" si="800"/>
        <v>0</v>
      </c>
      <c r="GH219" s="1154">
        <f t="shared" si="801"/>
        <v>0</v>
      </c>
      <c r="GI219" s="1154">
        <f t="shared" si="802"/>
        <v>0</v>
      </c>
      <c r="GJ219" s="1154">
        <f t="shared" si="803"/>
        <v>0</v>
      </c>
      <c r="GK219" s="1154">
        <f t="shared" si="804"/>
        <v>0</v>
      </c>
      <c r="GL219" s="1174">
        <f t="shared" si="805"/>
        <v>4356.248033326021</v>
      </c>
    </row>
    <row r="220" spans="2:216">
      <c r="B220" s="1291" t="str">
        <f t="shared" si="733"/>
        <v>SACDUOSMVU</v>
      </c>
      <c r="C220" s="1289" t="str">
        <f>Prop2021DUOSTariffs!C98</f>
        <v>MtIsa SAC&lt;100MWhpa VolumeUnmetered</v>
      </c>
      <c r="D220" s="1113" t="str">
        <f>Prop2021DUOSTariffs!D98</f>
        <v>MtIsa SAC&lt;100MWhpa VolumeUnmetered</v>
      </c>
      <c r="E220" s="1113" t="str">
        <f>Prop2021DUOSTariffs!E98</f>
        <v>SAC</v>
      </c>
      <c r="F220" s="1113" t="str">
        <f>Prop2021DUOSTariffs!F98</f>
        <v>SACS Unm</v>
      </c>
      <c r="G220" s="1113" t="str">
        <f>Prop2021DUOSTariffs!G98</f>
        <v>Mt Isa</v>
      </c>
      <c r="H220" s="1113" t="str">
        <f>Prop2021DUOSTariffs!H98</f>
        <v>MVU</v>
      </c>
      <c r="I220" s="1114" t="s">
        <v>761</v>
      </c>
      <c r="J220" s="1114" t="s">
        <v>934</v>
      </c>
      <c r="K220" s="1271"/>
      <c r="L220" s="1112"/>
      <c r="M220" s="1007"/>
      <c r="N220" s="1007"/>
      <c r="O220" s="1007"/>
      <c r="P220" s="1007"/>
      <c r="Q220" s="1007"/>
      <c r="R220" s="1007"/>
      <c r="S220" s="1007"/>
      <c r="T220" s="1007"/>
      <c r="U220" s="1007"/>
      <c r="V220" s="1007"/>
      <c r="W220" s="1007"/>
      <c r="X220" s="1007"/>
      <c r="Y220" s="1007"/>
      <c r="Z220" s="1007"/>
      <c r="AA220" s="1007"/>
      <c r="AB220" s="1007"/>
      <c r="AC220" s="1007"/>
      <c r="AD220" s="1007"/>
      <c r="AE220" s="1007"/>
      <c r="AF220" s="1007"/>
      <c r="AG220" s="1007"/>
      <c r="AH220" s="1007"/>
      <c r="AI220" s="1233">
        <v>7.7007696230930512E-4</v>
      </c>
      <c r="AJ220" s="1005"/>
      <c r="AK220" s="1005"/>
      <c r="AL220" s="1005"/>
      <c r="AM220" s="1005"/>
      <c r="AN220" s="1005"/>
      <c r="AO220" s="1005"/>
      <c r="AP220" s="1005"/>
      <c r="AQ220" s="1005"/>
      <c r="AR220" s="1005"/>
      <c r="AS220" s="1005"/>
      <c r="AT220" s="1005"/>
      <c r="AU220" s="1006"/>
      <c r="AV220" s="1271"/>
      <c r="AW220" s="1006"/>
      <c r="AX220" s="1006"/>
      <c r="AY220" s="1006"/>
      <c r="AZ220" s="1006"/>
      <c r="BA220" s="1006"/>
      <c r="BB220" s="1006"/>
      <c r="BC220" s="1006"/>
      <c r="BD220" s="1006"/>
      <c r="BE220" s="1006"/>
      <c r="BF220" s="1006"/>
      <c r="BG220" s="1006"/>
      <c r="BH220" s="1006"/>
      <c r="BI220" s="1006"/>
      <c r="BJ220" s="1006"/>
      <c r="BK220" s="1006"/>
      <c r="BL220" s="1006"/>
      <c r="BM220" s="1006"/>
      <c r="BN220" s="1006"/>
      <c r="BO220" s="1006"/>
      <c r="BP220" s="1006"/>
      <c r="BQ220" s="1006"/>
      <c r="BR220" s="1006"/>
      <c r="BS220" s="1006"/>
      <c r="BT220" s="1480">
        <v>6.1898319928093575E-4</v>
      </c>
      <c r="BU220" s="1006"/>
      <c r="BV220" s="1006"/>
      <c r="BW220" s="1006"/>
      <c r="BX220" s="1006"/>
      <c r="BY220" s="1006"/>
      <c r="BZ220" s="1006"/>
      <c r="CA220" s="1006"/>
      <c r="CB220" s="1006"/>
      <c r="CC220" s="1006"/>
      <c r="CD220" s="1006"/>
      <c r="CE220" s="1006"/>
      <c r="CF220" s="1006"/>
      <c r="CG220" s="1272"/>
      <c r="CH220" s="1112"/>
      <c r="CI220" s="1007"/>
      <c r="CJ220" s="1007"/>
      <c r="CK220" s="1007"/>
      <c r="CL220" s="1007"/>
      <c r="CM220" s="1007"/>
      <c r="CN220" s="1007"/>
      <c r="CO220" s="1007"/>
      <c r="CP220" s="1007"/>
      <c r="CQ220" s="1007"/>
      <c r="CR220" s="1007"/>
      <c r="CS220" s="1007"/>
      <c r="CT220" s="1007"/>
      <c r="CU220" s="1007"/>
      <c r="CV220" s="1007"/>
      <c r="CW220" s="1007"/>
      <c r="CX220" s="1007"/>
      <c r="CY220" s="1007"/>
      <c r="CZ220" s="1007"/>
      <c r="DA220" s="1007"/>
      <c r="DB220" s="1007"/>
      <c r="DC220" s="1007"/>
      <c r="DD220" s="1007"/>
      <c r="DE220" s="1236">
        <v>3056705.358</v>
      </c>
      <c r="DF220" s="1007"/>
      <c r="DG220" s="1007"/>
      <c r="DH220" s="1007"/>
      <c r="DI220" s="1006"/>
      <c r="DJ220" s="1006"/>
      <c r="DK220" s="1007"/>
      <c r="DL220" s="1007"/>
      <c r="DM220" s="1007"/>
      <c r="DN220" s="1007"/>
      <c r="DO220" s="1112"/>
      <c r="DP220" s="1112"/>
      <c r="DQ220" s="1271"/>
      <c r="DR220" s="1154">
        <f t="shared" si="734"/>
        <v>0</v>
      </c>
      <c r="DS220" s="1154">
        <f t="shared" si="735"/>
        <v>0</v>
      </c>
      <c r="DT220" s="1154">
        <f t="shared" si="736"/>
        <v>0</v>
      </c>
      <c r="DU220" s="1154">
        <f t="shared" si="737"/>
        <v>0</v>
      </c>
      <c r="DV220" s="1154">
        <f t="shared" si="738"/>
        <v>0</v>
      </c>
      <c r="DW220" s="1154">
        <f t="shared" si="739"/>
        <v>0</v>
      </c>
      <c r="DX220" s="1154">
        <f t="shared" si="740"/>
        <v>0</v>
      </c>
      <c r="DY220" s="1154">
        <f t="shared" si="741"/>
        <v>0</v>
      </c>
      <c r="DZ220" s="1154">
        <f t="shared" si="742"/>
        <v>0</v>
      </c>
      <c r="EA220" s="1154">
        <f t="shared" si="743"/>
        <v>0</v>
      </c>
      <c r="EB220" s="1154">
        <f t="shared" si="744"/>
        <v>0</v>
      </c>
      <c r="EC220" s="1154">
        <f t="shared" si="745"/>
        <v>0</v>
      </c>
      <c r="ED220" s="1154">
        <f t="shared" si="746"/>
        <v>0</v>
      </c>
      <c r="EE220" s="1154">
        <f t="shared" si="747"/>
        <v>0</v>
      </c>
      <c r="EF220" s="1154">
        <f t="shared" si="748"/>
        <v>0</v>
      </c>
      <c r="EG220" s="1154">
        <f t="shared" si="749"/>
        <v>0</v>
      </c>
      <c r="EH220" s="1154">
        <f t="shared" si="750"/>
        <v>0</v>
      </c>
      <c r="EI220" s="1154">
        <f t="shared" si="751"/>
        <v>0</v>
      </c>
      <c r="EJ220" s="1154">
        <f t="shared" si="752"/>
        <v>0</v>
      </c>
      <c r="EK220" s="1154">
        <f t="shared" si="753"/>
        <v>0</v>
      </c>
      <c r="EL220" s="1154">
        <f t="shared" si="754"/>
        <v>0</v>
      </c>
      <c r="EM220" s="1154">
        <f t="shared" si="755"/>
        <v>0</v>
      </c>
      <c r="EN220" s="1154">
        <f t="shared" si="756"/>
        <v>0</v>
      </c>
      <c r="EO220" s="1154">
        <f t="shared" si="757"/>
        <v>2353.8983767632171</v>
      </c>
      <c r="EP220" s="1154">
        <f t="shared" si="758"/>
        <v>0</v>
      </c>
      <c r="EQ220" s="1154">
        <f t="shared" si="759"/>
        <v>0</v>
      </c>
      <c r="ER220" s="1154">
        <f t="shared" si="760"/>
        <v>0</v>
      </c>
      <c r="ES220" s="1154">
        <f t="shared" si="761"/>
        <v>0</v>
      </c>
      <c r="ET220" s="1154">
        <f t="shared" si="762"/>
        <v>0</v>
      </c>
      <c r="EU220" s="1154">
        <f t="shared" si="763"/>
        <v>0</v>
      </c>
      <c r="EV220" s="1154">
        <f t="shared" si="764"/>
        <v>0</v>
      </c>
      <c r="EW220" s="1154">
        <f t="shared" si="765"/>
        <v>0</v>
      </c>
      <c r="EX220" s="1154">
        <f t="shared" si="766"/>
        <v>0</v>
      </c>
      <c r="EY220" s="1154">
        <f t="shared" si="767"/>
        <v>0</v>
      </c>
      <c r="EZ220" s="1154">
        <f t="shared" si="768"/>
        <v>0</v>
      </c>
      <c r="FA220" s="1174">
        <f t="shared" si="769"/>
        <v>2353.8983767632171</v>
      </c>
      <c r="FC220" s="1154">
        <f t="shared" si="770"/>
        <v>0</v>
      </c>
      <c r="FD220" s="1154">
        <f t="shared" si="771"/>
        <v>0</v>
      </c>
      <c r="FE220" s="1154">
        <f t="shared" si="772"/>
        <v>0</v>
      </c>
      <c r="FF220" s="1154">
        <f t="shared" si="773"/>
        <v>0</v>
      </c>
      <c r="FG220" s="1154">
        <f t="shared" si="774"/>
        <v>0</v>
      </c>
      <c r="FH220" s="1154">
        <f t="shared" si="775"/>
        <v>0</v>
      </c>
      <c r="FI220" s="1154">
        <f t="shared" si="776"/>
        <v>0</v>
      </c>
      <c r="FJ220" s="1154">
        <f t="shared" si="777"/>
        <v>0</v>
      </c>
      <c r="FK220" s="1154">
        <f t="shared" si="778"/>
        <v>0</v>
      </c>
      <c r="FL220" s="1154">
        <f t="shared" si="779"/>
        <v>0</v>
      </c>
      <c r="FM220" s="1154">
        <f t="shared" si="780"/>
        <v>0</v>
      </c>
      <c r="FN220" s="1154">
        <f t="shared" si="781"/>
        <v>0</v>
      </c>
      <c r="FO220" s="1154">
        <f t="shared" si="782"/>
        <v>0</v>
      </c>
      <c r="FP220" s="1154">
        <f t="shared" si="783"/>
        <v>0</v>
      </c>
      <c r="FQ220" s="1154">
        <f t="shared" si="784"/>
        <v>0</v>
      </c>
      <c r="FR220" s="1154">
        <f t="shared" si="785"/>
        <v>0</v>
      </c>
      <c r="FS220" s="1154">
        <f t="shared" si="786"/>
        <v>0</v>
      </c>
      <c r="FT220" s="1154">
        <f t="shared" si="787"/>
        <v>0</v>
      </c>
      <c r="FU220" s="1154">
        <f t="shared" si="788"/>
        <v>0</v>
      </c>
      <c r="FV220" s="1154">
        <f t="shared" si="789"/>
        <v>0</v>
      </c>
      <c r="FW220" s="1154">
        <f t="shared" si="790"/>
        <v>0</v>
      </c>
      <c r="FX220" s="1154">
        <f t="shared" si="791"/>
        <v>0</v>
      </c>
      <c r="FY220" s="1154">
        <f t="shared" si="792"/>
        <v>0</v>
      </c>
      <c r="FZ220" s="1154">
        <f t="shared" si="793"/>
        <v>1892.0492617540181</v>
      </c>
      <c r="GA220" s="1154">
        <f t="shared" si="794"/>
        <v>0</v>
      </c>
      <c r="GB220" s="1154">
        <f t="shared" si="795"/>
        <v>0</v>
      </c>
      <c r="GC220" s="1154">
        <f t="shared" si="796"/>
        <v>0</v>
      </c>
      <c r="GD220" s="1154">
        <f t="shared" si="797"/>
        <v>0</v>
      </c>
      <c r="GE220" s="1154">
        <f t="shared" si="798"/>
        <v>0</v>
      </c>
      <c r="GF220" s="1154">
        <f t="shared" si="799"/>
        <v>0</v>
      </c>
      <c r="GG220" s="1154">
        <f t="shared" si="800"/>
        <v>0</v>
      </c>
      <c r="GH220" s="1154">
        <f t="shared" si="801"/>
        <v>0</v>
      </c>
      <c r="GI220" s="1154">
        <f t="shared" si="802"/>
        <v>0</v>
      </c>
      <c r="GJ220" s="1154">
        <f t="shared" si="803"/>
        <v>0</v>
      </c>
      <c r="GK220" s="1154">
        <f t="shared" si="804"/>
        <v>0</v>
      </c>
      <c r="GL220" s="1174">
        <f t="shared" si="805"/>
        <v>1892.0492617540181</v>
      </c>
    </row>
    <row r="221" spans="2:216" ht="6" customHeight="1">
      <c r="B221" s="1273"/>
      <c r="C221" s="1273"/>
      <c r="D221" s="1273"/>
      <c r="E221" s="1273"/>
      <c r="F221" s="1273"/>
      <c r="G221" s="1273"/>
      <c r="H221" s="1274"/>
      <c r="I221" s="1274"/>
      <c r="J221" s="1274"/>
      <c r="K221" s="1274"/>
      <c r="L221" s="1275"/>
      <c r="M221" s="1275"/>
      <c r="N221" s="1275"/>
      <c r="O221" s="1275"/>
      <c r="P221" s="1275"/>
      <c r="Q221" s="1275"/>
      <c r="R221" s="1275"/>
      <c r="S221" s="1275"/>
      <c r="T221" s="1275"/>
      <c r="U221" s="1275"/>
      <c r="V221" s="1275"/>
      <c r="W221" s="1275"/>
      <c r="X221" s="1275"/>
      <c r="Y221" s="1275"/>
      <c r="Z221" s="1275"/>
      <c r="AA221" s="1275"/>
      <c r="AB221" s="1275"/>
      <c r="AC221" s="1275"/>
      <c r="AD221" s="1275"/>
      <c r="AE221" s="1275"/>
      <c r="AF221" s="1275"/>
      <c r="AG221" s="1275"/>
      <c r="AH221" s="1275"/>
      <c r="AI221" s="1276"/>
      <c r="AJ221" s="1276"/>
      <c r="AK221" s="1276"/>
      <c r="AL221" s="1276"/>
      <c r="AM221" s="1276"/>
      <c r="AN221" s="1276"/>
      <c r="AO221" s="1276"/>
      <c r="AP221" s="1276"/>
      <c r="AQ221" s="1276"/>
      <c r="AR221" s="1276"/>
      <c r="AS221" s="1276"/>
      <c r="AT221" s="1276"/>
      <c r="AU221" s="1275"/>
      <c r="AV221" s="1274"/>
      <c r="AW221" s="1275"/>
      <c r="AX221" s="1275"/>
      <c r="AY221" s="1275"/>
      <c r="AZ221" s="1275"/>
      <c r="BA221" s="1275"/>
      <c r="BB221" s="1275"/>
      <c r="BC221" s="1275"/>
      <c r="BD221" s="1275"/>
      <c r="BE221" s="1275"/>
      <c r="BF221" s="1275"/>
      <c r="BG221" s="1275"/>
      <c r="BH221" s="1275"/>
      <c r="BI221" s="1275"/>
      <c r="BJ221" s="1275"/>
      <c r="BK221" s="1275"/>
      <c r="BL221" s="1275"/>
      <c r="BM221" s="1275"/>
      <c r="BN221" s="1275"/>
      <c r="BO221" s="1275"/>
      <c r="BP221" s="1275"/>
      <c r="BQ221" s="1275"/>
      <c r="BR221" s="1275"/>
      <c r="BS221" s="1275"/>
      <c r="BT221" s="1275"/>
      <c r="BU221" s="1275"/>
      <c r="BV221" s="1275"/>
      <c r="BW221" s="1275"/>
      <c r="BX221" s="1275"/>
      <c r="BY221" s="1275"/>
      <c r="BZ221" s="1275"/>
      <c r="CA221" s="1275"/>
      <c r="CB221" s="1275"/>
      <c r="CC221" s="1275"/>
      <c r="CD221" s="1275"/>
      <c r="CE221" s="1275"/>
      <c r="CF221" s="1275"/>
      <c r="CG221" s="1277"/>
      <c r="CH221" s="1275"/>
      <c r="CI221" s="1275"/>
      <c r="CJ221" s="1275"/>
      <c r="CK221" s="1275"/>
      <c r="CL221" s="1275"/>
      <c r="CM221" s="1275"/>
      <c r="CN221" s="1275"/>
      <c r="CO221" s="1275"/>
      <c r="CP221" s="1275"/>
      <c r="CQ221" s="1275"/>
      <c r="CR221" s="1275"/>
      <c r="CS221" s="1275"/>
      <c r="CT221" s="1275"/>
      <c r="CU221" s="1275"/>
      <c r="CV221" s="1275"/>
      <c r="CW221" s="1275"/>
      <c r="CX221" s="1275"/>
      <c r="CY221" s="1275"/>
      <c r="CZ221" s="1275"/>
      <c r="DA221" s="1275"/>
      <c r="DB221" s="1275"/>
      <c r="DC221" s="1275"/>
      <c r="DD221" s="1275"/>
      <c r="DE221" s="1278"/>
      <c r="DF221" s="1275"/>
      <c r="DG221" s="1275"/>
      <c r="DH221" s="1275"/>
      <c r="DI221" s="1275"/>
      <c r="DJ221" s="1275"/>
      <c r="DK221" s="1275"/>
      <c r="DL221" s="1275"/>
      <c r="DM221" s="1275"/>
      <c r="DN221" s="1275"/>
      <c r="DO221" s="1293"/>
      <c r="DP221" s="1293"/>
      <c r="DQ221" s="1274"/>
      <c r="DR221" s="1284"/>
      <c r="DS221" s="1284"/>
      <c r="DT221" s="1284"/>
      <c r="DU221" s="1284"/>
      <c r="DV221" s="1284"/>
      <c r="DW221" s="1284"/>
      <c r="DX221" s="1285"/>
      <c r="DY221" s="1285"/>
      <c r="DZ221" s="1285"/>
      <c r="EA221" s="1285"/>
      <c r="EB221" s="1285"/>
      <c r="EC221" s="1284"/>
      <c r="ED221" s="1284"/>
      <c r="EE221" s="1284"/>
      <c r="EF221" s="1284"/>
      <c r="EG221" s="1284"/>
      <c r="EH221" s="1285"/>
      <c r="EI221" s="1285"/>
      <c r="EJ221" s="1285"/>
      <c r="EK221" s="1285"/>
      <c r="EL221" s="1286"/>
      <c r="EM221" s="1284"/>
      <c r="EN221" s="1284"/>
      <c r="EO221" s="1284"/>
      <c r="EP221" s="1284"/>
      <c r="EQ221" s="1284"/>
      <c r="ER221" s="1284"/>
      <c r="ES221" s="1284"/>
      <c r="ET221" s="1284"/>
      <c r="EU221" s="1284"/>
      <c r="EV221" s="1284"/>
      <c r="EW221" s="1284"/>
      <c r="EX221" s="1284"/>
      <c r="EY221" s="1284"/>
      <c r="EZ221" s="1284"/>
      <c r="FA221" s="1287"/>
      <c r="FC221" s="1284"/>
      <c r="FD221" s="1284"/>
      <c r="FE221" s="1284"/>
      <c r="FF221" s="1284"/>
      <c r="FG221" s="1284"/>
      <c r="FH221" s="1284"/>
      <c r="FI221" s="1285"/>
      <c r="FJ221" s="1285"/>
      <c r="FK221" s="1285"/>
      <c r="FL221" s="1285"/>
      <c r="FM221" s="1285"/>
      <c r="FN221" s="1284"/>
      <c r="FO221" s="1284"/>
      <c r="FP221" s="1284"/>
      <c r="FQ221" s="1284"/>
      <c r="FR221" s="1284"/>
      <c r="FS221" s="1285"/>
      <c r="FT221" s="1285"/>
      <c r="FU221" s="1285"/>
      <c r="FV221" s="1285"/>
      <c r="FW221" s="1286"/>
      <c r="FX221" s="1284"/>
      <c r="FY221" s="1284"/>
      <c r="FZ221" s="1284"/>
      <c r="GA221" s="1284"/>
      <c r="GB221" s="1284"/>
      <c r="GC221" s="1284"/>
      <c r="GD221" s="1284"/>
      <c r="GE221" s="1284"/>
      <c r="GF221" s="1284"/>
      <c r="GG221" s="1284"/>
      <c r="GH221" s="1284"/>
      <c r="GI221" s="1284"/>
      <c r="GJ221" s="1284"/>
      <c r="GK221" s="1284"/>
      <c r="GL221" s="1287"/>
    </row>
    <row r="222" spans="2:216" s="1015" customFormat="1" ht="18" customHeight="1">
      <c r="CH222" s="1040">
        <f t="shared" ref="CH222:CO222" si="820">SUM(CH8:CH203)</f>
        <v>748306.21</v>
      </c>
      <c r="CI222" s="1040">
        <f t="shared" si="820"/>
        <v>478.84000000000009</v>
      </c>
      <c r="CJ222" s="1040">
        <f t="shared" si="820"/>
        <v>3016.2700000000004</v>
      </c>
      <c r="CK222" s="1040">
        <f t="shared" si="820"/>
        <v>1864.3199999999997</v>
      </c>
      <c r="CL222" s="1040">
        <f t="shared" si="820"/>
        <v>4459.95</v>
      </c>
      <c r="CM222" s="1040">
        <f t="shared" si="820"/>
        <v>8029.2900000000009</v>
      </c>
      <c r="CN222" s="1040">
        <f t="shared" si="820"/>
        <v>0</v>
      </c>
      <c r="CO222" s="1040">
        <f t="shared" si="820"/>
        <v>441535</v>
      </c>
      <c r="CP222" s="1040"/>
      <c r="CQ222" s="1040">
        <f>SUM(CQ8:CQ203)</f>
        <v>0</v>
      </c>
      <c r="CR222" s="1040">
        <f>SUM(CR8:CR203)</f>
        <v>0</v>
      </c>
      <c r="CS222" s="1040">
        <f>SUM(CS8:CS203)</f>
        <v>0</v>
      </c>
      <c r="CT222" s="1040">
        <f>SUM(CT8:CT203)</f>
        <v>113469.92947999999</v>
      </c>
      <c r="CU222" s="1040">
        <f>SUM(CU8:CU203)</f>
        <v>32080.71</v>
      </c>
      <c r="CV222" s="1040"/>
      <c r="CW222" s="1040">
        <f>SUM(CW8:CW203)</f>
        <v>3514460.3736900003</v>
      </c>
      <c r="CX222" s="1040">
        <f>SUM(CX8:CX203)</f>
        <v>8061823.0243899999</v>
      </c>
      <c r="CY222" s="1040">
        <f>SUM(CY8:CY203)</f>
        <v>0</v>
      </c>
      <c r="CZ222" s="1040"/>
      <c r="DA222" s="1040"/>
      <c r="DB222" s="1040">
        <f>SUM(DB8:DB203)</f>
        <v>0</v>
      </c>
      <c r="DC222" s="1040">
        <f>SUM(DC8:DC203)</f>
        <v>0</v>
      </c>
      <c r="DD222" s="1040">
        <f>SUM(DD8:DD203)</f>
        <v>0</v>
      </c>
      <c r="DE222" s="1040">
        <f>SUM(DE8:DK220)</f>
        <v>9985894256.8388958</v>
      </c>
      <c r="DF222" s="1040">
        <f t="shared" ref="DF222:DP222" si="821">SUM(DF8:DF203)</f>
        <v>22495754.999999996</v>
      </c>
      <c r="DG222" s="1040">
        <f t="shared" si="821"/>
        <v>18575927.933768094</v>
      </c>
      <c r="DH222" s="1040">
        <f t="shared" si="821"/>
        <v>0</v>
      </c>
      <c r="DI222" s="1040">
        <f t="shared" si="821"/>
        <v>2842389.80565</v>
      </c>
      <c r="DJ222" s="1040">
        <f t="shared" si="821"/>
        <v>6437896.1907300008</v>
      </c>
      <c r="DK222" s="1040">
        <f t="shared" si="821"/>
        <v>5582082.179370001</v>
      </c>
      <c r="DL222" s="1040">
        <f t="shared" si="821"/>
        <v>0</v>
      </c>
      <c r="DM222" s="1040">
        <f t="shared" si="821"/>
        <v>0</v>
      </c>
      <c r="DN222" s="1040">
        <f t="shared" si="821"/>
        <v>0</v>
      </c>
      <c r="DO222" s="1040">
        <f t="shared" si="821"/>
        <v>0</v>
      </c>
      <c r="DP222" s="1040">
        <f t="shared" si="821"/>
        <v>0</v>
      </c>
      <c r="DR222" s="1255">
        <f t="shared" ref="DR222:FA222" si="822">SUM(DR8:DR220)</f>
        <v>76544986.302185327</v>
      </c>
      <c r="DS222" s="1255">
        <f t="shared" si="822"/>
        <v>27037.638722862408</v>
      </c>
      <c r="DT222" s="1255">
        <f t="shared" si="822"/>
        <v>182008.1981455936</v>
      </c>
      <c r="DU222" s="1255">
        <f t="shared" si="822"/>
        <v>112237.96826944783</v>
      </c>
      <c r="DV222" s="1255">
        <f t="shared" si="822"/>
        <v>304133.06132865197</v>
      </c>
      <c r="DW222" s="1255">
        <f t="shared" si="822"/>
        <v>581869.38238799688</v>
      </c>
      <c r="DX222" s="1255">
        <f t="shared" si="822"/>
        <v>0</v>
      </c>
      <c r="DY222" s="1255">
        <f t="shared" si="822"/>
        <v>6868701.7740000002</v>
      </c>
      <c r="DZ222" s="1255">
        <f t="shared" si="822"/>
        <v>0</v>
      </c>
      <c r="EA222" s="1255">
        <f t="shared" si="822"/>
        <v>0</v>
      </c>
      <c r="EB222" s="1255">
        <f t="shared" si="822"/>
        <v>0</v>
      </c>
      <c r="EC222" s="1255">
        <f t="shared" si="822"/>
        <v>0</v>
      </c>
      <c r="ED222" s="1255">
        <f t="shared" si="822"/>
        <v>128934.13857722584</v>
      </c>
      <c r="EE222" s="1255">
        <f t="shared" si="822"/>
        <v>6892.9561388171014</v>
      </c>
      <c r="EF222" s="1255">
        <f t="shared" si="822"/>
        <v>0</v>
      </c>
      <c r="EG222" s="1255">
        <f t="shared" si="822"/>
        <v>6212833.7289588284</v>
      </c>
      <c r="EH222" s="1255">
        <f t="shared" si="822"/>
        <v>7481812.7630137885</v>
      </c>
      <c r="EI222" s="1255">
        <f t="shared" si="822"/>
        <v>0</v>
      </c>
      <c r="EJ222" s="1255">
        <f t="shared" si="822"/>
        <v>1799449.0460698521</v>
      </c>
      <c r="EK222" s="1255">
        <f t="shared" si="822"/>
        <v>771234.59596782271</v>
      </c>
      <c r="EL222" s="1255">
        <f t="shared" si="822"/>
        <v>14983001.509247759</v>
      </c>
      <c r="EM222" s="1255">
        <f t="shared" si="822"/>
        <v>16933513.464565497</v>
      </c>
      <c r="EN222" s="1255">
        <f t="shared" si="822"/>
        <v>15370790.626607202</v>
      </c>
      <c r="EO222" s="1255">
        <f t="shared" si="822"/>
        <v>123952838.53523928</v>
      </c>
      <c r="EP222" s="1255">
        <f t="shared" si="822"/>
        <v>284470.00566730811</v>
      </c>
      <c r="EQ222" s="1255">
        <f t="shared" si="822"/>
        <v>359532.44418921642</v>
      </c>
      <c r="ER222" s="1255">
        <f t="shared" si="822"/>
        <v>0</v>
      </c>
      <c r="ES222" s="1255">
        <f t="shared" si="822"/>
        <v>77436.892652100345</v>
      </c>
      <c r="ET222" s="1255">
        <f t="shared" si="822"/>
        <v>67675.570373042196</v>
      </c>
      <c r="EU222" s="1255">
        <f t="shared" si="822"/>
        <v>58189.708953227644</v>
      </c>
      <c r="EV222" s="1255">
        <f t="shared" si="822"/>
        <v>0</v>
      </c>
      <c r="EW222" s="1255">
        <f t="shared" si="822"/>
        <v>0</v>
      </c>
      <c r="EX222" s="1255">
        <f t="shared" si="822"/>
        <v>0</v>
      </c>
      <c r="EY222" s="1255">
        <f t="shared" si="822"/>
        <v>0</v>
      </c>
      <c r="EZ222" s="1255">
        <f t="shared" si="822"/>
        <v>0</v>
      </c>
      <c r="FA222" s="1255">
        <f t="shared" si="822"/>
        <v>273109580.31126088</v>
      </c>
      <c r="FB222" s="1115"/>
      <c r="FC222" s="1255">
        <f t="shared" ref="FC222:GL222" si="823">SUM(FC8:FC220)</f>
        <v>75060393.181791916</v>
      </c>
      <c r="FD222" s="1255">
        <f t="shared" si="823"/>
        <v>26386.431724019181</v>
      </c>
      <c r="FE222" s="1255">
        <f t="shared" si="823"/>
        <v>177538.06252290073</v>
      </c>
      <c r="FF222" s="1255">
        <f t="shared" si="823"/>
        <v>109242.76289339962</v>
      </c>
      <c r="FG222" s="1255">
        <f t="shared" si="823"/>
        <v>297734.93004955369</v>
      </c>
      <c r="FH222" s="1255">
        <f t="shared" si="823"/>
        <v>570476.00602850225</v>
      </c>
      <c r="FI222" s="1255">
        <f t="shared" si="823"/>
        <v>0</v>
      </c>
      <c r="FJ222" s="1255">
        <f t="shared" si="823"/>
        <v>6852153.1957200011</v>
      </c>
      <c r="FK222" s="1255">
        <f t="shared" si="823"/>
        <v>0</v>
      </c>
      <c r="FL222" s="1255">
        <f t="shared" si="823"/>
        <v>0</v>
      </c>
      <c r="FM222" s="1255">
        <f t="shared" si="823"/>
        <v>0</v>
      </c>
      <c r="FN222" s="1255">
        <f t="shared" si="823"/>
        <v>0</v>
      </c>
      <c r="FO222" s="1255">
        <f t="shared" si="823"/>
        <v>125922.78384806412</v>
      </c>
      <c r="FP222" s="1255">
        <f t="shared" si="823"/>
        <v>6695.3629282331849</v>
      </c>
      <c r="FQ222" s="1255">
        <f t="shared" si="823"/>
        <v>0</v>
      </c>
      <c r="FR222" s="1255">
        <f t="shared" si="823"/>
        <v>6100116.4603657806</v>
      </c>
      <c r="FS222" s="1255">
        <f t="shared" si="823"/>
        <v>7417974.7701553106</v>
      </c>
      <c r="FT222" s="1255">
        <f t="shared" si="823"/>
        <v>0</v>
      </c>
      <c r="FU222" s="1255">
        <f t="shared" si="823"/>
        <v>0</v>
      </c>
      <c r="FV222" s="1255">
        <f t="shared" si="823"/>
        <v>0</v>
      </c>
      <c r="FW222" s="1255">
        <f t="shared" si="823"/>
        <v>14780394.671071587</v>
      </c>
      <c r="FX222" s="1255">
        <f t="shared" si="823"/>
        <v>12877410.450933604</v>
      </c>
      <c r="FY222" s="1255">
        <f t="shared" si="823"/>
        <v>14888567.794086393</v>
      </c>
      <c r="FZ222" s="1255">
        <f t="shared" si="823"/>
        <v>112183183.95754594</v>
      </c>
      <c r="GA222" s="1255">
        <f t="shared" si="823"/>
        <v>0</v>
      </c>
      <c r="GB222" s="1255">
        <f t="shared" si="823"/>
        <v>0</v>
      </c>
      <c r="GC222" s="1255">
        <f t="shared" si="823"/>
        <v>0</v>
      </c>
      <c r="GD222" s="1255">
        <f t="shared" si="823"/>
        <v>76929.334314728403</v>
      </c>
      <c r="GE222" s="1255">
        <f t="shared" si="823"/>
        <v>62014.270154034086</v>
      </c>
      <c r="GF222" s="1255">
        <f t="shared" si="823"/>
        <v>54119.573014677815</v>
      </c>
      <c r="GG222" s="1255">
        <f t="shared" si="823"/>
        <v>0</v>
      </c>
      <c r="GH222" s="1255">
        <f t="shared" si="823"/>
        <v>0</v>
      </c>
      <c r="GI222" s="1255">
        <f t="shared" si="823"/>
        <v>0</v>
      </c>
      <c r="GJ222" s="1255">
        <f t="shared" si="823"/>
        <v>0</v>
      </c>
      <c r="GK222" s="1255">
        <f t="shared" si="823"/>
        <v>0</v>
      </c>
      <c r="GL222" s="1255">
        <f t="shared" si="823"/>
        <v>251667253.99914882</v>
      </c>
      <c r="GM222" s="1115"/>
      <c r="GN222" s="1115"/>
      <c r="GO222" s="1115"/>
      <c r="GP222" s="1115"/>
      <c r="GQ222" s="1115"/>
      <c r="GR222" s="1115"/>
      <c r="GS222" s="1115"/>
      <c r="GT222" s="1115"/>
      <c r="GU222" s="1115"/>
      <c r="GV222" s="1115"/>
      <c r="GW222" s="1115"/>
      <c r="GX222" s="1115"/>
      <c r="GY222" s="1115"/>
      <c r="GZ222" s="1115"/>
      <c r="HA222" s="1115"/>
      <c r="HB222" s="1115"/>
      <c r="HC222" s="1115"/>
      <c r="HD222" s="1115"/>
      <c r="HE222" s="1115"/>
      <c r="HF222" s="1115"/>
      <c r="HG222" s="1115"/>
      <c r="HH222" s="1115"/>
    </row>
    <row r="223" spans="2:216" ht="18" customHeight="1">
      <c r="B223" s="1101"/>
      <c r="C223" s="1101"/>
      <c r="D223" s="1101"/>
      <c r="E223" s="1101"/>
      <c r="F223" s="1101"/>
      <c r="G223" s="1101"/>
      <c r="H223" s="1101"/>
      <c r="I223" s="1101"/>
      <c r="J223" s="1101"/>
      <c r="K223" s="1101"/>
      <c r="L223" s="1101"/>
      <c r="M223" s="1101"/>
      <c r="N223" s="1101"/>
      <c r="O223" s="1101"/>
      <c r="P223" s="1101"/>
      <c r="Q223" s="1101"/>
      <c r="R223" s="1101"/>
      <c r="S223" s="1101"/>
      <c r="T223" s="1101"/>
      <c r="U223" s="1101"/>
      <c r="V223" s="1101"/>
      <c r="W223" s="1101"/>
      <c r="X223" s="1101"/>
      <c r="Y223" s="1101"/>
      <c r="Z223" s="1101"/>
      <c r="AA223" s="1101"/>
      <c r="AB223" s="1101"/>
      <c r="AC223" s="1101"/>
      <c r="AD223" s="1101"/>
      <c r="AE223" s="1101"/>
      <c r="AF223" s="1101"/>
      <c r="AG223" s="1101"/>
      <c r="AH223" s="1101"/>
      <c r="AI223" s="1101"/>
      <c r="AJ223" s="1101"/>
      <c r="AK223" s="1101"/>
      <c r="AL223" s="1101"/>
      <c r="AM223" s="1101"/>
      <c r="AN223" s="1101"/>
      <c r="AO223" s="1101"/>
      <c r="AP223" s="1101"/>
      <c r="AQ223" s="1101"/>
      <c r="AR223" s="1101"/>
      <c r="AS223" s="1101"/>
      <c r="AT223" s="1101"/>
      <c r="AU223" s="1101"/>
      <c r="AV223" s="1101"/>
      <c r="AW223" s="1101"/>
      <c r="AX223" s="1101"/>
      <c r="AY223" s="1101"/>
      <c r="AZ223" s="1101"/>
      <c r="BA223" s="1101"/>
      <c r="BB223" s="1101"/>
      <c r="BC223" s="1101"/>
      <c r="BD223" s="1101"/>
      <c r="BE223" s="1101"/>
      <c r="BF223" s="1101"/>
      <c r="BG223" s="1101"/>
      <c r="BH223" s="1101"/>
      <c r="BI223" s="1101"/>
      <c r="BJ223" s="1101"/>
      <c r="BK223" s="1101"/>
      <c r="BL223" s="1101"/>
      <c r="BM223" s="1101"/>
      <c r="BN223" s="1101"/>
      <c r="BO223" s="1101"/>
      <c r="BP223" s="1101"/>
      <c r="BQ223" s="1101"/>
      <c r="BR223" s="1101"/>
      <c r="BS223" s="1101"/>
      <c r="BT223" s="1101"/>
      <c r="BU223" s="1101"/>
      <c r="BV223" s="1101"/>
      <c r="BW223" s="1101"/>
      <c r="BX223" s="1101"/>
      <c r="BY223" s="1101"/>
      <c r="BZ223" s="1101"/>
      <c r="CA223" s="1101"/>
      <c r="CB223" s="1101"/>
      <c r="CC223" s="1101"/>
      <c r="CD223" s="1101"/>
      <c r="CE223" s="1101"/>
      <c r="CF223" s="1101"/>
      <c r="CH223" s="1015"/>
      <c r="CI223" s="1015"/>
      <c r="CJ223" s="1015"/>
      <c r="CK223" s="1015"/>
      <c r="CL223" s="1015"/>
      <c r="CM223" s="1015"/>
      <c r="CN223" s="1015"/>
      <c r="CO223" s="1015"/>
      <c r="CP223" s="1015"/>
      <c r="CQ223" s="1015"/>
      <c r="CR223" s="1015"/>
      <c r="CS223" s="1015"/>
      <c r="CT223" s="1015"/>
      <c r="CU223" s="1015"/>
      <c r="CV223" s="1015"/>
      <c r="CW223" s="1015"/>
      <c r="CX223" s="1015"/>
      <c r="CY223" s="1015"/>
      <c r="CZ223" s="1015"/>
      <c r="DA223" s="1015"/>
      <c r="DB223" s="1015"/>
      <c r="DC223" s="1015"/>
      <c r="DD223" s="1015"/>
      <c r="DE223" s="1044"/>
      <c r="DF223" s="1015"/>
      <c r="DG223" s="1015"/>
      <c r="DH223" s="1015"/>
      <c r="DI223" s="1015"/>
      <c r="DJ223" s="1015"/>
      <c r="DK223" s="1015"/>
      <c r="DL223" s="1015"/>
      <c r="DM223" s="1015"/>
      <c r="DN223" s="1015"/>
      <c r="DO223" s="1015"/>
      <c r="DP223" s="1015"/>
      <c r="DQ223" s="1101"/>
      <c r="DR223" s="1101"/>
      <c r="DS223" s="1101"/>
      <c r="DT223" s="1101"/>
      <c r="DU223" s="1101"/>
      <c r="DV223" s="1101"/>
      <c r="DW223" s="1101"/>
      <c r="DX223" s="1101"/>
      <c r="DY223" s="1101"/>
      <c r="DZ223" s="1101"/>
      <c r="EA223" s="1101"/>
      <c r="EB223" s="1101"/>
      <c r="EC223" s="1101"/>
      <c r="ED223" s="1101"/>
      <c r="EE223" s="1101"/>
      <c r="EF223" s="1101"/>
      <c r="EG223" s="1101"/>
      <c r="EH223" s="1101"/>
      <c r="EI223" s="1101"/>
      <c r="EJ223" s="1101"/>
      <c r="EK223" s="1101"/>
      <c r="EL223" s="1101"/>
      <c r="EM223" s="1101"/>
      <c r="EN223" s="1101"/>
      <c r="EO223" s="1101"/>
      <c r="EP223" s="1101"/>
      <c r="EQ223" s="1101"/>
      <c r="ER223" s="1101"/>
      <c r="ES223" s="1101"/>
      <c r="ET223" s="1101"/>
      <c r="EU223" s="1101"/>
      <c r="EV223" s="1101"/>
      <c r="EW223" s="1101"/>
      <c r="EX223" s="1101"/>
      <c r="EY223" s="1101"/>
      <c r="EZ223" s="1101"/>
      <c r="FA223" s="1101"/>
    </row>
    <row r="224" spans="2:216">
      <c r="B224" s="1101"/>
      <c r="C224" s="1101"/>
      <c r="D224" s="1101"/>
      <c r="E224" s="1101"/>
      <c r="F224" s="1101"/>
      <c r="G224" s="1101"/>
      <c r="H224" s="1101"/>
      <c r="I224" s="1101"/>
      <c r="J224" s="1101"/>
      <c r="K224" s="1101"/>
      <c r="L224" s="1101"/>
      <c r="M224" s="1101"/>
      <c r="N224" s="1101"/>
      <c r="O224" s="1101"/>
      <c r="P224" s="1101"/>
      <c r="Q224" s="1101"/>
      <c r="R224" s="1101"/>
      <c r="S224" s="1101"/>
      <c r="T224" s="1101"/>
      <c r="U224" s="1101"/>
      <c r="V224" s="1101"/>
      <c r="W224" s="1101"/>
      <c r="X224" s="1101"/>
      <c r="Y224" s="1101"/>
      <c r="Z224" s="1101"/>
      <c r="AA224" s="1101"/>
      <c r="AB224" s="1101"/>
      <c r="AC224" s="1101"/>
      <c r="AD224" s="1101"/>
      <c r="AE224" s="1101"/>
      <c r="AF224" s="1101"/>
      <c r="AG224" s="1101"/>
      <c r="AH224" s="1101"/>
      <c r="AI224" s="1101"/>
      <c r="AJ224" s="1101"/>
      <c r="AK224" s="1101"/>
      <c r="AL224" s="1101"/>
      <c r="AM224" s="1101"/>
      <c r="AN224" s="1101"/>
      <c r="AO224" s="1101"/>
      <c r="AP224" s="1101"/>
      <c r="AQ224" s="1101"/>
      <c r="AR224" s="1101"/>
      <c r="AS224" s="1101"/>
      <c r="AT224" s="1101"/>
      <c r="AU224" s="1101"/>
      <c r="AV224" s="1101"/>
      <c r="AW224" s="1101"/>
      <c r="AX224" s="1101"/>
      <c r="AY224" s="1101"/>
      <c r="AZ224" s="1101"/>
      <c r="BA224" s="1101"/>
      <c r="BB224" s="1101"/>
      <c r="BC224" s="1101"/>
      <c r="BD224" s="1101"/>
      <c r="BE224" s="1101"/>
      <c r="BF224" s="1101"/>
      <c r="BG224" s="1101"/>
      <c r="BH224" s="1101"/>
      <c r="BI224" s="1101"/>
      <c r="BJ224" s="1101"/>
      <c r="BK224" s="1101"/>
      <c r="BL224" s="1101"/>
      <c r="BM224" s="1101"/>
      <c r="BN224" s="1101"/>
      <c r="BO224" s="1101"/>
      <c r="BP224" s="1101"/>
      <c r="BQ224" s="1101"/>
      <c r="BR224" s="1101"/>
      <c r="BS224" s="1101"/>
      <c r="BT224" s="1101"/>
      <c r="BU224" s="1101"/>
      <c r="BV224" s="1101"/>
      <c r="BW224" s="1101"/>
      <c r="BX224" s="1101"/>
      <c r="BY224" s="1101"/>
      <c r="BZ224" s="1101"/>
      <c r="CA224" s="1101"/>
      <c r="CB224" s="1101"/>
      <c r="CC224" s="1101"/>
      <c r="CD224" s="1101"/>
      <c r="CE224" s="1101"/>
      <c r="CF224" s="1101"/>
      <c r="CH224" s="1015"/>
      <c r="CI224" s="1015"/>
      <c r="CJ224" s="1015"/>
      <c r="CK224" s="1015"/>
      <c r="CL224" s="1015"/>
      <c r="CM224" s="1015"/>
      <c r="CN224" s="1015"/>
      <c r="CO224" s="1015"/>
      <c r="CP224" s="1015"/>
      <c r="CQ224" s="1015"/>
      <c r="CR224" s="1015"/>
      <c r="CS224" s="1015"/>
      <c r="CT224" s="1015"/>
      <c r="CU224" s="1015"/>
      <c r="CV224" s="1015"/>
      <c r="CW224" s="1015"/>
      <c r="CX224" s="1015"/>
      <c r="CY224" s="1015"/>
      <c r="CZ224" s="1015"/>
      <c r="DA224" s="1015"/>
      <c r="DB224" s="1015"/>
      <c r="DC224" s="1015"/>
      <c r="DD224" s="1015"/>
      <c r="DE224" s="1015"/>
      <c r="DF224" s="1015"/>
      <c r="DG224" s="1015"/>
      <c r="DH224" s="1015"/>
      <c r="DI224" s="1015"/>
      <c r="DJ224" s="1015"/>
      <c r="DK224" s="1015"/>
      <c r="DL224" s="1015"/>
      <c r="DM224" s="1015"/>
      <c r="DN224" s="1015"/>
      <c r="DO224" s="1015"/>
      <c r="DP224" s="1015"/>
      <c r="DQ224" s="1101"/>
      <c r="DR224" s="1101"/>
      <c r="DS224" s="1101"/>
      <c r="DT224" s="1101"/>
      <c r="DU224" s="1101"/>
      <c r="DV224" s="1101"/>
      <c r="DW224" s="1101"/>
      <c r="DX224" s="1101"/>
      <c r="DY224" s="1101"/>
      <c r="DZ224" s="1101"/>
      <c r="EA224" s="1101"/>
      <c r="EB224" s="1101"/>
      <c r="EC224" s="1101"/>
      <c r="ED224" s="1101"/>
      <c r="EE224" s="1101"/>
      <c r="EF224" s="1101"/>
      <c r="EG224" s="1101"/>
      <c r="EH224" s="1101"/>
      <c r="EI224" s="1101"/>
      <c r="EJ224" s="1101"/>
      <c r="EK224" s="1101"/>
      <c r="EL224" s="1101"/>
      <c r="EM224" s="1101"/>
      <c r="EN224" s="1101"/>
      <c r="EO224" s="1101"/>
      <c r="EP224" s="1101"/>
      <c r="EQ224" s="1101"/>
      <c r="ER224" s="1101"/>
      <c r="ES224" s="1101"/>
      <c r="ET224" s="1101"/>
      <c r="EU224" s="1101"/>
      <c r="EV224" s="1101"/>
      <c r="EW224" s="1101"/>
      <c r="EX224" s="1101"/>
      <c r="EY224" s="1101"/>
      <c r="EZ224" s="1101"/>
      <c r="FA224" s="1101"/>
    </row>
    <row r="225" spans="2:193">
      <c r="B225" s="1101"/>
      <c r="C225" s="1101"/>
      <c r="D225" s="1101"/>
      <c r="E225" s="1101"/>
      <c r="F225" s="1101"/>
      <c r="G225" s="1101"/>
      <c r="H225" s="1101"/>
      <c r="I225" s="1101"/>
      <c r="J225" s="1101"/>
      <c r="K225" s="1101"/>
      <c r="L225" s="1015"/>
      <c r="M225" s="1015"/>
      <c r="N225" s="1015"/>
      <c r="O225" s="1015"/>
      <c r="P225" s="1015"/>
      <c r="Q225" s="1015"/>
      <c r="R225" s="1015"/>
      <c r="S225" s="1015"/>
      <c r="T225" s="1015"/>
      <c r="U225" s="1015"/>
      <c r="V225" s="1015"/>
      <c r="W225" s="1015"/>
      <c r="X225" s="1015"/>
      <c r="Y225" s="1015"/>
      <c r="Z225" s="1015"/>
      <c r="AA225" s="1015"/>
      <c r="AB225" s="1015"/>
      <c r="AC225" s="1015"/>
      <c r="AD225" s="1015"/>
      <c r="AE225" s="1015"/>
      <c r="AF225" s="1015"/>
      <c r="AG225" s="1015"/>
      <c r="AH225" s="1015"/>
      <c r="AI225" s="1015"/>
      <c r="AJ225" s="1015"/>
      <c r="AK225" s="1015"/>
      <c r="AL225" s="1015"/>
      <c r="AM225" s="1015"/>
      <c r="AN225" s="1015"/>
      <c r="AO225" s="1015"/>
      <c r="AP225" s="1015"/>
      <c r="AQ225" s="1015"/>
      <c r="AR225" s="1015"/>
      <c r="AS225" s="1015"/>
      <c r="AT225" s="1015"/>
      <c r="AU225" s="1015"/>
      <c r="AV225" s="1101"/>
      <c r="AW225" s="1015"/>
      <c r="AX225" s="1015"/>
      <c r="AY225" s="1015"/>
      <c r="AZ225" s="1015"/>
      <c r="BA225" s="1015"/>
      <c r="BB225" s="1015"/>
      <c r="BC225" s="1015"/>
      <c r="BD225" s="1015"/>
      <c r="BE225" s="1015"/>
      <c r="BF225" s="1015"/>
      <c r="BG225" s="1015"/>
      <c r="BH225" s="1015"/>
      <c r="BI225" s="1015"/>
      <c r="BJ225" s="1015"/>
      <c r="BK225" s="1015"/>
      <c r="BL225" s="1015"/>
      <c r="BM225" s="1015"/>
      <c r="BN225" s="1015"/>
      <c r="BO225" s="1015"/>
      <c r="BP225" s="1015"/>
      <c r="BQ225" s="1015"/>
      <c r="BR225" s="1015"/>
      <c r="BS225" s="1015"/>
      <c r="BT225" s="1015"/>
      <c r="BU225" s="1015"/>
      <c r="BV225" s="1015"/>
      <c r="BW225" s="1015"/>
      <c r="BX225" s="1015"/>
      <c r="BY225" s="1015"/>
      <c r="BZ225" s="1015"/>
      <c r="CA225" s="1015"/>
      <c r="CB225" s="1015"/>
      <c r="CC225" s="1015"/>
      <c r="CD225" s="1015"/>
      <c r="CE225" s="1015"/>
      <c r="CF225" s="1015"/>
      <c r="CG225" s="1015"/>
      <c r="CH225" s="1015"/>
      <c r="CI225" s="1015"/>
      <c r="CJ225" s="1015"/>
      <c r="CK225" s="1015"/>
      <c r="CL225" s="1015"/>
      <c r="CM225" s="1015"/>
      <c r="CN225" s="1015"/>
      <c r="CO225" s="1015"/>
      <c r="CP225" s="1015"/>
      <c r="CQ225" s="1015"/>
      <c r="CR225" s="1015"/>
      <c r="CS225" s="1015"/>
      <c r="CT225" s="1015"/>
      <c r="CU225" s="1015"/>
      <c r="CV225" s="1015"/>
      <c r="CW225" s="1015"/>
      <c r="CX225" s="1015"/>
      <c r="CY225" s="1015"/>
      <c r="CZ225" s="1015"/>
      <c r="DA225" s="1015"/>
      <c r="DB225" s="1015"/>
      <c r="DC225" s="1015">
        <f t="shared" ref="DC225:DP225" si="824">COUNTA(DC8:DC221)</f>
        <v>1</v>
      </c>
      <c r="DD225" s="1015">
        <f t="shared" si="824"/>
        <v>1</v>
      </c>
      <c r="DE225" s="1015">
        <f t="shared" si="824"/>
        <v>178</v>
      </c>
      <c r="DF225" s="1015">
        <f t="shared" si="824"/>
        <v>14</v>
      </c>
      <c r="DG225" s="1015">
        <f t="shared" si="824"/>
        <v>14</v>
      </c>
      <c r="DH225" s="1015">
        <f t="shared" si="824"/>
        <v>0</v>
      </c>
      <c r="DI225" s="1015">
        <f t="shared" si="824"/>
        <v>14</v>
      </c>
      <c r="DJ225" s="1015">
        <f t="shared" si="824"/>
        <v>14</v>
      </c>
      <c r="DK225" s="1015">
        <f t="shared" si="824"/>
        <v>14</v>
      </c>
      <c r="DL225" s="1015">
        <f t="shared" si="824"/>
        <v>0</v>
      </c>
      <c r="DM225" s="1015">
        <f t="shared" si="824"/>
        <v>0</v>
      </c>
      <c r="DN225" s="1015">
        <f t="shared" si="824"/>
        <v>0</v>
      </c>
      <c r="DO225" s="1015">
        <f t="shared" si="824"/>
        <v>0</v>
      </c>
      <c r="DP225" s="1015">
        <f t="shared" si="824"/>
        <v>0</v>
      </c>
      <c r="DQ225" s="1101"/>
      <c r="DR225" s="1101"/>
      <c r="DS225" s="1101"/>
      <c r="DT225" s="1101"/>
      <c r="DU225" s="1101"/>
      <c r="DV225" s="1101"/>
      <c r="DW225" s="1101"/>
      <c r="DX225" s="1101"/>
      <c r="DY225" s="1101"/>
      <c r="DZ225" s="1101"/>
      <c r="EA225" s="1101"/>
      <c r="EB225" s="1101"/>
      <c r="EC225" s="1101"/>
      <c r="ED225" s="1101"/>
      <c r="EE225" s="1101"/>
      <c r="EF225" s="1101"/>
      <c r="EG225" s="1101"/>
      <c r="EH225" s="1101"/>
      <c r="EI225" s="1101"/>
      <c r="EJ225" s="1101"/>
      <c r="EK225" s="1101"/>
      <c r="EL225" s="1101"/>
      <c r="EM225" s="1101"/>
      <c r="EN225" s="1101"/>
      <c r="EO225" s="1101"/>
      <c r="EP225" s="1101"/>
      <c r="EQ225" s="1101"/>
      <c r="ER225" s="1101"/>
      <c r="ES225" s="1101"/>
      <c r="ET225" s="1101"/>
      <c r="EU225" s="1101"/>
      <c r="EV225" s="1101"/>
      <c r="EW225" s="1101"/>
      <c r="EX225" s="1101"/>
      <c r="EY225" s="1101"/>
      <c r="EZ225" s="1101"/>
      <c r="FA225" s="1101"/>
    </row>
    <row r="226" spans="2:193">
      <c r="B226" s="1101"/>
      <c r="C226" s="1101"/>
      <c r="D226" s="1101"/>
      <c r="E226" s="1101"/>
      <c r="F226" s="1101"/>
      <c r="G226" s="1101"/>
      <c r="H226" s="1101"/>
      <c r="I226" s="1101"/>
      <c r="J226" s="1101"/>
      <c r="K226" s="1101"/>
      <c r="L226" s="1101"/>
      <c r="M226" s="1101"/>
      <c r="N226" s="1101"/>
      <c r="O226" s="1101"/>
      <c r="P226" s="1101"/>
      <c r="Q226" s="1101"/>
      <c r="R226" s="1101"/>
      <c r="S226" s="1101"/>
      <c r="T226" s="1101"/>
      <c r="U226" s="1101"/>
      <c r="V226" s="1101"/>
      <c r="W226" s="1101"/>
      <c r="X226" s="1101"/>
      <c r="Y226" s="1101"/>
      <c r="Z226" s="1101"/>
      <c r="AA226" s="1101"/>
      <c r="AB226" s="1101"/>
      <c r="AC226" s="1101"/>
      <c r="AD226" s="1101"/>
      <c r="AE226" s="1101"/>
      <c r="AF226" s="1101"/>
      <c r="AG226" s="1101"/>
      <c r="AH226" s="1101"/>
      <c r="AI226" s="1101"/>
      <c r="AJ226" s="1101"/>
      <c r="AK226" s="1101"/>
      <c r="AL226" s="1101"/>
      <c r="AM226" s="1101"/>
      <c r="AN226" s="1101"/>
      <c r="AO226" s="1101"/>
      <c r="AP226" s="1101"/>
      <c r="AQ226" s="1101"/>
      <c r="AR226" s="1101"/>
      <c r="AS226" s="1101"/>
      <c r="AT226" s="1101"/>
      <c r="AU226" s="1101"/>
      <c r="AV226" s="1101"/>
      <c r="AW226" s="1101"/>
      <c r="AX226" s="1101"/>
      <c r="AY226" s="1101"/>
      <c r="AZ226" s="1101"/>
      <c r="BA226" s="1101"/>
      <c r="BB226" s="1101"/>
      <c r="BC226" s="1101"/>
      <c r="BD226" s="1101"/>
      <c r="BE226" s="1101"/>
      <c r="BF226" s="1101"/>
      <c r="BG226" s="1101"/>
      <c r="BH226" s="1101"/>
      <c r="BI226" s="1101"/>
      <c r="BJ226" s="1101"/>
      <c r="BK226" s="1101"/>
      <c r="BL226" s="1101"/>
      <c r="BM226" s="1101"/>
      <c r="BN226" s="1101"/>
      <c r="BO226" s="1101"/>
      <c r="BP226" s="1101"/>
      <c r="BQ226" s="1101"/>
      <c r="BR226" s="1101"/>
      <c r="BS226" s="1101"/>
      <c r="BT226" s="1101"/>
      <c r="BU226" s="1101"/>
      <c r="BV226" s="1101"/>
      <c r="BW226" s="1101"/>
      <c r="BX226" s="1101"/>
      <c r="BY226" s="1101"/>
      <c r="BZ226" s="1101"/>
      <c r="CA226" s="1101"/>
      <c r="CB226" s="1101"/>
      <c r="CC226" s="1101"/>
      <c r="CD226" s="1101"/>
      <c r="CE226" s="1101"/>
      <c r="CF226" s="1101"/>
      <c r="CH226" s="1015"/>
      <c r="CI226" s="1015"/>
      <c r="CJ226" s="1015"/>
      <c r="CK226" s="1015"/>
      <c r="CL226" s="1015"/>
      <c r="CM226" s="1015"/>
      <c r="CN226" s="1015"/>
      <c r="CO226" s="1015"/>
      <c r="CP226" s="1015"/>
      <c r="CQ226" s="1015"/>
      <c r="CR226" s="1015"/>
      <c r="CS226" s="1015"/>
      <c r="CT226" s="1015"/>
      <c r="CU226" s="1015"/>
      <c r="CV226" s="1015"/>
      <c r="CW226" s="1015"/>
      <c r="CX226" s="1015"/>
      <c r="CY226" s="1015"/>
      <c r="CZ226" s="1015"/>
      <c r="DA226" s="1015"/>
      <c r="DB226" s="1015"/>
      <c r="DC226" s="1015"/>
      <c r="DD226" s="1015"/>
      <c r="DE226" s="1015"/>
      <c r="DF226" s="1015"/>
      <c r="DG226" s="1015"/>
      <c r="DH226" s="1015"/>
      <c r="DI226" s="1015"/>
      <c r="DJ226" s="1015"/>
      <c r="DK226" s="1015"/>
      <c r="DL226" s="1015"/>
      <c r="DM226" s="1015"/>
      <c r="DN226" s="1015"/>
      <c r="DO226" s="1015"/>
      <c r="DP226" s="1015"/>
      <c r="DQ226" s="1101"/>
      <c r="DR226" s="1101"/>
      <c r="DS226" s="1101"/>
      <c r="DT226" s="1101"/>
      <c r="DU226" s="1101"/>
      <c r="DV226" s="1101"/>
      <c r="DW226" s="1101"/>
      <c r="DX226" s="1101"/>
      <c r="DY226" s="1101"/>
      <c r="DZ226" s="1101"/>
      <c r="EA226" s="1101"/>
      <c r="EB226" s="1101"/>
      <c r="EC226" s="1101"/>
      <c r="ED226" s="1101"/>
      <c r="EE226" s="1101"/>
      <c r="EF226" s="1101"/>
      <c r="EG226" s="1101"/>
      <c r="EH226" s="1101"/>
      <c r="EI226" s="1101"/>
      <c r="EJ226" s="1101"/>
      <c r="EK226" s="1101"/>
      <c r="EL226" s="1101"/>
      <c r="EM226" s="1101"/>
      <c r="EN226" s="1101"/>
      <c r="EO226" s="1101"/>
      <c r="EP226" s="1101"/>
      <c r="EQ226" s="1101"/>
      <c r="ER226" s="1101"/>
      <c r="ES226" s="1101"/>
      <c r="ET226" s="1101"/>
      <c r="EU226" s="1101"/>
      <c r="EV226" s="1101"/>
      <c r="EW226" s="1101"/>
      <c r="EX226" s="1101"/>
      <c r="EY226" s="1101"/>
      <c r="EZ226" s="1101"/>
      <c r="FA226" s="1101"/>
    </row>
    <row r="227" spans="2:193">
      <c r="B227" s="1101"/>
      <c r="C227" s="1101"/>
      <c r="D227" s="1101"/>
      <c r="E227" s="1101"/>
      <c r="F227" s="1101"/>
      <c r="G227" s="1101"/>
      <c r="H227" s="1101"/>
      <c r="I227" s="1101"/>
      <c r="J227" s="1101"/>
      <c r="K227" s="1101"/>
      <c r="L227" s="1101"/>
      <c r="M227" s="1101"/>
      <c r="N227" s="1101"/>
      <c r="O227" s="1101"/>
      <c r="P227" s="1101"/>
      <c r="Q227" s="1101"/>
      <c r="R227" s="1101"/>
      <c r="S227" s="1101"/>
      <c r="T227" s="1101"/>
      <c r="U227" s="1101"/>
      <c r="V227" s="1101"/>
      <c r="W227" s="1101"/>
      <c r="X227" s="1101"/>
      <c r="Y227" s="1101"/>
      <c r="Z227" s="1101"/>
      <c r="AA227" s="1101"/>
      <c r="AB227" s="1101"/>
      <c r="AC227" s="1101"/>
      <c r="AD227" s="1101"/>
      <c r="AE227" s="1101"/>
      <c r="AF227" s="1101"/>
      <c r="AG227" s="1101"/>
      <c r="AH227" s="1101"/>
      <c r="AI227" s="1101"/>
      <c r="AJ227" s="1101"/>
      <c r="AK227" s="1101"/>
      <c r="AL227" s="1101"/>
      <c r="AM227" s="1101"/>
      <c r="AN227" s="1101"/>
      <c r="AO227" s="1101"/>
      <c r="AP227" s="1101"/>
      <c r="AQ227" s="1101"/>
      <c r="AR227" s="1101"/>
      <c r="AS227" s="1101"/>
      <c r="AT227" s="1101"/>
      <c r="AU227" s="1101"/>
      <c r="AV227" s="1101"/>
      <c r="AW227" s="1101"/>
      <c r="AX227" s="1101"/>
      <c r="AY227" s="1101"/>
      <c r="AZ227" s="1101"/>
      <c r="BA227" s="1101"/>
      <c r="BB227" s="1101"/>
      <c r="BC227" s="1101"/>
      <c r="BD227" s="1101"/>
      <c r="BE227" s="1101"/>
      <c r="BF227" s="1101"/>
      <c r="BG227" s="1101"/>
      <c r="BH227" s="1101"/>
      <c r="BI227" s="1101"/>
      <c r="BJ227" s="1101"/>
      <c r="BK227" s="1101"/>
      <c r="BL227" s="1101"/>
      <c r="BM227" s="1101"/>
      <c r="BN227" s="1101"/>
      <c r="BO227" s="1101"/>
      <c r="BP227" s="1101"/>
      <c r="BQ227" s="1101"/>
      <c r="BR227" s="1101"/>
      <c r="BS227" s="1101"/>
      <c r="BT227" s="1101"/>
      <c r="BU227" s="1101"/>
      <c r="BV227" s="1101"/>
      <c r="BW227" s="1101"/>
      <c r="BX227" s="1101"/>
      <c r="BY227" s="1101"/>
      <c r="BZ227" s="1101"/>
      <c r="CA227" s="1101"/>
      <c r="CB227" s="1101"/>
      <c r="CC227" s="1101"/>
      <c r="CD227" s="1101"/>
      <c r="CE227" s="1101"/>
      <c r="CF227" s="1101"/>
      <c r="CH227" s="1015"/>
      <c r="CI227" s="1015"/>
      <c r="CJ227" s="1015"/>
      <c r="CK227" s="1015"/>
      <c r="CL227" s="1015"/>
      <c r="CM227" s="1015"/>
      <c r="CN227" s="1015"/>
      <c r="CO227" s="1015"/>
      <c r="CP227" s="1015"/>
      <c r="CQ227" s="1015"/>
      <c r="CR227" s="1015"/>
      <c r="CS227" s="1015"/>
      <c r="CT227" s="1015"/>
      <c r="CU227" s="1015"/>
      <c r="CV227" s="1015"/>
      <c r="CW227" s="1015"/>
      <c r="CX227" s="1015"/>
      <c r="CY227" s="1015"/>
      <c r="CZ227" s="1015"/>
      <c r="DA227" s="1015"/>
      <c r="DB227" s="1015"/>
      <c r="DC227" s="1015"/>
      <c r="DD227" s="1015"/>
      <c r="DE227" s="1015"/>
      <c r="DF227" s="1015"/>
      <c r="DG227" s="1015"/>
      <c r="DH227" s="1015"/>
      <c r="DI227" s="1015"/>
      <c r="DJ227" s="1015"/>
      <c r="DK227" s="1015"/>
      <c r="DL227" s="1015"/>
      <c r="DM227" s="1015"/>
      <c r="DN227" s="1015"/>
      <c r="DO227" s="1015"/>
      <c r="DP227" s="1015"/>
      <c r="DQ227" s="1101"/>
      <c r="DR227" s="1101"/>
      <c r="DS227" s="1101"/>
      <c r="DT227" s="1101"/>
      <c r="DU227" s="1101"/>
      <c r="DV227" s="1101"/>
      <c r="DW227" s="1101"/>
      <c r="DX227" s="1101"/>
      <c r="DY227" s="1101"/>
      <c r="DZ227" s="1101"/>
      <c r="EA227" s="1101"/>
      <c r="EB227" s="1101"/>
      <c r="EC227" s="1101"/>
      <c r="ED227" s="1101"/>
      <c r="EE227" s="1101"/>
      <c r="EF227" s="1101"/>
      <c r="EG227" s="1101"/>
      <c r="EH227" s="1101"/>
      <c r="EI227" s="1101"/>
      <c r="EJ227" s="1101"/>
      <c r="EK227" s="1101"/>
      <c r="EL227" s="1101"/>
      <c r="EM227" s="1101"/>
      <c r="EN227" s="1101"/>
      <c r="EO227" s="1101"/>
      <c r="EP227" s="1101"/>
      <c r="EQ227" s="1101"/>
      <c r="ER227" s="1101"/>
      <c r="ES227" s="1101"/>
      <c r="ET227" s="1101"/>
      <c r="EU227" s="1101"/>
      <c r="EV227" s="1101"/>
      <c r="EW227" s="1101"/>
      <c r="EX227" s="1101"/>
      <c r="EY227" s="1101"/>
      <c r="EZ227" s="1101"/>
      <c r="FA227" s="1101"/>
    </row>
    <row r="228" spans="2:193">
      <c r="B228" s="1101"/>
      <c r="C228" s="1101"/>
      <c r="D228" s="1101"/>
      <c r="E228" s="1101"/>
      <c r="F228" s="1101"/>
      <c r="G228" s="1101"/>
      <c r="H228" s="1101"/>
      <c r="I228" s="1101"/>
      <c r="J228" s="1101"/>
      <c r="K228" s="1101"/>
      <c r="L228" s="1101"/>
      <c r="M228" s="1101"/>
      <c r="N228" s="1101"/>
      <c r="O228" s="1101"/>
      <c r="P228" s="1101"/>
      <c r="Q228" s="1101"/>
      <c r="R228" s="1101"/>
      <c r="S228" s="1101"/>
      <c r="T228" s="1101"/>
      <c r="U228" s="1101"/>
      <c r="V228" s="1101"/>
      <c r="W228" s="1101"/>
      <c r="X228" s="1101"/>
      <c r="Y228" s="1101"/>
      <c r="Z228" s="1101"/>
      <c r="AA228" s="1101"/>
      <c r="AB228" s="1101"/>
      <c r="AC228" s="1101"/>
      <c r="AD228" s="1101"/>
      <c r="AE228" s="1101"/>
      <c r="AF228" s="1101"/>
      <c r="AG228" s="1101"/>
      <c r="AH228" s="1101"/>
      <c r="AI228" s="1101"/>
      <c r="AJ228" s="1101"/>
      <c r="AK228" s="1101"/>
      <c r="AL228" s="1101"/>
      <c r="AM228" s="1101"/>
      <c r="AN228" s="1101"/>
      <c r="AO228" s="1101"/>
      <c r="AP228" s="1101"/>
      <c r="AQ228" s="1101"/>
      <c r="AR228" s="1101"/>
      <c r="AS228" s="1101"/>
      <c r="AT228" s="1101"/>
      <c r="AU228" s="1101"/>
      <c r="AV228" s="1101"/>
      <c r="AW228" s="1101"/>
      <c r="AX228" s="1101"/>
      <c r="AY228" s="1101"/>
      <c r="AZ228" s="1101"/>
      <c r="BA228" s="1101"/>
      <c r="BB228" s="1101"/>
      <c r="BC228" s="1101"/>
      <c r="BD228" s="1101"/>
      <c r="BE228" s="1101"/>
      <c r="BF228" s="1101"/>
      <c r="BG228" s="1101"/>
      <c r="BH228" s="1101"/>
      <c r="BI228" s="1101"/>
      <c r="BJ228" s="1101"/>
      <c r="BK228" s="1101"/>
      <c r="BL228" s="1101"/>
      <c r="BM228" s="1101"/>
      <c r="BN228" s="1101"/>
      <c r="BO228" s="1101"/>
      <c r="BP228" s="1101"/>
      <c r="BQ228" s="1101"/>
      <c r="BR228" s="1101"/>
      <c r="BS228" s="1101"/>
      <c r="BT228" s="1101"/>
      <c r="BU228" s="1101"/>
      <c r="BV228" s="1101"/>
      <c r="BW228" s="1101"/>
      <c r="BX228" s="1101"/>
      <c r="BY228" s="1101"/>
      <c r="BZ228" s="1101"/>
      <c r="CA228" s="1101"/>
      <c r="CB228" s="1101"/>
      <c r="CC228" s="1101"/>
      <c r="CD228" s="1101"/>
      <c r="CE228" s="1101"/>
      <c r="CF228" s="1101"/>
      <c r="CH228" s="1015"/>
      <c r="CI228" s="1015"/>
      <c r="CJ228" s="1015"/>
      <c r="CK228" s="1015"/>
      <c r="CL228" s="1015"/>
      <c r="CM228" s="1015"/>
      <c r="CN228" s="1015"/>
      <c r="CO228" s="1015"/>
      <c r="CP228" s="1015"/>
      <c r="CQ228" s="1015"/>
      <c r="CR228" s="1015"/>
      <c r="CS228" s="1015"/>
      <c r="CT228" s="1015"/>
      <c r="CU228" s="1015"/>
      <c r="CV228" s="1015"/>
      <c r="CW228" s="1015"/>
      <c r="CX228" s="1015"/>
      <c r="CY228" s="1015"/>
      <c r="CZ228" s="1015"/>
      <c r="DA228" s="1015"/>
      <c r="DB228" s="1015"/>
      <c r="DC228" s="1015"/>
      <c r="DD228" s="1015"/>
      <c r="DE228" s="1015"/>
      <c r="DF228" s="1015"/>
      <c r="DG228" s="1015"/>
      <c r="DH228" s="1015"/>
      <c r="DI228" s="1015"/>
      <c r="DJ228" s="1015"/>
      <c r="DK228" s="1015"/>
      <c r="DL228" s="1015"/>
      <c r="DM228" s="1015"/>
      <c r="DN228" s="1015"/>
      <c r="DO228" s="1015"/>
      <c r="DP228" s="1015"/>
      <c r="DQ228" s="1101"/>
      <c r="DR228" s="1101"/>
      <c r="DS228" s="1101"/>
      <c r="DT228" s="1101"/>
      <c r="DU228" s="1101"/>
      <c r="DV228" s="1101"/>
      <c r="DW228" s="1101"/>
      <c r="DX228" s="1101"/>
      <c r="DY228" s="1101"/>
      <c r="DZ228" s="1101"/>
      <c r="EA228" s="1101"/>
      <c r="EB228" s="1101"/>
      <c r="EC228" s="1101"/>
      <c r="ED228" s="1101"/>
      <c r="EE228" s="1101"/>
      <c r="EF228" s="1101"/>
      <c r="EG228" s="1101"/>
      <c r="EH228" s="1101"/>
      <c r="EI228" s="1101"/>
      <c r="EJ228" s="1101"/>
      <c r="EK228" s="1101"/>
      <c r="EL228" s="1101"/>
      <c r="EM228" s="1101"/>
      <c r="EN228" s="1101"/>
      <c r="EO228" s="1101"/>
      <c r="EP228" s="1101"/>
      <c r="EQ228" s="1101"/>
      <c r="ER228" s="1101"/>
      <c r="ES228" s="1101"/>
      <c r="ET228" s="1101"/>
      <c r="EU228" s="1101"/>
      <c r="EV228" s="1101"/>
      <c r="EW228" s="1101"/>
      <c r="EX228" s="1101"/>
      <c r="EY228" s="1101"/>
      <c r="EZ228" s="1101"/>
      <c r="FA228" s="1101"/>
    </row>
    <row r="229" spans="2:193">
      <c r="B229" s="1101"/>
      <c r="C229" s="1101"/>
      <c r="D229" s="1101"/>
      <c r="E229" s="1101"/>
      <c r="F229" s="1101"/>
      <c r="G229" s="1101"/>
      <c r="H229" s="1101"/>
      <c r="I229" s="1101"/>
      <c r="J229" s="1101"/>
      <c r="K229" s="1101"/>
      <c r="L229" s="1101"/>
      <c r="M229" s="1101"/>
      <c r="N229" s="1101"/>
      <c r="O229" s="1101"/>
      <c r="P229" s="1101"/>
      <c r="Q229" s="1101"/>
      <c r="R229" s="1101"/>
      <c r="S229" s="1101"/>
      <c r="T229" s="1101"/>
      <c r="U229" s="1101"/>
      <c r="V229" s="1101"/>
      <c r="W229" s="1101"/>
      <c r="X229" s="1101"/>
      <c r="Y229" s="1101"/>
      <c r="Z229" s="1101"/>
      <c r="AA229" s="1101"/>
      <c r="AB229" s="1101"/>
      <c r="AC229" s="1101"/>
      <c r="AD229" s="1101"/>
      <c r="AE229" s="1101"/>
      <c r="AF229" s="1101"/>
      <c r="AG229" s="1101"/>
      <c r="AH229" s="1101"/>
      <c r="AI229" s="1101"/>
      <c r="AJ229" s="1101"/>
      <c r="AK229" s="1101"/>
      <c r="AL229" s="1101"/>
      <c r="AM229" s="1101"/>
      <c r="AN229" s="1101"/>
      <c r="AO229" s="1101"/>
      <c r="AP229" s="1101"/>
      <c r="AQ229" s="1101"/>
      <c r="AR229" s="1101"/>
      <c r="AS229" s="1101"/>
      <c r="AT229" s="1101"/>
      <c r="AU229" s="1101"/>
      <c r="AV229" s="1101"/>
      <c r="AW229" s="1101"/>
      <c r="AX229" s="1101"/>
      <c r="AY229" s="1101"/>
      <c r="AZ229" s="1101"/>
      <c r="BA229" s="1101"/>
      <c r="BB229" s="1101"/>
      <c r="BC229" s="1101"/>
      <c r="BD229" s="1101"/>
      <c r="BE229" s="1101"/>
      <c r="BF229" s="1101"/>
      <c r="BG229" s="1101"/>
      <c r="BH229" s="1101"/>
      <c r="BI229" s="1101"/>
      <c r="BJ229" s="1101"/>
      <c r="BK229" s="1101"/>
      <c r="BL229" s="1101"/>
      <c r="BM229" s="1101"/>
      <c r="BN229" s="1101"/>
      <c r="BO229" s="1101"/>
      <c r="BP229" s="1101"/>
      <c r="BQ229" s="1101"/>
      <c r="BR229" s="1101"/>
      <c r="BS229" s="1101"/>
      <c r="BT229" s="1101"/>
      <c r="BU229" s="1101"/>
      <c r="BV229" s="1101"/>
      <c r="BW229" s="1101"/>
      <c r="BX229" s="1101"/>
      <c r="BY229" s="1101"/>
      <c r="BZ229" s="1101"/>
      <c r="CA229" s="1101"/>
      <c r="CB229" s="1101"/>
      <c r="CC229" s="1101"/>
      <c r="CD229" s="1101"/>
      <c r="CE229" s="1101"/>
      <c r="CF229" s="1101"/>
      <c r="CH229" s="1015"/>
      <c r="CI229" s="1015"/>
      <c r="CJ229" s="1015"/>
      <c r="CK229" s="1015"/>
      <c r="CL229" s="1015"/>
      <c r="CM229" s="1015"/>
      <c r="CN229" s="1015"/>
      <c r="CO229" s="1015"/>
      <c r="CP229" s="1015"/>
      <c r="CQ229" s="1015"/>
      <c r="CR229" s="1015"/>
      <c r="CS229" s="1015"/>
      <c r="CT229" s="1015"/>
      <c r="CU229" s="1015"/>
      <c r="CV229" s="1015"/>
      <c r="CW229" s="1015"/>
      <c r="CX229" s="1015"/>
      <c r="CY229" s="1015"/>
      <c r="CZ229" s="1015"/>
      <c r="DA229" s="1015"/>
      <c r="DB229" s="1015"/>
      <c r="DC229" s="1015"/>
      <c r="DD229" s="1015"/>
      <c r="DE229" s="1015"/>
      <c r="DF229" s="1015"/>
      <c r="DG229" s="1015"/>
      <c r="DH229" s="1015"/>
      <c r="DI229" s="1015"/>
      <c r="DJ229" s="1015"/>
      <c r="DK229" s="1015"/>
      <c r="DL229" s="1015"/>
      <c r="DM229" s="1015"/>
      <c r="DN229" s="1015"/>
      <c r="DO229" s="1015"/>
      <c r="DP229" s="1015"/>
      <c r="DQ229" s="1101"/>
      <c r="DR229" s="1101">
        <f>Prop2021DUOSTariffs!DQ107</f>
        <v>365</v>
      </c>
      <c r="DS229" s="1101">
        <f>Prop2021DUOSTariffs!DR107</f>
        <v>365</v>
      </c>
      <c r="DT229" s="1101">
        <f>Prop2021DUOSTariffs!DS107</f>
        <v>365</v>
      </c>
      <c r="DU229" s="1101">
        <f>Prop2021DUOSTariffs!DT107</f>
        <v>365</v>
      </c>
      <c r="DV229" s="1101">
        <f>Prop2021DUOSTariffs!DU107</f>
        <v>365</v>
      </c>
      <c r="DW229" s="1101">
        <f>Prop2021DUOSTariffs!DV107</f>
        <v>365</v>
      </c>
      <c r="DX229" s="1101">
        <f>Prop2021DUOSTariffs!DW107</f>
        <v>365</v>
      </c>
      <c r="DY229" s="1101">
        <f>Prop2021DUOSTariffs!DX107</f>
        <v>12</v>
      </c>
      <c r="DZ229" s="1101">
        <f>Prop2021DUOSTariffs!DY107</f>
        <v>9</v>
      </c>
      <c r="EA229" s="1101">
        <f>Prop2021DUOSTariffs!DZ107</f>
        <v>9</v>
      </c>
      <c r="EB229" s="1101">
        <f>Prop2021DUOSTariffs!EA107</f>
        <v>9</v>
      </c>
      <c r="EC229" s="1101">
        <f>Prop2021DUOSTariffs!EB107</f>
        <v>1</v>
      </c>
      <c r="ED229" s="1101">
        <f>Prop2021DUOSTariffs!EC107</f>
        <v>1</v>
      </c>
      <c r="EE229" s="1101">
        <f>Prop2021DUOSTariffs!ED107</f>
        <v>1</v>
      </c>
      <c r="EF229" s="1101">
        <f>Prop2021DUOSTariffs!EE107</f>
        <v>1</v>
      </c>
      <c r="EG229" s="1101">
        <f>Prop2021DUOSTariffs!EF107</f>
        <v>1</v>
      </c>
      <c r="EH229" s="1101">
        <f>Prop2021DUOSTariffs!EG107</f>
        <v>1</v>
      </c>
      <c r="EI229" s="1101">
        <f>Prop2021DUOSTariffs!EH107</f>
        <v>1</v>
      </c>
      <c r="EJ229" s="1101">
        <f>Prop2021DUOSTariffs!EI107</f>
        <v>1</v>
      </c>
      <c r="EK229" s="1101">
        <f>Prop2021DUOSTariffs!EJ107</f>
        <v>1</v>
      </c>
      <c r="EL229" s="1101">
        <f>Prop2021DUOSTariffs!EK107</f>
        <v>1</v>
      </c>
      <c r="EM229" s="1101">
        <f>Prop2021DUOSTariffs!EL107</f>
        <v>1</v>
      </c>
      <c r="EN229" s="1101">
        <f>Prop2021DUOSTariffs!EM107</f>
        <v>1</v>
      </c>
      <c r="EO229" s="1101">
        <f>Prop2021DUOSTariffs!EN107</f>
        <v>1</v>
      </c>
      <c r="EP229" s="1101">
        <f>Prop2021DUOSTariffs!EO107</f>
        <v>1</v>
      </c>
      <c r="EQ229" s="1101">
        <f>Prop2021DUOSTariffs!EP107</f>
        <v>1</v>
      </c>
      <c r="ER229" s="1101">
        <f>Prop2021DUOSTariffs!EQ107</f>
        <v>1</v>
      </c>
      <c r="ES229" s="1101">
        <f>Prop2021DUOSTariffs!ER107</f>
        <v>1</v>
      </c>
      <c r="ET229" s="1101">
        <f>Prop2021DUOSTariffs!ES107</f>
        <v>1</v>
      </c>
      <c r="EU229" s="1101">
        <f>Prop2021DUOSTariffs!ET107</f>
        <v>1</v>
      </c>
      <c r="EV229" s="1101">
        <f>Prop2021DUOSTariffs!EU107</f>
        <v>1</v>
      </c>
      <c r="EW229" s="1101">
        <f>Prop2021DUOSTariffs!EV107</f>
        <v>1</v>
      </c>
      <c r="EX229" s="1101">
        <f>Prop2021DUOSTariffs!EW107</f>
        <v>1</v>
      </c>
      <c r="EY229" s="1101">
        <f>Prop2021DUOSTariffs!EX107</f>
        <v>1</v>
      </c>
      <c r="EZ229" s="1101">
        <f>Prop2021DUOSTariffs!EY107</f>
        <v>1</v>
      </c>
      <c r="FA229" s="1101"/>
      <c r="FC229" s="1101">
        <f>DR229</f>
        <v>365</v>
      </c>
      <c r="FD229" s="1101">
        <f t="shared" ref="FD229:GK229" si="825">DS229</f>
        <v>365</v>
      </c>
      <c r="FE229" s="1101">
        <f t="shared" si="825"/>
        <v>365</v>
      </c>
      <c r="FF229" s="1101">
        <f t="shared" si="825"/>
        <v>365</v>
      </c>
      <c r="FG229" s="1101">
        <f t="shared" si="825"/>
        <v>365</v>
      </c>
      <c r="FH229" s="1101">
        <f t="shared" si="825"/>
        <v>365</v>
      </c>
      <c r="FI229" s="1101">
        <f t="shared" si="825"/>
        <v>365</v>
      </c>
      <c r="FJ229" s="1101">
        <f t="shared" si="825"/>
        <v>12</v>
      </c>
      <c r="FK229" s="1101">
        <f t="shared" si="825"/>
        <v>9</v>
      </c>
      <c r="FL229" s="1101">
        <f t="shared" si="825"/>
        <v>9</v>
      </c>
      <c r="FM229" s="1101">
        <f t="shared" si="825"/>
        <v>9</v>
      </c>
      <c r="FN229" s="1101">
        <f t="shared" si="825"/>
        <v>1</v>
      </c>
      <c r="FO229" s="1101">
        <f t="shared" si="825"/>
        <v>1</v>
      </c>
      <c r="FP229" s="1101">
        <f t="shared" si="825"/>
        <v>1</v>
      </c>
      <c r="FQ229" s="1101">
        <f t="shared" si="825"/>
        <v>1</v>
      </c>
      <c r="FR229" s="1101">
        <f t="shared" si="825"/>
        <v>1</v>
      </c>
      <c r="FS229" s="1101">
        <f t="shared" si="825"/>
        <v>1</v>
      </c>
      <c r="FT229" s="1101">
        <f t="shared" si="825"/>
        <v>1</v>
      </c>
      <c r="FU229" s="1101">
        <f t="shared" si="825"/>
        <v>1</v>
      </c>
      <c r="FV229" s="1101">
        <f t="shared" si="825"/>
        <v>1</v>
      </c>
      <c r="FW229" s="1101">
        <f t="shared" si="825"/>
        <v>1</v>
      </c>
      <c r="FX229" s="1101">
        <f t="shared" si="825"/>
        <v>1</v>
      </c>
      <c r="FY229" s="1101">
        <f t="shared" si="825"/>
        <v>1</v>
      </c>
      <c r="FZ229" s="1101">
        <f t="shared" si="825"/>
        <v>1</v>
      </c>
      <c r="GA229" s="1101">
        <f t="shared" si="825"/>
        <v>1</v>
      </c>
      <c r="GB229" s="1101">
        <f t="shared" si="825"/>
        <v>1</v>
      </c>
      <c r="GC229" s="1101">
        <f t="shared" si="825"/>
        <v>1</v>
      </c>
      <c r="GD229" s="1101">
        <f t="shared" si="825"/>
        <v>1</v>
      </c>
      <c r="GE229" s="1101">
        <f t="shared" si="825"/>
        <v>1</v>
      </c>
      <c r="GF229" s="1101">
        <f t="shared" si="825"/>
        <v>1</v>
      </c>
      <c r="GG229" s="1101">
        <f t="shared" si="825"/>
        <v>1</v>
      </c>
      <c r="GH229" s="1101">
        <f t="shared" si="825"/>
        <v>1</v>
      </c>
      <c r="GI229" s="1101">
        <f t="shared" si="825"/>
        <v>1</v>
      </c>
      <c r="GJ229" s="1101">
        <f t="shared" si="825"/>
        <v>1</v>
      </c>
      <c r="GK229" s="1101">
        <f t="shared" si="825"/>
        <v>1</v>
      </c>
    </row>
    <row r="230" spans="2:193">
      <c r="B230" s="1101"/>
      <c r="C230" s="1101"/>
      <c r="D230" s="1101"/>
      <c r="E230" s="1101"/>
      <c r="F230" s="1101"/>
      <c r="G230" s="1101"/>
      <c r="H230" s="1101"/>
      <c r="I230" s="1101"/>
      <c r="J230" s="1101"/>
      <c r="K230" s="1101"/>
      <c r="L230" s="1101"/>
      <c r="M230" s="1101"/>
      <c r="N230" s="1101"/>
      <c r="O230" s="1101"/>
      <c r="P230" s="1101"/>
      <c r="Q230" s="1101"/>
      <c r="R230" s="1101"/>
      <c r="S230" s="1101"/>
      <c r="T230" s="1101"/>
      <c r="U230" s="1101"/>
      <c r="V230" s="1101"/>
      <c r="W230" s="1101"/>
      <c r="X230" s="1101"/>
      <c r="Y230" s="1101"/>
      <c r="Z230" s="1101"/>
      <c r="AA230" s="1101"/>
      <c r="AB230" s="1101"/>
      <c r="AC230" s="1101"/>
      <c r="AD230" s="1101"/>
      <c r="AE230" s="1101"/>
      <c r="AF230" s="1101"/>
      <c r="AG230" s="1101"/>
      <c r="AH230" s="1101"/>
      <c r="AI230" s="1101"/>
      <c r="AJ230" s="1101"/>
      <c r="AK230" s="1101"/>
      <c r="AL230" s="1101"/>
      <c r="AM230" s="1101"/>
      <c r="AN230" s="1101"/>
      <c r="AO230" s="1101"/>
      <c r="AP230" s="1101"/>
      <c r="AQ230" s="1101"/>
      <c r="AR230" s="1101"/>
      <c r="AS230" s="1101"/>
      <c r="AT230" s="1101"/>
      <c r="AU230" s="1101"/>
      <c r="AV230" s="1101"/>
      <c r="AW230" s="1101"/>
      <c r="AX230" s="1101"/>
      <c r="AY230" s="1101"/>
      <c r="AZ230" s="1101"/>
      <c r="BA230" s="1101"/>
      <c r="BB230" s="1101"/>
      <c r="BC230" s="1101"/>
      <c r="BD230" s="1101"/>
      <c r="BE230" s="1101"/>
      <c r="BF230" s="1101"/>
      <c r="BG230" s="1101"/>
      <c r="BH230" s="1101"/>
      <c r="BI230" s="1101"/>
      <c r="BJ230" s="1101"/>
      <c r="BK230" s="1101"/>
      <c r="BL230" s="1101"/>
      <c r="BM230" s="1101"/>
      <c r="BN230" s="1101"/>
      <c r="BO230" s="1101"/>
      <c r="BP230" s="1101"/>
      <c r="BQ230" s="1101"/>
      <c r="BR230" s="1101"/>
      <c r="BS230" s="1101"/>
      <c r="BT230" s="1101"/>
      <c r="BU230" s="1101"/>
      <c r="BV230" s="1101"/>
      <c r="BW230" s="1101"/>
      <c r="BX230" s="1101"/>
      <c r="BY230" s="1101"/>
      <c r="BZ230" s="1101"/>
      <c r="CA230" s="1101"/>
      <c r="CB230" s="1101"/>
      <c r="CC230" s="1101"/>
      <c r="CD230" s="1101"/>
      <c r="CE230" s="1101"/>
      <c r="CF230" s="1101"/>
      <c r="CH230" s="1015"/>
      <c r="CI230" s="1015"/>
      <c r="CJ230" s="1015"/>
      <c r="CK230" s="1015"/>
      <c r="CL230" s="1015"/>
      <c r="CM230" s="1015"/>
      <c r="CN230" s="1015"/>
      <c r="CO230" s="1015"/>
      <c r="CP230" s="1015"/>
      <c r="CQ230" s="1015"/>
      <c r="CR230" s="1015"/>
      <c r="CS230" s="1015"/>
      <c r="CT230" s="1015"/>
      <c r="CU230" s="1015"/>
      <c r="CV230" s="1015"/>
      <c r="CW230" s="1015"/>
      <c r="CX230" s="1015"/>
      <c r="CY230" s="1015"/>
      <c r="CZ230" s="1015"/>
      <c r="DA230" s="1015"/>
      <c r="DB230" s="1015"/>
      <c r="DC230" s="1015"/>
      <c r="DD230" s="1015"/>
      <c r="DE230" s="1015"/>
      <c r="DF230" s="1015"/>
      <c r="DG230" s="1015"/>
      <c r="DH230" s="1015"/>
      <c r="DI230" s="1015"/>
      <c r="DJ230" s="1015"/>
      <c r="DK230" s="1015"/>
      <c r="DL230" s="1015"/>
      <c r="DM230" s="1015"/>
      <c r="DN230" s="1015"/>
      <c r="DO230" s="1015"/>
      <c r="DP230" s="1015"/>
      <c r="DQ230" s="1101"/>
      <c r="DR230" s="1101"/>
      <c r="DS230" s="1101"/>
      <c r="DT230" s="1101"/>
      <c r="DU230" s="1101"/>
      <c r="DV230" s="1101"/>
      <c r="DW230" s="1101"/>
      <c r="DX230" s="1101"/>
      <c r="DY230" s="1101"/>
      <c r="DZ230" s="1101"/>
      <c r="EA230" s="1101"/>
      <c r="EB230" s="1101"/>
      <c r="EC230" s="1101"/>
      <c r="ED230" s="1101"/>
      <c r="EE230" s="1101"/>
      <c r="EF230" s="1101"/>
      <c r="EG230" s="1101"/>
      <c r="EH230" s="1101"/>
      <c r="EI230" s="1101"/>
      <c r="EJ230" s="1101"/>
      <c r="EK230" s="1101"/>
      <c r="EL230" s="1101"/>
      <c r="EM230" s="1101"/>
      <c r="EN230" s="1101"/>
      <c r="EO230" s="1101"/>
      <c r="EP230" s="1101"/>
      <c r="EQ230" s="1101"/>
      <c r="ER230" s="1101"/>
      <c r="ES230" s="1101"/>
      <c r="ET230" s="1101"/>
      <c r="EU230" s="1101"/>
      <c r="EV230" s="1101"/>
      <c r="EW230" s="1101"/>
      <c r="EX230" s="1101"/>
      <c r="EY230" s="1101"/>
      <c r="EZ230" s="1101"/>
      <c r="FA230" s="1101"/>
    </row>
    <row r="231" spans="2:193">
      <c r="B231" s="1101"/>
      <c r="C231" s="1101"/>
      <c r="D231" s="1101"/>
      <c r="E231" s="1101"/>
      <c r="F231" s="1101"/>
      <c r="G231" s="1101"/>
      <c r="H231" s="1101"/>
      <c r="I231" s="1101"/>
      <c r="J231" s="1101"/>
      <c r="K231" s="1101"/>
      <c r="L231" s="1101"/>
      <c r="M231" s="1101"/>
      <c r="N231" s="1101"/>
      <c r="O231" s="1101"/>
      <c r="P231" s="1101"/>
      <c r="Q231" s="1101"/>
      <c r="R231" s="1101"/>
      <c r="S231" s="1101"/>
      <c r="T231" s="1101"/>
      <c r="U231" s="1101"/>
      <c r="V231" s="1101"/>
      <c r="W231" s="1101"/>
      <c r="X231" s="1101"/>
      <c r="Y231" s="1101"/>
      <c r="Z231" s="1101"/>
      <c r="AA231" s="1101"/>
      <c r="AB231" s="1101"/>
      <c r="AC231" s="1101"/>
      <c r="AD231" s="1101"/>
      <c r="AE231" s="1101"/>
      <c r="AF231" s="1101"/>
      <c r="AG231" s="1101"/>
      <c r="AH231" s="1101"/>
      <c r="AI231" s="1101"/>
      <c r="AJ231" s="1101"/>
      <c r="AK231" s="1101"/>
      <c r="AL231" s="1101"/>
      <c r="AM231" s="1101"/>
      <c r="AN231" s="1101"/>
      <c r="AO231" s="1101"/>
      <c r="AP231" s="1101"/>
      <c r="AQ231" s="1101"/>
      <c r="AR231" s="1101"/>
      <c r="AS231" s="1101"/>
      <c r="AT231" s="1101"/>
      <c r="AU231" s="1101"/>
      <c r="AV231" s="1101"/>
      <c r="AW231" s="1101"/>
      <c r="AX231" s="1101"/>
      <c r="AY231" s="1101"/>
      <c r="AZ231" s="1101"/>
      <c r="BA231" s="1101"/>
      <c r="BB231" s="1101"/>
      <c r="BC231" s="1101"/>
      <c r="BD231" s="1101"/>
      <c r="BE231" s="1101"/>
      <c r="BF231" s="1101"/>
      <c r="BG231" s="1101"/>
      <c r="BH231" s="1101"/>
      <c r="BI231" s="1101"/>
      <c r="BJ231" s="1101"/>
      <c r="BK231" s="1101"/>
      <c r="BL231" s="1101"/>
      <c r="BM231" s="1101"/>
      <c r="BN231" s="1101"/>
      <c r="BO231" s="1101"/>
      <c r="BP231" s="1101"/>
      <c r="BQ231" s="1101"/>
      <c r="BR231" s="1101"/>
      <c r="BS231" s="1101"/>
      <c r="BT231" s="1101"/>
      <c r="BU231" s="1101"/>
      <c r="BV231" s="1101"/>
      <c r="BW231" s="1101"/>
      <c r="BX231" s="1101"/>
      <c r="BY231" s="1101"/>
      <c r="BZ231" s="1101"/>
      <c r="CA231" s="1101"/>
      <c r="CB231" s="1101"/>
      <c r="CC231" s="1101"/>
      <c r="CD231" s="1101"/>
      <c r="CE231" s="1101"/>
      <c r="CF231" s="1101"/>
      <c r="CH231" s="1015"/>
      <c r="CI231" s="1015"/>
      <c r="CJ231" s="1015"/>
      <c r="CK231" s="1015"/>
      <c r="CL231" s="1015"/>
      <c r="CM231" s="1015"/>
      <c r="CN231" s="1015"/>
      <c r="CO231" s="1015"/>
      <c r="CP231" s="1015"/>
      <c r="CQ231" s="1015"/>
      <c r="CR231" s="1015"/>
      <c r="CS231" s="1015"/>
      <c r="CT231" s="1015"/>
      <c r="CU231" s="1015"/>
      <c r="CV231" s="1015"/>
      <c r="CW231" s="1015"/>
      <c r="CX231" s="1015"/>
      <c r="CY231" s="1015"/>
      <c r="CZ231" s="1015"/>
      <c r="DA231" s="1015"/>
      <c r="DB231" s="1015"/>
      <c r="DC231" s="1015"/>
      <c r="DD231" s="1015"/>
      <c r="DE231" s="1015"/>
      <c r="DF231" s="1015"/>
      <c r="DG231" s="1015"/>
      <c r="DH231" s="1015"/>
      <c r="DI231" s="1015"/>
      <c r="DJ231" s="1015"/>
      <c r="DK231" s="1015"/>
      <c r="DL231" s="1015"/>
      <c r="DM231" s="1015"/>
      <c r="DN231" s="1015"/>
      <c r="DO231" s="1015"/>
      <c r="DP231" s="1015"/>
      <c r="DQ231" s="1101"/>
      <c r="DR231" s="1101"/>
      <c r="DS231" s="1101"/>
      <c r="DT231" s="1101"/>
      <c r="DU231" s="1101"/>
      <c r="DV231" s="1101"/>
      <c r="DW231" s="1101"/>
      <c r="DX231" s="1101"/>
      <c r="DY231" s="1101"/>
      <c r="DZ231" s="1101"/>
      <c r="EA231" s="1101"/>
      <c r="EB231" s="1101"/>
      <c r="EC231" s="1101"/>
      <c r="ED231" s="1101"/>
      <c r="EE231" s="1101"/>
      <c r="EF231" s="1101"/>
      <c r="EG231" s="1101"/>
      <c r="EH231" s="1101"/>
      <c r="EI231" s="1101"/>
      <c r="EJ231" s="1101"/>
      <c r="EK231" s="1101"/>
      <c r="EL231" s="1101"/>
      <c r="EM231" s="1101"/>
      <c r="EN231" s="1101"/>
      <c r="EO231" s="1101"/>
      <c r="EP231" s="1101"/>
      <c r="EQ231" s="1101"/>
      <c r="ER231" s="1101"/>
      <c r="ES231" s="1101"/>
      <c r="ET231" s="1101"/>
      <c r="EU231" s="1101"/>
      <c r="EV231" s="1101"/>
      <c r="EW231" s="1101"/>
      <c r="EX231" s="1101"/>
      <c r="EY231" s="1101"/>
      <c r="EZ231" s="1101"/>
      <c r="FA231" s="1101"/>
    </row>
    <row r="232" spans="2:193" ht="13.8">
      <c r="B232" s="1101"/>
      <c r="C232" s="1101"/>
      <c r="D232" s="1101"/>
      <c r="E232" s="1101"/>
      <c r="F232" s="1101"/>
      <c r="G232" s="1101"/>
      <c r="H232" s="1101"/>
      <c r="I232" s="1101"/>
      <c r="J232" s="1101"/>
      <c r="K232" s="1101"/>
      <c r="L232" s="1232"/>
      <c r="M232" s="1101"/>
      <c r="N232" s="1101"/>
      <c r="O232" s="1101"/>
      <c r="P232" s="1101"/>
      <c r="Q232" s="1101"/>
      <c r="R232" s="1101"/>
      <c r="S232" s="1101"/>
      <c r="T232" s="1101"/>
      <c r="U232" s="1101"/>
      <c r="V232" s="1101"/>
      <c r="W232" s="1101"/>
      <c r="X232" s="1101"/>
      <c r="Y232" s="1101"/>
      <c r="Z232" s="1101"/>
      <c r="AA232" s="1101"/>
      <c r="AB232" s="1101"/>
      <c r="AC232" s="1101"/>
      <c r="AD232" s="1101"/>
      <c r="AE232" s="1101"/>
      <c r="AF232" s="1232"/>
      <c r="AG232" s="1232"/>
      <c r="AH232" s="1232"/>
      <c r="AI232" s="1232"/>
      <c r="AJ232" s="1101"/>
      <c r="AK232" s="1101"/>
      <c r="AL232" s="1101"/>
      <c r="AM232" s="1101"/>
      <c r="AN232" s="1101"/>
      <c r="AO232" s="1101"/>
      <c r="AP232" s="1101"/>
      <c r="AQ232" s="1101"/>
      <c r="AR232" s="1101"/>
      <c r="AS232" s="1101"/>
      <c r="AT232" s="1101"/>
      <c r="AU232" s="1232"/>
      <c r="AV232" s="1101"/>
      <c r="AW232" s="1232"/>
      <c r="AX232" s="1232"/>
      <c r="AY232" s="1232"/>
      <c r="AZ232" s="1232"/>
      <c r="BA232" s="1232"/>
      <c r="BB232" s="1232"/>
      <c r="BC232" s="1232"/>
      <c r="BD232" s="1232"/>
      <c r="BE232" s="1232"/>
      <c r="BF232" s="1232"/>
      <c r="BG232" s="1232"/>
      <c r="BH232" s="1232"/>
      <c r="BI232" s="1232"/>
      <c r="BJ232" s="1232"/>
      <c r="BK232" s="1232"/>
      <c r="BL232" s="1232"/>
      <c r="BM232" s="1232"/>
      <c r="BN232" s="1232"/>
      <c r="BO232" s="1232"/>
      <c r="BP232" s="1232"/>
      <c r="BQ232" s="1232"/>
      <c r="BR232" s="1232"/>
      <c r="BS232" s="1232"/>
      <c r="BT232" s="1232"/>
      <c r="BU232" s="1232"/>
      <c r="BV232" s="1232"/>
      <c r="BW232" s="1232"/>
      <c r="BX232" s="1232"/>
      <c r="BY232" s="1232"/>
      <c r="BZ232" s="1232"/>
      <c r="CA232" s="1232"/>
      <c r="CB232" s="1232"/>
      <c r="CC232" s="1232"/>
      <c r="CD232" s="1232"/>
      <c r="CE232" s="1232"/>
      <c r="CF232" s="1232"/>
      <c r="CH232" s="1015"/>
      <c r="CI232" s="1015"/>
      <c r="CJ232" s="1015"/>
      <c r="CK232" s="1015"/>
      <c r="CL232" s="1015"/>
      <c r="CM232" s="1015"/>
      <c r="CN232" s="1015"/>
      <c r="CO232" s="1015"/>
      <c r="CP232" s="1015"/>
      <c r="CQ232" s="1015"/>
      <c r="CR232" s="1015"/>
      <c r="CS232" s="1015"/>
      <c r="CT232" s="1015"/>
      <c r="CU232" s="1015"/>
      <c r="CV232" s="1015"/>
      <c r="CW232" s="1015"/>
      <c r="CX232" s="1015"/>
      <c r="CY232" s="1015"/>
      <c r="CZ232" s="1015"/>
      <c r="DA232" s="1015"/>
      <c r="DB232" s="1232"/>
      <c r="DC232" s="1015"/>
      <c r="DD232" s="1015"/>
      <c r="DE232" s="1015"/>
      <c r="DF232" s="1015"/>
      <c r="DG232" s="1015"/>
      <c r="DH232" s="1015"/>
      <c r="DI232" s="1015"/>
      <c r="DJ232" s="1015"/>
      <c r="DK232" s="1015"/>
      <c r="DL232" s="1015"/>
      <c r="DM232" s="1015"/>
      <c r="DN232" s="1015"/>
      <c r="DO232" s="1015"/>
      <c r="DP232" s="1015"/>
      <c r="DQ232" s="1101"/>
      <c r="DR232" s="1101"/>
      <c r="DS232" s="1101"/>
      <c r="DT232" s="1101"/>
      <c r="DU232" s="1101"/>
      <c r="DV232" s="1101"/>
      <c r="DW232" s="1101"/>
      <c r="DX232" s="1101"/>
      <c r="DY232" s="1101"/>
      <c r="DZ232" s="1101"/>
      <c r="EA232" s="1101"/>
      <c r="EB232" s="1101"/>
      <c r="EC232" s="1101"/>
      <c r="ED232" s="1101"/>
      <c r="EE232" s="1101"/>
      <c r="EF232" s="1101"/>
      <c r="EG232" s="1101"/>
      <c r="EH232" s="1101"/>
      <c r="EI232" s="1101"/>
      <c r="EJ232" s="1101"/>
      <c r="EK232" s="1101"/>
      <c r="EL232" s="1101"/>
      <c r="EM232" s="1101"/>
      <c r="EN232" s="1101"/>
      <c r="EO232" s="1101"/>
      <c r="EP232" s="1101"/>
      <c r="EQ232" s="1101"/>
      <c r="ER232" s="1101"/>
      <c r="ES232" s="1101"/>
      <c r="ET232" s="1101"/>
      <c r="EU232" s="1101"/>
      <c r="EV232" s="1101"/>
      <c r="EW232" s="1101"/>
      <c r="EX232" s="1101"/>
      <c r="EY232" s="1101"/>
      <c r="EZ232" s="1101"/>
      <c r="FA232" s="1101"/>
    </row>
    <row r="233" spans="2:193" ht="13.8">
      <c r="B233" s="1101"/>
      <c r="C233" s="1101"/>
      <c r="D233" s="1101"/>
      <c r="E233" s="1101"/>
      <c r="F233" s="1101"/>
      <c r="G233" s="1101"/>
      <c r="H233" s="1101"/>
      <c r="I233" s="1101"/>
      <c r="J233" s="1101"/>
      <c r="K233" s="1101"/>
      <c r="L233" s="1232"/>
      <c r="M233" s="1015"/>
      <c r="N233" s="1015"/>
      <c r="O233" s="1015"/>
      <c r="P233" s="1015"/>
      <c r="Q233" s="1015"/>
      <c r="R233" s="1015"/>
      <c r="S233" s="1015"/>
      <c r="T233" s="1015"/>
      <c r="U233" s="1015"/>
      <c r="V233" s="1015"/>
      <c r="W233" s="1015"/>
      <c r="X233" s="1015"/>
      <c r="Y233" s="1015"/>
      <c r="Z233" s="1015"/>
      <c r="AA233" s="1015"/>
      <c r="AB233" s="1015"/>
      <c r="AC233" s="1015"/>
      <c r="AD233" s="1015"/>
      <c r="AE233" s="1015"/>
      <c r="AF233" s="1015"/>
      <c r="AG233" s="1015"/>
      <c r="AH233" s="1015"/>
      <c r="AI233" s="1015"/>
      <c r="AJ233" s="1015"/>
      <c r="AK233" s="1015"/>
      <c r="AL233" s="1015"/>
      <c r="AM233" s="1015"/>
      <c r="AN233" s="1015"/>
      <c r="AO233" s="1015"/>
      <c r="AP233" s="1015"/>
      <c r="AQ233" s="1015"/>
      <c r="AR233" s="1015"/>
      <c r="AS233" s="1015"/>
      <c r="AT233" s="1015"/>
      <c r="AU233" s="1015"/>
      <c r="AV233" s="1101"/>
      <c r="AW233" s="1015"/>
      <c r="AX233" s="1015"/>
      <c r="AY233" s="1015"/>
      <c r="AZ233" s="1015"/>
      <c r="BA233" s="1015"/>
      <c r="BB233" s="1015"/>
      <c r="BC233" s="1015"/>
      <c r="BD233" s="1015"/>
      <c r="BE233" s="1015"/>
      <c r="BF233" s="1015"/>
      <c r="BG233" s="1015"/>
      <c r="BH233" s="1015"/>
      <c r="BI233" s="1015"/>
      <c r="BJ233" s="1015"/>
      <c r="BK233" s="1015"/>
      <c r="BL233" s="1015"/>
      <c r="BM233" s="1015"/>
      <c r="BN233" s="1015"/>
      <c r="BO233" s="1015"/>
      <c r="BP233" s="1015"/>
      <c r="BQ233" s="1015"/>
      <c r="BR233" s="1015"/>
      <c r="BS233" s="1015"/>
      <c r="BT233" s="1015"/>
      <c r="BU233" s="1015"/>
      <c r="BV233" s="1015"/>
      <c r="BW233" s="1015"/>
      <c r="BX233" s="1015"/>
      <c r="BY233" s="1015"/>
      <c r="BZ233" s="1015"/>
      <c r="CA233" s="1015"/>
      <c r="CB233" s="1015"/>
      <c r="CC233" s="1015"/>
      <c r="CD233" s="1015"/>
      <c r="CE233" s="1015"/>
      <c r="CF233" s="1015"/>
      <c r="CH233" s="1015"/>
      <c r="CI233" s="1015"/>
      <c r="CJ233" s="1015"/>
      <c r="CK233" s="1015"/>
      <c r="CL233" s="1015"/>
      <c r="CM233" s="1015"/>
      <c r="CN233" s="1015"/>
      <c r="CO233" s="1015"/>
      <c r="CP233" s="1015"/>
      <c r="CQ233" s="1015"/>
      <c r="CR233" s="1015"/>
      <c r="CS233" s="1015"/>
      <c r="CT233" s="1015"/>
      <c r="CU233" s="1015"/>
      <c r="CV233" s="1015"/>
      <c r="CW233" s="1015"/>
      <c r="CX233" s="1015"/>
      <c r="CY233" s="1015"/>
      <c r="CZ233" s="1015"/>
      <c r="DA233" s="1015"/>
      <c r="DB233" s="1015"/>
      <c r="DC233" s="1015">
        <f t="shared" ref="DC233:DO233" si="826">$L233</f>
        <v>0</v>
      </c>
      <c r="DD233" s="1015">
        <f t="shared" si="826"/>
        <v>0</v>
      </c>
      <c r="DE233" s="1015">
        <f t="shared" si="826"/>
        <v>0</v>
      </c>
      <c r="DF233" s="1015">
        <f t="shared" si="826"/>
        <v>0</v>
      </c>
      <c r="DG233" s="1015">
        <f t="shared" si="826"/>
        <v>0</v>
      </c>
      <c r="DH233" s="1015">
        <f t="shared" si="826"/>
        <v>0</v>
      </c>
      <c r="DI233" s="1015">
        <f t="shared" si="826"/>
        <v>0</v>
      </c>
      <c r="DJ233" s="1015">
        <f t="shared" si="826"/>
        <v>0</v>
      </c>
      <c r="DK233" s="1015">
        <f t="shared" si="826"/>
        <v>0</v>
      </c>
      <c r="DL233" s="1015">
        <f t="shared" si="826"/>
        <v>0</v>
      </c>
      <c r="DM233" s="1015">
        <f t="shared" si="826"/>
        <v>0</v>
      </c>
      <c r="DN233" s="1015">
        <f t="shared" si="826"/>
        <v>0</v>
      </c>
      <c r="DO233" s="1015">
        <f t="shared" si="826"/>
        <v>0</v>
      </c>
      <c r="DP233" s="1015"/>
      <c r="DQ233" s="1101"/>
      <c r="DR233" s="1101"/>
      <c r="DS233" s="1101"/>
      <c r="DT233" s="1101"/>
      <c r="DU233" s="1101"/>
      <c r="DV233" s="1101"/>
      <c r="DW233" s="1101"/>
      <c r="DX233" s="1101"/>
      <c r="DY233" s="1101"/>
      <c r="DZ233" s="1101"/>
      <c r="EA233" s="1101"/>
      <c r="EB233" s="1101"/>
      <c r="EC233" s="1101"/>
      <c r="ED233" s="1101"/>
      <c r="EE233" s="1101"/>
      <c r="EF233" s="1101"/>
      <c r="EG233" s="1101"/>
      <c r="EH233" s="1101"/>
      <c r="EI233" s="1101"/>
      <c r="EJ233" s="1101"/>
      <c r="EK233" s="1101"/>
      <c r="EL233" s="1101"/>
      <c r="EM233" s="1101"/>
      <c r="EN233" s="1101"/>
      <c r="EO233" s="1101"/>
      <c r="EP233" s="1101"/>
      <c r="EQ233" s="1101"/>
      <c r="ER233" s="1101"/>
      <c r="ES233" s="1101"/>
      <c r="ET233" s="1101"/>
      <c r="EU233" s="1101"/>
      <c r="EV233" s="1101"/>
      <c r="EW233" s="1101"/>
      <c r="EX233" s="1101"/>
      <c r="EY233" s="1101"/>
      <c r="EZ233" s="1101"/>
      <c r="FA233" s="1101"/>
    </row>
    <row r="234" spans="2:193">
      <c r="B234" s="1101"/>
      <c r="C234" s="1101"/>
      <c r="D234" s="1101"/>
      <c r="E234" s="1101"/>
      <c r="F234" s="1101"/>
      <c r="G234" s="1101"/>
      <c r="H234" s="1101"/>
      <c r="I234" s="1101"/>
      <c r="J234" s="1101"/>
      <c r="K234" s="1101"/>
      <c r="L234" s="1101"/>
      <c r="M234" s="1015"/>
      <c r="N234" s="1015"/>
      <c r="O234" s="1015"/>
      <c r="P234" s="1015"/>
      <c r="Q234" s="1015"/>
      <c r="R234" s="1101"/>
      <c r="S234" s="1101"/>
      <c r="T234" s="1101"/>
      <c r="U234" s="1101"/>
      <c r="V234" s="1101"/>
      <c r="W234" s="1101"/>
      <c r="X234" s="1101"/>
      <c r="Y234" s="1101"/>
      <c r="Z234" s="1101"/>
      <c r="AA234" s="1101"/>
      <c r="AB234" s="1101"/>
      <c r="AC234" s="1101"/>
      <c r="AD234" s="1101"/>
      <c r="AE234" s="1101"/>
      <c r="AF234" s="1101"/>
      <c r="AG234" s="1101"/>
      <c r="AH234" s="1101"/>
      <c r="AI234" s="1101"/>
      <c r="AJ234" s="1101"/>
      <c r="AK234" s="1101"/>
      <c r="AL234" s="1101"/>
      <c r="AM234" s="1101"/>
      <c r="AN234" s="1101"/>
      <c r="AO234" s="1101"/>
      <c r="AP234" s="1101"/>
      <c r="AQ234" s="1101"/>
      <c r="AR234" s="1101"/>
      <c r="AS234" s="1101"/>
      <c r="AT234" s="1101"/>
      <c r="AU234" s="1101"/>
      <c r="AV234" s="1101"/>
      <c r="AW234" s="1101"/>
      <c r="AX234" s="1101"/>
      <c r="AY234" s="1101"/>
      <c r="AZ234" s="1101"/>
      <c r="BA234" s="1101"/>
      <c r="BB234" s="1101"/>
      <c r="BC234" s="1101"/>
      <c r="BD234" s="1101"/>
      <c r="BE234" s="1101"/>
      <c r="BF234" s="1101"/>
      <c r="BG234" s="1101"/>
      <c r="BH234" s="1101"/>
      <c r="BI234" s="1101"/>
      <c r="BJ234" s="1101"/>
      <c r="BK234" s="1101"/>
      <c r="BL234" s="1101"/>
      <c r="BM234" s="1101"/>
      <c r="BN234" s="1101"/>
      <c r="BO234" s="1101"/>
      <c r="BP234" s="1101"/>
      <c r="BQ234" s="1101"/>
      <c r="BR234" s="1101"/>
      <c r="BS234" s="1101"/>
      <c r="BT234" s="1101"/>
      <c r="BU234" s="1101"/>
      <c r="BV234" s="1101"/>
      <c r="BW234" s="1101"/>
      <c r="BX234" s="1101"/>
      <c r="BY234" s="1101"/>
      <c r="BZ234" s="1101"/>
      <c r="CA234" s="1101"/>
      <c r="CB234" s="1101"/>
      <c r="CC234" s="1101"/>
      <c r="CD234" s="1101"/>
      <c r="CE234" s="1101"/>
      <c r="CF234" s="1101"/>
      <c r="CH234" s="1015"/>
      <c r="CI234" s="1015"/>
      <c r="CJ234" s="1015"/>
      <c r="CK234" s="1015"/>
      <c r="CL234" s="1015"/>
      <c r="CM234" s="1015"/>
      <c r="CN234" s="1015"/>
      <c r="CO234" s="1015"/>
      <c r="CP234" s="1015"/>
      <c r="CQ234" s="1015"/>
      <c r="CR234" s="1015"/>
      <c r="CS234" s="1015"/>
      <c r="CT234" s="1015"/>
      <c r="CU234" s="1015"/>
      <c r="CV234" s="1015"/>
      <c r="CW234" s="1015"/>
      <c r="CX234" s="1015"/>
      <c r="CY234" s="1015"/>
      <c r="CZ234" s="1015"/>
      <c r="DA234" s="1015"/>
      <c r="DB234" s="1015"/>
      <c r="DC234" s="1015"/>
      <c r="DD234" s="1015"/>
      <c r="DE234" s="1015"/>
      <c r="DF234" s="1015"/>
      <c r="DG234" s="1015"/>
      <c r="DH234" s="1015"/>
      <c r="DI234" s="1015"/>
      <c r="DJ234" s="1015"/>
      <c r="DK234" s="1015"/>
      <c r="DL234" s="1015"/>
      <c r="DM234" s="1015"/>
      <c r="DN234" s="1015"/>
      <c r="DO234" s="1015"/>
      <c r="DP234" s="1015"/>
      <c r="DQ234" s="1101"/>
      <c r="DR234" s="1101"/>
      <c r="DS234" s="1101"/>
      <c r="DT234" s="1101"/>
      <c r="DU234" s="1101"/>
      <c r="DV234" s="1101"/>
      <c r="DW234" s="1101"/>
      <c r="DX234" s="1101"/>
      <c r="DY234" s="1101"/>
      <c r="DZ234" s="1101"/>
      <c r="EA234" s="1101"/>
      <c r="EB234" s="1101"/>
      <c r="EC234" s="1101"/>
      <c r="ED234" s="1101"/>
      <c r="EE234" s="1101"/>
      <c r="EF234" s="1101"/>
      <c r="EG234" s="1101"/>
      <c r="EH234" s="1101"/>
      <c r="EI234" s="1101"/>
      <c r="EJ234" s="1101"/>
      <c r="EK234" s="1101"/>
      <c r="EL234" s="1101"/>
      <c r="EM234" s="1101"/>
      <c r="EN234" s="1101"/>
      <c r="EO234" s="1101"/>
      <c r="EP234" s="1101"/>
      <c r="EQ234" s="1101"/>
      <c r="ER234" s="1101"/>
      <c r="ES234" s="1101"/>
      <c r="ET234" s="1101"/>
      <c r="EU234" s="1101"/>
      <c r="EV234" s="1101"/>
      <c r="EW234" s="1101"/>
      <c r="EX234" s="1101"/>
      <c r="EY234" s="1101"/>
      <c r="EZ234" s="1101"/>
      <c r="FA234" s="1101"/>
    </row>
    <row r="235" spans="2:193">
      <c r="B235" s="1101"/>
      <c r="C235" s="1101"/>
      <c r="D235" s="1101"/>
      <c r="E235" s="1101"/>
      <c r="F235" s="1101"/>
      <c r="G235" s="1101"/>
      <c r="H235" s="1101"/>
      <c r="I235" s="1101"/>
      <c r="J235" s="1101"/>
      <c r="K235" s="1101"/>
      <c r="L235" s="1101"/>
      <c r="M235" s="1015"/>
      <c r="N235" s="1015"/>
      <c r="O235" s="1015"/>
      <c r="P235" s="1015"/>
      <c r="Q235" s="1015"/>
      <c r="R235" s="1101"/>
      <c r="S235" s="1101"/>
      <c r="T235" s="1101"/>
      <c r="U235" s="1101"/>
      <c r="V235" s="1101"/>
      <c r="W235" s="1101"/>
      <c r="X235" s="1101"/>
      <c r="Y235" s="1101"/>
      <c r="Z235" s="1101"/>
      <c r="AA235" s="1101"/>
      <c r="AB235" s="1101"/>
      <c r="AC235" s="1101"/>
      <c r="AD235" s="1101"/>
      <c r="AE235" s="1101"/>
      <c r="AF235" s="1101"/>
      <c r="AG235" s="1101"/>
      <c r="AH235" s="1101"/>
      <c r="AI235" s="1101"/>
      <c r="AJ235" s="1101"/>
      <c r="AK235" s="1101"/>
      <c r="AL235" s="1101"/>
      <c r="AM235" s="1101"/>
      <c r="AN235" s="1101"/>
      <c r="AO235" s="1101"/>
      <c r="AP235" s="1101"/>
      <c r="AQ235" s="1101"/>
      <c r="AR235" s="1101"/>
      <c r="AS235" s="1101"/>
      <c r="AT235" s="1101"/>
      <c r="AU235" s="1101"/>
      <c r="AV235" s="1101"/>
      <c r="AW235" s="1101"/>
      <c r="AX235" s="1101"/>
      <c r="AY235" s="1101"/>
      <c r="AZ235" s="1101"/>
      <c r="BA235" s="1101"/>
      <c r="BB235" s="1101"/>
      <c r="BC235" s="1101"/>
      <c r="BD235" s="1101"/>
      <c r="BE235" s="1101"/>
      <c r="BF235" s="1101"/>
      <c r="BG235" s="1101"/>
      <c r="BH235" s="1101"/>
      <c r="BI235" s="1101"/>
      <c r="BJ235" s="1101"/>
      <c r="BK235" s="1101"/>
      <c r="BL235" s="1101"/>
      <c r="BM235" s="1101"/>
      <c r="BN235" s="1101"/>
      <c r="BO235" s="1101"/>
      <c r="BP235" s="1101"/>
      <c r="BQ235" s="1101"/>
      <c r="BR235" s="1101"/>
      <c r="BS235" s="1101"/>
      <c r="BT235" s="1101"/>
      <c r="BU235" s="1101"/>
      <c r="BV235" s="1101"/>
      <c r="BW235" s="1101"/>
      <c r="BX235" s="1101"/>
      <c r="BY235" s="1101"/>
      <c r="BZ235" s="1101"/>
      <c r="CA235" s="1101"/>
      <c r="CB235" s="1101"/>
      <c r="CC235" s="1101"/>
      <c r="CD235" s="1101"/>
      <c r="CE235" s="1101"/>
      <c r="CF235" s="1101"/>
      <c r="CH235" s="1015"/>
      <c r="CI235" s="1015"/>
      <c r="CJ235" s="1015"/>
      <c r="CK235" s="1015"/>
      <c r="CL235" s="1015"/>
      <c r="CM235" s="1015"/>
      <c r="CN235" s="1015"/>
      <c r="CO235" s="1015"/>
      <c r="CP235" s="1015"/>
      <c r="CQ235" s="1015"/>
      <c r="CR235" s="1015"/>
      <c r="CS235" s="1015"/>
      <c r="CT235" s="1015"/>
      <c r="CU235" s="1015"/>
      <c r="CV235" s="1015"/>
      <c r="CW235" s="1015"/>
      <c r="CX235" s="1015"/>
      <c r="CY235" s="1015"/>
      <c r="CZ235" s="1015"/>
      <c r="DA235" s="1015"/>
      <c r="DB235" s="1015"/>
      <c r="DC235" s="1015"/>
      <c r="DD235" s="1015"/>
      <c r="DE235" s="1015"/>
      <c r="DF235" s="1015"/>
      <c r="DG235" s="1015"/>
      <c r="DH235" s="1015"/>
      <c r="DI235" s="1015"/>
      <c r="DJ235" s="1015"/>
      <c r="DK235" s="1015"/>
      <c r="DL235" s="1015"/>
      <c r="DM235" s="1015"/>
      <c r="DN235" s="1015"/>
      <c r="DO235" s="1015"/>
      <c r="DP235" s="1015"/>
      <c r="DQ235" s="1101"/>
      <c r="DR235" s="1101"/>
      <c r="DS235" s="1101"/>
      <c r="DT235" s="1101"/>
      <c r="DU235" s="1101"/>
      <c r="DV235" s="1101"/>
      <c r="DW235" s="1101"/>
      <c r="DX235" s="1101"/>
      <c r="DY235" s="1101"/>
      <c r="DZ235" s="1101"/>
      <c r="EA235" s="1101"/>
      <c r="EB235" s="1101"/>
      <c r="EC235" s="1101"/>
      <c r="ED235" s="1101"/>
      <c r="EE235" s="1101"/>
      <c r="EF235" s="1101"/>
      <c r="EG235" s="1101"/>
      <c r="EH235" s="1101"/>
      <c r="EI235" s="1101"/>
      <c r="EJ235" s="1101"/>
      <c r="EK235" s="1101"/>
      <c r="EL235" s="1101"/>
      <c r="EM235" s="1101"/>
      <c r="EN235" s="1101"/>
      <c r="EO235" s="1101"/>
      <c r="EP235" s="1101"/>
      <c r="EQ235" s="1101"/>
      <c r="ER235" s="1101"/>
      <c r="ES235" s="1101"/>
      <c r="ET235" s="1101"/>
      <c r="EU235" s="1101"/>
      <c r="EV235" s="1101"/>
      <c r="EW235" s="1101"/>
      <c r="EX235" s="1101"/>
      <c r="EY235" s="1101"/>
      <c r="EZ235" s="1101"/>
      <c r="FA235" s="1101"/>
    </row>
    <row r="236" spans="2:193">
      <c r="B236" s="1101"/>
      <c r="C236" s="1101"/>
      <c r="D236" s="1101"/>
      <c r="E236" s="1101"/>
      <c r="F236" s="1101"/>
      <c r="G236" s="1101"/>
      <c r="H236" s="1101"/>
      <c r="I236" s="1101"/>
      <c r="J236" s="1101"/>
      <c r="K236" s="1101"/>
      <c r="L236" s="1101"/>
      <c r="M236" s="1015"/>
      <c r="N236" s="1015"/>
      <c r="O236" s="1015"/>
      <c r="P236" s="1015"/>
      <c r="Q236" s="1015"/>
      <c r="R236" s="1101"/>
      <c r="S236" s="1101"/>
      <c r="T236" s="1101"/>
      <c r="U236" s="1101"/>
      <c r="V236" s="1101"/>
      <c r="W236" s="1101"/>
      <c r="X236" s="1101"/>
      <c r="Y236" s="1101"/>
      <c r="Z236" s="1101"/>
      <c r="AA236" s="1101"/>
      <c r="AB236" s="1101"/>
      <c r="AC236" s="1101"/>
      <c r="AD236" s="1101"/>
      <c r="AE236" s="1101"/>
      <c r="AF236" s="1101"/>
      <c r="AG236" s="1101"/>
      <c r="AH236" s="1101"/>
      <c r="AI236" s="1101"/>
      <c r="AJ236" s="1101"/>
      <c r="AK236" s="1101"/>
      <c r="AL236" s="1101"/>
      <c r="AM236" s="1101"/>
      <c r="AN236" s="1101"/>
      <c r="AO236" s="1101"/>
      <c r="AP236" s="1101"/>
      <c r="AQ236" s="1101"/>
      <c r="AR236" s="1101"/>
      <c r="AS236" s="1101"/>
      <c r="AT236" s="1101"/>
      <c r="AU236" s="1101"/>
      <c r="AV236" s="1101"/>
      <c r="AW236" s="1101"/>
      <c r="AX236" s="1101"/>
      <c r="AY236" s="1101"/>
      <c r="AZ236" s="1101"/>
      <c r="BA236" s="1101"/>
      <c r="BB236" s="1101"/>
      <c r="BC236" s="1101"/>
      <c r="BD236" s="1101"/>
      <c r="BE236" s="1101"/>
      <c r="BF236" s="1101"/>
      <c r="BG236" s="1101"/>
      <c r="BH236" s="1101"/>
      <c r="BI236" s="1101"/>
      <c r="BJ236" s="1101"/>
      <c r="BK236" s="1101"/>
      <c r="BL236" s="1101"/>
      <c r="BM236" s="1101"/>
      <c r="BN236" s="1101"/>
      <c r="BO236" s="1101"/>
      <c r="BP236" s="1101"/>
      <c r="BQ236" s="1101"/>
      <c r="BR236" s="1101"/>
      <c r="BS236" s="1101"/>
      <c r="BT236" s="1101"/>
      <c r="BU236" s="1101"/>
      <c r="BV236" s="1101"/>
      <c r="BW236" s="1101"/>
      <c r="BX236" s="1101"/>
      <c r="BY236" s="1101"/>
      <c r="BZ236" s="1101"/>
      <c r="CA236" s="1101"/>
      <c r="CB236" s="1101"/>
      <c r="CC236" s="1101"/>
      <c r="CD236" s="1101"/>
      <c r="CE236" s="1101"/>
      <c r="CF236" s="1101"/>
      <c r="CH236" s="1015"/>
      <c r="CI236" s="1015"/>
      <c r="CJ236" s="1015"/>
      <c r="CK236" s="1015"/>
      <c r="CL236" s="1015"/>
      <c r="CM236" s="1015"/>
      <c r="CN236" s="1015"/>
      <c r="CO236" s="1015"/>
      <c r="CP236" s="1015"/>
      <c r="CQ236" s="1015"/>
      <c r="CR236" s="1015"/>
      <c r="CS236" s="1015"/>
      <c r="CT236" s="1015"/>
      <c r="CU236" s="1015"/>
      <c r="CV236" s="1015"/>
      <c r="CW236" s="1015"/>
      <c r="CX236" s="1015"/>
      <c r="CY236" s="1015"/>
      <c r="CZ236" s="1015"/>
      <c r="DA236" s="1015"/>
      <c r="DB236" s="1015"/>
      <c r="DC236" s="1015"/>
      <c r="DD236" s="1015"/>
      <c r="DE236" s="1015"/>
      <c r="DF236" s="1015"/>
      <c r="DG236" s="1015"/>
      <c r="DH236" s="1015"/>
      <c r="DI236" s="1015"/>
      <c r="DJ236" s="1015"/>
      <c r="DK236" s="1015"/>
      <c r="DL236" s="1015"/>
      <c r="DM236" s="1015"/>
      <c r="DN236" s="1015"/>
      <c r="DO236" s="1015"/>
      <c r="DP236" s="1015"/>
      <c r="DQ236" s="1101"/>
      <c r="DR236" s="1101"/>
      <c r="DS236" s="1101"/>
      <c r="DT236" s="1101"/>
      <c r="DU236" s="1101"/>
      <c r="DV236" s="1101"/>
      <c r="DW236" s="1101"/>
      <c r="DX236" s="1101"/>
      <c r="DY236" s="1101"/>
      <c r="DZ236" s="1101"/>
      <c r="EA236" s="1101"/>
      <c r="EB236" s="1101"/>
      <c r="EC236" s="1101"/>
      <c r="ED236" s="1101"/>
      <c r="EE236" s="1101"/>
      <c r="EF236" s="1101"/>
      <c r="EG236" s="1101"/>
      <c r="EH236" s="1101"/>
      <c r="EI236" s="1101"/>
      <c r="EJ236" s="1101"/>
      <c r="EK236" s="1101"/>
      <c r="EL236" s="1101"/>
      <c r="EM236" s="1101"/>
      <c r="EN236" s="1101"/>
      <c r="EO236" s="1101"/>
      <c r="EP236" s="1101"/>
      <c r="EQ236" s="1101"/>
      <c r="ER236" s="1101"/>
      <c r="ES236" s="1101"/>
      <c r="ET236" s="1101"/>
      <c r="EU236" s="1101"/>
      <c r="EV236" s="1101"/>
      <c r="EW236" s="1101"/>
      <c r="EX236" s="1101"/>
      <c r="EY236" s="1101"/>
      <c r="EZ236" s="1101"/>
      <c r="FA236" s="1101"/>
    </row>
    <row r="237" spans="2:193">
      <c r="B237" s="1101"/>
      <c r="C237" s="1101"/>
      <c r="D237" s="1101"/>
      <c r="E237" s="1101"/>
      <c r="F237" s="1101"/>
      <c r="G237" s="1101"/>
      <c r="H237" s="1101"/>
      <c r="I237" s="1101"/>
      <c r="J237" s="1101"/>
      <c r="K237" s="1101"/>
      <c r="L237" s="1101"/>
      <c r="M237" s="1235"/>
      <c r="N237" s="1235"/>
      <c r="O237" s="1235"/>
      <c r="P237" s="1235"/>
      <c r="Q237" s="1235"/>
      <c r="R237" s="1101"/>
      <c r="S237" s="1101"/>
      <c r="T237" s="1101"/>
      <c r="U237" s="1101"/>
      <c r="V237" s="1101"/>
      <c r="W237" s="1101"/>
      <c r="X237" s="1101"/>
      <c r="Y237" s="1101"/>
      <c r="Z237" s="1101"/>
      <c r="AA237" s="1101"/>
      <c r="AB237" s="1101"/>
      <c r="AC237" s="1101"/>
      <c r="AD237" s="1101"/>
      <c r="AE237" s="1101"/>
      <c r="AF237" s="1101"/>
      <c r="AG237" s="1101"/>
      <c r="AH237" s="1101"/>
      <c r="AI237" s="1101"/>
      <c r="AJ237" s="1101"/>
      <c r="AK237" s="1101"/>
      <c r="AL237" s="1101"/>
      <c r="AM237" s="1101"/>
      <c r="AN237" s="1101"/>
      <c r="AO237" s="1101"/>
      <c r="AP237" s="1101"/>
      <c r="AQ237" s="1101"/>
      <c r="AR237" s="1101"/>
      <c r="AS237" s="1101"/>
      <c r="AT237" s="1101"/>
      <c r="AU237" s="1101"/>
      <c r="AV237" s="1101"/>
      <c r="AW237" s="1101"/>
      <c r="AX237" s="1101"/>
      <c r="AY237" s="1101"/>
      <c r="AZ237" s="1101"/>
      <c r="BA237" s="1101"/>
      <c r="BB237" s="1101"/>
      <c r="BC237" s="1101"/>
      <c r="BD237" s="1101"/>
      <c r="BE237" s="1101"/>
      <c r="BF237" s="1101"/>
      <c r="BG237" s="1101"/>
      <c r="BH237" s="1101"/>
      <c r="BI237" s="1101"/>
      <c r="BJ237" s="1101"/>
      <c r="BK237" s="1101"/>
      <c r="BL237" s="1101"/>
      <c r="BM237" s="1101"/>
      <c r="BN237" s="1101"/>
      <c r="BO237" s="1101"/>
      <c r="BP237" s="1101"/>
      <c r="BQ237" s="1101"/>
      <c r="BR237" s="1101"/>
      <c r="BS237" s="1101"/>
      <c r="BT237" s="1101"/>
      <c r="BU237" s="1101"/>
      <c r="BV237" s="1101"/>
      <c r="BW237" s="1101"/>
      <c r="BX237" s="1101"/>
      <c r="BY237" s="1101"/>
      <c r="BZ237" s="1101"/>
      <c r="CA237" s="1101"/>
      <c r="CB237" s="1101"/>
      <c r="CC237" s="1101"/>
      <c r="CD237" s="1101"/>
      <c r="CE237" s="1101"/>
      <c r="CF237" s="1101"/>
      <c r="CH237" s="1015"/>
      <c r="CI237" s="1235"/>
      <c r="CJ237" s="1235"/>
      <c r="CK237" s="1235"/>
      <c r="CL237" s="1235"/>
      <c r="CM237" s="1235"/>
      <c r="CN237" s="1015"/>
      <c r="CO237" s="1015"/>
      <c r="CP237" s="1015"/>
      <c r="CQ237" s="1015"/>
      <c r="CR237" s="1015"/>
      <c r="CS237" s="1015"/>
      <c r="CT237" s="1015"/>
      <c r="CU237" s="1015"/>
      <c r="CV237" s="1015"/>
      <c r="CW237" s="1015"/>
      <c r="CX237" s="1015"/>
      <c r="CY237" s="1015"/>
      <c r="CZ237" s="1015"/>
      <c r="DA237" s="1015"/>
      <c r="DB237" s="1015"/>
      <c r="DC237" s="1015"/>
      <c r="DD237" s="1015"/>
      <c r="DE237" s="1015"/>
      <c r="DF237" s="1015"/>
      <c r="DG237" s="1015"/>
      <c r="DH237" s="1015"/>
      <c r="DI237" s="1015"/>
      <c r="DJ237" s="1015"/>
      <c r="DK237" s="1015"/>
      <c r="DL237" s="1015"/>
      <c r="DM237" s="1015"/>
      <c r="DN237" s="1015"/>
      <c r="DO237" s="1015"/>
      <c r="DP237" s="1015"/>
      <c r="DQ237" s="1101"/>
      <c r="DR237" s="1101"/>
      <c r="DS237" s="1101"/>
      <c r="DT237" s="1101"/>
      <c r="DU237" s="1101"/>
      <c r="DV237" s="1101"/>
      <c r="DW237" s="1101"/>
      <c r="DX237" s="1101"/>
      <c r="DY237" s="1101"/>
      <c r="DZ237" s="1101"/>
      <c r="EA237" s="1101"/>
      <c r="EB237" s="1101"/>
      <c r="EC237" s="1101"/>
      <c r="ED237" s="1101"/>
      <c r="EE237" s="1101"/>
      <c r="EF237" s="1101"/>
      <c r="EG237" s="1101"/>
      <c r="EH237" s="1101"/>
      <c r="EI237" s="1101"/>
      <c r="EJ237" s="1101"/>
      <c r="EK237" s="1101"/>
      <c r="EL237" s="1101"/>
      <c r="EM237" s="1101"/>
      <c r="EN237" s="1101"/>
      <c r="EO237" s="1101"/>
      <c r="EP237" s="1101"/>
      <c r="EQ237" s="1101"/>
      <c r="ER237" s="1101"/>
      <c r="ES237" s="1101"/>
      <c r="ET237" s="1101"/>
      <c r="EU237" s="1101"/>
      <c r="EV237" s="1101"/>
      <c r="EW237" s="1101"/>
      <c r="EX237" s="1101"/>
      <c r="EY237" s="1101"/>
      <c r="EZ237" s="1101"/>
      <c r="FA237" s="1101"/>
    </row>
    <row r="238" spans="2:193">
      <c r="B238" s="1101"/>
      <c r="C238" s="1101"/>
      <c r="D238" s="1101"/>
      <c r="E238" s="1101"/>
      <c r="F238" s="1101"/>
      <c r="G238" s="1101"/>
      <c r="H238" s="1101"/>
      <c r="I238" s="1101"/>
      <c r="J238" s="1101"/>
      <c r="K238" s="1101"/>
      <c r="L238" s="1101"/>
      <c r="M238" s="1101"/>
      <c r="N238" s="1101"/>
      <c r="O238" s="1101"/>
      <c r="P238" s="1101"/>
      <c r="Q238" s="1101"/>
      <c r="R238" s="1101"/>
      <c r="S238" s="1101"/>
      <c r="T238" s="1101"/>
      <c r="U238" s="1101"/>
      <c r="V238" s="1101"/>
      <c r="W238" s="1101"/>
      <c r="X238" s="1101"/>
      <c r="Y238" s="1101"/>
      <c r="Z238" s="1101"/>
      <c r="AA238" s="1101"/>
      <c r="AB238" s="1101"/>
      <c r="AC238" s="1101"/>
      <c r="AD238" s="1101"/>
      <c r="AE238" s="1101"/>
      <c r="AF238" s="1101"/>
      <c r="AG238" s="1101"/>
      <c r="AH238" s="1101"/>
      <c r="AI238" s="1101"/>
      <c r="AJ238" s="1101"/>
      <c r="AK238" s="1101"/>
      <c r="AL238" s="1101"/>
      <c r="AM238" s="1101"/>
      <c r="AN238" s="1101"/>
      <c r="AO238" s="1101"/>
      <c r="AP238" s="1101"/>
      <c r="AQ238" s="1101"/>
      <c r="AR238" s="1101"/>
      <c r="AS238" s="1101"/>
      <c r="AT238" s="1101"/>
      <c r="AU238" s="1101"/>
      <c r="AV238" s="1101"/>
      <c r="AW238" s="1101"/>
      <c r="AX238" s="1101"/>
      <c r="AY238" s="1101"/>
      <c r="AZ238" s="1101"/>
      <c r="BA238" s="1101"/>
      <c r="BB238" s="1101"/>
      <c r="BC238" s="1101"/>
      <c r="BD238" s="1101"/>
      <c r="BE238" s="1101"/>
      <c r="BF238" s="1101"/>
      <c r="BG238" s="1101"/>
      <c r="BH238" s="1101"/>
      <c r="BI238" s="1101"/>
      <c r="BJ238" s="1101"/>
      <c r="BK238" s="1101"/>
      <c r="BL238" s="1101"/>
      <c r="BM238" s="1101"/>
      <c r="BN238" s="1101"/>
      <c r="BO238" s="1101"/>
      <c r="BP238" s="1101"/>
      <c r="BQ238" s="1101"/>
      <c r="BR238" s="1101"/>
      <c r="BS238" s="1101"/>
      <c r="BT238" s="1101"/>
      <c r="BU238" s="1101"/>
      <c r="BV238" s="1101"/>
      <c r="BW238" s="1101"/>
      <c r="BX238" s="1101"/>
      <c r="BY238" s="1101"/>
      <c r="BZ238" s="1101"/>
      <c r="CA238" s="1101"/>
      <c r="CB238" s="1101"/>
      <c r="CC238" s="1101"/>
      <c r="CD238" s="1101"/>
      <c r="CE238" s="1101"/>
      <c r="CF238" s="1101"/>
      <c r="CH238" s="1015"/>
      <c r="CI238" s="1015"/>
      <c r="CJ238" s="1015"/>
      <c r="CK238" s="1015"/>
      <c r="CL238" s="1015"/>
      <c r="CM238" s="1015"/>
      <c r="CN238" s="1015"/>
      <c r="CO238" s="1015"/>
      <c r="CP238" s="1015"/>
      <c r="CQ238" s="1015"/>
      <c r="CR238" s="1015"/>
      <c r="CS238" s="1015"/>
      <c r="CT238" s="1015"/>
      <c r="CU238" s="1015"/>
      <c r="CV238" s="1015"/>
      <c r="CW238" s="1015"/>
      <c r="CX238" s="1015"/>
      <c r="CY238" s="1015"/>
      <c r="CZ238" s="1015"/>
      <c r="DA238" s="1015"/>
      <c r="DB238" s="1015"/>
      <c r="DC238" s="1015"/>
      <c r="DD238" s="1015"/>
      <c r="DE238" s="1015"/>
      <c r="DF238" s="1015"/>
      <c r="DG238" s="1015"/>
      <c r="DH238" s="1015"/>
      <c r="DI238" s="1015"/>
      <c r="DJ238" s="1015"/>
      <c r="DK238" s="1015"/>
      <c r="DL238" s="1015"/>
      <c r="DM238" s="1015"/>
      <c r="DN238" s="1015"/>
      <c r="DO238" s="1015"/>
      <c r="DP238" s="1015"/>
      <c r="DQ238" s="1101"/>
      <c r="DR238" s="1101"/>
      <c r="DS238" s="1101"/>
      <c r="DT238" s="1101"/>
      <c r="DU238" s="1101"/>
      <c r="DV238" s="1101"/>
      <c r="DW238" s="1101"/>
      <c r="DX238" s="1101"/>
      <c r="DY238" s="1101"/>
      <c r="DZ238" s="1101"/>
      <c r="EA238" s="1101"/>
      <c r="EB238" s="1101"/>
      <c r="EC238" s="1101"/>
      <c r="ED238" s="1101"/>
      <c r="EE238" s="1101"/>
      <c r="EF238" s="1101"/>
      <c r="EG238" s="1101"/>
      <c r="EH238" s="1101"/>
      <c r="EI238" s="1101"/>
      <c r="EJ238" s="1101"/>
      <c r="EK238" s="1101"/>
      <c r="EL238" s="1101"/>
      <c r="EM238" s="1101"/>
      <c r="EN238" s="1101"/>
      <c r="EO238" s="1101"/>
      <c r="EP238" s="1101"/>
      <c r="EQ238" s="1101"/>
      <c r="ER238" s="1101"/>
      <c r="ES238" s="1101"/>
      <c r="ET238" s="1101"/>
      <c r="EU238" s="1101"/>
      <c r="EV238" s="1101"/>
      <c r="EW238" s="1101"/>
      <c r="EX238" s="1101"/>
      <c r="EY238" s="1101"/>
      <c r="EZ238" s="1101"/>
      <c r="FA238" s="1101"/>
    </row>
    <row r="239" spans="2:193">
      <c r="B239" s="1101"/>
      <c r="C239" s="1101"/>
      <c r="D239" s="1101"/>
      <c r="E239" s="1101"/>
      <c r="F239" s="1101"/>
      <c r="G239" s="1101"/>
      <c r="H239" s="1101"/>
      <c r="I239" s="1101"/>
      <c r="J239" s="1101"/>
      <c r="K239" s="1101"/>
      <c r="L239" s="1101"/>
      <c r="M239" s="1101"/>
      <c r="N239" s="1101"/>
      <c r="O239" s="1101"/>
      <c r="P239" s="1101"/>
      <c r="Q239" s="1101"/>
      <c r="R239" s="1101"/>
      <c r="S239" s="1101"/>
      <c r="T239" s="1101"/>
      <c r="U239" s="1101"/>
      <c r="V239" s="1101"/>
      <c r="W239" s="1101"/>
      <c r="X239" s="1101"/>
      <c r="Y239" s="1101"/>
      <c r="Z239" s="1101"/>
      <c r="AA239" s="1101"/>
      <c r="AB239" s="1101"/>
      <c r="AC239" s="1101"/>
      <c r="AD239" s="1101"/>
      <c r="AE239" s="1101"/>
      <c r="AF239" s="1101"/>
      <c r="AG239" s="1101"/>
      <c r="AH239" s="1101"/>
      <c r="AI239" s="1101"/>
      <c r="AJ239" s="1101"/>
      <c r="AK239" s="1101"/>
      <c r="AL239" s="1101"/>
      <c r="AM239" s="1101"/>
      <c r="AN239" s="1101"/>
      <c r="AO239" s="1101"/>
      <c r="AP239" s="1101"/>
      <c r="AQ239" s="1101"/>
      <c r="AR239" s="1101"/>
      <c r="AS239" s="1101"/>
      <c r="AT239" s="1101"/>
      <c r="AU239" s="1101"/>
      <c r="AV239" s="1101"/>
      <c r="AW239" s="1101"/>
      <c r="AX239" s="1101"/>
      <c r="AY239" s="1101"/>
      <c r="AZ239" s="1101"/>
      <c r="BA239" s="1101"/>
      <c r="BB239" s="1101"/>
      <c r="BC239" s="1101"/>
      <c r="BD239" s="1101"/>
      <c r="BE239" s="1101"/>
      <c r="BF239" s="1101"/>
      <c r="BG239" s="1101"/>
      <c r="BH239" s="1101"/>
      <c r="BI239" s="1101"/>
      <c r="BJ239" s="1101"/>
      <c r="BK239" s="1101"/>
      <c r="BL239" s="1101"/>
      <c r="BM239" s="1101"/>
      <c r="BN239" s="1101"/>
      <c r="BO239" s="1101"/>
      <c r="BP239" s="1101"/>
      <c r="BQ239" s="1101"/>
      <c r="BR239" s="1101"/>
      <c r="BS239" s="1101"/>
      <c r="BT239" s="1101"/>
      <c r="BU239" s="1101"/>
      <c r="BV239" s="1101"/>
      <c r="BW239" s="1101"/>
      <c r="BX239" s="1101"/>
      <c r="BY239" s="1101"/>
      <c r="BZ239" s="1101"/>
      <c r="CA239" s="1101"/>
      <c r="CB239" s="1101"/>
      <c r="CC239" s="1101"/>
      <c r="CD239" s="1101"/>
      <c r="CE239" s="1101"/>
      <c r="CF239" s="1101"/>
      <c r="CH239" s="1015"/>
      <c r="CI239" s="1015"/>
      <c r="CJ239" s="1015"/>
      <c r="CK239" s="1015"/>
      <c r="CL239" s="1015"/>
      <c r="CM239" s="1015"/>
      <c r="CN239" s="1015"/>
      <c r="CO239" s="1015"/>
      <c r="CP239" s="1015"/>
      <c r="CQ239" s="1015"/>
      <c r="CR239" s="1015"/>
      <c r="CS239" s="1015"/>
      <c r="CT239" s="1015"/>
      <c r="CU239" s="1015"/>
      <c r="CV239" s="1015"/>
      <c r="CW239" s="1015"/>
      <c r="CX239" s="1015"/>
      <c r="CY239" s="1015"/>
      <c r="CZ239" s="1015"/>
      <c r="DA239" s="1015"/>
      <c r="DB239" s="1015"/>
      <c r="DC239" s="1015"/>
      <c r="DD239" s="1015"/>
      <c r="DE239" s="1015"/>
      <c r="DF239" s="1015"/>
      <c r="DG239" s="1015"/>
      <c r="DH239" s="1015"/>
      <c r="DI239" s="1015"/>
      <c r="DJ239" s="1015"/>
      <c r="DK239" s="1015"/>
      <c r="DL239" s="1015"/>
      <c r="DM239" s="1015"/>
      <c r="DN239" s="1015"/>
      <c r="DO239" s="1015"/>
      <c r="DP239" s="1015"/>
      <c r="DQ239" s="1101"/>
      <c r="DR239" s="1101"/>
      <c r="DS239" s="1101"/>
      <c r="DT239" s="1101"/>
      <c r="DU239" s="1101"/>
      <c r="DV239" s="1101"/>
      <c r="DW239" s="1101"/>
      <c r="DX239" s="1101"/>
      <c r="DY239" s="1101"/>
      <c r="DZ239" s="1101"/>
      <c r="EA239" s="1101"/>
      <c r="EB239" s="1101"/>
      <c r="EC239" s="1101"/>
      <c r="ED239" s="1101"/>
      <c r="EE239" s="1101"/>
      <c r="EF239" s="1101"/>
      <c r="EG239" s="1101"/>
      <c r="EH239" s="1101"/>
      <c r="EI239" s="1101"/>
      <c r="EJ239" s="1101"/>
      <c r="EK239" s="1101"/>
      <c r="EL239" s="1101"/>
      <c r="EM239" s="1101"/>
      <c r="EN239" s="1101"/>
      <c r="EO239" s="1101"/>
      <c r="EP239" s="1101"/>
      <c r="EQ239" s="1101"/>
      <c r="ER239" s="1101"/>
      <c r="ES239" s="1101"/>
      <c r="ET239" s="1101"/>
      <c r="EU239" s="1101"/>
      <c r="EV239" s="1101"/>
      <c r="EW239" s="1101"/>
      <c r="EX239" s="1101"/>
      <c r="EY239" s="1101"/>
      <c r="EZ239" s="1101"/>
      <c r="FA239" s="1101"/>
    </row>
    <row r="240" spans="2:193">
      <c r="B240" s="1101"/>
      <c r="C240" s="1101"/>
      <c r="D240" s="1101"/>
      <c r="E240" s="1101"/>
      <c r="F240" s="1101"/>
      <c r="G240" s="1101"/>
      <c r="H240" s="1101"/>
      <c r="I240" s="1101"/>
      <c r="J240" s="1101"/>
      <c r="K240" s="1101"/>
      <c r="L240" s="1101"/>
      <c r="M240" s="1101"/>
      <c r="N240" s="1101"/>
      <c r="O240" s="1101"/>
      <c r="P240" s="1101"/>
      <c r="Q240" s="1101"/>
      <c r="R240" s="1101"/>
      <c r="S240" s="1101"/>
      <c r="T240" s="1101"/>
      <c r="U240" s="1101"/>
      <c r="V240" s="1101"/>
      <c r="W240" s="1101"/>
      <c r="X240" s="1101"/>
      <c r="Y240" s="1101"/>
      <c r="Z240" s="1101"/>
      <c r="AA240" s="1101"/>
      <c r="AB240" s="1101"/>
      <c r="AC240" s="1101"/>
      <c r="AD240" s="1101"/>
      <c r="AE240" s="1101"/>
      <c r="AF240" s="1101"/>
      <c r="AG240" s="1101"/>
      <c r="AH240" s="1101"/>
      <c r="AI240" s="1101"/>
      <c r="AJ240" s="1101"/>
      <c r="AK240" s="1101"/>
      <c r="AL240" s="1101"/>
      <c r="AM240" s="1101"/>
      <c r="AN240" s="1101"/>
      <c r="AO240" s="1101"/>
      <c r="AP240" s="1101"/>
      <c r="AQ240" s="1101"/>
      <c r="AR240" s="1101"/>
      <c r="AS240" s="1101"/>
      <c r="AT240" s="1101"/>
      <c r="AU240" s="1101"/>
      <c r="AV240" s="1101"/>
      <c r="AW240" s="1101"/>
      <c r="AX240" s="1101"/>
      <c r="AY240" s="1101"/>
      <c r="AZ240" s="1101"/>
      <c r="BA240" s="1101"/>
      <c r="BB240" s="1101"/>
      <c r="BC240" s="1101"/>
      <c r="BD240" s="1101"/>
      <c r="BE240" s="1101"/>
      <c r="BF240" s="1101"/>
      <c r="BG240" s="1101"/>
      <c r="BH240" s="1101"/>
      <c r="BI240" s="1101"/>
      <c r="BJ240" s="1101"/>
      <c r="BK240" s="1101"/>
      <c r="BL240" s="1101"/>
      <c r="BM240" s="1101"/>
      <c r="BN240" s="1101"/>
      <c r="BO240" s="1101"/>
      <c r="BP240" s="1101"/>
      <c r="BQ240" s="1101"/>
      <c r="BR240" s="1101"/>
      <c r="BS240" s="1101"/>
      <c r="BT240" s="1101"/>
      <c r="BU240" s="1101"/>
      <c r="BV240" s="1101"/>
      <c r="BW240" s="1101"/>
      <c r="BX240" s="1101"/>
      <c r="BY240" s="1101"/>
      <c r="BZ240" s="1101"/>
      <c r="CA240" s="1101"/>
      <c r="CB240" s="1101"/>
      <c r="CC240" s="1101"/>
      <c r="CD240" s="1101"/>
      <c r="CE240" s="1101"/>
      <c r="CF240" s="1101"/>
      <c r="CH240" s="1015"/>
      <c r="CI240" s="1015"/>
      <c r="CJ240" s="1015"/>
      <c r="CK240" s="1015"/>
      <c r="CL240" s="1015"/>
      <c r="CM240" s="1015"/>
      <c r="CN240" s="1015"/>
      <c r="CO240" s="1015"/>
      <c r="CP240" s="1015"/>
      <c r="CQ240" s="1015"/>
      <c r="CR240" s="1015"/>
      <c r="CS240" s="1015"/>
      <c r="CT240" s="1015"/>
      <c r="CU240" s="1015"/>
      <c r="CV240" s="1015"/>
      <c r="CW240" s="1015"/>
      <c r="CX240" s="1015"/>
      <c r="CY240" s="1015"/>
      <c r="CZ240" s="1015"/>
      <c r="DA240" s="1015"/>
      <c r="DB240" s="1015"/>
      <c r="DC240" s="1015"/>
      <c r="DD240" s="1015"/>
      <c r="DE240" s="1015"/>
      <c r="DF240" s="1015"/>
      <c r="DG240" s="1015"/>
      <c r="DH240" s="1015"/>
      <c r="DI240" s="1015"/>
      <c r="DJ240" s="1015"/>
      <c r="DK240" s="1015"/>
      <c r="DL240" s="1015"/>
      <c r="DM240" s="1015"/>
      <c r="DN240" s="1015"/>
      <c r="DO240" s="1015"/>
      <c r="DP240" s="1015"/>
      <c r="DQ240" s="1101"/>
      <c r="DR240" s="1101"/>
      <c r="DS240" s="1101"/>
      <c r="DT240" s="1101"/>
      <c r="DU240" s="1101"/>
      <c r="DV240" s="1101"/>
      <c r="DW240" s="1101"/>
      <c r="DX240" s="1101"/>
      <c r="DY240" s="1101"/>
      <c r="DZ240" s="1101"/>
      <c r="EA240" s="1101"/>
      <c r="EB240" s="1101"/>
      <c r="EC240" s="1101"/>
      <c r="ED240" s="1101"/>
      <c r="EE240" s="1101"/>
      <c r="EF240" s="1101"/>
      <c r="EG240" s="1101"/>
      <c r="EH240" s="1101"/>
      <c r="EI240" s="1101"/>
      <c r="EJ240" s="1101"/>
      <c r="EK240" s="1101"/>
      <c r="EL240" s="1101"/>
      <c r="EM240" s="1101"/>
      <c r="EN240" s="1101"/>
      <c r="EO240" s="1101"/>
      <c r="EP240" s="1101"/>
      <c r="EQ240" s="1101"/>
      <c r="ER240" s="1101"/>
      <c r="ES240" s="1101"/>
      <c r="ET240" s="1101"/>
      <c r="EU240" s="1101"/>
      <c r="EV240" s="1101"/>
      <c r="EW240" s="1101"/>
      <c r="EX240" s="1101"/>
      <c r="EY240" s="1101"/>
      <c r="EZ240" s="1101"/>
      <c r="FA240" s="1101"/>
    </row>
    <row r="241" spans="2:157">
      <c r="B241" s="1101"/>
      <c r="C241" s="1101"/>
      <c r="D241" s="1101"/>
      <c r="E241" s="1101"/>
      <c r="F241" s="1101"/>
      <c r="G241" s="1101"/>
      <c r="H241" s="1101"/>
      <c r="I241" s="1101"/>
      <c r="J241" s="1101"/>
      <c r="K241" s="1101"/>
      <c r="L241" s="1101"/>
      <c r="M241" s="1101"/>
      <c r="N241" s="1101"/>
      <c r="O241" s="1101"/>
      <c r="P241" s="1101"/>
      <c r="Q241" s="1101"/>
      <c r="R241" s="1101"/>
      <c r="S241" s="1101"/>
      <c r="T241" s="1101"/>
      <c r="U241" s="1101"/>
      <c r="V241" s="1101"/>
      <c r="W241" s="1101"/>
      <c r="X241" s="1101"/>
      <c r="Y241" s="1101"/>
      <c r="Z241" s="1101"/>
      <c r="AA241" s="1101"/>
      <c r="AB241" s="1101"/>
      <c r="AC241" s="1101"/>
      <c r="AD241" s="1101"/>
      <c r="AE241" s="1101"/>
      <c r="AF241" s="1101"/>
      <c r="AG241" s="1101"/>
      <c r="AH241" s="1101"/>
      <c r="AI241" s="1101"/>
      <c r="AJ241" s="1101"/>
      <c r="AK241" s="1101"/>
      <c r="AL241" s="1101"/>
      <c r="AM241" s="1101"/>
      <c r="AN241" s="1101"/>
      <c r="AO241" s="1101"/>
      <c r="AP241" s="1101"/>
      <c r="AQ241" s="1101"/>
      <c r="AR241" s="1101"/>
      <c r="AS241" s="1101"/>
      <c r="AT241" s="1101"/>
      <c r="AU241" s="1101"/>
      <c r="AV241" s="1101"/>
      <c r="AW241" s="1101"/>
      <c r="AX241" s="1101"/>
      <c r="AY241" s="1101"/>
      <c r="AZ241" s="1101"/>
      <c r="BA241" s="1101"/>
      <c r="BB241" s="1101"/>
      <c r="BC241" s="1101"/>
      <c r="BD241" s="1101"/>
      <c r="BE241" s="1101"/>
      <c r="BF241" s="1101"/>
      <c r="BG241" s="1101"/>
      <c r="BH241" s="1101"/>
      <c r="BI241" s="1101"/>
      <c r="BJ241" s="1101"/>
      <c r="BK241" s="1101"/>
      <c r="BL241" s="1101"/>
      <c r="BM241" s="1101"/>
      <c r="BN241" s="1101"/>
      <c r="BO241" s="1101"/>
      <c r="BP241" s="1101"/>
      <c r="BQ241" s="1101"/>
      <c r="BR241" s="1101"/>
      <c r="BS241" s="1101"/>
      <c r="BT241" s="1101"/>
      <c r="BU241" s="1101"/>
      <c r="BV241" s="1101"/>
      <c r="BW241" s="1101"/>
      <c r="BX241" s="1101"/>
      <c r="BY241" s="1101"/>
      <c r="BZ241" s="1101"/>
      <c r="CA241" s="1101"/>
      <c r="CB241" s="1101"/>
      <c r="CC241" s="1101"/>
      <c r="CD241" s="1101"/>
      <c r="CE241" s="1101"/>
      <c r="CF241" s="1101"/>
      <c r="CH241" s="1015"/>
      <c r="CI241" s="1015"/>
      <c r="CJ241" s="1015"/>
      <c r="CK241" s="1015"/>
      <c r="CL241" s="1015"/>
      <c r="CM241" s="1015"/>
      <c r="CN241" s="1015"/>
      <c r="CO241" s="1015"/>
      <c r="CP241" s="1015"/>
      <c r="CQ241" s="1015"/>
      <c r="CR241" s="1015"/>
      <c r="CS241" s="1015"/>
      <c r="CT241" s="1015"/>
      <c r="CU241" s="1015"/>
      <c r="CV241" s="1015"/>
      <c r="CW241" s="1015"/>
      <c r="CX241" s="1015"/>
      <c r="CY241" s="1015"/>
      <c r="CZ241" s="1015"/>
      <c r="DA241" s="1015"/>
      <c r="DB241" s="1015"/>
      <c r="DC241" s="1015"/>
      <c r="DD241" s="1015"/>
      <c r="DE241" s="1015"/>
      <c r="DF241" s="1015"/>
      <c r="DG241" s="1015"/>
      <c r="DH241" s="1015"/>
      <c r="DI241" s="1015"/>
      <c r="DJ241" s="1015"/>
      <c r="DK241" s="1015"/>
      <c r="DL241" s="1015"/>
      <c r="DM241" s="1015"/>
      <c r="DN241" s="1015"/>
      <c r="DO241" s="1015"/>
      <c r="DP241" s="1015"/>
      <c r="DQ241" s="1101"/>
      <c r="DR241" s="1101"/>
      <c r="DS241" s="1101"/>
      <c r="DT241" s="1101"/>
      <c r="DU241" s="1101"/>
      <c r="DV241" s="1101"/>
      <c r="DW241" s="1101"/>
      <c r="DX241" s="1101"/>
      <c r="DY241" s="1101"/>
      <c r="DZ241" s="1101"/>
      <c r="EA241" s="1101"/>
      <c r="EB241" s="1101"/>
      <c r="EC241" s="1101"/>
      <c r="ED241" s="1101"/>
      <c r="EE241" s="1101"/>
      <c r="EF241" s="1101"/>
      <c r="EG241" s="1101"/>
      <c r="EH241" s="1101"/>
      <c r="EI241" s="1101"/>
      <c r="EJ241" s="1101"/>
      <c r="EK241" s="1101"/>
      <c r="EL241" s="1101"/>
      <c r="EM241" s="1101"/>
      <c r="EN241" s="1101"/>
      <c r="EO241" s="1101"/>
      <c r="EP241" s="1101"/>
      <c r="EQ241" s="1101"/>
      <c r="ER241" s="1101"/>
      <c r="ES241" s="1101"/>
      <c r="ET241" s="1101"/>
      <c r="EU241" s="1101"/>
      <c r="EV241" s="1101"/>
      <c r="EW241" s="1101"/>
      <c r="EX241" s="1101"/>
      <c r="EY241" s="1101"/>
      <c r="EZ241" s="1101"/>
      <c r="FA241" s="1101"/>
    </row>
    <row r="242" spans="2:157">
      <c r="B242" s="1101"/>
      <c r="C242" s="1101"/>
      <c r="D242" s="1101"/>
      <c r="E242" s="1101"/>
      <c r="F242" s="1101"/>
      <c r="G242" s="1101"/>
      <c r="H242" s="1101"/>
      <c r="I242" s="1101"/>
      <c r="J242" s="1101"/>
      <c r="K242" s="1101"/>
      <c r="L242" s="1101"/>
      <c r="M242" s="1101"/>
      <c r="N242" s="1101"/>
      <c r="O242" s="1101"/>
      <c r="P242" s="1101"/>
      <c r="Q242" s="1101"/>
      <c r="R242" s="1101"/>
      <c r="S242" s="1101"/>
      <c r="T242" s="1101"/>
      <c r="U242" s="1101"/>
      <c r="V242" s="1101"/>
      <c r="W242" s="1101"/>
      <c r="X242" s="1101"/>
      <c r="Y242" s="1101"/>
      <c r="Z242" s="1101"/>
      <c r="AA242" s="1101"/>
      <c r="AB242" s="1101"/>
      <c r="AC242" s="1101"/>
      <c r="AD242" s="1101"/>
      <c r="AE242" s="1101"/>
      <c r="AF242" s="1101"/>
      <c r="AG242" s="1101"/>
      <c r="AH242" s="1101"/>
      <c r="AI242" s="1101"/>
      <c r="AJ242" s="1101"/>
      <c r="AK242" s="1101"/>
      <c r="AL242" s="1101"/>
      <c r="AM242" s="1101"/>
      <c r="AN242" s="1101"/>
      <c r="AO242" s="1101"/>
      <c r="AP242" s="1101"/>
      <c r="AQ242" s="1101"/>
      <c r="AR242" s="1101"/>
      <c r="AS242" s="1101"/>
      <c r="AT242" s="1101"/>
      <c r="AU242" s="1101"/>
      <c r="AV242" s="1101"/>
      <c r="AW242" s="1101"/>
      <c r="AX242" s="1101"/>
      <c r="AY242" s="1101"/>
      <c r="AZ242" s="1101"/>
      <c r="BA242" s="1101"/>
      <c r="BB242" s="1101"/>
      <c r="BC242" s="1101"/>
      <c r="BD242" s="1101"/>
      <c r="BE242" s="1101"/>
      <c r="BF242" s="1101"/>
      <c r="BG242" s="1101"/>
      <c r="BH242" s="1101"/>
      <c r="BI242" s="1101"/>
      <c r="BJ242" s="1101"/>
      <c r="BK242" s="1101"/>
      <c r="BL242" s="1101"/>
      <c r="BM242" s="1101"/>
      <c r="BN242" s="1101"/>
      <c r="BO242" s="1101"/>
      <c r="BP242" s="1101"/>
      <c r="BQ242" s="1101"/>
      <c r="BR242" s="1101"/>
      <c r="BS242" s="1101"/>
      <c r="BT242" s="1101"/>
      <c r="BU242" s="1101"/>
      <c r="BV242" s="1101"/>
      <c r="BW242" s="1101"/>
      <c r="BX242" s="1101"/>
      <c r="BY242" s="1101"/>
      <c r="BZ242" s="1101"/>
      <c r="CA242" s="1101"/>
      <c r="CB242" s="1101"/>
      <c r="CC242" s="1101"/>
      <c r="CD242" s="1101"/>
      <c r="CE242" s="1101"/>
      <c r="CF242" s="1101"/>
      <c r="CH242" s="1015"/>
      <c r="CI242" s="1015"/>
      <c r="CJ242" s="1015"/>
      <c r="CK242" s="1015"/>
      <c r="CL242" s="1015"/>
      <c r="CM242" s="1015"/>
      <c r="CN242" s="1015"/>
      <c r="CO242" s="1015"/>
      <c r="CP242" s="1015"/>
      <c r="CQ242" s="1015"/>
      <c r="CR242" s="1015"/>
      <c r="CS242" s="1015"/>
      <c r="CT242" s="1015"/>
      <c r="CU242" s="1015"/>
      <c r="CV242" s="1015"/>
      <c r="CW242" s="1015"/>
      <c r="CX242" s="1015"/>
      <c r="CY242" s="1015"/>
      <c r="CZ242" s="1015"/>
      <c r="DA242" s="1015"/>
      <c r="DB242" s="1015"/>
      <c r="DC242" s="1015"/>
      <c r="DD242" s="1015"/>
      <c r="DE242" s="1015"/>
      <c r="DF242" s="1015"/>
      <c r="DG242" s="1015"/>
      <c r="DH242" s="1015"/>
      <c r="DI242" s="1015"/>
      <c r="DJ242" s="1015"/>
      <c r="DK242" s="1015"/>
      <c r="DL242" s="1015"/>
      <c r="DM242" s="1015"/>
      <c r="DN242" s="1015"/>
      <c r="DO242" s="1015"/>
      <c r="DP242" s="1015"/>
      <c r="DQ242" s="1101"/>
      <c r="DR242" s="1101"/>
      <c r="DS242" s="1101"/>
      <c r="DT242" s="1101"/>
      <c r="DU242" s="1101"/>
      <c r="DV242" s="1101"/>
      <c r="DW242" s="1101"/>
      <c r="DX242" s="1101"/>
      <c r="DY242" s="1101"/>
      <c r="DZ242" s="1101"/>
      <c r="EA242" s="1101"/>
      <c r="EB242" s="1101"/>
      <c r="EC242" s="1101"/>
      <c r="ED242" s="1101"/>
      <c r="EE242" s="1101"/>
      <c r="EF242" s="1101"/>
      <c r="EG242" s="1101"/>
      <c r="EH242" s="1101"/>
      <c r="EI242" s="1101"/>
      <c r="EJ242" s="1101"/>
      <c r="EK242" s="1101"/>
      <c r="EL242" s="1101"/>
      <c r="EM242" s="1101"/>
      <c r="EN242" s="1101"/>
      <c r="EO242" s="1101"/>
      <c r="EP242" s="1101"/>
      <c r="EQ242" s="1101"/>
      <c r="ER242" s="1101"/>
      <c r="ES242" s="1101"/>
      <c r="ET242" s="1101"/>
      <c r="EU242" s="1101"/>
      <c r="EV242" s="1101"/>
      <c r="EW242" s="1101"/>
      <c r="EX242" s="1101"/>
      <c r="EY242" s="1101"/>
      <c r="EZ242" s="1101"/>
      <c r="FA242" s="1101"/>
    </row>
    <row r="243" spans="2:157">
      <c r="B243" s="1101"/>
      <c r="C243" s="1101"/>
      <c r="D243" s="1101"/>
      <c r="E243" s="1101"/>
      <c r="F243" s="1101"/>
      <c r="G243" s="1101"/>
      <c r="H243" s="1101"/>
      <c r="I243" s="1101"/>
      <c r="J243" s="1101"/>
      <c r="K243" s="1101"/>
      <c r="L243" s="1101"/>
      <c r="M243" s="1101"/>
      <c r="N243" s="1101"/>
      <c r="O243" s="1101"/>
      <c r="P243" s="1101"/>
      <c r="Q243" s="1101"/>
      <c r="R243" s="1101"/>
      <c r="S243" s="1101"/>
      <c r="T243" s="1101"/>
      <c r="U243" s="1101"/>
      <c r="V243" s="1101"/>
      <c r="W243" s="1101"/>
      <c r="X243" s="1101"/>
      <c r="Y243" s="1101"/>
      <c r="Z243" s="1101"/>
      <c r="AA243" s="1101"/>
      <c r="AB243" s="1101"/>
      <c r="AC243" s="1101"/>
      <c r="AD243" s="1101"/>
      <c r="AE243" s="1101"/>
      <c r="AF243" s="1101"/>
      <c r="AG243" s="1101"/>
      <c r="AH243" s="1101"/>
      <c r="AI243" s="1101"/>
      <c r="AJ243" s="1101"/>
      <c r="AK243" s="1101"/>
      <c r="AL243" s="1101"/>
      <c r="AM243" s="1101"/>
      <c r="AN243" s="1101"/>
      <c r="AO243" s="1101"/>
      <c r="AP243" s="1101"/>
      <c r="AQ243" s="1101"/>
      <c r="AR243" s="1101"/>
      <c r="AS243" s="1101"/>
      <c r="AT243" s="1101"/>
      <c r="AU243" s="1101"/>
      <c r="AV243" s="1101"/>
      <c r="AW243" s="1101"/>
      <c r="AX243" s="1101"/>
      <c r="AY243" s="1101"/>
      <c r="AZ243" s="1101"/>
      <c r="BA243" s="1101"/>
      <c r="BB243" s="1101"/>
      <c r="BC243" s="1101"/>
      <c r="BD243" s="1101"/>
      <c r="BE243" s="1101"/>
      <c r="BF243" s="1101"/>
      <c r="BG243" s="1101"/>
      <c r="BH243" s="1101"/>
      <c r="BI243" s="1101"/>
      <c r="BJ243" s="1101"/>
      <c r="BK243" s="1101"/>
      <c r="BL243" s="1101"/>
      <c r="BM243" s="1101"/>
      <c r="BN243" s="1101"/>
      <c r="BO243" s="1101"/>
      <c r="BP243" s="1101"/>
      <c r="BQ243" s="1101"/>
      <c r="BR243" s="1101"/>
      <c r="BS243" s="1101"/>
      <c r="BT243" s="1101"/>
      <c r="BU243" s="1101"/>
      <c r="BV243" s="1101"/>
      <c r="BW243" s="1101"/>
      <c r="BX243" s="1101"/>
      <c r="BY243" s="1101"/>
      <c r="BZ243" s="1101"/>
      <c r="CA243" s="1101"/>
      <c r="CB243" s="1101"/>
      <c r="CC243" s="1101"/>
      <c r="CD243" s="1101"/>
      <c r="CE243" s="1101"/>
      <c r="CF243" s="1101"/>
      <c r="CH243" s="1015"/>
      <c r="CI243" s="1015"/>
      <c r="CJ243" s="1015"/>
      <c r="CK243" s="1015"/>
      <c r="CL243" s="1015"/>
      <c r="CM243" s="1015"/>
      <c r="CN243" s="1015"/>
      <c r="CO243" s="1015"/>
      <c r="CP243" s="1015"/>
      <c r="CQ243" s="1015"/>
      <c r="CR243" s="1015"/>
      <c r="CS243" s="1015"/>
      <c r="CT243" s="1015"/>
      <c r="CU243" s="1015"/>
      <c r="CV243" s="1015"/>
      <c r="CW243" s="1015"/>
      <c r="CX243" s="1015"/>
      <c r="CY243" s="1015"/>
      <c r="CZ243" s="1015"/>
      <c r="DA243" s="1015"/>
      <c r="DB243" s="1015"/>
      <c r="DC243" s="1015"/>
      <c r="DD243" s="1015"/>
      <c r="DE243" s="1015"/>
      <c r="DF243" s="1015"/>
      <c r="DG243" s="1015"/>
      <c r="DH243" s="1015"/>
      <c r="DI243" s="1015"/>
      <c r="DJ243" s="1015"/>
      <c r="DK243" s="1015"/>
      <c r="DL243" s="1015"/>
      <c r="DM243" s="1015"/>
      <c r="DN243" s="1015"/>
      <c r="DO243" s="1015"/>
      <c r="DP243" s="1015"/>
      <c r="DQ243" s="1101"/>
      <c r="DR243" s="1101"/>
      <c r="DS243" s="1101"/>
      <c r="DT243" s="1101"/>
      <c r="DU243" s="1101"/>
      <c r="DV243" s="1101"/>
      <c r="DW243" s="1101"/>
      <c r="DX243" s="1101"/>
      <c r="DY243" s="1101"/>
      <c r="DZ243" s="1101"/>
      <c r="EA243" s="1101"/>
      <c r="EB243" s="1101"/>
      <c r="EC243" s="1101"/>
      <c r="ED243" s="1101"/>
      <c r="EE243" s="1101"/>
      <c r="EF243" s="1101"/>
      <c r="EG243" s="1101"/>
      <c r="EH243" s="1101"/>
      <c r="EI243" s="1101"/>
      <c r="EJ243" s="1101"/>
      <c r="EK243" s="1101"/>
      <c r="EL243" s="1101"/>
      <c r="EM243" s="1101"/>
      <c r="EN243" s="1101"/>
      <c r="EO243" s="1101"/>
      <c r="EP243" s="1101"/>
      <c r="EQ243" s="1101"/>
      <c r="ER243" s="1101"/>
      <c r="ES243" s="1101"/>
      <c r="ET243" s="1101"/>
      <c r="EU243" s="1101"/>
      <c r="EV243" s="1101"/>
      <c r="EW243" s="1101"/>
      <c r="EX243" s="1101"/>
      <c r="EY243" s="1101"/>
      <c r="EZ243" s="1101"/>
      <c r="FA243" s="1101"/>
    </row>
    <row r="244" spans="2:157">
      <c r="B244" s="1101"/>
      <c r="C244" s="1101"/>
      <c r="D244" s="1101"/>
      <c r="E244" s="1101"/>
      <c r="F244" s="1101"/>
      <c r="G244" s="1101"/>
      <c r="H244" s="1101"/>
      <c r="I244" s="1101"/>
      <c r="J244" s="1101"/>
      <c r="K244" s="1101"/>
      <c r="L244" s="1101"/>
      <c r="M244" s="1101"/>
      <c r="N244" s="1101"/>
      <c r="O244" s="1101"/>
      <c r="P244" s="1101"/>
      <c r="Q244" s="1101"/>
      <c r="R244" s="1101"/>
      <c r="S244" s="1101"/>
      <c r="T244" s="1101"/>
      <c r="U244" s="1101"/>
      <c r="V244" s="1101"/>
      <c r="W244" s="1101"/>
      <c r="X244" s="1101"/>
      <c r="Y244" s="1101"/>
      <c r="Z244" s="1101"/>
      <c r="AA244" s="1101"/>
      <c r="AB244" s="1101"/>
      <c r="AC244" s="1101"/>
      <c r="AD244" s="1101"/>
      <c r="AE244" s="1101"/>
      <c r="AF244" s="1101"/>
      <c r="AG244" s="1101"/>
      <c r="AH244" s="1101"/>
      <c r="AI244" s="1101"/>
      <c r="AJ244" s="1101"/>
      <c r="AK244" s="1101"/>
      <c r="AL244" s="1101"/>
      <c r="AM244" s="1101"/>
      <c r="AN244" s="1101"/>
      <c r="AO244" s="1101"/>
      <c r="AP244" s="1101"/>
      <c r="AQ244" s="1101"/>
      <c r="AR244" s="1101"/>
      <c r="AS244" s="1101"/>
      <c r="AT244" s="1101"/>
      <c r="AU244" s="1101"/>
      <c r="AV244" s="1101"/>
      <c r="AW244" s="1101"/>
      <c r="AX244" s="1101"/>
      <c r="AY244" s="1101"/>
      <c r="AZ244" s="1101"/>
      <c r="BA244" s="1101"/>
      <c r="BB244" s="1101"/>
      <c r="BC244" s="1101"/>
      <c r="BD244" s="1101"/>
      <c r="BE244" s="1101"/>
      <c r="BF244" s="1101"/>
      <c r="BG244" s="1101"/>
      <c r="BH244" s="1101"/>
      <c r="BI244" s="1101"/>
      <c r="BJ244" s="1101"/>
      <c r="BK244" s="1101"/>
      <c r="BL244" s="1101"/>
      <c r="BM244" s="1101"/>
      <c r="BN244" s="1101"/>
      <c r="BO244" s="1101"/>
      <c r="BP244" s="1101"/>
      <c r="BQ244" s="1101"/>
      <c r="BR244" s="1101"/>
      <c r="BS244" s="1101"/>
      <c r="BT244" s="1101"/>
      <c r="BU244" s="1101"/>
      <c r="BV244" s="1101"/>
      <c r="BW244" s="1101"/>
      <c r="BX244" s="1101"/>
      <c r="BY244" s="1101"/>
      <c r="BZ244" s="1101"/>
      <c r="CA244" s="1101"/>
      <c r="CB244" s="1101"/>
      <c r="CC244" s="1101"/>
      <c r="CD244" s="1101"/>
      <c r="CE244" s="1101"/>
      <c r="CF244" s="1101"/>
      <c r="CH244" s="1015"/>
      <c r="CI244" s="1015"/>
      <c r="CJ244" s="1015"/>
      <c r="CK244" s="1015"/>
      <c r="CL244" s="1015"/>
      <c r="CM244" s="1015"/>
      <c r="CN244" s="1015"/>
      <c r="CO244" s="1015"/>
      <c r="CP244" s="1015"/>
      <c r="CQ244" s="1015"/>
      <c r="CR244" s="1015"/>
      <c r="CS244" s="1015"/>
      <c r="CT244" s="1015"/>
      <c r="CU244" s="1015"/>
      <c r="CV244" s="1015"/>
      <c r="CW244" s="1015"/>
      <c r="CX244" s="1015"/>
      <c r="CY244" s="1015"/>
      <c r="CZ244" s="1015"/>
      <c r="DA244" s="1015"/>
      <c r="DB244" s="1015"/>
      <c r="DC244" s="1015"/>
      <c r="DD244" s="1015"/>
      <c r="DE244" s="1015"/>
      <c r="DF244" s="1015"/>
      <c r="DG244" s="1015"/>
      <c r="DH244" s="1015"/>
      <c r="DI244" s="1015"/>
      <c r="DJ244" s="1015"/>
      <c r="DK244" s="1015"/>
      <c r="DL244" s="1015"/>
      <c r="DM244" s="1015"/>
      <c r="DN244" s="1015"/>
      <c r="DO244" s="1015"/>
      <c r="DP244" s="1015"/>
      <c r="DQ244" s="1101"/>
      <c r="DR244" s="1101"/>
      <c r="DS244" s="1101"/>
      <c r="DT244" s="1101"/>
      <c r="DU244" s="1101"/>
      <c r="DV244" s="1101"/>
      <c r="DW244" s="1101"/>
      <c r="DX244" s="1101"/>
      <c r="DY244" s="1101"/>
      <c r="DZ244" s="1101"/>
      <c r="EA244" s="1101"/>
      <c r="EB244" s="1101"/>
      <c r="EC244" s="1101"/>
      <c r="ED244" s="1101"/>
      <c r="EE244" s="1101"/>
      <c r="EF244" s="1101"/>
      <c r="EG244" s="1101"/>
      <c r="EH244" s="1101"/>
      <c r="EI244" s="1101"/>
      <c r="EJ244" s="1101"/>
      <c r="EK244" s="1101"/>
      <c r="EL244" s="1101"/>
      <c r="EM244" s="1101"/>
      <c r="EN244" s="1101"/>
      <c r="EO244" s="1101"/>
      <c r="EP244" s="1101"/>
      <c r="EQ244" s="1101"/>
      <c r="ER244" s="1101"/>
      <c r="ES244" s="1101"/>
      <c r="ET244" s="1101"/>
      <c r="EU244" s="1101"/>
      <c r="EV244" s="1101"/>
      <c r="EW244" s="1101"/>
      <c r="EX244" s="1101"/>
      <c r="EY244" s="1101"/>
      <c r="EZ244" s="1101"/>
      <c r="FA244" s="1101"/>
    </row>
    <row r="245" spans="2:157">
      <c r="B245" s="1101"/>
      <c r="C245" s="1101"/>
      <c r="D245" s="1101"/>
      <c r="E245" s="1101"/>
      <c r="F245" s="1101"/>
      <c r="G245" s="1101"/>
      <c r="H245" s="1101"/>
      <c r="I245" s="1101"/>
      <c r="J245" s="1101"/>
      <c r="K245" s="1101"/>
      <c r="L245" s="1101"/>
      <c r="M245" s="1101"/>
      <c r="N245" s="1101"/>
      <c r="O245" s="1101"/>
      <c r="P245" s="1101"/>
      <c r="Q245" s="1101"/>
      <c r="R245" s="1101"/>
      <c r="S245" s="1101"/>
      <c r="T245" s="1101"/>
      <c r="U245" s="1101"/>
      <c r="V245" s="1101"/>
      <c r="W245" s="1101"/>
      <c r="X245" s="1101"/>
      <c r="Y245" s="1101"/>
      <c r="Z245" s="1101"/>
      <c r="AA245" s="1101"/>
      <c r="AB245" s="1101"/>
      <c r="AC245" s="1101"/>
      <c r="AD245" s="1101"/>
      <c r="AE245" s="1101"/>
      <c r="AF245" s="1101"/>
      <c r="AG245" s="1101"/>
      <c r="AH245" s="1101"/>
      <c r="AI245" s="1101"/>
      <c r="AJ245" s="1101"/>
      <c r="AK245" s="1101"/>
      <c r="AL245" s="1101"/>
      <c r="AM245" s="1101"/>
      <c r="AN245" s="1101"/>
      <c r="AO245" s="1101"/>
      <c r="AP245" s="1101"/>
      <c r="AQ245" s="1101"/>
      <c r="AR245" s="1101"/>
      <c r="AS245" s="1101"/>
      <c r="AT245" s="1101"/>
      <c r="AU245" s="1101"/>
      <c r="AV245" s="1101"/>
      <c r="AW245" s="1101"/>
      <c r="AX245" s="1101"/>
      <c r="AY245" s="1101"/>
      <c r="AZ245" s="1101"/>
      <c r="BA245" s="1101"/>
      <c r="BB245" s="1101"/>
      <c r="BC245" s="1101"/>
      <c r="BD245" s="1101"/>
      <c r="BE245" s="1101"/>
      <c r="BF245" s="1101"/>
      <c r="BG245" s="1101"/>
      <c r="BH245" s="1101"/>
      <c r="BI245" s="1101"/>
      <c r="BJ245" s="1101"/>
      <c r="BK245" s="1101"/>
      <c r="BL245" s="1101"/>
      <c r="BM245" s="1101"/>
      <c r="BN245" s="1101"/>
      <c r="BO245" s="1101"/>
      <c r="BP245" s="1101"/>
      <c r="BQ245" s="1101"/>
      <c r="BR245" s="1101"/>
      <c r="BS245" s="1101"/>
      <c r="BT245" s="1101"/>
      <c r="BU245" s="1101"/>
      <c r="BV245" s="1101"/>
      <c r="BW245" s="1101"/>
      <c r="BX245" s="1101"/>
      <c r="BY245" s="1101"/>
      <c r="BZ245" s="1101"/>
      <c r="CA245" s="1101"/>
      <c r="CB245" s="1101"/>
      <c r="CC245" s="1101"/>
      <c r="CD245" s="1101"/>
      <c r="CE245" s="1101"/>
      <c r="CF245" s="1101"/>
      <c r="CH245" s="1015"/>
      <c r="CI245" s="1015"/>
      <c r="CJ245" s="1015"/>
      <c r="CK245" s="1015"/>
      <c r="CL245" s="1015"/>
      <c r="CM245" s="1015"/>
      <c r="CN245" s="1015"/>
      <c r="CO245" s="1015"/>
      <c r="CP245" s="1015"/>
      <c r="CQ245" s="1015"/>
      <c r="CR245" s="1015"/>
      <c r="CS245" s="1015"/>
      <c r="CT245" s="1015"/>
      <c r="CU245" s="1015"/>
      <c r="CV245" s="1015"/>
      <c r="CW245" s="1015"/>
      <c r="CX245" s="1015"/>
      <c r="CY245" s="1015"/>
      <c r="CZ245" s="1015"/>
      <c r="DA245" s="1015"/>
      <c r="DB245" s="1015"/>
      <c r="DC245" s="1015"/>
      <c r="DD245" s="1015"/>
      <c r="DE245" s="1015"/>
      <c r="DF245" s="1015"/>
      <c r="DG245" s="1015"/>
      <c r="DH245" s="1015"/>
      <c r="DI245" s="1015"/>
      <c r="DJ245" s="1015"/>
      <c r="DK245" s="1015"/>
      <c r="DL245" s="1015"/>
      <c r="DM245" s="1015"/>
      <c r="DN245" s="1015"/>
      <c r="DO245" s="1015"/>
      <c r="DP245" s="1015"/>
      <c r="DQ245" s="1101"/>
      <c r="DR245" s="1101"/>
      <c r="DS245" s="1101"/>
      <c r="DT245" s="1101"/>
      <c r="DU245" s="1101"/>
      <c r="DV245" s="1101"/>
      <c r="DW245" s="1101"/>
      <c r="DX245" s="1101"/>
      <c r="DY245" s="1101"/>
      <c r="DZ245" s="1101"/>
      <c r="EA245" s="1101"/>
      <c r="EB245" s="1101"/>
      <c r="EC245" s="1101"/>
      <c r="ED245" s="1101"/>
      <c r="EE245" s="1101"/>
      <c r="EF245" s="1101"/>
      <c r="EG245" s="1101"/>
      <c r="EH245" s="1101"/>
      <c r="EI245" s="1101"/>
      <c r="EJ245" s="1101"/>
      <c r="EK245" s="1101"/>
      <c r="EL245" s="1101"/>
      <c r="EM245" s="1101"/>
      <c r="EN245" s="1101"/>
      <c r="EO245" s="1101"/>
      <c r="EP245" s="1101"/>
      <c r="EQ245" s="1101"/>
      <c r="ER245" s="1101"/>
      <c r="ES245" s="1101"/>
      <c r="ET245" s="1101"/>
      <c r="EU245" s="1101"/>
      <c r="EV245" s="1101"/>
      <c r="EW245" s="1101"/>
      <c r="EX245" s="1101"/>
      <c r="EY245" s="1101"/>
      <c r="EZ245" s="1101"/>
      <c r="FA245" s="1101"/>
    </row>
    <row r="246" spans="2:157">
      <c r="B246" s="1101"/>
      <c r="C246" s="1101"/>
      <c r="D246" s="1101"/>
      <c r="E246" s="1101"/>
      <c r="F246" s="1101"/>
      <c r="G246" s="1101"/>
      <c r="H246" s="1101"/>
      <c r="I246" s="1101"/>
      <c r="J246" s="1101"/>
      <c r="K246" s="1101"/>
      <c r="L246" s="1101"/>
      <c r="M246" s="1101"/>
      <c r="N246" s="1101"/>
      <c r="O246" s="1101"/>
      <c r="P246" s="1101"/>
      <c r="Q246" s="1101"/>
      <c r="R246" s="1101"/>
      <c r="S246" s="1101"/>
      <c r="T246" s="1101"/>
      <c r="U246" s="1101"/>
      <c r="V246" s="1101"/>
      <c r="W246" s="1101"/>
      <c r="X246" s="1101"/>
      <c r="Y246" s="1101"/>
      <c r="Z246" s="1101"/>
      <c r="AA246" s="1101"/>
      <c r="AB246" s="1101"/>
      <c r="AC246" s="1101"/>
      <c r="AD246" s="1101"/>
      <c r="AE246" s="1101"/>
      <c r="AF246" s="1101"/>
      <c r="AG246" s="1101"/>
      <c r="AH246" s="1101"/>
      <c r="AI246" s="1101"/>
      <c r="AJ246" s="1101"/>
      <c r="AK246" s="1101"/>
      <c r="AL246" s="1101"/>
      <c r="AM246" s="1101"/>
      <c r="AN246" s="1101"/>
      <c r="AO246" s="1101"/>
      <c r="AP246" s="1101"/>
      <c r="AQ246" s="1101"/>
      <c r="AR246" s="1101"/>
      <c r="AS246" s="1101"/>
      <c r="AT246" s="1101"/>
      <c r="AU246" s="1101"/>
      <c r="AV246" s="1101"/>
      <c r="AW246" s="1101"/>
      <c r="AX246" s="1101"/>
      <c r="AY246" s="1101"/>
      <c r="AZ246" s="1101"/>
      <c r="BA246" s="1101"/>
      <c r="BB246" s="1101"/>
      <c r="BC246" s="1101"/>
      <c r="BD246" s="1101"/>
      <c r="BE246" s="1101"/>
      <c r="BF246" s="1101"/>
      <c r="BG246" s="1101"/>
      <c r="BH246" s="1101"/>
      <c r="BI246" s="1101"/>
      <c r="BJ246" s="1101"/>
      <c r="BK246" s="1101"/>
      <c r="BL246" s="1101"/>
      <c r="BM246" s="1101"/>
      <c r="BN246" s="1101"/>
      <c r="BO246" s="1101"/>
      <c r="BP246" s="1101"/>
      <c r="BQ246" s="1101"/>
      <c r="BR246" s="1101"/>
      <c r="BS246" s="1101"/>
      <c r="BT246" s="1101"/>
      <c r="BU246" s="1101"/>
      <c r="BV246" s="1101"/>
      <c r="BW246" s="1101"/>
      <c r="BX246" s="1101"/>
      <c r="BY246" s="1101"/>
      <c r="BZ246" s="1101"/>
      <c r="CA246" s="1101"/>
      <c r="CB246" s="1101"/>
      <c r="CC246" s="1101"/>
      <c r="CD246" s="1101"/>
      <c r="CE246" s="1101"/>
      <c r="CF246" s="1101"/>
      <c r="CH246" s="1015"/>
      <c r="CI246" s="1015"/>
      <c r="CJ246" s="1015"/>
      <c r="CK246" s="1015"/>
      <c r="CL246" s="1015"/>
      <c r="CM246" s="1015"/>
      <c r="CN246" s="1015"/>
      <c r="CO246" s="1015"/>
      <c r="CP246" s="1015"/>
      <c r="CQ246" s="1015"/>
      <c r="CR246" s="1015"/>
      <c r="CS246" s="1015"/>
      <c r="CT246" s="1015"/>
      <c r="CU246" s="1015"/>
      <c r="CV246" s="1015"/>
      <c r="CW246" s="1015"/>
      <c r="CX246" s="1015"/>
      <c r="CY246" s="1015"/>
      <c r="CZ246" s="1015"/>
      <c r="DA246" s="1015"/>
      <c r="DB246" s="1015"/>
      <c r="DC246" s="1015"/>
      <c r="DD246" s="1015"/>
      <c r="DE246" s="1015"/>
      <c r="DF246" s="1015"/>
      <c r="DG246" s="1015"/>
      <c r="DH246" s="1015"/>
      <c r="DI246" s="1015"/>
      <c r="DJ246" s="1015"/>
      <c r="DK246" s="1015"/>
      <c r="DL246" s="1015"/>
      <c r="DM246" s="1015"/>
      <c r="DN246" s="1015"/>
      <c r="DO246" s="1015"/>
      <c r="DP246" s="1015"/>
      <c r="DQ246" s="1101"/>
      <c r="DR246" s="1101"/>
      <c r="DS246" s="1101"/>
      <c r="DT246" s="1101"/>
      <c r="DU246" s="1101"/>
      <c r="DV246" s="1101"/>
      <c r="DW246" s="1101"/>
      <c r="DX246" s="1101"/>
      <c r="DY246" s="1101"/>
      <c r="DZ246" s="1101"/>
      <c r="EA246" s="1101"/>
      <c r="EB246" s="1101"/>
      <c r="EC246" s="1101"/>
      <c r="ED246" s="1101"/>
      <c r="EE246" s="1101"/>
      <c r="EF246" s="1101"/>
      <c r="EG246" s="1101"/>
      <c r="EH246" s="1101"/>
      <c r="EI246" s="1101"/>
      <c r="EJ246" s="1101"/>
      <c r="EK246" s="1101"/>
      <c r="EL246" s="1101"/>
      <c r="EM246" s="1101"/>
      <c r="EN246" s="1101"/>
      <c r="EO246" s="1101"/>
      <c r="EP246" s="1101"/>
      <c r="EQ246" s="1101"/>
      <c r="ER246" s="1101"/>
      <c r="ES246" s="1101"/>
      <c r="ET246" s="1101"/>
      <c r="EU246" s="1101"/>
      <c r="EV246" s="1101"/>
      <c r="EW246" s="1101"/>
      <c r="EX246" s="1101"/>
      <c r="EY246" s="1101"/>
      <c r="EZ246" s="1101"/>
      <c r="FA246" s="1101"/>
    </row>
    <row r="247" spans="2:157">
      <c r="B247" s="1101"/>
      <c r="C247" s="1101"/>
      <c r="D247" s="1101"/>
      <c r="E247" s="1101"/>
      <c r="F247" s="1101"/>
      <c r="G247" s="1101"/>
      <c r="H247" s="1101"/>
      <c r="I247" s="1101"/>
      <c r="J247" s="1101"/>
      <c r="K247" s="1101"/>
      <c r="L247" s="1101"/>
      <c r="M247" s="1101"/>
      <c r="N247" s="1101"/>
      <c r="O247" s="1101"/>
      <c r="P247" s="1101"/>
      <c r="Q247" s="1101"/>
      <c r="R247" s="1101"/>
      <c r="S247" s="1101"/>
      <c r="T247" s="1101"/>
      <c r="U247" s="1101"/>
      <c r="V247" s="1101"/>
      <c r="W247" s="1101"/>
      <c r="X247" s="1101"/>
      <c r="Y247" s="1101"/>
      <c r="Z247" s="1101"/>
      <c r="AA247" s="1101"/>
      <c r="AB247" s="1101"/>
      <c r="AC247" s="1101"/>
      <c r="AD247" s="1101"/>
      <c r="AE247" s="1101"/>
      <c r="AF247" s="1101"/>
      <c r="AG247" s="1101"/>
      <c r="AH247" s="1101"/>
      <c r="AI247" s="1101"/>
      <c r="AJ247" s="1101"/>
      <c r="AK247" s="1101"/>
      <c r="AL247" s="1101"/>
      <c r="AM247" s="1101"/>
      <c r="AN247" s="1101"/>
      <c r="AO247" s="1101"/>
      <c r="AP247" s="1101"/>
      <c r="AQ247" s="1101"/>
      <c r="AR247" s="1101"/>
      <c r="AS247" s="1101"/>
      <c r="AT247" s="1101"/>
      <c r="AU247" s="1101"/>
      <c r="AV247" s="1101"/>
      <c r="AW247" s="1101"/>
      <c r="AX247" s="1101"/>
      <c r="AY247" s="1101"/>
      <c r="AZ247" s="1101"/>
      <c r="BA247" s="1101"/>
      <c r="BB247" s="1101"/>
      <c r="BC247" s="1101"/>
      <c r="BD247" s="1101"/>
      <c r="BE247" s="1101"/>
      <c r="BF247" s="1101"/>
      <c r="BG247" s="1101"/>
      <c r="BH247" s="1101"/>
      <c r="BI247" s="1101"/>
      <c r="BJ247" s="1101"/>
      <c r="BK247" s="1101"/>
      <c r="BL247" s="1101"/>
      <c r="BM247" s="1101"/>
      <c r="BN247" s="1101"/>
      <c r="BO247" s="1101"/>
      <c r="BP247" s="1101"/>
      <c r="BQ247" s="1101"/>
      <c r="BR247" s="1101"/>
      <c r="BS247" s="1101"/>
      <c r="BT247" s="1101"/>
      <c r="BU247" s="1101"/>
      <c r="BV247" s="1101"/>
      <c r="BW247" s="1101"/>
      <c r="BX247" s="1101"/>
      <c r="BY247" s="1101"/>
      <c r="BZ247" s="1101"/>
      <c r="CA247" s="1101"/>
      <c r="CB247" s="1101"/>
      <c r="CC247" s="1101"/>
      <c r="CD247" s="1101"/>
      <c r="CE247" s="1101"/>
      <c r="CF247" s="1101"/>
      <c r="CH247" s="1015"/>
      <c r="CI247" s="1015"/>
      <c r="CJ247" s="1015"/>
      <c r="CK247" s="1015"/>
      <c r="CL247" s="1015"/>
      <c r="CM247" s="1015"/>
      <c r="CN247" s="1015"/>
      <c r="CO247" s="1015"/>
      <c r="CP247" s="1015"/>
      <c r="CQ247" s="1015"/>
      <c r="CR247" s="1015"/>
      <c r="CS247" s="1015"/>
      <c r="CT247" s="1015"/>
      <c r="CU247" s="1015"/>
      <c r="CV247" s="1015"/>
      <c r="CW247" s="1015"/>
      <c r="CX247" s="1015"/>
      <c r="CY247" s="1015"/>
      <c r="CZ247" s="1015"/>
      <c r="DA247" s="1015"/>
      <c r="DB247" s="1015"/>
      <c r="DC247" s="1015"/>
      <c r="DD247" s="1015"/>
      <c r="DE247" s="1015"/>
      <c r="DF247" s="1015"/>
      <c r="DG247" s="1015"/>
      <c r="DH247" s="1015"/>
      <c r="DI247" s="1015"/>
      <c r="DJ247" s="1015"/>
      <c r="DK247" s="1015"/>
      <c r="DL247" s="1015"/>
      <c r="DM247" s="1015"/>
      <c r="DN247" s="1015"/>
      <c r="DO247" s="1015"/>
      <c r="DP247" s="1015"/>
      <c r="DQ247" s="1101"/>
      <c r="DR247" s="1101"/>
      <c r="DS247" s="1101"/>
      <c r="DT247" s="1101"/>
      <c r="DU247" s="1101"/>
      <c r="DV247" s="1101"/>
      <c r="DW247" s="1101"/>
      <c r="DX247" s="1101"/>
      <c r="DY247" s="1101"/>
      <c r="DZ247" s="1101"/>
      <c r="EA247" s="1101"/>
      <c r="EB247" s="1101"/>
      <c r="EC247" s="1101"/>
      <c r="ED247" s="1101"/>
      <c r="EE247" s="1101"/>
      <c r="EF247" s="1101"/>
      <c r="EG247" s="1101"/>
      <c r="EH247" s="1101"/>
      <c r="EI247" s="1101"/>
      <c r="EJ247" s="1101"/>
      <c r="EK247" s="1101"/>
      <c r="EL247" s="1101"/>
      <c r="EM247" s="1101"/>
      <c r="EN247" s="1101"/>
      <c r="EO247" s="1101"/>
      <c r="EP247" s="1101"/>
      <c r="EQ247" s="1101"/>
      <c r="ER247" s="1101"/>
      <c r="ES247" s="1101"/>
      <c r="ET247" s="1101"/>
      <c r="EU247" s="1101"/>
      <c r="EV247" s="1101"/>
      <c r="EW247" s="1101"/>
      <c r="EX247" s="1101"/>
      <c r="EY247" s="1101"/>
      <c r="EZ247" s="1101"/>
      <c r="FA247" s="1101"/>
    </row>
    <row r="248" spans="2:157">
      <c r="B248" s="1101"/>
      <c r="C248" s="1101"/>
      <c r="D248" s="1101"/>
      <c r="E248" s="1101"/>
      <c r="F248" s="1101"/>
      <c r="G248" s="1101"/>
      <c r="H248" s="1101"/>
      <c r="I248" s="1101"/>
      <c r="J248" s="1101"/>
      <c r="K248" s="1101"/>
      <c r="L248" s="1101"/>
      <c r="M248" s="1101"/>
      <c r="N248" s="1101"/>
      <c r="O248" s="1101"/>
      <c r="P248" s="1101"/>
      <c r="Q248" s="1101"/>
      <c r="R248" s="1101"/>
      <c r="S248" s="1101"/>
      <c r="T248" s="1101"/>
      <c r="U248" s="1101"/>
      <c r="V248" s="1101"/>
      <c r="W248" s="1101"/>
      <c r="X248" s="1101"/>
      <c r="Y248" s="1101"/>
      <c r="Z248" s="1101"/>
      <c r="AA248" s="1101"/>
      <c r="AB248" s="1101"/>
      <c r="AC248" s="1101"/>
      <c r="AD248" s="1101"/>
      <c r="AE248" s="1101"/>
      <c r="AF248" s="1101"/>
      <c r="AG248" s="1101"/>
      <c r="AH248" s="1101"/>
      <c r="AI248" s="1101"/>
      <c r="AJ248" s="1101"/>
      <c r="AK248" s="1101"/>
      <c r="AL248" s="1101"/>
      <c r="AM248" s="1101"/>
      <c r="AN248" s="1101"/>
      <c r="AO248" s="1101"/>
      <c r="AP248" s="1101"/>
      <c r="AQ248" s="1101"/>
      <c r="AR248" s="1101"/>
      <c r="AS248" s="1101"/>
      <c r="AT248" s="1101"/>
      <c r="AU248" s="1101"/>
      <c r="AV248" s="1101"/>
      <c r="AW248" s="1101"/>
      <c r="AX248" s="1101"/>
      <c r="AY248" s="1101"/>
      <c r="AZ248" s="1101"/>
      <c r="BA248" s="1101"/>
      <c r="BB248" s="1101"/>
      <c r="BC248" s="1101"/>
      <c r="BD248" s="1101"/>
      <c r="BE248" s="1101"/>
      <c r="BF248" s="1101"/>
      <c r="BG248" s="1101"/>
      <c r="BH248" s="1101"/>
      <c r="BI248" s="1101"/>
      <c r="BJ248" s="1101"/>
      <c r="BK248" s="1101"/>
      <c r="BL248" s="1101"/>
      <c r="BM248" s="1101"/>
      <c r="BN248" s="1101"/>
      <c r="BO248" s="1101"/>
      <c r="BP248" s="1101"/>
      <c r="BQ248" s="1101"/>
      <c r="BR248" s="1101"/>
      <c r="BS248" s="1101"/>
      <c r="BT248" s="1101"/>
      <c r="BU248" s="1101"/>
      <c r="BV248" s="1101"/>
      <c r="BW248" s="1101"/>
      <c r="BX248" s="1101"/>
      <c r="BY248" s="1101"/>
      <c r="BZ248" s="1101"/>
      <c r="CA248" s="1101"/>
      <c r="CB248" s="1101"/>
      <c r="CC248" s="1101"/>
      <c r="CD248" s="1101"/>
      <c r="CE248" s="1101"/>
      <c r="CF248" s="1101"/>
      <c r="CH248" s="1015"/>
      <c r="CI248" s="1015"/>
      <c r="CJ248" s="1015"/>
      <c r="CK248" s="1015"/>
      <c r="CL248" s="1015"/>
      <c r="CM248" s="1015"/>
      <c r="CN248" s="1015"/>
      <c r="CO248" s="1015"/>
      <c r="CP248" s="1015"/>
      <c r="CQ248" s="1015"/>
      <c r="CR248" s="1015"/>
      <c r="CS248" s="1015"/>
      <c r="CT248" s="1015"/>
      <c r="CU248" s="1015"/>
      <c r="CV248" s="1015"/>
      <c r="CW248" s="1015"/>
      <c r="CX248" s="1015"/>
      <c r="CY248" s="1015"/>
      <c r="CZ248" s="1015"/>
      <c r="DA248" s="1015"/>
      <c r="DB248" s="1015"/>
      <c r="DC248" s="1015"/>
      <c r="DD248" s="1015"/>
      <c r="DE248" s="1015"/>
      <c r="DF248" s="1015"/>
      <c r="DG248" s="1015"/>
      <c r="DH248" s="1015"/>
      <c r="DI248" s="1015"/>
      <c r="DJ248" s="1015"/>
      <c r="DK248" s="1015"/>
      <c r="DL248" s="1015"/>
      <c r="DM248" s="1015"/>
      <c r="DN248" s="1015"/>
      <c r="DO248" s="1015"/>
      <c r="DP248" s="1015"/>
      <c r="DQ248" s="1101"/>
      <c r="DR248" s="1101"/>
      <c r="DS248" s="1101"/>
      <c r="DT248" s="1101"/>
      <c r="DU248" s="1101"/>
      <c r="DV248" s="1101"/>
      <c r="DW248" s="1101"/>
      <c r="DX248" s="1101"/>
      <c r="DY248" s="1101"/>
      <c r="DZ248" s="1101"/>
      <c r="EA248" s="1101"/>
      <c r="EB248" s="1101"/>
      <c r="EC248" s="1101"/>
      <c r="ED248" s="1101"/>
      <c r="EE248" s="1101"/>
      <c r="EF248" s="1101"/>
      <c r="EG248" s="1101"/>
      <c r="EH248" s="1101"/>
      <c r="EI248" s="1101"/>
      <c r="EJ248" s="1101"/>
      <c r="EK248" s="1101"/>
      <c r="EL248" s="1101"/>
      <c r="EM248" s="1101"/>
      <c r="EN248" s="1101"/>
      <c r="EO248" s="1101"/>
      <c r="EP248" s="1101"/>
      <c r="EQ248" s="1101"/>
      <c r="ER248" s="1101"/>
      <c r="ES248" s="1101"/>
      <c r="ET248" s="1101"/>
      <c r="EU248" s="1101"/>
      <c r="EV248" s="1101"/>
      <c r="EW248" s="1101"/>
      <c r="EX248" s="1101"/>
      <c r="EY248" s="1101"/>
      <c r="EZ248" s="1101"/>
      <c r="FA248" s="1101"/>
    </row>
    <row r="249" spans="2:157">
      <c r="B249" s="1101"/>
      <c r="C249" s="1101"/>
      <c r="D249" s="1101"/>
      <c r="E249" s="1101"/>
      <c r="F249" s="1101"/>
      <c r="G249" s="1101"/>
      <c r="H249" s="1101"/>
      <c r="I249" s="1101"/>
      <c r="J249" s="1101"/>
      <c r="K249" s="1101"/>
      <c r="L249" s="1101"/>
      <c r="M249" s="1101"/>
      <c r="N249" s="1101"/>
      <c r="O249" s="1101"/>
      <c r="P249" s="1101"/>
      <c r="Q249" s="1101"/>
      <c r="R249" s="1101"/>
      <c r="S249" s="1101"/>
      <c r="T249" s="1101"/>
      <c r="U249" s="1101"/>
      <c r="V249" s="1101"/>
      <c r="W249" s="1101"/>
      <c r="X249" s="1101"/>
      <c r="Y249" s="1101"/>
      <c r="Z249" s="1101"/>
      <c r="AA249" s="1101"/>
      <c r="AB249" s="1101"/>
      <c r="AC249" s="1101"/>
      <c r="AD249" s="1101"/>
      <c r="AE249" s="1101"/>
      <c r="AF249" s="1101"/>
      <c r="AG249" s="1101"/>
      <c r="AH249" s="1101"/>
      <c r="AI249" s="1101"/>
      <c r="AJ249" s="1101"/>
      <c r="AK249" s="1101"/>
      <c r="AL249" s="1101"/>
      <c r="AM249" s="1101"/>
      <c r="AN249" s="1101"/>
      <c r="AO249" s="1101"/>
      <c r="AP249" s="1101"/>
      <c r="AQ249" s="1101"/>
      <c r="AR249" s="1101"/>
      <c r="AS249" s="1101"/>
      <c r="AT249" s="1101"/>
      <c r="AU249" s="1101"/>
      <c r="AV249" s="1101"/>
      <c r="AW249" s="1101"/>
      <c r="AX249" s="1101"/>
      <c r="AY249" s="1101"/>
      <c r="AZ249" s="1101"/>
      <c r="BA249" s="1101"/>
      <c r="BB249" s="1101"/>
      <c r="BC249" s="1101"/>
      <c r="BD249" s="1101"/>
      <c r="BE249" s="1101"/>
      <c r="BF249" s="1101"/>
      <c r="BG249" s="1101"/>
      <c r="BH249" s="1101"/>
      <c r="BI249" s="1101"/>
      <c r="BJ249" s="1101"/>
      <c r="BK249" s="1101"/>
      <c r="BL249" s="1101"/>
      <c r="BM249" s="1101"/>
      <c r="BN249" s="1101"/>
      <c r="BO249" s="1101"/>
      <c r="BP249" s="1101"/>
      <c r="BQ249" s="1101"/>
      <c r="BR249" s="1101"/>
      <c r="BS249" s="1101"/>
      <c r="BT249" s="1101"/>
      <c r="BU249" s="1101"/>
      <c r="BV249" s="1101"/>
      <c r="BW249" s="1101"/>
      <c r="BX249" s="1101"/>
      <c r="BY249" s="1101"/>
      <c r="BZ249" s="1101"/>
      <c r="CA249" s="1101"/>
      <c r="CB249" s="1101"/>
      <c r="CC249" s="1101"/>
      <c r="CD249" s="1101"/>
      <c r="CE249" s="1101"/>
      <c r="CF249" s="1101"/>
      <c r="CH249" s="1015"/>
      <c r="CI249" s="1015"/>
      <c r="CJ249" s="1015"/>
      <c r="CK249" s="1015"/>
      <c r="CL249" s="1015"/>
      <c r="CM249" s="1015"/>
      <c r="CN249" s="1015"/>
      <c r="CO249" s="1015"/>
      <c r="CP249" s="1015"/>
      <c r="CQ249" s="1015"/>
      <c r="CR249" s="1015"/>
      <c r="CS249" s="1015"/>
      <c r="CT249" s="1015"/>
      <c r="CU249" s="1015"/>
      <c r="CV249" s="1015"/>
      <c r="CW249" s="1015"/>
      <c r="CX249" s="1015"/>
      <c r="CY249" s="1015"/>
      <c r="CZ249" s="1015"/>
      <c r="DA249" s="1015"/>
      <c r="DB249" s="1015"/>
      <c r="DC249" s="1015"/>
      <c r="DD249" s="1015"/>
      <c r="DE249" s="1015"/>
      <c r="DF249" s="1015"/>
      <c r="DG249" s="1015"/>
      <c r="DH249" s="1015"/>
      <c r="DI249" s="1015"/>
      <c r="DJ249" s="1015"/>
      <c r="DK249" s="1015"/>
      <c r="DL249" s="1015"/>
      <c r="DM249" s="1015"/>
      <c r="DN249" s="1015"/>
      <c r="DO249" s="1015"/>
      <c r="DP249" s="1015"/>
      <c r="DQ249" s="1101"/>
      <c r="DR249" s="1101"/>
      <c r="DS249" s="1101"/>
      <c r="DT249" s="1101"/>
      <c r="DU249" s="1101"/>
      <c r="DV249" s="1101"/>
      <c r="DW249" s="1101"/>
      <c r="DX249" s="1101"/>
      <c r="DY249" s="1101"/>
      <c r="DZ249" s="1101"/>
      <c r="EA249" s="1101"/>
      <c r="EB249" s="1101"/>
      <c r="EC249" s="1101"/>
      <c r="ED249" s="1101"/>
      <c r="EE249" s="1101"/>
      <c r="EF249" s="1101"/>
      <c r="EG249" s="1101"/>
      <c r="EH249" s="1101"/>
      <c r="EI249" s="1101"/>
      <c r="EJ249" s="1101"/>
      <c r="EK249" s="1101"/>
      <c r="EL249" s="1101"/>
      <c r="EM249" s="1101"/>
      <c r="EN249" s="1101"/>
      <c r="EO249" s="1101"/>
      <c r="EP249" s="1101"/>
      <c r="EQ249" s="1101"/>
      <c r="ER249" s="1101"/>
      <c r="ES249" s="1101"/>
      <c r="ET249" s="1101"/>
      <c r="EU249" s="1101"/>
      <c r="EV249" s="1101"/>
      <c r="EW249" s="1101"/>
      <c r="EX249" s="1101"/>
      <c r="EY249" s="1101"/>
      <c r="EZ249" s="1101"/>
      <c r="FA249" s="1101"/>
    </row>
    <row r="250" spans="2:157">
      <c r="B250" s="1101"/>
      <c r="C250" s="1101"/>
      <c r="D250" s="1101"/>
      <c r="E250" s="1101"/>
      <c r="F250" s="1101"/>
      <c r="G250" s="1101"/>
      <c r="H250" s="1101"/>
      <c r="I250" s="1101"/>
      <c r="J250" s="1101"/>
      <c r="K250" s="1101"/>
      <c r="L250" s="1101"/>
      <c r="M250" s="1101"/>
      <c r="N250" s="1101"/>
      <c r="O250" s="1101"/>
      <c r="P250" s="1101"/>
      <c r="Q250" s="1101"/>
      <c r="R250" s="1101"/>
      <c r="S250" s="1101"/>
      <c r="T250" s="1101"/>
      <c r="U250" s="1101"/>
      <c r="V250" s="1101"/>
      <c r="W250" s="1101"/>
      <c r="X250" s="1101"/>
      <c r="Y250" s="1101"/>
      <c r="Z250" s="1101"/>
      <c r="AA250" s="1101"/>
      <c r="AB250" s="1101"/>
      <c r="AC250" s="1101"/>
      <c r="AD250" s="1101"/>
      <c r="AE250" s="1101"/>
      <c r="AF250" s="1101"/>
      <c r="AG250" s="1101"/>
      <c r="AH250" s="1101"/>
      <c r="AI250" s="1101"/>
      <c r="AJ250" s="1101"/>
      <c r="AK250" s="1101"/>
      <c r="AL250" s="1101"/>
      <c r="AM250" s="1101"/>
      <c r="AN250" s="1101"/>
      <c r="AO250" s="1101"/>
      <c r="AP250" s="1101"/>
      <c r="AQ250" s="1101"/>
      <c r="AR250" s="1101"/>
      <c r="AS250" s="1101"/>
      <c r="AT250" s="1101"/>
      <c r="AU250" s="1101"/>
      <c r="AV250" s="1101"/>
      <c r="AW250" s="1101"/>
      <c r="AX250" s="1101"/>
      <c r="AY250" s="1101"/>
      <c r="AZ250" s="1101"/>
      <c r="BA250" s="1101"/>
      <c r="BB250" s="1101"/>
      <c r="BC250" s="1101"/>
      <c r="BD250" s="1101"/>
      <c r="BE250" s="1101"/>
      <c r="BF250" s="1101"/>
      <c r="BG250" s="1101"/>
      <c r="BH250" s="1101"/>
      <c r="BI250" s="1101"/>
      <c r="BJ250" s="1101"/>
      <c r="BK250" s="1101"/>
      <c r="BL250" s="1101"/>
      <c r="BM250" s="1101"/>
      <c r="BN250" s="1101"/>
      <c r="BO250" s="1101"/>
      <c r="BP250" s="1101"/>
      <c r="BQ250" s="1101"/>
      <c r="BR250" s="1101"/>
      <c r="BS250" s="1101"/>
      <c r="BT250" s="1101"/>
      <c r="BU250" s="1101"/>
      <c r="BV250" s="1101"/>
      <c r="BW250" s="1101"/>
      <c r="BX250" s="1101"/>
      <c r="BY250" s="1101"/>
      <c r="BZ250" s="1101"/>
      <c r="CA250" s="1101"/>
      <c r="CB250" s="1101"/>
      <c r="CC250" s="1101"/>
      <c r="CD250" s="1101"/>
      <c r="CE250" s="1101"/>
      <c r="CF250" s="1101"/>
      <c r="CH250" s="1015"/>
      <c r="CI250" s="1015"/>
      <c r="CJ250" s="1015"/>
      <c r="CK250" s="1015"/>
      <c r="CL250" s="1015"/>
      <c r="CM250" s="1015"/>
      <c r="CN250" s="1015"/>
      <c r="CO250" s="1015"/>
      <c r="CP250" s="1015"/>
      <c r="CQ250" s="1015"/>
      <c r="CR250" s="1015"/>
      <c r="CS250" s="1015"/>
      <c r="CT250" s="1015"/>
      <c r="CU250" s="1015"/>
      <c r="CV250" s="1015"/>
      <c r="CW250" s="1015"/>
      <c r="CX250" s="1015"/>
      <c r="CY250" s="1015"/>
      <c r="CZ250" s="1015"/>
      <c r="DA250" s="1015"/>
      <c r="DB250" s="1015"/>
      <c r="DC250" s="1015"/>
      <c r="DD250" s="1015"/>
      <c r="DE250" s="1015"/>
      <c r="DF250" s="1015"/>
      <c r="DG250" s="1015"/>
      <c r="DH250" s="1015"/>
      <c r="DI250" s="1015"/>
      <c r="DJ250" s="1015"/>
      <c r="DK250" s="1015"/>
      <c r="DL250" s="1015"/>
      <c r="DM250" s="1015"/>
      <c r="DN250" s="1015"/>
      <c r="DO250" s="1015"/>
      <c r="DP250" s="1015"/>
      <c r="DQ250" s="1101"/>
      <c r="DR250" s="1101"/>
      <c r="DS250" s="1101"/>
      <c r="DT250" s="1101"/>
      <c r="DU250" s="1101"/>
      <c r="DV250" s="1101"/>
      <c r="DW250" s="1101"/>
      <c r="DX250" s="1101"/>
      <c r="DY250" s="1101"/>
      <c r="DZ250" s="1101"/>
      <c r="EA250" s="1101"/>
      <c r="EB250" s="1101"/>
      <c r="EC250" s="1101"/>
      <c r="ED250" s="1101"/>
      <c r="EE250" s="1101"/>
      <c r="EF250" s="1101"/>
      <c r="EG250" s="1101"/>
      <c r="EH250" s="1101"/>
      <c r="EI250" s="1101"/>
      <c r="EJ250" s="1101"/>
      <c r="EK250" s="1101"/>
      <c r="EL250" s="1101"/>
      <c r="EM250" s="1101"/>
      <c r="EN250" s="1101"/>
      <c r="EO250" s="1101"/>
      <c r="EP250" s="1101"/>
      <c r="EQ250" s="1101"/>
      <c r="ER250" s="1101"/>
      <c r="ES250" s="1101"/>
      <c r="ET250" s="1101"/>
      <c r="EU250" s="1101"/>
      <c r="EV250" s="1101"/>
      <c r="EW250" s="1101"/>
      <c r="EX250" s="1101"/>
      <c r="EY250" s="1101"/>
      <c r="EZ250" s="1101"/>
      <c r="FA250" s="1101"/>
    </row>
    <row r="251" spans="2:157">
      <c r="B251" s="1101"/>
      <c r="C251" s="1101"/>
      <c r="D251" s="1101"/>
      <c r="E251" s="1101"/>
      <c r="F251" s="1101"/>
      <c r="G251" s="1101"/>
      <c r="H251" s="1101"/>
      <c r="I251" s="1101"/>
      <c r="J251" s="1101"/>
      <c r="K251" s="1101"/>
      <c r="L251" s="1101"/>
      <c r="M251" s="1101"/>
      <c r="N251" s="1101"/>
      <c r="O251" s="1101"/>
      <c r="P251" s="1101"/>
      <c r="Q251" s="1101"/>
      <c r="R251" s="1101"/>
      <c r="S251" s="1101"/>
      <c r="T251" s="1101"/>
      <c r="U251" s="1101"/>
      <c r="V251" s="1101"/>
      <c r="W251" s="1101"/>
      <c r="X251" s="1101"/>
      <c r="Y251" s="1101"/>
      <c r="Z251" s="1101"/>
      <c r="AA251" s="1101"/>
      <c r="AB251" s="1101"/>
      <c r="AC251" s="1101"/>
      <c r="AD251" s="1101"/>
      <c r="AE251" s="1101"/>
      <c r="AF251" s="1101"/>
      <c r="AG251" s="1101"/>
      <c r="AH251" s="1101"/>
      <c r="AI251" s="1101"/>
      <c r="AJ251" s="1101"/>
      <c r="AK251" s="1101"/>
      <c r="AL251" s="1101"/>
      <c r="AM251" s="1101"/>
      <c r="AN251" s="1101"/>
      <c r="AO251" s="1101"/>
      <c r="AP251" s="1101"/>
      <c r="AQ251" s="1101"/>
      <c r="AR251" s="1101"/>
      <c r="AS251" s="1101"/>
      <c r="AT251" s="1101"/>
      <c r="AU251" s="1101"/>
      <c r="AV251" s="1101"/>
      <c r="AW251" s="1101"/>
      <c r="AX251" s="1101"/>
      <c r="AY251" s="1101"/>
      <c r="AZ251" s="1101"/>
      <c r="BA251" s="1101"/>
      <c r="BB251" s="1101"/>
      <c r="BC251" s="1101"/>
      <c r="BD251" s="1101"/>
      <c r="BE251" s="1101"/>
      <c r="BF251" s="1101"/>
      <c r="BG251" s="1101"/>
      <c r="BH251" s="1101"/>
      <c r="BI251" s="1101"/>
      <c r="BJ251" s="1101"/>
      <c r="BK251" s="1101"/>
      <c r="BL251" s="1101"/>
      <c r="BM251" s="1101"/>
      <c r="BN251" s="1101"/>
      <c r="BO251" s="1101"/>
      <c r="BP251" s="1101"/>
      <c r="BQ251" s="1101"/>
      <c r="BR251" s="1101"/>
      <c r="BS251" s="1101"/>
      <c r="BT251" s="1101"/>
      <c r="BU251" s="1101"/>
      <c r="BV251" s="1101"/>
      <c r="BW251" s="1101"/>
      <c r="BX251" s="1101"/>
      <c r="BY251" s="1101"/>
      <c r="BZ251" s="1101"/>
      <c r="CA251" s="1101"/>
      <c r="CB251" s="1101"/>
      <c r="CC251" s="1101"/>
      <c r="CD251" s="1101"/>
      <c r="CE251" s="1101"/>
      <c r="CF251" s="1101"/>
      <c r="CH251" s="1015"/>
      <c r="CI251" s="1015"/>
      <c r="CJ251" s="1015"/>
      <c r="CK251" s="1015"/>
      <c r="CL251" s="1015"/>
      <c r="CM251" s="1015"/>
      <c r="CN251" s="1015"/>
      <c r="CO251" s="1015"/>
      <c r="CP251" s="1015"/>
      <c r="CQ251" s="1015"/>
      <c r="CR251" s="1015"/>
      <c r="CS251" s="1015"/>
      <c r="CT251" s="1015"/>
      <c r="CU251" s="1015"/>
      <c r="CV251" s="1015"/>
      <c r="CW251" s="1015"/>
      <c r="CX251" s="1015"/>
      <c r="CY251" s="1015"/>
      <c r="CZ251" s="1015"/>
      <c r="DA251" s="1015"/>
      <c r="DB251" s="1015"/>
      <c r="DC251" s="1015"/>
      <c r="DD251" s="1015"/>
      <c r="DE251" s="1015"/>
      <c r="DF251" s="1015"/>
      <c r="DG251" s="1015"/>
      <c r="DH251" s="1015"/>
      <c r="DI251" s="1015"/>
      <c r="DJ251" s="1015"/>
      <c r="DK251" s="1015"/>
      <c r="DL251" s="1015"/>
      <c r="DM251" s="1015"/>
      <c r="DN251" s="1015"/>
      <c r="DO251" s="1015"/>
      <c r="DP251" s="1015"/>
      <c r="DQ251" s="1101"/>
      <c r="DR251" s="1101"/>
      <c r="DS251" s="1101"/>
      <c r="DT251" s="1101"/>
      <c r="DU251" s="1101"/>
      <c r="DV251" s="1101"/>
      <c r="DW251" s="1101"/>
      <c r="DX251" s="1101"/>
      <c r="DY251" s="1101"/>
      <c r="DZ251" s="1101"/>
      <c r="EA251" s="1101"/>
      <c r="EB251" s="1101"/>
      <c r="EC251" s="1101"/>
      <c r="ED251" s="1101"/>
      <c r="EE251" s="1101"/>
      <c r="EF251" s="1101"/>
      <c r="EG251" s="1101"/>
      <c r="EH251" s="1101"/>
      <c r="EI251" s="1101"/>
      <c r="EJ251" s="1101"/>
      <c r="EK251" s="1101"/>
      <c r="EL251" s="1101"/>
      <c r="EM251" s="1101"/>
      <c r="EN251" s="1101"/>
      <c r="EO251" s="1101"/>
      <c r="EP251" s="1101"/>
      <c r="EQ251" s="1101"/>
      <c r="ER251" s="1101"/>
      <c r="ES251" s="1101"/>
      <c r="ET251" s="1101"/>
      <c r="EU251" s="1101"/>
      <c r="EV251" s="1101"/>
      <c r="EW251" s="1101"/>
      <c r="EX251" s="1101"/>
      <c r="EY251" s="1101"/>
      <c r="EZ251" s="1101"/>
      <c r="FA251" s="1101"/>
    </row>
    <row r="252" spans="2:157">
      <c r="B252" s="1101"/>
      <c r="C252" s="1101"/>
      <c r="D252" s="1101"/>
      <c r="E252" s="1101"/>
      <c r="F252" s="1101"/>
      <c r="G252" s="1101"/>
      <c r="H252" s="1101"/>
      <c r="I252" s="1101"/>
      <c r="J252" s="1101"/>
      <c r="K252" s="1101"/>
      <c r="L252" s="1101"/>
      <c r="M252" s="1101"/>
      <c r="N252" s="1101"/>
      <c r="O252" s="1101"/>
      <c r="P252" s="1101"/>
      <c r="Q252" s="1101"/>
      <c r="R252" s="1101"/>
      <c r="S252" s="1101"/>
      <c r="T252" s="1101"/>
      <c r="U252" s="1101"/>
      <c r="V252" s="1101"/>
      <c r="W252" s="1101"/>
      <c r="X252" s="1101"/>
      <c r="Y252" s="1101"/>
      <c r="Z252" s="1101"/>
      <c r="AA252" s="1101"/>
      <c r="AB252" s="1101"/>
      <c r="AC252" s="1101"/>
      <c r="AD252" s="1101"/>
      <c r="AE252" s="1101"/>
      <c r="AF252" s="1101"/>
      <c r="AG252" s="1101"/>
      <c r="AH252" s="1101"/>
      <c r="AI252" s="1101"/>
      <c r="AJ252" s="1101"/>
      <c r="AK252" s="1101"/>
      <c r="AL252" s="1101"/>
      <c r="AM252" s="1101"/>
      <c r="AN252" s="1101"/>
      <c r="AO252" s="1101"/>
      <c r="AP252" s="1101"/>
      <c r="AQ252" s="1101"/>
      <c r="AR252" s="1101"/>
      <c r="AS252" s="1101"/>
      <c r="AT252" s="1101"/>
      <c r="AU252" s="1101"/>
      <c r="AV252" s="1101"/>
      <c r="AW252" s="1101"/>
      <c r="AX252" s="1101"/>
      <c r="AY252" s="1101"/>
      <c r="AZ252" s="1101"/>
      <c r="BA252" s="1101"/>
      <c r="BB252" s="1101"/>
      <c r="BC252" s="1101"/>
      <c r="BD252" s="1101"/>
      <c r="BE252" s="1101"/>
      <c r="BF252" s="1101"/>
      <c r="BG252" s="1101"/>
      <c r="BH252" s="1101"/>
      <c r="BI252" s="1101"/>
      <c r="BJ252" s="1101"/>
      <c r="BK252" s="1101"/>
      <c r="BL252" s="1101"/>
      <c r="BM252" s="1101"/>
      <c r="BN252" s="1101"/>
      <c r="BO252" s="1101"/>
      <c r="BP252" s="1101"/>
      <c r="BQ252" s="1101"/>
      <c r="BR252" s="1101"/>
      <c r="BS252" s="1101"/>
      <c r="BT252" s="1101"/>
      <c r="BU252" s="1101"/>
      <c r="BV252" s="1101"/>
      <c r="BW252" s="1101"/>
      <c r="BX252" s="1101"/>
      <c r="BY252" s="1101"/>
      <c r="BZ252" s="1101"/>
      <c r="CA252" s="1101"/>
      <c r="CB252" s="1101"/>
      <c r="CC252" s="1101"/>
      <c r="CD252" s="1101"/>
      <c r="CE252" s="1101"/>
      <c r="CF252" s="1101"/>
      <c r="CH252" s="1015"/>
      <c r="CI252" s="1015"/>
      <c r="CJ252" s="1015"/>
      <c r="CK252" s="1015"/>
      <c r="CL252" s="1015"/>
      <c r="CM252" s="1015"/>
      <c r="CN252" s="1015"/>
      <c r="CO252" s="1015"/>
      <c r="CP252" s="1015"/>
      <c r="CQ252" s="1015"/>
      <c r="CR252" s="1015"/>
      <c r="CS252" s="1015"/>
      <c r="CT252" s="1015"/>
      <c r="CU252" s="1015"/>
      <c r="CV252" s="1015"/>
      <c r="CW252" s="1015"/>
      <c r="CX252" s="1015"/>
      <c r="CY252" s="1015"/>
      <c r="CZ252" s="1015"/>
      <c r="DA252" s="1015"/>
      <c r="DB252" s="1015"/>
      <c r="DC252" s="1015"/>
      <c r="DD252" s="1015"/>
      <c r="DE252" s="1015"/>
      <c r="DF252" s="1015"/>
      <c r="DG252" s="1015"/>
      <c r="DH252" s="1015"/>
      <c r="DI252" s="1015"/>
      <c r="DJ252" s="1015"/>
      <c r="DK252" s="1015"/>
      <c r="DL252" s="1015"/>
      <c r="DM252" s="1015"/>
      <c r="DN252" s="1015"/>
      <c r="DO252" s="1015"/>
      <c r="DP252" s="1015"/>
      <c r="DQ252" s="1101"/>
      <c r="DR252" s="1101"/>
      <c r="DS252" s="1101"/>
      <c r="DT252" s="1101"/>
      <c r="DU252" s="1101"/>
      <c r="DV252" s="1101"/>
      <c r="DW252" s="1101"/>
      <c r="DX252" s="1101"/>
      <c r="DY252" s="1101"/>
      <c r="DZ252" s="1101"/>
      <c r="EA252" s="1101"/>
      <c r="EB252" s="1101"/>
      <c r="EC252" s="1101"/>
      <c r="ED252" s="1101"/>
      <c r="EE252" s="1101"/>
      <c r="EF252" s="1101"/>
      <c r="EG252" s="1101"/>
      <c r="EH252" s="1101"/>
      <c r="EI252" s="1101"/>
      <c r="EJ252" s="1101"/>
      <c r="EK252" s="1101"/>
      <c r="EL252" s="1101"/>
      <c r="EM252" s="1101"/>
      <c r="EN252" s="1101"/>
      <c r="EO252" s="1101"/>
      <c r="EP252" s="1101"/>
      <c r="EQ252" s="1101"/>
      <c r="ER252" s="1101"/>
      <c r="ES252" s="1101"/>
      <c r="ET252" s="1101"/>
      <c r="EU252" s="1101"/>
      <c r="EV252" s="1101"/>
      <c r="EW252" s="1101"/>
      <c r="EX252" s="1101"/>
      <c r="EY252" s="1101"/>
      <c r="EZ252" s="1101"/>
      <c r="FA252" s="1101"/>
    </row>
    <row r="253" spans="2:157">
      <c r="B253" s="1101"/>
      <c r="C253" s="1101"/>
      <c r="D253" s="1101"/>
      <c r="E253" s="1101"/>
      <c r="F253" s="1101"/>
      <c r="G253" s="1101"/>
      <c r="H253" s="1101"/>
      <c r="I253" s="1101"/>
      <c r="J253" s="1101"/>
      <c r="K253" s="1101"/>
      <c r="L253" s="1101"/>
      <c r="M253" s="1101"/>
      <c r="N253" s="1101"/>
      <c r="O253" s="1101"/>
      <c r="P253" s="1101"/>
      <c r="Q253" s="1101"/>
      <c r="R253" s="1101"/>
      <c r="S253" s="1101"/>
      <c r="T253" s="1101"/>
      <c r="U253" s="1101"/>
      <c r="V253" s="1101"/>
      <c r="W253" s="1101"/>
      <c r="X253" s="1101"/>
      <c r="Y253" s="1101"/>
      <c r="Z253" s="1101"/>
      <c r="AA253" s="1101"/>
      <c r="AB253" s="1101"/>
      <c r="AC253" s="1101"/>
      <c r="AD253" s="1101"/>
      <c r="AE253" s="1101"/>
      <c r="AF253" s="1101"/>
      <c r="AG253" s="1101"/>
      <c r="AH253" s="1101"/>
      <c r="AI253" s="1101"/>
      <c r="AJ253" s="1101"/>
      <c r="AK253" s="1101"/>
      <c r="AL253" s="1101"/>
      <c r="AM253" s="1101"/>
      <c r="AN253" s="1101"/>
      <c r="AO253" s="1101"/>
      <c r="AP253" s="1101"/>
      <c r="AQ253" s="1101"/>
      <c r="AR253" s="1101"/>
      <c r="AS253" s="1101"/>
      <c r="AT253" s="1101"/>
      <c r="AU253" s="1101"/>
      <c r="AV253" s="1101"/>
      <c r="AW253" s="1101"/>
      <c r="AX253" s="1101"/>
      <c r="AY253" s="1101"/>
      <c r="AZ253" s="1101"/>
      <c r="BA253" s="1101"/>
      <c r="BB253" s="1101"/>
      <c r="BC253" s="1101"/>
      <c r="BD253" s="1101"/>
      <c r="BE253" s="1101"/>
      <c r="BF253" s="1101"/>
      <c r="BG253" s="1101"/>
      <c r="BH253" s="1101"/>
      <c r="BI253" s="1101"/>
      <c r="BJ253" s="1101"/>
      <c r="BK253" s="1101"/>
      <c r="BL253" s="1101"/>
      <c r="BM253" s="1101"/>
      <c r="BN253" s="1101"/>
      <c r="BO253" s="1101"/>
      <c r="BP253" s="1101"/>
      <c r="BQ253" s="1101"/>
      <c r="BR253" s="1101"/>
      <c r="BS253" s="1101"/>
      <c r="BT253" s="1101"/>
      <c r="BU253" s="1101"/>
      <c r="BV253" s="1101"/>
      <c r="BW253" s="1101"/>
      <c r="BX253" s="1101"/>
      <c r="BY253" s="1101"/>
      <c r="BZ253" s="1101"/>
      <c r="CA253" s="1101"/>
      <c r="CB253" s="1101"/>
      <c r="CC253" s="1101"/>
      <c r="CD253" s="1101"/>
      <c r="CE253" s="1101"/>
      <c r="CF253" s="1101"/>
      <c r="CH253" s="1015"/>
      <c r="CI253" s="1015"/>
      <c r="CJ253" s="1015"/>
      <c r="CK253" s="1015"/>
      <c r="CL253" s="1015"/>
      <c r="CM253" s="1015"/>
      <c r="CN253" s="1015"/>
      <c r="CO253" s="1015"/>
      <c r="CP253" s="1015"/>
      <c r="CQ253" s="1015"/>
      <c r="CR253" s="1015"/>
      <c r="CS253" s="1015"/>
      <c r="CT253" s="1015"/>
      <c r="CU253" s="1015"/>
      <c r="CV253" s="1015"/>
      <c r="CW253" s="1015"/>
      <c r="CX253" s="1015"/>
      <c r="CY253" s="1015"/>
      <c r="CZ253" s="1015"/>
      <c r="DA253" s="1015"/>
      <c r="DB253" s="1015"/>
      <c r="DC253" s="1015"/>
      <c r="DD253" s="1015"/>
      <c r="DE253" s="1015"/>
      <c r="DF253" s="1015"/>
      <c r="DG253" s="1015"/>
      <c r="DH253" s="1015"/>
      <c r="DI253" s="1015"/>
      <c r="DJ253" s="1015"/>
      <c r="DK253" s="1015"/>
      <c r="DL253" s="1015"/>
      <c r="DM253" s="1015"/>
      <c r="DN253" s="1015"/>
      <c r="DO253" s="1015"/>
      <c r="DP253" s="1015"/>
      <c r="DQ253" s="1101"/>
      <c r="DR253" s="1101"/>
      <c r="DS253" s="1101"/>
      <c r="DT253" s="1101"/>
      <c r="DU253" s="1101"/>
      <c r="DV253" s="1101"/>
      <c r="DW253" s="1101"/>
      <c r="DX253" s="1101"/>
      <c r="DY253" s="1101"/>
      <c r="DZ253" s="1101"/>
      <c r="EA253" s="1101"/>
      <c r="EB253" s="1101"/>
      <c r="EC253" s="1101"/>
      <c r="ED253" s="1101"/>
      <c r="EE253" s="1101"/>
      <c r="EF253" s="1101"/>
      <c r="EG253" s="1101"/>
      <c r="EH253" s="1101"/>
      <c r="EI253" s="1101"/>
      <c r="EJ253" s="1101"/>
      <c r="EK253" s="1101"/>
      <c r="EL253" s="1101"/>
      <c r="EM253" s="1101"/>
      <c r="EN253" s="1101"/>
      <c r="EO253" s="1101"/>
      <c r="EP253" s="1101"/>
      <c r="EQ253" s="1101"/>
      <c r="ER253" s="1101"/>
      <c r="ES253" s="1101"/>
      <c r="ET253" s="1101"/>
      <c r="EU253" s="1101"/>
      <c r="EV253" s="1101"/>
      <c r="EW253" s="1101"/>
      <c r="EX253" s="1101"/>
      <c r="EY253" s="1101"/>
      <c r="EZ253" s="1101"/>
      <c r="FA253" s="1101"/>
    </row>
    <row r="254" spans="2:157">
      <c r="B254" s="1101"/>
      <c r="C254" s="1101"/>
      <c r="D254" s="1101"/>
      <c r="E254" s="1101"/>
      <c r="F254" s="1101"/>
      <c r="G254" s="1101"/>
      <c r="H254" s="1101"/>
      <c r="I254" s="1101"/>
      <c r="J254" s="1101"/>
      <c r="K254" s="1101"/>
      <c r="L254" s="1101"/>
      <c r="M254" s="1101"/>
      <c r="N254" s="1101"/>
      <c r="O254" s="1101"/>
      <c r="P254" s="1101"/>
      <c r="Q254" s="1101"/>
      <c r="R254" s="1101"/>
      <c r="S254" s="1101"/>
      <c r="T254" s="1101"/>
      <c r="U254" s="1101"/>
      <c r="V254" s="1101"/>
      <c r="W254" s="1101"/>
      <c r="X254" s="1101"/>
      <c r="Y254" s="1101"/>
      <c r="Z254" s="1101"/>
      <c r="AA254" s="1101"/>
      <c r="AB254" s="1101"/>
      <c r="AC254" s="1101"/>
      <c r="AD254" s="1101"/>
      <c r="AE254" s="1101"/>
      <c r="AF254" s="1101"/>
      <c r="AG254" s="1101"/>
      <c r="AH254" s="1101"/>
      <c r="AI254" s="1101"/>
      <c r="AJ254" s="1101"/>
      <c r="AK254" s="1101"/>
      <c r="AL254" s="1101"/>
      <c r="AM254" s="1101"/>
      <c r="AN254" s="1101"/>
      <c r="AO254" s="1101"/>
      <c r="AP254" s="1101"/>
      <c r="AQ254" s="1101"/>
      <c r="AR254" s="1101"/>
      <c r="AS254" s="1101"/>
      <c r="AT254" s="1101"/>
      <c r="AU254" s="1101"/>
      <c r="AV254" s="1101"/>
      <c r="AW254" s="1101"/>
      <c r="AX254" s="1101"/>
      <c r="AY254" s="1101"/>
      <c r="AZ254" s="1101"/>
      <c r="BA254" s="1101"/>
      <c r="BB254" s="1101"/>
      <c r="BC254" s="1101"/>
      <c r="BD254" s="1101"/>
      <c r="BE254" s="1101"/>
      <c r="BF254" s="1101"/>
      <c r="BG254" s="1101"/>
      <c r="BH254" s="1101"/>
      <c r="BI254" s="1101"/>
      <c r="BJ254" s="1101"/>
      <c r="BK254" s="1101"/>
      <c r="BL254" s="1101"/>
      <c r="BM254" s="1101"/>
      <c r="BN254" s="1101"/>
      <c r="BO254" s="1101"/>
      <c r="BP254" s="1101"/>
      <c r="BQ254" s="1101"/>
      <c r="BR254" s="1101"/>
      <c r="BS254" s="1101"/>
      <c r="BT254" s="1101"/>
      <c r="BU254" s="1101"/>
      <c r="BV254" s="1101"/>
      <c r="BW254" s="1101"/>
      <c r="BX254" s="1101"/>
      <c r="BY254" s="1101"/>
      <c r="BZ254" s="1101"/>
      <c r="CA254" s="1101"/>
      <c r="CB254" s="1101"/>
      <c r="CC254" s="1101"/>
      <c r="CD254" s="1101"/>
      <c r="CE254" s="1101"/>
      <c r="CF254" s="1101"/>
      <c r="CH254" s="1015"/>
      <c r="CI254" s="1015"/>
      <c r="CJ254" s="1015"/>
      <c r="CK254" s="1015"/>
      <c r="CL254" s="1015"/>
      <c r="CM254" s="1015"/>
      <c r="CN254" s="1015"/>
      <c r="CO254" s="1015"/>
      <c r="CP254" s="1015"/>
      <c r="CQ254" s="1015"/>
      <c r="CR254" s="1015"/>
      <c r="CS254" s="1015"/>
      <c r="CT254" s="1015"/>
      <c r="CU254" s="1015"/>
      <c r="CV254" s="1015"/>
      <c r="CW254" s="1015"/>
      <c r="CX254" s="1015"/>
      <c r="CY254" s="1015"/>
      <c r="CZ254" s="1015"/>
      <c r="DA254" s="1015"/>
      <c r="DB254" s="1015"/>
      <c r="DC254" s="1015"/>
      <c r="DD254" s="1015"/>
      <c r="DE254" s="1015"/>
      <c r="DF254" s="1015"/>
      <c r="DG254" s="1015"/>
      <c r="DH254" s="1015"/>
      <c r="DI254" s="1015"/>
      <c r="DJ254" s="1015"/>
      <c r="DK254" s="1015"/>
      <c r="DL254" s="1015"/>
      <c r="DM254" s="1015"/>
      <c r="DN254" s="1015"/>
      <c r="DO254" s="1015"/>
      <c r="DP254" s="1015"/>
      <c r="DQ254" s="1101"/>
      <c r="DR254" s="1101"/>
      <c r="DS254" s="1101"/>
      <c r="DT254" s="1101"/>
      <c r="DU254" s="1101"/>
      <c r="DV254" s="1101"/>
      <c r="DW254" s="1101"/>
      <c r="DX254" s="1101"/>
      <c r="DY254" s="1101"/>
      <c r="DZ254" s="1101"/>
      <c r="EA254" s="1101"/>
      <c r="EB254" s="1101"/>
      <c r="EC254" s="1101"/>
      <c r="ED254" s="1101"/>
      <c r="EE254" s="1101"/>
      <c r="EF254" s="1101"/>
      <c r="EG254" s="1101"/>
      <c r="EH254" s="1101"/>
      <c r="EI254" s="1101"/>
      <c r="EJ254" s="1101"/>
      <c r="EK254" s="1101"/>
      <c r="EL254" s="1101"/>
      <c r="EM254" s="1101"/>
      <c r="EN254" s="1101"/>
      <c r="EO254" s="1101"/>
      <c r="EP254" s="1101"/>
      <c r="EQ254" s="1101"/>
      <c r="ER254" s="1101"/>
      <c r="ES254" s="1101"/>
      <c r="ET254" s="1101"/>
      <c r="EU254" s="1101"/>
      <c r="EV254" s="1101"/>
      <c r="EW254" s="1101"/>
      <c r="EX254" s="1101"/>
      <c r="EY254" s="1101"/>
      <c r="EZ254" s="1101"/>
      <c r="FA254" s="1101"/>
    </row>
    <row r="255" spans="2:157">
      <c r="B255" s="1101"/>
      <c r="C255" s="1101"/>
      <c r="D255" s="1101"/>
      <c r="E255" s="1101"/>
      <c r="F255" s="1101"/>
      <c r="G255" s="1101"/>
      <c r="H255" s="1101"/>
      <c r="I255" s="1101"/>
      <c r="J255" s="1101"/>
      <c r="K255" s="1101"/>
      <c r="L255" s="1101"/>
      <c r="M255" s="1101"/>
      <c r="N255" s="1101"/>
      <c r="O255" s="1101"/>
      <c r="P255" s="1101"/>
      <c r="Q255" s="1101"/>
      <c r="R255" s="1101"/>
      <c r="S255" s="1101"/>
      <c r="T255" s="1101"/>
      <c r="U255" s="1101"/>
      <c r="V255" s="1101"/>
      <c r="W255" s="1101"/>
      <c r="X255" s="1101"/>
      <c r="Y255" s="1101"/>
      <c r="Z255" s="1101"/>
      <c r="AA255" s="1101"/>
      <c r="AB255" s="1101"/>
      <c r="AC255" s="1101"/>
      <c r="AD255" s="1101"/>
      <c r="AE255" s="1101"/>
      <c r="AF255" s="1101"/>
      <c r="AG255" s="1101"/>
      <c r="AH255" s="1101"/>
      <c r="AI255" s="1101"/>
      <c r="AJ255" s="1101"/>
      <c r="AK255" s="1101"/>
      <c r="AL255" s="1101"/>
      <c r="AM255" s="1101"/>
      <c r="AN255" s="1101"/>
      <c r="AO255" s="1101"/>
      <c r="AP255" s="1101"/>
      <c r="AQ255" s="1101"/>
      <c r="AR255" s="1101"/>
      <c r="AS255" s="1101"/>
      <c r="AT255" s="1101"/>
      <c r="AU255" s="1101"/>
      <c r="AV255" s="1101"/>
      <c r="AW255" s="1101"/>
      <c r="AX255" s="1101"/>
      <c r="AY255" s="1101"/>
      <c r="AZ255" s="1101"/>
      <c r="BA255" s="1101"/>
      <c r="BB255" s="1101"/>
      <c r="BC255" s="1101"/>
      <c r="BD255" s="1101"/>
      <c r="BE255" s="1101"/>
      <c r="BF255" s="1101"/>
      <c r="BG255" s="1101"/>
      <c r="BH255" s="1101"/>
      <c r="BI255" s="1101"/>
      <c r="BJ255" s="1101"/>
      <c r="BK255" s="1101"/>
      <c r="BL255" s="1101"/>
      <c r="BM255" s="1101"/>
      <c r="BN255" s="1101"/>
      <c r="BO255" s="1101"/>
      <c r="BP255" s="1101"/>
      <c r="BQ255" s="1101"/>
      <c r="BR255" s="1101"/>
      <c r="BS255" s="1101"/>
      <c r="BT255" s="1101"/>
      <c r="BU255" s="1101"/>
      <c r="BV255" s="1101"/>
      <c r="BW255" s="1101"/>
      <c r="BX255" s="1101"/>
      <c r="BY255" s="1101"/>
      <c r="BZ255" s="1101"/>
      <c r="CA255" s="1101"/>
      <c r="CB255" s="1101"/>
      <c r="CC255" s="1101"/>
      <c r="CD255" s="1101"/>
      <c r="CE255" s="1101"/>
      <c r="CF255" s="1101"/>
      <c r="CH255" s="1015"/>
      <c r="CI255" s="1015"/>
      <c r="CJ255" s="1015"/>
      <c r="CK255" s="1015"/>
      <c r="CL255" s="1015"/>
      <c r="CM255" s="1015"/>
      <c r="CN255" s="1015"/>
      <c r="CO255" s="1015"/>
      <c r="CP255" s="1015"/>
      <c r="CQ255" s="1015"/>
      <c r="CR255" s="1015"/>
      <c r="CS255" s="1015"/>
      <c r="CT255" s="1015"/>
      <c r="CU255" s="1015"/>
      <c r="CV255" s="1015"/>
      <c r="CW255" s="1015"/>
      <c r="CX255" s="1015"/>
      <c r="CY255" s="1015"/>
      <c r="CZ255" s="1015"/>
      <c r="DA255" s="1015"/>
      <c r="DB255" s="1015"/>
      <c r="DC255" s="1015"/>
      <c r="DD255" s="1015"/>
      <c r="DE255" s="1015"/>
      <c r="DF255" s="1015"/>
      <c r="DG255" s="1015"/>
      <c r="DH255" s="1015"/>
      <c r="DI255" s="1015"/>
      <c r="DJ255" s="1015"/>
      <c r="DK255" s="1015"/>
      <c r="DL255" s="1015"/>
      <c r="DM255" s="1015"/>
      <c r="DN255" s="1015"/>
      <c r="DO255" s="1015"/>
      <c r="DP255" s="1015"/>
      <c r="DQ255" s="1101"/>
      <c r="DR255" s="1101"/>
      <c r="DS255" s="1101"/>
      <c r="DT255" s="1101"/>
      <c r="DU255" s="1101"/>
      <c r="DV255" s="1101"/>
      <c r="DW255" s="1101"/>
      <c r="DX255" s="1101"/>
      <c r="DY255" s="1101"/>
      <c r="DZ255" s="1101"/>
      <c r="EA255" s="1101"/>
      <c r="EB255" s="1101"/>
      <c r="EC255" s="1101"/>
      <c r="ED255" s="1101"/>
      <c r="EE255" s="1101"/>
      <c r="EF255" s="1101"/>
      <c r="EG255" s="1101"/>
      <c r="EH255" s="1101"/>
      <c r="EI255" s="1101"/>
      <c r="EJ255" s="1101"/>
      <c r="EK255" s="1101"/>
      <c r="EL255" s="1101"/>
      <c r="EM255" s="1101"/>
      <c r="EN255" s="1101"/>
      <c r="EO255" s="1101"/>
      <c r="EP255" s="1101"/>
      <c r="EQ255" s="1101"/>
      <c r="ER255" s="1101"/>
      <c r="ES255" s="1101"/>
      <c r="ET255" s="1101"/>
      <c r="EU255" s="1101"/>
      <c r="EV255" s="1101"/>
      <c r="EW255" s="1101"/>
      <c r="EX255" s="1101"/>
      <c r="EY255" s="1101"/>
      <c r="EZ255" s="1101"/>
      <c r="FA255" s="1101"/>
    </row>
    <row r="256" spans="2:157">
      <c r="B256" s="1101"/>
      <c r="C256" s="1101"/>
      <c r="D256" s="1101"/>
      <c r="E256" s="1101"/>
      <c r="F256" s="1101"/>
      <c r="G256" s="1101"/>
      <c r="H256" s="1101"/>
      <c r="I256" s="1101"/>
      <c r="J256" s="1101"/>
      <c r="K256" s="1101"/>
      <c r="L256" s="1101"/>
      <c r="M256" s="1101"/>
      <c r="N256" s="1101"/>
      <c r="O256" s="1101"/>
      <c r="P256" s="1101"/>
      <c r="Q256" s="1101"/>
      <c r="R256" s="1101"/>
      <c r="S256" s="1101"/>
      <c r="T256" s="1101"/>
      <c r="U256" s="1101"/>
      <c r="V256" s="1101"/>
      <c r="W256" s="1101"/>
      <c r="X256" s="1101"/>
      <c r="Y256" s="1101"/>
      <c r="Z256" s="1101"/>
      <c r="AA256" s="1101"/>
      <c r="AB256" s="1101"/>
      <c r="AC256" s="1101"/>
      <c r="AD256" s="1101"/>
      <c r="AE256" s="1101"/>
      <c r="AF256" s="1101"/>
      <c r="AG256" s="1101"/>
      <c r="AH256" s="1101"/>
      <c r="AI256" s="1101"/>
      <c r="AJ256" s="1101"/>
      <c r="AK256" s="1101"/>
      <c r="AL256" s="1101"/>
      <c r="AM256" s="1101"/>
      <c r="AN256" s="1101"/>
      <c r="AO256" s="1101"/>
      <c r="AP256" s="1101"/>
      <c r="AQ256" s="1101"/>
      <c r="AR256" s="1101"/>
      <c r="AS256" s="1101"/>
      <c r="AT256" s="1101"/>
      <c r="AU256" s="1101"/>
      <c r="AV256" s="1101"/>
      <c r="AW256" s="1101"/>
      <c r="AX256" s="1101"/>
      <c r="AY256" s="1101"/>
      <c r="AZ256" s="1101"/>
      <c r="BA256" s="1101"/>
      <c r="BB256" s="1101"/>
      <c r="BC256" s="1101"/>
      <c r="BD256" s="1101"/>
      <c r="BE256" s="1101"/>
      <c r="BF256" s="1101"/>
      <c r="BG256" s="1101"/>
      <c r="BH256" s="1101"/>
      <c r="BI256" s="1101"/>
      <c r="BJ256" s="1101"/>
      <c r="BK256" s="1101"/>
      <c r="BL256" s="1101"/>
      <c r="BM256" s="1101"/>
      <c r="BN256" s="1101"/>
      <c r="BO256" s="1101"/>
      <c r="BP256" s="1101"/>
      <c r="BQ256" s="1101"/>
      <c r="BR256" s="1101"/>
      <c r="BS256" s="1101"/>
      <c r="BT256" s="1101"/>
      <c r="BU256" s="1101"/>
      <c r="BV256" s="1101"/>
      <c r="BW256" s="1101"/>
      <c r="BX256" s="1101"/>
      <c r="BY256" s="1101"/>
      <c r="BZ256" s="1101"/>
      <c r="CA256" s="1101"/>
      <c r="CB256" s="1101"/>
      <c r="CC256" s="1101"/>
      <c r="CD256" s="1101"/>
      <c r="CE256" s="1101"/>
      <c r="CF256" s="1101"/>
      <c r="CH256" s="1015"/>
      <c r="CI256" s="1015"/>
      <c r="CJ256" s="1015"/>
      <c r="CK256" s="1015"/>
      <c r="CL256" s="1015"/>
      <c r="CM256" s="1015"/>
      <c r="CN256" s="1015"/>
      <c r="CO256" s="1015"/>
      <c r="CP256" s="1015"/>
      <c r="CQ256" s="1015"/>
      <c r="CR256" s="1015"/>
      <c r="CS256" s="1015"/>
      <c r="CT256" s="1015"/>
      <c r="CU256" s="1015"/>
      <c r="CV256" s="1015"/>
      <c r="CW256" s="1015"/>
      <c r="CX256" s="1015"/>
      <c r="CY256" s="1015"/>
      <c r="CZ256" s="1015"/>
      <c r="DA256" s="1015"/>
      <c r="DB256" s="1015"/>
      <c r="DC256" s="1015"/>
      <c r="DD256" s="1015"/>
      <c r="DE256" s="1015"/>
      <c r="DF256" s="1015"/>
      <c r="DG256" s="1015"/>
      <c r="DH256" s="1015"/>
      <c r="DI256" s="1015"/>
      <c r="DJ256" s="1015"/>
      <c r="DK256" s="1015"/>
      <c r="DL256" s="1015"/>
      <c r="DM256" s="1015"/>
      <c r="DN256" s="1015"/>
      <c r="DO256" s="1015"/>
      <c r="DP256" s="1015"/>
      <c r="DQ256" s="1101"/>
      <c r="DR256" s="1101"/>
      <c r="DS256" s="1101"/>
      <c r="DT256" s="1101"/>
      <c r="DU256" s="1101"/>
      <c r="DV256" s="1101"/>
      <c r="DW256" s="1101"/>
      <c r="DX256" s="1101"/>
      <c r="DY256" s="1101"/>
      <c r="DZ256" s="1101"/>
      <c r="EA256" s="1101"/>
      <c r="EB256" s="1101"/>
      <c r="EC256" s="1101"/>
      <c r="ED256" s="1101"/>
      <c r="EE256" s="1101"/>
      <c r="EF256" s="1101"/>
      <c r="EG256" s="1101"/>
      <c r="EH256" s="1101"/>
      <c r="EI256" s="1101"/>
      <c r="EJ256" s="1101"/>
      <c r="EK256" s="1101"/>
      <c r="EL256" s="1101"/>
      <c r="EM256" s="1101"/>
      <c r="EN256" s="1101"/>
      <c r="EO256" s="1101"/>
      <c r="EP256" s="1101"/>
      <c r="EQ256" s="1101"/>
      <c r="ER256" s="1101"/>
      <c r="ES256" s="1101"/>
      <c r="ET256" s="1101"/>
      <c r="EU256" s="1101"/>
      <c r="EV256" s="1101"/>
      <c r="EW256" s="1101"/>
      <c r="EX256" s="1101"/>
      <c r="EY256" s="1101"/>
      <c r="EZ256" s="1101"/>
      <c r="FA256" s="1101"/>
    </row>
    <row r="257" spans="2:157">
      <c r="B257" s="1101"/>
      <c r="C257" s="1101"/>
      <c r="D257" s="1101"/>
      <c r="E257" s="1101"/>
      <c r="F257" s="1101"/>
      <c r="G257" s="1101"/>
      <c r="H257" s="1101"/>
      <c r="I257" s="1101"/>
      <c r="J257" s="1101"/>
      <c r="K257" s="1101"/>
      <c r="L257" s="1101"/>
      <c r="M257" s="1101"/>
      <c r="N257" s="1101"/>
      <c r="O257" s="1101"/>
      <c r="P257" s="1101"/>
      <c r="Q257" s="1101"/>
      <c r="R257" s="1101"/>
      <c r="S257" s="1101"/>
      <c r="T257" s="1101"/>
      <c r="U257" s="1101"/>
      <c r="V257" s="1101"/>
      <c r="W257" s="1101"/>
      <c r="X257" s="1101"/>
      <c r="Y257" s="1101"/>
      <c r="Z257" s="1101"/>
      <c r="AA257" s="1101"/>
      <c r="AB257" s="1101"/>
      <c r="AC257" s="1101"/>
      <c r="AD257" s="1101"/>
      <c r="AE257" s="1101"/>
      <c r="AF257" s="1101"/>
      <c r="AG257" s="1101"/>
      <c r="AH257" s="1101"/>
      <c r="AI257" s="1101"/>
      <c r="AJ257" s="1101"/>
      <c r="AK257" s="1101"/>
      <c r="AL257" s="1101"/>
      <c r="AM257" s="1101"/>
      <c r="AN257" s="1101"/>
      <c r="AO257" s="1101"/>
      <c r="AP257" s="1101"/>
      <c r="AQ257" s="1101"/>
      <c r="AR257" s="1101"/>
      <c r="AS257" s="1101"/>
      <c r="AT257" s="1101"/>
      <c r="AU257" s="1101"/>
      <c r="AV257" s="1101"/>
      <c r="AW257" s="1101"/>
      <c r="AX257" s="1101"/>
      <c r="AY257" s="1101"/>
      <c r="AZ257" s="1101"/>
      <c r="BA257" s="1101"/>
      <c r="BB257" s="1101"/>
      <c r="BC257" s="1101"/>
      <c r="BD257" s="1101"/>
      <c r="BE257" s="1101"/>
      <c r="BF257" s="1101"/>
      <c r="BG257" s="1101"/>
      <c r="BH257" s="1101"/>
      <c r="BI257" s="1101"/>
      <c r="BJ257" s="1101"/>
      <c r="BK257" s="1101"/>
      <c r="BL257" s="1101"/>
      <c r="BM257" s="1101"/>
      <c r="BN257" s="1101"/>
      <c r="BO257" s="1101"/>
      <c r="BP257" s="1101"/>
      <c r="BQ257" s="1101"/>
      <c r="BR257" s="1101"/>
      <c r="BS257" s="1101"/>
      <c r="BT257" s="1101"/>
      <c r="BU257" s="1101"/>
      <c r="BV257" s="1101"/>
      <c r="BW257" s="1101"/>
      <c r="BX257" s="1101"/>
      <c r="BY257" s="1101"/>
      <c r="BZ257" s="1101"/>
      <c r="CA257" s="1101"/>
      <c r="CB257" s="1101"/>
      <c r="CC257" s="1101"/>
      <c r="CD257" s="1101"/>
      <c r="CE257" s="1101"/>
      <c r="CF257" s="1101"/>
      <c r="CH257" s="1015"/>
      <c r="CI257" s="1015"/>
      <c r="CJ257" s="1015"/>
      <c r="CK257" s="1015"/>
      <c r="CL257" s="1015"/>
      <c r="CM257" s="1015"/>
      <c r="CN257" s="1015"/>
      <c r="CO257" s="1015"/>
      <c r="CP257" s="1015"/>
      <c r="CQ257" s="1015"/>
      <c r="CR257" s="1015"/>
      <c r="CS257" s="1015"/>
      <c r="CT257" s="1015"/>
      <c r="CU257" s="1015"/>
      <c r="CV257" s="1015"/>
      <c r="CW257" s="1015"/>
      <c r="CX257" s="1015"/>
      <c r="CY257" s="1015"/>
      <c r="CZ257" s="1015"/>
      <c r="DA257" s="1015"/>
      <c r="DB257" s="1015"/>
      <c r="DC257" s="1015"/>
      <c r="DD257" s="1015"/>
      <c r="DE257" s="1015"/>
      <c r="DF257" s="1015"/>
      <c r="DG257" s="1015"/>
      <c r="DH257" s="1015"/>
      <c r="DI257" s="1015"/>
      <c r="DJ257" s="1015"/>
      <c r="DK257" s="1015"/>
      <c r="DL257" s="1015"/>
      <c r="DM257" s="1015"/>
      <c r="DN257" s="1015"/>
      <c r="DO257" s="1015"/>
      <c r="DP257" s="1015"/>
      <c r="DQ257" s="1101"/>
      <c r="DR257" s="1101"/>
      <c r="DS257" s="1101"/>
      <c r="DT257" s="1101"/>
      <c r="DU257" s="1101"/>
      <c r="DV257" s="1101"/>
      <c r="DW257" s="1101"/>
      <c r="DX257" s="1101"/>
      <c r="DY257" s="1101"/>
      <c r="DZ257" s="1101"/>
      <c r="EA257" s="1101"/>
      <c r="EB257" s="1101"/>
      <c r="EC257" s="1101"/>
      <c r="ED257" s="1101"/>
      <c r="EE257" s="1101"/>
      <c r="EF257" s="1101"/>
      <c r="EG257" s="1101"/>
      <c r="EH257" s="1101"/>
      <c r="EI257" s="1101"/>
      <c r="EJ257" s="1101"/>
      <c r="EK257" s="1101"/>
      <c r="EL257" s="1101"/>
      <c r="EM257" s="1101"/>
      <c r="EN257" s="1101"/>
      <c r="EO257" s="1101"/>
      <c r="EP257" s="1101"/>
      <c r="EQ257" s="1101"/>
      <c r="ER257" s="1101"/>
      <c r="ES257" s="1101"/>
      <c r="ET257" s="1101"/>
      <c r="EU257" s="1101"/>
      <c r="EV257" s="1101"/>
      <c r="EW257" s="1101"/>
      <c r="EX257" s="1101"/>
      <c r="EY257" s="1101"/>
      <c r="EZ257" s="1101"/>
      <c r="FA257" s="1101"/>
    </row>
    <row r="258" spans="2:157">
      <c r="B258" s="1101"/>
      <c r="C258" s="1101"/>
      <c r="D258" s="1101"/>
      <c r="E258" s="1101"/>
      <c r="F258" s="1101"/>
      <c r="G258" s="1101"/>
      <c r="H258" s="1101"/>
      <c r="I258" s="1101"/>
      <c r="J258" s="1101"/>
      <c r="K258" s="1101"/>
      <c r="L258" s="1101"/>
      <c r="M258" s="1101"/>
      <c r="N258" s="1101"/>
      <c r="O258" s="1101"/>
      <c r="P258" s="1101"/>
      <c r="Q258" s="1101"/>
      <c r="R258" s="1101"/>
      <c r="S258" s="1101"/>
      <c r="T258" s="1101"/>
      <c r="U258" s="1101"/>
      <c r="V258" s="1101"/>
      <c r="W258" s="1101"/>
      <c r="X258" s="1101"/>
      <c r="Y258" s="1101"/>
      <c r="Z258" s="1101"/>
      <c r="AA258" s="1101"/>
      <c r="AB258" s="1101"/>
      <c r="AC258" s="1101"/>
      <c r="AD258" s="1101"/>
      <c r="AE258" s="1101"/>
      <c r="AF258" s="1101"/>
      <c r="AG258" s="1101"/>
      <c r="AH258" s="1101"/>
      <c r="AI258" s="1101"/>
      <c r="AJ258" s="1101"/>
      <c r="AK258" s="1101"/>
      <c r="AL258" s="1101"/>
      <c r="AM258" s="1101"/>
      <c r="AN258" s="1101"/>
      <c r="AO258" s="1101"/>
      <c r="AP258" s="1101"/>
      <c r="AQ258" s="1101"/>
      <c r="AR258" s="1101"/>
      <c r="AS258" s="1101"/>
      <c r="AT258" s="1101"/>
      <c r="AU258" s="1101"/>
      <c r="AV258" s="1101"/>
      <c r="AW258" s="1101"/>
      <c r="AX258" s="1101"/>
      <c r="AY258" s="1101"/>
      <c r="AZ258" s="1101"/>
      <c r="BA258" s="1101"/>
      <c r="BB258" s="1101"/>
      <c r="BC258" s="1101"/>
      <c r="BD258" s="1101"/>
      <c r="BE258" s="1101"/>
      <c r="BF258" s="1101"/>
      <c r="BG258" s="1101"/>
      <c r="BH258" s="1101"/>
      <c r="BI258" s="1101"/>
      <c r="BJ258" s="1101"/>
      <c r="BK258" s="1101"/>
      <c r="BL258" s="1101"/>
      <c r="BM258" s="1101"/>
      <c r="BN258" s="1101"/>
      <c r="BO258" s="1101"/>
      <c r="BP258" s="1101"/>
      <c r="BQ258" s="1101"/>
      <c r="BR258" s="1101"/>
      <c r="BS258" s="1101"/>
      <c r="BT258" s="1101"/>
      <c r="BU258" s="1101"/>
      <c r="BV258" s="1101"/>
      <c r="BW258" s="1101"/>
      <c r="BX258" s="1101"/>
      <c r="BY258" s="1101"/>
      <c r="BZ258" s="1101"/>
      <c r="CA258" s="1101"/>
      <c r="CB258" s="1101"/>
      <c r="CC258" s="1101"/>
      <c r="CD258" s="1101"/>
      <c r="CE258" s="1101"/>
      <c r="CF258" s="1101"/>
      <c r="CH258" s="1015"/>
      <c r="CI258" s="1015"/>
      <c r="CJ258" s="1015"/>
      <c r="CK258" s="1015"/>
      <c r="CL258" s="1015"/>
      <c r="CM258" s="1015"/>
      <c r="CN258" s="1015"/>
      <c r="CO258" s="1015"/>
      <c r="CP258" s="1015"/>
      <c r="CQ258" s="1015"/>
      <c r="CR258" s="1015"/>
      <c r="CS258" s="1015"/>
      <c r="CT258" s="1015"/>
      <c r="CU258" s="1015"/>
      <c r="CV258" s="1015"/>
      <c r="CW258" s="1015"/>
      <c r="CX258" s="1015"/>
      <c r="CY258" s="1015"/>
      <c r="CZ258" s="1015"/>
      <c r="DA258" s="1015"/>
      <c r="DB258" s="1015"/>
      <c r="DC258" s="1015"/>
      <c r="DD258" s="1015"/>
      <c r="DE258" s="1015"/>
      <c r="DF258" s="1015"/>
      <c r="DG258" s="1015"/>
      <c r="DH258" s="1015"/>
      <c r="DI258" s="1015"/>
      <c r="DJ258" s="1015"/>
      <c r="DK258" s="1015"/>
      <c r="DL258" s="1015"/>
      <c r="DM258" s="1015"/>
      <c r="DN258" s="1015"/>
      <c r="DO258" s="1015"/>
      <c r="DP258" s="1015"/>
      <c r="DQ258" s="1101"/>
      <c r="DR258" s="1101"/>
      <c r="DS258" s="1101"/>
      <c r="DT258" s="1101"/>
      <c r="DU258" s="1101"/>
      <c r="DV258" s="1101"/>
      <c r="DW258" s="1101"/>
      <c r="DX258" s="1101"/>
      <c r="DY258" s="1101"/>
      <c r="DZ258" s="1101"/>
      <c r="EA258" s="1101"/>
      <c r="EB258" s="1101"/>
      <c r="EC258" s="1101"/>
      <c r="ED258" s="1101"/>
      <c r="EE258" s="1101"/>
      <c r="EF258" s="1101"/>
      <c r="EG258" s="1101"/>
      <c r="EH258" s="1101"/>
      <c r="EI258" s="1101"/>
      <c r="EJ258" s="1101"/>
      <c r="EK258" s="1101"/>
      <c r="EL258" s="1101"/>
      <c r="EM258" s="1101"/>
      <c r="EN258" s="1101"/>
      <c r="EO258" s="1101"/>
      <c r="EP258" s="1101"/>
      <c r="EQ258" s="1101"/>
      <c r="ER258" s="1101"/>
      <c r="ES258" s="1101"/>
      <c r="ET258" s="1101"/>
      <c r="EU258" s="1101"/>
      <c r="EV258" s="1101"/>
      <c r="EW258" s="1101"/>
      <c r="EX258" s="1101"/>
      <c r="EY258" s="1101"/>
      <c r="EZ258" s="1101"/>
      <c r="FA258" s="1101"/>
    </row>
    <row r="259" spans="2:157">
      <c r="B259" s="1101"/>
      <c r="C259" s="1101"/>
      <c r="D259" s="1101"/>
      <c r="E259" s="1101"/>
      <c r="F259" s="1101"/>
      <c r="G259" s="1101"/>
      <c r="H259" s="1101"/>
      <c r="I259" s="1101"/>
      <c r="J259" s="1101"/>
      <c r="K259" s="1101"/>
      <c r="L259" s="1101"/>
      <c r="M259" s="1101"/>
      <c r="N259" s="1101"/>
      <c r="O259" s="1101"/>
      <c r="P259" s="1101"/>
      <c r="Q259" s="1101"/>
      <c r="R259" s="1101"/>
      <c r="S259" s="1101"/>
      <c r="T259" s="1101"/>
      <c r="U259" s="1101"/>
      <c r="V259" s="1101"/>
      <c r="W259" s="1101"/>
      <c r="X259" s="1101"/>
      <c r="Y259" s="1101"/>
      <c r="Z259" s="1101"/>
      <c r="AA259" s="1101"/>
      <c r="AB259" s="1101"/>
      <c r="AC259" s="1101"/>
      <c r="AD259" s="1101"/>
      <c r="AE259" s="1101"/>
      <c r="AF259" s="1101"/>
      <c r="AG259" s="1101"/>
      <c r="AH259" s="1101"/>
      <c r="AI259" s="1101"/>
      <c r="AJ259" s="1101"/>
      <c r="AK259" s="1101"/>
      <c r="AL259" s="1101"/>
      <c r="AM259" s="1101"/>
      <c r="AN259" s="1101"/>
      <c r="AO259" s="1101"/>
      <c r="AP259" s="1101"/>
      <c r="AQ259" s="1101"/>
      <c r="AR259" s="1101"/>
      <c r="AS259" s="1101"/>
      <c r="AT259" s="1101"/>
      <c r="AU259" s="1101"/>
      <c r="AV259" s="1101"/>
      <c r="AW259" s="1101"/>
      <c r="AX259" s="1101"/>
      <c r="AY259" s="1101"/>
      <c r="AZ259" s="1101"/>
      <c r="BA259" s="1101"/>
      <c r="BB259" s="1101"/>
      <c r="BC259" s="1101"/>
      <c r="BD259" s="1101"/>
      <c r="BE259" s="1101"/>
      <c r="BF259" s="1101"/>
      <c r="BG259" s="1101"/>
      <c r="BH259" s="1101"/>
      <c r="BI259" s="1101"/>
      <c r="BJ259" s="1101"/>
      <c r="BK259" s="1101"/>
      <c r="BL259" s="1101"/>
      <c r="BM259" s="1101"/>
      <c r="BN259" s="1101"/>
      <c r="BO259" s="1101"/>
      <c r="BP259" s="1101"/>
      <c r="BQ259" s="1101"/>
      <c r="BR259" s="1101"/>
      <c r="BS259" s="1101"/>
      <c r="BT259" s="1101"/>
      <c r="BU259" s="1101"/>
      <c r="BV259" s="1101"/>
      <c r="BW259" s="1101"/>
      <c r="BX259" s="1101"/>
      <c r="BY259" s="1101"/>
      <c r="BZ259" s="1101"/>
      <c r="CA259" s="1101"/>
      <c r="CB259" s="1101"/>
      <c r="CC259" s="1101"/>
      <c r="CD259" s="1101"/>
      <c r="CE259" s="1101"/>
      <c r="CF259" s="1101"/>
      <c r="CH259" s="1015"/>
      <c r="CI259" s="1015"/>
      <c r="CJ259" s="1015"/>
      <c r="CK259" s="1015"/>
      <c r="CL259" s="1015"/>
      <c r="CM259" s="1015"/>
      <c r="CN259" s="1015"/>
      <c r="CO259" s="1015"/>
      <c r="CP259" s="1015"/>
      <c r="CQ259" s="1015"/>
      <c r="CR259" s="1015"/>
      <c r="CS259" s="1015"/>
      <c r="CT259" s="1015"/>
      <c r="CU259" s="1015"/>
      <c r="CV259" s="1015"/>
      <c r="CW259" s="1015"/>
      <c r="CX259" s="1015"/>
      <c r="CY259" s="1015"/>
      <c r="CZ259" s="1015"/>
      <c r="DA259" s="1015"/>
      <c r="DB259" s="1015"/>
      <c r="DC259" s="1015"/>
      <c r="DD259" s="1015"/>
      <c r="DE259" s="1015"/>
      <c r="DF259" s="1015"/>
      <c r="DG259" s="1015"/>
      <c r="DH259" s="1015"/>
      <c r="DI259" s="1015"/>
      <c r="DJ259" s="1015"/>
      <c r="DK259" s="1015"/>
      <c r="DL259" s="1015"/>
      <c r="DM259" s="1015"/>
      <c r="DN259" s="1015"/>
      <c r="DO259" s="1015"/>
      <c r="DP259" s="1015"/>
      <c r="DQ259" s="1101"/>
      <c r="DR259" s="1101"/>
      <c r="DS259" s="1101"/>
      <c r="DT259" s="1101"/>
      <c r="DU259" s="1101"/>
      <c r="DV259" s="1101"/>
      <c r="DW259" s="1101"/>
      <c r="DX259" s="1101"/>
      <c r="DY259" s="1101"/>
      <c r="DZ259" s="1101"/>
      <c r="EA259" s="1101"/>
      <c r="EB259" s="1101"/>
      <c r="EC259" s="1101"/>
      <c r="ED259" s="1101"/>
      <c r="EE259" s="1101"/>
      <c r="EF259" s="1101"/>
      <c r="EG259" s="1101"/>
      <c r="EH259" s="1101"/>
      <c r="EI259" s="1101"/>
      <c r="EJ259" s="1101"/>
      <c r="EK259" s="1101"/>
      <c r="EL259" s="1101"/>
      <c r="EM259" s="1101"/>
      <c r="EN259" s="1101"/>
      <c r="EO259" s="1101"/>
      <c r="EP259" s="1101"/>
      <c r="EQ259" s="1101"/>
      <c r="ER259" s="1101"/>
      <c r="ES259" s="1101"/>
      <c r="ET259" s="1101"/>
      <c r="EU259" s="1101"/>
      <c r="EV259" s="1101"/>
      <c r="EW259" s="1101"/>
      <c r="EX259" s="1101"/>
      <c r="EY259" s="1101"/>
      <c r="EZ259" s="1101"/>
      <c r="FA259" s="1101"/>
    </row>
    <row r="260" spans="2:157">
      <c r="B260" s="1101"/>
      <c r="C260" s="1101"/>
      <c r="D260" s="1101"/>
      <c r="E260" s="1101"/>
      <c r="F260" s="1101"/>
      <c r="G260" s="1101"/>
      <c r="H260" s="1101"/>
      <c r="I260" s="1101"/>
      <c r="J260" s="1101"/>
      <c r="K260" s="1101"/>
      <c r="L260" s="1101"/>
      <c r="M260" s="1101"/>
      <c r="N260" s="1101"/>
      <c r="O260" s="1101"/>
      <c r="P260" s="1101"/>
      <c r="Q260" s="1101"/>
      <c r="R260" s="1101"/>
      <c r="S260" s="1101"/>
      <c r="T260" s="1101"/>
      <c r="U260" s="1101"/>
      <c r="V260" s="1101"/>
      <c r="W260" s="1101"/>
      <c r="X260" s="1101"/>
      <c r="Y260" s="1101"/>
      <c r="Z260" s="1101"/>
      <c r="AA260" s="1101"/>
      <c r="AB260" s="1101"/>
      <c r="AC260" s="1101"/>
      <c r="AD260" s="1101"/>
      <c r="AE260" s="1101"/>
      <c r="AF260" s="1101"/>
      <c r="AG260" s="1101"/>
      <c r="AH260" s="1101"/>
      <c r="AI260" s="1101"/>
      <c r="AJ260" s="1101"/>
      <c r="AK260" s="1101"/>
      <c r="AL260" s="1101"/>
      <c r="AM260" s="1101"/>
      <c r="AN260" s="1101"/>
      <c r="AO260" s="1101"/>
      <c r="AP260" s="1101"/>
      <c r="AQ260" s="1101"/>
      <c r="AR260" s="1101"/>
      <c r="AS260" s="1101"/>
      <c r="AT260" s="1101"/>
      <c r="AU260" s="1101"/>
      <c r="AV260" s="1101"/>
      <c r="AW260" s="1101"/>
      <c r="AX260" s="1101"/>
      <c r="AY260" s="1101"/>
      <c r="AZ260" s="1101"/>
      <c r="BA260" s="1101"/>
      <c r="BB260" s="1101"/>
      <c r="BC260" s="1101"/>
      <c r="BD260" s="1101"/>
      <c r="BE260" s="1101"/>
      <c r="BF260" s="1101"/>
      <c r="BG260" s="1101"/>
      <c r="BH260" s="1101"/>
      <c r="BI260" s="1101"/>
      <c r="BJ260" s="1101"/>
      <c r="BK260" s="1101"/>
      <c r="BL260" s="1101"/>
      <c r="BM260" s="1101"/>
      <c r="BN260" s="1101"/>
      <c r="BO260" s="1101"/>
      <c r="BP260" s="1101"/>
      <c r="BQ260" s="1101"/>
      <c r="BR260" s="1101"/>
      <c r="BS260" s="1101"/>
      <c r="BT260" s="1101"/>
      <c r="BU260" s="1101"/>
      <c r="BV260" s="1101"/>
      <c r="BW260" s="1101"/>
      <c r="BX260" s="1101"/>
      <c r="BY260" s="1101"/>
      <c r="BZ260" s="1101"/>
      <c r="CA260" s="1101"/>
      <c r="CB260" s="1101"/>
      <c r="CC260" s="1101"/>
      <c r="CD260" s="1101"/>
      <c r="CE260" s="1101"/>
      <c r="CF260" s="1101"/>
      <c r="CH260" s="1015"/>
      <c r="CI260" s="1015"/>
      <c r="CJ260" s="1015"/>
      <c r="CK260" s="1015"/>
      <c r="CL260" s="1015"/>
      <c r="CM260" s="1015"/>
      <c r="CN260" s="1015"/>
      <c r="CO260" s="1015"/>
      <c r="CP260" s="1015"/>
      <c r="CQ260" s="1015"/>
      <c r="CR260" s="1015"/>
      <c r="CS260" s="1015"/>
      <c r="CT260" s="1015"/>
      <c r="CU260" s="1015"/>
      <c r="CV260" s="1015"/>
      <c r="CW260" s="1015"/>
      <c r="CX260" s="1015"/>
      <c r="CY260" s="1015"/>
      <c r="CZ260" s="1015"/>
      <c r="DA260" s="1015"/>
      <c r="DB260" s="1015"/>
      <c r="DC260" s="1015"/>
      <c r="DD260" s="1015"/>
      <c r="DE260" s="1015"/>
      <c r="DF260" s="1015"/>
      <c r="DG260" s="1015"/>
      <c r="DH260" s="1015"/>
      <c r="DI260" s="1015"/>
      <c r="DJ260" s="1015"/>
      <c r="DK260" s="1015"/>
      <c r="DL260" s="1015"/>
      <c r="DM260" s="1015"/>
      <c r="DN260" s="1015"/>
      <c r="DO260" s="1015"/>
      <c r="DP260" s="1015"/>
      <c r="DQ260" s="1101"/>
      <c r="DR260" s="1101"/>
      <c r="DS260" s="1101"/>
      <c r="DT260" s="1101"/>
      <c r="DU260" s="1101"/>
      <c r="DV260" s="1101"/>
      <c r="DW260" s="1101"/>
      <c r="DX260" s="1101"/>
      <c r="DY260" s="1101"/>
      <c r="DZ260" s="1101"/>
      <c r="EA260" s="1101"/>
      <c r="EB260" s="1101"/>
      <c r="EC260" s="1101"/>
      <c r="ED260" s="1101"/>
      <c r="EE260" s="1101"/>
      <c r="EF260" s="1101"/>
      <c r="EG260" s="1101"/>
      <c r="EH260" s="1101"/>
      <c r="EI260" s="1101"/>
      <c r="EJ260" s="1101"/>
      <c r="EK260" s="1101"/>
      <c r="EL260" s="1101"/>
      <c r="EM260" s="1101"/>
      <c r="EN260" s="1101"/>
      <c r="EO260" s="1101"/>
      <c r="EP260" s="1101"/>
      <c r="EQ260" s="1101"/>
      <c r="ER260" s="1101"/>
      <c r="ES260" s="1101"/>
      <c r="ET260" s="1101"/>
      <c r="EU260" s="1101"/>
      <c r="EV260" s="1101"/>
      <c r="EW260" s="1101"/>
      <c r="EX260" s="1101"/>
      <c r="EY260" s="1101"/>
      <c r="EZ260" s="1101"/>
      <c r="FA260" s="1101"/>
    </row>
  </sheetData>
  <autoFilter ref="B5:FA220" xr:uid="{C9348E7C-9465-4E18-AA65-93F7B91C0DE2}"/>
  <mergeCells count="1">
    <mergeCell ref="C4:D4"/>
  </mergeCells>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132" max="1048575" man="1"/>
    <brk id="170" max="104857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FFFF00"/>
    <pageSetUpPr fitToPage="1"/>
  </sheetPr>
  <dimension ref="A1:Y57"/>
  <sheetViews>
    <sheetView zoomScale="80" zoomScaleNormal="80" workbookViewId="0">
      <selection activeCell="E52" sqref="E52"/>
    </sheetView>
  </sheetViews>
  <sheetFormatPr defaultRowHeight="13.8"/>
  <cols>
    <col min="1" max="1" width="5.44140625" style="6" customWidth="1"/>
    <col min="2" max="2" width="78.44140625" style="7" customWidth="1"/>
    <col min="3" max="4" width="18.5546875" style="8" customWidth="1"/>
    <col min="5" max="5" width="18.5546875" style="9" customWidth="1"/>
    <col min="6" max="6" width="18.6640625" style="9" customWidth="1"/>
    <col min="7" max="7" width="9" style="9" customWidth="1"/>
    <col min="8" max="8" width="16.21875" style="9" customWidth="1"/>
    <col min="9" max="9" width="15.109375" style="9" customWidth="1"/>
    <col min="10" max="11" width="9" style="10" customWidth="1"/>
    <col min="12" max="20" width="9" style="9" customWidth="1"/>
    <col min="21" max="21" width="9.109375" style="9"/>
    <col min="22" max="22" width="8.6640625" style="9" customWidth="1"/>
    <col min="23" max="256" width="9.109375" style="9"/>
    <col min="257" max="257" width="2.6640625" style="9" customWidth="1"/>
    <col min="258" max="258" width="114.44140625" style="9" customWidth="1"/>
    <col min="259" max="259" width="0" style="9" hidden="1" customWidth="1"/>
    <col min="260" max="260" width="27.5546875" style="9" customWidth="1"/>
    <col min="261" max="261" width="20" style="9" customWidth="1"/>
    <col min="262" max="262" width="18.33203125" style="9" customWidth="1"/>
    <col min="263" max="263" width="20.109375" style="9" customWidth="1"/>
    <col min="264" max="264" width="10.6640625" style="9" customWidth="1"/>
    <col min="265" max="265" width="14.44140625" style="9" bestFit="1" customWidth="1"/>
    <col min="266" max="266" width="10.6640625" style="9" customWidth="1"/>
    <col min="267" max="267" width="12.6640625" style="9" bestFit="1" customWidth="1"/>
    <col min="268" max="270" width="8.44140625" style="9" customWidth="1"/>
    <col min="271" max="273" width="13" style="9" customWidth="1"/>
    <col min="274" max="277" width="9.109375" style="9"/>
    <col min="278" max="278" width="8.6640625" style="9" customWidth="1"/>
    <col min="279" max="512" width="9.109375" style="9"/>
    <col min="513" max="513" width="2.6640625" style="9" customWidth="1"/>
    <col min="514" max="514" width="114.44140625" style="9" customWidth="1"/>
    <col min="515" max="515" width="0" style="9" hidden="1" customWidth="1"/>
    <col min="516" max="516" width="27.5546875" style="9" customWidth="1"/>
    <col min="517" max="517" width="20" style="9" customWidth="1"/>
    <col min="518" max="518" width="18.33203125" style="9" customWidth="1"/>
    <col min="519" max="519" width="20.109375" style="9" customWidth="1"/>
    <col min="520" max="520" width="10.6640625" style="9" customWidth="1"/>
    <col min="521" max="521" width="14.44140625" style="9" bestFit="1" customWidth="1"/>
    <col min="522" max="522" width="10.6640625" style="9" customWidth="1"/>
    <col min="523" max="523" width="12.6640625" style="9" bestFit="1" customWidth="1"/>
    <col min="524" max="526" width="8.44140625" style="9" customWidth="1"/>
    <col min="527" max="529" width="13" style="9" customWidth="1"/>
    <col min="530" max="533" width="9.109375" style="9"/>
    <col min="534" max="534" width="8.6640625" style="9" customWidth="1"/>
    <col min="535" max="768" width="9.109375" style="9"/>
    <col min="769" max="769" width="2.6640625" style="9" customWidth="1"/>
    <col min="770" max="770" width="114.44140625" style="9" customWidth="1"/>
    <col min="771" max="771" width="0" style="9" hidden="1" customWidth="1"/>
    <col min="772" max="772" width="27.5546875" style="9" customWidth="1"/>
    <col min="773" max="773" width="20" style="9" customWidth="1"/>
    <col min="774" max="774" width="18.33203125" style="9" customWidth="1"/>
    <col min="775" max="775" width="20.109375" style="9" customWidth="1"/>
    <col min="776" max="776" width="10.6640625" style="9" customWidth="1"/>
    <col min="777" max="777" width="14.44140625" style="9" bestFit="1" customWidth="1"/>
    <col min="778" max="778" width="10.6640625" style="9" customWidth="1"/>
    <col min="779" max="779" width="12.6640625" style="9" bestFit="1" customWidth="1"/>
    <col min="780" max="782" width="8.44140625" style="9" customWidth="1"/>
    <col min="783" max="785" width="13" style="9" customWidth="1"/>
    <col min="786" max="789" width="9.109375" style="9"/>
    <col min="790" max="790" width="8.6640625" style="9" customWidth="1"/>
    <col min="791" max="1024" width="9.109375" style="9"/>
    <col min="1025" max="1025" width="2.6640625" style="9" customWidth="1"/>
    <col min="1026" max="1026" width="114.44140625" style="9" customWidth="1"/>
    <col min="1027" max="1027" width="0" style="9" hidden="1" customWidth="1"/>
    <col min="1028" max="1028" width="27.5546875" style="9" customWidth="1"/>
    <col min="1029" max="1029" width="20" style="9" customWidth="1"/>
    <col min="1030" max="1030" width="18.33203125" style="9" customWidth="1"/>
    <col min="1031" max="1031" width="20.109375" style="9" customWidth="1"/>
    <col min="1032" max="1032" width="10.6640625" style="9" customWidth="1"/>
    <col min="1033" max="1033" width="14.44140625" style="9" bestFit="1" customWidth="1"/>
    <col min="1034" max="1034" width="10.6640625" style="9" customWidth="1"/>
    <col min="1035" max="1035" width="12.6640625" style="9" bestFit="1" customWidth="1"/>
    <col min="1036" max="1038" width="8.44140625" style="9" customWidth="1"/>
    <col min="1039" max="1041" width="13" style="9" customWidth="1"/>
    <col min="1042" max="1045" width="9.109375" style="9"/>
    <col min="1046" max="1046" width="8.6640625" style="9" customWidth="1"/>
    <col min="1047" max="1280" width="9.109375" style="9"/>
    <col min="1281" max="1281" width="2.6640625" style="9" customWidth="1"/>
    <col min="1282" max="1282" width="114.44140625" style="9" customWidth="1"/>
    <col min="1283" max="1283" width="0" style="9" hidden="1" customWidth="1"/>
    <col min="1284" max="1284" width="27.5546875" style="9" customWidth="1"/>
    <col min="1285" max="1285" width="20" style="9" customWidth="1"/>
    <col min="1286" max="1286" width="18.33203125" style="9" customWidth="1"/>
    <col min="1287" max="1287" width="20.109375" style="9" customWidth="1"/>
    <col min="1288" max="1288" width="10.6640625" style="9" customWidth="1"/>
    <col min="1289" max="1289" width="14.44140625" style="9" bestFit="1" customWidth="1"/>
    <col min="1290" max="1290" width="10.6640625" style="9" customWidth="1"/>
    <col min="1291" max="1291" width="12.6640625" style="9" bestFit="1" customWidth="1"/>
    <col min="1292" max="1294" width="8.44140625" style="9" customWidth="1"/>
    <col min="1295" max="1297" width="13" style="9" customWidth="1"/>
    <col min="1298" max="1301" width="9.109375" style="9"/>
    <col min="1302" max="1302" width="8.6640625" style="9" customWidth="1"/>
    <col min="1303" max="1536" width="9.109375" style="9"/>
    <col min="1537" max="1537" width="2.6640625" style="9" customWidth="1"/>
    <col min="1538" max="1538" width="114.44140625" style="9" customWidth="1"/>
    <col min="1539" max="1539" width="0" style="9" hidden="1" customWidth="1"/>
    <col min="1540" max="1540" width="27.5546875" style="9" customWidth="1"/>
    <col min="1541" max="1541" width="20" style="9" customWidth="1"/>
    <col min="1542" max="1542" width="18.33203125" style="9" customWidth="1"/>
    <col min="1543" max="1543" width="20.109375" style="9" customWidth="1"/>
    <col min="1544" max="1544" width="10.6640625" style="9" customWidth="1"/>
    <col min="1545" max="1545" width="14.44140625" style="9" bestFit="1" customWidth="1"/>
    <col min="1546" max="1546" width="10.6640625" style="9" customWidth="1"/>
    <col min="1547" max="1547" width="12.6640625" style="9" bestFit="1" customWidth="1"/>
    <col min="1548" max="1550" width="8.44140625" style="9" customWidth="1"/>
    <col min="1551" max="1553" width="13" style="9" customWidth="1"/>
    <col min="1554" max="1557" width="9.109375" style="9"/>
    <col min="1558" max="1558" width="8.6640625" style="9" customWidth="1"/>
    <col min="1559" max="1792" width="9.109375" style="9"/>
    <col min="1793" max="1793" width="2.6640625" style="9" customWidth="1"/>
    <col min="1794" max="1794" width="114.44140625" style="9" customWidth="1"/>
    <col min="1795" max="1795" width="0" style="9" hidden="1" customWidth="1"/>
    <col min="1796" max="1796" width="27.5546875" style="9" customWidth="1"/>
    <col min="1797" max="1797" width="20" style="9" customWidth="1"/>
    <col min="1798" max="1798" width="18.33203125" style="9" customWidth="1"/>
    <col min="1799" max="1799" width="20.109375" style="9" customWidth="1"/>
    <col min="1800" max="1800" width="10.6640625" style="9" customWidth="1"/>
    <col min="1801" max="1801" width="14.44140625" style="9" bestFit="1" customWidth="1"/>
    <col min="1802" max="1802" width="10.6640625" style="9" customWidth="1"/>
    <col min="1803" max="1803" width="12.6640625" style="9" bestFit="1" customWidth="1"/>
    <col min="1804" max="1806" width="8.44140625" style="9" customWidth="1"/>
    <col min="1807" max="1809" width="13" style="9" customWidth="1"/>
    <col min="1810" max="1813" width="9.109375" style="9"/>
    <col min="1814" max="1814" width="8.6640625" style="9" customWidth="1"/>
    <col min="1815" max="2048" width="9.109375" style="9"/>
    <col min="2049" max="2049" width="2.6640625" style="9" customWidth="1"/>
    <col min="2050" max="2050" width="114.44140625" style="9" customWidth="1"/>
    <col min="2051" max="2051" width="0" style="9" hidden="1" customWidth="1"/>
    <col min="2052" max="2052" width="27.5546875" style="9" customWidth="1"/>
    <col min="2053" max="2053" width="20" style="9" customWidth="1"/>
    <col min="2054" max="2054" width="18.33203125" style="9" customWidth="1"/>
    <col min="2055" max="2055" width="20.109375" style="9" customWidth="1"/>
    <col min="2056" max="2056" width="10.6640625" style="9" customWidth="1"/>
    <col min="2057" max="2057" width="14.44140625" style="9" bestFit="1" customWidth="1"/>
    <col min="2058" max="2058" width="10.6640625" style="9" customWidth="1"/>
    <col min="2059" max="2059" width="12.6640625" style="9" bestFit="1" customWidth="1"/>
    <col min="2060" max="2062" width="8.44140625" style="9" customWidth="1"/>
    <col min="2063" max="2065" width="13" style="9" customWidth="1"/>
    <col min="2066" max="2069" width="9.109375" style="9"/>
    <col min="2070" max="2070" width="8.6640625" style="9" customWidth="1"/>
    <col min="2071" max="2304" width="9.109375" style="9"/>
    <col min="2305" max="2305" width="2.6640625" style="9" customWidth="1"/>
    <col min="2306" max="2306" width="114.44140625" style="9" customWidth="1"/>
    <col min="2307" max="2307" width="0" style="9" hidden="1" customWidth="1"/>
    <col min="2308" max="2308" width="27.5546875" style="9" customWidth="1"/>
    <col min="2309" max="2309" width="20" style="9" customWidth="1"/>
    <col min="2310" max="2310" width="18.33203125" style="9" customWidth="1"/>
    <col min="2311" max="2311" width="20.109375" style="9" customWidth="1"/>
    <col min="2312" max="2312" width="10.6640625" style="9" customWidth="1"/>
    <col min="2313" max="2313" width="14.44140625" style="9" bestFit="1" customWidth="1"/>
    <col min="2314" max="2314" width="10.6640625" style="9" customWidth="1"/>
    <col min="2315" max="2315" width="12.6640625" style="9" bestFit="1" customWidth="1"/>
    <col min="2316" max="2318" width="8.44140625" style="9" customWidth="1"/>
    <col min="2319" max="2321" width="13" style="9" customWidth="1"/>
    <col min="2322" max="2325" width="9.109375" style="9"/>
    <col min="2326" max="2326" width="8.6640625" style="9" customWidth="1"/>
    <col min="2327" max="2560" width="9.109375" style="9"/>
    <col min="2561" max="2561" width="2.6640625" style="9" customWidth="1"/>
    <col min="2562" max="2562" width="114.44140625" style="9" customWidth="1"/>
    <col min="2563" max="2563" width="0" style="9" hidden="1" customWidth="1"/>
    <col min="2564" max="2564" width="27.5546875" style="9" customWidth="1"/>
    <col min="2565" max="2565" width="20" style="9" customWidth="1"/>
    <col min="2566" max="2566" width="18.33203125" style="9" customWidth="1"/>
    <col min="2567" max="2567" width="20.109375" style="9" customWidth="1"/>
    <col min="2568" max="2568" width="10.6640625" style="9" customWidth="1"/>
    <col min="2569" max="2569" width="14.44140625" style="9" bestFit="1" customWidth="1"/>
    <col min="2570" max="2570" width="10.6640625" style="9" customWidth="1"/>
    <col min="2571" max="2571" width="12.6640625" style="9" bestFit="1" customWidth="1"/>
    <col min="2572" max="2574" width="8.44140625" style="9" customWidth="1"/>
    <col min="2575" max="2577" width="13" style="9" customWidth="1"/>
    <col min="2578" max="2581" width="9.109375" style="9"/>
    <col min="2582" max="2582" width="8.6640625" style="9" customWidth="1"/>
    <col min="2583" max="2816" width="9.109375" style="9"/>
    <col min="2817" max="2817" width="2.6640625" style="9" customWidth="1"/>
    <col min="2818" max="2818" width="114.44140625" style="9" customWidth="1"/>
    <col min="2819" max="2819" width="0" style="9" hidden="1" customWidth="1"/>
    <col min="2820" max="2820" width="27.5546875" style="9" customWidth="1"/>
    <col min="2821" max="2821" width="20" style="9" customWidth="1"/>
    <col min="2822" max="2822" width="18.33203125" style="9" customWidth="1"/>
    <col min="2823" max="2823" width="20.109375" style="9" customWidth="1"/>
    <col min="2824" max="2824" width="10.6640625" style="9" customWidth="1"/>
    <col min="2825" max="2825" width="14.44140625" style="9" bestFit="1" customWidth="1"/>
    <col min="2826" max="2826" width="10.6640625" style="9" customWidth="1"/>
    <col min="2827" max="2827" width="12.6640625" style="9" bestFit="1" customWidth="1"/>
    <col min="2828" max="2830" width="8.44140625" style="9" customWidth="1"/>
    <col min="2831" max="2833" width="13" style="9" customWidth="1"/>
    <col min="2834" max="2837" width="9.109375" style="9"/>
    <col min="2838" max="2838" width="8.6640625" style="9" customWidth="1"/>
    <col min="2839" max="3072" width="9.109375" style="9"/>
    <col min="3073" max="3073" width="2.6640625" style="9" customWidth="1"/>
    <col min="3074" max="3074" width="114.44140625" style="9" customWidth="1"/>
    <col min="3075" max="3075" width="0" style="9" hidden="1" customWidth="1"/>
    <col min="3076" max="3076" width="27.5546875" style="9" customWidth="1"/>
    <col min="3077" max="3077" width="20" style="9" customWidth="1"/>
    <col min="3078" max="3078" width="18.33203125" style="9" customWidth="1"/>
    <col min="3079" max="3079" width="20.109375" style="9" customWidth="1"/>
    <col min="3080" max="3080" width="10.6640625" style="9" customWidth="1"/>
    <col min="3081" max="3081" width="14.44140625" style="9" bestFit="1" customWidth="1"/>
    <col min="3082" max="3082" width="10.6640625" style="9" customWidth="1"/>
    <col min="3083" max="3083" width="12.6640625" style="9" bestFit="1" customWidth="1"/>
    <col min="3084" max="3086" width="8.44140625" style="9" customWidth="1"/>
    <col min="3087" max="3089" width="13" style="9" customWidth="1"/>
    <col min="3090" max="3093" width="9.109375" style="9"/>
    <col min="3094" max="3094" width="8.6640625" style="9" customWidth="1"/>
    <col min="3095" max="3328" width="9.109375" style="9"/>
    <col min="3329" max="3329" width="2.6640625" style="9" customWidth="1"/>
    <col min="3330" max="3330" width="114.44140625" style="9" customWidth="1"/>
    <col min="3331" max="3331" width="0" style="9" hidden="1" customWidth="1"/>
    <col min="3332" max="3332" width="27.5546875" style="9" customWidth="1"/>
    <col min="3333" max="3333" width="20" style="9" customWidth="1"/>
    <col min="3334" max="3334" width="18.33203125" style="9" customWidth="1"/>
    <col min="3335" max="3335" width="20.109375" style="9" customWidth="1"/>
    <col min="3336" max="3336" width="10.6640625" style="9" customWidth="1"/>
    <col min="3337" max="3337" width="14.44140625" style="9" bestFit="1" customWidth="1"/>
    <col min="3338" max="3338" width="10.6640625" style="9" customWidth="1"/>
    <col min="3339" max="3339" width="12.6640625" style="9" bestFit="1" customWidth="1"/>
    <col min="3340" max="3342" width="8.44140625" style="9" customWidth="1"/>
    <col min="3343" max="3345" width="13" style="9" customWidth="1"/>
    <col min="3346" max="3349" width="9.109375" style="9"/>
    <col min="3350" max="3350" width="8.6640625" style="9" customWidth="1"/>
    <col min="3351" max="3584" width="9.109375" style="9"/>
    <col min="3585" max="3585" width="2.6640625" style="9" customWidth="1"/>
    <col min="3586" max="3586" width="114.44140625" style="9" customWidth="1"/>
    <col min="3587" max="3587" width="0" style="9" hidden="1" customWidth="1"/>
    <col min="3588" max="3588" width="27.5546875" style="9" customWidth="1"/>
    <col min="3589" max="3589" width="20" style="9" customWidth="1"/>
    <col min="3590" max="3590" width="18.33203125" style="9" customWidth="1"/>
    <col min="3591" max="3591" width="20.109375" style="9" customWidth="1"/>
    <col min="3592" max="3592" width="10.6640625" style="9" customWidth="1"/>
    <col min="3593" max="3593" width="14.44140625" style="9" bestFit="1" customWidth="1"/>
    <col min="3594" max="3594" width="10.6640625" style="9" customWidth="1"/>
    <col min="3595" max="3595" width="12.6640625" style="9" bestFit="1" customWidth="1"/>
    <col min="3596" max="3598" width="8.44140625" style="9" customWidth="1"/>
    <col min="3599" max="3601" width="13" style="9" customWidth="1"/>
    <col min="3602" max="3605" width="9.109375" style="9"/>
    <col min="3606" max="3606" width="8.6640625" style="9" customWidth="1"/>
    <col min="3607" max="3840" width="9.109375" style="9"/>
    <col min="3841" max="3841" width="2.6640625" style="9" customWidth="1"/>
    <col min="3842" max="3842" width="114.44140625" style="9" customWidth="1"/>
    <col min="3843" max="3843" width="0" style="9" hidden="1" customWidth="1"/>
    <col min="3844" max="3844" width="27.5546875" style="9" customWidth="1"/>
    <col min="3845" max="3845" width="20" style="9" customWidth="1"/>
    <col min="3846" max="3846" width="18.33203125" style="9" customWidth="1"/>
    <col min="3847" max="3847" width="20.109375" style="9" customWidth="1"/>
    <col min="3848" max="3848" width="10.6640625" style="9" customWidth="1"/>
    <col min="3849" max="3849" width="14.44140625" style="9" bestFit="1" customWidth="1"/>
    <col min="3850" max="3850" width="10.6640625" style="9" customWidth="1"/>
    <col min="3851" max="3851" width="12.6640625" style="9" bestFit="1" customWidth="1"/>
    <col min="3852" max="3854" width="8.44140625" style="9" customWidth="1"/>
    <col min="3855" max="3857" width="13" style="9" customWidth="1"/>
    <col min="3858" max="3861" width="9.109375" style="9"/>
    <col min="3862" max="3862" width="8.6640625" style="9" customWidth="1"/>
    <col min="3863" max="4096" width="9.109375" style="9"/>
    <col min="4097" max="4097" width="2.6640625" style="9" customWidth="1"/>
    <col min="4098" max="4098" width="114.44140625" style="9" customWidth="1"/>
    <col min="4099" max="4099" width="0" style="9" hidden="1" customWidth="1"/>
    <col min="4100" max="4100" width="27.5546875" style="9" customWidth="1"/>
    <col min="4101" max="4101" width="20" style="9" customWidth="1"/>
    <col min="4102" max="4102" width="18.33203125" style="9" customWidth="1"/>
    <col min="4103" max="4103" width="20.109375" style="9" customWidth="1"/>
    <col min="4104" max="4104" width="10.6640625" style="9" customWidth="1"/>
    <col min="4105" max="4105" width="14.44140625" style="9" bestFit="1" customWidth="1"/>
    <col min="4106" max="4106" width="10.6640625" style="9" customWidth="1"/>
    <col min="4107" max="4107" width="12.6640625" style="9" bestFit="1" customWidth="1"/>
    <col min="4108" max="4110" width="8.44140625" style="9" customWidth="1"/>
    <col min="4111" max="4113" width="13" style="9" customWidth="1"/>
    <col min="4114" max="4117" width="9.109375" style="9"/>
    <col min="4118" max="4118" width="8.6640625" style="9" customWidth="1"/>
    <col min="4119" max="4352" width="9.109375" style="9"/>
    <col min="4353" max="4353" width="2.6640625" style="9" customWidth="1"/>
    <col min="4354" max="4354" width="114.44140625" style="9" customWidth="1"/>
    <col min="4355" max="4355" width="0" style="9" hidden="1" customWidth="1"/>
    <col min="4356" max="4356" width="27.5546875" style="9" customWidth="1"/>
    <col min="4357" max="4357" width="20" style="9" customWidth="1"/>
    <col min="4358" max="4358" width="18.33203125" style="9" customWidth="1"/>
    <col min="4359" max="4359" width="20.109375" style="9" customWidth="1"/>
    <col min="4360" max="4360" width="10.6640625" style="9" customWidth="1"/>
    <col min="4361" max="4361" width="14.44140625" style="9" bestFit="1" customWidth="1"/>
    <col min="4362" max="4362" width="10.6640625" style="9" customWidth="1"/>
    <col min="4363" max="4363" width="12.6640625" style="9" bestFit="1" customWidth="1"/>
    <col min="4364" max="4366" width="8.44140625" style="9" customWidth="1"/>
    <col min="4367" max="4369" width="13" style="9" customWidth="1"/>
    <col min="4370" max="4373" width="9.109375" style="9"/>
    <col min="4374" max="4374" width="8.6640625" style="9" customWidth="1"/>
    <col min="4375" max="4608" width="9.109375" style="9"/>
    <col min="4609" max="4609" width="2.6640625" style="9" customWidth="1"/>
    <col min="4610" max="4610" width="114.44140625" style="9" customWidth="1"/>
    <col min="4611" max="4611" width="0" style="9" hidden="1" customWidth="1"/>
    <col min="4612" max="4612" width="27.5546875" style="9" customWidth="1"/>
    <col min="4613" max="4613" width="20" style="9" customWidth="1"/>
    <col min="4614" max="4614" width="18.33203125" style="9" customWidth="1"/>
    <col min="4615" max="4615" width="20.109375" style="9" customWidth="1"/>
    <col min="4616" max="4616" width="10.6640625" style="9" customWidth="1"/>
    <col min="4617" max="4617" width="14.44140625" style="9" bestFit="1" customWidth="1"/>
    <col min="4618" max="4618" width="10.6640625" style="9" customWidth="1"/>
    <col min="4619" max="4619" width="12.6640625" style="9" bestFit="1" customWidth="1"/>
    <col min="4620" max="4622" width="8.44140625" style="9" customWidth="1"/>
    <col min="4623" max="4625" width="13" style="9" customWidth="1"/>
    <col min="4626" max="4629" width="9.109375" style="9"/>
    <col min="4630" max="4630" width="8.6640625" style="9" customWidth="1"/>
    <col min="4631" max="4864" width="9.109375" style="9"/>
    <col min="4865" max="4865" width="2.6640625" style="9" customWidth="1"/>
    <col min="4866" max="4866" width="114.44140625" style="9" customWidth="1"/>
    <col min="4867" max="4867" width="0" style="9" hidden="1" customWidth="1"/>
    <col min="4868" max="4868" width="27.5546875" style="9" customWidth="1"/>
    <col min="4869" max="4869" width="20" style="9" customWidth="1"/>
    <col min="4870" max="4870" width="18.33203125" style="9" customWidth="1"/>
    <col min="4871" max="4871" width="20.109375" style="9" customWidth="1"/>
    <col min="4872" max="4872" width="10.6640625" style="9" customWidth="1"/>
    <col min="4873" max="4873" width="14.44140625" style="9" bestFit="1" customWidth="1"/>
    <col min="4874" max="4874" width="10.6640625" style="9" customWidth="1"/>
    <col min="4875" max="4875" width="12.6640625" style="9" bestFit="1" customWidth="1"/>
    <col min="4876" max="4878" width="8.44140625" style="9" customWidth="1"/>
    <col min="4879" max="4881" width="13" style="9" customWidth="1"/>
    <col min="4882" max="4885" width="9.109375" style="9"/>
    <col min="4886" max="4886" width="8.6640625" style="9" customWidth="1"/>
    <col min="4887" max="5120" width="9.109375" style="9"/>
    <col min="5121" max="5121" width="2.6640625" style="9" customWidth="1"/>
    <col min="5122" max="5122" width="114.44140625" style="9" customWidth="1"/>
    <col min="5123" max="5123" width="0" style="9" hidden="1" customWidth="1"/>
    <col min="5124" max="5124" width="27.5546875" style="9" customWidth="1"/>
    <col min="5125" max="5125" width="20" style="9" customWidth="1"/>
    <col min="5126" max="5126" width="18.33203125" style="9" customWidth="1"/>
    <col min="5127" max="5127" width="20.109375" style="9" customWidth="1"/>
    <col min="5128" max="5128" width="10.6640625" style="9" customWidth="1"/>
    <col min="5129" max="5129" width="14.44140625" style="9" bestFit="1" customWidth="1"/>
    <col min="5130" max="5130" width="10.6640625" style="9" customWidth="1"/>
    <col min="5131" max="5131" width="12.6640625" style="9" bestFit="1" customWidth="1"/>
    <col min="5132" max="5134" width="8.44140625" style="9" customWidth="1"/>
    <col min="5135" max="5137" width="13" style="9" customWidth="1"/>
    <col min="5138" max="5141" width="9.109375" style="9"/>
    <col min="5142" max="5142" width="8.6640625" style="9" customWidth="1"/>
    <col min="5143" max="5376" width="9.109375" style="9"/>
    <col min="5377" max="5377" width="2.6640625" style="9" customWidth="1"/>
    <col min="5378" max="5378" width="114.44140625" style="9" customWidth="1"/>
    <col min="5379" max="5379" width="0" style="9" hidden="1" customWidth="1"/>
    <col min="5380" max="5380" width="27.5546875" style="9" customWidth="1"/>
    <col min="5381" max="5381" width="20" style="9" customWidth="1"/>
    <col min="5382" max="5382" width="18.33203125" style="9" customWidth="1"/>
    <col min="5383" max="5383" width="20.109375" style="9" customWidth="1"/>
    <col min="5384" max="5384" width="10.6640625" style="9" customWidth="1"/>
    <col min="5385" max="5385" width="14.44140625" style="9" bestFit="1" customWidth="1"/>
    <col min="5386" max="5386" width="10.6640625" style="9" customWidth="1"/>
    <col min="5387" max="5387" width="12.6640625" style="9" bestFit="1" customWidth="1"/>
    <col min="5388" max="5390" width="8.44140625" style="9" customWidth="1"/>
    <col min="5391" max="5393" width="13" style="9" customWidth="1"/>
    <col min="5394" max="5397" width="9.109375" style="9"/>
    <col min="5398" max="5398" width="8.6640625" style="9" customWidth="1"/>
    <col min="5399" max="5632" width="9.109375" style="9"/>
    <col min="5633" max="5633" width="2.6640625" style="9" customWidth="1"/>
    <col min="5634" max="5634" width="114.44140625" style="9" customWidth="1"/>
    <col min="5635" max="5635" width="0" style="9" hidden="1" customWidth="1"/>
    <col min="5636" max="5636" width="27.5546875" style="9" customWidth="1"/>
    <col min="5637" max="5637" width="20" style="9" customWidth="1"/>
    <col min="5638" max="5638" width="18.33203125" style="9" customWidth="1"/>
    <col min="5639" max="5639" width="20.109375" style="9" customWidth="1"/>
    <col min="5640" max="5640" width="10.6640625" style="9" customWidth="1"/>
    <col min="5641" max="5641" width="14.44140625" style="9" bestFit="1" customWidth="1"/>
    <col min="5642" max="5642" width="10.6640625" style="9" customWidth="1"/>
    <col min="5643" max="5643" width="12.6640625" style="9" bestFit="1" customWidth="1"/>
    <col min="5644" max="5646" width="8.44140625" style="9" customWidth="1"/>
    <col min="5647" max="5649" width="13" style="9" customWidth="1"/>
    <col min="5650" max="5653" width="9.109375" style="9"/>
    <col min="5654" max="5654" width="8.6640625" style="9" customWidth="1"/>
    <col min="5655" max="5888" width="9.109375" style="9"/>
    <col min="5889" max="5889" width="2.6640625" style="9" customWidth="1"/>
    <col min="5890" max="5890" width="114.44140625" style="9" customWidth="1"/>
    <col min="5891" max="5891" width="0" style="9" hidden="1" customWidth="1"/>
    <col min="5892" max="5892" width="27.5546875" style="9" customWidth="1"/>
    <col min="5893" max="5893" width="20" style="9" customWidth="1"/>
    <col min="5894" max="5894" width="18.33203125" style="9" customWidth="1"/>
    <col min="5895" max="5895" width="20.109375" style="9" customWidth="1"/>
    <col min="5896" max="5896" width="10.6640625" style="9" customWidth="1"/>
    <col min="5897" max="5897" width="14.44140625" style="9" bestFit="1" customWidth="1"/>
    <col min="5898" max="5898" width="10.6640625" style="9" customWidth="1"/>
    <col min="5899" max="5899" width="12.6640625" style="9" bestFit="1" customWidth="1"/>
    <col min="5900" max="5902" width="8.44140625" style="9" customWidth="1"/>
    <col min="5903" max="5905" width="13" style="9" customWidth="1"/>
    <col min="5906" max="5909" width="9.109375" style="9"/>
    <col min="5910" max="5910" width="8.6640625" style="9" customWidth="1"/>
    <col min="5911" max="6144" width="9.109375" style="9"/>
    <col min="6145" max="6145" width="2.6640625" style="9" customWidth="1"/>
    <col min="6146" max="6146" width="114.44140625" style="9" customWidth="1"/>
    <col min="6147" max="6147" width="0" style="9" hidden="1" customWidth="1"/>
    <col min="6148" max="6148" width="27.5546875" style="9" customWidth="1"/>
    <col min="6149" max="6149" width="20" style="9" customWidth="1"/>
    <col min="6150" max="6150" width="18.33203125" style="9" customWidth="1"/>
    <col min="6151" max="6151" width="20.109375" style="9" customWidth="1"/>
    <col min="6152" max="6152" width="10.6640625" style="9" customWidth="1"/>
    <col min="6153" max="6153" width="14.44140625" style="9" bestFit="1" customWidth="1"/>
    <col min="6154" max="6154" width="10.6640625" style="9" customWidth="1"/>
    <col min="6155" max="6155" width="12.6640625" style="9" bestFit="1" customWidth="1"/>
    <col min="6156" max="6158" width="8.44140625" style="9" customWidth="1"/>
    <col min="6159" max="6161" width="13" style="9" customWidth="1"/>
    <col min="6162" max="6165" width="9.109375" style="9"/>
    <col min="6166" max="6166" width="8.6640625" style="9" customWidth="1"/>
    <col min="6167" max="6400" width="9.109375" style="9"/>
    <col min="6401" max="6401" width="2.6640625" style="9" customWidth="1"/>
    <col min="6402" max="6402" width="114.44140625" style="9" customWidth="1"/>
    <col min="6403" max="6403" width="0" style="9" hidden="1" customWidth="1"/>
    <col min="6404" max="6404" width="27.5546875" style="9" customWidth="1"/>
    <col min="6405" max="6405" width="20" style="9" customWidth="1"/>
    <col min="6406" max="6406" width="18.33203125" style="9" customWidth="1"/>
    <col min="6407" max="6407" width="20.109375" style="9" customWidth="1"/>
    <col min="6408" max="6408" width="10.6640625" style="9" customWidth="1"/>
    <col min="6409" max="6409" width="14.44140625" style="9" bestFit="1" customWidth="1"/>
    <col min="6410" max="6410" width="10.6640625" style="9" customWidth="1"/>
    <col min="6411" max="6411" width="12.6640625" style="9" bestFit="1" customWidth="1"/>
    <col min="6412" max="6414" width="8.44140625" style="9" customWidth="1"/>
    <col min="6415" max="6417" width="13" style="9" customWidth="1"/>
    <col min="6418" max="6421" width="9.109375" style="9"/>
    <col min="6422" max="6422" width="8.6640625" style="9" customWidth="1"/>
    <col min="6423" max="6656" width="9.109375" style="9"/>
    <col min="6657" max="6657" width="2.6640625" style="9" customWidth="1"/>
    <col min="6658" max="6658" width="114.44140625" style="9" customWidth="1"/>
    <col min="6659" max="6659" width="0" style="9" hidden="1" customWidth="1"/>
    <col min="6660" max="6660" width="27.5546875" style="9" customWidth="1"/>
    <col min="6661" max="6661" width="20" style="9" customWidth="1"/>
    <col min="6662" max="6662" width="18.33203125" style="9" customWidth="1"/>
    <col min="6663" max="6663" width="20.109375" style="9" customWidth="1"/>
    <col min="6664" max="6664" width="10.6640625" style="9" customWidth="1"/>
    <col min="6665" max="6665" width="14.44140625" style="9" bestFit="1" customWidth="1"/>
    <col min="6666" max="6666" width="10.6640625" style="9" customWidth="1"/>
    <col min="6667" max="6667" width="12.6640625" style="9" bestFit="1" customWidth="1"/>
    <col min="6668" max="6670" width="8.44140625" style="9" customWidth="1"/>
    <col min="6671" max="6673" width="13" style="9" customWidth="1"/>
    <col min="6674" max="6677" width="9.109375" style="9"/>
    <col min="6678" max="6678" width="8.6640625" style="9" customWidth="1"/>
    <col min="6679" max="6912" width="9.109375" style="9"/>
    <col min="6913" max="6913" width="2.6640625" style="9" customWidth="1"/>
    <col min="6914" max="6914" width="114.44140625" style="9" customWidth="1"/>
    <col min="6915" max="6915" width="0" style="9" hidden="1" customWidth="1"/>
    <col min="6916" max="6916" width="27.5546875" style="9" customWidth="1"/>
    <col min="6917" max="6917" width="20" style="9" customWidth="1"/>
    <col min="6918" max="6918" width="18.33203125" style="9" customWidth="1"/>
    <col min="6919" max="6919" width="20.109375" style="9" customWidth="1"/>
    <col min="6920" max="6920" width="10.6640625" style="9" customWidth="1"/>
    <col min="6921" max="6921" width="14.44140625" style="9" bestFit="1" customWidth="1"/>
    <col min="6922" max="6922" width="10.6640625" style="9" customWidth="1"/>
    <col min="6923" max="6923" width="12.6640625" style="9" bestFit="1" customWidth="1"/>
    <col min="6924" max="6926" width="8.44140625" style="9" customWidth="1"/>
    <col min="6927" max="6929" width="13" style="9" customWidth="1"/>
    <col min="6930" max="6933" width="9.109375" style="9"/>
    <col min="6934" max="6934" width="8.6640625" style="9" customWidth="1"/>
    <col min="6935" max="7168" width="9.109375" style="9"/>
    <col min="7169" max="7169" width="2.6640625" style="9" customWidth="1"/>
    <col min="7170" max="7170" width="114.44140625" style="9" customWidth="1"/>
    <col min="7171" max="7171" width="0" style="9" hidden="1" customWidth="1"/>
    <col min="7172" max="7172" width="27.5546875" style="9" customWidth="1"/>
    <col min="7173" max="7173" width="20" style="9" customWidth="1"/>
    <col min="7174" max="7174" width="18.33203125" style="9" customWidth="1"/>
    <col min="7175" max="7175" width="20.109375" style="9" customWidth="1"/>
    <col min="7176" max="7176" width="10.6640625" style="9" customWidth="1"/>
    <col min="7177" max="7177" width="14.44140625" style="9" bestFit="1" customWidth="1"/>
    <col min="7178" max="7178" width="10.6640625" style="9" customWidth="1"/>
    <col min="7179" max="7179" width="12.6640625" style="9" bestFit="1" customWidth="1"/>
    <col min="7180" max="7182" width="8.44140625" style="9" customWidth="1"/>
    <col min="7183" max="7185" width="13" style="9" customWidth="1"/>
    <col min="7186" max="7189" width="9.109375" style="9"/>
    <col min="7190" max="7190" width="8.6640625" style="9" customWidth="1"/>
    <col min="7191" max="7424" width="9.109375" style="9"/>
    <col min="7425" max="7425" width="2.6640625" style="9" customWidth="1"/>
    <col min="7426" max="7426" width="114.44140625" style="9" customWidth="1"/>
    <col min="7427" max="7427" width="0" style="9" hidden="1" customWidth="1"/>
    <col min="7428" max="7428" width="27.5546875" style="9" customWidth="1"/>
    <col min="7429" max="7429" width="20" style="9" customWidth="1"/>
    <col min="7430" max="7430" width="18.33203125" style="9" customWidth="1"/>
    <col min="7431" max="7431" width="20.109375" style="9" customWidth="1"/>
    <col min="7432" max="7432" width="10.6640625" style="9" customWidth="1"/>
    <col min="7433" max="7433" width="14.44140625" style="9" bestFit="1" customWidth="1"/>
    <col min="7434" max="7434" width="10.6640625" style="9" customWidth="1"/>
    <col min="7435" max="7435" width="12.6640625" style="9" bestFit="1" customWidth="1"/>
    <col min="7436" max="7438" width="8.44140625" style="9" customWidth="1"/>
    <col min="7439" max="7441" width="13" style="9" customWidth="1"/>
    <col min="7442" max="7445" width="9.109375" style="9"/>
    <col min="7446" max="7446" width="8.6640625" style="9" customWidth="1"/>
    <col min="7447" max="7680" width="9.109375" style="9"/>
    <col min="7681" max="7681" width="2.6640625" style="9" customWidth="1"/>
    <col min="7682" max="7682" width="114.44140625" style="9" customWidth="1"/>
    <col min="7683" max="7683" width="0" style="9" hidden="1" customWidth="1"/>
    <col min="7684" max="7684" width="27.5546875" style="9" customWidth="1"/>
    <col min="7685" max="7685" width="20" style="9" customWidth="1"/>
    <col min="7686" max="7686" width="18.33203125" style="9" customWidth="1"/>
    <col min="7687" max="7687" width="20.109375" style="9" customWidth="1"/>
    <col min="7688" max="7688" width="10.6640625" style="9" customWidth="1"/>
    <col min="7689" max="7689" width="14.44140625" style="9" bestFit="1" customWidth="1"/>
    <col min="7690" max="7690" width="10.6640625" style="9" customWidth="1"/>
    <col min="7691" max="7691" width="12.6640625" style="9" bestFit="1" customWidth="1"/>
    <col min="7692" max="7694" width="8.44140625" style="9" customWidth="1"/>
    <col min="7695" max="7697" width="13" style="9" customWidth="1"/>
    <col min="7698" max="7701" width="9.109375" style="9"/>
    <col min="7702" max="7702" width="8.6640625" style="9" customWidth="1"/>
    <col min="7703" max="7936" width="9.109375" style="9"/>
    <col min="7937" max="7937" width="2.6640625" style="9" customWidth="1"/>
    <col min="7938" max="7938" width="114.44140625" style="9" customWidth="1"/>
    <col min="7939" max="7939" width="0" style="9" hidden="1" customWidth="1"/>
    <col min="7940" max="7940" width="27.5546875" style="9" customWidth="1"/>
    <col min="7941" max="7941" width="20" style="9" customWidth="1"/>
    <col min="7942" max="7942" width="18.33203125" style="9" customWidth="1"/>
    <col min="7943" max="7943" width="20.109375" style="9" customWidth="1"/>
    <col min="7944" max="7944" width="10.6640625" style="9" customWidth="1"/>
    <col min="7945" max="7945" width="14.44140625" style="9" bestFit="1" customWidth="1"/>
    <col min="7946" max="7946" width="10.6640625" style="9" customWidth="1"/>
    <col min="7947" max="7947" width="12.6640625" style="9" bestFit="1" customWidth="1"/>
    <col min="7948" max="7950" width="8.44140625" style="9" customWidth="1"/>
    <col min="7951" max="7953" width="13" style="9" customWidth="1"/>
    <col min="7954" max="7957" width="9.109375" style="9"/>
    <col min="7958" max="7958" width="8.6640625" style="9" customWidth="1"/>
    <col min="7959" max="8192" width="9.109375" style="9"/>
    <col min="8193" max="8193" width="2.6640625" style="9" customWidth="1"/>
    <col min="8194" max="8194" width="114.44140625" style="9" customWidth="1"/>
    <col min="8195" max="8195" width="0" style="9" hidden="1" customWidth="1"/>
    <col min="8196" max="8196" width="27.5546875" style="9" customWidth="1"/>
    <col min="8197" max="8197" width="20" style="9" customWidth="1"/>
    <col min="8198" max="8198" width="18.33203125" style="9" customWidth="1"/>
    <col min="8199" max="8199" width="20.109375" style="9" customWidth="1"/>
    <col min="8200" max="8200" width="10.6640625" style="9" customWidth="1"/>
    <col min="8201" max="8201" width="14.44140625" style="9" bestFit="1" customWidth="1"/>
    <col min="8202" max="8202" width="10.6640625" style="9" customWidth="1"/>
    <col min="8203" max="8203" width="12.6640625" style="9" bestFit="1" customWidth="1"/>
    <col min="8204" max="8206" width="8.44140625" style="9" customWidth="1"/>
    <col min="8207" max="8209" width="13" style="9" customWidth="1"/>
    <col min="8210" max="8213" width="9.109375" style="9"/>
    <col min="8214" max="8214" width="8.6640625" style="9" customWidth="1"/>
    <col min="8215" max="8448" width="9.109375" style="9"/>
    <col min="8449" max="8449" width="2.6640625" style="9" customWidth="1"/>
    <col min="8450" max="8450" width="114.44140625" style="9" customWidth="1"/>
    <col min="8451" max="8451" width="0" style="9" hidden="1" customWidth="1"/>
    <col min="8452" max="8452" width="27.5546875" style="9" customWidth="1"/>
    <col min="8453" max="8453" width="20" style="9" customWidth="1"/>
    <col min="8454" max="8454" width="18.33203125" style="9" customWidth="1"/>
    <col min="8455" max="8455" width="20.109375" style="9" customWidth="1"/>
    <col min="8456" max="8456" width="10.6640625" style="9" customWidth="1"/>
    <col min="8457" max="8457" width="14.44140625" style="9" bestFit="1" customWidth="1"/>
    <col min="8458" max="8458" width="10.6640625" style="9" customWidth="1"/>
    <col min="8459" max="8459" width="12.6640625" style="9" bestFit="1" customWidth="1"/>
    <col min="8460" max="8462" width="8.44140625" style="9" customWidth="1"/>
    <col min="8463" max="8465" width="13" style="9" customWidth="1"/>
    <col min="8466" max="8469" width="9.109375" style="9"/>
    <col min="8470" max="8470" width="8.6640625" style="9" customWidth="1"/>
    <col min="8471" max="8704" width="9.109375" style="9"/>
    <col min="8705" max="8705" width="2.6640625" style="9" customWidth="1"/>
    <col min="8706" max="8706" width="114.44140625" style="9" customWidth="1"/>
    <col min="8707" max="8707" width="0" style="9" hidden="1" customWidth="1"/>
    <col min="8708" max="8708" width="27.5546875" style="9" customWidth="1"/>
    <col min="8709" max="8709" width="20" style="9" customWidth="1"/>
    <col min="8710" max="8710" width="18.33203125" style="9" customWidth="1"/>
    <col min="8711" max="8711" width="20.109375" style="9" customWidth="1"/>
    <col min="8712" max="8712" width="10.6640625" style="9" customWidth="1"/>
    <col min="8713" max="8713" width="14.44140625" style="9" bestFit="1" customWidth="1"/>
    <col min="8714" max="8714" width="10.6640625" style="9" customWidth="1"/>
    <col min="8715" max="8715" width="12.6640625" style="9" bestFit="1" customWidth="1"/>
    <col min="8716" max="8718" width="8.44140625" style="9" customWidth="1"/>
    <col min="8719" max="8721" width="13" style="9" customWidth="1"/>
    <col min="8722" max="8725" width="9.109375" style="9"/>
    <col min="8726" max="8726" width="8.6640625" style="9" customWidth="1"/>
    <col min="8727" max="8960" width="9.109375" style="9"/>
    <col min="8961" max="8961" width="2.6640625" style="9" customWidth="1"/>
    <col min="8962" max="8962" width="114.44140625" style="9" customWidth="1"/>
    <col min="8963" max="8963" width="0" style="9" hidden="1" customWidth="1"/>
    <col min="8964" max="8964" width="27.5546875" style="9" customWidth="1"/>
    <col min="8965" max="8965" width="20" style="9" customWidth="1"/>
    <col min="8966" max="8966" width="18.33203125" style="9" customWidth="1"/>
    <col min="8967" max="8967" width="20.109375" style="9" customWidth="1"/>
    <col min="8968" max="8968" width="10.6640625" style="9" customWidth="1"/>
    <col min="8969" max="8969" width="14.44140625" style="9" bestFit="1" customWidth="1"/>
    <col min="8970" max="8970" width="10.6640625" style="9" customWidth="1"/>
    <col min="8971" max="8971" width="12.6640625" style="9" bestFit="1" customWidth="1"/>
    <col min="8972" max="8974" width="8.44140625" style="9" customWidth="1"/>
    <col min="8975" max="8977" width="13" style="9" customWidth="1"/>
    <col min="8978" max="8981" width="9.109375" style="9"/>
    <col min="8982" max="8982" width="8.6640625" style="9" customWidth="1"/>
    <col min="8983" max="9216" width="9.109375" style="9"/>
    <col min="9217" max="9217" width="2.6640625" style="9" customWidth="1"/>
    <col min="9218" max="9218" width="114.44140625" style="9" customWidth="1"/>
    <col min="9219" max="9219" width="0" style="9" hidden="1" customWidth="1"/>
    <col min="9220" max="9220" width="27.5546875" style="9" customWidth="1"/>
    <col min="9221" max="9221" width="20" style="9" customWidth="1"/>
    <col min="9222" max="9222" width="18.33203125" style="9" customWidth="1"/>
    <col min="9223" max="9223" width="20.109375" style="9" customWidth="1"/>
    <col min="9224" max="9224" width="10.6640625" style="9" customWidth="1"/>
    <col min="9225" max="9225" width="14.44140625" style="9" bestFit="1" customWidth="1"/>
    <col min="9226" max="9226" width="10.6640625" style="9" customWidth="1"/>
    <col min="9227" max="9227" width="12.6640625" style="9" bestFit="1" customWidth="1"/>
    <col min="9228" max="9230" width="8.44140625" style="9" customWidth="1"/>
    <col min="9231" max="9233" width="13" style="9" customWidth="1"/>
    <col min="9234" max="9237" width="9.109375" style="9"/>
    <col min="9238" max="9238" width="8.6640625" style="9" customWidth="1"/>
    <col min="9239" max="9472" width="9.109375" style="9"/>
    <col min="9473" max="9473" width="2.6640625" style="9" customWidth="1"/>
    <col min="9474" max="9474" width="114.44140625" style="9" customWidth="1"/>
    <col min="9475" max="9475" width="0" style="9" hidden="1" customWidth="1"/>
    <col min="9476" max="9476" width="27.5546875" style="9" customWidth="1"/>
    <col min="9477" max="9477" width="20" style="9" customWidth="1"/>
    <col min="9478" max="9478" width="18.33203125" style="9" customWidth="1"/>
    <col min="9479" max="9479" width="20.109375" style="9" customWidth="1"/>
    <col min="9480" max="9480" width="10.6640625" style="9" customWidth="1"/>
    <col min="9481" max="9481" width="14.44140625" style="9" bestFit="1" customWidth="1"/>
    <col min="9482" max="9482" width="10.6640625" style="9" customWidth="1"/>
    <col min="9483" max="9483" width="12.6640625" style="9" bestFit="1" customWidth="1"/>
    <col min="9484" max="9486" width="8.44140625" style="9" customWidth="1"/>
    <col min="9487" max="9489" width="13" style="9" customWidth="1"/>
    <col min="9490" max="9493" width="9.109375" style="9"/>
    <col min="9494" max="9494" width="8.6640625" style="9" customWidth="1"/>
    <col min="9495" max="9728" width="9.109375" style="9"/>
    <col min="9729" max="9729" width="2.6640625" style="9" customWidth="1"/>
    <col min="9730" max="9730" width="114.44140625" style="9" customWidth="1"/>
    <col min="9731" max="9731" width="0" style="9" hidden="1" customWidth="1"/>
    <col min="9732" max="9732" width="27.5546875" style="9" customWidth="1"/>
    <col min="9733" max="9733" width="20" style="9" customWidth="1"/>
    <col min="9734" max="9734" width="18.33203125" style="9" customWidth="1"/>
    <col min="9735" max="9735" width="20.109375" style="9" customWidth="1"/>
    <col min="9736" max="9736" width="10.6640625" style="9" customWidth="1"/>
    <col min="9737" max="9737" width="14.44140625" style="9" bestFit="1" customWidth="1"/>
    <col min="9738" max="9738" width="10.6640625" style="9" customWidth="1"/>
    <col min="9739" max="9739" width="12.6640625" style="9" bestFit="1" customWidth="1"/>
    <col min="9740" max="9742" width="8.44140625" style="9" customWidth="1"/>
    <col min="9743" max="9745" width="13" style="9" customWidth="1"/>
    <col min="9746" max="9749" width="9.109375" style="9"/>
    <col min="9750" max="9750" width="8.6640625" style="9" customWidth="1"/>
    <col min="9751" max="9984" width="9.109375" style="9"/>
    <col min="9985" max="9985" width="2.6640625" style="9" customWidth="1"/>
    <col min="9986" max="9986" width="114.44140625" style="9" customWidth="1"/>
    <col min="9987" max="9987" width="0" style="9" hidden="1" customWidth="1"/>
    <col min="9988" max="9988" width="27.5546875" style="9" customWidth="1"/>
    <col min="9989" max="9989" width="20" style="9" customWidth="1"/>
    <col min="9990" max="9990" width="18.33203125" style="9" customWidth="1"/>
    <col min="9991" max="9991" width="20.109375" style="9" customWidth="1"/>
    <col min="9992" max="9992" width="10.6640625" style="9" customWidth="1"/>
    <col min="9993" max="9993" width="14.44140625" style="9" bestFit="1" customWidth="1"/>
    <col min="9994" max="9994" width="10.6640625" style="9" customWidth="1"/>
    <col min="9995" max="9995" width="12.6640625" style="9" bestFit="1" customWidth="1"/>
    <col min="9996" max="9998" width="8.44140625" style="9" customWidth="1"/>
    <col min="9999" max="10001" width="13" style="9" customWidth="1"/>
    <col min="10002" max="10005" width="9.109375" style="9"/>
    <col min="10006" max="10006" width="8.6640625" style="9" customWidth="1"/>
    <col min="10007" max="10240" width="9.109375" style="9"/>
    <col min="10241" max="10241" width="2.6640625" style="9" customWidth="1"/>
    <col min="10242" max="10242" width="114.44140625" style="9" customWidth="1"/>
    <col min="10243" max="10243" width="0" style="9" hidden="1" customWidth="1"/>
    <col min="10244" max="10244" width="27.5546875" style="9" customWidth="1"/>
    <col min="10245" max="10245" width="20" style="9" customWidth="1"/>
    <col min="10246" max="10246" width="18.33203125" style="9" customWidth="1"/>
    <col min="10247" max="10247" width="20.109375" style="9" customWidth="1"/>
    <col min="10248" max="10248" width="10.6640625" style="9" customWidth="1"/>
    <col min="10249" max="10249" width="14.44140625" style="9" bestFit="1" customWidth="1"/>
    <col min="10250" max="10250" width="10.6640625" style="9" customWidth="1"/>
    <col min="10251" max="10251" width="12.6640625" style="9" bestFit="1" customWidth="1"/>
    <col min="10252" max="10254" width="8.44140625" style="9" customWidth="1"/>
    <col min="10255" max="10257" width="13" style="9" customWidth="1"/>
    <col min="10258" max="10261" width="9.109375" style="9"/>
    <col min="10262" max="10262" width="8.6640625" style="9" customWidth="1"/>
    <col min="10263" max="10496" width="9.109375" style="9"/>
    <col min="10497" max="10497" width="2.6640625" style="9" customWidth="1"/>
    <col min="10498" max="10498" width="114.44140625" style="9" customWidth="1"/>
    <col min="10499" max="10499" width="0" style="9" hidden="1" customWidth="1"/>
    <col min="10500" max="10500" width="27.5546875" style="9" customWidth="1"/>
    <col min="10501" max="10501" width="20" style="9" customWidth="1"/>
    <col min="10502" max="10502" width="18.33203125" style="9" customWidth="1"/>
    <col min="10503" max="10503" width="20.109375" style="9" customWidth="1"/>
    <col min="10504" max="10504" width="10.6640625" style="9" customWidth="1"/>
    <col min="10505" max="10505" width="14.44140625" style="9" bestFit="1" customWidth="1"/>
    <col min="10506" max="10506" width="10.6640625" style="9" customWidth="1"/>
    <col min="10507" max="10507" width="12.6640625" style="9" bestFit="1" customWidth="1"/>
    <col min="10508" max="10510" width="8.44140625" style="9" customWidth="1"/>
    <col min="10511" max="10513" width="13" style="9" customWidth="1"/>
    <col min="10514" max="10517" width="9.109375" style="9"/>
    <col min="10518" max="10518" width="8.6640625" style="9" customWidth="1"/>
    <col min="10519" max="10752" width="9.109375" style="9"/>
    <col min="10753" max="10753" width="2.6640625" style="9" customWidth="1"/>
    <col min="10754" max="10754" width="114.44140625" style="9" customWidth="1"/>
    <col min="10755" max="10755" width="0" style="9" hidden="1" customWidth="1"/>
    <col min="10756" max="10756" width="27.5546875" style="9" customWidth="1"/>
    <col min="10757" max="10757" width="20" style="9" customWidth="1"/>
    <col min="10758" max="10758" width="18.33203125" style="9" customWidth="1"/>
    <col min="10759" max="10759" width="20.109375" style="9" customWidth="1"/>
    <col min="10760" max="10760" width="10.6640625" style="9" customWidth="1"/>
    <col min="10761" max="10761" width="14.44140625" style="9" bestFit="1" customWidth="1"/>
    <col min="10762" max="10762" width="10.6640625" style="9" customWidth="1"/>
    <col min="10763" max="10763" width="12.6640625" style="9" bestFit="1" customWidth="1"/>
    <col min="10764" max="10766" width="8.44140625" style="9" customWidth="1"/>
    <col min="10767" max="10769" width="13" style="9" customWidth="1"/>
    <col min="10770" max="10773" width="9.109375" style="9"/>
    <col min="10774" max="10774" width="8.6640625" style="9" customWidth="1"/>
    <col min="10775" max="11008" width="9.109375" style="9"/>
    <col min="11009" max="11009" width="2.6640625" style="9" customWidth="1"/>
    <col min="11010" max="11010" width="114.44140625" style="9" customWidth="1"/>
    <col min="11011" max="11011" width="0" style="9" hidden="1" customWidth="1"/>
    <col min="11012" max="11012" width="27.5546875" style="9" customWidth="1"/>
    <col min="11013" max="11013" width="20" style="9" customWidth="1"/>
    <col min="11014" max="11014" width="18.33203125" style="9" customWidth="1"/>
    <col min="11015" max="11015" width="20.109375" style="9" customWidth="1"/>
    <col min="11016" max="11016" width="10.6640625" style="9" customWidth="1"/>
    <col min="11017" max="11017" width="14.44140625" style="9" bestFit="1" customWidth="1"/>
    <col min="11018" max="11018" width="10.6640625" style="9" customWidth="1"/>
    <col min="11019" max="11019" width="12.6640625" style="9" bestFit="1" customWidth="1"/>
    <col min="11020" max="11022" width="8.44140625" style="9" customWidth="1"/>
    <col min="11023" max="11025" width="13" style="9" customWidth="1"/>
    <col min="11026" max="11029" width="9.109375" style="9"/>
    <col min="11030" max="11030" width="8.6640625" style="9" customWidth="1"/>
    <col min="11031" max="11264" width="9.109375" style="9"/>
    <col min="11265" max="11265" width="2.6640625" style="9" customWidth="1"/>
    <col min="11266" max="11266" width="114.44140625" style="9" customWidth="1"/>
    <col min="11267" max="11267" width="0" style="9" hidden="1" customWidth="1"/>
    <col min="11268" max="11268" width="27.5546875" style="9" customWidth="1"/>
    <col min="11269" max="11269" width="20" style="9" customWidth="1"/>
    <col min="11270" max="11270" width="18.33203125" style="9" customWidth="1"/>
    <col min="11271" max="11271" width="20.109375" style="9" customWidth="1"/>
    <col min="11272" max="11272" width="10.6640625" style="9" customWidth="1"/>
    <col min="11273" max="11273" width="14.44140625" style="9" bestFit="1" customWidth="1"/>
    <col min="11274" max="11274" width="10.6640625" style="9" customWidth="1"/>
    <col min="11275" max="11275" width="12.6640625" style="9" bestFit="1" customWidth="1"/>
    <col min="11276" max="11278" width="8.44140625" style="9" customWidth="1"/>
    <col min="11279" max="11281" width="13" style="9" customWidth="1"/>
    <col min="11282" max="11285" width="9.109375" style="9"/>
    <col min="11286" max="11286" width="8.6640625" style="9" customWidth="1"/>
    <col min="11287" max="11520" width="9.109375" style="9"/>
    <col min="11521" max="11521" width="2.6640625" style="9" customWidth="1"/>
    <col min="11522" max="11522" width="114.44140625" style="9" customWidth="1"/>
    <col min="11523" max="11523" width="0" style="9" hidden="1" customWidth="1"/>
    <col min="11524" max="11524" width="27.5546875" style="9" customWidth="1"/>
    <col min="11525" max="11525" width="20" style="9" customWidth="1"/>
    <col min="11526" max="11526" width="18.33203125" style="9" customWidth="1"/>
    <col min="11527" max="11527" width="20.109375" style="9" customWidth="1"/>
    <col min="11528" max="11528" width="10.6640625" style="9" customWidth="1"/>
    <col min="11529" max="11529" width="14.44140625" style="9" bestFit="1" customWidth="1"/>
    <col min="11530" max="11530" width="10.6640625" style="9" customWidth="1"/>
    <col min="11531" max="11531" width="12.6640625" style="9" bestFit="1" customWidth="1"/>
    <col min="11532" max="11534" width="8.44140625" style="9" customWidth="1"/>
    <col min="11535" max="11537" width="13" style="9" customWidth="1"/>
    <col min="11538" max="11541" width="9.109375" style="9"/>
    <col min="11542" max="11542" width="8.6640625" style="9" customWidth="1"/>
    <col min="11543" max="11776" width="9.109375" style="9"/>
    <col min="11777" max="11777" width="2.6640625" style="9" customWidth="1"/>
    <col min="11778" max="11778" width="114.44140625" style="9" customWidth="1"/>
    <col min="11779" max="11779" width="0" style="9" hidden="1" customWidth="1"/>
    <col min="11780" max="11780" width="27.5546875" style="9" customWidth="1"/>
    <col min="11781" max="11781" width="20" style="9" customWidth="1"/>
    <col min="11782" max="11782" width="18.33203125" style="9" customWidth="1"/>
    <col min="11783" max="11783" width="20.109375" style="9" customWidth="1"/>
    <col min="11784" max="11784" width="10.6640625" style="9" customWidth="1"/>
    <col min="11785" max="11785" width="14.44140625" style="9" bestFit="1" customWidth="1"/>
    <col min="11786" max="11786" width="10.6640625" style="9" customWidth="1"/>
    <col min="11787" max="11787" width="12.6640625" style="9" bestFit="1" customWidth="1"/>
    <col min="11788" max="11790" width="8.44140625" style="9" customWidth="1"/>
    <col min="11791" max="11793" width="13" style="9" customWidth="1"/>
    <col min="11794" max="11797" width="9.109375" style="9"/>
    <col min="11798" max="11798" width="8.6640625" style="9" customWidth="1"/>
    <col min="11799" max="12032" width="9.109375" style="9"/>
    <col min="12033" max="12033" width="2.6640625" style="9" customWidth="1"/>
    <col min="12034" max="12034" width="114.44140625" style="9" customWidth="1"/>
    <col min="12035" max="12035" width="0" style="9" hidden="1" customWidth="1"/>
    <col min="12036" max="12036" width="27.5546875" style="9" customWidth="1"/>
    <col min="12037" max="12037" width="20" style="9" customWidth="1"/>
    <col min="12038" max="12038" width="18.33203125" style="9" customWidth="1"/>
    <col min="12039" max="12039" width="20.109375" style="9" customWidth="1"/>
    <col min="12040" max="12040" width="10.6640625" style="9" customWidth="1"/>
    <col min="12041" max="12041" width="14.44140625" style="9" bestFit="1" customWidth="1"/>
    <col min="12042" max="12042" width="10.6640625" style="9" customWidth="1"/>
    <col min="12043" max="12043" width="12.6640625" style="9" bestFit="1" customWidth="1"/>
    <col min="12044" max="12046" width="8.44140625" style="9" customWidth="1"/>
    <col min="12047" max="12049" width="13" style="9" customWidth="1"/>
    <col min="12050" max="12053" width="9.109375" style="9"/>
    <col min="12054" max="12054" width="8.6640625" style="9" customWidth="1"/>
    <col min="12055" max="12288" width="9.109375" style="9"/>
    <col min="12289" max="12289" width="2.6640625" style="9" customWidth="1"/>
    <col min="12290" max="12290" width="114.44140625" style="9" customWidth="1"/>
    <col min="12291" max="12291" width="0" style="9" hidden="1" customWidth="1"/>
    <col min="12292" max="12292" width="27.5546875" style="9" customWidth="1"/>
    <col min="12293" max="12293" width="20" style="9" customWidth="1"/>
    <col min="12294" max="12294" width="18.33203125" style="9" customWidth="1"/>
    <col min="12295" max="12295" width="20.109375" style="9" customWidth="1"/>
    <col min="12296" max="12296" width="10.6640625" style="9" customWidth="1"/>
    <col min="12297" max="12297" width="14.44140625" style="9" bestFit="1" customWidth="1"/>
    <col min="12298" max="12298" width="10.6640625" style="9" customWidth="1"/>
    <col min="12299" max="12299" width="12.6640625" style="9" bestFit="1" customWidth="1"/>
    <col min="12300" max="12302" width="8.44140625" style="9" customWidth="1"/>
    <col min="12303" max="12305" width="13" style="9" customWidth="1"/>
    <col min="12306" max="12309" width="9.109375" style="9"/>
    <col min="12310" max="12310" width="8.6640625" style="9" customWidth="1"/>
    <col min="12311" max="12544" width="9.109375" style="9"/>
    <col min="12545" max="12545" width="2.6640625" style="9" customWidth="1"/>
    <col min="12546" max="12546" width="114.44140625" style="9" customWidth="1"/>
    <col min="12547" max="12547" width="0" style="9" hidden="1" customWidth="1"/>
    <col min="12548" max="12548" width="27.5546875" style="9" customWidth="1"/>
    <col min="12549" max="12549" width="20" style="9" customWidth="1"/>
    <col min="12550" max="12550" width="18.33203125" style="9" customWidth="1"/>
    <col min="12551" max="12551" width="20.109375" style="9" customWidth="1"/>
    <col min="12552" max="12552" width="10.6640625" style="9" customWidth="1"/>
    <col min="12553" max="12553" width="14.44140625" style="9" bestFit="1" customWidth="1"/>
    <col min="12554" max="12554" width="10.6640625" style="9" customWidth="1"/>
    <col min="12555" max="12555" width="12.6640625" style="9" bestFit="1" customWidth="1"/>
    <col min="12556" max="12558" width="8.44140625" style="9" customWidth="1"/>
    <col min="12559" max="12561" width="13" style="9" customWidth="1"/>
    <col min="12562" max="12565" width="9.109375" style="9"/>
    <col min="12566" max="12566" width="8.6640625" style="9" customWidth="1"/>
    <col min="12567" max="12800" width="9.109375" style="9"/>
    <col min="12801" max="12801" width="2.6640625" style="9" customWidth="1"/>
    <col min="12802" max="12802" width="114.44140625" style="9" customWidth="1"/>
    <col min="12803" max="12803" width="0" style="9" hidden="1" customWidth="1"/>
    <col min="12804" max="12804" width="27.5546875" style="9" customWidth="1"/>
    <col min="12805" max="12805" width="20" style="9" customWidth="1"/>
    <col min="12806" max="12806" width="18.33203125" style="9" customWidth="1"/>
    <col min="12807" max="12807" width="20.109375" style="9" customWidth="1"/>
    <col min="12808" max="12808" width="10.6640625" style="9" customWidth="1"/>
    <col min="12809" max="12809" width="14.44140625" style="9" bestFit="1" customWidth="1"/>
    <col min="12810" max="12810" width="10.6640625" style="9" customWidth="1"/>
    <col min="12811" max="12811" width="12.6640625" style="9" bestFit="1" customWidth="1"/>
    <col min="12812" max="12814" width="8.44140625" style="9" customWidth="1"/>
    <col min="12815" max="12817" width="13" style="9" customWidth="1"/>
    <col min="12818" max="12821" width="9.109375" style="9"/>
    <col min="12822" max="12822" width="8.6640625" style="9" customWidth="1"/>
    <col min="12823" max="13056" width="9.109375" style="9"/>
    <col min="13057" max="13057" width="2.6640625" style="9" customWidth="1"/>
    <col min="13058" max="13058" width="114.44140625" style="9" customWidth="1"/>
    <col min="13059" max="13059" width="0" style="9" hidden="1" customWidth="1"/>
    <col min="13060" max="13060" width="27.5546875" style="9" customWidth="1"/>
    <col min="13061" max="13061" width="20" style="9" customWidth="1"/>
    <col min="13062" max="13062" width="18.33203125" style="9" customWidth="1"/>
    <col min="13063" max="13063" width="20.109375" style="9" customWidth="1"/>
    <col min="13064" max="13064" width="10.6640625" style="9" customWidth="1"/>
    <col min="13065" max="13065" width="14.44140625" style="9" bestFit="1" customWidth="1"/>
    <col min="13066" max="13066" width="10.6640625" style="9" customWidth="1"/>
    <col min="13067" max="13067" width="12.6640625" style="9" bestFit="1" customWidth="1"/>
    <col min="13068" max="13070" width="8.44140625" style="9" customWidth="1"/>
    <col min="13071" max="13073" width="13" style="9" customWidth="1"/>
    <col min="13074" max="13077" width="9.109375" style="9"/>
    <col min="13078" max="13078" width="8.6640625" style="9" customWidth="1"/>
    <col min="13079" max="13312" width="9.109375" style="9"/>
    <col min="13313" max="13313" width="2.6640625" style="9" customWidth="1"/>
    <col min="13314" max="13314" width="114.44140625" style="9" customWidth="1"/>
    <col min="13315" max="13315" width="0" style="9" hidden="1" customWidth="1"/>
    <col min="13316" max="13316" width="27.5546875" style="9" customWidth="1"/>
    <col min="13317" max="13317" width="20" style="9" customWidth="1"/>
    <col min="13318" max="13318" width="18.33203125" style="9" customWidth="1"/>
    <col min="13319" max="13319" width="20.109375" style="9" customWidth="1"/>
    <col min="13320" max="13320" width="10.6640625" style="9" customWidth="1"/>
    <col min="13321" max="13321" width="14.44140625" style="9" bestFit="1" customWidth="1"/>
    <col min="13322" max="13322" width="10.6640625" style="9" customWidth="1"/>
    <col min="13323" max="13323" width="12.6640625" style="9" bestFit="1" customWidth="1"/>
    <col min="13324" max="13326" width="8.44140625" style="9" customWidth="1"/>
    <col min="13327" max="13329" width="13" style="9" customWidth="1"/>
    <col min="13330" max="13333" width="9.109375" style="9"/>
    <col min="13334" max="13334" width="8.6640625" style="9" customWidth="1"/>
    <col min="13335" max="13568" width="9.109375" style="9"/>
    <col min="13569" max="13569" width="2.6640625" style="9" customWidth="1"/>
    <col min="13570" max="13570" width="114.44140625" style="9" customWidth="1"/>
    <col min="13571" max="13571" width="0" style="9" hidden="1" customWidth="1"/>
    <col min="13572" max="13572" width="27.5546875" style="9" customWidth="1"/>
    <col min="13573" max="13573" width="20" style="9" customWidth="1"/>
    <col min="13574" max="13574" width="18.33203125" style="9" customWidth="1"/>
    <col min="13575" max="13575" width="20.109375" style="9" customWidth="1"/>
    <col min="13576" max="13576" width="10.6640625" style="9" customWidth="1"/>
    <col min="13577" max="13577" width="14.44140625" style="9" bestFit="1" customWidth="1"/>
    <col min="13578" max="13578" width="10.6640625" style="9" customWidth="1"/>
    <col min="13579" max="13579" width="12.6640625" style="9" bestFit="1" customWidth="1"/>
    <col min="13580" max="13582" width="8.44140625" style="9" customWidth="1"/>
    <col min="13583" max="13585" width="13" style="9" customWidth="1"/>
    <col min="13586" max="13589" width="9.109375" style="9"/>
    <col min="13590" max="13590" width="8.6640625" style="9" customWidth="1"/>
    <col min="13591" max="13824" width="9.109375" style="9"/>
    <col min="13825" max="13825" width="2.6640625" style="9" customWidth="1"/>
    <col min="13826" max="13826" width="114.44140625" style="9" customWidth="1"/>
    <col min="13827" max="13827" width="0" style="9" hidden="1" customWidth="1"/>
    <col min="13828" max="13828" width="27.5546875" style="9" customWidth="1"/>
    <col min="13829" max="13829" width="20" style="9" customWidth="1"/>
    <col min="13830" max="13830" width="18.33203125" style="9" customWidth="1"/>
    <col min="13831" max="13831" width="20.109375" style="9" customWidth="1"/>
    <col min="13832" max="13832" width="10.6640625" style="9" customWidth="1"/>
    <col min="13833" max="13833" width="14.44140625" style="9" bestFit="1" customWidth="1"/>
    <col min="13834" max="13834" width="10.6640625" style="9" customWidth="1"/>
    <col min="13835" max="13835" width="12.6640625" style="9" bestFit="1" customWidth="1"/>
    <col min="13836" max="13838" width="8.44140625" style="9" customWidth="1"/>
    <col min="13839" max="13841" width="13" style="9" customWidth="1"/>
    <col min="13842" max="13845" width="9.109375" style="9"/>
    <col min="13846" max="13846" width="8.6640625" style="9" customWidth="1"/>
    <col min="13847" max="14080" width="9.109375" style="9"/>
    <col min="14081" max="14081" width="2.6640625" style="9" customWidth="1"/>
    <col min="14082" max="14082" width="114.44140625" style="9" customWidth="1"/>
    <col min="14083" max="14083" width="0" style="9" hidden="1" customWidth="1"/>
    <col min="14084" max="14084" width="27.5546875" style="9" customWidth="1"/>
    <col min="14085" max="14085" width="20" style="9" customWidth="1"/>
    <col min="14086" max="14086" width="18.33203125" style="9" customWidth="1"/>
    <col min="14087" max="14087" width="20.109375" style="9" customWidth="1"/>
    <col min="14088" max="14088" width="10.6640625" style="9" customWidth="1"/>
    <col min="14089" max="14089" width="14.44140625" style="9" bestFit="1" customWidth="1"/>
    <col min="14090" max="14090" width="10.6640625" style="9" customWidth="1"/>
    <col min="14091" max="14091" width="12.6640625" style="9" bestFit="1" customWidth="1"/>
    <col min="14092" max="14094" width="8.44140625" style="9" customWidth="1"/>
    <col min="14095" max="14097" width="13" style="9" customWidth="1"/>
    <col min="14098" max="14101" width="9.109375" style="9"/>
    <col min="14102" max="14102" width="8.6640625" style="9" customWidth="1"/>
    <col min="14103" max="14336" width="9.109375" style="9"/>
    <col min="14337" max="14337" width="2.6640625" style="9" customWidth="1"/>
    <col min="14338" max="14338" width="114.44140625" style="9" customWidth="1"/>
    <col min="14339" max="14339" width="0" style="9" hidden="1" customWidth="1"/>
    <col min="14340" max="14340" width="27.5546875" style="9" customWidth="1"/>
    <col min="14341" max="14341" width="20" style="9" customWidth="1"/>
    <col min="14342" max="14342" width="18.33203125" style="9" customWidth="1"/>
    <col min="14343" max="14343" width="20.109375" style="9" customWidth="1"/>
    <col min="14344" max="14344" width="10.6640625" style="9" customWidth="1"/>
    <col min="14345" max="14345" width="14.44140625" style="9" bestFit="1" customWidth="1"/>
    <col min="14346" max="14346" width="10.6640625" style="9" customWidth="1"/>
    <col min="14347" max="14347" width="12.6640625" style="9" bestFit="1" customWidth="1"/>
    <col min="14348" max="14350" width="8.44140625" style="9" customWidth="1"/>
    <col min="14351" max="14353" width="13" style="9" customWidth="1"/>
    <col min="14354" max="14357" width="9.109375" style="9"/>
    <col min="14358" max="14358" width="8.6640625" style="9" customWidth="1"/>
    <col min="14359" max="14592" width="9.109375" style="9"/>
    <col min="14593" max="14593" width="2.6640625" style="9" customWidth="1"/>
    <col min="14594" max="14594" width="114.44140625" style="9" customWidth="1"/>
    <col min="14595" max="14595" width="0" style="9" hidden="1" customWidth="1"/>
    <col min="14596" max="14596" width="27.5546875" style="9" customWidth="1"/>
    <col min="14597" max="14597" width="20" style="9" customWidth="1"/>
    <col min="14598" max="14598" width="18.33203125" style="9" customWidth="1"/>
    <col min="14599" max="14599" width="20.109375" style="9" customWidth="1"/>
    <col min="14600" max="14600" width="10.6640625" style="9" customWidth="1"/>
    <col min="14601" max="14601" width="14.44140625" style="9" bestFit="1" customWidth="1"/>
    <col min="14602" max="14602" width="10.6640625" style="9" customWidth="1"/>
    <col min="14603" max="14603" width="12.6640625" style="9" bestFit="1" customWidth="1"/>
    <col min="14604" max="14606" width="8.44140625" style="9" customWidth="1"/>
    <col min="14607" max="14609" width="13" style="9" customWidth="1"/>
    <col min="14610" max="14613" width="9.109375" style="9"/>
    <col min="14614" max="14614" width="8.6640625" style="9" customWidth="1"/>
    <col min="14615" max="14848" width="9.109375" style="9"/>
    <col min="14849" max="14849" width="2.6640625" style="9" customWidth="1"/>
    <col min="14850" max="14850" width="114.44140625" style="9" customWidth="1"/>
    <col min="14851" max="14851" width="0" style="9" hidden="1" customWidth="1"/>
    <col min="14852" max="14852" width="27.5546875" style="9" customWidth="1"/>
    <col min="14853" max="14853" width="20" style="9" customWidth="1"/>
    <col min="14854" max="14854" width="18.33203125" style="9" customWidth="1"/>
    <col min="14855" max="14855" width="20.109375" style="9" customWidth="1"/>
    <col min="14856" max="14856" width="10.6640625" style="9" customWidth="1"/>
    <col min="14857" max="14857" width="14.44140625" style="9" bestFit="1" customWidth="1"/>
    <col min="14858" max="14858" width="10.6640625" style="9" customWidth="1"/>
    <col min="14859" max="14859" width="12.6640625" style="9" bestFit="1" customWidth="1"/>
    <col min="14860" max="14862" width="8.44140625" style="9" customWidth="1"/>
    <col min="14863" max="14865" width="13" style="9" customWidth="1"/>
    <col min="14866" max="14869" width="9.109375" style="9"/>
    <col min="14870" max="14870" width="8.6640625" style="9" customWidth="1"/>
    <col min="14871" max="15104" width="9.109375" style="9"/>
    <col min="15105" max="15105" width="2.6640625" style="9" customWidth="1"/>
    <col min="15106" max="15106" width="114.44140625" style="9" customWidth="1"/>
    <col min="15107" max="15107" width="0" style="9" hidden="1" customWidth="1"/>
    <col min="15108" max="15108" width="27.5546875" style="9" customWidth="1"/>
    <col min="15109" max="15109" width="20" style="9" customWidth="1"/>
    <col min="15110" max="15110" width="18.33203125" style="9" customWidth="1"/>
    <col min="15111" max="15111" width="20.109375" style="9" customWidth="1"/>
    <col min="15112" max="15112" width="10.6640625" style="9" customWidth="1"/>
    <col min="15113" max="15113" width="14.44140625" style="9" bestFit="1" customWidth="1"/>
    <col min="15114" max="15114" width="10.6640625" style="9" customWidth="1"/>
    <col min="15115" max="15115" width="12.6640625" style="9" bestFit="1" customWidth="1"/>
    <col min="15116" max="15118" width="8.44140625" style="9" customWidth="1"/>
    <col min="15119" max="15121" width="13" style="9" customWidth="1"/>
    <col min="15122" max="15125" width="9.109375" style="9"/>
    <col min="15126" max="15126" width="8.6640625" style="9" customWidth="1"/>
    <col min="15127" max="15360" width="9.109375" style="9"/>
    <col min="15361" max="15361" width="2.6640625" style="9" customWidth="1"/>
    <col min="15362" max="15362" width="114.44140625" style="9" customWidth="1"/>
    <col min="15363" max="15363" width="0" style="9" hidden="1" customWidth="1"/>
    <col min="15364" max="15364" width="27.5546875" style="9" customWidth="1"/>
    <col min="15365" max="15365" width="20" style="9" customWidth="1"/>
    <col min="15366" max="15366" width="18.33203125" style="9" customWidth="1"/>
    <col min="15367" max="15367" width="20.109375" style="9" customWidth="1"/>
    <col min="15368" max="15368" width="10.6640625" style="9" customWidth="1"/>
    <col min="15369" max="15369" width="14.44140625" style="9" bestFit="1" customWidth="1"/>
    <col min="15370" max="15370" width="10.6640625" style="9" customWidth="1"/>
    <col min="15371" max="15371" width="12.6640625" style="9" bestFit="1" customWidth="1"/>
    <col min="15372" max="15374" width="8.44140625" style="9" customWidth="1"/>
    <col min="15375" max="15377" width="13" style="9" customWidth="1"/>
    <col min="15378" max="15381" width="9.109375" style="9"/>
    <col min="15382" max="15382" width="8.6640625" style="9" customWidth="1"/>
    <col min="15383" max="15616" width="9.109375" style="9"/>
    <col min="15617" max="15617" width="2.6640625" style="9" customWidth="1"/>
    <col min="15618" max="15618" width="114.44140625" style="9" customWidth="1"/>
    <col min="15619" max="15619" width="0" style="9" hidden="1" customWidth="1"/>
    <col min="15620" max="15620" width="27.5546875" style="9" customWidth="1"/>
    <col min="15621" max="15621" width="20" style="9" customWidth="1"/>
    <col min="15622" max="15622" width="18.33203125" style="9" customWidth="1"/>
    <col min="15623" max="15623" width="20.109375" style="9" customWidth="1"/>
    <col min="15624" max="15624" width="10.6640625" style="9" customWidth="1"/>
    <col min="15625" max="15625" width="14.44140625" style="9" bestFit="1" customWidth="1"/>
    <col min="15626" max="15626" width="10.6640625" style="9" customWidth="1"/>
    <col min="15627" max="15627" width="12.6640625" style="9" bestFit="1" customWidth="1"/>
    <col min="15628" max="15630" width="8.44140625" style="9" customWidth="1"/>
    <col min="15631" max="15633" width="13" style="9" customWidth="1"/>
    <col min="15634" max="15637" width="9.109375" style="9"/>
    <col min="15638" max="15638" width="8.6640625" style="9" customWidth="1"/>
    <col min="15639" max="15872" width="9.109375" style="9"/>
    <col min="15873" max="15873" width="2.6640625" style="9" customWidth="1"/>
    <col min="15874" max="15874" width="114.44140625" style="9" customWidth="1"/>
    <col min="15875" max="15875" width="0" style="9" hidden="1" customWidth="1"/>
    <col min="15876" max="15876" width="27.5546875" style="9" customWidth="1"/>
    <col min="15877" max="15877" width="20" style="9" customWidth="1"/>
    <col min="15878" max="15878" width="18.33203125" style="9" customWidth="1"/>
    <col min="15879" max="15879" width="20.109375" style="9" customWidth="1"/>
    <col min="15880" max="15880" width="10.6640625" style="9" customWidth="1"/>
    <col min="15881" max="15881" width="14.44140625" style="9" bestFit="1" customWidth="1"/>
    <col min="15882" max="15882" width="10.6640625" style="9" customWidth="1"/>
    <col min="15883" max="15883" width="12.6640625" style="9" bestFit="1" customWidth="1"/>
    <col min="15884" max="15886" width="8.44140625" style="9" customWidth="1"/>
    <col min="15887" max="15889" width="13" style="9" customWidth="1"/>
    <col min="15890" max="15893" width="9.109375" style="9"/>
    <col min="15894" max="15894" width="8.6640625" style="9" customWidth="1"/>
    <col min="15895" max="16128" width="9.109375" style="9"/>
    <col min="16129" max="16129" width="2.6640625" style="9" customWidth="1"/>
    <col min="16130" max="16130" width="114.44140625" style="9" customWidth="1"/>
    <col min="16131" max="16131" width="0" style="9" hidden="1" customWidth="1"/>
    <col min="16132" max="16132" width="27.5546875" style="9" customWidth="1"/>
    <col min="16133" max="16133" width="20" style="9" customWidth="1"/>
    <col min="16134" max="16134" width="18.33203125" style="9" customWidth="1"/>
    <col min="16135" max="16135" width="20.109375" style="9" customWidth="1"/>
    <col min="16136" max="16136" width="10.6640625" style="9" customWidth="1"/>
    <col min="16137" max="16137" width="14.44140625" style="9" bestFit="1" customWidth="1"/>
    <col min="16138" max="16138" width="10.6640625" style="9" customWidth="1"/>
    <col min="16139" max="16139" width="12.6640625" style="9" bestFit="1" customWidth="1"/>
    <col min="16140" max="16142" width="8.44140625" style="9" customWidth="1"/>
    <col min="16143" max="16145" width="13" style="9" customWidth="1"/>
    <col min="16146" max="16149" width="9.109375" style="9"/>
    <col min="16150" max="16150" width="8.6640625" style="9" customWidth="1"/>
    <col min="16151" max="16384" width="9.109375" style="9"/>
  </cols>
  <sheetData>
    <row r="1" spans="1:25">
      <c r="B1" s="57"/>
      <c r="C1" s="426"/>
      <c r="D1" s="426"/>
      <c r="E1" s="12"/>
      <c r="N1" s="35"/>
      <c r="O1" s="35"/>
      <c r="P1" s="35"/>
      <c r="Q1" s="35"/>
      <c r="R1" s="35"/>
      <c r="S1" s="35"/>
    </row>
    <row r="2" spans="1:25">
      <c r="B2" s="57"/>
      <c r="C2" s="426"/>
      <c r="D2" s="426"/>
      <c r="E2" s="12"/>
      <c r="N2" s="35"/>
      <c r="O2" s="35"/>
      <c r="P2" s="35"/>
      <c r="Q2" s="35"/>
      <c r="R2" s="35"/>
      <c r="S2" s="35"/>
    </row>
    <row r="3" spans="1:25">
      <c r="B3" s="57"/>
      <c r="C3" s="426"/>
      <c r="D3" s="426"/>
      <c r="E3" s="12"/>
      <c r="N3" s="35"/>
      <c r="O3" s="35"/>
      <c r="P3" s="35"/>
      <c r="Q3" s="35"/>
      <c r="R3" s="35"/>
      <c r="S3" s="35"/>
    </row>
    <row r="4" spans="1:25" ht="17.399999999999999">
      <c r="B4" s="1692" t="s">
        <v>76</v>
      </c>
      <c r="C4" s="426"/>
      <c r="D4" s="426"/>
      <c r="E4" s="12"/>
      <c r="N4" s="35"/>
      <c r="O4" s="35"/>
      <c r="P4" s="35"/>
      <c r="Q4" s="35"/>
      <c r="R4" s="35"/>
      <c r="S4" s="35"/>
    </row>
    <row r="5" spans="1:25" ht="14.4">
      <c r="B5" s="13"/>
      <c r="D5" s="426"/>
      <c r="E5" s="12"/>
      <c r="N5" s="35"/>
      <c r="O5" s="35"/>
      <c r="P5" s="35"/>
      <c r="Q5" s="35"/>
      <c r="R5" s="35"/>
      <c r="S5" s="35"/>
    </row>
    <row r="6" spans="1:25">
      <c r="B6" s="1565" t="s">
        <v>58</v>
      </c>
      <c r="C6" s="1566" t="str">
        <f>'Model update'!B7</f>
        <v>2021-22</v>
      </c>
      <c r="D6" s="427"/>
      <c r="E6" s="12"/>
      <c r="N6" s="35"/>
      <c r="O6" s="35"/>
      <c r="P6" s="35"/>
      <c r="Q6" s="35"/>
      <c r="R6" s="35"/>
      <c r="S6" s="35"/>
    </row>
    <row r="7" spans="1:25">
      <c r="B7" s="1565" t="s">
        <v>158</v>
      </c>
      <c r="C7" s="1566" t="str">
        <f>'Model update'!B8</f>
        <v>2020-21</v>
      </c>
      <c r="D7" s="427"/>
      <c r="E7" s="12"/>
      <c r="N7" s="35"/>
      <c r="O7" s="35"/>
      <c r="P7" s="35"/>
      <c r="Q7" s="35"/>
      <c r="R7" s="35"/>
      <c r="S7" s="35"/>
    </row>
    <row r="8" spans="1:25">
      <c r="B8" s="1565" t="s">
        <v>161</v>
      </c>
      <c r="C8" s="1566" t="str">
        <f>'Model update'!B9</f>
        <v>2019-20</v>
      </c>
      <c r="D8" s="427"/>
      <c r="E8" s="12"/>
      <c r="N8" s="35"/>
      <c r="O8" s="35"/>
      <c r="P8" s="35"/>
      <c r="Q8" s="35"/>
      <c r="R8" s="35"/>
      <c r="S8" s="35"/>
    </row>
    <row r="9" spans="1:25">
      <c r="B9" s="11"/>
      <c r="C9" s="15"/>
      <c r="D9" s="428"/>
      <c r="E9" s="12"/>
      <c r="F9" s="6"/>
      <c r="G9" s="6"/>
      <c r="H9" s="6"/>
      <c r="I9" s="6"/>
      <c r="J9" s="16"/>
      <c r="K9" s="16"/>
      <c r="L9" s="6"/>
      <c r="M9" s="6"/>
      <c r="N9" s="36"/>
      <c r="O9" s="36"/>
      <c r="P9" s="36"/>
      <c r="Q9" s="36"/>
      <c r="R9" s="36"/>
      <c r="S9" s="36"/>
      <c r="T9" s="6"/>
    </row>
    <row r="10" spans="1:25" ht="18" customHeight="1">
      <c r="A10" s="17"/>
      <c r="B10" s="18" t="s">
        <v>77</v>
      </c>
      <c r="C10" s="19"/>
      <c r="D10" s="429"/>
      <c r="E10" s="20"/>
      <c r="F10" s="20"/>
      <c r="N10" s="35"/>
      <c r="O10" s="35"/>
      <c r="P10" s="35"/>
      <c r="Q10" s="35"/>
      <c r="R10" s="35"/>
      <c r="S10" s="35"/>
    </row>
    <row r="11" spans="1:25" ht="18" customHeight="1">
      <c r="A11" s="17"/>
      <c r="B11" s="21" t="s">
        <v>78</v>
      </c>
      <c r="C11" s="1737">
        <f>Prop2021JSTar!EY100</f>
        <v>82045225.005874738</v>
      </c>
      <c r="D11" s="367"/>
      <c r="E11" s="20"/>
      <c r="F11" s="10"/>
      <c r="J11" s="9"/>
      <c r="K11" s="9"/>
      <c r="N11" s="35"/>
      <c r="O11" s="35"/>
      <c r="P11" s="35"/>
      <c r="Q11" s="35"/>
      <c r="R11" s="35"/>
      <c r="S11" s="35"/>
    </row>
    <row r="12" spans="1:25" ht="18" customHeight="1">
      <c r="A12" s="17"/>
      <c r="B12" s="37" t="s">
        <v>928</v>
      </c>
      <c r="C12" s="1753">
        <f>C18</f>
        <v>82045228.90529412</v>
      </c>
      <c r="D12" s="367"/>
      <c r="F12" s="61"/>
      <c r="J12" s="9"/>
      <c r="K12" s="9"/>
      <c r="N12" s="35"/>
      <c r="O12" s="35"/>
      <c r="P12" s="35"/>
      <c r="Q12" s="35"/>
      <c r="R12" s="35"/>
      <c r="S12" s="35"/>
    </row>
    <row r="13" spans="1:25" ht="18" customHeight="1">
      <c r="A13" s="17"/>
      <c r="B13" s="38"/>
      <c r="C13" s="159" t="str">
        <f>IF(C11="","",IF(ABS(C12-C11)&lt;0.5,"JS REVENUE FORMULA COMPLIANT",IF(C11&lt;=C12,"JS REVENUE FORMULA COMPLIANT","JS REVENUE FORMULA BREACHED")))</f>
        <v>JS REVENUE FORMULA COMPLIANT</v>
      </c>
      <c r="D13" s="366"/>
      <c r="E13" s="22"/>
      <c r="F13" s="273"/>
      <c r="G13" s="34"/>
      <c r="H13" s="34"/>
      <c r="I13" s="34"/>
      <c r="J13" s="34"/>
      <c r="K13" s="34"/>
      <c r="L13" s="34"/>
      <c r="M13" s="34"/>
      <c r="N13" s="35"/>
      <c r="O13" s="35"/>
      <c r="P13" s="35"/>
      <c r="Q13" s="35"/>
      <c r="R13" s="35"/>
      <c r="S13" s="35"/>
      <c r="W13" s="23"/>
      <c r="X13" s="23"/>
      <c r="Y13" s="23"/>
    </row>
    <row r="14" spans="1:25" ht="18" customHeight="1">
      <c r="A14" s="17"/>
      <c r="B14" s="22"/>
      <c r="C14" s="22"/>
      <c r="D14" s="22"/>
      <c r="E14" s="22"/>
      <c r="F14" s="33"/>
      <c r="G14" s="34"/>
      <c r="H14" s="34"/>
      <c r="I14" s="34"/>
      <c r="J14" s="34"/>
      <c r="K14" s="34"/>
      <c r="L14" s="34"/>
      <c r="M14" s="34"/>
      <c r="N14" s="35"/>
      <c r="O14" s="35"/>
      <c r="P14" s="35"/>
      <c r="Q14" s="35"/>
      <c r="R14" s="35"/>
      <c r="S14" s="35"/>
      <c r="W14" s="23"/>
      <c r="X14" s="23"/>
      <c r="Y14" s="23"/>
    </row>
    <row r="15" spans="1:25" ht="18" customHeight="1">
      <c r="A15" s="17"/>
      <c r="B15" s="18" t="s">
        <v>81</v>
      </c>
      <c r="C15" s="22"/>
      <c r="D15" s="22"/>
      <c r="E15" s="22"/>
      <c r="F15" s="33"/>
      <c r="G15" s="34"/>
      <c r="H15" s="34"/>
      <c r="I15" s="34"/>
      <c r="J15" s="34"/>
      <c r="K15" s="34"/>
      <c r="L15" s="34"/>
      <c r="M15" s="34"/>
      <c r="N15" s="35"/>
      <c r="O15" s="35"/>
      <c r="P15" s="35"/>
      <c r="Q15" s="35"/>
      <c r="R15" s="35"/>
      <c r="S15" s="35"/>
      <c r="W15" s="23"/>
      <c r="X15" s="23"/>
      <c r="Y15" s="23"/>
    </row>
    <row r="16" spans="1:25" ht="18" customHeight="1">
      <c r="A16" s="17"/>
      <c r="B16" s="24" t="s">
        <v>120</v>
      </c>
      <c r="C16" s="1739">
        <f>C23</f>
        <v>84248523</v>
      </c>
      <c r="D16" s="368"/>
      <c r="E16" s="22"/>
      <c r="F16" s="33"/>
      <c r="G16" s="34"/>
      <c r="H16" s="34"/>
      <c r="I16" s="34"/>
      <c r="J16" s="34"/>
      <c r="K16" s="34"/>
      <c r="L16" s="34"/>
      <c r="M16" s="34"/>
      <c r="N16" s="35"/>
      <c r="O16" s="35"/>
      <c r="P16" s="35"/>
      <c r="Q16" s="35"/>
      <c r="R16" s="35"/>
      <c r="S16" s="35"/>
      <c r="W16" s="23"/>
      <c r="X16" s="23"/>
      <c r="Y16" s="23"/>
    </row>
    <row r="17" spans="1:25" ht="18" customHeight="1">
      <c r="A17" s="17"/>
      <c r="B17" s="25" t="s">
        <v>80</v>
      </c>
      <c r="C17" s="1739">
        <f>-E51*(1+E48)^0.5</f>
        <v>-2203294.0947058816</v>
      </c>
      <c r="D17" s="368"/>
      <c r="E17" s="22"/>
      <c r="F17" s="33"/>
      <c r="G17" s="34"/>
      <c r="H17" s="34"/>
      <c r="I17" s="34"/>
      <c r="J17" s="34"/>
      <c r="K17" s="34"/>
      <c r="L17" s="34"/>
      <c r="M17" s="34"/>
      <c r="N17" s="35"/>
      <c r="O17" s="35"/>
      <c r="P17" s="35"/>
      <c r="Q17" s="35"/>
      <c r="R17" s="35"/>
      <c r="S17" s="35"/>
      <c r="W17" s="23"/>
      <c r="X17" s="23"/>
      <c r="Y17" s="23"/>
    </row>
    <row r="18" spans="1:25" ht="18" customHeight="1">
      <c r="A18" s="17"/>
      <c r="B18" s="21" t="s">
        <v>79</v>
      </c>
      <c r="C18" s="1754">
        <f>SUM(C16:C17)</f>
        <v>82045228.90529412</v>
      </c>
      <c r="D18" s="371"/>
      <c r="E18" s="22"/>
      <c r="F18" s="33"/>
      <c r="G18" s="34"/>
      <c r="H18" s="34"/>
      <c r="I18" s="34"/>
      <c r="J18" s="34"/>
      <c r="K18" s="34"/>
      <c r="L18" s="34"/>
      <c r="M18" s="34"/>
      <c r="N18" s="35"/>
      <c r="O18" s="35"/>
      <c r="P18" s="35"/>
      <c r="Q18" s="35"/>
      <c r="R18" s="35"/>
      <c r="S18" s="35"/>
      <c r="W18" s="23"/>
      <c r="X18" s="23"/>
      <c r="Y18" s="23"/>
    </row>
    <row r="19" spans="1:25" ht="18" customHeight="1">
      <c r="A19" s="17"/>
      <c r="B19" s="26"/>
      <c r="C19" s="39"/>
      <c r="D19" s="369"/>
      <c r="E19" s="22"/>
      <c r="F19" s="33"/>
      <c r="G19" s="34"/>
      <c r="H19" s="34"/>
      <c r="I19" s="34"/>
      <c r="J19" s="34"/>
      <c r="K19" s="34"/>
      <c r="L19" s="34"/>
      <c r="M19" s="34"/>
      <c r="N19" s="35"/>
      <c r="O19" s="35"/>
      <c r="P19" s="35"/>
      <c r="Q19" s="35"/>
      <c r="R19" s="35"/>
      <c r="S19" s="35"/>
      <c r="W19" s="23"/>
      <c r="X19" s="23"/>
      <c r="Y19" s="23"/>
    </row>
    <row r="20" spans="1:25" ht="18" customHeight="1">
      <c r="A20" s="17"/>
      <c r="B20" s="18" t="s">
        <v>82</v>
      </c>
      <c r="C20" s="22"/>
      <c r="D20" s="22"/>
      <c r="E20" s="22"/>
      <c r="F20" s="33"/>
      <c r="G20" s="34"/>
      <c r="H20" s="34"/>
      <c r="I20" s="34"/>
      <c r="J20" s="34"/>
      <c r="K20" s="34"/>
      <c r="L20" s="34"/>
      <c r="M20" s="34"/>
      <c r="N20" s="35"/>
      <c r="O20" s="35"/>
      <c r="P20" s="35"/>
      <c r="Q20" s="35"/>
      <c r="R20" s="35"/>
      <c r="S20" s="35"/>
      <c r="W20" s="23"/>
      <c r="X20" s="23"/>
      <c r="Y20" s="23"/>
    </row>
    <row r="21" spans="1:25" ht="18" customHeight="1">
      <c r="A21" s="17"/>
      <c r="B21" s="24" t="s">
        <v>117</v>
      </c>
      <c r="C21" s="1739">
        <f>'Model update'!J165</f>
        <v>84131244</v>
      </c>
      <c r="D21" s="368"/>
      <c r="E21" s="22"/>
      <c r="F21" s="33"/>
      <c r="G21" s="34"/>
      <c r="H21" s="34"/>
      <c r="I21" s="34"/>
      <c r="J21" s="34"/>
      <c r="K21" s="34"/>
      <c r="L21" s="34"/>
      <c r="M21" s="34"/>
      <c r="N21" s="35"/>
      <c r="O21" s="35"/>
      <c r="P21" s="35"/>
      <c r="Q21" s="35"/>
      <c r="R21" s="35"/>
      <c r="S21" s="35"/>
      <c r="W21" s="23"/>
      <c r="X21" s="23"/>
      <c r="Y21" s="23"/>
    </row>
    <row r="22" spans="1:25" ht="18" customHeight="1">
      <c r="A22" s="17"/>
      <c r="B22" s="25" t="s">
        <v>118</v>
      </c>
      <c r="C22" s="1739">
        <f>'Model update'!J166</f>
        <v>117279</v>
      </c>
      <c r="D22" s="368"/>
      <c r="E22" s="22"/>
      <c r="F22" s="33"/>
      <c r="G22" s="34"/>
      <c r="H22" s="34"/>
      <c r="I22" s="34"/>
      <c r="J22" s="34"/>
      <c r="K22" s="34"/>
      <c r="L22" s="34"/>
      <c r="M22" s="34"/>
      <c r="N22" s="35"/>
      <c r="O22" s="35"/>
      <c r="P22" s="35"/>
      <c r="Q22" s="35"/>
      <c r="R22" s="35"/>
      <c r="S22" s="35"/>
      <c r="W22" s="23"/>
      <c r="X22" s="23"/>
      <c r="Y22" s="23"/>
    </row>
    <row r="23" spans="1:25" ht="18" customHeight="1">
      <c r="A23" s="17"/>
      <c r="B23" s="21" t="s">
        <v>121</v>
      </c>
      <c r="C23" s="1754">
        <f>SUM(C21:C22)</f>
        <v>84248523</v>
      </c>
      <c r="D23" s="371"/>
      <c r="E23" s="22"/>
      <c r="F23" s="33"/>
      <c r="G23" s="34"/>
      <c r="H23" s="34"/>
      <c r="I23" s="34"/>
      <c r="J23" s="34"/>
      <c r="K23" s="34"/>
      <c r="L23" s="34"/>
      <c r="M23" s="34"/>
      <c r="N23" s="35"/>
      <c r="O23" s="35"/>
      <c r="P23" s="35"/>
      <c r="Q23" s="35"/>
      <c r="R23" s="35"/>
      <c r="S23" s="35"/>
      <c r="W23" s="23"/>
      <c r="X23" s="23"/>
      <c r="Y23" s="23"/>
    </row>
    <row r="24" spans="1:25" ht="18" customHeight="1">
      <c r="A24" s="17"/>
      <c r="B24" s="27"/>
      <c r="C24" s="31"/>
      <c r="D24" s="31"/>
      <c r="E24" s="22"/>
      <c r="F24" s="33"/>
      <c r="G24" s="34"/>
      <c r="H24" s="34"/>
      <c r="I24" s="34"/>
      <c r="J24" s="34"/>
      <c r="K24" s="34"/>
      <c r="L24" s="34"/>
      <c r="M24" s="34"/>
      <c r="N24" s="35"/>
      <c r="O24" s="35"/>
      <c r="P24" s="35"/>
      <c r="Q24" s="35"/>
      <c r="R24" s="35"/>
      <c r="S24" s="35"/>
      <c r="W24" s="23"/>
      <c r="X24" s="23"/>
      <c r="Y24" s="23"/>
    </row>
    <row r="26" spans="1:25" ht="15.6">
      <c r="B26" s="50" t="s">
        <v>83</v>
      </c>
    </row>
    <row r="27" spans="1:25" ht="15" customHeight="1">
      <c r="B27" s="44"/>
      <c r="C27" s="53" t="s">
        <v>57</v>
      </c>
      <c r="D27" s="370" t="s">
        <v>948</v>
      </c>
      <c r="E27" s="53" t="s">
        <v>7</v>
      </c>
      <c r="I27" s="10"/>
      <c r="K27" s="9"/>
    </row>
    <row r="28" spans="1:25" ht="15" customHeight="1">
      <c r="B28" s="45"/>
      <c r="C28" s="54" t="s">
        <v>6</v>
      </c>
      <c r="D28" s="54" t="s">
        <v>947</v>
      </c>
      <c r="E28" s="54" t="s">
        <v>8</v>
      </c>
      <c r="I28" s="10"/>
      <c r="K28" s="9"/>
    </row>
    <row r="29" spans="1:25" ht="15" customHeight="1">
      <c r="B29" s="45"/>
      <c r="C29" s="55" t="str">
        <f>'Model update'!B9</f>
        <v>2019-20</v>
      </c>
      <c r="D29" s="55" t="str">
        <f>'Model update'!B8</f>
        <v>2020-21</v>
      </c>
      <c r="E29" s="55" t="str">
        <f>'Model update'!B7</f>
        <v>2021-22</v>
      </c>
      <c r="I29" s="10"/>
      <c r="K29" s="9"/>
    </row>
    <row r="30" spans="1:25" ht="15" customHeight="1">
      <c r="B30" s="45"/>
      <c r="C30" s="43"/>
      <c r="D30" s="43"/>
      <c r="E30" s="52"/>
      <c r="I30" s="10"/>
      <c r="K30" s="9"/>
    </row>
    <row r="31" spans="1:25" ht="15" customHeight="1">
      <c r="B31" s="86" t="s">
        <v>84</v>
      </c>
      <c r="C31" s="1746">
        <f>C33</f>
        <v>91421930.890000001</v>
      </c>
      <c r="D31" s="1746">
        <f>'Model update'!I156</f>
        <v>92626000</v>
      </c>
      <c r="E31" s="1742">
        <f>C11</f>
        <v>82045225.005874738</v>
      </c>
      <c r="I31" s="10"/>
      <c r="K31" s="9"/>
    </row>
    <row r="32" spans="1:25" ht="15" customHeight="1">
      <c r="B32" s="70"/>
      <c r="C32" s="1755"/>
      <c r="D32" s="1755"/>
      <c r="E32" s="1744"/>
      <c r="I32" s="10"/>
      <c r="K32" s="9"/>
    </row>
    <row r="33" spans="2:11" ht="15" customHeight="1">
      <c r="B33" s="46" t="s">
        <v>85</v>
      </c>
      <c r="C33" s="1746">
        <f>C35+C39</f>
        <v>91421930.890000001</v>
      </c>
      <c r="D33" s="1746">
        <f t="shared" ref="D33:E33" si="0">D35+D39</f>
        <v>90501361</v>
      </c>
      <c r="E33" s="1746">
        <f t="shared" si="0"/>
        <v>84248523</v>
      </c>
      <c r="I33" s="10"/>
      <c r="K33" s="9"/>
    </row>
    <row r="34" spans="2:11" ht="15" customHeight="1">
      <c r="B34" s="46"/>
      <c r="C34" s="1746"/>
      <c r="D34" s="1746"/>
      <c r="E34" s="1746"/>
      <c r="I34" s="10"/>
      <c r="K34" s="9"/>
    </row>
    <row r="35" spans="2:11" ht="15" customHeight="1">
      <c r="B35" s="47" t="s">
        <v>124</v>
      </c>
      <c r="C35" s="1756">
        <f>SUM(C36:C37)</f>
        <v>91431686.599999994</v>
      </c>
      <c r="D35" s="1756">
        <f>SUM(D36:D37)</f>
        <v>90501361</v>
      </c>
      <c r="E35" s="1756">
        <f>SUM(E36:E37)</f>
        <v>84248523</v>
      </c>
      <c r="I35" s="10"/>
      <c r="K35" s="9"/>
    </row>
    <row r="36" spans="2:11" ht="15" customHeight="1">
      <c r="B36" s="48" t="s">
        <v>125</v>
      </c>
      <c r="C36" s="1745">
        <f>'Model update'!G165</f>
        <v>91316836.030000001</v>
      </c>
      <c r="D36" s="1745">
        <f>'Model update'!I165</f>
        <v>90384082</v>
      </c>
      <c r="E36" s="1757">
        <f>C21</f>
        <v>84131244</v>
      </c>
      <c r="I36" s="10"/>
      <c r="K36" s="9"/>
    </row>
    <row r="37" spans="2:11" ht="15" customHeight="1">
      <c r="B37" s="48" t="s">
        <v>126</v>
      </c>
      <c r="C37" s="1748">
        <f>'Model update'!G166</f>
        <v>114850.57</v>
      </c>
      <c r="D37" s="1748">
        <f>'Model update'!I166</f>
        <v>117279</v>
      </c>
      <c r="E37" s="1749">
        <f>C22</f>
        <v>117279</v>
      </c>
      <c r="I37" s="10"/>
      <c r="K37" s="9"/>
    </row>
    <row r="38" spans="2:11" ht="15" customHeight="1">
      <c r="B38" s="48"/>
      <c r="C38" s="1745"/>
      <c r="D38" s="1745"/>
      <c r="E38" s="1744"/>
      <c r="I38" s="10"/>
      <c r="K38" s="9"/>
    </row>
    <row r="39" spans="2:11" ht="15" customHeight="1">
      <c r="B39" s="430" t="s">
        <v>123</v>
      </c>
      <c r="C39" s="1748">
        <f>RINs!F165-RINs!F179</f>
        <v>-9755.7099999934435</v>
      </c>
      <c r="D39" s="1748">
        <v>0</v>
      </c>
      <c r="E39" s="1748">
        <v>0</v>
      </c>
      <c r="I39" s="10"/>
      <c r="K39" s="9"/>
    </row>
    <row r="40" spans="2:11" ht="15" customHeight="1">
      <c r="B40" s="46" t="s">
        <v>967</v>
      </c>
      <c r="C40" s="1758">
        <v>0</v>
      </c>
      <c r="D40" s="1758">
        <v>0</v>
      </c>
      <c r="E40" s="1758">
        <v>0</v>
      </c>
      <c r="I40" s="10"/>
      <c r="K40" s="9"/>
    </row>
    <row r="41" spans="2:11" ht="15" customHeight="1">
      <c r="B41" s="87" t="s">
        <v>958</v>
      </c>
      <c r="C41" s="1746">
        <f>C31-C33+C40</f>
        <v>0</v>
      </c>
      <c r="D41" s="1746">
        <f>D31-D33+D40</f>
        <v>2124639</v>
      </c>
      <c r="E41" s="1746">
        <f>E31-E33+E40</f>
        <v>-2203297.9941252619</v>
      </c>
      <c r="I41" s="10"/>
      <c r="K41" s="9"/>
    </row>
    <row r="42" spans="2:11">
      <c r="B42" s="14"/>
      <c r="I42" s="10"/>
      <c r="K42" s="9"/>
    </row>
    <row r="43" spans="2:11">
      <c r="B43" s="14"/>
      <c r="I43" s="10"/>
      <c r="K43" s="9"/>
    </row>
    <row r="44" spans="2:11" ht="15.6">
      <c r="B44" s="50" t="s">
        <v>86</v>
      </c>
      <c r="I44" s="10"/>
      <c r="K44" s="9"/>
    </row>
    <row r="45" spans="2:11" ht="15" customHeight="1">
      <c r="B45" s="88"/>
      <c r="C45" s="53" t="s">
        <v>57</v>
      </c>
      <c r="D45" s="370" t="s">
        <v>948</v>
      </c>
      <c r="E45" s="53" t="s">
        <v>7</v>
      </c>
      <c r="I45" s="10"/>
      <c r="K45" s="9"/>
    </row>
    <row r="46" spans="2:11" ht="15" customHeight="1">
      <c r="B46" s="49"/>
      <c r="C46" s="54" t="s">
        <v>6</v>
      </c>
      <c r="D46" s="54" t="s">
        <v>947</v>
      </c>
      <c r="E46" s="54" t="s">
        <v>8</v>
      </c>
      <c r="I46" s="10"/>
      <c r="K46" s="9"/>
    </row>
    <row r="47" spans="2:11" ht="15" customHeight="1">
      <c r="B47" s="89" t="s">
        <v>122</v>
      </c>
      <c r="C47" s="55" t="str">
        <f>C29</f>
        <v>2019-20</v>
      </c>
      <c r="D47" s="55" t="str">
        <f>D29</f>
        <v>2020-21</v>
      </c>
      <c r="E47" s="55" t="str">
        <f>E29</f>
        <v>2021-22</v>
      </c>
      <c r="I47" s="10"/>
      <c r="K47" s="9"/>
    </row>
    <row r="48" spans="2:11" ht="15" customHeight="1">
      <c r="B48" s="49" t="s">
        <v>959</v>
      </c>
      <c r="C48" s="650">
        <f>'Model update'!G51</f>
        <v>5.9824761261038563E-2</v>
      </c>
      <c r="D48" s="650">
        <f>'Model update'!I51</f>
        <v>4.2845042391632671E-2</v>
      </c>
      <c r="E48" s="650">
        <f>'Model update'!J51</f>
        <v>3.1228392305169494E-2</v>
      </c>
      <c r="I48" s="10"/>
      <c r="K48" s="9"/>
    </row>
    <row r="49" spans="2:11" ht="15" customHeight="1">
      <c r="B49" s="49" t="s">
        <v>960</v>
      </c>
      <c r="C49" s="1542"/>
      <c r="D49" s="1543"/>
      <c r="E49" s="1545">
        <f>'Model update'!J52</f>
        <v>2.2429515237719279E-2</v>
      </c>
      <c r="I49" s="10"/>
      <c r="K49" s="9"/>
    </row>
    <row r="50" spans="2:11" ht="15" customHeight="1">
      <c r="B50" s="49" t="s">
        <v>961</v>
      </c>
      <c r="C50" s="1542"/>
      <c r="D50" s="1543"/>
      <c r="E50" s="1545">
        <f>'Model update'!F24</f>
        <v>8.6058519793459354E-3</v>
      </c>
      <c r="I50" s="10"/>
      <c r="K50" s="9"/>
    </row>
    <row r="51" spans="2:11" ht="15" customHeight="1">
      <c r="B51" s="49" t="s">
        <v>11</v>
      </c>
      <c r="C51" s="1752">
        <v>0</v>
      </c>
      <c r="D51" s="1752">
        <f>C55</f>
        <v>0</v>
      </c>
      <c r="E51" s="1745">
        <f>D55</f>
        <v>2169676.7721133106</v>
      </c>
      <c r="I51" s="10"/>
      <c r="K51" s="9"/>
    </row>
    <row r="52" spans="2:11" ht="15" customHeight="1">
      <c r="B52" s="49" t="s">
        <v>949</v>
      </c>
      <c r="C52" s="1745">
        <f>C51*C48</f>
        <v>0</v>
      </c>
      <c r="D52" s="1745">
        <f t="shared" ref="D52" si="1">D51*D48</f>
        <v>0</v>
      </c>
      <c r="E52" s="1752">
        <f>E51*(1+E48)-E51</f>
        <v>67755.517414968461</v>
      </c>
      <c r="I52" s="10"/>
      <c r="K52" s="9"/>
    </row>
    <row r="53" spans="2:11" ht="15" customHeight="1">
      <c r="B53" s="49" t="s">
        <v>12</v>
      </c>
      <c r="C53" s="1752">
        <f>C41</f>
        <v>0</v>
      </c>
      <c r="D53" s="1752">
        <f>D41</f>
        <v>2124639</v>
      </c>
      <c r="E53" s="1752">
        <f>E41</f>
        <v>-2203297.9941252619</v>
      </c>
      <c r="I53" s="10"/>
      <c r="K53" s="9"/>
    </row>
    <row r="54" spans="2:11" ht="15" customHeight="1">
      <c r="B54" s="49" t="s">
        <v>103</v>
      </c>
      <c r="C54" s="1745">
        <f>C53*((1+C49)^0.5-1)</f>
        <v>0</v>
      </c>
      <c r="D54" s="1745">
        <f>D53*((1+D48)^0.5-1)</f>
        <v>45037.772113310784</v>
      </c>
      <c r="E54" s="1752">
        <f>E53*((1+E48)^0.5-1)</f>
        <v>-34138.255240631283</v>
      </c>
      <c r="I54" s="10"/>
      <c r="K54" s="9"/>
    </row>
    <row r="55" spans="2:11" ht="15" customHeight="1">
      <c r="B55" s="87" t="s">
        <v>91</v>
      </c>
      <c r="C55" s="1746">
        <f>SUM(C51:C54)</f>
        <v>0</v>
      </c>
      <c r="D55" s="1746">
        <f t="shared" ref="D55" si="2">SUM(D51:D54)</f>
        <v>2169676.7721133106</v>
      </c>
      <c r="E55" s="1746">
        <f>SUM(E51:E54)</f>
        <v>-3.9598376140856999</v>
      </c>
      <c r="I55" s="10"/>
      <c r="K55" s="9"/>
    </row>
    <row r="57" spans="2:11">
      <c r="B57" s="93"/>
    </row>
  </sheetData>
  <pageMargins left="0.31496062992125984" right="0.31496062992125984" top="0.74803149606299213" bottom="0.35433070866141736" header="0.31496062992125984" footer="0.31496062992125984"/>
  <pageSetup paperSize="9" scale="71"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FFFF00"/>
    <pageSetUpPr autoPageBreaks="0"/>
  </sheetPr>
  <dimension ref="A1:GJ111"/>
  <sheetViews>
    <sheetView zoomScale="80" zoomScaleNormal="80" workbookViewId="0">
      <pane ySplit="7" topLeftCell="A8" activePane="bottomLeft" state="frozen"/>
      <selection pane="bottomLeft" activeCell="A8" sqref="A8:XFD122"/>
    </sheetView>
  </sheetViews>
  <sheetFormatPr defaultColWidth="9.109375" defaultRowHeight="13.2"/>
  <cols>
    <col min="1" max="1" width="15" style="1102" customWidth="1"/>
    <col min="2" max="2" width="14.6640625" style="1102" customWidth="1"/>
    <col min="3" max="4" width="50.6640625" style="1102" customWidth="1"/>
    <col min="5" max="5" width="16.5546875" style="1102" customWidth="1"/>
    <col min="6" max="7" width="13" style="1102" customWidth="1"/>
    <col min="8" max="9" width="14.88671875" style="1102" customWidth="1"/>
    <col min="10" max="10" width="1.6640625" style="1102" customWidth="1"/>
    <col min="11" max="45" width="11.5546875" style="1102" customWidth="1"/>
    <col min="46" max="46" width="1.6640625" style="1102" customWidth="1"/>
    <col min="47" max="69" width="11.5546875" style="1102" customWidth="1"/>
    <col min="70" max="70" width="11.6640625" style="1102" bestFit="1" customWidth="1"/>
    <col min="71" max="81" width="11.5546875" style="1102" customWidth="1"/>
    <col min="82" max="83" width="1.6640625" style="1102" customWidth="1"/>
    <col min="84" max="106" width="11.5546875" style="1102" customWidth="1"/>
    <col min="107" max="107" width="17.6640625" style="1102" bestFit="1" customWidth="1"/>
    <col min="108" max="118" width="11.5546875" style="1102" customWidth="1"/>
    <col min="119" max="119" width="2.6640625" style="1102" customWidth="1"/>
    <col min="120" max="154" width="14.6640625" style="1102" customWidth="1"/>
    <col min="155" max="155" width="16.6640625" style="1102" customWidth="1"/>
    <col min="156" max="156" width="3.33203125" style="1102" customWidth="1"/>
    <col min="157" max="191" width="12.5546875" style="1102" customWidth="1"/>
    <col min="192" max="192" width="13.88671875" style="1102" bestFit="1" customWidth="1"/>
    <col min="193" max="16384" width="9.109375" style="1102"/>
  </cols>
  <sheetData>
    <row r="1" spans="1:192" ht="13.8">
      <c r="C1" s="1103" t="str">
        <f>"Tariff Approval - "&amp;'Model update'!$B$3</f>
        <v>Tariff Approval - Ergon Energy</v>
      </c>
      <c r="D1" s="1103"/>
      <c r="E1" s="1103"/>
      <c r="F1" s="1103"/>
      <c r="G1" s="1103"/>
      <c r="H1" s="1103"/>
      <c r="I1" s="1103"/>
      <c r="J1" s="1246"/>
      <c r="K1" s="1104"/>
      <c r="L1" s="1104"/>
      <c r="M1" s="1104"/>
      <c r="N1" s="1104"/>
      <c r="O1" s="1104"/>
      <c r="P1" s="1104"/>
      <c r="Q1" s="1104"/>
      <c r="T1" s="1104"/>
      <c r="U1" s="1104"/>
      <c r="V1" s="1104"/>
      <c r="W1" s="1104"/>
      <c r="X1" s="1104"/>
      <c r="Y1" s="1104"/>
      <c r="Z1" s="1104"/>
      <c r="AA1" s="1104"/>
      <c r="AB1" s="1104"/>
      <c r="AC1" s="1104"/>
      <c r="AD1" s="1104"/>
      <c r="AE1" s="1104"/>
      <c r="AF1" s="1104"/>
      <c r="AG1" s="1104"/>
      <c r="AI1" s="1104"/>
      <c r="AJ1" s="1104"/>
      <c r="AK1" s="1104"/>
      <c r="AT1" s="1246"/>
      <c r="CD1" s="1246"/>
      <c r="CE1" s="1246"/>
      <c r="DO1" s="1246"/>
      <c r="EZ1" s="1246"/>
    </row>
    <row r="2" spans="1:192">
      <c r="J2" s="1246"/>
      <c r="AT2" s="1246"/>
      <c r="CD2" s="1246"/>
      <c r="CE2" s="1246"/>
      <c r="DO2" s="1246"/>
      <c r="EZ2" s="1246"/>
    </row>
    <row r="3" spans="1:192">
      <c r="C3" s="1105" t="str">
        <f>"PROPOSED "&amp;'Model update'!$B$6&amp;" JURISDICTIONAL SCHEME TARIFFS"</f>
        <v>PROPOSED 2021-22 JURISDICTIONAL SCHEME TARIFFS</v>
      </c>
      <c r="D3" s="1105"/>
      <c r="E3" s="1105"/>
      <c r="F3" s="1105"/>
      <c r="G3" s="1105"/>
      <c r="H3" s="1105"/>
      <c r="I3" s="1105"/>
      <c r="J3" s="1246"/>
      <c r="AT3" s="1246"/>
      <c r="CD3" s="1246"/>
      <c r="CE3" s="1246"/>
      <c r="DO3" s="1246"/>
      <c r="EZ3" s="1246"/>
    </row>
    <row r="4" spans="1:192" ht="50.25" customHeight="1">
      <c r="J4" s="1246"/>
      <c r="K4" s="1107" t="str">
        <f>"Proposed Jurisdictional scheme Tariffs (Pt) for "&amp;'Model update'!$B$6</f>
        <v>Proposed Jurisdictional scheme Tariffs (Pt) for 2021-22</v>
      </c>
      <c r="L4" s="1107"/>
      <c r="M4" s="1107"/>
      <c r="N4" s="1107"/>
      <c r="O4" s="1107"/>
      <c r="P4" s="1107"/>
      <c r="Q4" s="1107"/>
      <c r="R4" s="1108"/>
      <c r="S4" s="1108"/>
      <c r="T4" s="1108"/>
      <c r="U4" s="1108"/>
      <c r="V4" s="1108"/>
      <c r="W4" s="1108"/>
      <c r="X4" s="1108"/>
      <c r="Y4" s="1108"/>
      <c r="Z4" s="1108"/>
      <c r="AA4" s="1108"/>
      <c r="AB4" s="1108"/>
      <c r="AC4" s="1108"/>
      <c r="AD4" s="1108"/>
      <c r="AE4" s="1108"/>
      <c r="AF4" s="1108"/>
      <c r="AG4" s="1108"/>
      <c r="AH4" s="1108"/>
      <c r="AI4" s="1108"/>
      <c r="AJ4" s="1108"/>
      <c r="AK4" s="1108"/>
      <c r="AL4" s="1108"/>
      <c r="AM4" s="1108"/>
      <c r="AN4" s="1108"/>
      <c r="AO4" s="1108"/>
      <c r="AP4" s="1108"/>
      <c r="AQ4" s="1108"/>
      <c r="AR4" s="1108"/>
      <c r="AS4" s="1108"/>
      <c r="AT4" s="1246"/>
      <c r="AU4" s="1107" t="str">
        <f>"Jurisdictional scheme Tariffs (Pt-1) for "&amp;'Model update'!B8</f>
        <v>Jurisdictional scheme Tariffs (Pt-1) for 2020-21</v>
      </c>
      <c r="AV4" s="1108"/>
      <c r="AW4" s="1108"/>
      <c r="AX4" s="1108"/>
      <c r="AY4" s="1108"/>
      <c r="AZ4" s="1108"/>
      <c r="BA4" s="1108"/>
      <c r="BB4" s="1108"/>
      <c r="BC4" s="1108"/>
      <c r="BD4" s="1108"/>
      <c r="BE4" s="1108"/>
      <c r="BF4" s="1108"/>
      <c r="BG4" s="1108"/>
      <c r="BH4" s="1108"/>
      <c r="BI4" s="1108"/>
      <c r="BJ4" s="1108"/>
      <c r="BK4" s="1108"/>
      <c r="BL4" s="1108"/>
      <c r="BM4" s="1108"/>
      <c r="BN4" s="1108"/>
      <c r="BO4" s="1108"/>
      <c r="BP4" s="1108"/>
      <c r="BQ4" s="1108"/>
      <c r="BR4" s="1108"/>
      <c r="BS4" s="1108"/>
      <c r="BT4" s="1108"/>
      <c r="BU4" s="1108"/>
      <c r="BV4" s="1108"/>
      <c r="BW4" s="1108"/>
      <c r="BX4" s="1108"/>
      <c r="BY4" s="1108"/>
      <c r="BZ4" s="1108"/>
      <c r="CA4" s="1108"/>
      <c r="CB4" s="1108"/>
      <c r="CC4" s="1108"/>
      <c r="CD4" s="1246"/>
      <c r="CE4" s="1246"/>
      <c r="CF4" s="1107" t="str">
        <f>"Forecast Quantities (Qt) for "&amp;'Model update'!$B$6</f>
        <v>Forecast Quantities (Qt) for 2021-22</v>
      </c>
      <c r="CG4" s="1107"/>
      <c r="CH4" s="1107"/>
      <c r="CI4" s="1107"/>
      <c r="CJ4" s="1107"/>
      <c r="CK4" s="1107"/>
      <c r="CL4" s="1107"/>
      <c r="CM4" s="1108"/>
      <c r="CN4" s="1108"/>
      <c r="CO4" s="1108"/>
      <c r="CP4" s="1108"/>
      <c r="CQ4" s="1108"/>
      <c r="CR4" s="1108"/>
      <c r="CS4" s="1108"/>
      <c r="CT4" s="1108"/>
      <c r="CU4" s="1108"/>
      <c r="CV4" s="1108"/>
      <c r="CW4" s="1108"/>
      <c r="CX4" s="1108"/>
      <c r="CY4" s="1108"/>
      <c r="CZ4" s="1108"/>
      <c r="DA4" s="1108"/>
      <c r="DB4" s="1108"/>
      <c r="DC4" s="1108"/>
      <c r="DD4" s="1108"/>
      <c r="DE4" s="1108"/>
      <c r="DF4" s="1108"/>
      <c r="DG4" s="1108"/>
      <c r="DH4" s="1108"/>
      <c r="DI4" s="1108"/>
      <c r="DJ4" s="1108"/>
      <c r="DK4" s="1108"/>
      <c r="DL4" s="1108"/>
      <c r="DM4" s="1108"/>
      <c r="DN4" s="1108"/>
      <c r="DO4" s="1246"/>
      <c r="DP4" s="996" t="str">
        <f>"Forecast Revenue (Pt "&amp;'Model update'!$B$6&amp;")*(Qt " &amp;'Model update'!$B$6&amp;")"</f>
        <v>Forecast Revenue (Pt 2021-22)*(Qt 2021-22)</v>
      </c>
      <c r="DQ4" s="996"/>
      <c r="DR4" s="996"/>
      <c r="DS4" s="996"/>
      <c r="DT4" s="996"/>
      <c r="DU4" s="996"/>
      <c r="DV4" s="996"/>
      <c r="DW4" s="996"/>
      <c r="DX4" s="996"/>
      <c r="DY4" s="996"/>
      <c r="DZ4" s="996"/>
      <c r="EA4" s="1109"/>
      <c r="EB4" s="1109"/>
      <c r="EC4" s="1109"/>
      <c r="ED4" s="1109"/>
      <c r="EE4" s="1109"/>
      <c r="EF4" s="1109"/>
      <c r="EG4" s="1109"/>
      <c r="EH4" s="1109"/>
      <c r="EI4" s="1109"/>
      <c r="EJ4" s="1109"/>
      <c r="EK4" s="1109"/>
      <c r="EL4" s="1109"/>
      <c r="EM4" s="1108"/>
      <c r="EN4" s="1109"/>
      <c r="EO4" s="1109"/>
      <c r="EP4" s="1109"/>
      <c r="EQ4" s="1108"/>
      <c r="ER4" s="1108"/>
      <c r="ES4" s="1108"/>
      <c r="ET4" s="1108"/>
      <c r="EU4" s="1108"/>
      <c r="EV4" s="1108"/>
      <c r="EW4" s="1108"/>
      <c r="EX4" s="1108"/>
      <c r="EY4" s="1108"/>
      <c r="EZ4" s="1246"/>
      <c r="FA4" s="996" t="str">
        <f>"Forecast Revenue (Pt-1 "&amp;'Model update'!B8&amp;")*(Qt " &amp;'Model update'!$B$6&amp;")"</f>
        <v>Forecast Revenue (Pt-1 2020-21)*(Qt 2021-22)</v>
      </c>
      <c r="FB4" s="996"/>
      <c r="FC4" s="996"/>
      <c r="FD4" s="996"/>
      <c r="FE4" s="996"/>
      <c r="FF4" s="996"/>
      <c r="FG4" s="996"/>
      <c r="FH4" s="996"/>
      <c r="FI4" s="996"/>
      <c r="FJ4" s="996"/>
      <c r="FK4" s="996"/>
      <c r="FL4" s="1109"/>
      <c r="FM4" s="1109"/>
      <c r="FN4" s="1109"/>
      <c r="FO4" s="1109"/>
      <c r="FP4" s="1109"/>
      <c r="FQ4" s="1109"/>
      <c r="FR4" s="1109"/>
      <c r="FS4" s="1109"/>
      <c r="FT4" s="1109"/>
      <c r="FU4" s="1109"/>
      <c r="FV4" s="1109"/>
      <c r="FW4" s="1109"/>
      <c r="FX4" s="1108"/>
      <c r="FY4" s="1109"/>
      <c r="FZ4" s="1109"/>
      <c r="GA4" s="1109"/>
      <c r="GB4" s="1108"/>
      <c r="GC4" s="1108"/>
      <c r="GD4" s="1108"/>
      <c r="GE4" s="1108"/>
      <c r="GF4" s="1108"/>
      <c r="GG4" s="1108"/>
      <c r="GH4" s="1108"/>
      <c r="GI4" s="1108"/>
      <c r="GJ4" s="1108"/>
    </row>
    <row r="5" spans="1:192" ht="65.099999999999994" customHeight="1">
      <c r="B5" s="1146" t="str">
        <f>Prop2021DUOSTariffs!B5</f>
        <v>NMIs</v>
      </c>
      <c r="C5" s="1146" t="str">
        <f>Prop2021DUOSTariffs!C5</f>
        <v>Proposed tariff</v>
      </c>
      <c r="D5" s="1146" t="str">
        <f>Prop2021DUOSTariffs!D5</f>
        <v>Existing tariff</v>
      </c>
      <c r="E5" s="1146" t="str">
        <f>Prop2021DUOSTariffs!E5</f>
        <v>Tariff class</v>
      </c>
      <c r="F5" s="1146" t="str">
        <f>Prop2021DUOSTariffs!F5</f>
        <v>Customer class in year t</v>
      </c>
      <c r="G5" s="1146" t="str">
        <f>Prop2021DUOSTariffs!G5</f>
        <v>Region</v>
      </c>
      <c r="H5" s="1146" t="str">
        <f>Prop2021DUOSTariffs!H5</f>
        <v>Tariff Class/tariff/zone description</v>
      </c>
      <c r="I5" s="1146" t="str">
        <f>Prop2021DUOSTariffs!I5</f>
        <v>Category</v>
      </c>
      <c r="J5" s="1256"/>
      <c r="K5" s="1247" t="str">
        <f>Prop2021DUOSTariffs!L5</f>
        <v>Fixed Charge</v>
      </c>
      <c r="L5" s="1247" t="str">
        <f>Prop2021DUOSTariffs!M5</f>
        <v>Band1 Charge</v>
      </c>
      <c r="M5" s="1247" t="str">
        <f>Prop2021DUOSTariffs!N5</f>
        <v>Band2 Charge</v>
      </c>
      <c r="N5" s="1247" t="str">
        <f>Prop2021DUOSTariffs!O5</f>
        <v>Band3 Charge</v>
      </c>
      <c r="O5" s="1247" t="str">
        <f>Prop2021DUOSTariffs!P5</f>
        <v>Band4 Charge</v>
      </c>
      <c r="P5" s="1247" t="str">
        <f>Prop2021DUOSTariffs!Q5</f>
        <v>Band5 Charge</v>
      </c>
      <c r="Q5" s="1247" t="str">
        <f>Prop2021DUOSTariffs!R5</f>
        <v>Connection Unit Charge</v>
      </c>
      <c r="R5" s="1247" t="str">
        <f>Prop2021DUOSTariffs!S5</f>
        <v>Capacity Charge</v>
      </c>
      <c r="S5" s="1247" t="str">
        <f>Prop2021DUOSTariffs!T5</f>
        <v>Non Summer Capacity Charge</v>
      </c>
      <c r="T5" s="1604" t="str">
        <f>Prop2021DUOSTariffs!U5</f>
        <v>Minimum Capacity Charge</v>
      </c>
      <c r="U5" s="1604" t="str">
        <f>Prop2021DUOSTariffs!V5</f>
        <v>Remaining Capacity Charge</v>
      </c>
      <c r="V5" s="1247" t="str">
        <f>Prop2021DUOSTariffs!W5</f>
        <v>Demand Charge kVA</v>
      </c>
      <c r="W5" s="1247" t="str">
        <f>Prop2021DUOSTariffs!X5</f>
        <v>Peak Demand Charge kVA</v>
      </c>
      <c r="X5" s="1247" t="str">
        <f>Prop2021DUOSTariffs!Y5</f>
        <v>Excess Demand Charge</v>
      </c>
      <c r="Y5" s="1247" t="str">
        <f>Prop2021DUOSTariffs!Z5</f>
        <v>Summer Demand Charge kVA</v>
      </c>
      <c r="Z5" s="1247" t="str">
        <f>Prop2021DUOSTariffs!AA5</f>
        <v>Demand Charge kW</v>
      </c>
      <c r="AA5" s="1247" t="str">
        <f>Prop2021DUOSTariffs!AB5</f>
        <v>Peak Demand Charge kW</v>
      </c>
      <c r="AB5" s="1247" t="str">
        <f>Prop2021DUOSTariffs!AC5</f>
        <v>Off Peak Demand Charge kW</v>
      </c>
      <c r="AC5" s="1247" t="str">
        <f>Prop2021DUOSTariffs!AD5</f>
        <v>Non Summer Demand Charge kW</v>
      </c>
      <c r="AD5" s="1247" t="str">
        <f>Prop2021DUOSTariffs!AE5</f>
        <v>Summer Demand Charge kW</v>
      </c>
      <c r="AE5" s="1247" t="str">
        <f>Prop2021DUOSTariffs!AF5</f>
        <v xml:space="preserve"> Location
</v>
      </c>
      <c r="AF5" s="1247" t="str">
        <f>Prop2021DUOSTariffs!AG5</f>
        <v>General Charge</v>
      </c>
      <c r="AG5" s="1247" t="str">
        <f>Prop2021DUOSTariffs!AH5</f>
        <v>Common</v>
      </c>
      <c r="AH5" s="1247" t="str">
        <f>Prop2021DUOSTariffs!AI5</f>
        <v>Volume Charge</v>
      </c>
      <c r="AI5" s="1247" t="str">
        <f>Prop2021DUOSTariffs!AJ5</f>
        <v>Volume Block 1 Charge</v>
      </c>
      <c r="AJ5" s="1247" t="str">
        <f>Prop2021DUOSTariffs!AK5</f>
        <v>Volume Block 2 Charge</v>
      </c>
      <c r="AK5" s="1247" t="str">
        <f>Prop2021DUOSTariffs!AL5</f>
        <v>Volume Block 3 Charge</v>
      </c>
      <c r="AL5" s="1247" t="str">
        <f>Prop2021DUOSTariffs!AM5</f>
        <v>Volume Evening Charge</v>
      </c>
      <c r="AM5" s="1247" t="str">
        <f>Prop2021DUOSTariffs!AN5</f>
        <v>Volume Overnight Charge</v>
      </c>
      <c r="AN5" s="1247" t="str">
        <f>Prop2021DUOSTariffs!AO5</f>
        <v>Volume Day Charge</v>
      </c>
      <c r="AO5" s="1604" t="str">
        <f>Prop2021DUOSTariffs!AP5</f>
        <v>Volume Off Peak Charge</v>
      </c>
      <c r="AP5" s="1604" t="str">
        <f>Prop2021DUOSTariffs!AQ5</f>
        <v>Volume Peak Charge</v>
      </c>
      <c r="AQ5" s="1604" t="str">
        <f>Prop2021DUOSTariffs!AR5</f>
        <v>Volume Peak Charge (over 10,000)</v>
      </c>
      <c r="AR5" s="1247" t="str">
        <f>Prop2021DUOSTariffs!AS5</f>
        <v>Volume Non Summer Charge</v>
      </c>
      <c r="AS5" s="1247" t="str">
        <f>Prop2021DUOSTariffs!AT5</f>
        <v>Volume Summer No Charge</v>
      </c>
      <c r="AT5" s="1256"/>
      <c r="AU5" s="1247" t="str">
        <f t="shared" ref="AU5:BD7" si="0">K5</f>
        <v>Fixed Charge</v>
      </c>
      <c r="AV5" s="1247" t="str">
        <f t="shared" si="0"/>
        <v>Band1 Charge</v>
      </c>
      <c r="AW5" s="1247" t="str">
        <f t="shared" si="0"/>
        <v>Band2 Charge</v>
      </c>
      <c r="AX5" s="1247" t="str">
        <f t="shared" si="0"/>
        <v>Band3 Charge</v>
      </c>
      <c r="AY5" s="1247" t="str">
        <f t="shared" si="0"/>
        <v>Band4 Charge</v>
      </c>
      <c r="AZ5" s="1247" t="str">
        <f t="shared" si="0"/>
        <v>Band5 Charge</v>
      </c>
      <c r="BA5" s="1247" t="str">
        <f t="shared" si="0"/>
        <v>Connection Unit Charge</v>
      </c>
      <c r="BB5" s="1247" t="str">
        <f t="shared" si="0"/>
        <v>Capacity Charge</v>
      </c>
      <c r="BC5" s="1247" t="str">
        <f t="shared" si="0"/>
        <v>Non Summer Capacity Charge</v>
      </c>
      <c r="BD5" s="1247" t="str">
        <f t="shared" si="0"/>
        <v>Minimum Capacity Charge</v>
      </c>
      <c r="BE5" s="1247" t="str">
        <f t="shared" ref="BE5:BN7" si="1">U5</f>
        <v>Remaining Capacity Charge</v>
      </c>
      <c r="BF5" s="1247" t="str">
        <f t="shared" si="1"/>
        <v>Demand Charge kVA</v>
      </c>
      <c r="BG5" s="1247" t="str">
        <f t="shared" si="1"/>
        <v>Peak Demand Charge kVA</v>
      </c>
      <c r="BH5" s="1247" t="str">
        <f t="shared" si="1"/>
        <v>Excess Demand Charge</v>
      </c>
      <c r="BI5" s="1247" t="str">
        <f t="shared" si="1"/>
        <v>Summer Demand Charge kVA</v>
      </c>
      <c r="BJ5" s="1247" t="str">
        <f t="shared" si="1"/>
        <v>Demand Charge kW</v>
      </c>
      <c r="BK5" s="1247" t="str">
        <f t="shared" si="1"/>
        <v>Peak Demand Charge kW</v>
      </c>
      <c r="BL5" s="1247" t="str">
        <f t="shared" si="1"/>
        <v>Off Peak Demand Charge kW</v>
      </c>
      <c r="BM5" s="1247" t="str">
        <f t="shared" si="1"/>
        <v>Non Summer Demand Charge kW</v>
      </c>
      <c r="BN5" s="1247" t="str">
        <f t="shared" si="1"/>
        <v>Summer Demand Charge kW</v>
      </c>
      <c r="BO5" s="1247" t="str">
        <f t="shared" ref="BO5:BX7" si="2">AE5</f>
        <v xml:space="preserve"> Location
</v>
      </c>
      <c r="BP5" s="1247" t="str">
        <f t="shared" si="2"/>
        <v>General Charge</v>
      </c>
      <c r="BQ5" s="1247" t="str">
        <f t="shared" si="2"/>
        <v>Common</v>
      </c>
      <c r="BR5" s="1247" t="str">
        <f t="shared" si="2"/>
        <v>Volume Charge</v>
      </c>
      <c r="BS5" s="1247" t="str">
        <f t="shared" si="2"/>
        <v>Volume Block 1 Charge</v>
      </c>
      <c r="BT5" s="1247" t="str">
        <f t="shared" si="2"/>
        <v>Volume Block 2 Charge</v>
      </c>
      <c r="BU5" s="1247" t="str">
        <f t="shared" si="2"/>
        <v>Volume Block 3 Charge</v>
      </c>
      <c r="BV5" s="1247" t="str">
        <f t="shared" si="2"/>
        <v>Volume Evening Charge</v>
      </c>
      <c r="BW5" s="1247" t="str">
        <f t="shared" si="2"/>
        <v>Volume Overnight Charge</v>
      </c>
      <c r="BX5" s="1247" t="str">
        <f t="shared" si="2"/>
        <v>Volume Day Charge</v>
      </c>
      <c r="BY5" s="1247" t="str">
        <f t="shared" ref="BY5:CC7" si="3">AO5</f>
        <v>Volume Off Peak Charge</v>
      </c>
      <c r="BZ5" s="1247" t="str">
        <f t="shared" si="3"/>
        <v>Volume Peak Charge</v>
      </c>
      <c r="CA5" s="1247" t="str">
        <f t="shared" si="3"/>
        <v>Volume Peak Charge (over 10,000)</v>
      </c>
      <c r="CB5" s="1247" t="str">
        <f t="shared" si="3"/>
        <v>Volume Non Summer Charge</v>
      </c>
      <c r="CC5" s="1247" t="str">
        <f t="shared" si="3"/>
        <v>Volume Summer No Charge</v>
      </c>
      <c r="CD5" s="1256"/>
      <c r="CE5" s="1256"/>
      <c r="CF5" s="1247" t="str">
        <f t="shared" ref="CF5:DN5" si="4">K5</f>
        <v>Fixed Charge</v>
      </c>
      <c r="CG5" s="1247" t="str">
        <f t="shared" si="4"/>
        <v>Band1 Charge</v>
      </c>
      <c r="CH5" s="1247" t="str">
        <f t="shared" si="4"/>
        <v>Band2 Charge</v>
      </c>
      <c r="CI5" s="1247" t="str">
        <f t="shared" si="4"/>
        <v>Band3 Charge</v>
      </c>
      <c r="CJ5" s="1247" t="str">
        <f t="shared" si="4"/>
        <v>Band4 Charge</v>
      </c>
      <c r="CK5" s="1247" t="str">
        <f t="shared" si="4"/>
        <v>Band5 Charge</v>
      </c>
      <c r="CL5" s="1247" t="str">
        <f t="shared" si="4"/>
        <v>Connection Unit Charge</v>
      </c>
      <c r="CM5" s="1247" t="str">
        <f t="shared" si="4"/>
        <v>Capacity Charge</v>
      </c>
      <c r="CN5" s="1247" t="str">
        <f t="shared" si="4"/>
        <v>Non Summer Capacity Charge</v>
      </c>
      <c r="CO5" s="1604" t="str">
        <f t="shared" si="4"/>
        <v>Minimum Capacity Charge</v>
      </c>
      <c r="CP5" s="1604" t="str">
        <f t="shared" si="4"/>
        <v>Remaining Capacity Charge</v>
      </c>
      <c r="CQ5" s="1247" t="str">
        <f t="shared" si="4"/>
        <v>Demand Charge kVA</v>
      </c>
      <c r="CR5" s="1247" t="str">
        <f t="shared" si="4"/>
        <v>Peak Demand Charge kVA</v>
      </c>
      <c r="CS5" s="1247" t="str">
        <f t="shared" si="4"/>
        <v>Excess Demand Charge</v>
      </c>
      <c r="CT5" s="1247" t="str">
        <f t="shared" si="4"/>
        <v>Summer Demand Charge kVA</v>
      </c>
      <c r="CU5" s="1247" t="str">
        <f t="shared" si="4"/>
        <v>Demand Charge kW</v>
      </c>
      <c r="CV5" s="1247" t="str">
        <f t="shared" si="4"/>
        <v>Peak Demand Charge kW</v>
      </c>
      <c r="CW5" s="1247" t="str">
        <f t="shared" si="4"/>
        <v>Off Peak Demand Charge kW</v>
      </c>
      <c r="CX5" s="1247" t="str">
        <f t="shared" si="4"/>
        <v>Non Summer Demand Charge kW</v>
      </c>
      <c r="CY5" s="1247" t="str">
        <f t="shared" si="4"/>
        <v>Summer Demand Charge kW</v>
      </c>
      <c r="CZ5" s="1247" t="str">
        <f t="shared" si="4"/>
        <v xml:space="preserve"> Location
</v>
      </c>
      <c r="DA5" s="1247" t="str">
        <f t="shared" si="4"/>
        <v>General Charge</v>
      </c>
      <c r="DB5" s="1247" t="str">
        <f t="shared" si="4"/>
        <v>Common</v>
      </c>
      <c r="DC5" s="1247" t="str">
        <f t="shared" si="4"/>
        <v>Volume Charge</v>
      </c>
      <c r="DD5" s="1247" t="str">
        <f t="shared" si="4"/>
        <v>Volume Block 1 Charge</v>
      </c>
      <c r="DE5" s="1247" t="str">
        <f t="shared" si="4"/>
        <v>Volume Block 2 Charge</v>
      </c>
      <c r="DF5" s="1247" t="str">
        <f t="shared" si="4"/>
        <v>Volume Block 3 Charge</v>
      </c>
      <c r="DG5" s="1247" t="str">
        <f t="shared" si="4"/>
        <v>Volume Evening Charge</v>
      </c>
      <c r="DH5" s="1247" t="str">
        <f t="shared" si="4"/>
        <v>Volume Overnight Charge</v>
      </c>
      <c r="DI5" s="1247" t="str">
        <f t="shared" si="4"/>
        <v>Volume Day Charge</v>
      </c>
      <c r="DJ5" s="1604" t="str">
        <f t="shared" si="4"/>
        <v>Volume Off Peak Charge</v>
      </c>
      <c r="DK5" s="1604" t="str">
        <f t="shared" si="4"/>
        <v>Volume Peak Charge</v>
      </c>
      <c r="DL5" s="1604" t="str">
        <f t="shared" si="4"/>
        <v>Volume Peak Charge (over 10,000)</v>
      </c>
      <c r="DM5" s="1247" t="str">
        <f t="shared" si="4"/>
        <v>Volume Non Summer Charge</v>
      </c>
      <c r="DN5" s="1247" t="str">
        <f t="shared" si="4"/>
        <v>Volume Summer No Charge</v>
      </c>
      <c r="DO5" s="1207"/>
      <c r="DP5" s="1247" t="str">
        <f t="shared" ref="DP5:EX5" si="5">K5</f>
        <v>Fixed Charge</v>
      </c>
      <c r="DQ5" s="1247" t="str">
        <f t="shared" si="5"/>
        <v>Band1 Charge</v>
      </c>
      <c r="DR5" s="1247" t="str">
        <f t="shared" si="5"/>
        <v>Band2 Charge</v>
      </c>
      <c r="DS5" s="1247" t="str">
        <f t="shared" si="5"/>
        <v>Band3 Charge</v>
      </c>
      <c r="DT5" s="1247" t="str">
        <f t="shared" si="5"/>
        <v>Band4 Charge</v>
      </c>
      <c r="DU5" s="1247" t="str">
        <f t="shared" si="5"/>
        <v>Band5 Charge</v>
      </c>
      <c r="DV5" s="1247" t="str">
        <f t="shared" si="5"/>
        <v>Connection Unit Charge</v>
      </c>
      <c r="DW5" s="1247" t="str">
        <f t="shared" si="5"/>
        <v>Capacity Charge</v>
      </c>
      <c r="DX5" s="1247" t="str">
        <f t="shared" si="5"/>
        <v>Non Summer Capacity Charge</v>
      </c>
      <c r="DY5" s="1604" t="str">
        <f t="shared" si="5"/>
        <v>Minimum Capacity Charge</v>
      </c>
      <c r="DZ5" s="1604" t="str">
        <f t="shared" si="5"/>
        <v>Remaining Capacity Charge</v>
      </c>
      <c r="EA5" s="1247" t="str">
        <f t="shared" si="5"/>
        <v>Demand Charge kVA</v>
      </c>
      <c r="EB5" s="1247" t="str">
        <f t="shared" si="5"/>
        <v>Peak Demand Charge kVA</v>
      </c>
      <c r="EC5" s="1247" t="str">
        <f t="shared" si="5"/>
        <v>Excess Demand Charge</v>
      </c>
      <c r="ED5" s="1247" t="str">
        <f t="shared" si="5"/>
        <v>Summer Demand Charge kVA</v>
      </c>
      <c r="EE5" s="1247" t="str">
        <f t="shared" si="5"/>
        <v>Demand Charge kW</v>
      </c>
      <c r="EF5" s="1247" t="str">
        <f t="shared" si="5"/>
        <v>Peak Demand Charge kW</v>
      </c>
      <c r="EG5" s="1247" t="str">
        <f t="shared" si="5"/>
        <v>Off Peak Demand Charge kW</v>
      </c>
      <c r="EH5" s="1247" t="str">
        <f t="shared" si="5"/>
        <v>Non Summer Demand Charge kW</v>
      </c>
      <c r="EI5" s="1247" t="str">
        <f t="shared" si="5"/>
        <v>Summer Demand Charge kW</v>
      </c>
      <c r="EJ5" s="1247" t="str">
        <f t="shared" si="5"/>
        <v xml:space="preserve"> Location
</v>
      </c>
      <c r="EK5" s="1247" t="str">
        <f t="shared" si="5"/>
        <v>General Charge</v>
      </c>
      <c r="EL5" s="1247" t="str">
        <f t="shared" si="5"/>
        <v>Common</v>
      </c>
      <c r="EM5" s="1247" t="str">
        <f t="shared" si="5"/>
        <v>Volume Charge</v>
      </c>
      <c r="EN5" s="1247" t="str">
        <f t="shared" si="5"/>
        <v>Volume Block 1 Charge</v>
      </c>
      <c r="EO5" s="1247" t="str">
        <f t="shared" si="5"/>
        <v>Volume Block 2 Charge</v>
      </c>
      <c r="EP5" s="1247" t="str">
        <f t="shared" si="5"/>
        <v>Volume Block 3 Charge</v>
      </c>
      <c r="EQ5" s="1247" t="str">
        <f t="shared" si="5"/>
        <v>Volume Evening Charge</v>
      </c>
      <c r="ER5" s="1247" t="str">
        <f t="shared" si="5"/>
        <v>Volume Overnight Charge</v>
      </c>
      <c r="ES5" s="1247" t="str">
        <f t="shared" si="5"/>
        <v>Volume Day Charge</v>
      </c>
      <c r="ET5" s="1604" t="str">
        <f t="shared" si="5"/>
        <v>Volume Off Peak Charge</v>
      </c>
      <c r="EU5" s="1604" t="str">
        <f t="shared" si="5"/>
        <v>Volume Peak Charge</v>
      </c>
      <c r="EV5" s="1604" t="str">
        <f t="shared" si="5"/>
        <v>Volume Peak Charge (over 10,000)</v>
      </c>
      <c r="EW5" s="1247" t="str">
        <f t="shared" si="5"/>
        <v>Volume Non Summer Charge</v>
      </c>
      <c r="EX5" s="1247" t="str">
        <f t="shared" si="5"/>
        <v>Volume Summer No Charge</v>
      </c>
      <c r="EY5" s="1171" t="s">
        <v>231</v>
      </c>
      <c r="EZ5" s="1207"/>
      <c r="FA5" s="1247" t="str">
        <f t="shared" ref="FA5:GI5" si="6">AU5</f>
        <v>Fixed Charge</v>
      </c>
      <c r="FB5" s="1247" t="str">
        <f t="shared" si="6"/>
        <v>Band1 Charge</v>
      </c>
      <c r="FC5" s="1247" t="str">
        <f t="shared" si="6"/>
        <v>Band2 Charge</v>
      </c>
      <c r="FD5" s="1247" t="str">
        <f t="shared" si="6"/>
        <v>Band3 Charge</v>
      </c>
      <c r="FE5" s="1247" t="str">
        <f t="shared" si="6"/>
        <v>Band4 Charge</v>
      </c>
      <c r="FF5" s="1247" t="str">
        <f t="shared" si="6"/>
        <v>Band5 Charge</v>
      </c>
      <c r="FG5" s="1247" t="str">
        <f t="shared" si="6"/>
        <v>Connection Unit Charge</v>
      </c>
      <c r="FH5" s="1247" t="str">
        <f t="shared" si="6"/>
        <v>Capacity Charge</v>
      </c>
      <c r="FI5" s="1247" t="str">
        <f t="shared" si="6"/>
        <v>Non Summer Capacity Charge</v>
      </c>
      <c r="FJ5" s="1604" t="str">
        <f t="shared" si="6"/>
        <v>Minimum Capacity Charge</v>
      </c>
      <c r="FK5" s="1604" t="str">
        <f t="shared" si="6"/>
        <v>Remaining Capacity Charge</v>
      </c>
      <c r="FL5" s="1247" t="str">
        <f t="shared" si="6"/>
        <v>Demand Charge kVA</v>
      </c>
      <c r="FM5" s="1247" t="str">
        <f t="shared" si="6"/>
        <v>Peak Demand Charge kVA</v>
      </c>
      <c r="FN5" s="1247" t="str">
        <f t="shared" si="6"/>
        <v>Excess Demand Charge</v>
      </c>
      <c r="FO5" s="1247" t="str">
        <f t="shared" si="6"/>
        <v>Summer Demand Charge kVA</v>
      </c>
      <c r="FP5" s="1247" t="str">
        <f t="shared" si="6"/>
        <v>Demand Charge kW</v>
      </c>
      <c r="FQ5" s="1247" t="str">
        <f t="shared" si="6"/>
        <v>Peak Demand Charge kW</v>
      </c>
      <c r="FR5" s="1247" t="str">
        <f t="shared" si="6"/>
        <v>Off Peak Demand Charge kW</v>
      </c>
      <c r="FS5" s="1247" t="str">
        <f t="shared" si="6"/>
        <v>Non Summer Demand Charge kW</v>
      </c>
      <c r="FT5" s="1247" t="str">
        <f t="shared" si="6"/>
        <v>Summer Demand Charge kW</v>
      </c>
      <c r="FU5" s="1247" t="str">
        <f t="shared" si="6"/>
        <v xml:space="preserve"> Location
</v>
      </c>
      <c r="FV5" s="1247" t="str">
        <f t="shared" si="6"/>
        <v>General Charge</v>
      </c>
      <c r="FW5" s="1247" t="str">
        <f t="shared" si="6"/>
        <v>Common</v>
      </c>
      <c r="FX5" s="1247" t="str">
        <f t="shared" si="6"/>
        <v>Volume Charge</v>
      </c>
      <c r="FY5" s="1247" t="str">
        <f t="shared" si="6"/>
        <v>Volume Block 1 Charge</v>
      </c>
      <c r="FZ5" s="1247" t="str">
        <f t="shared" si="6"/>
        <v>Volume Block 2 Charge</v>
      </c>
      <c r="GA5" s="1247" t="str">
        <f t="shared" si="6"/>
        <v>Volume Block 3 Charge</v>
      </c>
      <c r="GB5" s="1247" t="str">
        <f t="shared" si="6"/>
        <v>Volume Evening Charge</v>
      </c>
      <c r="GC5" s="1247" t="str">
        <f t="shared" si="6"/>
        <v>Volume Overnight Charge</v>
      </c>
      <c r="GD5" s="1247" t="str">
        <f t="shared" si="6"/>
        <v>Volume Day Charge</v>
      </c>
      <c r="GE5" s="1604" t="str">
        <f t="shared" si="6"/>
        <v>Volume Off Peak Charge</v>
      </c>
      <c r="GF5" s="1604" t="str">
        <f t="shared" si="6"/>
        <v>Volume Peak Charge</v>
      </c>
      <c r="GG5" s="1604" t="str">
        <f t="shared" si="6"/>
        <v>Volume Peak Charge (over 10,000)</v>
      </c>
      <c r="GH5" s="1247" t="str">
        <f t="shared" si="6"/>
        <v>Volume Non Summer Charge</v>
      </c>
      <c r="GI5" s="1247" t="str">
        <f t="shared" si="6"/>
        <v>Volume Summer No Charge</v>
      </c>
      <c r="GJ5" s="1171" t="s">
        <v>231</v>
      </c>
    </row>
    <row r="6" spans="1:192" s="1143" customFormat="1" ht="13.95" customHeight="1">
      <c r="B6" s="1178"/>
      <c r="C6" s="1178"/>
      <c r="D6" s="1178"/>
      <c r="E6" s="1178"/>
      <c r="F6" s="1178"/>
      <c r="G6" s="1178"/>
      <c r="H6" s="1178"/>
      <c r="I6" s="1178"/>
      <c r="J6" s="1257"/>
      <c r="K6" s="1178" t="str">
        <f>Prop2021DUOSTariffs!L6</f>
        <v>Rate</v>
      </c>
      <c r="L6" s="1221" t="str">
        <f>Prop2021DUOSTariffs!M6</f>
        <v>Rate</v>
      </c>
      <c r="M6" s="1221" t="str">
        <f>Prop2021DUOSTariffs!N6</f>
        <v>Rate</v>
      </c>
      <c r="N6" s="1221" t="str">
        <f>Prop2021DUOSTariffs!O6</f>
        <v>Rate</v>
      </c>
      <c r="O6" s="1221" t="str">
        <f>Prop2021DUOSTariffs!P6</f>
        <v>Rate</v>
      </c>
      <c r="P6" s="1221" t="str">
        <f>Prop2021DUOSTariffs!Q6</f>
        <v>Rate</v>
      </c>
      <c r="Q6" s="1221" t="str">
        <f>Prop2021DUOSTariffs!R6</f>
        <v>Rate</v>
      </c>
      <c r="R6" s="1221" t="str">
        <f>Prop2021DUOSTariffs!S6</f>
        <v>Rate</v>
      </c>
      <c r="S6" s="1221" t="str">
        <f>Prop2021DUOSTariffs!T6</f>
        <v>Rate</v>
      </c>
      <c r="T6" s="1221" t="str">
        <f>Prop2021DUOSTariffs!U6</f>
        <v>Rate</v>
      </c>
      <c r="U6" s="1221" t="str">
        <f>Prop2021DUOSTariffs!V6</f>
        <v>Rate</v>
      </c>
      <c r="V6" s="1221" t="str">
        <f>Prop2021DUOSTariffs!W6</f>
        <v>Rate</v>
      </c>
      <c r="W6" s="1221" t="str">
        <f>Prop2021DUOSTariffs!X6</f>
        <v>Rate</v>
      </c>
      <c r="X6" s="1221" t="str">
        <f>Prop2021DUOSTariffs!Y6</f>
        <v>Rate</v>
      </c>
      <c r="Y6" s="1221" t="str">
        <f>Prop2021DUOSTariffs!Z6</f>
        <v>Rate</v>
      </c>
      <c r="Z6" s="1221" t="str">
        <f>Prop2021DUOSTariffs!AA6</f>
        <v>Rate</v>
      </c>
      <c r="AA6" s="1221" t="str">
        <f>Prop2021DUOSTariffs!AB6</f>
        <v>Rate</v>
      </c>
      <c r="AB6" s="1221" t="str">
        <f>Prop2021DUOSTariffs!AC6</f>
        <v>Rate</v>
      </c>
      <c r="AC6" s="1221" t="str">
        <f>Prop2021DUOSTariffs!AD6</f>
        <v>Rate</v>
      </c>
      <c r="AD6" s="1221" t="str">
        <f>Prop2021DUOSTariffs!AE6</f>
        <v>Rate</v>
      </c>
      <c r="AE6" s="1221" t="str">
        <f>Prop2021DUOSTariffs!AF6</f>
        <v>Rate</v>
      </c>
      <c r="AF6" s="1221" t="str">
        <f>Prop2021DUOSTariffs!AG6</f>
        <v>Rate</v>
      </c>
      <c r="AG6" s="1221" t="str">
        <f>Prop2021DUOSTariffs!AH6</f>
        <v>Rate</v>
      </c>
      <c r="AH6" s="1221" t="str">
        <f>Prop2021DUOSTariffs!AM6</f>
        <v>Rate</v>
      </c>
      <c r="AI6" s="1221" t="str">
        <f>Prop2021DUOSTariffs!AJ6</f>
        <v>Rate</v>
      </c>
      <c r="AJ6" s="1221" t="str">
        <f>Prop2021DUOSTariffs!AK6</f>
        <v>Rate</v>
      </c>
      <c r="AK6" s="1221" t="str">
        <f>Prop2021DUOSTariffs!AL6</f>
        <v>Rate</v>
      </c>
      <c r="AL6" s="1221" t="str">
        <f>Prop2021DUOSTariffs!AM6</f>
        <v>Rate</v>
      </c>
      <c r="AM6" s="1221" t="str">
        <f>Prop2021DUOSTariffs!AN6</f>
        <v>Rate</v>
      </c>
      <c r="AN6" s="1221" t="str">
        <f>Prop2021DUOSTariffs!AO6</f>
        <v>Rate</v>
      </c>
      <c r="AO6" s="1221" t="str">
        <f>Prop2021DUOSTariffs!AP6</f>
        <v>Rate</v>
      </c>
      <c r="AP6" s="1221" t="str">
        <f>Prop2021DUOSTariffs!AQ6</f>
        <v>Rate</v>
      </c>
      <c r="AQ6" s="1221" t="str">
        <f>Prop2021DUOSTariffs!AR6</f>
        <v>Rate</v>
      </c>
      <c r="AR6" s="1221" t="str">
        <f>Prop2021DUOSTariffs!AS6</f>
        <v>Rate</v>
      </c>
      <c r="AS6" s="1221" t="str">
        <f>Prop2021DUOSTariffs!AT6</f>
        <v>Rate</v>
      </c>
      <c r="AT6" s="1257"/>
      <c r="AU6" s="1178" t="str">
        <f t="shared" si="0"/>
        <v>Rate</v>
      </c>
      <c r="AV6" s="1178" t="str">
        <f t="shared" si="0"/>
        <v>Rate</v>
      </c>
      <c r="AW6" s="1178" t="str">
        <f t="shared" si="0"/>
        <v>Rate</v>
      </c>
      <c r="AX6" s="1178" t="str">
        <f t="shared" si="0"/>
        <v>Rate</v>
      </c>
      <c r="AY6" s="1178" t="str">
        <f t="shared" si="0"/>
        <v>Rate</v>
      </c>
      <c r="AZ6" s="1178" t="str">
        <f t="shared" si="0"/>
        <v>Rate</v>
      </c>
      <c r="BA6" s="1178" t="str">
        <f t="shared" si="0"/>
        <v>Rate</v>
      </c>
      <c r="BB6" s="1178" t="str">
        <f t="shared" si="0"/>
        <v>Rate</v>
      </c>
      <c r="BC6" s="1178" t="str">
        <f t="shared" si="0"/>
        <v>Rate</v>
      </c>
      <c r="BD6" s="1178" t="str">
        <f t="shared" si="0"/>
        <v>Rate</v>
      </c>
      <c r="BE6" s="1178" t="str">
        <f t="shared" si="1"/>
        <v>Rate</v>
      </c>
      <c r="BF6" s="1178" t="str">
        <f t="shared" si="1"/>
        <v>Rate</v>
      </c>
      <c r="BG6" s="1178" t="str">
        <f t="shared" si="1"/>
        <v>Rate</v>
      </c>
      <c r="BH6" s="1178" t="str">
        <f t="shared" si="1"/>
        <v>Rate</v>
      </c>
      <c r="BI6" s="1178" t="str">
        <f t="shared" si="1"/>
        <v>Rate</v>
      </c>
      <c r="BJ6" s="1178" t="str">
        <f t="shared" si="1"/>
        <v>Rate</v>
      </c>
      <c r="BK6" s="1178" t="str">
        <f t="shared" si="1"/>
        <v>Rate</v>
      </c>
      <c r="BL6" s="1178" t="str">
        <f t="shared" si="1"/>
        <v>Rate</v>
      </c>
      <c r="BM6" s="1178" t="str">
        <f t="shared" si="1"/>
        <v>Rate</v>
      </c>
      <c r="BN6" s="1178" t="str">
        <f t="shared" si="1"/>
        <v>Rate</v>
      </c>
      <c r="BO6" s="1178" t="str">
        <f t="shared" si="2"/>
        <v>Rate</v>
      </c>
      <c r="BP6" s="1178" t="str">
        <f t="shared" si="2"/>
        <v>Rate</v>
      </c>
      <c r="BQ6" s="1178" t="str">
        <f t="shared" si="2"/>
        <v>Rate</v>
      </c>
      <c r="BR6" s="1178" t="str">
        <f t="shared" si="2"/>
        <v>Rate</v>
      </c>
      <c r="BS6" s="1178" t="str">
        <f t="shared" si="2"/>
        <v>Rate</v>
      </c>
      <c r="BT6" s="1178" t="str">
        <f t="shared" si="2"/>
        <v>Rate</v>
      </c>
      <c r="BU6" s="1178" t="str">
        <f t="shared" si="2"/>
        <v>Rate</v>
      </c>
      <c r="BV6" s="1178" t="str">
        <f t="shared" si="2"/>
        <v>Rate</v>
      </c>
      <c r="BW6" s="1178" t="str">
        <f t="shared" si="2"/>
        <v>Rate</v>
      </c>
      <c r="BX6" s="1178" t="str">
        <f t="shared" si="2"/>
        <v>Rate</v>
      </c>
      <c r="BY6" s="1178" t="str">
        <f t="shared" si="3"/>
        <v>Rate</v>
      </c>
      <c r="BZ6" s="1178" t="str">
        <f t="shared" si="3"/>
        <v>Rate</v>
      </c>
      <c r="CA6" s="1178" t="str">
        <f t="shared" si="3"/>
        <v>Rate</v>
      </c>
      <c r="CB6" s="1178" t="str">
        <f t="shared" si="3"/>
        <v>Rate</v>
      </c>
      <c r="CC6" s="1178" t="str">
        <f t="shared" si="3"/>
        <v>Rate</v>
      </c>
      <c r="CD6" s="1257"/>
      <c r="CE6" s="1257"/>
      <c r="CF6" s="1178" t="s">
        <v>902</v>
      </c>
      <c r="CG6" s="1178" t="s">
        <v>902</v>
      </c>
      <c r="CH6" s="1178" t="s">
        <v>902</v>
      </c>
      <c r="CI6" s="1178" t="s">
        <v>902</v>
      </c>
      <c r="CJ6" s="1178" t="s">
        <v>902</v>
      </c>
      <c r="CK6" s="1178" t="s">
        <v>902</v>
      </c>
      <c r="CL6" s="1178"/>
      <c r="CM6" s="1178"/>
      <c r="CN6" s="1178"/>
      <c r="CO6" s="1178"/>
      <c r="CP6" s="1178"/>
      <c r="CQ6" s="1178"/>
      <c r="CR6" s="1178"/>
      <c r="CS6" s="1178"/>
      <c r="CT6" s="1178"/>
      <c r="CU6" s="1178"/>
      <c r="CV6" s="1178"/>
      <c r="CW6" s="1178"/>
      <c r="CX6" s="1178"/>
      <c r="CY6" s="1178"/>
      <c r="CZ6" s="1178"/>
      <c r="DA6" s="1178"/>
      <c r="DB6" s="1178"/>
      <c r="DC6" s="1178"/>
      <c r="DD6" s="1178"/>
      <c r="DE6" s="1178"/>
      <c r="DF6" s="1178"/>
      <c r="DG6" s="1178"/>
      <c r="DH6" s="1178"/>
      <c r="DI6" s="1178"/>
      <c r="DJ6" s="1178"/>
      <c r="DK6" s="1178"/>
      <c r="DL6" s="1178"/>
      <c r="DM6" s="1178"/>
      <c r="DN6" s="1178"/>
      <c r="DO6" s="1257"/>
      <c r="DP6" s="1178" t="s">
        <v>757</v>
      </c>
      <c r="DQ6" s="1178" t="s">
        <v>757</v>
      </c>
      <c r="DR6" s="1178" t="s">
        <v>757</v>
      </c>
      <c r="DS6" s="1178" t="s">
        <v>757</v>
      </c>
      <c r="DT6" s="1178" t="s">
        <v>757</v>
      </c>
      <c r="DU6" s="1178" t="s">
        <v>757</v>
      </c>
      <c r="DV6" s="1178" t="s">
        <v>757</v>
      </c>
      <c r="DW6" s="1178" t="s">
        <v>757</v>
      </c>
      <c r="DX6" s="1178" t="s">
        <v>757</v>
      </c>
      <c r="DY6" s="1178" t="s">
        <v>757</v>
      </c>
      <c r="DZ6" s="1178" t="s">
        <v>757</v>
      </c>
      <c r="EA6" s="1178" t="s">
        <v>757</v>
      </c>
      <c r="EB6" s="1178" t="s">
        <v>757</v>
      </c>
      <c r="EC6" s="1178" t="s">
        <v>757</v>
      </c>
      <c r="ED6" s="1178" t="s">
        <v>757</v>
      </c>
      <c r="EE6" s="1178" t="s">
        <v>757</v>
      </c>
      <c r="EF6" s="1178" t="s">
        <v>757</v>
      </c>
      <c r="EG6" s="1178" t="s">
        <v>757</v>
      </c>
      <c r="EH6" s="1178" t="s">
        <v>757</v>
      </c>
      <c r="EI6" s="1178" t="s">
        <v>757</v>
      </c>
      <c r="EJ6" s="1178" t="s">
        <v>757</v>
      </c>
      <c r="EK6" s="1178" t="s">
        <v>757</v>
      </c>
      <c r="EL6" s="1178" t="s">
        <v>757</v>
      </c>
      <c r="EM6" s="1178" t="s">
        <v>757</v>
      </c>
      <c r="EN6" s="1178" t="s">
        <v>757</v>
      </c>
      <c r="EO6" s="1178" t="s">
        <v>757</v>
      </c>
      <c r="EP6" s="1178" t="s">
        <v>757</v>
      </c>
      <c r="EQ6" s="1178" t="s">
        <v>757</v>
      </c>
      <c r="ER6" s="1178" t="s">
        <v>757</v>
      </c>
      <c r="ES6" s="1178" t="s">
        <v>757</v>
      </c>
      <c r="ET6" s="1178" t="s">
        <v>757</v>
      </c>
      <c r="EU6" s="1178" t="s">
        <v>757</v>
      </c>
      <c r="EV6" s="1178" t="s">
        <v>757</v>
      </c>
      <c r="EW6" s="1178" t="s">
        <v>757</v>
      </c>
      <c r="EX6" s="1178" t="s">
        <v>757</v>
      </c>
      <c r="EY6" s="1258" t="s">
        <v>757</v>
      </c>
      <c r="EZ6" s="1257"/>
      <c r="FA6" s="1178" t="s">
        <v>757</v>
      </c>
      <c r="FB6" s="1178" t="s">
        <v>757</v>
      </c>
      <c r="FC6" s="1178" t="s">
        <v>757</v>
      </c>
      <c r="FD6" s="1178" t="s">
        <v>757</v>
      </c>
      <c r="FE6" s="1178" t="s">
        <v>757</v>
      </c>
      <c r="FF6" s="1178" t="s">
        <v>757</v>
      </c>
      <c r="FG6" s="1178" t="s">
        <v>757</v>
      </c>
      <c r="FH6" s="1178" t="s">
        <v>757</v>
      </c>
      <c r="FI6" s="1178" t="s">
        <v>757</v>
      </c>
      <c r="FJ6" s="1178" t="s">
        <v>757</v>
      </c>
      <c r="FK6" s="1178" t="s">
        <v>757</v>
      </c>
      <c r="FL6" s="1178" t="s">
        <v>757</v>
      </c>
      <c r="FM6" s="1178" t="s">
        <v>757</v>
      </c>
      <c r="FN6" s="1178" t="s">
        <v>757</v>
      </c>
      <c r="FO6" s="1178" t="s">
        <v>757</v>
      </c>
      <c r="FP6" s="1178" t="s">
        <v>757</v>
      </c>
      <c r="FQ6" s="1178" t="s">
        <v>757</v>
      </c>
      <c r="FR6" s="1178" t="s">
        <v>757</v>
      </c>
      <c r="FS6" s="1178" t="s">
        <v>757</v>
      </c>
      <c r="FT6" s="1178" t="s">
        <v>757</v>
      </c>
      <c r="FU6" s="1178" t="s">
        <v>757</v>
      </c>
      <c r="FV6" s="1178" t="s">
        <v>757</v>
      </c>
      <c r="FW6" s="1178" t="s">
        <v>757</v>
      </c>
      <c r="FX6" s="1178" t="s">
        <v>757</v>
      </c>
      <c r="FY6" s="1178" t="s">
        <v>757</v>
      </c>
      <c r="FZ6" s="1178" t="s">
        <v>757</v>
      </c>
      <c r="GA6" s="1178" t="s">
        <v>757</v>
      </c>
      <c r="GB6" s="1178" t="s">
        <v>757</v>
      </c>
      <c r="GC6" s="1178" t="s">
        <v>757</v>
      </c>
      <c r="GD6" s="1178" t="s">
        <v>757</v>
      </c>
      <c r="GE6" s="1178" t="s">
        <v>757</v>
      </c>
      <c r="GF6" s="1178" t="s">
        <v>757</v>
      </c>
      <c r="GG6" s="1178" t="s">
        <v>757</v>
      </c>
      <c r="GH6" s="1178" t="s">
        <v>757</v>
      </c>
      <c r="GI6" s="1178" t="s">
        <v>757</v>
      </c>
      <c r="GJ6" s="1258" t="s">
        <v>757</v>
      </c>
    </row>
    <row r="7" spans="1:192" s="1143" customFormat="1" ht="13.95" customHeight="1">
      <c r="B7" s="1148"/>
      <c r="C7" s="1148"/>
      <c r="D7" s="1148"/>
      <c r="E7" s="1148"/>
      <c r="F7" s="1148"/>
      <c r="G7" s="1148"/>
      <c r="H7" s="1148"/>
      <c r="I7" s="1148"/>
      <c r="J7" s="1262"/>
      <c r="K7" s="1148" t="str">
        <f>Prop2021DUOSTariffs!L7</f>
        <v>$/customer/day</v>
      </c>
      <c r="L7" s="1148" t="str">
        <f>Prop2021DUOSTariffs!M7</f>
        <v>$/customer/day</v>
      </c>
      <c r="M7" s="1148" t="str">
        <f>Prop2021DUOSTariffs!N7</f>
        <v>$/customer/day</v>
      </c>
      <c r="N7" s="1148" t="str">
        <f>Prop2021DUOSTariffs!O7</f>
        <v>$/customer/day</v>
      </c>
      <c r="O7" s="1148" t="str">
        <f>Prop2021DUOSTariffs!P7</f>
        <v>$/customer/day</v>
      </c>
      <c r="P7" s="1148" t="str">
        <f>Prop2021DUOSTariffs!Q7</f>
        <v>$/customer/day</v>
      </c>
      <c r="Q7" s="1148" t="str">
        <f>Prop2021DUOSTariffs!R7</f>
        <v>$/customer/day</v>
      </c>
      <c r="R7" s="1148" t="str">
        <f>Prop2021DUOSTariffs!S7</f>
        <v>$/kVA/month</v>
      </c>
      <c r="S7" s="1148" t="str">
        <f>Prop2021DUOSTariffs!T7</f>
        <v>$/kVA/month</v>
      </c>
      <c r="T7" s="1148" t="str">
        <f>Prop2021DUOSTariffs!U7</f>
        <v xml:space="preserve">
$/kW/Mth</v>
      </c>
      <c r="U7" s="1148" t="str">
        <f>Prop2021DUOSTariffs!V7</f>
        <v xml:space="preserve">
$/kW/Mth</v>
      </c>
      <c r="V7" s="1148" t="str">
        <f>Prop2021DUOSTariffs!W7</f>
        <v>$/kVA/month</v>
      </c>
      <c r="W7" s="1148" t="str">
        <f>Prop2021DUOSTariffs!X7</f>
        <v>$/kVA/month</v>
      </c>
      <c r="X7" s="1148" t="str">
        <f>Prop2021DUOSTariffs!Y7</f>
        <v>$/kVA/month</v>
      </c>
      <c r="Y7" s="1148" t="str">
        <f>Prop2021DUOSTariffs!Z7</f>
        <v>$/kVA/month</v>
      </c>
      <c r="Z7" s="1148" t="str">
        <f>Prop2021DUOSTariffs!AA7</f>
        <v xml:space="preserve">
$/kW/Mth</v>
      </c>
      <c r="AA7" s="1148" t="str">
        <f>Prop2021DUOSTariffs!AB7</f>
        <v xml:space="preserve">
$/kW/Mth</v>
      </c>
      <c r="AB7" s="1148" t="str">
        <f>Prop2021DUOSTariffs!AC7</f>
        <v xml:space="preserve">
$/kW/Mth</v>
      </c>
      <c r="AC7" s="1148" t="str">
        <f>Prop2021DUOSTariffs!AD7</f>
        <v xml:space="preserve">
$/kW/Mth</v>
      </c>
      <c r="AD7" s="1148" t="str">
        <f>Prop2021DUOSTariffs!AE7</f>
        <v xml:space="preserve">
$/kW/Mth</v>
      </c>
      <c r="AE7" s="1148" t="str">
        <f>Prop2021DUOSTariffs!AF7</f>
        <v xml:space="preserve">$/kW/Mth </v>
      </c>
      <c r="AF7" s="1148" t="str">
        <f>Prop2021DUOSTariffs!AG7</f>
        <v>$/kWh</v>
      </c>
      <c r="AG7" s="1148" t="str">
        <f>Prop2021DUOSTariffs!AH7</f>
        <v>$/kWh</v>
      </c>
      <c r="AH7" s="1148" t="str">
        <f>Prop2021DUOSTariffs!AM7</f>
        <v>$/kWh</v>
      </c>
      <c r="AI7" s="1148" t="str">
        <f>Prop2021DUOSTariffs!AJ7</f>
        <v>$/kWh</v>
      </c>
      <c r="AJ7" s="1148" t="str">
        <f>Prop2021DUOSTariffs!AK7</f>
        <v>$/kWh</v>
      </c>
      <c r="AK7" s="1148" t="str">
        <f>Prop2021DUOSTariffs!AL7</f>
        <v>$/kWh</v>
      </c>
      <c r="AL7" s="1148" t="str">
        <f>Prop2021DUOSTariffs!AM7</f>
        <v>$/kWh</v>
      </c>
      <c r="AM7" s="1148" t="str">
        <f>Prop2021DUOSTariffs!AN7</f>
        <v>$/kWh</v>
      </c>
      <c r="AN7" s="1148" t="str">
        <f>Prop2021DUOSTariffs!AO7</f>
        <v>$/kWh</v>
      </c>
      <c r="AO7" s="1148" t="str">
        <f>Prop2021DUOSTariffs!AP7</f>
        <v xml:space="preserve">
$/kW/Mth</v>
      </c>
      <c r="AP7" s="1148" t="str">
        <f>Prop2021DUOSTariffs!AQ7</f>
        <v xml:space="preserve">
$/kW/Mth</v>
      </c>
      <c r="AQ7" s="1148" t="str">
        <f>Prop2021DUOSTariffs!AR7</f>
        <v xml:space="preserve">
$/kW/Mth</v>
      </c>
      <c r="AR7" s="1148" t="str">
        <f>Prop2021DUOSTariffs!AS7</f>
        <v>$/kWh</v>
      </c>
      <c r="AS7" s="1148" t="str">
        <f>Prop2021DUOSTariffs!AT7</f>
        <v>$/kWh</v>
      </c>
      <c r="AT7" s="1262"/>
      <c r="AU7" s="1148" t="str">
        <f t="shared" si="0"/>
        <v>$/customer/day</v>
      </c>
      <c r="AV7" s="1148" t="str">
        <f t="shared" si="0"/>
        <v>$/customer/day</v>
      </c>
      <c r="AW7" s="1148" t="str">
        <f t="shared" si="0"/>
        <v>$/customer/day</v>
      </c>
      <c r="AX7" s="1148" t="str">
        <f t="shared" si="0"/>
        <v>$/customer/day</v>
      </c>
      <c r="AY7" s="1148" t="str">
        <f t="shared" si="0"/>
        <v>$/customer/day</v>
      </c>
      <c r="AZ7" s="1148" t="str">
        <f t="shared" si="0"/>
        <v>$/customer/day</v>
      </c>
      <c r="BA7" s="1148" t="str">
        <f t="shared" si="0"/>
        <v>$/customer/day</v>
      </c>
      <c r="BB7" s="1148" t="str">
        <f t="shared" si="0"/>
        <v>$/kVA/month</v>
      </c>
      <c r="BC7" s="1148" t="str">
        <f t="shared" si="0"/>
        <v>$/kVA/month</v>
      </c>
      <c r="BD7" s="1148" t="str">
        <f t="shared" si="0"/>
        <v xml:space="preserve">
$/kW/Mth</v>
      </c>
      <c r="BE7" s="1148" t="str">
        <f t="shared" si="1"/>
        <v xml:space="preserve">
$/kW/Mth</v>
      </c>
      <c r="BF7" s="1148" t="str">
        <f t="shared" si="1"/>
        <v>$/kVA/month</v>
      </c>
      <c r="BG7" s="1148" t="str">
        <f t="shared" si="1"/>
        <v>$/kVA/month</v>
      </c>
      <c r="BH7" s="1148" t="str">
        <f t="shared" si="1"/>
        <v>$/kVA/month</v>
      </c>
      <c r="BI7" s="1148" t="str">
        <f t="shared" si="1"/>
        <v>$/kVA/month</v>
      </c>
      <c r="BJ7" s="1148" t="str">
        <f t="shared" si="1"/>
        <v xml:space="preserve">
$/kW/Mth</v>
      </c>
      <c r="BK7" s="1148" t="str">
        <f t="shared" si="1"/>
        <v xml:space="preserve">
$/kW/Mth</v>
      </c>
      <c r="BL7" s="1148" t="str">
        <f t="shared" si="1"/>
        <v xml:space="preserve">
$/kW/Mth</v>
      </c>
      <c r="BM7" s="1148" t="str">
        <f t="shared" si="1"/>
        <v xml:space="preserve">
$/kW/Mth</v>
      </c>
      <c r="BN7" s="1148" t="str">
        <f t="shared" si="1"/>
        <v xml:space="preserve">
$/kW/Mth</v>
      </c>
      <c r="BO7" s="1148" t="str">
        <f t="shared" si="2"/>
        <v xml:space="preserve">$/kW/Mth </v>
      </c>
      <c r="BP7" s="1148" t="str">
        <f t="shared" si="2"/>
        <v>$/kWh</v>
      </c>
      <c r="BQ7" s="1148" t="str">
        <f t="shared" si="2"/>
        <v>$/kWh</v>
      </c>
      <c r="BR7" s="1148" t="str">
        <f t="shared" si="2"/>
        <v>$/kWh</v>
      </c>
      <c r="BS7" s="1148" t="str">
        <f t="shared" si="2"/>
        <v>$/kWh</v>
      </c>
      <c r="BT7" s="1148" t="str">
        <f t="shared" si="2"/>
        <v>$/kWh</v>
      </c>
      <c r="BU7" s="1148" t="str">
        <f t="shared" si="2"/>
        <v>$/kWh</v>
      </c>
      <c r="BV7" s="1148" t="str">
        <f t="shared" si="2"/>
        <v>$/kWh</v>
      </c>
      <c r="BW7" s="1148" t="str">
        <f t="shared" si="2"/>
        <v>$/kWh</v>
      </c>
      <c r="BX7" s="1148" t="str">
        <f t="shared" si="2"/>
        <v>$/kWh</v>
      </c>
      <c r="BY7" s="1148" t="str">
        <f t="shared" si="3"/>
        <v xml:space="preserve">
$/kW/Mth</v>
      </c>
      <c r="BZ7" s="1148" t="str">
        <f t="shared" si="3"/>
        <v xml:space="preserve">
$/kW/Mth</v>
      </c>
      <c r="CA7" s="1148" t="str">
        <f t="shared" si="3"/>
        <v xml:space="preserve">
$/kW/Mth</v>
      </c>
      <c r="CB7" s="1148" t="str">
        <f t="shared" si="3"/>
        <v>$/kWh</v>
      </c>
      <c r="CC7" s="1148" t="str">
        <f t="shared" si="3"/>
        <v>$/kWh</v>
      </c>
      <c r="CD7" s="1262"/>
      <c r="CE7" s="1262"/>
      <c r="CF7" s="1148"/>
      <c r="CG7" s="1148"/>
      <c r="CH7" s="1148"/>
      <c r="CI7" s="1148"/>
      <c r="CJ7" s="1148"/>
      <c r="CK7" s="1148"/>
      <c r="CL7" s="1148"/>
      <c r="CM7" s="1148"/>
      <c r="CN7" s="1148"/>
      <c r="CO7" s="1148"/>
      <c r="CP7" s="1148"/>
      <c r="CQ7" s="1148"/>
      <c r="CR7" s="1148"/>
      <c r="CS7" s="1148"/>
      <c r="CT7" s="1148"/>
      <c r="CU7" s="1148"/>
      <c r="CV7" s="1148"/>
      <c r="CW7" s="1148"/>
      <c r="CX7" s="1148"/>
      <c r="CY7" s="1148"/>
      <c r="CZ7" s="1148"/>
      <c r="DA7" s="1148"/>
      <c r="DB7" s="1148"/>
      <c r="DC7" s="1148"/>
      <c r="DD7" s="1148"/>
      <c r="DE7" s="1148"/>
      <c r="DF7" s="1148"/>
      <c r="DG7" s="1148"/>
      <c r="DH7" s="1148"/>
      <c r="DI7" s="1148"/>
      <c r="DJ7" s="1148"/>
      <c r="DK7" s="1148"/>
      <c r="DL7" s="1148"/>
      <c r="DM7" s="1148"/>
      <c r="DN7" s="1148"/>
      <c r="DO7" s="1262"/>
      <c r="DP7" s="1148"/>
      <c r="DQ7" s="1148"/>
      <c r="DR7" s="1148"/>
      <c r="DS7" s="1148"/>
      <c r="DT7" s="1148"/>
      <c r="DU7" s="1148"/>
      <c r="DV7" s="1148"/>
      <c r="DW7" s="1148"/>
      <c r="DX7" s="1148"/>
      <c r="DY7" s="1148"/>
      <c r="DZ7" s="1148"/>
      <c r="EA7" s="1148"/>
      <c r="EB7" s="1148"/>
      <c r="EC7" s="1148"/>
      <c r="ED7" s="1148"/>
      <c r="EE7" s="1148"/>
      <c r="EF7" s="1148"/>
      <c r="EG7" s="1148"/>
      <c r="EH7" s="1148"/>
      <c r="EI7" s="1148"/>
      <c r="EJ7" s="1148"/>
      <c r="EK7" s="1148"/>
      <c r="EL7" s="1148"/>
      <c r="EM7" s="1148"/>
      <c r="EN7" s="1148"/>
      <c r="EO7" s="1148"/>
      <c r="EP7" s="1148"/>
      <c r="EQ7" s="1148"/>
      <c r="ER7" s="1148"/>
      <c r="ES7" s="1148"/>
      <c r="ET7" s="1148"/>
      <c r="EU7" s="1148"/>
      <c r="EV7" s="1148"/>
      <c r="EW7" s="1148"/>
      <c r="EX7" s="1148"/>
      <c r="EY7" s="1173"/>
      <c r="EZ7" s="1262"/>
      <c r="FA7" s="1148"/>
      <c r="FB7" s="1148"/>
      <c r="FC7" s="1148"/>
      <c r="FD7" s="1148"/>
      <c r="FE7" s="1148"/>
      <c r="FF7" s="1148"/>
      <c r="FG7" s="1148"/>
      <c r="FH7" s="1148"/>
      <c r="FI7" s="1148"/>
      <c r="FJ7" s="1148"/>
      <c r="FK7" s="1148"/>
      <c r="FL7" s="1148"/>
      <c r="FM7" s="1148"/>
      <c r="FN7" s="1148"/>
      <c r="FO7" s="1148"/>
      <c r="FP7" s="1148"/>
      <c r="FQ7" s="1148"/>
      <c r="FR7" s="1148"/>
      <c r="FS7" s="1148"/>
      <c r="FT7" s="1148"/>
      <c r="FU7" s="1148"/>
      <c r="FV7" s="1148"/>
      <c r="FW7" s="1148"/>
      <c r="FX7" s="1148"/>
      <c r="FY7" s="1148"/>
      <c r="FZ7" s="1148"/>
      <c r="GA7" s="1148"/>
      <c r="GB7" s="1148"/>
      <c r="GC7" s="1148"/>
      <c r="GD7" s="1148"/>
      <c r="GE7" s="1148"/>
      <c r="GF7" s="1148"/>
      <c r="GG7" s="1148"/>
      <c r="GH7" s="1148"/>
      <c r="GI7" s="1148"/>
      <c r="GJ7" s="1173"/>
    </row>
    <row r="8" spans="1:192">
      <c r="B8" s="1259"/>
      <c r="C8" s="1259" t="s">
        <v>1907</v>
      </c>
      <c r="D8" s="1259" t="s">
        <v>1907</v>
      </c>
      <c r="E8" s="1259" t="s">
        <v>743</v>
      </c>
      <c r="F8" s="1259" t="s">
        <v>743</v>
      </c>
      <c r="G8" s="1259" t="s">
        <v>789</v>
      </c>
      <c r="H8" s="1259" t="s">
        <v>1908</v>
      </c>
      <c r="I8" s="1259" t="s">
        <v>935</v>
      </c>
      <c r="J8" s="1256"/>
      <c r="K8" s="1223" t="s">
        <v>1907</v>
      </c>
      <c r="L8" s="1135"/>
      <c r="M8" s="1135"/>
      <c r="N8" s="1135"/>
      <c r="O8" s="1135"/>
      <c r="P8" s="1135"/>
      <c r="Q8" s="1135"/>
      <c r="R8" s="1135"/>
      <c r="S8" s="1135"/>
      <c r="T8" s="1135"/>
      <c r="U8" s="1135"/>
      <c r="V8" s="1135"/>
      <c r="W8" s="1135"/>
      <c r="X8" s="1135"/>
      <c r="Y8" s="1135"/>
      <c r="Z8" s="1135"/>
      <c r="AA8" s="1135"/>
      <c r="AB8" s="1135"/>
      <c r="AC8" s="1135"/>
      <c r="AD8" s="1135"/>
      <c r="AE8" s="1135"/>
      <c r="AF8" s="1005"/>
      <c r="AG8" s="1005"/>
      <c r="AH8" s="1223" t="s">
        <v>1907</v>
      </c>
      <c r="AI8" s="1241"/>
      <c r="AJ8" s="1241"/>
      <c r="AK8" s="1241"/>
      <c r="AL8" s="1241"/>
      <c r="AM8" s="1241"/>
      <c r="AN8" s="1241"/>
      <c r="AO8" s="1241"/>
      <c r="AP8" s="1241"/>
      <c r="AQ8" s="1241"/>
      <c r="AR8" s="1241"/>
      <c r="AS8" s="1241"/>
      <c r="AT8" s="1256"/>
      <c r="AU8" s="1484" t="s">
        <v>1907</v>
      </c>
      <c r="AV8" s="1241"/>
      <c r="AW8" s="1241"/>
      <c r="AX8" s="1241"/>
      <c r="AY8" s="1241"/>
      <c r="AZ8" s="1241"/>
      <c r="BA8" s="1241"/>
      <c r="BB8" s="1241"/>
      <c r="BC8" s="1241"/>
      <c r="BD8" s="1241"/>
      <c r="BE8" s="1241"/>
      <c r="BF8" s="1241"/>
      <c r="BG8" s="1241"/>
      <c r="BH8" s="1241"/>
      <c r="BI8" s="1241"/>
      <c r="BJ8" s="1241"/>
      <c r="BK8" s="1241"/>
      <c r="BL8" s="1241"/>
      <c r="BM8" s="1241"/>
      <c r="BN8" s="1241"/>
      <c r="BO8" s="1241"/>
      <c r="BP8" s="1241"/>
      <c r="BQ8" s="1241"/>
      <c r="BR8" s="1484" t="s">
        <v>1907</v>
      </c>
      <c r="BS8" s="1241"/>
      <c r="BT8" s="1241"/>
      <c r="BU8" s="1241"/>
      <c r="BV8" s="1241"/>
      <c r="BW8" s="1241"/>
      <c r="BX8" s="1241"/>
      <c r="BY8" s="1241"/>
      <c r="BZ8" s="1241"/>
      <c r="CA8" s="1241"/>
      <c r="CB8" s="1241"/>
      <c r="CC8" s="1241"/>
      <c r="CD8" s="1256"/>
      <c r="CE8" s="1256"/>
      <c r="CF8" s="1265" t="s">
        <v>1907</v>
      </c>
      <c r="CG8" s="1135"/>
      <c r="CH8" s="1135"/>
      <c r="CI8" s="1135"/>
      <c r="CJ8" s="1135"/>
      <c r="CK8" s="1135"/>
      <c r="CL8" s="1135"/>
      <c r="CM8" s="1135"/>
      <c r="CN8" s="1135"/>
      <c r="CO8" s="1135"/>
      <c r="CP8" s="1135"/>
      <c r="CQ8" s="1135"/>
      <c r="CR8" s="1135"/>
      <c r="CS8" s="1135"/>
      <c r="CT8" s="1135"/>
      <c r="CU8" s="1135"/>
      <c r="CV8" s="1135"/>
      <c r="CW8" s="1135"/>
      <c r="CX8" s="1135"/>
      <c r="CY8" s="1135"/>
      <c r="CZ8" s="1135"/>
      <c r="DA8" s="1008"/>
      <c r="DB8" s="1008"/>
      <c r="DC8" s="1265" t="s">
        <v>1907</v>
      </c>
      <c r="DD8" s="1008"/>
      <c r="DE8" s="1008"/>
      <c r="DF8" s="1008"/>
      <c r="DG8" s="1008"/>
      <c r="DH8" s="1008"/>
      <c r="DI8" s="1008"/>
      <c r="DJ8" s="1008"/>
      <c r="DK8" s="1008"/>
      <c r="DL8" s="1008"/>
      <c r="DM8" s="1008"/>
      <c r="DN8" s="1008"/>
      <c r="DO8" s="1256"/>
      <c r="DP8" s="1155">
        <v>1814720.8752181709</v>
      </c>
      <c r="DQ8" s="1155">
        <v>0</v>
      </c>
      <c r="DR8" s="1155">
        <v>0</v>
      </c>
      <c r="DS8" s="1155">
        <v>0</v>
      </c>
      <c r="DT8" s="1155">
        <v>0</v>
      </c>
      <c r="DU8" s="1155">
        <v>0</v>
      </c>
      <c r="DV8" s="1155">
        <v>0</v>
      </c>
      <c r="DW8" s="1155">
        <v>0</v>
      </c>
      <c r="DX8" s="1155">
        <v>0</v>
      </c>
      <c r="DY8" s="1155">
        <v>0</v>
      </c>
      <c r="DZ8" s="1155">
        <v>0</v>
      </c>
      <c r="EA8" s="1155">
        <v>0</v>
      </c>
      <c r="EB8" s="1155">
        <v>0</v>
      </c>
      <c r="EC8" s="1155">
        <v>0</v>
      </c>
      <c r="ED8" s="1155">
        <v>0</v>
      </c>
      <c r="EE8" s="1155">
        <v>0</v>
      </c>
      <c r="EF8" s="1155">
        <v>0</v>
      </c>
      <c r="EG8" s="1155">
        <v>0</v>
      </c>
      <c r="EH8" s="1155">
        <v>0</v>
      </c>
      <c r="EI8" s="1155">
        <v>0</v>
      </c>
      <c r="EJ8" s="1155">
        <v>0</v>
      </c>
      <c r="EK8" s="1155">
        <v>0</v>
      </c>
      <c r="EL8" s="1155">
        <v>0</v>
      </c>
      <c r="EM8" s="1155">
        <v>1888791.1150229957</v>
      </c>
      <c r="EN8" s="1155">
        <v>0</v>
      </c>
      <c r="EO8" s="1155">
        <v>0</v>
      </c>
      <c r="EP8" s="1155">
        <v>0</v>
      </c>
      <c r="EQ8" s="1155">
        <v>0</v>
      </c>
      <c r="ER8" s="1155">
        <v>0</v>
      </c>
      <c r="ES8" s="1155">
        <v>0</v>
      </c>
      <c r="ET8" s="1155">
        <v>0</v>
      </c>
      <c r="EU8" s="1155">
        <v>0</v>
      </c>
      <c r="EV8" s="1155">
        <v>0</v>
      </c>
      <c r="EW8" s="1155">
        <v>0</v>
      </c>
      <c r="EX8" s="1155">
        <v>0</v>
      </c>
      <c r="EY8" s="1175">
        <v>3703511.9902411732</v>
      </c>
      <c r="EZ8" s="1256"/>
      <c r="FA8" s="1155">
        <v>2034771.6346940026</v>
      </c>
      <c r="FB8" s="1155">
        <v>0</v>
      </c>
      <c r="FC8" s="1155">
        <v>0</v>
      </c>
      <c r="FD8" s="1155">
        <v>0</v>
      </c>
      <c r="FE8" s="1155">
        <v>0</v>
      </c>
      <c r="FF8" s="1155">
        <v>0</v>
      </c>
      <c r="FG8" s="1155">
        <v>0</v>
      </c>
      <c r="FH8" s="1155">
        <v>0</v>
      </c>
      <c r="FI8" s="1155">
        <v>0</v>
      </c>
      <c r="FJ8" s="1155">
        <v>0</v>
      </c>
      <c r="FK8" s="1155">
        <v>0</v>
      </c>
      <c r="FL8" s="1155">
        <v>0</v>
      </c>
      <c r="FM8" s="1155">
        <v>0</v>
      </c>
      <c r="FN8" s="1155">
        <v>0</v>
      </c>
      <c r="FO8" s="1155">
        <v>0</v>
      </c>
      <c r="FP8" s="1155">
        <v>0</v>
      </c>
      <c r="FQ8" s="1155">
        <v>0</v>
      </c>
      <c r="FR8" s="1155">
        <v>0</v>
      </c>
      <c r="FS8" s="1155">
        <v>0</v>
      </c>
      <c r="FT8" s="1155">
        <v>0</v>
      </c>
      <c r="FU8" s="1155">
        <v>0</v>
      </c>
      <c r="FV8" s="1155">
        <v>0</v>
      </c>
      <c r="FW8" s="1155">
        <v>0</v>
      </c>
      <c r="FX8" s="1155">
        <v>2044338.2340675513</v>
      </c>
      <c r="FY8" s="1155">
        <v>0</v>
      </c>
      <c r="FZ8" s="1155">
        <v>0</v>
      </c>
      <c r="GA8" s="1155">
        <v>0</v>
      </c>
      <c r="GB8" s="1155">
        <v>0</v>
      </c>
      <c r="GC8" s="1155">
        <v>0</v>
      </c>
      <c r="GD8" s="1155">
        <v>0</v>
      </c>
      <c r="GE8" s="1155">
        <v>0</v>
      </c>
      <c r="GF8" s="1155">
        <v>0</v>
      </c>
      <c r="GG8" s="1155">
        <v>0</v>
      </c>
      <c r="GH8" s="1155">
        <v>0</v>
      </c>
      <c r="GI8" s="1155">
        <v>0</v>
      </c>
      <c r="GJ8" s="1175">
        <v>4079109.8687615618</v>
      </c>
    </row>
    <row r="9" spans="1:192" ht="6" customHeight="1">
      <c r="A9" s="1205"/>
      <c r="B9" s="1184" t="s">
        <v>742</v>
      </c>
      <c r="C9" s="1184"/>
      <c r="D9" s="1184"/>
      <c r="E9" s="1184"/>
      <c r="F9" s="1184"/>
      <c r="G9" s="1184"/>
      <c r="H9" s="1184"/>
      <c r="I9" s="1184"/>
      <c r="J9" s="1207"/>
      <c r="K9" s="1184"/>
      <c r="L9" s="1184"/>
      <c r="M9" s="1184"/>
      <c r="N9" s="1184"/>
      <c r="O9" s="1184"/>
      <c r="P9" s="1184"/>
      <c r="Q9" s="1184"/>
      <c r="R9" s="1184"/>
      <c r="S9" s="1184"/>
      <c r="T9" s="1184"/>
      <c r="U9" s="1184"/>
      <c r="V9" s="1184"/>
      <c r="W9" s="1184"/>
      <c r="X9" s="1184"/>
      <c r="Y9" s="1184"/>
      <c r="Z9" s="1184"/>
      <c r="AA9" s="1184"/>
      <c r="AB9" s="1184"/>
      <c r="AC9" s="1184"/>
      <c r="AD9" s="1184"/>
      <c r="AE9" s="1184"/>
      <c r="AF9" s="1184"/>
      <c r="AG9" s="1184"/>
      <c r="AH9" s="1263"/>
      <c r="AI9" s="1263"/>
      <c r="AJ9" s="1263"/>
      <c r="AK9" s="1263"/>
      <c r="AL9" s="1263"/>
      <c r="AM9" s="1263"/>
      <c r="AN9" s="1263"/>
      <c r="AO9" s="1263"/>
      <c r="AP9" s="1263"/>
      <c r="AQ9" s="1263"/>
      <c r="AR9" s="1263"/>
      <c r="AS9" s="1263"/>
      <c r="AT9" s="1207"/>
      <c r="AU9" s="1263"/>
      <c r="AV9" s="1263"/>
      <c r="AW9" s="1263"/>
      <c r="AX9" s="1263"/>
      <c r="AY9" s="1263"/>
      <c r="AZ9" s="1263"/>
      <c r="BA9" s="1263"/>
      <c r="BB9" s="1263"/>
      <c r="BC9" s="1263"/>
      <c r="BD9" s="1263"/>
      <c r="BE9" s="1263"/>
      <c r="BF9" s="1263"/>
      <c r="BG9" s="1263"/>
      <c r="BH9" s="1263"/>
      <c r="BI9" s="1263"/>
      <c r="BJ9" s="1263"/>
      <c r="BK9" s="1263"/>
      <c r="BL9" s="1263"/>
      <c r="BM9" s="1263"/>
      <c r="BN9" s="1263"/>
      <c r="BO9" s="1263"/>
      <c r="BP9" s="1263"/>
      <c r="BQ9" s="1263"/>
      <c r="BR9" s="1263"/>
      <c r="BS9" s="1263"/>
      <c r="BT9" s="1263"/>
      <c r="BU9" s="1263"/>
      <c r="BV9" s="1263"/>
      <c r="BW9" s="1263"/>
      <c r="BX9" s="1263"/>
      <c r="BY9" s="1263"/>
      <c r="BZ9" s="1263"/>
      <c r="CA9" s="1263"/>
      <c r="CB9" s="1263"/>
      <c r="CC9" s="1263"/>
      <c r="CD9" s="1207"/>
      <c r="CE9" s="1207"/>
      <c r="CF9" s="1184"/>
      <c r="CG9" s="1184"/>
      <c r="CH9" s="1184"/>
      <c r="CI9" s="1184"/>
      <c r="CJ9" s="1184"/>
      <c r="CK9" s="1184"/>
      <c r="CL9" s="1184"/>
      <c r="CM9" s="1184"/>
      <c r="CN9" s="1184"/>
      <c r="CO9" s="1184"/>
      <c r="CP9" s="1184"/>
      <c r="CQ9" s="1184"/>
      <c r="CR9" s="1184"/>
      <c r="CS9" s="1184"/>
      <c r="CT9" s="1184"/>
      <c r="CU9" s="1184"/>
      <c r="CV9" s="1184"/>
      <c r="CW9" s="1184"/>
      <c r="CX9" s="1184"/>
      <c r="CY9" s="1184"/>
      <c r="CZ9" s="1184"/>
      <c r="DA9" s="1184"/>
      <c r="DB9" s="1184"/>
      <c r="DC9" s="1607"/>
      <c r="DD9" s="1184"/>
      <c r="DE9" s="1184"/>
      <c r="DF9" s="1184"/>
      <c r="DG9" s="1184"/>
      <c r="DH9" s="1184"/>
      <c r="DI9" s="1184"/>
      <c r="DJ9" s="1184"/>
      <c r="DK9" s="1184"/>
      <c r="DL9" s="1184"/>
      <c r="DM9" s="1184"/>
      <c r="DN9" s="1184"/>
      <c r="DO9" s="1207"/>
      <c r="DP9" s="1252"/>
      <c r="DQ9" s="1252"/>
      <c r="DR9" s="1252"/>
      <c r="DS9" s="1252"/>
      <c r="DT9" s="1252"/>
      <c r="DU9" s="1252"/>
      <c r="DV9" s="1252"/>
      <c r="DW9" s="1252"/>
      <c r="DX9" s="1252"/>
      <c r="DY9" s="1252"/>
      <c r="DZ9" s="1252"/>
      <c r="EA9" s="1252"/>
      <c r="EB9" s="1252"/>
      <c r="EC9" s="1252"/>
      <c r="ED9" s="1252"/>
      <c r="EE9" s="1252"/>
      <c r="EF9" s="1252"/>
      <c r="EG9" s="1252"/>
      <c r="EH9" s="1252"/>
      <c r="EI9" s="1252"/>
      <c r="EJ9" s="1252"/>
      <c r="EK9" s="1252"/>
      <c r="EL9" s="1252"/>
      <c r="EM9" s="1252"/>
      <c r="EN9" s="1252"/>
      <c r="EO9" s="1252"/>
      <c r="EP9" s="1252"/>
      <c r="EQ9" s="1252"/>
      <c r="ER9" s="1252"/>
      <c r="ES9" s="1252"/>
      <c r="ET9" s="1252"/>
      <c r="EU9" s="1252"/>
      <c r="EV9" s="1252"/>
      <c r="EW9" s="1252"/>
      <c r="EX9" s="1252"/>
      <c r="EY9" s="1252"/>
      <c r="EZ9" s="1207"/>
      <c r="FA9" s="1252"/>
      <c r="FB9" s="1252"/>
      <c r="FC9" s="1252"/>
      <c r="FD9" s="1252"/>
      <c r="FE9" s="1252"/>
      <c r="FF9" s="1252"/>
      <c r="FG9" s="1252"/>
      <c r="FH9" s="1252"/>
      <c r="FI9" s="1252"/>
      <c r="FJ9" s="1252"/>
      <c r="FK9" s="1252"/>
      <c r="FL9" s="1252"/>
      <c r="FM9" s="1252"/>
      <c r="FN9" s="1252"/>
      <c r="FO9" s="1252"/>
      <c r="FP9" s="1252"/>
      <c r="FQ9" s="1252"/>
      <c r="FR9" s="1252"/>
      <c r="FS9" s="1252"/>
      <c r="FT9" s="1252"/>
      <c r="FU9" s="1252"/>
      <c r="FV9" s="1252"/>
      <c r="FW9" s="1252"/>
      <c r="FX9" s="1252"/>
      <c r="FY9" s="1252"/>
      <c r="FZ9" s="1252"/>
      <c r="GA9" s="1252"/>
      <c r="GB9" s="1252"/>
      <c r="GC9" s="1252"/>
      <c r="GD9" s="1252"/>
      <c r="GE9" s="1252"/>
      <c r="GF9" s="1252"/>
      <c r="GG9" s="1252"/>
      <c r="GH9" s="1252"/>
      <c r="GI9" s="1252"/>
      <c r="GJ9" s="1252"/>
    </row>
    <row r="10" spans="1:192">
      <c r="B10" s="1259" t="str">
        <f>IF(Prop2021DUOSTariffs!B10="","",Prop2021DUOSTariffs!B10)</f>
        <v/>
      </c>
      <c r="C10" s="1259" t="str">
        <f>IF(Prop2021DUOSTariffs!C10="","",Prop2021DUOSTariffs!C10)</f>
        <v>East CAC66kV Anytime</v>
      </c>
      <c r="D10" s="1259" t="str">
        <f>IF(Prop2021DUOSTariffs!D10="","",Prop2021DUOSTariffs!D10)</f>
        <v>East CAC66kV Anytime</v>
      </c>
      <c r="E10" s="1259" t="str">
        <f>IF(Prop2021DUOSTariffs!E10="","",Prop2021DUOSTariffs!E10)</f>
        <v>CAC</v>
      </c>
      <c r="F10" s="1259" t="str">
        <f>IF(Prop2021DUOSTariffs!F10="","",Prop2021DUOSTariffs!F10)</f>
        <v>CAC</v>
      </c>
      <c r="G10" s="1259" t="str">
        <f>IF(Prop2021DUOSTariffs!G10="","",Prop2021DUOSTariffs!G10)</f>
        <v>East</v>
      </c>
      <c r="H10" s="1259" t="str">
        <f>IF(Prop2021DUOSTariffs!H10="","",Prop2021DUOSTariffs!H10)</f>
        <v>EC66</v>
      </c>
      <c r="I10" s="1259" t="s">
        <v>935</v>
      </c>
      <c r="J10" s="1256"/>
      <c r="K10" s="1233">
        <v>9.0663855911450444</v>
      </c>
      <c r="L10" s="1135"/>
      <c r="M10" s="1135"/>
      <c r="N10" s="1135"/>
      <c r="O10" s="1135"/>
      <c r="P10" s="1135"/>
      <c r="Q10" s="1135"/>
      <c r="R10" s="1135"/>
      <c r="S10" s="1135"/>
      <c r="T10" s="1135"/>
      <c r="U10" s="1135"/>
      <c r="V10" s="1135"/>
      <c r="W10" s="1135"/>
      <c r="X10" s="1135"/>
      <c r="Y10" s="1135"/>
      <c r="Z10" s="1135"/>
      <c r="AA10" s="1135"/>
      <c r="AB10" s="1135"/>
      <c r="AC10" s="1135"/>
      <c r="AD10" s="1135"/>
      <c r="AE10" s="1135"/>
      <c r="AF10" s="1005"/>
      <c r="AG10" s="1005"/>
      <c r="AH10" s="1224">
        <v>4.7327869570815872E-4</v>
      </c>
      <c r="AI10" s="1241"/>
      <c r="AJ10" s="1241"/>
      <c r="AK10" s="1241"/>
      <c r="AL10" s="1241"/>
      <c r="AM10" s="1241"/>
      <c r="AN10" s="1241"/>
      <c r="AO10" s="1241"/>
      <c r="AP10" s="1241"/>
      <c r="AQ10" s="1241"/>
      <c r="AR10" s="1241"/>
      <c r="AS10" s="1241"/>
      <c r="AT10" s="1256"/>
      <c r="AU10" s="1484">
        <v>10.656795166556392</v>
      </c>
      <c r="AV10" s="1241"/>
      <c r="AW10" s="1241"/>
      <c r="AX10" s="1241"/>
      <c r="AY10" s="1241"/>
      <c r="AZ10" s="1241"/>
      <c r="BA10" s="1241"/>
      <c r="BB10" s="1241"/>
      <c r="BC10" s="1241"/>
      <c r="BD10" s="1241"/>
      <c r="BE10" s="1241"/>
      <c r="BF10" s="1241"/>
      <c r="BG10" s="1241"/>
      <c r="BH10" s="1241"/>
      <c r="BI10" s="1241"/>
      <c r="BJ10" s="1241"/>
      <c r="BK10" s="1241"/>
      <c r="BL10" s="1241"/>
      <c r="BM10" s="1241"/>
      <c r="BN10" s="1241"/>
      <c r="BO10" s="1241"/>
      <c r="BP10" s="1241"/>
      <c r="BQ10" s="1241"/>
      <c r="BR10" s="1484">
        <v>5.1276006492287655E-4</v>
      </c>
      <c r="BS10" s="1241"/>
      <c r="BT10" s="1241"/>
      <c r="BU10" s="1241"/>
      <c r="BV10" s="1241"/>
      <c r="BW10" s="1241"/>
      <c r="BX10" s="1241"/>
      <c r="BY10" s="1241"/>
      <c r="BZ10" s="1241"/>
      <c r="CA10" s="1241"/>
      <c r="CB10" s="1241"/>
      <c r="CC10" s="1241"/>
      <c r="CD10" s="1256"/>
      <c r="CE10" s="1256"/>
      <c r="CF10" s="1265">
        <v>30</v>
      </c>
      <c r="CG10" s="1030"/>
      <c r="CH10" s="1030"/>
      <c r="CI10" s="1030"/>
      <c r="CJ10" s="1030"/>
      <c r="CK10" s="1030"/>
      <c r="CL10" s="1135"/>
      <c r="CM10" s="1135"/>
      <c r="CN10" s="1135"/>
      <c r="CO10" s="1135"/>
      <c r="CP10" s="1135"/>
      <c r="CQ10" s="1135"/>
      <c r="CR10" s="1135"/>
      <c r="CS10" s="1135"/>
      <c r="CT10" s="1135"/>
      <c r="CU10" s="1135"/>
      <c r="CV10" s="1135"/>
      <c r="CW10" s="1135"/>
      <c r="CX10" s="1135"/>
      <c r="CY10" s="1135"/>
      <c r="CZ10" s="1135"/>
      <c r="DA10" s="1008"/>
      <c r="DB10" s="1008"/>
      <c r="DC10" s="1265">
        <v>251911000</v>
      </c>
      <c r="DD10" s="1008"/>
      <c r="DE10" s="1008"/>
      <c r="DF10" s="1008"/>
      <c r="DG10" s="1008"/>
      <c r="DH10" s="1008"/>
      <c r="DI10" s="1008"/>
      <c r="DJ10" s="1008"/>
      <c r="DK10" s="1008"/>
      <c r="DL10" s="1008"/>
      <c r="DM10" s="1008"/>
      <c r="DN10" s="1008"/>
      <c r="DO10" s="1256"/>
      <c r="DP10" s="1155">
        <f t="shared" ref="DP10:DP23" si="7">K10*CF10*DP$107</f>
        <v>99276.922223038244</v>
      </c>
      <c r="DQ10" s="1155">
        <f t="shared" ref="DQ10:DQ23" si="8">L10*CG10*DQ$107</f>
        <v>0</v>
      </c>
      <c r="DR10" s="1155">
        <f t="shared" ref="DR10:DR23" si="9">M10*CH10*DR$107</f>
        <v>0</v>
      </c>
      <c r="DS10" s="1155">
        <f t="shared" ref="DS10:DS23" si="10">N10*CI10*DS$107</f>
        <v>0</v>
      </c>
      <c r="DT10" s="1155">
        <f t="shared" ref="DT10:DT23" si="11">O10*CJ10*DT$107</f>
        <v>0</v>
      </c>
      <c r="DU10" s="1155">
        <f t="shared" ref="DU10:DU23" si="12">P10*CK10*DU$107</f>
        <v>0</v>
      </c>
      <c r="DV10" s="1155">
        <f t="shared" ref="DV10:DV23" si="13">Q10*CL10*DV$107</f>
        <v>0</v>
      </c>
      <c r="DW10" s="1155">
        <f t="shared" ref="DW10:DW23" si="14">R10*CM10*DW$107</f>
        <v>0</v>
      </c>
      <c r="DX10" s="1155">
        <f t="shared" ref="DX10:DX23" si="15">S10*CN10*DX$107</f>
        <v>0</v>
      </c>
      <c r="DY10" s="1155">
        <f t="shared" ref="DY10:DY23" si="16">T10*CO10*DY$107</f>
        <v>0</v>
      </c>
      <c r="DZ10" s="1155">
        <f t="shared" ref="DZ10:DZ23" si="17">U10*CP10*DZ$107</f>
        <v>0</v>
      </c>
      <c r="EA10" s="1155">
        <f t="shared" ref="EA10:EA23" si="18">V10*CQ10*EA$107</f>
        <v>0</v>
      </c>
      <c r="EB10" s="1155">
        <f t="shared" ref="EB10:EB23" si="19">W10*CR10*EB$107</f>
        <v>0</v>
      </c>
      <c r="EC10" s="1155">
        <f t="shared" ref="EC10:EC23" si="20">X10*CS10*EC$107</f>
        <v>0</v>
      </c>
      <c r="ED10" s="1155">
        <f t="shared" ref="ED10:ED23" si="21">Y10*CT10*ED$107</f>
        <v>0</v>
      </c>
      <c r="EE10" s="1155">
        <f t="shared" ref="EE10:EE23" si="22">Z10*CU10*EE$107</f>
        <v>0</v>
      </c>
      <c r="EF10" s="1155">
        <f t="shared" ref="EF10:EF23" si="23">AA10*CV10*EF$107</f>
        <v>0</v>
      </c>
      <c r="EG10" s="1155">
        <f t="shared" ref="EG10:EG23" si="24">AB10*CW10*EG$107</f>
        <v>0</v>
      </c>
      <c r="EH10" s="1155">
        <f t="shared" ref="EH10:EH23" si="25">AC10*CX10*EH$107</f>
        <v>0</v>
      </c>
      <c r="EI10" s="1155">
        <f t="shared" ref="EI10:EI23" si="26">AD10*CY10*EI$107</f>
        <v>0</v>
      </c>
      <c r="EJ10" s="1155">
        <f t="shared" ref="EJ10:EJ23" si="27">AE10*CZ10*EJ$107</f>
        <v>0</v>
      </c>
      <c r="EK10" s="1155">
        <f t="shared" ref="EK10:EK23" si="28">AF10*DA10*EK$107</f>
        <v>0</v>
      </c>
      <c r="EL10" s="1155">
        <f t="shared" ref="EL10:EL23" si="29">AG10*DB10*EL$107</f>
        <v>0</v>
      </c>
      <c r="EM10" s="1155">
        <f t="shared" ref="EM10:EM23" si="30">AH10*DC10*EM$107</f>
        <v>119224.10951453797</v>
      </c>
      <c r="EN10" s="1155">
        <f t="shared" ref="EN10:EN23" si="31">AI10*DD10*EN$107</f>
        <v>0</v>
      </c>
      <c r="EO10" s="1155">
        <f t="shared" ref="EO10:EO23" si="32">AJ10*DE10*EO$107</f>
        <v>0</v>
      </c>
      <c r="EP10" s="1155">
        <f t="shared" ref="EP10:EP23" si="33">AK10*DF10*EP$107</f>
        <v>0</v>
      </c>
      <c r="EQ10" s="1155">
        <f t="shared" ref="EQ10:EQ23" si="34">AL10*DG10*EQ$107</f>
        <v>0</v>
      </c>
      <c r="ER10" s="1155">
        <f t="shared" ref="ER10:ER23" si="35">AM10*DH10*ER$107</f>
        <v>0</v>
      </c>
      <c r="ES10" s="1155">
        <f t="shared" ref="ES10:ES23" si="36">AN10*DI10*ES$107</f>
        <v>0</v>
      </c>
      <c r="ET10" s="1155">
        <f t="shared" ref="ET10:ET23" si="37">AO10*DJ10*ET$107</f>
        <v>0</v>
      </c>
      <c r="EU10" s="1155">
        <f t="shared" ref="EU10:EU23" si="38">AP10*DK10*EU$107</f>
        <v>0</v>
      </c>
      <c r="EV10" s="1155">
        <f t="shared" ref="EV10:EV23" si="39">AQ10*DL10*EV$107</f>
        <v>0</v>
      </c>
      <c r="EW10" s="1155">
        <f t="shared" ref="EW10:EW23" si="40">AR10*DM10*EW$107</f>
        <v>0</v>
      </c>
      <c r="EX10" s="1155">
        <f t="shared" ref="EX10:EX23" si="41">AS10*DN10*EX$107</f>
        <v>0</v>
      </c>
      <c r="EY10" s="1175">
        <f t="shared" ref="EY10:EY23" si="42">SUM(DP10:EX10)</f>
        <v>218501.03173757621</v>
      </c>
      <c r="EZ10" s="1256"/>
      <c r="FA10" s="1155">
        <f t="shared" ref="FA10:FA23" si="43">AU10*CF10*FA$107</f>
        <v>116691.90707379251</v>
      </c>
      <c r="FB10" s="1155">
        <f t="shared" ref="FB10:FB23" si="44">AV10*CG10*FB$107</f>
        <v>0</v>
      </c>
      <c r="FC10" s="1155">
        <f t="shared" ref="FC10:FC23" si="45">AW10*CH10*FC$107</f>
        <v>0</v>
      </c>
      <c r="FD10" s="1155">
        <f t="shared" ref="FD10:FD23" si="46">AX10*CI10*FD$107</f>
        <v>0</v>
      </c>
      <c r="FE10" s="1155">
        <f t="shared" ref="FE10:FE23" si="47">AY10*CJ10*FE$107</f>
        <v>0</v>
      </c>
      <c r="FF10" s="1155">
        <f t="shared" ref="FF10:FF23" si="48">AZ10*CK10*FF$107</f>
        <v>0</v>
      </c>
      <c r="FG10" s="1155">
        <f t="shared" ref="FG10:FG23" si="49">BA10*CL10*FG$107</f>
        <v>0</v>
      </c>
      <c r="FH10" s="1155">
        <f t="shared" ref="FH10:FH23" si="50">BB10*CM10*FH$107</f>
        <v>0</v>
      </c>
      <c r="FI10" s="1155">
        <f t="shared" ref="FI10:FI23" si="51">BC10*CN10*FI$107</f>
        <v>0</v>
      </c>
      <c r="FJ10" s="1155">
        <f t="shared" ref="FJ10:FJ23" si="52">BD10*CO10*FJ$107</f>
        <v>0</v>
      </c>
      <c r="FK10" s="1155">
        <f t="shared" ref="FK10:FK23" si="53">BE10*CP10*FK$107</f>
        <v>0</v>
      </c>
      <c r="FL10" s="1155">
        <f t="shared" ref="FL10:FL23" si="54">BF10*CQ10*FL$107</f>
        <v>0</v>
      </c>
      <c r="FM10" s="1155">
        <f t="shared" ref="FM10:FM23" si="55">BG10*CR10*FM$107</f>
        <v>0</v>
      </c>
      <c r="FN10" s="1155">
        <f t="shared" ref="FN10:FN23" si="56">BH10*CS10*FN$107</f>
        <v>0</v>
      </c>
      <c r="FO10" s="1155">
        <f t="shared" ref="FO10:FO23" si="57">BI10*CT10*FO$107</f>
        <v>0</v>
      </c>
      <c r="FP10" s="1155">
        <f t="shared" ref="FP10:FP23" si="58">BJ10*CU10*FP$107</f>
        <v>0</v>
      </c>
      <c r="FQ10" s="1155">
        <f t="shared" ref="FQ10:FQ23" si="59">BK10*CV10*FQ$107</f>
        <v>0</v>
      </c>
      <c r="FR10" s="1155">
        <f t="shared" ref="FR10:FR23" si="60">BL10*CW10*FR$107</f>
        <v>0</v>
      </c>
      <c r="FS10" s="1155">
        <f t="shared" ref="FS10:FS23" si="61">BM10*CX10*FS$107</f>
        <v>0</v>
      </c>
      <c r="FT10" s="1155">
        <f t="shared" ref="FT10:FT23" si="62">BN10*CY10*FT$107</f>
        <v>0</v>
      </c>
      <c r="FU10" s="1155">
        <f t="shared" ref="FU10:FU23" si="63">BO10*CZ10*FU$107</f>
        <v>0</v>
      </c>
      <c r="FV10" s="1155">
        <f t="shared" ref="FV10:FV23" si="64">BP10*DA10*FV$107</f>
        <v>0</v>
      </c>
      <c r="FW10" s="1155">
        <f t="shared" ref="FW10:FW23" si="65">BQ10*DB10*FW$107</f>
        <v>0</v>
      </c>
      <c r="FX10" s="1155">
        <f t="shared" ref="FX10:FX23" si="66">BR10*DC10*FX$107</f>
        <v>129169.90071478675</v>
      </c>
      <c r="FY10" s="1155">
        <f t="shared" ref="FY10:FY23" si="67">BS10*DD10*FY$107</f>
        <v>0</v>
      </c>
      <c r="FZ10" s="1155">
        <f t="shared" ref="FZ10:FZ23" si="68">BT10*DE10*FZ$107</f>
        <v>0</v>
      </c>
      <c r="GA10" s="1155">
        <f t="shared" ref="GA10:GA23" si="69">BU10*DF10*GA$107</f>
        <v>0</v>
      </c>
      <c r="GB10" s="1155">
        <f t="shared" ref="GB10:GB23" si="70">BV10*DG10*GB$107</f>
        <v>0</v>
      </c>
      <c r="GC10" s="1155">
        <f t="shared" ref="GC10:GC23" si="71">BW10*DH10*GC$107</f>
        <v>0</v>
      </c>
      <c r="GD10" s="1155">
        <f t="shared" ref="GD10:GD23" si="72">BX10*DI10*GD$107</f>
        <v>0</v>
      </c>
      <c r="GE10" s="1155">
        <f t="shared" ref="GE10:GE23" si="73">BY10*DJ10*GE$107</f>
        <v>0</v>
      </c>
      <c r="GF10" s="1155">
        <f t="shared" ref="GF10:GF23" si="74">BZ10*DK10*GF$107</f>
        <v>0</v>
      </c>
      <c r="GG10" s="1155">
        <f t="shared" ref="GG10:GG23" si="75">CA10*DL10*GG$107</f>
        <v>0</v>
      </c>
      <c r="GH10" s="1155">
        <f t="shared" ref="GH10:GH23" si="76">CB10*DM10*GH$107</f>
        <v>0</v>
      </c>
      <c r="GI10" s="1155">
        <f t="shared" ref="GI10:GI23" si="77">CC10*DN10*GI$107</f>
        <v>0</v>
      </c>
      <c r="GJ10" s="1175">
        <f t="shared" ref="GJ10:GJ23" si="78">SUM(FA10:GI10)</f>
        <v>245861.80778857926</v>
      </c>
    </row>
    <row r="11" spans="1:192">
      <c r="B11" s="1259" t="str">
        <f>IF(Prop2021DUOSTariffs!B11="","",Prop2021DUOSTariffs!B11)</f>
        <v/>
      </c>
      <c r="C11" s="1259" t="str">
        <f>IF(Prop2021DUOSTariffs!C11="","",Prop2021DUOSTariffs!C11)</f>
        <v>East CAC33kV Anytime</v>
      </c>
      <c r="D11" s="1259" t="str">
        <f>IF(Prop2021DUOSTariffs!D11="","",Prop2021DUOSTariffs!D11)</f>
        <v>East CAC33kV Anytime</v>
      </c>
      <c r="E11" s="1259" t="str">
        <f>IF(Prop2021DUOSTariffs!E11="","",Prop2021DUOSTariffs!E11)</f>
        <v>CAC</v>
      </c>
      <c r="F11" s="1259" t="str">
        <f>IF(Prop2021DUOSTariffs!F11="","",Prop2021DUOSTariffs!F11)</f>
        <v>CAC</v>
      </c>
      <c r="G11" s="1259" t="str">
        <f>IF(Prop2021DUOSTariffs!G11="","",Prop2021DUOSTariffs!G11)</f>
        <v>East</v>
      </c>
      <c r="H11" s="1259" t="str">
        <f>IF(Prop2021DUOSTariffs!H11="","",Prop2021DUOSTariffs!H11)</f>
        <v>EC33</v>
      </c>
      <c r="I11" s="1259" t="s">
        <v>935</v>
      </c>
      <c r="J11" s="1256"/>
      <c r="K11" s="1233">
        <v>9.0663855911450444</v>
      </c>
      <c r="L11" s="1135"/>
      <c r="M11" s="1135"/>
      <c r="N11" s="1135"/>
      <c r="O11" s="1135"/>
      <c r="P11" s="1135"/>
      <c r="Q11" s="1135"/>
      <c r="R11" s="1135"/>
      <c r="S11" s="1135"/>
      <c r="T11" s="1135"/>
      <c r="U11" s="1135"/>
      <c r="V11" s="1135"/>
      <c r="W11" s="1135"/>
      <c r="X11" s="1135"/>
      <c r="Y11" s="1135"/>
      <c r="Z11" s="1135"/>
      <c r="AA11" s="1135"/>
      <c r="AB11" s="1135"/>
      <c r="AC11" s="1135"/>
      <c r="AD11" s="1135"/>
      <c r="AE11" s="1135"/>
      <c r="AF11" s="1005"/>
      <c r="AG11" s="1005"/>
      <c r="AH11" s="1224">
        <v>4.7327869570815872E-4</v>
      </c>
      <c r="AI11" s="1241"/>
      <c r="AJ11" s="1241"/>
      <c r="AK11" s="1241"/>
      <c r="AL11" s="1241"/>
      <c r="AM11" s="1241"/>
      <c r="AN11" s="1241"/>
      <c r="AO11" s="1241"/>
      <c r="AP11" s="1241"/>
      <c r="AQ11" s="1241"/>
      <c r="AR11" s="1241"/>
      <c r="AS11" s="1241"/>
      <c r="AT11" s="1256"/>
      <c r="AU11" s="1484">
        <v>10.656795166556392</v>
      </c>
      <c r="AV11" s="1241"/>
      <c r="AW11" s="1241"/>
      <c r="AX11" s="1241"/>
      <c r="AY11" s="1241"/>
      <c r="AZ11" s="1241"/>
      <c r="BA11" s="1241"/>
      <c r="BB11" s="1241"/>
      <c r="BC11" s="1241"/>
      <c r="BD11" s="1241"/>
      <c r="BE11" s="1241"/>
      <c r="BF11" s="1241"/>
      <c r="BG11" s="1241"/>
      <c r="BH11" s="1241"/>
      <c r="BI11" s="1241"/>
      <c r="BJ11" s="1241"/>
      <c r="BK11" s="1241"/>
      <c r="BL11" s="1241"/>
      <c r="BM11" s="1241"/>
      <c r="BN11" s="1241"/>
      <c r="BO11" s="1241"/>
      <c r="BP11" s="1241"/>
      <c r="BQ11" s="1241"/>
      <c r="BR11" s="1484">
        <v>5.1276006492287655E-4</v>
      </c>
      <c r="BS11" s="1241"/>
      <c r="BT11" s="1241"/>
      <c r="BU11" s="1241"/>
      <c r="BV11" s="1241"/>
      <c r="BW11" s="1241"/>
      <c r="BX11" s="1241"/>
      <c r="BY11" s="1241"/>
      <c r="BZ11" s="1241"/>
      <c r="CA11" s="1241"/>
      <c r="CB11" s="1241"/>
      <c r="CC11" s="1241"/>
      <c r="CD11" s="1256"/>
      <c r="CE11" s="1256"/>
      <c r="CF11" s="1265">
        <v>18</v>
      </c>
      <c r="CG11" s="1030"/>
      <c r="CH11" s="1030"/>
      <c r="CI11" s="1030"/>
      <c r="CJ11" s="1030"/>
      <c r="CK11" s="1030"/>
      <c r="CL11" s="1135"/>
      <c r="CM11" s="1135"/>
      <c r="CN11" s="1135"/>
      <c r="CO11" s="1135"/>
      <c r="CP11" s="1135"/>
      <c r="CQ11" s="1135"/>
      <c r="CR11" s="1135"/>
      <c r="CS11" s="1135"/>
      <c r="CT11" s="1135"/>
      <c r="CU11" s="1135"/>
      <c r="CV11" s="1135"/>
      <c r="CW11" s="1135"/>
      <c r="CX11" s="1135"/>
      <c r="CY11" s="1135"/>
      <c r="CZ11" s="1135"/>
      <c r="DA11" s="1008"/>
      <c r="DB11" s="1008"/>
      <c r="DC11" s="1265">
        <v>97935000</v>
      </c>
      <c r="DD11" s="1008"/>
      <c r="DE11" s="1008"/>
      <c r="DF11" s="1008"/>
      <c r="DG11" s="1008"/>
      <c r="DH11" s="1008"/>
      <c r="DI11" s="1008"/>
      <c r="DJ11" s="1008"/>
      <c r="DK11" s="1008"/>
      <c r="DL11" s="1008"/>
      <c r="DM11" s="1008"/>
      <c r="DN11" s="1008"/>
      <c r="DO11" s="1256"/>
      <c r="DP11" s="1155">
        <f t="shared" si="7"/>
        <v>59566.153333822942</v>
      </c>
      <c r="DQ11" s="1155">
        <f t="shared" si="8"/>
        <v>0</v>
      </c>
      <c r="DR11" s="1155">
        <f t="shared" si="9"/>
        <v>0</v>
      </c>
      <c r="DS11" s="1155">
        <f t="shared" si="10"/>
        <v>0</v>
      </c>
      <c r="DT11" s="1155">
        <f t="shared" si="11"/>
        <v>0</v>
      </c>
      <c r="DU11" s="1155">
        <f t="shared" si="12"/>
        <v>0</v>
      </c>
      <c r="DV11" s="1155">
        <f t="shared" si="13"/>
        <v>0</v>
      </c>
      <c r="DW11" s="1155">
        <f t="shared" si="14"/>
        <v>0</v>
      </c>
      <c r="DX11" s="1155">
        <f t="shared" si="15"/>
        <v>0</v>
      </c>
      <c r="DY11" s="1155">
        <f t="shared" si="16"/>
        <v>0</v>
      </c>
      <c r="DZ11" s="1155">
        <f t="shared" si="17"/>
        <v>0</v>
      </c>
      <c r="EA11" s="1155">
        <f t="shared" si="18"/>
        <v>0</v>
      </c>
      <c r="EB11" s="1155">
        <f t="shared" si="19"/>
        <v>0</v>
      </c>
      <c r="EC11" s="1155">
        <f t="shared" si="20"/>
        <v>0</v>
      </c>
      <c r="ED11" s="1155">
        <f t="shared" si="21"/>
        <v>0</v>
      </c>
      <c r="EE11" s="1155">
        <f t="shared" si="22"/>
        <v>0</v>
      </c>
      <c r="EF11" s="1155">
        <f t="shared" si="23"/>
        <v>0</v>
      </c>
      <c r="EG11" s="1155">
        <f t="shared" si="24"/>
        <v>0</v>
      </c>
      <c r="EH11" s="1155">
        <f t="shared" si="25"/>
        <v>0</v>
      </c>
      <c r="EI11" s="1155">
        <f t="shared" si="26"/>
        <v>0</v>
      </c>
      <c r="EJ11" s="1155">
        <f t="shared" si="27"/>
        <v>0</v>
      </c>
      <c r="EK11" s="1155">
        <f t="shared" si="28"/>
        <v>0</v>
      </c>
      <c r="EL11" s="1155">
        <f t="shared" si="29"/>
        <v>0</v>
      </c>
      <c r="EM11" s="1155">
        <f t="shared" si="30"/>
        <v>46350.549064178522</v>
      </c>
      <c r="EN11" s="1155">
        <f t="shared" si="31"/>
        <v>0</v>
      </c>
      <c r="EO11" s="1155">
        <f t="shared" si="32"/>
        <v>0</v>
      </c>
      <c r="EP11" s="1155">
        <f t="shared" si="33"/>
        <v>0</v>
      </c>
      <c r="EQ11" s="1155">
        <f t="shared" si="34"/>
        <v>0</v>
      </c>
      <c r="ER11" s="1155">
        <f t="shared" si="35"/>
        <v>0</v>
      </c>
      <c r="ES11" s="1155">
        <f t="shared" si="36"/>
        <v>0</v>
      </c>
      <c r="ET11" s="1155">
        <f t="shared" si="37"/>
        <v>0</v>
      </c>
      <c r="EU11" s="1155">
        <f t="shared" si="38"/>
        <v>0</v>
      </c>
      <c r="EV11" s="1155">
        <f t="shared" si="39"/>
        <v>0</v>
      </c>
      <c r="EW11" s="1155">
        <f t="shared" si="40"/>
        <v>0</v>
      </c>
      <c r="EX11" s="1155">
        <f t="shared" si="41"/>
        <v>0</v>
      </c>
      <c r="EY11" s="1175">
        <f t="shared" si="42"/>
        <v>105916.70239800146</v>
      </c>
      <c r="EZ11" s="1256"/>
      <c r="FA11" s="1155">
        <f t="shared" si="43"/>
        <v>70015.144244275492</v>
      </c>
      <c r="FB11" s="1155">
        <f t="shared" si="44"/>
        <v>0</v>
      </c>
      <c r="FC11" s="1155">
        <f t="shared" si="45"/>
        <v>0</v>
      </c>
      <c r="FD11" s="1155">
        <f t="shared" si="46"/>
        <v>0</v>
      </c>
      <c r="FE11" s="1155">
        <f t="shared" si="47"/>
        <v>0</v>
      </c>
      <c r="FF11" s="1155">
        <f t="shared" si="48"/>
        <v>0</v>
      </c>
      <c r="FG11" s="1155">
        <f t="shared" si="49"/>
        <v>0</v>
      </c>
      <c r="FH11" s="1155">
        <f t="shared" si="50"/>
        <v>0</v>
      </c>
      <c r="FI11" s="1155">
        <f t="shared" si="51"/>
        <v>0</v>
      </c>
      <c r="FJ11" s="1155">
        <f t="shared" si="52"/>
        <v>0</v>
      </c>
      <c r="FK11" s="1155">
        <f t="shared" si="53"/>
        <v>0</v>
      </c>
      <c r="FL11" s="1155">
        <f t="shared" si="54"/>
        <v>0</v>
      </c>
      <c r="FM11" s="1155">
        <f t="shared" si="55"/>
        <v>0</v>
      </c>
      <c r="FN11" s="1155">
        <f t="shared" si="56"/>
        <v>0</v>
      </c>
      <c r="FO11" s="1155">
        <f t="shared" si="57"/>
        <v>0</v>
      </c>
      <c r="FP11" s="1155">
        <f t="shared" si="58"/>
        <v>0</v>
      </c>
      <c r="FQ11" s="1155">
        <f t="shared" si="59"/>
        <v>0</v>
      </c>
      <c r="FR11" s="1155">
        <f t="shared" si="60"/>
        <v>0</v>
      </c>
      <c r="FS11" s="1155">
        <f t="shared" si="61"/>
        <v>0</v>
      </c>
      <c r="FT11" s="1155">
        <f t="shared" si="62"/>
        <v>0</v>
      </c>
      <c r="FU11" s="1155">
        <f t="shared" si="63"/>
        <v>0</v>
      </c>
      <c r="FV11" s="1155">
        <f t="shared" si="64"/>
        <v>0</v>
      </c>
      <c r="FW11" s="1155">
        <f t="shared" si="65"/>
        <v>0</v>
      </c>
      <c r="FX11" s="1155">
        <f t="shared" si="66"/>
        <v>50217.156958221916</v>
      </c>
      <c r="FY11" s="1155">
        <f t="shared" si="67"/>
        <v>0</v>
      </c>
      <c r="FZ11" s="1155">
        <f t="shared" si="68"/>
        <v>0</v>
      </c>
      <c r="GA11" s="1155">
        <f t="shared" si="69"/>
        <v>0</v>
      </c>
      <c r="GB11" s="1155">
        <f t="shared" si="70"/>
        <v>0</v>
      </c>
      <c r="GC11" s="1155">
        <f t="shared" si="71"/>
        <v>0</v>
      </c>
      <c r="GD11" s="1155">
        <f t="shared" si="72"/>
        <v>0</v>
      </c>
      <c r="GE11" s="1155">
        <f t="shared" si="73"/>
        <v>0</v>
      </c>
      <c r="GF11" s="1155">
        <f t="shared" si="74"/>
        <v>0</v>
      </c>
      <c r="GG11" s="1155">
        <f t="shared" si="75"/>
        <v>0</v>
      </c>
      <c r="GH11" s="1155">
        <f t="shared" si="76"/>
        <v>0</v>
      </c>
      <c r="GI11" s="1155">
        <f t="shared" si="77"/>
        <v>0</v>
      </c>
      <c r="GJ11" s="1175">
        <f t="shared" si="78"/>
        <v>120232.30120249742</v>
      </c>
    </row>
    <row r="12" spans="1:192">
      <c r="B12" s="1259" t="str">
        <f>IF(Prop2021DUOSTariffs!B12="","",Prop2021DUOSTariffs!B12)</f>
        <v/>
      </c>
      <c r="C12" s="1259" t="str">
        <f>IF(Prop2021DUOSTariffs!C12="","",Prop2021DUOSTariffs!C12)</f>
        <v>East CAC22/11kVBus Anytime</v>
      </c>
      <c r="D12" s="1259" t="str">
        <f>IF(Prop2021DUOSTariffs!D12="","",Prop2021DUOSTariffs!D12)</f>
        <v>East CAC22/11kVBus Anytime</v>
      </c>
      <c r="E12" s="1259" t="str">
        <f>IF(Prop2021DUOSTariffs!E12="","",Prop2021DUOSTariffs!E12)</f>
        <v>CAC</v>
      </c>
      <c r="F12" s="1259" t="str">
        <f>IF(Prop2021DUOSTariffs!F12="","",Prop2021DUOSTariffs!F12)</f>
        <v>CAC</v>
      </c>
      <c r="G12" s="1259" t="str">
        <f>IF(Prop2021DUOSTariffs!G12="","",Prop2021DUOSTariffs!G12)</f>
        <v>East</v>
      </c>
      <c r="H12" s="1259" t="str">
        <f>IF(Prop2021DUOSTariffs!H12="","",Prop2021DUOSTariffs!H12)</f>
        <v>EC22B</v>
      </c>
      <c r="I12" s="1259" t="s">
        <v>935</v>
      </c>
      <c r="J12" s="1256"/>
      <c r="K12" s="1233">
        <v>9.0663855911450444</v>
      </c>
      <c r="L12" s="1135"/>
      <c r="M12" s="1135"/>
      <c r="N12" s="1135"/>
      <c r="O12" s="1135"/>
      <c r="P12" s="1135"/>
      <c r="Q12" s="1135"/>
      <c r="R12" s="1135"/>
      <c r="S12" s="1135"/>
      <c r="T12" s="1135"/>
      <c r="U12" s="1135"/>
      <c r="V12" s="1135"/>
      <c r="W12" s="1135"/>
      <c r="X12" s="1135"/>
      <c r="Y12" s="1135"/>
      <c r="Z12" s="1135"/>
      <c r="AA12" s="1135"/>
      <c r="AB12" s="1135"/>
      <c r="AC12" s="1135"/>
      <c r="AD12" s="1135"/>
      <c r="AE12" s="1135"/>
      <c r="AF12" s="1005"/>
      <c r="AG12" s="1005"/>
      <c r="AH12" s="1224">
        <v>4.7327869570815872E-4</v>
      </c>
      <c r="AI12" s="1241"/>
      <c r="AJ12" s="1241"/>
      <c r="AK12" s="1241"/>
      <c r="AL12" s="1241"/>
      <c r="AM12" s="1241"/>
      <c r="AN12" s="1241"/>
      <c r="AO12" s="1241"/>
      <c r="AP12" s="1241"/>
      <c r="AQ12" s="1241"/>
      <c r="AR12" s="1241"/>
      <c r="AS12" s="1241"/>
      <c r="AT12" s="1256"/>
      <c r="AU12" s="1484">
        <v>10.656795166556392</v>
      </c>
      <c r="AV12" s="1241"/>
      <c r="AW12" s="1241"/>
      <c r="AX12" s="1241"/>
      <c r="AY12" s="1241"/>
      <c r="AZ12" s="1241"/>
      <c r="BA12" s="1241"/>
      <c r="BB12" s="1241"/>
      <c r="BC12" s="1241"/>
      <c r="BD12" s="1241"/>
      <c r="BE12" s="1241"/>
      <c r="BF12" s="1241"/>
      <c r="BG12" s="1241"/>
      <c r="BH12" s="1241"/>
      <c r="BI12" s="1241"/>
      <c r="BJ12" s="1241"/>
      <c r="BK12" s="1241"/>
      <c r="BL12" s="1241"/>
      <c r="BM12" s="1241"/>
      <c r="BN12" s="1241"/>
      <c r="BO12" s="1241"/>
      <c r="BP12" s="1241"/>
      <c r="BQ12" s="1241"/>
      <c r="BR12" s="1484">
        <v>5.1276006492287655E-4</v>
      </c>
      <c r="BS12" s="1241"/>
      <c r="BT12" s="1241"/>
      <c r="BU12" s="1241"/>
      <c r="BV12" s="1241"/>
      <c r="BW12" s="1241"/>
      <c r="BX12" s="1241"/>
      <c r="BY12" s="1241"/>
      <c r="BZ12" s="1241"/>
      <c r="CA12" s="1241"/>
      <c r="CB12" s="1241"/>
      <c r="CC12" s="1241"/>
      <c r="CD12" s="1256"/>
      <c r="CE12" s="1256"/>
      <c r="CF12" s="1265">
        <v>26</v>
      </c>
      <c r="CG12" s="1030"/>
      <c r="CH12" s="1030"/>
      <c r="CI12" s="1030"/>
      <c r="CJ12" s="1030"/>
      <c r="CK12" s="1030"/>
      <c r="CL12" s="1135"/>
      <c r="CM12" s="1135"/>
      <c r="CN12" s="1135"/>
      <c r="CO12" s="1135"/>
      <c r="CP12" s="1135"/>
      <c r="CQ12" s="1135"/>
      <c r="CR12" s="1135"/>
      <c r="CS12" s="1135"/>
      <c r="CT12" s="1135"/>
      <c r="CU12" s="1135"/>
      <c r="CV12" s="1135"/>
      <c r="CW12" s="1135"/>
      <c r="CX12" s="1135"/>
      <c r="CY12" s="1135"/>
      <c r="CZ12" s="1135"/>
      <c r="DA12" s="1008"/>
      <c r="DB12" s="1008"/>
      <c r="DC12" s="1265">
        <v>301008000</v>
      </c>
      <c r="DD12" s="1008"/>
      <c r="DE12" s="1008"/>
      <c r="DF12" s="1008"/>
      <c r="DG12" s="1008"/>
      <c r="DH12" s="1008"/>
      <c r="DI12" s="1008"/>
      <c r="DJ12" s="1008"/>
      <c r="DK12" s="1008"/>
      <c r="DL12" s="1008"/>
      <c r="DM12" s="1008"/>
      <c r="DN12" s="1008"/>
      <c r="DO12" s="1256"/>
      <c r="DP12" s="1155">
        <f t="shared" si="7"/>
        <v>86039.999259966469</v>
      </c>
      <c r="DQ12" s="1155">
        <f t="shared" si="8"/>
        <v>0</v>
      </c>
      <c r="DR12" s="1155">
        <f t="shared" si="9"/>
        <v>0</v>
      </c>
      <c r="DS12" s="1155">
        <f t="shared" si="10"/>
        <v>0</v>
      </c>
      <c r="DT12" s="1155">
        <f t="shared" si="11"/>
        <v>0</v>
      </c>
      <c r="DU12" s="1155">
        <f t="shared" si="12"/>
        <v>0</v>
      </c>
      <c r="DV12" s="1155">
        <f t="shared" si="13"/>
        <v>0</v>
      </c>
      <c r="DW12" s="1155">
        <f t="shared" si="14"/>
        <v>0</v>
      </c>
      <c r="DX12" s="1155">
        <f t="shared" si="15"/>
        <v>0</v>
      </c>
      <c r="DY12" s="1155">
        <f t="shared" si="16"/>
        <v>0</v>
      </c>
      <c r="DZ12" s="1155">
        <f t="shared" si="17"/>
        <v>0</v>
      </c>
      <c r="EA12" s="1155">
        <f t="shared" si="18"/>
        <v>0</v>
      </c>
      <c r="EB12" s="1155">
        <f t="shared" si="19"/>
        <v>0</v>
      </c>
      <c r="EC12" s="1155">
        <f t="shared" si="20"/>
        <v>0</v>
      </c>
      <c r="ED12" s="1155">
        <f t="shared" si="21"/>
        <v>0</v>
      </c>
      <c r="EE12" s="1155">
        <f t="shared" si="22"/>
        <v>0</v>
      </c>
      <c r="EF12" s="1155">
        <f t="shared" si="23"/>
        <v>0</v>
      </c>
      <c r="EG12" s="1155">
        <f t="shared" si="24"/>
        <v>0</v>
      </c>
      <c r="EH12" s="1155">
        <f t="shared" si="25"/>
        <v>0</v>
      </c>
      <c r="EI12" s="1155">
        <f t="shared" si="26"/>
        <v>0</v>
      </c>
      <c r="EJ12" s="1155">
        <f t="shared" si="27"/>
        <v>0</v>
      </c>
      <c r="EK12" s="1155">
        <f t="shared" si="28"/>
        <v>0</v>
      </c>
      <c r="EL12" s="1155">
        <f t="shared" si="29"/>
        <v>0</v>
      </c>
      <c r="EM12" s="1155">
        <f t="shared" si="30"/>
        <v>142460.67363772143</v>
      </c>
      <c r="EN12" s="1155">
        <f t="shared" si="31"/>
        <v>0</v>
      </c>
      <c r="EO12" s="1155">
        <f t="shared" si="32"/>
        <v>0</v>
      </c>
      <c r="EP12" s="1155">
        <f t="shared" si="33"/>
        <v>0</v>
      </c>
      <c r="EQ12" s="1155">
        <f t="shared" si="34"/>
        <v>0</v>
      </c>
      <c r="ER12" s="1155">
        <f t="shared" si="35"/>
        <v>0</v>
      </c>
      <c r="ES12" s="1155">
        <f t="shared" si="36"/>
        <v>0</v>
      </c>
      <c r="ET12" s="1155">
        <f t="shared" si="37"/>
        <v>0</v>
      </c>
      <c r="EU12" s="1155">
        <f t="shared" si="38"/>
        <v>0</v>
      </c>
      <c r="EV12" s="1155">
        <f t="shared" si="39"/>
        <v>0</v>
      </c>
      <c r="EW12" s="1155">
        <f t="shared" si="40"/>
        <v>0</v>
      </c>
      <c r="EX12" s="1155">
        <f t="shared" si="41"/>
        <v>0</v>
      </c>
      <c r="EY12" s="1175">
        <f t="shared" si="42"/>
        <v>228500.67289768788</v>
      </c>
      <c r="EZ12" s="1256"/>
      <c r="FA12" s="1155">
        <f t="shared" si="43"/>
        <v>101132.98613062015</v>
      </c>
      <c r="FB12" s="1155">
        <f t="shared" si="44"/>
        <v>0</v>
      </c>
      <c r="FC12" s="1155">
        <f t="shared" si="45"/>
        <v>0</v>
      </c>
      <c r="FD12" s="1155">
        <f t="shared" si="46"/>
        <v>0</v>
      </c>
      <c r="FE12" s="1155">
        <f t="shared" si="47"/>
        <v>0</v>
      </c>
      <c r="FF12" s="1155">
        <f t="shared" si="48"/>
        <v>0</v>
      </c>
      <c r="FG12" s="1155">
        <f t="shared" si="49"/>
        <v>0</v>
      </c>
      <c r="FH12" s="1155">
        <f t="shared" si="50"/>
        <v>0</v>
      </c>
      <c r="FI12" s="1155">
        <f t="shared" si="51"/>
        <v>0</v>
      </c>
      <c r="FJ12" s="1155">
        <f t="shared" si="52"/>
        <v>0</v>
      </c>
      <c r="FK12" s="1155">
        <f t="shared" si="53"/>
        <v>0</v>
      </c>
      <c r="FL12" s="1155">
        <f t="shared" si="54"/>
        <v>0</v>
      </c>
      <c r="FM12" s="1155">
        <f t="shared" si="55"/>
        <v>0</v>
      </c>
      <c r="FN12" s="1155">
        <f t="shared" si="56"/>
        <v>0</v>
      </c>
      <c r="FO12" s="1155">
        <f t="shared" si="57"/>
        <v>0</v>
      </c>
      <c r="FP12" s="1155">
        <f t="shared" si="58"/>
        <v>0</v>
      </c>
      <c r="FQ12" s="1155">
        <f t="shared" si="59"/>
        <v>0</v>
      </c>
      <c r="FR12" s="1155">
        <f t="shared" si="60"/>
        <v>0</v>
      </c>
      <c r="FS12" s="1155">
        <f t="shared" si="61"/>
        <v>0</v>
      </c>
      <c r="FT12" s="1155">
        <f t="shared" si="62"/>
        <v>0</v>
      </c>
      <c r="FU12" s="1155">
        <f t="shared" si="63"/>
        <v>0</v>
      </c>
      <c r="FV12" s="1155">
        <f t="shared" si="64"/>
        <v>0</v>
      </c>
      <c r="FW12" s="1155">
        <f t="shared" si="65"/>
        <v>0</v>
      </c>
      <c r="FX12" s="1155">
        <f t="shared" si="66"/>
        <v>154344.88162230523</v>
      </c>
      <c r="FY12" s="1155">
        <f t="shared" si="67"/>
        <v>0</v>
      </c>
      <c r="FZ12" s="1155">
        <f t="shared" si="68"/>
        <v>0</v>
      </c>
      <c r="GA12" s="1155">
        <f t="shared" si="69"/>
        <v>0</v>
      </c>
      <c r="GB12" s="1155">
        <f t="shared" si="70"/>
        <v>0</v>
      </c>
      <c r="GC12" s="1155">
        <f t="shared" si="71"/>
        <v>0</v>
      </c>
      <c r="GD12" s="1155">
        <f t="shared" si="72"/>
        <v>0</v>
      </c>
      <c r="GE12" s="1155">
        <f t="shared" si="73"/>
        <v>0</v>
      </c>
      <c r="GF12" s="1155">
        <f t="shared" si="74"/>
        <v>0</v>
      </c>
      <c r="GG12" s="1155">
        <f t="shared" si="75"/>
        <v>0</v>
      </c>
      <c r="GH12" s="1155">
        <f t="shared" si="76"/>
        <v>0</v>
      </c>
      <c r="GI12" s="1155">
        <f t="shared" si="77"/>
        <v>0</v>
      </c>
      <c r="GJ12" s="1175">
        <f t="shared" si="78"/>
        <v>255477.86775292538</v>
      </c>
    </row>
    <row r="13" spans="1:192">
      <c r="B13" s="1259" t="str">
        <f>IF(Prop2021DUOSTariffs!B13="","",Prop2021DUOSTariffs!B13)</f>
        <v/>
      </c>
      <c r="C13" s="1259" t="str">
        <f>IF(Prop2021DUOSTariffs!C13="","",Prop2021DUOSTariffs!C13)</f>
        <v>East CAC22/11kVLine Anytime</v>
      </c>
      <c r="D13" s="1259" t="str">
        <f>IF(Prop2021DUOSTariffs!D13="","",Prop2021DUOSTariffs!D13)</f>
        <v>East CAC22/11kVLine Anytime</v>
      </c>
      <c r="E13" s="1259" t="str">
        <f>IF(Prop2021DUOSTariffs!E13="","",Prop2021DUOSTariffs!E13)</f>
        <v>CAC</v>
      </c>
      <c r="F13" s="1259" t="str">
        <f>IF(Prop2021DUOSTariffs!F13="","",Prop2021DUOSTariffs!F13)</f>
        <v>CAC</v>
      </c>
      <c r="G13" s="1259" t="str">
        <f>IF(Prop2021DUOSTariffs!G13="","",Prop2021DUOSTariffs!G13)</f>
        <v>East</v>
      </c>
      <c r="H13" s="1259" t="str">
        <f>IF(Prop2021DUOSTariffs!H13="","",Prop2021DUOSTariffs!H13)</f>
        <v>EC22L</v>
      </c>
      <c r="I13" s="1259" t="s">
        <v>935</v>
      </c>
      <c r="J13" s="1256"/>
      <c r="K13" s="1233">
        <v>9.0663855911450444</v>
      </c>
      <c r="L13" s="1135"/>
      <c r="M13" s="1135"/>
      <c r="N13" s="1135"/>
      <c r="O13" s="1135"/>
      <c r="P13" s="1135"/>
      <c r="Q13" s="1135"/>
      <c r="R13" s="1135"/>
      <c r="S13" s="1135"/>
      <c r="T13" s="1135"/>
      <c r="U13" s="1135"/>
      <c r="V13" s="1135"/>
      <c r="W13" s="1135"/>
      <c r="X13" s="1135"/>
      <c r="Y13" s="1135"/>
      <c r="Z13" s="1135"/>
      <c r="AA13" s="1135"/>
      <c r="AB13" s="1135"/>
      <c r="AC13" s="1135"/>
      <c r="AD13" s="1135"/>
      <c r="AE13" s="1135"/>
      <c r="AF13" s="1005"/>
      <c r="AG13" s="1005"/>
      <c r="AH13" s="1224">
        <v>4.7327869570815872E-4</v>
      </c>
      <c r="AI13" s="1241"/>
      <c r="AJ13" s="1241"/>
      <c r="AK13" s="1241"/>
      <c r="AL13" s="1241"/>
      <c r="AM13" s="1241"/>
      <c r="AN13" s="1241"/>
      <c r="AO13" s="1241"/>
      <c r="AP13" s="1241"/>
      <c r="AQ13" s="1241"/>
      <c r="AR13" s="1241"/>
      <c r="AS13" s="1241"/>
      <c r="AT13" s="1256"/>
      <c r="AU13" s="1484">
        <v>10.656795166556392</v>
      </c>
      <c r="AV13" s="1241"/>
      <c r="AW13" s="1241"/>
      <c r="AX13" s="1241"/>
      <c r="AY13" s="1241"/>
      <c r="AZ13" s="1241"/>
      <c r="BA13" s="1241"/>
      <c r="BB13" s="1241"/>
      <c r="BC13" s="1241"/>
      <c r="BD13" s="1241"/>
      <c r="BE13" s="1241"/>
      <c r="BF13" s="1241"/>
      <c r="BG13" s="1241"/>
      <c r="BH13" s="1241"/>
      <c r="BI13" s="1241"/>
      <c r="BJ13" s="1241"/>
      <c r="BK13" s="1241"/>
      <c r="BL13" s="1241"/>
      <c r="BM13" s="1241"/>
      <c r="BN13" s="1241"/>
      <c r="BO13" s="1241"/>
      <c r="BP13" s="1241"/>
      <c r="BQ13" s="1241"/>
      <c r="BR13" s="1484">
        <v>5.1276006492287655E-4</v>
      </c>
      <c r="BS13" s="1241"/>
      <c r="BT13" s="1241"/>
      <c r="BU13" s="1241"/>
      <c r="BV13" s="1241"/>
      <c r="BW13" s="1241"/>
      <c r="BX13" s="1241"/>
      <c r="BY13" s="1241"/>
      <c r="BZ13" s="1241"/>
      <c r="CA13" s="1241"/>
      <c r="CB13" s="1241"/>
      <c r="CC13" s="1241"/>
      <c r="CD13" s="1256"/>
      <c r="CE13" s="1256"/>
      <c r="CF13" s="1265">
        <v>95</v>
      </c>
      <c r="CG13" s="1030"/>
      <c r="CH13" s="1030"/>
      <c r="CI13" s="1030"/>
      <c r="CJ13" s="1030"/>
      <c r="CK13" s="1030"/>
      <c r="CL13" s="1135"/>
      <c r="CM13" s="1135"/>
      <c r="CN13" s="1135"/>
      <c r="CO13" s="1135"/>
      <c r="CP13" s="1135"/>
      <c r="CQ13" s="1135"/>
      <c r="CR13" s="1135"/>
      <c r="CS13" s="1135"/>
      <c r="CT13" s="1135"/>
      <c r="CU13" s="1135"/>
      <c r="CV13" s="1135"/>
      <c r="CW13" s="1135"/>
      <c r="CX13" s="1135"/>
      <c r="CY13" s="1135"/>
      <c r="CZ13" s="1135"/>
      <c r="DA13" s="1008"/>
      <c r="DB13" s="1008"/>
      <c r="DC13" s="1265">
        <v>557783000</v>
      </c>
      <c r="DD13" s="1008"/>
      <c r="DE13" s="1008"/>
      <c r="DF13" s="1008"/>
      <c r="DG13" s="1008"/>
      <c r="DH13" s="1008"/>
      <c r="DI13" s="1008"/>
      <c r="DJ13" s="1008"/>
      <c r="DK13" s="1008"/>
      <c r="DL13" s="1008"/>
      <c r="DM13" s="1008"/>
      <c r="DN13" s="1008"/>
      <c r="DO13" s="1256"/>
      <c r="DP13" s="1155">
        <f t="shared" si="7"/>
        <v>314376.9203729544</v>
      </c>
      <c r="DQ13" s="1155">
        <f t="shared" si="8"/>
        <v>0</v>
      </c>
      <c r="DR13" s="1155">
        <f t="shared" si="9"/>
        <v>0</v>
      </c>
      <c r="DS13" s="1155">
        <f t="shared" si="10"/>
        <v>0</v>
      </c>
      <c r="DT13" s="1155">
        <f t="shared" si="11"/>
        <v>0</v>
      </c>
      <c r="DU13" s="1155">
        <f t="shared" si="12"/>
        <v>0</v>
      </c>
      <c r="DV13" s="1155">
        <f t="shared" si="13"/>
        <v>0</v>
      </c>
      <c r="DW13" s="1155">
        <f t="shared" si="14"/>
        <v>0</v>
      </c>
      <c r="DX13" s="1155">
        <f t="shared" si="15"/>
        <v>0</v>
      </c>
      <c r="DY13" s="1155">
        <f t="shared" si="16"/>
        <v>0</v>
      </c>
      <c r="DZ13" s="1155">
        <f t="shared" si="17"/>
        <v>0</v>
      </c>
      <c r="EA13" s="1155">
        <f t="shared" si="18"/>
        <v>0</v>
      </c>
      <c r="EB13" s="1155">
        <f t="shared" si="19"/>
        <v>0</v>
      </c>
      <c r="EC13" s="1155">
        <f t="shared" si="20"/>
        <v>0</v>
      </c>
      <c r="ED13" s="1155">
        <f t="shared" si="21"/>
        <v>0</v>
      </c>
      <c r="EE13" s="1155">
        <f t="shared" si="22"/>
        <v>0</v>
      </c>
      <c r="EF13" s="1155">
        <f t="shared" si="23"/>
        <v>0</v>
      </c>
      <c r="EG13" s="1155">
        <f t="shared" si="24"/>
        <v>0</v>
      </c>
      <c r="EH13" s="1155">
        <f t="shared" si="25"/>
        <v>0</v>
      </c>
      <c r="EI13" s="1155">
        <f t="shared" si="26"/>
        <v>0</v>
      </c>
      <c r="EJ13" s="1155">
        <f t="shared" si="27"/>
        <v>0</v>
      </c>
      <c r="EK13" s="1155">
        <f t="shared" si="28"/>
        <v>0</v>
      </c>
      <c r="EL13" s="1155">
        <f t="shared" si="29"/>
        <v>0</v>
      </c>
      <c r="EM13" s="1155">
        <f t="shared" si="30"/>
        <v>263986.81072818389</v>
      </c>
      <c r="EN13" s="1155">
        <f t="shared" si="31"/>
        <v>0</v>
      </c>
      <c r="EO13" s="1155">
        <f t="shared" si="32"/>
        <v>0</v>
      </c>
      <c r="EP13" s="1155">
        <f t="shared" si="33"/>
        <v>0</v>
      </c>
      <c r="EQ13" s="1155">
        <f t="shared" si="34"/>
        <v>0</v>
      </c>
      <c r="ER13" s="1155">
        <f t="shared" si="35"/>
        <v>0</v>
      </c>
      <c r="ES13" s="1155">
        <f t="shared" si="36"/>
        <v>0</v>
      </c>
      <c r="ET13" s="1155">
        <f t="shared" si="37"/>
        <v>0</v>
      </c>
      <c r="EU13" s="1155">
        <f t="shared" si="38"/>
        <v>0</v>
      </c>
      <c r="EV13" s="1155">
        <f t="shared" si="39"/>
        <v>0</v>
      </c>
      <c r="EW13" s="1155">
        <f t="shared" si="40"/>
        <v>0</v>
      </c>
      <c r="EX13" s="1155">
        <f t="shared" si="41"/>
        <v>0</v>
      </c>
      <c r="EY13" s="1175">
        <f t="shared" si="42"/>
        <v>578363.73110113828</v>
      </c>
      <c r="EZ13" s="1256"/>
      <c r="FA13" s="1155">
        <f t="shared" si="43"/>
        <v>369524.37240034289</v>
      </c>
      <c r="FB13" s="1155">
        <f t="shared" si="44"/>
        <v>0</v>
      </c>
      <c r="FC13" s="1155">
        <f t="shared" si="45"/>
        <v>0</v>
      </c>
      <c r="FD13" s="1155">
        <f t="shared" si="46"/>
        <v>0</v>
      </c>
      <c r="FE13" s="1155">
        <f t="shared" si="47"/>
        <v>0</v>
      </c>
      <c r="FF13" s="1155">
        <f t="shared" si="48"/>
        <v>0</v>
      </c>
      <c r="FG13" s="1155">
        <f t="shared" si="49"/>
        <v>0</v>
      </c>
      <c r="FH13" s="1155">
        <f t="shared" si="50"/>
        <v>0</v>
      </c>
      <c r="FI13" s="1155">
        <f t="shared" si="51"/>
        <v>0</v>
      </c>
      <c r="FJ13" s="1155">
        <f t="shared" si="52"/>
        <v>0</v>
      </c>
      <c r="FK13" s="1155">
        <f t="shared" si="53"/>
        <v>0</v>
      </c>
      <c r="FL13" s="1155">
        <f t="shared" si="54"/>
        <v>0</v>
      </c>
      <c r="FM13" s="1155">
        <f t="shared" si="55"/>
        <v>0</v>
      </c>
      <c r="FN13" s="1155">
        <f t="shared" si="56"/>
        <v>0</v>
      </c>
      <c r="FO13" s="1155">
        <f t="shared" si="57"/>
        <v>0</v>
      </c>
      <c r="FP13" s="1155">
        <f t="shared" si="58"/>
        <v>0</v>
      </c>
      <c r="FQ13" s="1155">
        <f t="shared" si="59"/>
        <v>0</v>
      </c>
      <c r="FR13" s="1155">
        <f t="shared" si="60"/>
        <v>0</v>
      </c>
      <c r="FS13" s="1155">
        <f t="shared" si="61"/>
        <v>0</v>
      </c>
      <c r="FT13" s="1155">
        <f t="shared" si="62"/>
        <v>0</v>
      </c>
      <c r="FU13" s="1155">
        <f t="shared" si="63"/>
        <v>0</v>
      </c>
      <c r="FV13" s="1155">
        <f t="shared" si="64"/>
        <v>0</v>
      </c>
      <c r="FW13" s="1155">
        <f t="shared" si="65"/>
        <v>0</v>
      </c>
      <c r="FX13" s="1155">
        <f t="shared" si="66"/>
        <v>286008.84729287686</v>
      </c>
      <c r="FY13" s="1155">
        <f t="shared" si="67"/>
        <v>0</v>
      </c>
      <c r="FZ13" s="1155">
        <f t="shared" si="68"/>
        <v>0</v>
      </c>
      <c r="GA13" s="1155">
        <f t="shared" si="69"/>
        <v>0</v>
      </c>
      <c r="GB13" s="1155">
        <f t="shared" si="70"/>
        <v>0</v>
      </c>
      <c r="GC13" s="1155">
        <f t="shared" si="71"/>
        <v>0</v>
      </c>
      <c r="GD13" s="1155">
        <f t="shared" si="72"/>
        <v>0</v>
      </c>
      <c r="GE13" s="1155">
        <f t="shared" si="73"/>
        <v>0</v>
      </c>
      <c r="GF13" s="1155">
        <f t="shared" si="74"/>
        <v>0</v>
      </c>
      <c r="GG13" s="1155">
        <f t="shared" si="75"/>
        <v>0</v>
      </c>
      <c r="GH13" s="1155">
        <f t="shared" si="76"/>
        <v>0</v>
      </c>
      <c r="GI13" s="1155">
        <f t="shared" si="77"/>
        <v>0</v>
      </c>
      <c r="GJ13" s="1175">
        <f t="shared" si="78"/>
        <v>655533.21969321975</v>
      </c>
    </row>
    <row r="14" spans="1:192">
      <c r="B14" s="1259" t="str">
        <f>IF(Prop2021DUOSTariffs!B14="","",Prop2021DUOSTariffs!B14)</f>
        <v/>
      </c>
      <c r="C14" s="1259" t="str">
        <f>IF(Prop2021DUOSTariffs!C14="","",Prop2021DUOSTariffs!C14)</f>
        <v>East CACHigherVoltage STOUD</v>
      </c>
      <c r="D14" s="1259" t="str">
        <f>IF(Prop2021DUOSTariffs!D14="","",Prop2021DUOSTariffs!D14)</f>
        <v>East CACHigherVoltage STOUD</v>
      </c>
      <c r="E14" s="1259" t="str">
        <f>IF(Prop2021DUOSTariffs!E14="","",Prop2021DUOSTariffs!E14)</f>
        <v>CAC</v>
      </c>
      <c r="F14" s="1259" t="str">
        <f>IF(Prop2021DUOSTariffs!F14="","",Prop2021DUOSTariffs!F14)</f>
        <v>CAC</v>
      </c>
      <c r="G14" s="1259" t="str">
        <f>IF(Prop2021DUOSTariffs!G14="","",Prop2021DUOSTariffs!G14)</f>
        <v>East</v>
      </c>
      <c r="H14" s="1259" t="str">
        <f>IF(Prop2021DUOSTariffs!H14="","",Prop2021DUOSTariffs!H14)</f>
        <v>EC66TOU</v>
      </c>
      <c r="I14" s="1259" t="s">
        <v>935</v>
      </c>
      <c r="J14" s="1256"/>
      <c r="K14" s="1233">
        <v>9.0663855911450444</v>
      </c>
      <c r="L14" s="1135"/>
      <c r="M14" s="1135"/>
      <c r="N14" s="1135"/>
      <c r="O14" s="1135"/>
      <c r="P14" s="1135"/>
      <c r="Q14" s="1135"/>
      <c r="R14" s="1135"/>
      <c r="S14" s="1135"/>
      <c r="T14" s="1135"/>
      <c r="U14" s="1135"/>
      <c r="V14" s="1135"/>
      <c r="W14" s="1135"/>
      <c r="X14" s="1135"/>
      <c r="Y14" s="1135"/>
      <c r="Z14" s="1135"/>
      <c r="AA14" s="1135"/>
      <c r="AB14" s="1135"/>
      <c r="AC14" s="1135"/>
      <c r="AD14" s="1135"/>
      <c r="AE14" s="1135"/>
      <c r="AF14" s="1005"/>
      <c r="AG14" s="1005"/>
      <c r="AH14" s="1224">
        <v>4.7327869570815872E-4</v>
      </c>
      <c r="AI14" s="1241"/>
      <c r="AJ14" s="1241"/>
      <c r="AK14" s="1241"/>
      <c r="AL14" s="1241"/>
      <c r="AM14" s="1241"/>
      <c r="AN14" s="1241"/>
      <c r="AO14" s="1241"/>
      <c r="AP14" s="1241"/>
      <c r="AQ14" s="1241"/>
      <c r="AR14" s="1241"/>
      <c r="AS14" s="1241"/>
      <c r="AT14" s="1256"/>
      <c r="AU14" s="1484">
        <v>10.657</v>
      </c>
      <c r="AV14" s="1241"/>
      <c r="AW14" s="1241"/>
      <c r="AX14" s="1241"/>
      <c r="AY14" s="1241"/>
      <c r="AZ14" s="1241"/>
      <c r="BA14" s="1241"/>
      <c r="BB14" s="1241"/>
      <c r="BC14" s="1241"/>
      <c r="BD14" s="1241"/>
      <c r="BE14" s="1241"/>
      <c r="BF14" s="1241"/>
      <c r="BG14" s="1241"/>
      <c r="BH14" s="1241"/>
      <c r="BI14" s="1241"/>
      <c r="BJ14" s="1241"/>
      <c r="BK14" s="1241"/>
      <c r="BL14" s="1241"/>
      <c r="BM14" s="1241"/>
      <c r="BN14" s="1241"/>
      <c r="BO14" s="1241"/>
      <c r="BP14" s="1241"/>
      <c r="BQ14" s="1241"/>
      <c r="BR14" s="1484">
        <v>5.1000000000000004E-4</v>
      </c>
      <c r="BS14" s="1241"/>
      <c r="BT14" s="1241"/>
      <c r="BU14" s="1241"/>
      <c r="BV14" s="1241"/>
      <c r="BW14" s="1241"/>
      <c r="BX14" s="1241"/>
      <c r="BY14" s="1241"/>
      <c r="BZ14" s="1241"/>
      <c r="CA14" s="1241"/>
      <c r="CB14" s="1241"/>
      <c r="CC14" s="1241"/>
      <c r="CD14" s="1256"/>
      <c r="CE14" s="1256"/>
      <c r="CF14" s="1265">
        <v>2</v>
      </c>
      <c r="CG14" s="1030"/>
      <c r="CH14" s="1030"/>
      <c r="CI14" s="1030"/>
      <c r="CJ14" s="1030"/>
      <c r="CK14" s="1030"/>
      <c r="CL14" s="1135"/>
      <c r="CM14" s="1135"/>
      <c r="CN14" s="1135"/>
      <c r="CO14" s="1135"/>
      <c r="CP14" s="1135"/>
      <c r="CQ14" s="1135"/>
      <c r="CR14" s="1135"/>
      <c r="CS14" s="1135"/>
      <c r="CT14" s="1135"/>
      <c r="CU14" s="1135"/>
      <c r="CV14" s="1135"/>
      <c r="CW14" s="1135"/>
      <c r="CX14" s="1135"/>
      <c r="CY14" s="1135"/>
      <c r="CZ14" s="1135"/>
      <c r="DA14" s="1008"/>
      <c r="DB14" s="1008"/>
      <c r="DC14" s="1265">
        <v>20678000</v>
      </c>
      <c r="DD14" s="1008"/>
      <c r="DE14" s="1008"/>
      <c r="DF14" s="1008"/>
      <c r="DG14" s="1008"/>
      <c r="DH14" s="1008"/>
      <c r="DI14" s="1008"/>
      <c r="DJ14" s="1008"/>
      <c r="DK14" s="1008"/>
      <c r="DL14" s="1008"/>
      <c r="DM14" s="1008"/>
      <c r="DN14" s="1008"/>
      <c r="DO14" s="1256"/>
      <c r="DP14" s="1155">
        <f t="shared" si="7"/>
        <v>6618.4614815358827</v>
      </c>
      <c r="DQ14" s="1155">
        <f t="shared" si="8"/>
        <v>0</v>
      </c>
      <c r="DR14" s="1155">
        <f t="shared" si="9"/>
        <v>0</v>
      </c>
      <c r="DS14" s="1155">
        <f t="shared" si="10"/>
        <v>0</v>
      </c>
      <c r="DT14" s="1155">
        <f t="shared" si="11"/>
        <v>0</v>
      </c>
      <c r="DU14" s="1155">
        <f t="shared" si="12"/>
        <v>0</v>
      </c>
      <c r="DV14" s="1155">
        <f t="shared" si="13"/>
        <v>0</v>
      </c>
      <c r="DW14" s="1155">
        <f t="shared" si="14"/>
        <v>0</v>
      </c>
      <c r="DX14" s="1155">
        <f t="shared" si="15"/>
        <v>0</v>
      </c>
      <c r="DY14" s="1155">
        <f t="shared" si="16"/>
        <v>0</v>
      </c>
      <c r="DZ14" s="1155">
        <f t="shared" si="17"/>
        <v>0</v>
      </c>
      <c r="EA14" s="1155">
        <f t="shared" si="18"/>
        <v>0</v>
      </c>
      <c r="EB14" s="1155">
        <f t="shared" si="19"/>
        <v>0</v>
      </c>
      <c r="EC14" s="1155">
        <f t="shared" si="20"/>
        <v>0</v>
      </c>
      <c r="ED14" s="1155">
        <f t="shared" si="21"/>
        <v>0</v>
      </c>
      <c r="EE14" s="1155">
        <f t="shared" si="22"/>
        <v>0</v>
      </c>
      <c r="EF14" s="1155">
        <f t="shared" si="23"/>
        <v>0</v>
      </c>
      <c r="EG14" s="1155">
        <f t="shared" si="24"/>
        <v>0</v>
      </c>
      <c r="EH14" s="1155">
        <f t="shared" si="25"/>
        <v>0</v>
      </c>
      <c r="EI14" s="1155">
        <f t="shared" si="26"/>
        <v>0</v>
      </c>
      <c r="EJ14" s="1155">
        <f t="shared" si="27"/>
        <v>0</v>
      </c>
      <c r="EK14" s="1155">
        <f t="shared" si="28"/>
        <v>0</v>
      </c>
      <c r="EL14" s="1155">
        <f t="shared" si="29"/>
        <v>0</v>
      </c>
      <c r="EM14" s="1155">
        <f t="shared" si="30"/>
        <v>9786.4568698533058</v>
      </c>
      <c r="EN14" s="1155">
        <f t="shared" si="31"/>
        <v>0</v>
      </c>
      <c r="EO14" s="1155">
        <f t="shared" si="32"/>
        <v>0</v>
      </c>
      <c r="EP14" s="1155">
        <f t="shared" si="33"/>
        <v>0</v>
      </c>
      <c r="EQ14" s="1155">
        <f t="shared" si="34"/>
        <v>0</v>
      </c>
      <c r="ER14" s="1155">
        <f t="shared" si="35"/>
        <v>0</v>
      </c>
      <c r="ES14" s="1155">
        <f t="shared" si="36"/>
        <v>0</v>
      </c>
      <c r="ET14" s="1155">
        <f t="shared" si="37"/>
        <v>0</v>
      </c>
      <c r="EU14" s="1155">
        <f t="shared" si="38"/>
        <v>0</v>
      </c>
      <c r="EV14" s="1155">
        <f t="shared" si="39"/>
        <v>0</v>
      </c>
      <c r="EW14" s="1155">
        <f t="shared" si="40"/>
        <v>0</v>
      </c>
      <c r="EX14" s="1155">
        <f t="shared" si="41"/>
        <v>0</v>
      </c>
      <c r="EY14" s="1175">
        <f t="shared" si="42"/>
        <v>16404.918351389188</v>
      </c>
      <c r="EZ14" s="1256"/>
      <c r="FA14" s="1155">
        <f t="shared" si="43"/>
        <v>7779.61</v>
      </c>
      <c r="FB14" s="1155">
        <f t="shared" si="44"/>
        <v>0</v>
      </c>
      <c r="FC14" s="1155">
        <f t="shared" si="45"/>
        <v>0</v>
      </c>
      <c r="FD14" s="1155">
        <f t="shared" si="46"/>
        <v>0</v>
      </c>
      <c r="FE14" s="1155">
        <f t="shared" si="47"/>
        <v>0</v>
      </c>
      <c r="FF14" s="1155">
        <f t="shared" si="48"/>
        <v>0</v>
      </c>
      <c r="FG14" s="1155">
        <f t="shared" si="49"/>
        <v>0</v>
      </c>
      <c r="FH14" s="1155">
        <f t="shared" si="50"/>
        <v>0</v>
      </c>
      <c r="FI14" s="1155">
        <f t="shared" si="51"/>
        <v>0</v>
      </c>
      <c r="FJ14" s="1155">
        <f t="shared" si="52"/>
        <v>0</v>
      </c>
      <c r="FK14" s="1155">
        <f t="shared" si="53"/>
        <v>0</v>
      </c>
      <c r="FL14" s="1155">
        <f t="shared" si="54"/>
        <v>0</v>
      </c>
      <c r="FM14" s="1155">
        <f t="shared" si="55"/>
        <v>0</v>
      </c>
      <c r="FN14" s="1155">
        <f t="shared" si="56"/>
        <v>0</v>
      </c>
      <c r="FO14" s="1155">
        <f t="shared" si="57"/>
        <v>0</v>
      </c>
      <c r="FP14" s="1155">
        <f t="shared" si="58"/>
        <v>0</v>
      </c>
      <c r="FQ14" s="1155">
        <f t="shared" si="59"/>
        <v>0</v>
      </c>
      <c r="FR14" s="1155">
        <f t="shared" si="60"/>
        <v>0</v>
      </c>
      <c r="FS14" s="1155">
        <f t="shared" si="61"/>
        <v>0</v>
      </c>
      <c r="FT14" s="1155">
        <f t="shared" si="62"/>
        <v>0</v>
      </c>
      <c r="FU14" s="1155">
        <f t="shared" si="63"/>
        <v>0</v>
      </c>
      <c r="FV14" s="1155">
        <f t="shared" si="64"/>
        <v>0</v>
      </c>
      <c r="FW14" s="1155">
        <f t="shared" si="65"/>
        <v>0</v>
      </c>
      <c r="FX14" s="1155">
        <f t="shared" si="66"/>
        <v>10545.78</v>
      </c>
      <c r="FY14" s="1155">
        <f t="shared" si="67"/>
        <v>0</v>
      </c>
      <c r="FZ14" s="1155">
        <f t="shared" si="68"/>
        <v>0</v>
      </c>
      <c r="GA14" s="1155">
        <f t="shared" si="69"/>
        <v>0</v>
      </c>
      <c r="GB14" s="1155">
        <f t="shared" si="70"/>
        <v>0</v>
      </c>
      <c r="GC14" s="1155">
        <f t="shared" si="71"/>
        <v>0</v>
      </c>
      <c r="GD14" s="1155">
        <f t="shared" si="72"/>
        <v>0</v>
      </c>
      <c r="GE14" s="1155">
        <f t="shared" si="73"/>
        <v>0</v>
      </c>
      <c r="GF14" s="1155">
        <f t="shared" si="74"/>
        <v>0</v>
      </c>
      <c r="GG14" s="1155">
        <f t="shared" si="75"/>
        <v>0</v>
      </c>
      <c r="GH14" s="1155">
        <f t="shared" si="76"/>
        <v>0</v>
      </c>
      <c r="GI14" s="1155">
        <f t="shared" si="77"/>
        <v>0</v>
      </c>
      <c r="GJ14" s="1175">
        <f t="shared" si="78"/>
        <v>18325.39</v>
      </c>
    </row>
    <row r="15" spans="1:192">
      <c r="B15" s="1259" t="str">
        <f>IF(Prop2021DUOSTariffs!B15="","",Prop2021DUOSTariffs!B15)</f>
        <v/>
      </c>
      <c r="C15" s="1259" t="str">
        <f>IF(Prop2021DUOSTariffs!C15="","",Prop2021DUOSTariffs!C15)</f>
        <v>East CAC22/11kVBus STOUD</v>
      </c>
      <c r="D15" s="1259" t="str">
        <f>IF(Prop2021DUOSTariffs!D15="","",Prop2021DUOSTariffs!D15)</f>
        <v>East CAC22/11kVBus STOUD</v>
      </c>
      <c r="E15" s="1259" t="str">
        <f>IF(Prop2021DUOSTariffs!E15="","",Prop2021DUOSTariffs!E15)</f>
        <v>CAC</v>
      </c>
      <c r="F15" s="1259" t="str">
        <f>IF(Prop2021DUOSTariffs!F15="","",Prop2021DUOSTariffs!F15)</f>
        <v>CAC</v>
      </c>
      <c r="G15" s="1259" t="str">
        <f>IF(Prop2021DUOSTariffs!G15="","",Prop2021DUOSTariffs!G15)</f>
        <v>East</v>
      </c>
      <c r="H15" s="1259" t="str">
        <f>IF(Prop2021DUOSTariffs!H15="","",Prop2021DUOSTariffs!H15)</f>
        <v>EC22BTOU</v>
      </c>
      <c r="I15" s="1259" t="s">
        <v>935</v>
      </c>
      <c r="J15" s="1256"/>
      <c r="K15" s="1233">
        <v>9.0663855911450444</v>
      </c>
      <c r="L15" s="1135"/>
      <c r="M15" s="1135"/>
      <c r="N15" s="1135"/>
      <c r="O15" s="1135"/>
      <c r="P15" s="1135"/>
      <c r="Q15" s="1135"/>
      <c r="R15" s="1135"/>
      <c r="S15" s="1135"/>
      <c r="T15" s="1135"/>
      <c r="U15" s="1135"/>
      <c r="V15" s="1135"/>
      <c r="W15" s="1135"/>
      <c r="X15" s="1135"/>
      <c r="Y15" s="1135"/>
      <c r="Z15" s="1135"/>
      <c r="AA15" s="1135"/>
      <c r="AB15" s="1135"/>
      <c r="AC15" s="1135"/>
      <c r="AD15" s="1135"/>
      <c r="AE15" s="1135"/>
      <c r="AF15" s="1005"/>
      <c r="AG15" s="1005"/>
      <c r="AH15" s="1224">
        <v>4.7327869570815872E-4</v>
      </c>
      <c r="AI15" s="1241"/>
      <c r="AJ15" s="1241"/>
      <c r="AK15" s="1241"/>
      <c r="AL15" s="1241"/>
      <c r="AM15" s="1241"/>
      <c r="AN15" s="1241"/>
      <c r="AO15" s="1241"/>
      <c r="AP15" s="1241"/>
      <c r="AQ15" s="1241"/>
      <c r="AR15" s="1241"/>
      <c r="AS15" s="1241"/>
      <c r="AT15" s="1256"/>
      <c r="AU15" s="1484">
        <v>10.657</v>
      </c>
      <c r="AV15" s="1241"/>
      <c r="AW15" s="1241"/>
      <c r="AX15" s="1241"/>
      <c r="AY15" s="1241"/>
      <c r="AZ15" s="1241"/>
      <c r="BA15" s="1241"/>
      <c r="BB15" s="1241"/>
      <c r="BC15" s="1241"/>
      <c r="BD15" s="1241"/>
      <c r="BE15" s="1241"/>
      <c r="BF15" s="1241"/>
      <c r="BG15" s="1241"/>
      <c r="BH15" s="1241"/>
      <c r="BI15" s="1241"/>
      <c r="BJ15" s="1241"/>
      <c r="BK15" s="1241"/>
      <c r="BL15" s="1241"/>
      <c r="BM15" s="1241"/>
      <c r="BN15" s="1241"/>
      <c r="BO15" s="1241"/>
      <c r="BP15" s="1241"/>
      <c r="BQ15" s="1241"/>
      <c r="BR15" s="1484">
        <v>5.1000000000000004E-4</v>
      </c>
      <c r="BS15" s="1241"/>
      <c r="BT15" s="1241"/>
      <c r="BU15" s="1241"/>
      <c r="BV15" s="1241"/>
      <c r="BW15" s="1241"/>
      <c r="BX15" s="1241"/>
      <c r="BY15" s="1241"/>
      <c r="BZ15" s="1241"/>
      <c r="CA15" s="1241"/>
      <c r="CB15" s="1241"/>
      <c r="CC15" s="1241"/>
      <c r="CD15" s="1256"/>
      <c r="CE15" s="1256"/>
      <c r="CF15" s="1265">
        <v>0</v>
      </c>
      <c r="CG15" s="1030"/>
      <c r="CH15" s="1030"/>
      <c r="CI15" s="1030"/>
      <c r="CJ15" s="1030"/>
      <c r="CK15" s="1030"/>
      <c r="CL15" s="1135"/>
      <c r="CM15" s="1135"/>
      <c r="CN15" s="1135"/>
      <c r="CO15" s="1135"/>
      <c r="CP15" s="1135"/>
      <c r="CQ15" s="1135"/>
      <c r="CR15" s="1135"/>
      <c r="CS15" s="1135"/>
      <c r="CT15" s="1135"/>
      <c r="CU15" s="1135"/>
      <c r="CV15" s="1135"/>
      <c r="CW15" s="1135"/>
      <c r="CX15" s="1135"/>
      <c r="CY15" s="1135"/>
      <c r="CZ15" s="1135"/>
      <c r="DA15" s="1008"/>
      <c r="DB15" s="1008"/>
      <c r="DC15" s="1265">
        <v>0</v>
      </c>
      <c r="DD15" s="1008"/>
      <c r="DE15" s="1008"/>
      <c r="DF15" s="1008"/>
      <c r="DG15" s="1008"/>
      <c r="DH15" s="1008"/>
      <c r="DI15" s="1008"/>
      <c r="DJ15" s="1008"/>
      <c r="DK15" s="1008"/>
      <c r="DL15" s="1008"/>
      <c r="DM15" s="1008"/>
      <c r="DN15" s="1008"/>
      <c r="DO15" s="1256"/>
      <c r="DP15" s="1155">
        <f t="shared" si="7"/>
        <v>0</v>
      </c>
      <c r="DQ15" s="1155">
        <f t="shared" si="8"/>
        <v>0</v>
      </c>
      <c r="DR15" s="1155">
        <f t="shared" si="9"/>
        <v>0</v>
      </c>
      <c r="DS15" s="1155">
        <f t="shared" si="10"/>
        <v>0</v>
      </c>
      <c r="DT15" s="1155">
        <f t="shared" si="11"/>
        <v>0</v>
      </c>
      <c r="DU15" s="1155">
        <f t="shared" si="12"/>
        <v>0</v>
      </c>
      <c r="DV15" s="1155">
        <f t="shared" si="13"/>
        <v>0</v>
      </c>
      <c r="DW15" s="1155">
        <f t="shared" si="14"/>
        <v>0</v>
      </c>
      <c r="DX15" s="1155">
        <f t="shared" si="15"/>
        <v>0</v>
      </c>
      <c r="DY15" s="1155">
        <f t="shared" si="16"/>
        <v>0</v>
      </c>
      <c r="DZ15" s="1155">
        <f t="shared" si="17"/>
        <v>0</v>
      </c>
      <c r="EA15" s="1155">
        <f t="shared" si="18"/>
        <v>0</v>
      </c>
      <c r="EB15" s="1155">
        <f t="shared" si="19"/>
        <v>0</v>
      </c>
      <c r="EC15" s="1155">
        <f t="shared" si="20"/>
        <v>0</v>
      </c>
      <c r="ED15" s="1155">
        <f t="shared" si="21"/>
        <v>0</v>
      </c>
      <c r="EE15" s="1155">
        <f t="shared" si="22"/>
        <v>0</v>
      </c>
      <c r="EF15" s="1155">
        <f t="shared" si="23"/>
        <v>0</v>
      </c>
      <c r="EG15" s="1155">
        <f t="shared" si="24"/>
        <v>0</v>
      </c>
      <c r="EH15" s="1155">
        <f t="shared" si="25"/>
        <v>0</v>
      </c>
      <c r="EI15" s="1155">
        <f t="shared" si="26"/>
        <v>0</v>
      </c>
      <c r="EJ15" s="1155">
        <f t="shared" si="27"/>
        <v>0</v>
      </c>
      <c r="EK15" s="1155">
        <f t="shared" si="28"/>
        <v>0</v>
      </c>
      <c r="EL15" s="1155">
        <f t="shared" si="29"/>
        <v>0</v>
      </c>
      <c r="EM15" s="1155">
        <f t="shared" si="30"/>
        <v>0</v>
      </c>
      <c r="EN15" s="1155">
        <f t="shared" si="31"/>
        <v>0</v>
      </c>
      <c r="EO15" s="1155">
        <f t="shared" si="32"/>
        <v>0</v>
      </c>
      <c r="EP15" s="1155">
        <f t="shared" si="33"/>
        <v>0</v>
      </c>
      <c r="EQ15" s="1155">
        <f t="shared" si="34"/>
        <v>0</v>
      </c>
      <c r="ER15" s="1155">
        <f t="shared" si="35"/>
        <v>0</v>
      </c>
      <c r="ES15" s="1155">
        <f t="shared" si="36"/>
        <v>0</v>
      </c>
      <c r="ET15" s="1155">
        <f t="shared" si="37"/>
        <v>0</v>
      </c>
      <c r="EU15" s="1155">
        <f t="shared" si="38"/>
        <v>0</v>
      </c>
      <c r="EV15" s="1155">
        <f t="shared" si="39"/>
        <v>0</v>
      </c>
      <c r="EW15" s="1155">
        <f t="shared" si="40"/>
        <v>0</v>
      </c>
      <c r="EX15" s="1155">
        <f t="shared" si="41"/>
        <v>0</v>
      </c>
      <c r="EY15" s="1175">
        <f t="shared" si="42"/>
        <v>0</v>
      </c>
      <c r="EZ15" s="1256"/>
      <c r="FA15" s="1155">
        <f t="shared" si="43"/>
        <v>0</v>
      </c>
      <c r="FB15" s="1155">
        <f t="shared" si="44"/>
        <v>0</v>
      </c>
      <c r="FC15" s="1155">
        <f t="shared" si="45"/>
        <v>0</v>
      </c>
      <c r="FD15" s="1155">
        <f t="shared" si="46"/>
        <v>0</v>
      </c>
      <c r="FE15" s="1155">
        <f t="shared" si="47"/>
        <v>0</v>
      </c>
      <c r="FF15" s="1155">
        <f t="shared" si="48"/>
        <v>0</v>
      </c>
      <c r="FG15" s="1155">
        <f t="shared" si="49"/>
        <v>0</v>
      </c>
      <c r="FH15" s="1155">
        <f t="shared" si="50"/>
        <v>0</v>
      </c>
      <c r="FI15" s="1155">
        <f t="shared" si="51"/>
        <v>0</v>
      </c>
      <c r="FJ15" s="1155">
        <f t="shared" si="52"/>
        <v>0</v>
      </c>
      <c r="FK15" s="1155">
        <f t="shared" si="53"/>
        <v>0</v>
      </c>
      <c r="FL15" s="1155">
        <f t="shared" si="54"/>
        <v>0</v>
      </c>
      <c r="FM15" s="1155">
        <f t="shared" si="55"/>
        <v>0</v>
      </c>
      <c r="FN15" s="1155">
        <f t="shared" si="56"/>
        <v>0</v>
      </c>
      <c r="FO15" s="1155">
        <f t="shared" si="57"/>
        <v>0</v>
      </c>
      <c r="FP15" s="1155">
        <f t="shared" si="58"/>
        <v>0</v>
      </c>
      <c r="FQ15" s="1155">
        <f t="shared" si="59"/>
        <v>0</v>
      </c>
      <c r="FR15" s="1155">
        <f t="shared" si="60"/>
        <v>0</v>
      </c>
      <c r="FS15" s="1155">
        <f t="shared" si="61"/>
        <v>0</v>
      </c>
      <c r="FT15" s="1155">
        <f t="shared" si="62"/>
        <v>0</v>
      </c>
      <c r="FU15" s="1155">
        <f t="shared" si="63"/>
        <v>0</v>
      </c>
      <c r="FV15" s="1155">
        <f t="shared" si="64"/>
        <v>0</v>
      </c>
      <c r="FW15" s="1155">
        <f t="shared" si="65"/>
        <v>0</v>
      </c>
      <c r="FX15" s="1155">
        <f t="shared" si="66"/>
        <v>0</v>
      </c>
      <c r="FY15" s="1155">
        <f t="shared" si="67"/>
        <v>0</v>
      </c>
      <c r="FZ15" s="1155">
        <f t="shared" si="68"/>
        <v>0</v>
      </c>
      <c r="GA15" s="1155">
        <f t="shared" si="69"/>
        <v>0</v>
      </c>
      <c r="GB15" s="1155">
        <f t="shared" si="70"/>
        <v>0</v>
      </c>
      <c r="GC15" s="1155">
        <f t="shared" si="71"/>
        <v>0</v>
      </c>
      <c r="GD15" s="1155">
        <f t="shared" si="72"/>
        <v>0</v>
      </c>
      <c r="GE15" s="1155">
        <f t="shared" si="73"/>
        <v>0</v>
      </c>
      <c r="GF15" s="1155">
        <f t="shared" si="74"/>
        <v>0</v>
      </c>
      <c r="GG15" s="1155">
        <f t="shared" si="75"/>
        <v>0</v>
      </c>
      <c r="GH15" s="1155">
        <f t="shared" si="76"/>
        <v>0</v>
      </c>
      <c r="GI15" s="1155">
        <f t="shared" si="77"/>
        <v>0</v>
      </c>
      <c r="GJ15" s="1175">
        <f t="shared" si="78"/>
        <v>0</v>
      </c>
    </row>
    <row r="16" spans="1:192">
      <c r="B16" s="1259" t="str">
        <f>IF(Prop2021DUOSTariffs!B16="","",Prop2021DUOSTariffs!B16)</f>
        <v/>
      </c>
      <c r="C16" s="1259" t="str">
        <f>IF(Prop2021DUOSTariffs!C16="","",Prop2021DUOSTariffs!C16)</f>
        <v>East CAC22/11kVLine STOUD</v>
      </c>
      <c r="D16" s="1259" t="str">
        <f>IF(Prop2021DUOSTariffs!D16="","",Prop2021DUOSTariffs!D16)</f>
        <v>East CAC22/11kVLine STOUD</v>
      </c>
      <c r="E16" s="1259" t="str">
        <f>IF(Prop2021DUOSTariffs!E16="","",Prop2021DUOSTariffs!E16)</f>
        <v>CAC</v>
      </c>
      <c r="F16" s="1259" t="str">
        <f>IF(Prop2021DUOSTariffs!F16="","",Prop2021DUOSTariffs!F16)</f>
        <v>CAC</v>
      </c>
      <c r="G16" s="1259" t="str">
        <f>IF(Prop2021DUOSTariffs!G16="","",Prop2021DUOSTariffs!G16)</f>
        <v>East</v>
      </c>
      <c r="H16" s="1259" t="str">
        <f>IF(Prop2021DUOSTariffs!H16="","",Prop2021DUOSTariffs!H16)</f>
        <v>EC22LTOU</v>
      </c>
      <c r="I16" s="1259" t="s">
        <v>935</v>
      </c>
      <c r="J16" s="1256"/>
      <c r="K16" s="1233">
        <v>9.0663855911450444</v>
      </c>
      <c r="L16" s="1135"/>
      <c r="M16" s="1135"/>
      <c r="N16" s="1135"/>
      <c r="O16" s="1135"/>
      <c r="P16" s="1135"/>
      <c r="Q16" s="1135"/>
      <c r="R16" s="1135"/>
      <c r="S16" s="1135"/>
      <c r="T16" s="1135"/>
      <c r="U16" s="1135"/>
      <c r="V16" s="1135"/>
      <c r="W16" s="1135"/>
      <c r="X16" s="1135"/>
      <c r="Y16" s="1135"/>
      <c r="Z16" s="1135"/>
      <c r="AA16" s="1135"/>
      <c r="AB16" s="1135"/>
      <c r="AC16" s="1135"/>
      <c r="AD16" s="1135"/>
      <c r="AE16" s="1135"/>
      <c r="AF16" s="1005"/>
      <c r="AG16" s="1005"/>
      <c r="AH16" s="1224">
        <v>4.7327869570815872E-4</v>
      </c>
      <c r="AI16" s="1241"/>
      <c r="AJ16" s="1241"/>
      <c r="AK16" s="1241"/>
      <c r="AL16" s="1241"/>
      <c r="AM16" s="1241"/>
      <c r="AN16" s="1241"/>
      <c r="AO16" s="1241"/>
      <c r="AP16" s="1241"/>
      <c r="AQ16" s="1241"/>
      <c r="AR16" s="1241"/>
      <c r="AS16" s="1241"/>
      <c r="AT16" s="1256"/>
      <c r="AU16" s="1484">
        <v>10.657</v>
      </c>
      <c r="AV16" s="1241"/>
      <c r="AW16" s="1241"/>
      <c r="AX16" s="1241"/>
      <c r="AY16" s="1241"/>
      <c r="AZ16" s="1241"/>
      <c r="BA16" s="1241"/>
      <c r="BB16" s="1241"/>
      <c r="BC16" s="1241"/>
      <c r="BD16" s="1241"/>
      <c r="BE16" s="1241"/>
      <c r="BF16" s="1241"/>
      <c r="BG16" s="1241"/>
      <c r="BH16" s="1241"/>
      <c r="BI16" s="1241"/>
      <c r="BJ16" s="1241"/>
      <c r="BK16" s="1241"/>
      <c r="BL16" s="1241"/>
      <c r="BM16" s="1241"/>
      <c r="BN16" s="1241"/>
      <c r="BO16" s="1241"/>
      <c r="BP16" s="1241"/>
      <c r="BQ16" s="1241"/>
      <c r="BR16" s="1484">
        <v>5.1000000000000004E-4</v>
      </c>
      <c r="BS16" s="1241"/>
      <c r="BT16" s="1241"/>
      <c r="BU16" s="1241"/>
      <c r="BV16" s="1241"/>
      <c r="BW16" s="1241"/>
      <c r="BX16" s="1241"/>
      <c r="BY16" s="1241"/>
      <c r="BZ16" s="1241"/>
      <c r="CA16" s="1241"/>
      <c r="CB16" s="1241"/>
      <c r="CC16" s="1241"/>
      <c r="CD16" s="1256"/>
      <c r="CE16" s="1256"/>
      <c r="CF16" s="1265">
        <v>1</v>
      </c>
      <c r="CG16" s="1030"/>
      <c r="CH16" s="1030"/>
      <c r="CI16" s="1030"/>
      <c r="CJ16" s="1030"/>
      <c r="CK16" s="1030"/>
      <c r="CL16" s="1135"/>
      <c r="CM16" s="1135"/>
      <c r="CN16" s="1135"/>
      <c r="CO16" s="1135"/>
      <c r="CP16" s="1135"/>
      <c r="CQ16" s="1135"/>
      <c r="CR16" s="1135"/>
      <c r="CS16" s="1135"/>
      <c r="CT16" s="1135"/>
      <c r="CU16" s="1135"/>
      <c r="CV16" s="1135"/>
      <c r="CW16" s="1135"/>
      <c r="CX16" s="1135"/>
      <c r="CY16" s="1135"/>
      <c r="CZ16" s="1135"/>
      <c r="DA16" s="1008"/>
      <c r="DB16" s="1008"/>
      <c r="DC16" s="1265">
        <v>1385000</v>
      </c>
      <c r="DD16" s="1008"/>
      <c r="DE16" s="1008"/>
      <c r="DF16" s="1008"/>
      <c r="DG16" s="1008"/>
      <c r="DH16" s="1008"/>
      <c r="DI16" s="1008"/>
      <c r="DJ16" s="1008"/>
      <c r="DK16" s="1008"/>
      <c r="DL16" s="1008"/>
      <c r="DM16" s="1008"/>
      <c r="DN16" s="1008"/>
      <c r="DO16" s="1256"/>
      <c r="DP16" s="1155">
        <f t="shared" si="7"/>
        <v>3309.2307407679414</v>
      </c>
      <c r="DQ16" s="1155">
        <f t="shared" si="8"/>
        <v>0</v>
      </c>
      <c r="DR16" s="1155">
        <f t="shared" si="9"/>
        <v>0</v>
      </c>
      <c r="DS16" s="1155">
        <f t="shared" si="10"/>
        <v>0</v>
      </c>
      <c r="DT16" s="1155">
        <f t="shared" si="11"/>
        <v>0</v>
      </c>
      <c r="DU16" s="1155">
        <f t="shared" si="12"/>
        <v>0</v>
      </c>
      <c r="DV16" s="1155">
        <f t="shared" si="13"/>
        <v>0</v>
      </c>
      <c r="DW16" s="1155">
        <f t="shared" si="14"/>
        <v>0</v>
      </c>
      <c r="DX16" s="1155">
        <f t="shared" si="15"/>
        <v>0</v>
      </c>
      <c r="DY16" s="1155">
        <f t="shared" si="16"/>
        <v>0</v>
      </c>
      <c r="DZ16" s="1155">
        <f t="shared" si="17"/>
        <v>0</v>
      </c>
      <c r="EA16" s="1155">
        <f t="shared" si="18"/>
        <v>0</v>
      </c>
      <c r="EB16" s="1155">
        <f t="shared" si="19"/>
        <v>0</v>
      </c>
      <c r="EC16" s="1155">
        <f t="shared" si="20"/>
        <v>0</v>
      </c>
      <c r="ED16" s="1155">
        <f t="shared" si="21"/>
        <v>0</v>
      </c>
      <c r="EE16" s="1155">
        <f t="shared" si="22"/>
        <v>0</v>
      </c>
      <c r="EF16" s="1155">
        <f t="shared" si="23"/>
        <v>0</v>
      </c>
      <c r="EG16" s="1155">
        <f t="shared" si="24"/>
        <v>0</v>
      </c>
      <c r="EH16" s="1155">
        <f t="shared" si="25"/>
        <v>0</v>
      </c>
      <c r="EI16" s="1155">
        <f t="shared" si="26"/>
        <v>0</v>
      </c>
      <c r="EJ16" s="1155">
        <f t="shared" si="27"/>
        <v>0</v>
      </c>
      <c r="EK16" s="1155">
        <f t="shared" si="28"/>
        <v>0</v>
      </c>
      <c r="EL16" s="1155">
        <f t="shared" si="29"/>
        <v>0</v>
      </c>
      <c r="EM16" s="1155">
        <f t="shared" si="30"/>
        <v>655.49099355579983</v>
      </c>
      <c r="EN16" s="1155">
        <f t="shared" si="31"/>
        <v>0</v>
      </c>
      <c r="EO16" s="1155">
        <f t="shared" si="32"/>
        <v>0</v>
      </c>
      <c r="EP16" s="1155">
        <f t="shared" si="33"/>
        <v>0</v>
      </c>
      <c r="EQ16" s="1155">
        <f t="shared" si="34"/>
        <v>0</v>
      </c>
      <c r="ER16" s="1155">
        <f t="shared" si="35"/>
        <v>0</v>
      </c>
      <c r="ES16" s="1155">
        <f t="shared" si="36"/>
        <v>0</v>
      </c>
      <c r="ET16" s="1155">
        <f t="shared" si="37"/>
        <v>0</v>
      </c>
      <c r="EU16" s="1155">
        <f t="shared" si="38"/>
        <v>0</v>
      </c>
      <c r="EV16" s="1155">
        <f t="shared" si="39"/>
        <v>0</v>
      </c>
      <c r="EW16" s="1155">
        <f t="shared" si="40"/>
        <v>0</v>
      </c>
      <c r="EX16" s="1155">
        <f t="shared" si="41"/>
        <v>0</v>
      </c>
      <c r="EY16" s="1175">
        <f t="shared" si="42"/>
        <v>3964.7217343237412</v>
      </c>
      <c r="EZ16" s="1256"/>
      <c r="FA16" s="1155">
        <f t="shared" si="43"/>
        <v>3889.8049999999998</v>
      </c>
      <c r="FB16" s="1155">
        <f t="shared" si="44"/>
        <v>0</v>
      </c>
      <c r="FC16" s="1155">
        <f t="shared" si="45"/>
        <v>0</v>
      </c>
      <c r="FD16" s="1155">
        <f t="shared" si="46"/>
        <v>0</v>
      </c>
      <c r="FE16" s="1155">
        <f t="shared" si="47"/>
        <v>0</v>
      </c>
      <c r="FF16" s="1155">
        <f t="shared" si="48"/>
        <v>0</v>
      </c>
      <c r="FG16" s="1155">
        <f t="shared" si="49"/>
        <v>0</v>
      </c>
      <c r="FH16" s="1155">
        <f t="shared" si="50"/>
        <v>0</v>
      </c>
      <c r="FI16" s="1155">
        <f t="shared" si="51"/>
        <v>0</v>
      </c>
      <c r="FJ16" s="1155">
        <f t="shared" si="52"/>
        <v>0</v>
      </c>
      <c r="FK16" s="1155">
        <f t="shared" si="53"/>
        <v>0</v>
      </c>
      <c r="FL16" s="1155">
        <f t="shared" si="54"/>
        <v>0</v>
      </c>
      <c r="FM16" s="1155">
        <f t="shared" si="55"/>
        <v>0</v>
      </c>
      <c r="FN16" s="1155">
        <f t="shared" si="56"/>
        <v>0</v>
      </c>
      <c r="FO16" s="1155">
        <f t="shared" si="57"/>
        <v>0</v>
      </c>
      <c r="FP16" s="1155">
        <f t="shared" si="58"/>
        <v>0</v>
      </c>
      <c r="FQ16" s="1155">
        <f t="shared" si="59"/>
        <v>0</v>
      </c>
      <c r="FR16" s="1155">
        <f t="shared" si="60"/>
        <v>0</v>
      </c>
      <c r="FS16" s="1155">
        <f t="shared" si="61"/>
        <v>0</v>
      </c>
      <c r="FT16" s="1155">
        <f t="shared" si="62"/>
        <v>0</v>
      </c>
      <c r="FU16" s="1155">
        <f t="shared" si="63"/>
        <v>0</v>
      </c>
      <c r="FV16" s="1155">
        <f t="shared" si="64"/>
        <v>0</v>
      </c>
      <c r="FW16" s="1155">
        <f t="shared" si="65"/>
        <v>0</v>
      </c>
      <c r="FX16" s="1155">
        <f t="shared" si="66"/>
        <v>706.35</v>
      </c>
      <c r="FY16" s="1155">
        <f t="shared" si="67"/>
        <v>0</v>
      </c>
      <c r="FZ16" s="1155">
        <f t="shared" si="68"/>
        <v>0</v>
      </c>
      <c r="GA16" s="1155">
        <f t="shared" si="69"/>
        <v>0</v>
      </c>
      <c r="GB16" s="1155">
        <f t="shared" si="70"/>
        <v>0</v>
      </c>
      <c r="GC16" s="1155">
        <f t="shared" si="71"/>
        <v>0</v>
      </c>
      <c r="GD16" s="1155">
        <f t="shared" si="72"/>
        <v>0</v>
      </c>
      <c r="GE16" s="1155">
        <f t="shared" si="73"/>
        <v>0</v>
      </c>
      <c r="GF16" s="1155">
        <f t="shared" si="74"/>
        <v>0</v>
      </c>
      <c r="GG16" s="1155">
        <f t="shared" si="75"/>
        <v>0</v>
      </c>
      <c r="GH16" s="1155">
        <f t="shared" si="76"/>
        <v>0</v>
      </c>
      <c r="GI16" s="1155">
        <f t="shared" si="77"/>
        <v>0</v>
      </c>
      <c r="GJ16" s="1175">
        <f t="shared" si="78"/>
        <v>4596.1549999999997</v>
      </c>
    </row>
    <row r="17" spans="1:192">
      <c r="B17" s="1259" t="str">
        <f>IF(Prop2021DUOSTariffs!B17="","",Prop2021DUOSTariffs!B17)</f>
        <v/>
      </c>
      <c r="C17" s="1259" t="str">
        <f>IF(Prop2021DUOSTariffs!C17="","",Prop2021DUOSTariffs!C17)</f>
        <v>West CAC66kV Anytime</v>
      </c>
      <c r="D17" s="1259" t="str">
        <f>IF(Prop2021DUOSTariffs!D17="","",Prop2021DUOSTariffs!D17)</f>
        <v>West CAC66kV Anytime</v>
      </c>
      <c r="E17" s="1259" t="str">
        <f>IF(Prop2021DUOSTariffs!E17="","",Prop2021DUOSTariffs!E17)</f>
        <v>CAC</v>
      </c>
      <c r="F17" s="1259" t="str">
        <f>IF(Prop2021DUOSTariffs!F17="","",Prop2021DUOSTariffs!F17)</f>
        <v>CAC</v>
      </c>
      <c r="G17" s="1259" t="str">
        <f>IF(Prop2021DUOSTariffs!G17="","",Prop2021DUOSTariffs!G17)</f>
        <v>West</v>
      </c>
      <c r="H17" s="1259" t="str">
        <f>IF(Prop2021DUOSTariffs!H17="","",Prop2021DUOSTariffs!H17)</f>
        <v>WC66</v>
      </c>
      <c r="I17" s="1259" t="s">
        <v>935</v>
      </c>
      <c r="J17" s="1256"/>
      <c r="K17" s="1233">
        <v>9.0663855911450444</v>
      </c>
      <c r="L17" s="1135"/>
      <c r="M17" s="1135"/>
      <c r="N17" s="1135"/>
      <c r="O17" s="1135"/>
      <c r="P17" s="1135"/>
      <c r="Q17" s="1135"/>
      <c r="R17" s="1135"/>
      <c r="S17" s="1135"/>
      <c r="T17" s="1135"/>
      <c r="U17" s="1135"/>
      <c r="V17" s="1135"/>
      <c r="W17" s="1135"/>
      <c r="X17" s="1135"/>
      <c r="Y17" s="1135"/>
      <c r="Z17" s="1135"/>
      <c r="AA17" s="1135"/>
      <c r="AB17" s="1135"/>
      <c r="AC17" s="1135"/>
      <c r="AD17" s="1135"/>
      <c r="AE17" s="1135"/>
      <c r="AF17" s="1005"/>
      <c r="AG17" s="1005"/>
      <c r="AH17" s="1224">
        <v>4.7327869570815872E-4</v>
      </c>
      <c r="AI17" s="1241"/>
      <c r="AJ17" s="1241"/>
      <c r="AK17" s="1241"/>
      <c r="AL17" s="1241"/>
      <c r="AM17" s="1241"/>
      <c r="AN17" s="1241"/>
      <c r="AO17" s="1241"/>
      <c r="AP17" s="1241"/>
      <c r="AQ17" s="1241"/>
      <c r="AR17" s="1241"/>
      <c r="AS17" s="1241"/>
      <c r="AT17" s="1256"/>
      <c r="AU17" s="1484">
        <v>10.656795166556392</v>
      </c>
      <c r="AV17" s="1241"/>
      <c r="AW17" s="1241"/>
      <c r="AX17" s="1241"/>
      <c r="AY17" s="1241"/>
      <c r="AZ17" s="1241"/>
      <c r="BA17" s="1241"/>
      <c r="BB17" s="1241"/>
      <c r="BC17" s="1241"/>
      <c r="BD17" s="1241"/>
      <c r="BE17" s="1241"/>
      <c r="BF17" s="1241"/>
      <c r="BG17" s="1241"/>
      <c r="BH17" s="1241"/>
      <c r="BI17" s="1241"/>
      <c r="BJ17" s="1241"/>
      <c r="BK17" s="1241"/>
      <c r="BL17" s="1241"/>
      <c r="BM17" s="1241"/>
      <c r="BN17" s="1241"/>
      <c r="BO17" s="1241"/>
      <c r="BP17" s="1241"/>
      <c r="BQ17" s="1241"/>
      <c r="BR17" s="1484">
        <v>5.1276006492287655E-4</v>
      </c>
      <c r="BS17" s="1241"/>
      <c r="BT17" s="1241"/>
      <c r="BU17" s="1241"/>
      <c r="BV17" s="1241"/>
      <c r="BW17" s="1241"/>
      <c r="BX17" s="1241"/>
      <c r="BY17" s="1241"/>
      <c r="BZ17" s="1241"/>
      <c r="CA17" s="1241"/>
      <c r="CB17" s="1241"/>
      <c r="CC17" s="1241"/>
      <c r="CD17" s="1256"/>
      <c r="CE17" s="1256"/>
      <c r="CF17" s="1265">
        <v>2</v>
      </c>
      <c r="CG17" s="1030"/>
      <c r="CH17" s="1030"/>
      <c r="CI17" s="1030"/>
      <c r="CJ17" s="1030"/>
      <c r="CK17" s="1030"/>
      <c r="CL17" s="1135"/>
      <c r="CM17" s="1135"/>
      <c r="CN17" s="1135"/>
      <c r="CO17" s="1135"/>
      <c r="CP17" s="1135"/>
      <c r="CQ17" s="1135"/>
      <c r="CR17" s="1135"/>
      <c r="CS17" s="1135"/>
      <c r="CT17" s="1135"/>
      <c r="CU17" s="1135"/>
      <c r="CV17" s="1135"/>
      <c r="CW17" s="1135"/>
      <c r="CX17" s="1135"/>
      <c r="CY17" s="1135"/>
      <c r="CZ17" s="1135"/>
      <c r="DA17" s="1008"/>
      <c r="DB17" s="1008"/>
      <c r="DC17" s="1265">
        <v>7463000</v>
      </c>
      <c r="DD17" s="1008"/>
      <c r="DE17" s="1008"/>
      <c r="DF17" s="1008"/>
      <c r="DG17" s="1008"/>
      <c r="DH17" s="1008"/>
      <c r="DI17" s="1008"/>
      <c r="DJ17" s="1008"/>
      <c r="DK17" s="1008"/>
      <c r="DL17" s="1008"/>
      <c r="DM17" s="1008"/>
      <c r="DN17" s="1008"/>
      <c r="DO17" s="1256"/>
      <c r="DP17" s="1155">
        <f t="shared" si="7"/>
        <v>6618.4614815358827</v>
      </c>
      <c r="DQ17" s="1155">
        <f t="shared" si="8"/>
        <v>0</v>
      </c>
      <c r="DR17" s="1155">
        <f t="shared" si="9"/>
        <v>0</v>
      </c>
      <c r="DS17" s="1155">
        <f t="shared" si="10"/>
        <v>0</v>
      </c>
      <c r="DT17" s="1155">
        <f t="shared" si="11"/>
        <v>0</v>
      </c>
      <c r="DU17" s="1155">
        <f t="shared" si="12"/>
        <v>0</v>
      </c>
      <c r="DV17" s="1155">
        <f t="shared" si="13"/>
        <v>0</v>
      </c>
      <c r="DW17" s="1155">
        <f t="shared" si="14"/>
        <v>0</v>
      </c>
      <c r="DX17" s="1155">
        <f t="shared" si="15"/>
        <v>0</v>
      </c>
      <c r="DY17" s="1155">
        <f t="shared" si="16"/>
        <v>0</v>
      </c>
      <c r="DZ17" s="1155">
        <f t="shared" si="17"/>
        <v>0</v>
      </c>
      <c r="EA17" s="1155">
        <f t="shared" si="18"/>
        <v>0</v>
      </c>
      <c r="EB17" s="1155">
        <f t="shared" si="19"/>
        <v>0</v>
      </c>
      <c r="EC17" s="1155">
        <f t="shared" si="20"/>
        <v>0</v>
      </c>
      <c r="ED17" s="1155">
        <f t="shared" si="21"/>
        <v>0</v>
      </c>
      <c r="EE17" s="1155">
        <f t="shared" si="22"/>
        <v>0</v>
      </c>
      <c r="EF17" s="1155">
        <f t="shared" si="23"/>
        <v>0</v>
      </c>
      <c r="EG17" s="1155">
        <f t="shared" si="24"/>
        <v>0</v>
      </c>
      <c r="EH17" s="1155">
        <f t="shared" si="25"/>
        <v>0</v>
      </c>
      <c r="EI17" s="1155">
        <f t="shared" si="26"/>
        <v>0</v>
      </c>
      <c r="EJ17" s="1155">
        <f t="shared" si="27"/>
        <v>0</v>
      </c>
      <c r="EK17" s="1155">
        <f t="shared" si="28"/>
        <v>0</v>
      </c>
      <c r="EL17" s="1155">
        <f t="shared" si="29"/>
        <v>0</v>
      </c>
      <c r="EM17" s="1155">
        <f t="shared" si="30"/>
        <v>3532.0789060699885</v>
      </c>
      <c r="EN17" s="1155">
        <f t="shared" si="31"/>
        <v>0</v>
      </c>
      <c r="EO17" s="1155">
        <f t="shared" si="32"/>
        <v>0</v>
      </c>
      <c r="EP17" s="1155">
        <f t="shared" si="33"/>
        <v>0</v>
      </c>
      <c r="EQ17" s="1155">
        <f t="shared" si="34"/>
        <v>0</v>
      </c>
      <c r="ER17" s="1155">
        <f t="shared" si="35"/>
        <v>0</v>
      </c>
      <c r="ES17" s="1155">
        <f t="shared" si="36"/>
        <v>0</v>
      </c>
      <c r="ET17" s="1155">
        <f t="shared" si="37"/>
        <v>0</v>
      </c>
      <c r="EU17" s="1155">
        <f t="shared" si="38"/>
        <v>0</v>
      </c>
      <c r="EV17" s="1155">
        <f t="shared" si="39"/>
        <v>0</v>
      </c>
      <c r="EW17" s="1155">
        <f t="shared" si="40"/>
        <v>0</v>
      </c>
      <c r="EX17" s="1155">
        <f t="shared" si="41"/>
        <v>0</v>
      </c>
      <c r="EY17" s="1175">
        <f t="shared" si="42"/>
        <v>10150.540387605872</v>
      </c>
      <c r="EZ17" s="1256"/>
      <c r="FA17" s="1155">
        <f t="shared" si="43"/>
        <v>7779.4604715861669</v>
      </c>
      <c r="FB17" s="1155">
        <f t="shared" si="44"/>
        <v>0</v>
      </c>
      <c r="FC17" s="1155">
        <f t="shared" si="45"/>
        <v>0</v>
      </c>
      <c r="FD17" s="1155">
        <f t="shared" si="46"/>
        <v>0</v>
      </c>
      <c r="FE17" s="1155">
        <f t="shared" si="47"/>
        <v>0</v>
      </c>
      <c r="FF17" s="1155">
        <f t="shared" si="48"/>
        <v>0</v>
      </c>
      <c r="FG17" s="1155">
        <f t="shared" si="49"/>
        <v>0</v>
      </c>
      <c r="FH17" s="1155">
        <f t="shared" si="50"/>
        <v>0</v>
      </c>
      <c r="FI17" s="1155">
        <f t="shared" si="51"/>
        <v>0</v>
      </c>
      <c r="FJ17" s="1155">
        <f t="shared" si="52"/>
        <v>0</v>
      </c>
      <c r="FK17" s="1155">
        <f t="shared" si="53"/>
        <v>0</v>
      </c>
      <c r="FL17" s="1155">
        <f t="shared" si="54"/>
        <v>0</v>
      </c>
      <c r="FM17" s="1155">
        <f t="shared" si="55"/>
        <v>0</v>
      </c>
      <c r="FN17" s="1155">
        <f t="shared" si="56"/>
        <v>0</v>
      </c>
      <c r="FO17" s="1155">
        <f t="shared" si="57"/>
        <v>0</v>
      </c>
      <c r="FP17" s="1155">
        <f t="shared" si="58"/>
        <v>0</v>
      </c>
      <c r="FQ17" s="1155">
        <f t="shared" si="59"/>
        <v>0</v>
      </c>
      <c r="FR17" s="1155">
        <f t="shared" si="60"/>
        <v>0</v>
      </c>
      <c r="FS17" s="1155">
        <f t="shared" si="61"/>
        <v>0</v>
      </c>
      <c r="FT17" s="1155">
        <f t="shared" si="62"/>
        <v>0</v>
      </c>
      <c r="FU17" s="1155">
        <f t="shared" si="63"/>
        <v>0</v>
      </c>
      <c r="FV17" s="1155">
        <f t="shared" si="64"/>
        <v>0</v>
      </c>
      <c r="FW17" s="1155">
        <f t="shared" si="65"/>
        <v>0</v>
      </c>
      <c r="FX17" s="1155">
        <f t="shared" si="66"/>
        <v>3826.7283645194279</v>
      </c>
      <c r="FY17" s="1155">
        <f t="shared" si="67"/>
        <v>0</v>
      </c>
      <c r="FZ17" s="1155">
        <f t="shared" si="68"/>
        <v>0</v>
      </c>
      <c r="GA17" s="1155">
        <f t="shared" si="69"/>
        <v>0</v>
      </c>
      <c r="GB17" s="1155">
        <f t="shared" si="70"/>
        <v>0</v>
      </c>
      <c r="GC17" s="1155">
        <f t="shared" si="71"/>
        <v>0</v>
      </c>
      <c r="GD17" s="1155">
        <f t="shared" si="72"/>
        <v>0</v>
      </c>
      <c r="GE17" s="1155">
        <f t="shared" si="73"/>
        <v>0</v>
      </c>
      <c r="GF17" s="1155">
        <f t="shared" si="74"/>
        <v>0</v>
      </c>
      <c r="GG17" s="1155">
        <f t="shared" si="75"/>
        <v>0</v>
      </c>
      <c r="GH17" s="1155">
        <f t="shared" si="76"/>
        <v>0</v>
      </c>
      <c r="GI17" s="1155">
        <f t="shared" si="77"/>
        <v>0</v>
      </c>
      <c r="GJ17" s="1175">
        <f t="shared" si="78"/>
        <v>11606.188836105595</v>
      </c>
    </row>
    <row r="18" spans="1:192">
      <c r="B18" s="1259" t="str">
        <f>IF(Prop2021DUOSTariffs!B18="","",Prop2021DUOSTariffs!B18)</f>
        <v/>
      </c>
      <c r="C18" s="1259" t="str">
        <f>IF(Prop2021DUOSTariffs!C18="","",Prop2021DUOSTariffs!C18)</f>
        <v>West CAC33kV Anytime</v>
      </c>
      <c r="D18" s="1259" t="str">
        <f>IF(Prop2021DUOSTariffs!D18="","",Prop2021DUOSTariffs!D18)</f>
        <v>West CAC33kV Anytime</v>
      </c>
      <c r="E18" s="1259" t="str">
        <f>IF(Prop2021DUOSTariffs!E18="","",Prop2021DUOSTariffs!E18)</f>
        <v>CAC</v>
      </c>
      <c r="F18" s="1259" t="str">
        <f>IF(Prop2021DUOSTariffs!F18="","",Prop2021DUOSTariffs!F18)</f>
        <v>CAC</v>
      </c>
      <c r="G18" s="1259" t="str">
        <f>IF(Prop2021DUOSTariffs!G18="","",Prop2021DUOSTariffs!G18)</f>
        <v>West</v>
      </c>
      <c r="H18" s="1259" t="str">
        <f>IF(Prop2021DUOSTariffs!H18="","",Prop2021DUOSTariffs!H18)</f>
        <v>WC33</v>
      </c>
      <c r="I18" s="1259" t="s">
        <v>935</v>
      </c>
      <c r="J18" s="1256"/>
      <c r="K18" s="1233">
        <v>9.0663855911450444</v>
      </c>
      <c r="L18" s="1135"/>
      <c r="M18" s="1135"/>
      <c r="N18" s="1135"/>
      <c r="O18" s="1135"/>
      <c r="P18" s="1135"/>
      <c r="Q18" s="1135"/>
      <c r="R18" s="1135"/>
      <c r="S18" s="1135"/>
      <c r="T18" s="1135"/>
      <c r="U18" s="1135"/>
      <c r="V18" s="1135"/>
      <c r="W18" s="1135"/>
      <c r="X18" s="1135"/>
      <c r="Y18" s="1135"/>
      <c r="Z18" s="1135"/>
      <c r="AA18" s="1135"/>
      <c r="AB18" s="1135"/>
      <c r="AC18" s="1135"/>
      <c r="AD18" s="1135"/>
      <c r="AE18" s="1135"/>
      <c r="AF18" s="1005"/>
      <c r="AG18" s="1005"/>
      <c r="AH18" s="1224">
        <v>4.7327869570815872E-4</v>
      </c>
      <c r="AI18" s="1241"/>
      <c r="AJ18" s="1241"/>
      <c r="AK18" s="1241"/>
      <c r="AL18" s="1241"/>
      <c r="AM18" s="1241"/>
      <c r="AN18" s="1241"/>
      <c r="AO18" s="1241"/>
      <c r="AP18" s="1241"/>
      <c r="AQ18" s="1241"/>
      <c r="AR18" s="1241"/>
      <c r="AS18" s="1241"/>
      <c r="AT18" s="1256"/>
      <c r="AU18" s="1484">
        <v>10.656795166556392</v>
      </c>
      <c r="AV18" s="1241"/>
      <c r="AW18" s="1241"/>
      <c r="AX18" s="1241"/>
      <c r="AY18" s="1241"/>
      <c r="AZ18" s="1241"/>
      <c r="BA18" s="1241"/>
      <c r="BB18" s="1241"/>
      <c r="BC18" s="1241"/>
      <c r="BD18" s="1241"/>
      <c r="BE18" s="1241"/>
      <c r="BF18" s="1241"/>
      <c r="BG18" s="1241"/>
      <c r="BH18" s="1241"/>
      <c r="BI18" s="1241"/>
      <c r="BJ18" s="1241"/>
      <c r="BK18" s="1241"/>
      <c r="BL18" s="1241"/>
      <c r="BM18" s="1241"/>
      <c r="BN18" s="1241"/>
      <c r="BO18" s="1241"/>
      <c r="BP18" s="1241"/>
      <c r="BQ18" s="1241"/>
      <c r="BR18" s="1484">
        <v>5.1276006492287655E-4</v>
      </c>
      <c r="BS18" s="1241"/>
      <c r="BT18" s="1241"/>
      <c r="BU18" s="1241"/>
      <c r="BV18" s="1241"/>
      <c r="BW18" s="1241"/>
      <c r="BX18" s="1241"/>
      <c r="BY18" s="1241"/>
      <c r="BZ18" s="1241"/>
      <c r="CA18" s="1241"/>
      <c r="CB18" s="1241"/>
      <c r="CC18" s="1241"/>
      <c r="CD18" s="1256"/>
      <c r="CE18" s="1256"/>
      <c r="CF18" s="1265">
        <v>3</v>
      </c>
      <c r="CG18" s="1030"/>
      <c r="CH18" s="1030"/>
      <c r="CI18" s="1030"/>
      <c r="CJ18" s="1030"/>
      <c r="CK18" s="1030"/>
      <c r="CL18" s="1135"/>
      <c r="CM18" s="1135"/>
      <c r="CN18" s="1135"/>
      <c r="CO18" s="1135"/>
      <c r="CP18" s="1135"/>
      <c r="CQ18" s="1135"/>
      <c r="CR18" s="1135"/>
      <c r="CS18" s="1135"/>
      <c r="CT18" s="1135"/>
      <c r="CU18" s="1135"/>
      <c r="CV18" s="1135"/>
      <c r="CW18" s="1135"/>
      <c r="CX18" s="1135"/>
      <c r="CY18" s="1135"/>
      <c r="CZ18" s="1135"/>
      <c r="DA18" s="1008"/>
      <c r="DB18" s="1008"/>
      <c r="DC18" s="1265">
        <v>2192000</v>
      </c>
      <c r="DD18" s="1008"/>
      <c r="DE18" s="1008"/>
      <c r="DF18" s="1008"/>
      <c r="DG18" s="1008"/>
      <c r="DH18" s="1008"/>
      <c r="DI18" s="1008"/>
      <c r="DJ18" s="1008"/>
      <c r="DK18" s="1008"/>
      <c r="DL18" s="1008"/>
      <c r="DM18" s="1008"/>
      <c r="DN18" s="1008"/>
      <c r="DO18" s="1256"/>
      <c r="DP18" s="1155">
        <f t="shared" si="7"/>
        <v>9927.6922223038237</v>
      </c>
      <c r="DQ18" s="1155">
        <f t="shared" si="8"/>
        <v>0</v>
      </c>
      <c r="DR18" s="1155">
        <f t="shared" si="9"/>
        <v>0</v>
      </c>
      <c r="DS18" s="1155">
        <f t="shared" si="10"/>
        <v>0</v>
      </c>
      <c r="DT18" s="1155">
        <f t="shared" si="11"/>
        <v>0</v>
      </c>
      <c r="DU18" s="1155">
        <f t="shared" si="12"/>
        <v>0</v>
      </c>
      <c r="DV18" s="1155">
        <f t="shared" si="13"/>
        <v>0</v>
      </c>
      <c r="DW18" s="1155">
        <f t="shared" si="14"/>
        <v>0</v>
      </c>
      <c r="DX18" s="1155">
        <f t="shared" si="15"/>
        <v>0</v>
      </c>
      <c r="DY18" s="1155">
        <f t="shared" si="16"/>
        <v>0</v>
      </c>
      <c r="DZ18" s="1155">
        <f t="shared" si="17"/>
        <v>0</v>
      </c>
      <c r="EA18" s="1155">
        <f t="shared" si="18"/>
        <v>0</v>
      </c>
      <c r="EB18" s="1155">
        <f t="shared" si="19"/>
        <v>0</v>
      </c>
      <c r="EC18" s="1155">
        <f t="shared" si="20"/>
        <v>0</v>
      </c>
      <c r="ED18" s="1155">
        <f t="shared" si="21"/>
        <v>0</v>
      </c>
      <c r="EE18" s="1155">
        <f t="shared" si="22"/>
        <v>0</v>
      </c>
      <c r="EF18" s="1155">
        <f t="shared" si="23"/>
        <v>0</v>
      </c>
      <c r="EG18" s="1155">
        <f t="shared" si="24"/>
        <v>0</v>
      </c>
      <c r="EH18" s="1155">
        <f t="shared" si="25"/>
        <v>0</v>
      </c>
      <c r="EI18" s="1155">
        <f t="shared" si="26"/>
        <v>0</v>
      </c>
      <c r="EJ18" s="1155">
        <f t="shared" si="27"/>
        <v>0</v>
      </c>
      <c r="EK18" s="1155">
        <f t="shared" si="28"/>
        <v>0</v>
      </c>
      <c r="EL18" s="1155">
        <f t="shared" si="29"/>
        <v>0</v>
      </c>
      <c r="EM18" s="1155">
        <f t="shared" si="30"/>
        <v>1037.4269009922839</v>
      </c>
      <c r="EN18" s="1155">
        <f t="shared" si="31"/>
        <v>0</v>
      </c>
      <c r="EO18" s="1155">
        <f t="shared" si="32"/>
        <v>0</v>
      </c>
      <c r="EP18" s="1155">
        <f t="shared" si="33"/>
        <v>0</v>
      </c>
      <c r="EQ18" s="1155">
        <f t="shared" si="34"/>
        <v>0</v>
      </c>
      <c r="ER18" s="1155">
        <f t="shared" si="35"/>
        <v>0</v>
      </c>
      <c r="ES18" s="1155">
        <f t="shared" si="36"/>
        <v>0</v>
      </c>
      <c r="ET18" s="1155">
        <f t="shared" si="37"/>
        <v>0</v>
      </c>
      <c r="EU18" s="1155">
        <f t="shared" si="38"/>
        <v>0</v>
      </c>
      <c r="EV18" s="1155">
        <f t="shared" si="39"/>
        <v>0</v>
      </c>
      <c r="EW18" s="1155">
        <f t="shared" si="40"/>
        <v>0</v>
      </c>
      <c r="EX18" s="1155">
        <f t="shared" si="41"/>
        <v>0</v>
      </c>
      <c r="EY18" s="1175">
        <f t="shared" si="42"/>
        <v>10965.119123296108</v>
      </c>
      <c r="EZ18" s="1256"/>
      <c r="FA18" s="1155">
        <f t="shared" si="43"/>
        <v>11669.19070737925</v>
      </c>
      <c r="FB18" s="1155">
        <f t="shared" si="44"/>
        <v>0</v>
      </c>
      <c r="FC18" s="1155">
        <f t="shared" si="45"/>
        <v>0</v>
      </c>
      <c r="FD18" s="1155">
        <f t="shared" si="46"/>
        <v>0</v>
      </c>
      <c r="FE18" s="1155">
        <f t="shared" si="47"/>
        <v>0</v>
      </c>
      <c r="FF18" s="1155">
        <f t="shared" si="48"/>
        <v>0</v>
      </c>
      <c r="FG18" s="1155">
        <f t="shared" si="49"/>
        <v>0</v>
      </c>
      <c r="FH18" s="1155">
        <f t="shared" si="50"/>
        <v>0</v>
      </c>
      <c r="FI18" s="1155">
        <f t="shared" si="51"/>
        <v>0</v>
      </c>
      <c r="FJ18" s="1155">
        <f t="shared" si="52"/>
        <v>0</v>
      </c>
      <c r="FK18" s="1155">
        <f t="shared" si="53"/>
        <v>0</v>
      </c>
      <c r="FL18" s="1155">
        <f t="shared" si="54"/>
        <v>0</v>
      </c>
      <c r="FM18" s="1155">
        <f t="shared" si="55"/>
        <v>0</v>
      </c>
      <c r="FN18" s="1155">
        <f t="shared" si="56"/>
        <v>0</v>
      </c>
      <c r="FO18" s="1155">
        <f t="shared" si="57"/>
        <v>0</v>
      </c>
      <c r="FP18" s="1155">
        <f t="shared" si="58"/>
        <v>0</v>
      </c>
      <c r="FQ18" s="1155">
        <f t="shared" si="59"/>
        <v>0</v>
      </c>
      <c r="FR18" s="1155">
        <f t="shared" si="60"/>
        <v>0</v>
      </c>
      <c r="FS18" s="1155">
        <f t="shared" si="61"/>
        <v>0</v>
      </c>
      <c r="FT18" s="1155">
        <f t="shared" si="62"/>
        <v>0</v>
      </c>
      <c r="FU18" s="1155">
        <f t="shared" si="63"/>
        <v>0</v>
      </c>
      <c r="FV18" s="1155">
        <f t="shared" si="64"/>
        <v>0</v>
      </c>
      <c r="FW18" s="1155">
        <f t="shared" si="65"/>
        <v>0</v>
      </c>
      <c r="FX18" s="1155">
        <f t="shared" si="66"/>
        <v>1123.9700623109454</v>
      </c>
      <c r="FY18" s="1155">
        <f t="shared" si="67"/>
        <v>0</v>
      </c>
      <c r="FZ18" s="1155">
        <f t="shared" si="68"/>
        <v>0</v>
      </c>
      <c r="GA18" s="1155">
        <f t="shared" si="69"/>
        <v>0</v>
      </c>
      <c r="GB18" s="1155">
        <f t="shared" si="70"/>
        <v>0</v>
      </c>
      <c r="GC18" s="1155">
        <f t="shared" si="71"/>
        <v>0</v>
      </c>
      <c r="GD18" s="1155">
        <f t="shared" si="72"/>
        <v>0</v>
      </c>
      <c r="GE18" s="1155">
        <f t="shared" si="73"/>
        <v>0</v>
      </c>
      <c r="GF18" s="1155">
        <f t="shared" si="74"/>
        <v>0</v>
      </c>
      <c r="GG18" s="1155">
        <f t="shared" si="75"/>
        <v>0</v>
      </c>
      <c r="GH18" s="1155">
        <f t="shared" si="76"/>
        <v>0</v>
      </c>
      <c r="GI18" s="1155">
        <f t="shared" si="77"/>
        <v>0</v>
      </c>
      <c r="GJ18" s="1175">
        <f t="shared" si="78"/>
        <v>12793.160769690196</v>
      </c>
    </row>
    <row r="19" spans="1:192">
      <c r="B19" s="1259" t="str">
        <f>IF(Prop2021DUOSTariffs!B19="","",Prop2021DUOSTariffs!B19)</f>
        <v/>
      </c>
      <c r="C19" s="1259" t="str">
        <f>IF(Prop2021DUOSTariffs!C19="","",Prop2021DUOSTariffs!C19)</f>
        <v>West CAC22/11kVBus Anytime</v>
      </c>
      <c r="D19" s="1259" t="str">
        <f>IF(Prop2021DUOSTariffs!D19="","",Prop2021DUOSTariffs!D19)</f>
        <v>West CAC22/11kVBus Anytime</v>
      </c>
      <c r="E19" s="1259" t="str">
        <f>IF(Prop2021DUOSTariffs!E19="","",Prop2021DUOSTariffs!E19)</f>
        <v>CAC</v>
      </c>
      <c r="F19" s="1259" t="str">
        <f>IF(Prop2021DUOSTariffs!F19="","",Prop2021DUOSTariffs!F19)</f>
        <v>CAC</v>
      </c>
      <c r="G19" s="1259" t="str">
        <f>IF(Prop2021DUOSTariffs!G19="","",Prop2021DUOSTariffs!G19)</f>
        <v>West</v>
      </c>
      <c r="H19" s="1259" t="str">
        <f>IF(Prop2021DUOSTariffs!H19="","",Prop2021DUOSTariffs!H19)</f>
        <v>WC22B</v>
      </c>
      <c r="I19" s="1259" t="s">
        <v>935</v>
      </c>
      <c r="J19" s="1256"/>
      <c r="K19" s="1233">
        <v>9.0663855911450444</v>
      </c>
      <c r="L19" s="1135"/>
      <c r="M19" s="1135"/>
      <c r="N19" s="1135"/>
      <c r="O19" s="1135"/>
      <c r="P19" s="1135"/>
      <c r="Q19" s="1135"/>
      <c r="R19" s="1135"/>
      <c r="S19" s="1135"/>
      <c r="T19" s="1135"/>
      <c r="U19" s="1135"/>
      <c r="V19" s="1135"/>
      <c r="W19" s="1135"/>
      <c r="X19" s="1135"/>
      <c r="Y19" s="1135"/>
      <c r="Z19" s="1135"/>
      <c r="AA19" s="1135"/>
      <c r="AB19" s="1135"/>
      <c r="AC19" s="1135"/>
      <c r="AD19" s="1135"/>
      <c r="AE19" s="1135"/>
      <c r="AF19" s="1005"/>
      <c r="AG19" s="1005"/>
      <c r="AH19" s="1224">
        <v>4.7327869570815872E-4</v>
      </c>
      <c r="AI19" s="1241"/>
      <c r="AJ19" s="1241"/>
      <c r="AK19" s="1241"/>
      <c r="AL19" s="1241"/>
      <c r="AM19" s="1241"/>
      <c r="AN19" s="1241"/>
      <c r="AO19" s="1241"/>
      <c r="AP19" s="1241"/>
      <c r="AQ19" s="1241"/>
      <c r="AR19" s="1241"/>
      <c r="AS19" s="1241"/>
      <c r="AT19" s="1256"/>
      <c r="AU19" s="1484">
        <v>0</v>
      </c>
      <c r="AV19" s="1241"/>
      <c r="AW19" s="1241"/>
      <c r="AX19" s="1241"/>
      <c r="AY19" s="1241"/>
      <c r="AZ19" s="1241"/>
      <c r="BA19" s="1241"/>
      <c r="BB19" s="1241"/>
      <c r="BC19" s="1241"/>
      <c r="BD19" s="1241"/>
      <c r="BE19" s="1241"/>
      <c r="BF19" s="1241"/>
      <c r="BG19" s="1241"/>
      <c r="BH19" s="1241"/>
      <c r="BI19" s="1241"/>
      <c r="BJ19" s="1241"/>
      <c r="BK19" s="1241"/>
      <c r="BL19" s="1241"/>
      <c r="BM19" s="1241"/>
      <c r="BN19" s="1241"/>
      <c r="BO19" s="1241"/>
      <c r="BP19" s="1241"/>
      <c r="BQ19" s="1241"/>
      <c r="BR19" s="1484">
        <v>0</v>
      </c>
      <c r="BS19" s="1241"/>
      <c r="BT19" s="1241"/>
      <c r="BU19" s="1241"/>
      <c r="BV19" s="1241"/>
      <c r="BW19" s="1241"/>
      <c r="BX19" s="1241"/>
      <c r="BY19" s="1241"/>
      <c r="BZ19" s="1241"/>
      <c r="CA19" s="1241"/>
      <c r="CB19" s="1241"/>
      <c r="CC19" s="1241"/>
      <c r="CD19" s="1256"/>
      <c r="CE19" s="1256"/>
      <c r="CF19" s="1265">
        <v>0</v>
      </c>
      <c r="CG19" s="1030"/>
      <c r="CH19" s="1030"/>
      <c r="CI19" s="1030"/>
      <c r="CJ19" s="1030"/>
      <c r="CK19" s="1030"/>
      <c r="CL19" s="1135"/>
      <c r="CM19" s="1135"/>
      <c r="CN19" s="1135"/>
      <c r="CO19" s="1135"/>
      <c r="CP19" s="1135"/>
      <c r="CQ19" s="1135"/>
      <c r="CR19" s="1135"/>
      <c r="CS19" s="1135"/>
      <c r="CT19" s="1135"/>
      <c r="CU19" s="1135"/>
      <c r="CV19" s="1135"/>
      <c r="CW19" s="1135"/>
      <c r="CX19" s="1135"/>
      <c r="CY19" s="1135"/>
      <c r="CZ19" s="1135"/>
      <c r="DA19" s="1008"/>
      <c r="DB19" s="1008"/>
      <c r="DC19" s="1265">
        <v>0</v>
      </c>
      <c r="DD19" s="1008"/>
      <c r="DE19" s="1008"/>
      <c r="DF19" s="1008"/>
      <c r="DG19" s="1008"/>
      <c r="DH19" s="1008"/>
      <c r="DI19" s="1008"/>
      <c r="DJ19" s="1008"/>
      <c r="DK19" s="1008"/>
      <c r="DL19" s="1008"/>
      <c r="DM19" s="1008"/>
      <c r="DN19" s="1008"/>
      <c r="DO19" s="1256"/>
      <c r="DP19" s="1155">
        <f t="shared" si="7"/>
        <v>0</v>
      </c>
      <c r="DQ19" s="1155">
        <f t="shared" si="8"/>
        <v>0</v>
      </c>
      <c r="DR19" s="1155">
        <f t="shared" si="9"/>
        <v>0</v>
      </c>
      <c r="DS19" s="1155">
        <f t="shared" si="10"/>
        <v>0</v>
      </c>
      <c r="DT19" s="1155">
        <f t="shared" si="11"/>
        <v>0</v>
      </c>
      <c r="DU19" s="1155">
        <f t="shared" si="12"/>
        <v>0</v>
      </c>
      <c r="DV19" s="1155">
        <f t="shared" si="13"/>
        <v>0</v>
      </c>
      <c r="DW19" s="1155">
        <f t="shared" si="14"/>
        <v>0</v>
      </c>
      <c r="DX19" s="1155">
        <f t="shared" si="15"/>
        <v>0</v>
      </c>
      <c r="DY19" s="1155">
        <f t="shared" si="16"/>
        <v>0</v>
      </c>
      <c r="DZ19" s="1155">
        <f t="shared" si="17"/>
        <v>0</v>
      </c>
      <c r="EA19" s="1155">
        <f t="shared" si="18"/>
        <v>0</v>
      </c>
      <c r="EB19" s="1155">
        <f t="shared" si="19"/>
        <v>0</v>
      </c>
      <c r="EC19" s="1155">
        <f t="shared" si="20"/>
        <v>0</v>
      </c>
      <c r="ED19" s="1155">
        <f t="shared" si="21"/>
        <v>0</v>
      </c>
      <c r="EE19" s="1155">
        <f t="shared" si="22"/>
        <v>0</v>
      </c>
      <c r="EF19" s="1155">
        <f t="shared" si="23"/>
        <v>0</v>
      </c>
      <c r="EG19" s="1155">
        <f t="shared" si="24"/>
        <v>0</v>
      </c>
      <c r="EH19" s="1155">
        <f t="shared" si="25"/>
        <v>0</v>
      </c>
      <c r="EI19" s="1155">
        <f t="shared" si="26"/>
        <v>0</v>
      </c>
      <c r="EJ19" s="1155">
        <f t="shared" si="27"/>
        <v>0</v>
      </c>
      <c r="EK19" s="1155">
        <f t="shared" si="28"/>
        <v>0</v>
      </c>
      <c r="EL19" s="1155">
        <f t="shared" si="29"/>
        <v>0</v>
      </c>
      <c r="EM19" s="1155">
        <f t="shared" si="30"/>
        <v>0</v>
      </c>
      <c r="EN19" s="1155">
        <f t="shared" si="31"/>
        <v>0</v>
      </c>
      <c r="EO19" s="1155">
        <f t="shared" si="32"/>
        <v>0</v>
      </c>
      <c r="EP19" s="1155">
        <f t="shared" si="33"/>
        <v>0</v>
      </c>
      <c r="EQ19" s="1155">
        <f t="shared" si="34"/>
        <v>0</v>
      </c>
      <c r="ER19" s="1155">
        <f t="shared" si="35"/>
        <v>0</v>
      </c>
      <c r="ES19" s="1155">
        <f t="shared" si="36"/>
        <v>0</v>
      </c>
      <c r="ET19" s="1155">
        <f t="shared" si="37"/>
        <v>0</v>
      </c>
      <c r="EU19" s="1155">
        <f t="shared" si="38"/>
        <v>0</v>
      </c>
      <c r="EV19" s="1155">
        <f t="shared" si="39"/>
        <v>0</v>
      </c>
      <c r="EW19" s="1155">
        <f t="shared" si="40"/>
        <v>0</v>
      </c>
      <c r="EX19" s="1155">
        <f t="shared" si="41"/>
        <v>0</v>
      </c>
      <c r="EY19" s="1175">
        <f t="shared" si="42"/>
        <v>0</v>
      </c>
      <c r="EZ19" s="1256"/>
      <c r="FA19" s="1155">
        <f t="shared" si="43"/>
        <v>0</v>
      </c>
      <c r="FB19" s="1155">
        <f t="shared" si="44"/>
        <v>0</v>
      </c>
      <c r="FC19" s="1155">
        <f t="shared" si="45"/>
        <v>0</v>
      </c>
      <c r="FD19" s="1155">
        <f t="shared" si="46"/>
        <v>0</v>
      </c>
      <c r="FE19" s="1155">
        <f t="shared" si="47"/>
        <v>0</v>
      </c>
      <c r="FF19" s="1155">
        <f t="shared" si="48"/>
        <v>0</v>
      </c>
      <c r="FG19" s="1155">
        <f t="shared" si="49"/>
        <v>0</v>
      </c>
      <c r="FH19" s="1155">
        <f t="shared" si="50"/>
        <v>0</v>
      </c>
      <c r="FI19" s="1155">
        <f t="shared" si="51"/>
        <v>0</v>
      </c>
      <c r="FJ19" s="1155">
        <f t="shared" si="52"/>
        <v>0</v>
      </c>
      <c r="FK19" s="1155">
        <f t="shared" si="53"/>
        <v>0</v>
      </c>
      <c r="FL19" s="1155">
        <f t="shared" si="54"/>
        <v>0</v>
      </c>
      <c r="FM19" s="1155">
        <f t="shared" si="55"/>
        <v>0</v>
      </c>
      <c r="FN19" s="1155">
        <f t="shared" si="56"/>
        <v>0</v>
      </c>
      <c r="FO19" s="1155">
        <f t="shared" si="57"/>
        <v>0</v>
      </c>
      <c r="FP19" s="1155">
        <f t="shared" si="58"/>
        <v>0</v>
      </c>
      <c r="FQ19" s="1155">
        <f t="shared" si="59"/>
        <v>0</v>
      </c>
      <c r="FR19" s="1155">
        <f t="shared" si="60"/>
        <v>0</v>
      </c>
      <c r="FS19" s="1155">
        <f t="shared" si="61"/>
        <v>0</v>
      </c>
      <c r="FT19" s="1155">
        <f t="shared" si="62"/>
        <v>0</v>
      </c>
      <c r="FU19" s="1155">
        <f t="shared" si="63"/>
        <v>0</v>
      </c>
      <c r="FV19" s="1155">
        <f t="shared" si="64"/>
        <v>0</v>
      </c>
      <c r="FW19" s="1155">
        <f t="shared" si="65"/>
        <v>0</v>
      </c>
      <c r="FX19" s="1155">
        <f t="shared" si="66"/>
        <v>0</v>
      </c>
      <c r="FY19" s="1155">
        <f t="shared" si="67"/>
        <v>0</v>
      </c>
      <c r="FZ19" s="1155">
        <f t="shared" si="68"/>
        <v>0</v>
      </c>
      <c r="GA19" s="1155">
        <f t="shared" si="69"/>
        <v>0</v>
      </c>
      <c r="GB19" s="1155">
        <f t="shared" si="70"/>
        <v>0</v>
      </c>
      <c r="GC19" s="1155">
        <f t="shared" si="71"/>
        <v>0</v>
      </c>
      <c r="GD19" s="1155">
        <f t="shared" si="72"/>
        <v>0</v>
      </c>
      <c r="GE19" s="1155">
        <f t="shared" si="73"/>
        <v>0</v>
      </c>
      <c r="GF19" s="1155">
        <f t="shared" si="74"/>
        <v>0</v>
      </c>
      <c r="GG19" s="1155">
        <f t="shared" si="75"/>
        <v>0</v>
      </c>
      <c r="GH19" s="1155">
        <f t="shared" si="76"/>
        <v>0</v>
      </c>
      <c r="GI19" s="1155">
        <f t="shared" si="77"/>
        <v>0</v>
      </c>
      <c r="GJ19" s="1175">
        <f t="shared" si="78"/>
        <v>0</v>
      </c>
    </row>
    <row r="20" spans="1:192">
      <c r="B20" s="1259" t="str">
        <f>IF(Prop2021DUOSTariffs!B20="","",Prop2021DUOSTariffs!B20)</f>
        <v/>
      </c>
      <c r="C20" s="1259" t="str">
        <f>IF(Prop2021DUOSTariffs!C20="","",Prop2021DUOSTariffs!C20)</f>
        <v>West CAC22/11kVLine Anytime</v>
      </c>
      <c r="D20" s="1259" t="str">
        <f>IF(Prop2021DUOSTariffs!D20="","",Prop2021DUOSTariffs!D20)</f>
        <v>West CAC22/11kVLine Anytime</v>
      </c>
      <c r="E20" s="1259" t="str">
        <f>IF(Prop2021DUOSTariffs!E20="","",Prop2021DUOSTariffs!E20)</f>
        <v>CAC</v>
      </c>
      <c r="F20" s="1259" t="str">
        <f>IF(Prop2021DUOSTariffs!F20="","",Prop2021DUOSTariffs!F20)</f>
        <v>CAC</v>
      </c>
      <c r="G20" s="1259" t="str">
        <f>IF(Prop2021DUOSTariffs!G20="","",Prop2021DUOSTariffs!G20)</f>
        <v>West</v>
      </c>
      <c r="H20" s="1259" t="str">
        <f>IF(Prop2021DUOSTariffs!H20="","",Prop2021DUOSTariffs!H20)</f>
        <v>WC22L</v>
      </c>
      <c r="I20" s="1259" t="s">
        <v>935</v>
      </c>
      <c r="J20" s="1256"/>
      <c r="K20" s="1233">
        <v>9.0663855911450444</v>
      </c>
      <c r="L20" s="1135"/>
      <c r="M20" s="1135"/>
      <c r="N20" s="1135"/>
      <c r="O20" s="1135"/>
      <c r="P20" s="1135"/>
      <c r="Q20" s="1135"/>
      <c r="R20" s="1135"/>
      <c r="S20" s="1135"/>
      <c r="T20" s="1135"/>
      <c r="U20" s="1135"/>
      <c r="V20" s="1135"/>
      <c r="W20" s="1135"/>
      <c r="X20" s="1135"/>
      <c r="Y20" s="1135"/>
      <c r="Z20" s="1135"/>
      <c r="AA20" s="1135"/>
      <c r="AB20" s="1135"/>
      <c r="AC20" s="1135"/>
      <c r="AD20" s="1135"/>
      <c r="AE20" s="1135"/>
      <c r="AF20" s="1005"/>
      <c r="AG20" s="1005"/>
      <c r="AH20" s="1224">
        <v>4.7327869570815872E-4</v>
      </c>
      <c r="AI20" s="1241"/>
      <c r="AJ20" s="1241"/>
      <c r="AK20" s="1241"/>
      <c r="AL20" s="1241"/>
      <c r="AM20" s="1241"/>
      <c r="AN20" s="1241"/>
      <c r="AO20" s="1241"/>
      <c r="AP20" s="1241"/>
      <c r="AQ20" s="1241"/>
      <c r="AR20" s="1241"/>
      <c r="AS20" s="1241"/>
      <c r="AT20" s="1256"/>
      <c r="AU20" s="1484">
        <v>10.656795166556392</v>
      </c>
      <c r="AV20" s="1241"/>
      <c r="AW20" s="1241"/>
      <c r="AX20" s="1241"/>
      <c r="AY20" s="1241"/>
      <c r="AZ20" s="1241"/>
      <c r="BA20" s="1241"/>
      <c r="BB20" s="1241"/>
      <c r="BC20" s="1241"/>
      <c r="BD20" s="1241"/>
      <c r="BE20" s="1241"/>
      <c r="BF20" s="1241"/>
      <c r="BG20" s="1241"/>
      <c r="BH20" s="1241"/>
      <c r="BI20" s="1241"/>
      <c r="BJ20" s="1241"/>
      <c r="BK20" s="1241"/>
      <c r="BL20" s="1241"/>
      <c r="BM20" s="1241"/>
      <c r="BN20" s="1241"/>
      <c r="BO20" s="1241"/>
      <c r="BP20" s="1241"/>
      <c r="BQ20" s="1241"/>
      <c r="BR20" s="1484">
        <v>5.1276006492287655E-4</v>
      </c>
      <c r="BS20" s="1241"/>
      <c r="BT20" s="1241"/>
      <c r="BU20" s="1241"/>
      <c r="BV20" s="1241"/>
      <c r="BW20" s="1241"/>
      <c r="BX20" s="1241"/>
      <c r="BY20" s="1241"/>
      <c r="BZ20" s="1241"/>
      <c r="CA20" s="1241"/>
      <c r="CB20" s="1241"/>
      <c r="CC20" s="1241"/>
      <c r="CD20" s="1256"/>
      <c r="CE20" s="1256"/>
      <c r="CF20" s="1265">
        <v>2</v>
      </c>
      <c r="CG20" s="1030"/>
      <c r="CH20" s="1030"/>
      <c r="CI20" s="1030"/>
      <c r="CJ20" s="1030"/>
      <c r="CK20" s="1030"/>
      <c r="CL20" s="1135"/>
      <c r="CM20" s="1135"/>
      <c r="CN20" s="1135"/>
      <c r="CO20" s="1135"/>
      <c r="CP20" s="1135"/>
      <c r="CQ20" s="1135"/>
      <c r="CR20" s="1135"/>
      <c r="CS20" s="1135"/>
      <c r="CT20" s="1135"/>
      <c r="CU20" s="1135"/>
      <c r="CV20" s="1135"/>
      <c r="CW20" s="1135"/>
      <c r="CX20" s="1135"/>
      <c r="CY20" s="1135"/>
      <c r="CZ20" s="1135"/>
      <c r="DA20" s="1008"/>
      <c r="DB20" s="1008"/>
      <c r="DC20" s="1265">
        <v>11238000</v>
      </c>
      <c r="DD20" s="1008"/>
      <c r="DE20" s="1008"/>
      <c r="DF20" s="1008"/>
      <c r="DG20" s="1008"/>
      <c r="DH20" s="1008"/>
      <c r="DI20" s="1008"/>
      <c r="DJ20" s="1008"/>
      <c r="DK20" s="1008"/>
      <c r="DL20" s="1008"/>
      <c r="DM20" s="1008"/>
      <c r="DN20" s="1008"/>
      <c r="DO20" s="1256"/>
      <c r="DP20" s="1155">
        <f t="shared" si="7"/>
        <v>6618.4614815358827</v>
      </c>
      <c r="DQ20" s="1155">
        <f t="shared" si="8"/>
        <v>0</v>
      </c>
      <c r="DR20" s="1155">
        <f t="shared" si="9"/>
        <v>0</v>
      </c>
      <c r="DS20" s="1155">
        <f t="shared" si="10"/>
        <v>0</v>
      </c>
      <c r="DT20" s="1155">
        <f t="shared" si="11"/>
        <v>0</v>
      </c>
      <c r="DU20" s="1155">
        <f t="shared" si="12"/>
        <v>0</v>
      </c>
      <c r="DV20" s="1155">
        <f t="shared" si="13"/>
        <v>0</v>
      </c>
      <c r="DW20" s="1155">
        <f t="shared" si="14"/>
        <v>0</v>
      </c>
      <c r="DX20" s="1155">
        <f t="shared" si="15"/>
        <v>0</v>
      </c>
      <c r="DY20" s="1155">
        <f t="shared" si="16"/>
        <v>0</v>
      </c>
      <c r="DZ20" s="1155">
        <f t="shared" si="17"/>
        <v>0</v>
      </c>
      <c r="EA20" s="1155">
        <f t="shared" si="18"/>
        <v>0</v>
      </c>
      <c r="EB20" s="1155">
        <f t="shared" si="19"/>
        <v>0</v>
      </c>
      <c r="EC20" s="1155">
        <f t="shared" si="20"/>
        <v>0</v>
      </c>
      <c r="ED20" s="1155">
        <f t="shared" si="21"/>
        <v>0</v>
      </c>
      <c r="EE20" s="1155">
        <f t="shared" si="22"/>
        <v>0</v>
      </c>
      <c r="EF20" s="1155">
        <f t="shared" si="23"/>
        <v>0</v>
      </c>
      <c r="EG20" s="1155">
        <f t="shared" si="24"/>
        <v>0</v>
      </c>
      <c r="EH20" s="1155">
        <f t="shared" si="25"/>
        <v>0</v>
      </c>
      <c r="EI20" s="1155">
        <f t="shared" si="26"/>
        <v>0</v>
      </c>
      <c r="EJ20" s="1155">
        <f t="shared" si="27"/>
        <v>0</v>
      </c>
      <c r="EK20" s="1155">
        <f t="shared" si="28"/>
        <v>0</v>
      </c>
      <c r="EL20" s="1155">
        <f t="shared" si="29"/>
        <v>0</v>
      </c>
      <c r="EM20" s="1155">
        <f t="shared" si="30"/>
        <v>5318.7059823682876</v>
      </c>
      <c r="EN20" s="1155">
        <f t="shared" si="31"/>
        <v>0</v>
      </c>
      <c r="EO20" s="1155">
        <f t="shared" si="32"/>
        <v>0</v>
      </c>
      <c r="EP20" s="1155">
        <f t="shared" si="33"/>
        <v>0</v>
      </c>
      <c r="EQ20" s="1155">
        <f t="shared" si="34"/>
        <v>0</v>
      </c>
      <c r="ER20" s="1155">
        <f t="shared" si="35"/>
        <v>0</v>
      </c>
      <c r="ES20" s="1155">
        <f t="shared" si="36"/>
        <v>0</v>
      </c>
      <c r="ET20" s="1155">
        <f t="shared" si="37"/>
        <v>0</v>
      </c>
      <c r="EU20" s="1155">
        <f t="shared" si="38"/>
        <v>0</v>
      </c>
      <c r="EV20" s="1155">
        <f t="shared" si="39"/>
        <v>0</v>
      </c>
      <c r="EW20" s="1155">
        <f t="shared" si="40"/>
        <v>0</v>
      </c>
      <c r="EX20" s="1155">
        <f t="shared" si="41"/>
        <v>0</v>
      </c>
      <c r="EY20" s="1175">
        <f t="shared" si="42"/>
        <v>11937.16746390417</v>
      </c>
      <c r="EZ20" s="1256"/>
      <c r="FA20" s="1155">
        <f t="shared" si="43"/>
        <v>7779.4604715861669</v>
      </c>
      <c r="FB20" s="1155">
        <f t="shared" si="44"/>
        <v>0</v>
      </c>
      <c r="FC20" s="1155">
        <f t="shared" si="45"/>
        <v>0</v>
      </c>
      <c r="FD20" s="1155">
        <f t="shared" si="46"/>
        <v>0</v>
      </c>
      <c r="FE20" s="1155">
        <f t="shared" si="47"/>
        <v>0</v>
      </c>
      <c r="FF20" s="1155">
        <f t="shared" si="48"/>
        <v>0</v>
      </c>
      <c r="FG20" s="1155">
        <f t="shared" si="49"/>
        <v>0</v>
      </c>
      <c r="FH20" s="1155">
        <f t="shared" si="50"/>
        <v>0</v>
      </c>
      <c r="FI20" s="1155">
        <f t="shared" si="51"/>
        <v>0</v>
      </c>
      <c r="FJ20" s="1155">
        <f t="shared" si="52"/>
        <v>0</v>
      </c>
      <c r="FK20" s="1155">
        <f t="shared" si="53"/>
        <v>0</v>
      </c>
      <c r="FL20" s="1155">
        <f t="shared" si="54"/>
        <v>0</v>
      </c>
      <c r="FM20" s="1155">
        <f t="shared" si="55"/>
        <v>0</v>
      </c>
      <c r="FN20" s="1155">
        <f t="shared" si="56"/>
        <v>0</v>
      </c>
      <c r="FO20" s="1155">
        <f t="shared" si="57"/>
        <v>0</v>
      </c>
      <c r="FP20" s="1155">
        <f t="shared" si="58"/>
        <v>0</v>
      </c>
      <c r="FQ20" s="1155">
        <f t="shared" si="59"/>
        <v>0</v>
      </c>
      <c r="FR20" s="1155">
        <f t="shared" si="60"/>
        <v>0</v>
      </c>
      <c r="FS20" s="1155">
        <f t="shared" si="61"/>
        <v>0</v>
      </c>
      <c r="FT20" s="1155">
        <f t="shared" si="62"/>
        <v>0</v>
      </c>
      <c r="FU20" s="1155">
        <f t="shared" si="63"/>
        <v>0</v>
      </c>
      <c r="FV20" s="1155">
        <f t="shared" si="64"/>
        <v>0</v>
      </c>
      <c r="FW20" s="1155">
        <f t="shared" si="65"/>
        <v>0</v>
      </c>
      <c r="FX20" s="1155">
        <f t="shared" si="66"/>
        <v>5762.3976096032866</v>
      </c>
      <c r="FY20" s="1155">
        <f t="shared" si="67"/>
        <v>0</v>
      </c>
      <c r="FZ20" s="1155">
        <f t="shared" si="68"/>
        <v>0</v>
      </c>
      <c r="GA20" s="1155">
        <f t="shared" si="69"/>
        <v>0</v>
      </c>
      <c r="GB20" s="1155">
        <f t="shared" si="70"/>
        <v>0</v>
      </c>
      <c r="GC20" s="1155">
        <f t="shared" si="71"/>
        <v>0</v>
      </c>
      <c r="GD20" s="1155">
        <f t="shared" si="72"/>
        <v>0</v>
      </c>
      <c r="GE20" s="1155">
        <f t="shared" si="73"/>
        <v>0</v>
      </c>
      <c r="GF20" s="1155">
        <f t="shared" si="74"/>
        <v>0</v>
      </c>
      <c r="GG20" s="1155">
        <f t="shared" si="75"/>
        <v>0</v>
      </c>
      <c r="GH20" s="1155">
        <f t="shared" si="76"/>
        <v>0</v>
      </c>
      <c r="GI20" s="1155">
        <f t="shared" si="77"/>
        <v>0</v>
      </c>
      <c r="GJ20" s="1175">
        <f t="shared" si="78"/>
        <v>13541.858081189454</v>
      </c>
    </row>
    <row r="21" spans="1:192">
      <c r="B21" s="1259" t="str">
        <f>IF(Prop2021DUOSTariffs!B21="","",Prop2021DUOSTariffs!B21)</f>
        <v/>
      </c>
      <c r="C21" s="1259" t="str">
        <f>IF(Prop2021DUOSTariffs!C21="","",Prop2021DUOSTariffs!C21)</f>
        <v>West CACHigherVoltage STOUD</v>
      </c>
      <c r="D21" s="1259" t="str">
        <f>IF(Prop2021DUOSTariffs!D21="","",Prop2021DUOSTariffs!D21)</f>
        <v>West CACHigherVoltage STOUD</v>
      </c>
      <c r="E21" s="1259" t="str">
        <f>IF(Prop2021DUOSTariffs!E21="","",Prop2021DUOSTariffs!E21)</f>
        <v>CAC</v>
      </c>
      <c r="F21" s="1259" t="str">
        <f>IF(Prop2021DUOSTariffs!F21="","",Prop2021DUOSTariffs!F21)</f>
        <v>CAC</v>
      </c>
      <c r="G21" s="1259" t="str">
        <f>IF(Prop2021DUOSTariffs!G21="","",Prop2021DUOSTariffs!G21)</f>
        <v>West</v>
      </c>
      <c r="H21" s="1259" t="str">
        <f>IF(Prop2021DUOSTariffs!H21="","",Prop2021DUOSTariffs!H21)</f>
        <v>WC66TOU</v>
      </c>
      <c r="I21" s="1259" t="s">
        <v>935</v>
      </c>
      <c r="J21" s="1256"/>
      <c r="K21" s="1233">
        <v>9.0663855911450444</v>
      </c>
      <c r="L21" s="1135"/>
      <c r="M21" s="1135"/>
      <c r="N21" s="1135"/>
      <c r="O21" s="1135"/>
      <c r="P21" s="1135"/>
      <c r="Q21" s="1135"/>
      <c r="R21" s="1135"/>
      <c r="S21" s="1135"/>
      <c r="T21" s="1135"/>
      <c r="U21" s="1135"/>
      <c r="V21" s="1135"/>
      <c r="W21" s="1135"/>
      <c r="X21" s="1135"/>
      <c r="Y21" s="1135"/>
      <c r="Z21" s="1135"/>
      <c r="AA21" s="1135"/>
      <c r="AB21" s="1135"/>
      <c r="AC21" s="1135"/>
      <c r="AD21" s="1135"/>
      <c r="AE21" s="1135"/>
      <c r="AF21" s="1005"/>
      <c r="AG21" s="1005"/>
      <c r="AH21" s="1224">
        <v>4.7327869570815872E-4</v>
      </c>
      <c r="AI21" s="1241"/>
      <c r="AJ21" s="1241"/>
      <c r="AK21" s="1241"/>
      <c r="AL21" s="1241"/>
      <c r="AM21" s="1241"/>
      <c r="AN21" s="1241"/>
      <c r="AO21" s="1241"/>
      <c r="AP21" s="1241"/>
      <c r="AQ21" s="1241"/>
      <c r="AR21" s="1241"/>
      <c r="AS21" s="1241"/>
      <c r="AT21" s="1256"/>
      <c r="AU21" s="1484">
        <v>10.657</v>
      </c>
      <c r="AV21" s="1241"/>
      <c r="AW21" s="1241"/>
      <c r="AX21" s="1241"/>
      <c r="AY21" s="1241"/>
      <c r="AZ21" s="1241"/>
      <c r="BA21" s="1241"/>
      <c r="BB21" s="1241"/>
      <c r="BC21" s="1241"/>
      <c r="BD21" s="1241"/>
      <c r="BE21" s="1241"/>
      <c r="BF21" s="1241"/>
      <c r="BG21" s="1241"/>
      <c r="BH21" s="1241"/>
      <c r="BI21" s="1241"/>
      <c r="BJ21" s="1241"/>
      <c r="BK21" s="1241"/>
      <c r="BL21" s="1241"/>
      <c r="BM21" s="1241"/>
      <c r="BN21" s="1241"/>
      <c r="BO21" s="1241"/>
      <c r="BP21" s="1241"/>
      <c r="BQ21" s="1241"/>
      <c r="BR21" s="1484">
        <v>5.1000000000000004E-4</v>
      </c>
      <c r="BS21" s="1241"/>
      <c r="BT21" s="1241"/>
      <c r="BU21" s="1241"/>
      <c r="BV21" s="1241"/>
      <c r="BW21" s="1241"/>
      <c r="BX21" s="1241"/>
      <c r="BY21" s="1241"/>
      <c r="BZ21" s="1241"/>
      <c r="CA21" s="1241"/>
      <c r="CB21" s="1241"/>
      <c r="CC21" s="1241"/>
      <c r="CD21" s="1256"/>
      <c r="CE21" s="1256"/>
      <c r="CF21" s="1265">
        <v>0</v>
      </c>
      <c r="CG21" s="1030"/>
      <c r="CH21" s="1030"/>
      <c r="CI21" s="1030"/>
      <c r="CJ21" s="1030"/>
      <c r="CK21" s="1030"/>
      <c r="CL21" s="1135"/>
      <c r="CM21" s="1135"/>
      <c r="CN21" s="1135"/>
      <c r="CO21" s="1135"/>
      <c r="CP21" s="1135"/>
      <c r="CQ21" s="1135"/>
      <c r="CR21" s="1135"/>
      <c r="CS21" s="1135"/>
      <c r="CT21" s="1135"/>
      <c r="CU21" s="1135"/>
      <c r="CV21" s="1135"/>
      <c r="CW21" s="1135"/>
      <c r="CX21" s="1135"/>
      <c r="CY21" s="1135"/>
      <c r="CZ21" s="1135"/>
      <c r="DA21" s="1008"/>
      <c r="DB21" s="1008"/>
      <c r="DC21" s="1265">
        <v>0</v>
      </c>
      <c r="DD21" s="1008"/>
      <c r="DE21" s="1008"/>
      <c r="DF21" s="1008"/>
      <c r="DG21" s="1008"/>
      <c r="DH21" s="1008"/>
      <c r="DI21" s="1008"/>
      <c r="DJ21" s="1008"/>
      <c r="DK21" s="1008"/>
      <c r="DL21" s="1008"/>
      <c r="DM21" s="1008"/>
      <c r="DN21" s="1008"/>
      <c r="DO21" s="1256"/>
      <c r="DP21" s="1155">
        <f t="shared" si="7"/>
        <v>0</v>
      </c>
      <c r="DQ21" s="1155">
        <f t="shared" si="8"/>
        <v>0</v>
      </c>
      <c r="DR21" s="1155">
        <f t="shared" si="9"/>
        <v>0</v>
      </c>
      <c r="DS21" s="1155">
        <f t="shared" si="10"/>
        <v>0</v>
      </c>
      <c r="DT21" s="1155">
        <f t="shared" si="11"/>
        <v>0</v>
      </c>
      <c r="DU21" s="1155">
        <f t="shared" si="12"/>
        <v>0</v>
      </c>
      <c r="DV21" s="1155">
        <f t="shared" si="13"/>
        <v>0</v>
      </c>
      <c r="DW21" s="1155">
        <f t="shared" si="14"/>
        <v>0</v>
      </c>
      <c r="DX21" s="1155">
        <f t="shared" si="15"/>
        <v>0</v>
      </c>
      <c r="DY21" s="1155">
        <f t="shared" si="16"/>
        <v>0</v>
      </c>
      <c r="DZ21" s="1155">
        <f t="shared" si="17"/>
        <v>0</v>
      </c>
      <c r="EA21" s="1155">
        <f t="shared" si="18"/>
        <v>0</v>
      </c>
      <c r="EB21" s="1155">
        <f t="shared" si="19"/>
        <v>0</v>
      </c>
      <c r="EC21" s="1155">
        <f t="shared" si="20"/>
        <v>0</v>
      </c>
      <c r="ED21" s="1155">
        <f t="shared" si="21"/>
        <v>0</v>
      </c>
      <c r="EE21" s="1155">
        <f t="shared" si="22"/>
        <v>0</v>
      </c>
      <c r="EF21" s="1155">
        <f t="shared" si="23"/>
        <v>0</v>
      </c>
      <c r="EG21" s="1155">
        <f t="shared" si="24"/>
        <v>0</v>
      </c>
      <c r="EH21" s="1155">
        <f t="shared" si="25"/>
        <v>0</v>
      </c>
      <c r="EI21" s="1155">
        <f t="shared" si="26"/>
        <v>0</v>
      </c>
      <c r="EJ21" s="1155">
        <f t="shared" si="27"/>
        <v>0</v>
      </c>
      <c r="EK21" s="1155">
        <f t="shared" si="28"/>
        <v>0</v>
      </c>
      <c r="EL21" s="1155">
        <f t="shared" si="29"/>
        <v>0</v>
      </c>
      <c r="EM21" s="1155">
        <f t="shared" si="30"/>
        <v>0</v>
      </c>
      <c r="EN21" s="1155">
        <f t="shared" si="31"/>
        <v>0</v>
      </c>
      <c r="EO21" s="1155">
        <f t="shared" si="32"/>
        <v>0</v>
      </c>
      <c r="EP21" s="1155">
        <f t="shared" si="33"/>
        <v>0</v>
      </c>
      <c r="EQ21" s="1155">
        <f t="shared" si="34"/>
        <v>0</v>
      </c>
      <c r="ER21" s="1155">
        <f t="shared" si="35"/>
        <v>0</v>
      </c>
      <c r="ES21" s="1155">
        <f t="shared" si="36"/>
        <v>0</v>
      </c>
      <c r="ET21" s="1155">
        <f t="shared" si="37"/>
        <v>0</v>
      </c>
      <c r="EU21" s="1155">
        <f t="shared" si="38"/>
        <v>0</v>
      </c>
      <c r="EV21" s="1155">
        <f t="shared" si="39"/>
        <v>0</v>
      </c>
      <c r="EW21" s="1155">
        <f t="shared" si="40"/>
        <v>0</v>
      </c>
      <c r="EX21" s="1155">
        <f t="shared" si="41"/>
        <v>0</v>
      </c>
      <c r="EY21" s="1175">
        <f t="shared" si="42"/>
        <v>0</v>
      </c>
      <c r="EZ21" s="1256"/>
      <c r="FA21" s="1155">
        <f t="shared" si="43"/>
        <v>0</v>
      </c>
      <c r="FB21" s="1155">
        <f t="shared" si="44"/>
        <v>0</v>
      </c>
      <c r="FC21" s="1155">
        <f t="shared" si="45"/>
        <v>0</v>
      </c>
      <c r="FD21" s="1155">
        <f t="shared" si="46"/>
        <v>0</v>
      </c>
      <c r="FE21" s="1155">
        <f t="shared" si="47"/>
        <v>0</v>
      </c>
      <c r="FF21" s="1155">
        <f t="shared" si="48"/>
        <v>0</v>
      </c>
      <c r="FG21" s="1155">
        <f t="shared" si="49"/>
        <v>0</v>
      </c>
      <c r="FH21" s="1155">
        <f t="shared" si="50"/>
        <v>0</v>
      </c>
      <c r="FI21" s="1155">
        <f t="shared" si="51"/>
        <v>0</v>
      </c>
      <c r="FJ21" s="1155">
        <f t="shared" si="52"/>
        <v>0</v>
      </c>
      <c r="FK21" s="1155">
        <f t="shared" si="53"/>
        <v>0</v>
      </c>
      <c r="FL21" s="1155">
        <f t="shared" si="54"/>
        <v>0</v>
      </c>
      <c r="FM21" s="1155">
        <f t="shared" si="55"/>
        <v>0</v>
      </c>
      <c r="FN21" s="1155">
        <f t="shared" si="56"/>
        <v>0</v>
      </c>
      <c r="FO21" s="1155">
        <f t="shared" si="57"/>
        <v>0</v>
      </c>
      <c r="FP21" s="1155">
        <f t="shared" si="58"/>
        <v>0</v>
      </c>
      <c r="FQ21" s="1155">
        <f t="shared" si="59"/>
        <v>0</v>
      </c>
      <c r="FR21" s="1155">
        <f t="shared" si="60"/>
        <v>0</v>
      </c>
      <c r="FS21" s="1155">
        <f t="shared" si="61"/>
        <v>0</v>
      </c>
      <c r="FT21" s="1155">
        <f t="shared" si="62"/>
        <v>0</v>
      </c>
      <c r="FU21" s="1155">
        <f t="shared" si="63"/>
        <v>0</v>
      </c>
      <c r="FV21" s="1155">
        <f t="shared" si="64"/>
        <v>0</v>
      </c>
      <c r="FW21" s="1155">
        <f t="shared" si="65"/>
        <v>0</v>
      </c>
      <c r="FX21" s="1155">
        <f t="shared" si="66"/>
        <v>0</v>
      </c>
      <c r="FY21" s="1155">
        <f t="shared" si="67"/>
        <v>0</v>
      </c>
      <c r="FZ21" s="1155">
        <f t="shared" si="68"/>
        <v>0</v>
      </c>
      <c r="GA21" s="1155">
        <f t="shared" si="69"/>
        <v>0</v>
      </c>
      <c r="GB21" s="1155">
        <f t="shared" si="70"/>
        <v>0</v>
      </c>
      <c r="GC21" s="1155">
        <f t="shared" si="71"/>
        <v>0</v>
      </c>
      <c r="GD21" s="1155">
        <f t="shared" si="72"/>
        <v>0</v>
      </c>
      <c r="GE21" s="1155">
        <f t="shared" si="73"/>
        <v>0</v>
      </c>
      <c r="GF21" s="1155">
        <f t="shared" si="74"/>
        <v>0</v>
      </c>
      <c r="GG21" s="1155">
        <f t="shared" si="75"/>
        <v>0</v>
      </c>
      <c r="GH21" s="1155">
        <f t="shared" si="76"/>
        <v>0</v>
      </c>
      <c r="GI21" s="1155">
        <f t="shared" si="77"/>
        <v>0</v>
      </c>
      <c r="GJ21" s="1175">
        <f t="shared" si="78"/>
        <v>0</v>
      </c>
    </row>
    <row r="22" spans="1:192">
      <c r="B22" s="1259" t="str">
        <f>IF(Prop2021DUOSTariffs!B22="","",Prop2021DUOSTariffs!B22)</f>
        <v/>
      </c>
      <c r="C22" s="1259" t="str">
        <f>IF(Prop2021DUOSTariffs!C22="","",Prop2021DUOSTariffs!C22)</f>
        <v>West CAC22/11kVBus STOUD</v>
      </c>
      <c r="D22" s="1259" t="str">
        <f>IF(Prop2021DUOSTariffs!D22="","",Prop2021DUOSTariffs!D22)</f>
        <v>West CAC22/11kVBus STOUD</v>
      </c>
      <c r="E22" s="1259" t="str">
        <f>IF(Prop2021DUOSTariffs!E22="","",Prop2021DUOSTariffs!E22)</f>
        <v>CAC</v>
      </c>
      <c r="F22" s="1259" t="str">
        <f>IF(Prop2021DUOSTariffs!F22="","",Prop2021DUOSTariffs!F22)</f>
        <v>CAC</v>
      </c>
      <c r="G22" s="1259" t="str">
        <f>IF(Prop2021DUOSTariffs!G22="","",Prop2021DUOSTariffs!G22)</f>
        <v>West</v>
      </c>
      <c r="H22" s="1259" t="str">
        <f>IF(Prop2021DUOSTariffs!H22="","",Prop2021DUOSTariffs!H22)</f>
        <v>WC22BTOU</v>
      </c>
      <c r="I22" s="1259" t="s">
        <v>935</v>
      </c>
      <c r="J22" s="1256"/>
      <c r="K22" s="1233">
        <v>9.0663855911450444</v>
      </c>
      <c r="L22" s="1135"/>
      <c r="M22" s="1135"/>
      <c r="N22" s="1135"/>
      <c r="O22" s="1135"/>
      <c r="P22" s="1135"/>
      <c r="Q22" s="1135"/>
      <c r="R22" s="1135"/>
      <c r="S22" s="1135"/>
      <c r="T22" s="1135"/>
      <c r="U22" s="1135"/>
      <c r="V22" s="1135"/>
      <c r="W22" s="1135"/>
      <c r="X22" s="1135"/>
      <c r="Y22" s="1135"/>
      <c r="Z22" s="1135"/>
      <c r="AA22" s="1135"/>
      <c r="AB22" s="1135"/>
      <c r="AC22" s="1135"/>
      <c r="AD22" s="1135"/>
      <c r="AE22" s="1135"/>
      <c r="AF22" s="1005"/>
      <c r="AG22" s="1005"/>
      <c r="AH22" s="1224">
        <v>4.7327869570815872E-4</v>
      </c>
      <c r="AI22" s="1241"/>
      <c r="AJ22" s="1241"/>
      <c r="AK22" s="1241"/>
      <c r="AL22" s="1241"/>
      <c r="AM22" s="1241"/>
      <c r="AN22" s="1241"/>
      <c r="AO22" s="1241"/>
      <c r="AP22" s="1241"/>
      <c r="AQ22" s="1241"/>
      <c r="AR22" s="1241"/>
      <c r="AS22" s="1241"/>
      <c r="AT22" s="1256"/>
      <c r="AU22" s="1484">
        <v>0</v>
      </c>
      <c r="AV22" s="1241"/>
      <c r="AW22" s="1241"/>
      <c r="AX22" s="1241"/>
      <c r="AY22" s="1241"/>
      <c r="AZ22" s="1241"/>
      <c r="BA22" s="1241"/>
      <c r="BB22" s="1241"/>
      <c r="BC22" s="1241"/>
      <c r="BD22" s="1241"/>
      <c r="BE22" s="1241"/>
      <c r="BF22" s="1241"/>
      <c r="BG22" s="1241"/>
      <c r="BH22" s="1241"/>
      <c r="BI22" s="1241"/>
      <c r="BJ22" s="1241"/>
      <c r="BK22" s="1241"/>
      <c r="BL22" s="1241"/>
      <c r="BM22" s="1241"/>
      <c r="BN22" s="1241"/>
      <c r="BO22" s="1241"/>
      <c r="BP22" s="1241"/>
      <c r="BQ22" s="1241"/>
      <c r="BR22" s="1484">
        <v>0</v>
      </c>
      <c r="BS22" s="1241"/>
      <c r="BT22" s="1241"/>
      <c r="BU22" s="1241"/>
      <c r="BV22" s="1241"/>
      <c r="BW22" s="1241"/>
      <c r="BX22" s="1241"/>
      <c r="BY22" s="1241"/>
      <c r="BZ22" s="1241"/>
      <c r="CA22" s="1241"/>
      <c r="CB22" s="1241"/>
      <c r="CC22" s="1241"/>
      <c r="CD22" s="1256"/>
      <c r="CE22" s="1256"/>
      <c r="CF22" s="1265">
        <v>0</v>
      </c>
      <c r="CG22" s="1030"/>
      <c r="CH22" s="1030"/>
      <c r="CI22" s="1030"/>
      <c r="CJ22" s="1030"/>
      <c r="CK22" s="1030"/>
      <c r="CL22" s="1135"/>
      <c r="CM22" s="1135"/>
      <c r="CN22" s="1135"/>
      <c r="CO22" s="1135"/>
      <c r="CP22" s="1135"/>
      <c r="CQ22" s="1135"/>
      <c r="CR22" s="1135"/>
      <c r="CS22" s="1135"/>
      <c r="CT22" s="1135"/>
      <c r="CU22" s="1135"/>
      <c r="CV22" s="1135"/>
      <c r="CW22" s="1135"/>
      <c r="CX22" s="1135"/>
      <c r="CY22" s="1135"/>
      <c r="CZ22" s="1135"/>
      <c r="DA22" s="1008"/>
      <c r="DB22" s="1008"/>
      <c r="DC22" s="1265">
        <v>0</v>
      </c>
      <c r="DD22" s="1008"/>
      <c r="DE22" s="1008"/>
      <c r="DF22" s="1008"/>
      <c r="DG22" s="1008"/>
      <c r="DH22" s="1008"/>
      <c r="DI22" s="1008"/>
      <c r="DJ22" s="1008"/>
      <c r="DK22" s="1008"/>
      <c r="DL22" s="1008"/>
      <c r="DM22" s="1008"/>
      <c r="DN22" s="1008"/>
      <c r="DO22" s="1256"/>
      <c r="DP22" s="1155">
        <f t="shared" si="7"/>
        <v>0</v>
      </c>
      <c r="DQ22" s="1155">
        <f t="shared" si="8"/>
        <v>0</v>
      </c>
      <c r="DR22" s="1155">
        <f t="shared" si="9"/>
        <v>0</v>
      </c>
      <c r="DS22" s="1155">
        <f t="shared" si="10"/>
        <v>0</v>
      </c>
      <c r="DT22" s="1155">
        <f t="shared" si="11"/>
        <v>0</v>
      </c>
      <c r="DU22" s="1155">
        <f t="shared" si="12"/>
        <v>0</v>
      </c>
      <c r="DV22" s="1155">
        <f t="shared" si="13"/>
        <v>0</v>
      </c>
      <c r="DW22" s="1155">
        <f t="shared" si="14"/>
        <v>0</v>
      </c>
      <c r="DX22" s="1155">
        <f t="shared" si="15"/>
        <v>0</v>
      </c>
      <c r="DY22" s="1155">
        <f t="shared" si="16"/>
        <v>0</v>
      </c>
      <c r="DZ22" s="1155">
        <f t="shared" si="17"/>
        <v>0</v>
      </c>
      <c r="EA22" s="1155">
        <f t="shared" si="18"/>
        <v>0</v>
      </c>
      <c r="EB22" s="1155">
        <f t="shared" si="19"/>
        <v>0</v>
      </c>
      <c r="EC22" s="1155">
        <f t="shared" si="20"/>
        <v>0</v>
      </c>
      <c r="ED22" s="1155">
        <f t="shared" si="21"/>
        <v>0</v>
      </c>
      <c r="EE22" s="1155">
        <f t="shared" si="22"/>
        <v>0</v>
      </c>
      <c r="EF22" s="1155">
        <f t="shared" si="23"/>
        <v>0</v>
      </c>
      <c r="EG22" s="1155">
        <f t="shared" si="24"/>
        <v>0</v>
      </c>
      <c r="EH22" s="1155">
        <f t="shared" si="25"/>
        <v>0</v>
      </c>
      <c r="EI22" s="1155">
        <f t="shared" si="26"/>
        <v>0</v>
      </c>
      <c r="EJ22" s="1155">
        <f t="shared" si="27"/>
        <v>0</v>
      </c>
      <c r="EK22" s="1155">
        <f t="shared" si="28"/>
        <v>0</v>
      </c>
      <c r="EL22" s="1155">
        <f t="shared" si="29"/>
        <v>0</v>
      </c>
      <c r="EM22" s="1155">
        <f t="shared" si="30"/>
        <v>0</v>
      </c>
      <c r="EN22" s="1155">
        <f t="shared" si="31"/>
        <v>0</v>
      </c>
      <c r="EO22" s="1155">
        <f t="shared" si="32"/>
        <v>0</v>
      </c>
      <c r="EP22" s="1155">
        <f t="shared" si="33"/>
        <v>0</v>
      </c>
      <c r="EQ22" s="1155">
        <f t="shared" si="34"/>
        <v>0</v>
      </c>
      <c r="ER22" s="1155">
        <f t="shared" si="35"/>
        <v>0</v>
      </c>
      <c r="ES22" s="1155">
        <f t="shared" si="36"/>
        <v>0</v>
      </c>
      <c r="ET22" s="1155">
        <f t="shared" si="37"/>
        <v>0</v>
      </c>
      <c r="EU22" s="1155">
        <f t="shared" si="38"/>
        <v>0</v>
      </c>
      <c r="EV22" s="1155">
        <f t="shared" si="39"/>
        <v>0</v>
      </c>
      <c r="EW22" s="1155">
        <f t="shared" si="40"/>
        <v>0</v>
      </c>
      <c r="EX22" s="1155">
        <f t="shared" si="41"/>
        <v>0</v>
      </c>
      <c r="EY22" s="1175">
        <f t="shared" si="42"/>
        <v>0</v>
      </c>
      <c r="EZ22" s="1256"/>
      <c r="FA22" s="1155">
        <f t="shared" si="43"/>
        <v>0</v>
      </c>
      <c r="FB22" s="1155">
        <f t="shared" si="44"/>
        <v>0</v>
      </c>
      <c r="FC22" s="1155">
        <f t="shared" si="45"/>
        <v>0</v>
      </c>
      <c r="FD22" s="1155">
        <f t="shared" si="46"/>
        <v>0</v>
      </c>
      <c r="FE22" s="1155">
        <f t="shared" si="47"/>
        <v>0</v>
      </c>
      <c r="FF22" s="1155">
        <f t="shared" si="48"/>
        <v>0</v>
      </c>
      <c r="FG22" s="1155">
        <f t="shared" si="49"/>
        <v>0</v>
      </c>
      <c r="FH22" s="1155">
        <f t="shared" si="50"/>
        <v>0</v>
      </c>
      <c r="FI22" s="1155">
        <f t="shared" si="51"/>
        <v>0</v>
      </c>
      <c r="FJ22" s="1155">
        <f t="shared" si="52"/>
        <v>0</v>
      </c>
      <c r="FK22" s="1155">
        <f t="shared" si="53"/>
        <v>0</v>
      </c>
      <c r="FL22" s="1155">
        <f t="shared" si="54"/>
        <v>0</v>
      </c>
      <c r="FM22" s="1155">
        <f t="shared" si="55"/>
        <v>0</v>
      </c>
      <c r="FN22" s="1155">
        <f t="shared" si="56"/>
        <v>0</v>
      </c>
      <c r="FO22" s="1155">
        <f t="shared" si="57"/>
        <v>0</v>
      </c>
      <c r="FP22" s="1155">
        <f t="shared" si="58"/>
        <v>0</v>
      </c>
      <c r="FQ22" s="1155">
        <f t="shared" si="59"/>
        <v>0</v>
      </c>
      <c r="FR22" s="1155">
        <f t="shared" si="60"/>
        <v>0</v>
      </c>
      <c r="FS22" s="1155">
        <f t="shared" si="61"/>
        <v>0</v>
      </c>
      <c r="FT22" s="1155">
        <f t="shared" si="62"/>
        <v>0</v>
      </c>
      <c r="FU22" s="1155">
        <f t="shared" si="63"/>
        <v>0</v>
      </c>
      <c r="FV22" s="1155">
        <f t="shared" si="64"/>
        <v>0</v>
      </c>
      <c r="FW22" s="1155">
        <f t="shared" si="65"/>
        <v>0</v>
      </c>
      <c r="FX22" s="1155">
        <f t="shared" si="66"/>
        <v>0</v>
      </c>
      <c r="FY22" s="1155">
        <f t="shared" si="67"/>
        <v>0</v>
      </c>
      <c r="FZ22" s="1155">
        <f t="shared" si="68"/>
        <v>0</v>
      </c>
      <c r="GA22" s="1155">
        <f t="shared" si="69"/>
        <v>0</v>
      </c>
      <c r="GB22" s="1155">
        <f t="shared" si="70"/>
        <v>0</v>
      </c>
      <c r="GC22" s="1155">
        <f t="shared" si="71"/>
        <v>0</v>
      </c>
      <c r="GD22" s="1155">
        <f t="shared" si="72"/>
        <v>0</v>
      </c>
      <c r="GE22" s="1155">
        <f t="shared" si="73"/>
        <v>0</v>
      </c>
      <c r="GF22" s="1155">
        <f t="shared" si="74"/>
        <v>0</v>
      </c>
      <c r="GG22" s="1155">
        <f t="shared" si="75"/>
        <v>0</v>
      </c>
      <c r="GH22" s="1155">
        <f t="shared" si="76"/>
        <v>0</v>
      </c>
      <c r="GI22" s="1155">
        <f t="shared" si="77"/>
        <v>0</v>
      </c>
      <c r="GJ22" s="1175">
        <f t="shared" si="78"/>
        <v>0</v>
      </c>
    </row>
    <row r="23" spans="1:192">
      <c r="B23" s="1259" t="str">
        <f>IF(Prop2021DUOSTariffs!B23="","",Prop2021DUOSTariffs!B23)</f>
        <v/>
      </c>
      <c r="C23" s="1259" t="str">
        <f>IF(Prop2021DUOSTariffs!C23="","",Prop2021DUOSTariffs!C23)</f>
        <v>West CAC22/11kVLine STOUD</v>
      </c>
      <c r="D23" s="1259" t="str">
        <f>IF(Prop2021DUOSTariffs!D23="","",Prop2021DUOSTariffs!D23)</f>
        <v>West CAC22/11kVLine STOUD</v>
      </c>
      <c r="E23" s="1259" t="str">
        <f>IF(Prop2021DUOSTariffs!E23="","",Prop2021DUOSTariffs!E23)</f>
        <v>CAC</v>
      </c>
      <c r="F23" s="1259" t="str">
        <f>IF(Prop2021DUOSTariffs!F23="","",Prop2021DUOSTariffs!F23)</f>
        <v>CAC</v>
      </c>
      <c r="G23" s="1259" t="str">
        <f>IF(Prop2021DUOSTariffs!G23="","",Prop2021DUOSTariffs!G23)</f>
        <v>West</v>
      </c>
      <c r="H23" s="1259" t="str">
        <f>IF(Prop2021DUOSTariffs!H23="","",Prop2021DUOSTariffs!H23)</f>
        <v>WC22LTOU</v>
      </c>
      <c r="I23" s="1259" t="s">
        <v>935</v>
      </c>
      <c r="J23" s="1256"/>
      <c r="K23" s="1233">
        <v>9.0663855911450444</v>
      </c>
      <c r="L23" s="1135"/>
      <c r="M23" s="1135"/>
      <c r="N23" s="1135"/>
      <c r="O23" s="1135"/>
      <c r="P23" s="1135"/>
      <c r="Q23" s="1135"/>
      <c r="R23" s="1135"/>
      <c r="S23" s="1135"/>
      <c r="T23" s="1135"/>
      <c r="U23" s="1135"/>
      <c r="V23" s="1135"/>
      <c r="W23" s="1135"/>
      <c r="X23" s="1135"/>
      <c r="Y23" s="1135"/>
      <c r="Z23" s="1135"/>
      <c r="AA23" s="1135"/>
      <c r="AB23" s="1135"/>
      <c r="AC23" s="1135"/>
      <c r="AD23" s="1135"/>
      <c r="AE23" s="1135"/>
      <c r="AF23" s="1005"/>
      <c r="AG23" s="1005"/>
      <c r="AH23" s="1224">
        <v>4.7327869570815872E-4</v>
      </c>
      <c r="AI23" s="1241"/>
      <c r="AJ23" s="1241"/>
      <c r="AK23" s="1241"/>
      <c r="AL23" s="1241"/>
      <c r="AM23" s="1241"/>
      <c r="AN23" s="1241"/>
      <c r="AO23" s="1241"/>
      <c r="AP23" s="1241"/>
      <c r="AQ23" s="1241"/>
      <c r="AR23" s="1241"/>
      <c r="AS23" s="1241"/>
      <c r="AT23" s="1256"/>
      <c r="AU23" s="1484">
        <v>10.657</v>
      </c>
      <c r="AV23" s="1241"/>
      <c r="AW23" s="1241"/>
      <c r="AX23" s="1241"/>
      <c r="AY23" s="1241"/>
      <c r="AZ23" s="1241"/>
      <c r="BA23" s="1241"/>
      <c r="BB23" s="1241"/>
      <c r="BC23" s="1241"/>
      <c r="BD23" s="1241"/>
      <c r="BE23" s="1241"/>
      <c r="BF23" s="1241"/>
      <c r="BG23" s="1241"/>
      <c r="BH23" s="1241"/>
      <c r="BI23" s="1241"/>
      <c r="BJ23" s="1241"/>
      <c r="BK23" s="1241"/>
      <c r="BL23" s="1241"/>
      <c r="BM23" s="1241"/>
      <c r="BN23" s="1241"/>
      <c r="BO23" s="1241"/>
      <c r="BP23" s="1241"/>
      <c r="BQ23" s="1241"/>
      <c r="BR23" s="1484">
        <v>5.1000000000000004E-4</v>
      </c>
      <c r="BS23" s="1241"/>
      <c r="BT23" s="1241"/>
      <c r="BU23" s="1241"/>
      <c r="BV23" s="1241"/>
      <c r="BW23" s="1241"/>
      <c r="BX23" s="1241"/>
      <c r="BY23" s="1241"/>
      <c r="BZ23" s="1241"/>
      <c r="CA23" s="1241"/>
      <c r="CB23" s="1241"/>
      <c r="CC23" s="1241"/>
      <c r="CD23" s="1256"/>
      <c r="CE23" s="1256"/>
      <c r="CF23" s="1265">
        <v>0</v>
      </c>
      <c r="CG23" s="1030"/>
      <c r="CH23" s="1030"/>
      <c r="CI23" s="1030"/>
      <c r="CJ23" s="1030"/>
      <c r="CK23" s="1030"/>
      <c r="CL23" s="1135"/>
      <c r="CM23" s="1135"/>
      <c r="CN23" s="1135"/>
      <c r="CO23" s="1135"/>
      <c r="CP23" s="1135"/>
      <c r="CQ23" s="1135"/>
      <c r="CR23" s="1135"/>
      <c r="CS23" s="1135"/>
      <c r="CT23" s="1135"/>
      <c r="CU23" s="1135"/>
      <c r="CV23" s="1135"/>
      <c r="CW23" s="1135"/>
      <c r="CX23" s="1135"/>
      <c r="CY23" s="1135"/>
      <c r="CZ23" s="1135"/>
      <c r="DA23" s="1008"/>
      <c r="DB23" s="1008"/>
      <c r="DC23" s="1265">
        <v>0</v>
      </c>
      <c r="DD23" s="1008"/>
      <c r="DE23" s="1008"/>
      <c r="DF23" s="1008"/>
      <c r="DG23" s="1008"/>
      <c r="DH23" s="1008"/>
      <c r="DI23" s="1008"/>
      <c r="DJ23" s="1008"/>
      <c r="DK23" s="1008"/>
      <c r="DL23" s="1008"/>
      <c r="DM23" s="1008"/>
      <c r="DN23" s="1008"/>
      <c r="DO23" s="1256"/>
      <c r="DP23" s="1155">
        <f t="shared" si="7"/>
        <v>0</v>
      </c>
      <c r="DQ23" s="1155">
        <f t="shared" si="8"/>
        <v>0</v>
      </c>
      <c r="DR23" s="1155">
        <f t="shared" si="9"/>
        <v>0</v>
      </c>
      <c r="DS23" s="1155">
        <f t="shared" si="10"/>
        <v>0</v>
      </c>
      <c r="DT23" s="1155">
        <f t="shared" si="11"/>
        <v>0</v>
      </c>
      <c r="DU23" s="1155">
        <f t="shared" si="12"/>
        <v>0</v>
      </c>
      <c r="DV23" s="1155">
        <f t="shared" si="13"/>
        <v>0</v>
      </c>
      <c r="DW23" s="1155">
        <f t="shared" si="14"/>
        <v>0</v>
      </c>
      <c r="DX23" s="1155">
        <f t="shared" si="15"/>
        <v>0</v>
      </c>
      <c r="DY23" s="1155">
        <f t="shared" si="16"/>
        <v>0</v>
      </c>
      <c r="DZ23" s="1155">
        <f t="shared" si="17"/>
        <v>0</v>
      </c>
      <c r="EA23" s="1155">
        <f t="shared" si="18"/>
        <v>0</v>
      </c>
      <c r="EB23" s="1155">
        <f t="shared" si="19"/>
        <v>0</v>
      </c>
      <c r="EC23" s="1155">
        <f t="shared" si="20"/>
        <v>0</v>
      </c>
      <c r="ED23" s="1155">
        <f t="shared" si="21"/>
        <v>0</v>
      </c>
      <c r="EE23" s="1155">
        <f t="shared" si="22"/>
        <v>0</v>
      </c>
      <c r="EF23" s="1155">
        <f t="shared" si="23"/>
        <v>0</v>
      </c>
      <c r="EG23" s="1155">
        <f t="shared" si="24"/>
        <v>0</v>
      </c>
      <c r="EH23" s="1155">
        <f t="shared" si="25"/>
        <v>0</v>
      </c>
      <c r="EI23" s="1155">
        <f t="shared" si="26"/>
        <v>0</v>
      </c>
      <c r="EJ23" s="1155">
        <f t="shared" si="27"/>
        <v>0</v>
      </c>
      <c r="EK23" s="1155">
        <f t="shared" si="28"/>
        <v>0</v>
      </c>
      <c r="EL23" s="1155">
        <f t="shared" si="29"/>
        <v>0</v>
      </c>
      <c r="EM23" s="1155">
        <f t="shared" si="30"/>
        <v>0</v>
      </c>
      <c r="EN23" s="1155">
        <f t="shared" si="31"/>
        <v>0</v>
      </c>
      <c r="EO23" s="1155">
        <f t="shared" si="32"/>
        <v>0</v>
      </c>
      <c r="EP23" s="1155">
        <f t="shared" si="33"/>
        <v>0</v>
      </c>
      <c r="EQ23" s="1155">
        <f t="shared" si="34"/>
        <v>0</v>
      </c>
      <c r="ER23" s="1155">
        <f t="shared" si="35"/>
        <v>0</v>
      </c>
      <c r="ES23" s="1155">
        <f t="shared" si="36"/>
        <v>0</v>
      </c>
      <c r="ET23" s="1155">
        <f t="shared" si="37"/>
        <v>0</v>
      </c>
      <c r="EU23" s="1155">
        <f t="shared" si="38"/>
        <v>0</v>
      </c>
      <c r="EV23" s="1155">
        <f t="shared" si="39"/>
        <v>0</v>
      </c>
      <c r="EW23" s="1155">
        <f t="shared" si="40"/>
        <v>0</v>
      </c>
      <c r="EX23" s="1155">
        <f t="shared" si="41"/>
        <v>0</v>
      </c>
      <c r="EY23" s="1175">
        <f t="shared" si="42"/>
        <v>0</v>
      </c>
      <c r="EZ23" s="1256"/>
      <c r="FA23" s="1155">
        <f t="shared" si="43"/>
        <v>0</v>
      </c>
      <c r="FB23" s="1155">
        <f t="shared" si="44"/>
        <v>0</v>
      </c>
      <c r="FC23" s="1155">
        <f t="shared" si="45"/>
        <v>0</v>
      </c>
      <c r="FD23" s="1155">
        <f t="shared" si="46"/>
        <v>0</v>
      </c>
      <c r="FE23" s="1155">
        <f t="shared" si="47"/>
        <v>0</v>
      </c>
      <c r="FF23" s="1155">
        <f t="shared" si="48"/>
        <v>0</v>
      </c>
      <c r="FG23" s="1155">
        <f t="shared" si="49"/>
        <v>0</v>
      </c>
      <c r="FH23" s="1155">
        <f t="shared" si="50"/>
        <v>0</v>
      </c>
      <c r="FI23" s="1155">
        <f t="shared" si="51"/>
        <v>0</v>
      </c>
      <c r="FJ23" s="1155">
        <f t="shared" si="52"/>
        <v>0</v>
      </c>
      <c r="FK23" s="1155">
        <f t="shared" si="53"/>
        <v>0</v>
      </c>
      <c r="FL23" s="1155">
        <f t="shared" si="54"/>
        <v>0</v>
      </c>
      <c r="FM23" s="1155">
        <f t="shared" si="55"/>
        <v>0</v>
      </c>
      <c r="FN23" s="1155">
        <f t="shared" si="56"/>
        <v>0</v>
      </c>
      <c r="FO23" s="1155">
        <f t="shared" si="57"/>
        <v>0</v>
      </c>
      <c r="FP23" s="1155">
        <f t="shared" si="58"/>
        <v>0</v>
      </c>
      <c r="FQ23" s="1155">
        <f t="shared" si="59"/>
        <v>0</v>
      </c>
      <c r="FR23" s="1155">
        <f t="shared" si="60"/>
        <v>0</v>
      </c>
      <c r="FS23" s="1155">
        <f t="shared" si="61"/>
        <v>0</v>
      </c>
      <c r="FT23" s="1155">
        <f t="shared" si="62"/>
        <v>0</v>
      </c>
      <c r="FU23" s="1155">
        <f t="shared" si="63"/>
        <v>0</v>
      </c>
      <c r="FV23" s="1155">
        <f t="shared" si="64"/>
        <v>0</v>
      </c>
      <c r="FW23" s="1155">
        <f t="shared" si="65"/>
        <v>0</v>
      </c>
      <c r="FX23" s="1155">
        <f t="shared" si="66"/>
        <v>0</v>
      </c>
      <c r="FY23" s="1155">
        <f t="shared" si="67"/>
        <v>0</v>
      </c>
      <c r="FZ23" s="1155">
        <f t="shared" si="68"/>
        <v>0</v>
      </c>
      <c r="GA23" s="1155">
        <f t="shared" si="69"/>
        <v>0</v>
      </c>
      <c r="GB23" s="1155">
        <f t="shared" si="70"/>
        <v>0</v>
      </c>
      <c r="GC23" s="1155">
        <f t="shared" si="71"/>
        <v>0</v>
      </c>
      <c r="GD23" s="1155">
        <f t="shared" si="72"/>
        <v>0</v>
      </c>
      <c r="GE23" s="1155">
        <f t="shared" si="73"/>
        <v>0</v>
      </c>
      <c r="GF23" s="1155">
        <f t="shared" si="74"/>
        <v>0</v>
      </c>
      <c r="GG23" s="1155">
        <f t="shared" si="75"/>
        <v>0</v>
      </c>
      <c r="GH23" s="1155">
        <f t="shared" si="76"/>
        <v>0</v>
      </c>
      <c r="GI23" s="1155">
        <f t="shared" si="77"/>
        <v>0</v>
      </c>
      <c r="GJ23" s="1175">
        <f t="shared" si="78"/>
        <v>0</v>
      </c>
    </row>
    <row r="24" spans="1:192" ht="6" customHeight="1">
      <c r="A24" s="1205"/>
      <c r="B24" s="1184" t="s">
        <v>742</v>
      </c>
      <c r="C24" s="1184"/>
      <c r="D24" s="1184"/>
      <c r="E24" s="1184"/>
      <c r="F24" s="1184"/>
      <c r="G24" s="1184"/>
      <c r="H24" s="1184"/>
      <c r="I24" s="1184"/>
      <c r="J24" s="1207"/>
      <c r="K24" s="1184"/>
      <c r="L24" s="1184"/>
      <c r="M24" s="1184"/>
      <c r="N24" s="1184"/>
      <c r="O24" s="1184"/>
      <c r="P24" s="1184"/>
      <c r="Q24" s="1184"/>
      <c r="R24" s="1184"/>
      <c r="S24" s="1184"/>
      <c r="T24" s="1184"/>
      <c r="U24" s="1184"/>
      <c r="V24" s="1184"/>
      <c r="W24" s="1184"/>
      <c r="X24" s="1184"/>
      <c r="Y24" s="1184"/>
      <c r="Z24" s="1184"/>
      <c r="AA24" s="1184"/>
      <c r="AB24" s="1184"/>
      <c r="AC24" s="1184"/>
      <c r="AD24" s="1184"/>
      <c r="AE24" s="1184"/>
      <c r="AF24" s="1184"/>
      <c r="AG24" s="1184"/>
      <c r="AH24" s="1263"/>
      <c r="AI24" s="1263"/>
      <c r="AJ24" s="1263"/>
      <c r="AK24" s="1263"/>
      <c r="AL24" s="1263"/>
      <c r="AM24" s="1263"/>
      <c r="AN24" s="1263"/>
      <c r="AO24" s="1263"/>
      <c r="AP24" s="1263"/>
      <c r="AQ24" s="1263"/>
      <c r="AR24" s="1263"/>
      <c r="AS24" s="1263"/>
      <c r="AT24" s="1207"/>
      <c r="AU24" s="1263"/>
      <c r="AV24" s="1263"/>
      <c r="AW24" s="1263"/>
      <c r="AX24" s="1263"/>
      <c r="AY24" s="1263"/>
      <c r="AZ24" s="1263"/>
      <c r="BA24" s="1263"/>
      <c r="BB24" s="1263"/>
      <c r="BC24" s="1263"/>
      <c r="BD24" s="1263"/>
      <c r="BE24" s="1263"/>
      <c r="BF24" s="1263"/>
      <c r="BG24" s="1263"/>
      <c r="BH24" s="1263"/>
      <c r="BI24" s="1263"/>
      <c r="BJ24" s="1263"/>
      <c r="BK24" s="1263"/>
      <c r="BL24" s="1263"/>
      <c r="BM24" s="1263"/>
      <c r="BN24" s="1263"/>
      <c r="BO24" s="1263"/>
      <c r="BP24" s="1263"/>
      <c r="BQ24" s="1263"/>
      <c r="BR24" s="1263"/>
      <c r="BS24" s="1263"/>
      <c r="BT24" s="1263"/>
      <c r="BU24" s="1263"/>
      <c r="BV24" s="1263"/>
      <c r="BW24" s="1263"/>
      <c r="BX24" s="1263"/>
      <c r="BY24" s="1263"/>
      <c r="BZ24" s="1263"/>
      <c r="CA24" s="1263"/>
      <c r="CB24" s="1263"/>
      <c r="CC24" s="1263"/>
      <c r="CD24" s="1207"/>
      <c r="CE24" s="1207"/>
      <c r="CF24" s="1184"/>
      <c r="CG24" s="1184"/>
      <c r="CH24" s="1184"/>
      <c r="CI24" s="1184"/>
      <c r="CJ24" s="1184"/>
      <c r="CK24" s="1184"/>
      <c r="CL24" s="1184"/>
      <c r="CM24" s="1184"/>
      <c r="CN24" s="1184"/>
      <c r="CO24" s="1184"/>
      <c r="CP24" s="1184"/>
      <c r="CQ24" s="1184"/>
      <c r="CR24" s="1184"/>
      <c r="CS24" s="1184"/>
      <c r="CT24" s="1184"/>
      <c r="CU24" s="1184"/>
      <c r="CV24" s="1184"/>
      <c r="CW24" s="1184"/>
      <c r="CX24" s="1184"/>
      <c r="CY24" s="1184"/>
      <c r="CZ24" s="1184"/>
      <c r="DA24" s="1184"/>
      <c r="DB24" s="1184"/>
      <c r="DC24" s="1607"/>
      <c r="DD24" s="1184"/>
      <c r="DE24" s="1184"/>
      <c r="DF24" s="1184"/>
      <c r="DG24" s="1184"/>
      <c r="DH24" s="1184"/>
      <c r="DI24" s="1184"/>
      <c r="DJ24" s="1184"/>
      <c r="DK24" s="1184"/>
      <c r="DL24" s="1184"/>
      <c r="DM24" s="1184"/>
      <c r="DN24" s="1184"/>
      <c r="DO24" s="1207"/>
      <c r="DP24" s="1252"/>
      <c r="DQ24" s="1252"/>
      <c r="DR24" s="1252"/>
      <c r="DS24" s="1252"/>
      <c r="DT24" s="1252"/>
      <c r="DU24" s="1252"/>
      <c r="DV24" s="1252"/>
      <c r="DW24" s="1252"/>
      <c r="DX24" s="1252"/>
      <c r="DY24" s="1252"/>
      <c r="DZ24" s="1252"/>
      <c r="EA24" s="1252"/>
      <c r="EB24" s="1252"/>
      <c r="EC24" s="1252"/>
      <c r="ED24" s="1252"/>
      <c r="EE24" s="1252"/>
      <c r="EF24" s="1252"/>
      <c r="EG24" s="1252"/>
      <c r="EH24" s="1252"/>
      <c r="EI24" s="1252"/>
      <c r="EJ24" s="1252"/>
      <c r="EK24" s="1252"/>
      <c r="EL24" s="1252"/>
      <c r="EM24" s="1252"/>
      <c r="EN24" s="1252"/>
      <c r="EO24" s="1252"/>
      <c r="EP24" s="1252"/>
      <c r="EQ24" s="1252"/>
      <c r="ER24" s="1252"/>
      <c r="ES24" s="1252"/>
      <c r="ET24" s="1252"/>
      <c r="EU24" s="1252"/>
      <c r="EV24" s="1252"/>
      <c r="EW24" s="1252"/>
      <c r="EX24" s="1252"/>
      <c r="EY24" s="1252"/>
      <c r="EZ24" s="1207"/>
      <c r="FA24" s="1252"/>
      <c r="FB24" s="1252"/>
      <c r="FC24" s="1252"/>
      <c r="FD24" s="1252"/>
      <c r="FE24" s="1252"/>
      <c r="FF24" s="1252"/>
      <c r="FG24" s="1252"/>
      <c r="FH24" s="1252"/>
      <c r="FI24" s="1252"/>
      <c r="FJ24" s="1252"/>
      <c r="FK24" s="1252"/>
      <c r="FL24" s="1252"/>
      <c r="FM24" s="1252"/>
      <c r="FN24" s="1252"/>
      <c r="FO24" s="1252"/>
      <c r="FP24" s="1252"/>
      <c r="FQ24" s="1252"/>
      <c r="FR24" s="1252"/>
      <c r="FS24" s="1252"/>
      <c r="FT24" s="1252"/>
      <c r="FU24" s="1252"/>
      <c r="FV24" s="1252"/>
      <c r="FW24" s="1252"/>
      <c r="FX24" s="1252"/>
      <c r="FY24" s="1252"/>
      <c r="FZ24" s="1252"/>
      <c r="GA24" s="1252"/>
      <c r="GB24" s="1252"/>
      <c r="GC24" s="1252"/>
      <c r="GD24" s="1252"/>
      <c r="GE24" s="1252"/>
      <c r="GF24" s="1252"/>
      <c r="GG24" s="1252"/>
      <c r="GH24" s="1252"/>
      <c r="GI24" s="1252"/>
      <c r="GJ24" s="1252"/>
    </row>
    <row r="25" spans="1:192">
      <c r="B25" s="1259" t="str">
        <f>IF(Prop2021DUOSTariffs!B25="","",Prop2021DUOSTariffs!B25)</f>
        <v/>
      </c>
      <c r="C25" s="1259" t="str">
        <f>IF(Prop2021DUOSTariffs!C25="","",Prop2021DUOSTariffs!C25)</f>
        <v>East SAC&gt;100MWhpa DemandLarge</v>
      </c>
      <c r="D25" s="1259" t="str">
        <f>IF(Prop2021DUOSTariffs!D25="","",Prop2021DUOSTariffs!D25)</f>
        <v>East SAC&gt;100MWhpa DemandLarge</v>
      </c>
      <c r="E25" s="1259" t="str">
        <f>IF(Prop2021DUOSTariffs!E25="","",Prop2021DUOSTariffs!E25)</f>
        <v>SAC</v>
      </c>
      <c r="F25" s="1259" t="str">
        <f>IF(Prop2021DUOSTariffs!F25="","",Prop2021DUOSTariffs!F25)</f>
        <v>SACL</v>
      </c>
      <c r="G25" s="1259" t="str">
        <f>IF(Prop2021DUOSTariffs!G25="","",Prop2021DUOSTariffs!G25)</f>
        <v>East</v>
      </c>
      <c r="H25" s="1259" t="str">
        <f>IF(Prop2021DUOSTariffs!H25="","",Prop2021DUOSTariffs!H25)</f>
        <v>EDLT</v>
      </c>
      <c r="I25" s="1259" t="s">
        <v>935</v>
      </c>
      <c r="J25" s="1256"/>
      <c r="K25" s="1233">
        <v>0.50710714478107033</v>
      </c>
      <c r="L25" s="1135"/>
      <c r="M25" s="1135"/>
      <c r="N25" s="1135"/>
      <c r="O25" s="1135"/>
      <c r="P25" s="1135"/>
      <c r="Q25" s="1135"/>
      <c r="R25" s="1135"/>
      <c r="S25" s="1135"/>
      <c r="T25" s="1135"/>
      <c r="U25" s="1135"/>
      <c r="V25" s="1135"/>
      <c r="W25" s="1135"/>
      <c r="X25" s="1135"/>
      <c r="Y25" s="1135"/>
      <c r="Z25" s="1135"/>
      <c r="AA25" s="1135"/>
      <c r="AB25" s="1135"/>
      <c r="AC25" s="1135"/>
      <c r="AD25" s="1135"/>
      <c r="AE25" s="1135"/>
      <c r="AF25" s="1005"/>
      <c r="AG25" s="1005"/>
      <c r="AH25" s="1224">
        <v>6.0979236673115429E-4</v>
      </c>
      <c r="AI25" s="1241"/>
      <c r="AJ25" s="1241"/>
      <c r="AK25" s="1241"/>
      <c r="AL25" s="1241"/>
      <c r="AM25" s="1241"/>
      <c r="AN25" s="1241"/>
      <c r="AO25" s="1241"/>
      <c r="AP25" s="1241"/>
      <c r="AQ25" s="1241"/>
      <c r="AR25" s="1241"/>
      <c r="AS25" s="1241"/>
      <c r="AT25" s="1256"/>
      <c r="AU25" s="1484">
        <v>0.52114284195462635</v>
      </c>
      <c r="AV25" s="1241"/>
      <c r="AW25" s="1241"/>
      <c r="AX25" s="1241"/>
      <c r="AY25" s="1241"/>
      <c r="AZ25" s="1241"/>
      <c r="BA25" s="1241"/>
      <c r="BB25" s="1241"/>
      <c r="BC25" s="1241"/>
      <c r="BD25" s="1241"/>
      <c r="BE25" s="1241"/>
      <c r="BF25" s="1241"/>
      <c r="BG25" s="1241"/>
      <c r="BH25" s="1241"/>
      <c r="BI25" s="1241"/>
      <c r="BJ25" s="1241"/>
      <c r="BK25" s="1241"/>
      <c r="BL25" s="1241"/>
      <c r="BM25" s="1241"/>
      <c r="BN25" s="1241"/>
      <c r="BO25" s="1241"/>
      <c r="BP25" s="1241"/>
      <c r="BQ25" s="1241"/>
      <c r="BR25" s="1484">
        <v>6.4230630447923212E-4</v>
      </c>
      <c r="BS25" s="1241"/>
      <c r="BT25" s="1241"/>
      <c r="BU25" s="1241"/>
      <c r="BV25" s="1241"/>
      <c r="BW25" s="1241"/>
      <c r="BX25" s="1241"/>
      <c r="BY25" s="1241"/>
      <c r="BZ25" s="1241"/>
      <c r="CA25" s="1241"/>
      <c r="CB25" s="1241"/>
      <c r="CC25" s="1241"/>
      <c r="CD25" s="1256"/>
      <c r="CE25" s="1256"/>
      <c r="CF25" s="1265">
        <v>244.99999999999997</v>
      </c>
      <c r="CG25" s="1030"/>
      <c r="CH25" s="1030"/>
      <c r="CI25" s="1030"/>
      <c r="CJ25" s="1030"/>
      <c r="CK25" s="1030"/>
      <c r="CL25" s="1135"/>
      <c r="CM25" s="1135"/>
      <c r="CN25" s="1135"/>
      <c r="CO25" s="1135"/>
      <c r="CP25" s="1135"/>
      <c r="CQ25" s="1135"/>
      <c r="CR25" s="1135"/>
      <c r="CS25" s="1135"/>
      <c r="CT25" s="1135"/>
      <c r="CU25" s="1135"/>
      <c r="CV25" s="1135"/>
      <c r="CW25" s="1135"/>
      <c r="CX25" s="1135"/>
      <c r="CY25" s="1135"/>
      <c r="CZ25" s="1135"/>
      <c r="DA25" s="1008"/>
      <c r="DB25" s="1008"/>
      <c r="DC25" s="1265">
        <v>381966646.69999993</v>
      </c>
      <c r="DD25" s="1008"/>
      <c r="DE25" s="1008"/>
      <c r="DF25" s="1008"/>
      <c r="DG25" s="1008"/>
      <c r="DH25" s="1008"/>
      <c r="DI25" s="1008"/>
      <c r="DJ25" s="1008"/>
      <c r="DK25" s="1008"/>
      <c r="DL25" s="1008"/>
      <c r="DM25" s="1008"/>
      <c r="DN25" s="1008"/>
      <c r="DO25" s="1256"/>
      <c r="DP25" s="1155">
        <f t="shared" ref="DP25:DP45" si="79">K25*CF25*DP$107</f>
        <v>45348.056422047208</v>
      </c>
      <c r="DQ25" s="1155">
        <f t="shared" ref="DQ25:DQ45" si="80">L25*CG25*DQ$107</f>
        <v>0</v>
      </c>
      <c r="DR25" s="1155">
        <f t="shared" ref="DR25:DR45" si="81">M25*CH25*DR$107</f>
        <v>0</v>
      </c>
      <c r="DS25" s="1155">
        <f t="shared" ref="DS25:DS45" si="82">N25*CI25*DS$107</f>
        <v>0</v>
      </c>
      <c r="DT25" s="1155">
        <f t="shared" ref="DT25:DT45" si="83">O25*CJ25*DT$107</f>
        <v>0</v>
      </c>
      <c r="DU25" s="1155">
        <f t="shared" ref="DU25:DU45" si="84">P25*CK25*DU$107</f>
        <v>0</v>
      </c>
      <c r="DV25" s="1155">
        <f t="shared" ref="DV25:DV45" si="85">Q25*CL25*DV$107</f>
        <v>0</v>
      </c>
      <c r="DW25" s="1155">
        <f t="shared" ref="DW25:DW45" si="86">R25*CM25*DW$107</f>
        <v>0</v>
      </c>
      <c r="DX25" s="1155">
        <f t="shared" ref="DX25:DX45" si="87">S25*CN25*DX$107</f>
        <v>0</v>
      </c>
      <c r="DY25" s="1155">
        <f t="shared" ref="DY25:DY45" si="88">T25*CO25*DY$107</f>
        <v>0</v>
      </c>
      <c r="DZ25" s="1155">
        <f t="shared" ref="DZ25:DZ45" si="89">U25*CP25*DZ$107</f>
        <v>0</v>
      </c>
      <c r="EA25" s="1155">
        <f t="shared" ref="EA25:EA45" si="90">V25*CQ25*EA$107</f>
        <v>0</v>
      </c>
      <c r="EB25" s="1155">
        <f t="shared" ref="EB25:EB45" si="91">W25*CR25*EB$107</f>
        <v>0</v>
      </c>
      <c r="EC25" s="1155">
        <f t="shared" ref="EC25:EC45" si="92">X25*CS25*EC$107</f>
        <v>0</v>
      </c>
      <c r="ED25" s="1155">
        <f t="shared" ref="ED25:ED45" si="93">Y25*CT25*ED$107</f>
        <v>0</v>
      </c>
      <c r="EE25" s="1155">
        <f t="shared" ref="EE25:EE45" si="94">Z25*CU25*EE$107</f>
        <v>0</v>
      </c>
      <c r="EF25" s="1155">
        <f t="shared" ref="EF25:EF45" si="95">AA25*CV25*EF$107</f>
        <v>0</v>
      </c>
      <c r="EG25" s="1155">
        <f t="shared" ref="EG25:EG45" si="96">AB25*CW25*EG$107</f>
        <v>0</v>
      </c>
      <c r="EH25" s="1155">
        <f t="shared" ref="EH25:EH45" si="97">AC25*CX25*EH$107</f>
        <v>0</v>
      </c>
      <c r="EI25" s="1155">
        <f t="shared" ref="EI25:EI45" si="98">AD25*CY25*EI$107</f>
        <v>0</v>
      </c>
      <c r="EJ25" s="1155">
        <f t="shared" ref="EJ25:EJ45" si="99">AE25*CZ25*EJ$107</f>
        <v>0</v>
      </c>
      <c r="EK25" s="1155">
        <f t="shared" ref="EK25:EK45" si="100">AF25*DA25*EK$107</f>
        <v>0</v>
      </c>
      <c r="EL25" s="1155">
        <f t="shared" ref="EL25:EL45" si="101">AG25*DB25*EL$107</f>
        <v>0</v>
      </c>
      <c r="EM25" s="1155">
        <f t="shared" ref="EM25:EM45" si="102">AH25*DC25*EM$107</f>
        <v>232920.34550355561</v>
      </c>
      <c r="EN25" s="1155">
        <f t="shared" ref="EN25:EN45" si="103">AI25*DD25*EN$107</f>
        <v>0</v>
      </c>
      <c r="EO25" s="1155">
        <f t="shared" ref="EO25:EO45" si="104">AJ25*DE25*EO$107</f>
        <v>0</v>
      </c>
      <c r="EP25" s="1155">
        <f t="shared" ref="EP25:EP45" si="105">AK25*DF25*EP$107</f>
        <v>0</v>
      </c>
      <c r="EQ25" s="1155">
        <f t="shared" ref="EQ25:EQ45" si="106">AL25*DG25*EQ$107</f>
        <v>0</v>
      </c>
      <c r="ER25" s="1155">
        <f t="shared" ref="ER25:ER45" si="107">AM25*DH25*ER$107</f>
        <v>0</v>
      </c>
      <c r="ES25" s="1155">
        <f t="shared" ref="ES25:ES45" si="108">AN25*DI25*ES$107</f>
        <v>0</v>
      </c>
      <c r="ET25" s="1155">
        <f t="shared" ref="ET25:ET45" si="109">AO25*DJ25*ET$107</f>
        <v>0</v>
      </c>
      <c r="EU25" s="1155">
        <f t="shared" ref="EU25:EU45" si="110">AP25*DK25*EU$107</f>
        <v>0</v>
      </c>
      <c r="EV25" s="1155">
        <f t="shared" ref="EV25:EV45" si="111">AQ25*DL25*EV$107</f>
        <v>0</v>
      </c>
      <c r="EW25" s="1155">
        <f t="shared" ref="EW25:EW45" si="112">AR25*DM25*EW$107</f>
        <v>0</v>
      </c>
      <c r="EX25" s="1155">
        <f t="shared" ref="EX25:EX45" si="113">AS25*DN25*EX$107</f>
        <v>0</v>
      </c>
      <c r="EY25" s="1175">
        <f t="shared" ref="EY25:EY45" si="114">SUM(DP25:EX25)</f>
        <v>278268.40192560281</v>
      </c>
      <c r="EZ25" s="1256"/>
      <c r="FA25" s="1155">
        <f t="shared" ref="FA25:FA45" si="115">AU25*CF25*FA$107</f>
        <v>46603.198641792456</v>
      </c>
      <c r="FB25" s="1155">
        <f t="shared" ref="FB25:FB45" si="116">AV25*CG25*FB$107</f>
        <v>0</v>
      </c>
      <c r="FC25" s="1155">
        <f t="shared" ref="FC25:FC45" si="117">AW25*CH25*FC$107</f>
        <v>0</v>
      </c>
      <c r="FD25" s="1155">
        <f t="shared" ref="FD25:FD45" si="118">AX25*CI25*FD$107</f>
        <v>0</v>
      </c>
      <c r="FE25" s="1155">
        <f t="shared" ref="FE25:FE45" si="119">AY25*CJ25*FE$107</f>
        <v>0</v>
      </c>
      <c r="FF25" s="1155">
        <f t="shared" ref="FF25:FF45" si="120">AZ25*CK25*FF$107</f>
        <v>0</v>
      </c>
      <c r="FG25" s="1155">
        <f t="shared" ref="FG25:FG45" si="121">BA25*CL25*FG$107</f>
        <v>0</v>
      </c>
      <c r="FH25" s="1155">
        <f t="shared" ref="FH25:FH45" si="122">BB25*CM25*FH$107</f>
        <v>0</v>
      </c>
      <c r="FI25" s="1155">
        <f t="shared" ref="FI25:FI45" si="123">BC25*CN25*FI$107</f>
        <v>0</v>
      </c>
      <c r="FJ25" s="1155">
        <f t="shared" ref="FJ25:FJ45" si="124">BD25*CO25*FJ$107</f>
        <v>0</v>
      </c>
      <c r="FK25" s="1155">
        <f t="shared" ref="FK25:FK45" si="125">BE25*CP25*FK$107</f>
        <v>0</v>
      </c>
      <c r="FL25" s="1155">
        <f t="shared" ref="FL25:FL45" si="126">BF25*CQ25*FL$107</f>
        <v>0</v>
      </c>
      <c r="FM25" s="1155">
        <f t="shared" ref="FM25:FM45" si="127">BG25*CR25*FM$107</f>
        <v>0</v>
      </c>
      <c r="FN25" s="1155">
        <f t="shared" ref="FN25:FN45" si="128">BH25*CS25*FN$107</f>
        <v>0</v>
      </c>
      <c r="FO25" s="1155">
        <f t="shared" ref="FO25:FO45" si="129">BI25*CT25*FO$107</f>
        <v>0</v>
      </c>
      <c r="FP25" s="1155">
        <f t="shared" ref="FP25:FP45" si="130">BJ25*CU25*FP$107</f>
        <v>0</v>
      </c>
      <c r="FQ25" s="1155">
        <f t="shared" ref="FQ25:FQ45" si="131">BK25*CV25*FQ$107</f>
        <v>0</v>
      </c>
      <c r="FR25" s="1155">
        <f t="shared" ref="FR25:FR45" si="132">BL25*CW25*FR$107</f>
        <v>0</v>
      </c>
      <c r="FS25" s="1155">
        <f t="shared" ref="FS25:FS45" si="133">BM25*CX25*FS$107</f>
        <v>0</v>
      </c>
      <c r="FT25" s="1155">
        <f t="shared" ref="FT25:FT45" si="134">BN25*CY25*FT$107</f>
        <v>0</v>
      </c>
      <c r="FU25" s="1155">
        <f t="shared" ref="FU25:FU45" si="135">BO25*CZ25*FU$107</f>
        <v>0</v>
      </c>
      <c r="FV25" s="1155">
        <f t="shared" ref="FV25:FV45" si="136">BP25*DA25*FV$107</f>
        <v>0</v>
      </c>
      <c r="FW25" s="1155">
        <f t="shared" ref="FW25:FW45" si="137">BQ25*DB25*FW$107</f>
        <v>0</v>
      </c>
      <c r="FX25" s="1155">
        <f t="shared" ref="FX25:FX45" si="138">BR25*DC25*FX$107</f>
        <v>245339.58527620143</v>
      </c>
      <c r="FY25" s="1155">
        <f t="shared" ref="FY25:FY45" si="139">BS25*DD25*FY$107</f>
        <v>0</v>
      </c>
      <c r="FZ25" s="1155">
        <f t="shared" ref="FZ25:FZ45" si="140">BT25*DE25*FZ$107</f>
        <v>0</v>
      </c>
      <c r="GA25" s="1155">
        <f t="shared" ref="GA25:GA45" si="141">BU25*DF25*GA$107</f>
        <v>0</v>
      </c>
      <c r="GB25" s="1155">
        <f t="shared" ref="GB25:GB45" si="142">BV25*DG25*GB$107</f>
        <v>0</v>
      </c>
      <c r="GC25" s="1155">
        <f t="shared" ref="GC25:GC45" si="143">BW25*DH25*GC$107</f>
        <v>0</v>
      </c>
      <c r="GD25" s="1155">
        <f t="shared" ref="GD25:GD45" si="144">BX25*DI25*GD$107</f>
        <v>0</v>
      </c>
      <c r="GE25" s="1155">
        <f t="shared" ref="GE25:GE45" si="145">BY25*DJ25*GE$107</f>
        <v>0</v>
      </c>
      <c r="GF25" s="1155">
        <f t="shared" ref="GF25:GF45" si="146">BZ25*DK25*GF$107</f>
        <v>0</v>
      </c>
      <c r="GG25" s="1155">
        <f t="shared" ref="GG25:GG45" si="147">CA25*DL25*GG$107</f>
        <v>0</v>
      </c>
      <c r="GH25" s="1155">
        <f t="shared" ref="GH25:GH45" si="148">CB25*DM25*GH$107</f>
        <v>0</v>
      </c>
      <c r="GI25" s="1155">
        <f t="shared" ref="GI25:GI45" si="149">CC25*DN25*GI$107</f>
        <v>0</v>
      </c>
      <c r="GJ25" s="1175">
        <f t="shared" ref="GJ25:GJ45" si="150">SUM(FA25:GI25)</f>
        <v>291942.78391799389</v>
      </c>
    </row>
    <row r="26" spans="1:192">
      <c r="B26" s="1259" t="str">
        <f>IF(Prop2021DUOSTariffs!B26="","",Prop2021DUOSTariffs!B26)</f>
        <v/>
      </c>
      <c r="C26" s="1259" t="str">
        <f>IF(Prop2021DUOSTariffs!C26="","",Prop2021DUOSTariffs!C26)</f>
        <v>East SAC&gt;100MWhpa DemandMedium</v>
      </c>
      <c r="D26" s="1259" t="str">
        <f>IF(Prop2021DUOSTariffs!D26="","",Prop2021DUOSTariffs!D26)</f>
        <v>East SAC&gt;100MWhpa DemandMedium</v>
      </c>
      <c r="E26" s="1259" t="str">
        <f>IF(Prop2021DUOSTariffs!E26="","",Prop2021DUOSTariffs!E26)</f>
        <v>SAC</v>
      </c>
      <c r="F26" s="1259" t="str">
        <f>IF(Prop2021DUOSTariffs!F26="","",Prop2021DUOSTariffs!F26)</f>
        <v>SACL</v>
      </c>
      <c r="G26" s="1259" t="str">
        <f>IF(Prop2021DUOSTariffs!G26="","",Prop2021DUOSTariffs!G26)</f>
        <v>East</v>
      </c>
      <c r="H26" s="1259" t="str">
        <f>IF(Prop2021DUOSTariffs!H26="","",Prop2021DUOSTariffs!H26)</f>
        <v>EDMT</v>
      </c>
      <c r="I26" s="1259" t="s">
        <v>935</v>
      </c>
      <c r="J26" s="1256"/>
      <c r="K26" s="1233">
        <v>0.50710714478107033</v>
      </c>
      <c r="L26" s="1135"/>
      <c r="M26" s="1135"/>
      <c r="N26" s="1135"/>
      <c r="O26" s="1135"/>
      <c r="P26" s="1135"/>
      <c r="Q26" s="1135"/>
      <c r="R26" s="1135"/>
      <c r="S26" s="1135"/>
      <c r="T26" s="1135"/>
      <c r="U26" s="1135"/>
      <c r="V26" s="1135"/>
      <c r="W26" s="1135"/>
      <c r="X26" s="1135"/>
      <c r="Y26" s="1135"/>
      <c r="Z26" s="1135"/>
      <c r="AA26" s="1135"/>
      <c r="AB26" s="1135"/>
      <c r="AC26" s="1135"/>
      <c r="AD26" s="1135"/>
      <c r="AE26" s="1135"/>
      <c r="AF26" s="1005"/>
      <c r="AG26" s="1005"/>
      <c r="AH26" s="1224">
        <v>6.0979236673115429E-4</v>
      </c>
      <c r="AI26" s="1241"/>
      <c r="AJ26" s="1241"/>
      <c r="AK26" s="1241"/>
      <c r="AL26" s="1241"/>
      <c r="AM26" s="1241"/>
      <c r="AN26" s="1241"/>
      <c r="AO26" s="1241"/>
      <c r="AP26" s="1241"/>
      <c r="AQ26" s="1241"/>
      <c r="AR26" s="1241"/>
      <c r="AS26" s="1241"/>
      <c r="AT26" s="1256"/>
      <c r="AU26" s="1484">
        <v>0.52114284195462635</v>
      </c>
      <c r="AV26" s="1241"/>
      <c r="AW26" s="1241"/>
      <c r="AX26" s="1241"/>
      <c r="AY26" s="1241"/>
      <c r="AZ26" s="1241"/>
      <c r="BA26" s="1241"/>
      <c r="BB26" s="1241"/>
      <c r="BC26" s="1241"/>
      <c r="BD26" s="1241"/>
      <c r="BE26" s="1241"/>
      <c r="BF26" s="1241"/>
      <c r="BG26" s="1241"/>
      <c r="BH26" s="1241"/>
      <c r="BI26" s="1241"/>
      <c r="BJ26" s="1241"/>
      <c r="BK26" s="1241"/>
      <c r="BL26" s="1241"/>
      <c r="BM26" s="1241"/>
      <c r="BN26" s="1241"/>
      <c r="BO26" s="1241"/>
      <c r="BP26" s="1241"/>
      <c r="BQ26" s="1241"/>
      <c r="BR26" s="1484">
        <v>6.4230630447923212E-4</v>
      </c>
      <c r="BS26" s="1241"/>
      <c r="BT26" s="1241"/>
      <c r="BU26" s="1241"/>
      <c r="BV26" s="1241"/>
      <c r="BW26" s="1241"/>
      <c r="BX26" s="1241"/>
      <c r="BY26" s="1241"/>
      <c r="BZ26" s="1241"/>
      <c r="CA26" s="1241"/>
      <c r="CB26" s="1241"/>
      <c r="CC26" s="1241"/>
      <c r="CD26" s="1256"/>
      <c r="CE26" s="1256"/>
      <c r="CF26" s="1265">
        <v>1372.3299999999997</v>
      </c>
      <c r="CG26" s="1030"/>
      <c r="CH26" s="1030"/>
      <c r="CI26" s="1030"/>
      <c r="CJ26" s="1030"/>
      <c r="CK26" s="1030"/>
      <c r="CL26" s="1135"/>
      <c r="CM26" s="1135"/>
      <c r="CN26" s="1135"/>
      <c r="CO26" s="1135"/>
      <c r="CP26" s="1135"/>
      <c r="CQ26" s="1135"/>
      <c r="CR26" s="1135"/>
      <c r="CS26" s="1135"/>
      <c r="CT26" s="1135"/>
      <c r="CU26" s="1135"/>
      <c r="CV26" s="1135"/>
      <c r="CW26" s="1135"/>
      <c r="CX26" s="1135"/>
      <c r="CY26" s="1135"/>
      <c r="CZ26" s="1135"/>
      <c r="DA26" s="1008"/>
      <c r="DB26" s="1008"/>
      <c r="DC26" s="1265">
        <v>1031276450.4399999</v>
      </c>
      <c r="DD26" s="1008"/>
      <c r="DE26" s="1008"/>
      <c r="DF26" s="1008"/>
      <c r="DG26" s="1008"/>
      <c r="DH26" s="1008"/>
      <c r="DI26" s="1008"/>
      <c r="DJ26" s="1008"/>
      <c r="DK26" s="1008"/>
      <c r="DL26" s="1008"/>
      <c r="DM26" s="1008"/>
      <c r="DN26" s="1008"/>
      <c r="DO26" s="1256"/>
      <c r="DP26" s="1155">
        <f t="shared" si="79"/>
        <v>254010.19701905322</v>
      </c>
      <c r="DQ26" s="1155">
        <f t="shared" si="80"/>
        <v>0</v>
      </c>
      <c r="DR26" s="1155">
        <f t="shared" si="81"/>
        <v>0</v>
      </c>
      <c r="DS26" s="1155">
        <f t="shared" si="82"/>
        <v>0</v>
      </c>
      <c r="DT26" s="1155">
        <f t="shared" si="83"/>
        <v>0</v>
      </c>
      <c r="DU26" s="1155">
        <f t="shared" si="84"/>
        <v>0</v>
      </c>
      <c r="DV26" s="1155">
        <f t="shared" si="85"/>
        <v>0</v>
      </c>
      <c r="DW26" s="1155">
        <f t="shared" si="86"/>
        <v>0</v>
      </c>
      <c r="DX26" s="1155">
        <f t="shared" si="87"/>
        <v>0</v>
      </c>
      <c r="DY26" s="1155">
        <f t="shared" si="88"/>
        <v>0</v>
      </c>
      <c r="DZ26" s="1155">
        <f t="shared" si="89"/>
        <v>0</v>
      </c>
      <c r="EA26" s="1155">
        <f t="shared" si="90"/>
        <v>0</v>
      </c>
      <c r="EB26" s="1155">
        <f t="shared" si="91"/>
        <v>0</v>
      </c>
      <c r="EC26" s="1155">
        <f t="shared" si="92"/>
        <v>0</v>
      </c>
      <c r="ED26" s="1155">
        <f t="shared" si="93"/>
        <v>0</v>
      </c>
      <c r="EE26" s="1155">
        <f t="shared" si="94"/>
        <v>0</v>
      </c>
      <c r="EF26" s="1155">
        <f t="shared" si="95"/>
        <v>0</v>
      </c>
      <c r="EG26" s="1155">
        <f t="shared" si="96"/>
        <v>0</v>
      </c>
      <c r="EH26" s="1155">
        <f t="shared" si="97"/>
        <v>0</v>
      </c>
      <c r="EI26" s="1155">
        <f t="shared" si="98"/>
        <v>0</v>
      </c>
      <c r="EJ26" s="1155">
        <f t="shared" si="99"/>
        <v>0</v>
      </c>
      <c r="EK26" s="1155">
        <f t="shared" si="100"/>
        <v>0</v>
      </c>
      <c r="EL26" s="1155">
        <f t="shared" si="101"/>
        <v>0</v>
      </c>
      <c r="EM26" s="1155">
        <f t="shared" si="102"/>
        <v>628864.50746791146</v>
      </c>
      <c r="EN26" s="1155">
        <f t="shared" si="103"/>
        <v>0</v>
      </c>
      <c r="EO26" s="1155">
        <f t="shared" si="104"/>
        <v>0</v>
      </c>
      <c r="EP26" s="1155">
        <f t="shared" si="105"/>
        <v>0</v>
      </c>
      <c r="EQ26" s="1155">
        <f t="shared" si="106"/>
        <v>0</v>
      </c>
      <c r="ER26" s="1155">
        <f t="shared" si="107"/>
        <v>0</v>
      </c>
      <c r="ES26" s="1155">
        <f t="shared" si="108"/>
        <v>0</v>
      </c>
      <c r="ET26" s="1155">
        <f t="shared" si="109"/>
        <v>0</v>
      </c>
      <c r="EU26" s="1155">
        <f t="shared" si="110"/>
        <v>0</v>
      </c>
      <c r="EV26" s="1155">
        <f t="shared" si="111"/>
        <v>0</v>
      </c>
      <c r="EW26" s="1155">
        <f t="shared" si="112"/>
        <v>0</v>
      </c>
      <c r="EX26" s="1155">
        <f t="shared" si="113"/>
        <v>0</v>
      </c>
      <c r="EY26" s="1175">
        <f t="shared" si="114"/>
        <v>882874.70448696474</v>
      </c>
      <c r="EZ26" s="1256"/>
      <c r="FA26" s="1155">
        <f t="shared" si="115"/>
        <v>261040.68404935114</v>
      </c>
      <c r="FB26" s="1155">
        <f t="shared" si="116"/>
        <v>0</v>
      </c>
      <c r="FC26" s="1155">
        <f t="shared" si="117"/>
        <v>0</v>
      </c>
      <c r="FD26" s="1155">
        <f t="shared" si="118"/>
        <v>0</v>
      </c>
      <c r="FE26" s="1155">
        <f t="shared" si="119"/>
        <v>0</v>
      </c>
      <c r="FF26" s="1155">
        <f t="shared" si="120"/>
        <v>0</v>
      </c>
      <c r="FG26" s="1155">
        <f t="shared" si="121"/>
        <v>0</v>
      </c>
      <c r="FH26" s="1155">
        <f t="shared" si="122"/>
        <v>0</v>
      </c>
      <c r="FI26" s="1155">
        <f t="shared" si="123"/>
        <v>0</v>
      </c>
      <c r="FJ26" s="1155">
        <f t="shared" si="124"/>
        <v>0</v>
      </c>
      <c r="FK26" s="1155">
        <f t="shared" si="125"/>
        <v>0</v>
      </c>
      <c r="FL26" s="1155">
        <f t="shared" si="126"/>
        <v>0</v>
      </c>
      <c r="FM26" s="1155">
        <f t="shared" si="127"/>
        <v>0</v>
      </c>
      <c r="FN26" s="1155">
        <f t="shared" si="128"/>
        <v>0</v>
      </c>
      <c r="FO26" s="1155">
        <f t="shared" si="129"/>
        <v>0</v>
      </c>
      <c r="FP26" s="1155">
        <f t="shared" si="130"/>
        <v>0</v>
      </c>
      <c r="FQ26" s="1155">
        <f t="shared" si="131"/>
        <v>0</v>
      </c>
      <c r="FR26" s="1155">
        <f t="shared" si="132"/>
        <v>0</v>
      </c>
      <c r="FS26" s="1155">
        <f t="shared" si="133"/>
        <v>0</v>
      </c>
      <c r="FT26" s="1155">
        <f t="shared" si="134"/>
        <v>0</v>
      </c>
      <c r="FU26" s="1155">
        <f t="shared" si="135"/>
        <v>0</v>
      </c>
      <c r="FV26" s="1155">
        <f t="shared" si="136"/>
        <v>0</v>
      </c>
      <c r="FW26" s="1155">
        <f t="shared" si="137"/>
        <v>0</v>
      </c>
      <c r="FX26" s="1155">
        <f t="shared" si="138"/>
        <v>662395.36577857635</v>
      </c>
      <c r="FY26" s="1155">
        <f t="shared" si="139"/>
        <v>0</v>
      </c>
      <c r="FZ26" s="1155">
        <f t="shared" si="140"/>
        <v>0</v>
      </c>
      <c r="GA26" s="1155">
        <f t="shared" si="141"/>
        <v>0</v>
      </c>
      <c r="GB26" s="1155">
        <f t="shared" si="142"/>
        <v>0</v>
      </c>
      <c r="GC26" s="1155">
        <f t="shared" si="143"/>
        <v>0</v>
      </c>
      <c r="GD26" s="1155">
        <f t="shared" si="144"/>
        <v>0</v>
      </c>
      <c r="GE26" s="1155">
        <f t="shared" si="145"/>
        <v>0</v>
      </c>
      <c r="GF26" s="1155">
        <f t="shared" si="146"/>
        <v>0</v>
      </c>
      <c r="GG26" s="1155">
        <f t="shared" si="147"/>
        <v>0</v>
      </c>
      <c r="GH26" s="1155">
        <f t="shared" si="148"/>
        <v>0</v>
      </c>
      <c r="GI26" s="1155">
        <f t="shared" si="149"/>
        <v>0</v>
      </c>
      <c r="GJ26" s="1175">
        <f t="shared" si="150"/>
        <v>923436.04982792749</v>
      </c>
    </row>
    <row r="27" spans="1:192">
      <c r="B27" s="1259" t="str">
        <f>IF(Prop2021DUOSTariffs!B27="","",Prop2021DUOSTariffs!B27)</f>
        <v/>
      </c>
      <c r="C27" s="1259" t="str">
        <f>IF(Prop2021DUOSTariffs!C27="","",Prop2021DUOSTariffs!C27)</f>
        <v>East SAC&gt;100MWhpa DemandSmall</v>
      </c>
      <c r="D27" s="1259" t="str">
        <f>IF(Prop2021DUOSTariffs!D27="","",Prop2021DUOSTariffs!D27)</f>
        <v>East SAC&gt;100MWhpa DemandSmall</v>
      </c>
      <c r="E27" s="1259" t="str">
        <f>IF(Prop2021DUOSTariffs!E27="","",Prop2021DUOSTariffs!E27)</f>
        <v>SAC</v>
      </c>
      <c r="F27" s="1259" t="str">
        <f>IF(Prop2021DUOSTariffs!F27="","",Prop2021DUOSTariffs!F27)</f>
        <v>SACL</v>
      </c>
      <c r="G27" s="1259" t="str">
        <f>IF(Prop2021DUOSTariffs!G27="","",Prop2021DUOSTariffs!G27)</f>
        <v>East</v>
      </c>
      <c r="H27" s="1259" t="str">
        <f>IF(Prop2021DUOSTariffs!H27="","",Prop2021DUOSTariffs!H27)</f>
        <v>EDST</v>
      </c>
      <c r="I27" s="1259" t="s">
        <v>935</v>
      </c>
      <c r="J27" s="1256"/>
      <c r="K27" s="1233">
        <v>0.50710714478107033</v>
      </c>
      <c r="L27" s="1135"/>
      <c r="M27" s="1135"/>
      <c r="N27" s="1135"/>
      <c r="O27" s="1135"/>
      <c r="P27" s="1135"/>
      <c r="Q27" s="1135"/>
      <c r="R27" s="1135"/>
      <c r="S27" s="1135"/>
      <c r="T27" s="1135"/>
      <c r="U27" s="1135"/>
      <c r="V27" s="1135"/>
      <c r="W27" s="1135"/>
      <c r="X27" s="1135"/>
      <c r="Y27" s="1135"/>
      <c r="Z27" s="1135"/>
      <c r="AA27" s="1135"/>
      <c r="AB27" s="1135"/>
      <c r="AC27" s="1135"/>
      <c r="AD27" s="1135"/>
      <c r="AE27" s="1135"/>
      <c r="AF27" s="1005"/>
      <c r="AG27" s="1005"/>
      <c r="AH27" s="1224">
        <v>6.0979236673115429E-4</v>
      </c>
      <c r="AI27" s="1241"/>
      <c r="AJ27" s="1241"/>
      <c r="AK27" s="1241"/>
      <c r="AL27" s="1241"/>
      <c r="AM27" s="1241"/>
      <c r="AN27" s="1241"/>
      <c r="AO27" s="1241"/>
      <c r="AP27" s="1241"/>
      <c r="AQ27" s="1241"/>
      <c r="AR27" s="1241"/>
      <c r="AS27" s="1241"/>
      <c r="AT27" s="1256"/>
      <c r="AU27" s="1484">
        <v>0.52114284195462635</v>
      </c>
      <c r="AV27" s="1241"/>
      <c r="AW27" s="1241"/>
      <c r="AX27" s="1241"/>
      <c r="AY27" s="1241"/>
      <c r="AZ27" s="1241"/>
      <c r="BA27" s="1241"/>
      <c r="BB27" s="1241"/>
      <c r="BC27" s="1241"/>
      <c r="BD27" s="1241"/>
      <c r="BE27" s="1241"/>
      <c r="BF27" s="1241"/>
      <c r="BG27" s="1241"/>
      <c r="BH27" s="1241"/>
      <c r="BI27" s="1241"/>
      <c r="BJ27" s="1241"/>
      <c r="BK27" s="1241"/>
      <c r="BL27" s="1241"/>
      <c r="BM27" s="1241"/>
      <c r="BN27" s="1241"/>
      <c r="BO27" s="1241"/>
      <c r="BP27" s="1241"/>
      <c r="BQ27" s="1241"/>
      <c r="BR27" s="1484">
        <v>6.4230630447923212E-4</v>
      </c>
      <c r="BS27" s="1241"/>
      <c r="BT27" s="1241"/>
      <c r="BU27" s="1241"/>
      <c r="BV27" s="1241"/>
      <c r="BW27" s="1241"/>
      <c r="BX27" s="1241"/>
      <c r="BY27" s="1241"/>
      <c r="BZ27" s="1241"/>
      <c r="CA27" s="1241"/>
      <c r="CB27" s="1241"/>
      <c r="CC27" s="1241"/>
      <c r="CD27" s="1256"/>
      <c r="CE27" s="1256"/>
      <c r="CF27" s="1265">
        <v>4286.619999999999</v>
      </c>
      <c r="CG27" s="1030"/>
      <c r="CH27" s="1030"/>
      <c r="CI27" s="1030"/>
      <c r="CJ27" s="1030"/>
      <c r="CK27" s="1030"/>
      <c r="CL27" s="1135"/>
      <c r="CM27" s="1135"/>
      <c r="CN27" s="1135"/>
      <c r="CO27" s="1135"/>
      <c r="CP27" s="1135"/>
      <c r="CQ27" s="1135"/>
      <c r="CR27" s="1135"/>
      <c r="CS27" s="1135"/>
      <c r="CT27" s="1135"/>
      <c r="CU27" s="1135"/>
      <c r="CV27" s="1135"/>
      <c r="CW27" s="1135"/>
      <c r="CX27" s="1135"/>
      <c r="CY27" s="1135"/>
      <c r="CZ27" s="1135"/>
      <c r="DA27" s="1008"/>
      <c r="DB27" s="1008"/>
      <c r="DC27" s="1265">
        <v>788919735.44999993</v>
      </c>
      <c r="DD27" s="1008"/>
      <c r="DE27" s="1008"/>
      <c r="DF27" s="1008"/>
      <c r="DG27" s="1008"/>
      <c r="DH27" s="1008"/>
      <c r="DI27" s="1008"/>
      <c r="DJ27" s="1008"/>
      <c r="DK27" s="1008"/>
      <c r="DL27" s="1008"/>
      <c r="DM27" s="1008"/>
      <c r="DN27" s="1008"/>
      <c r="DO27" s="1256"/>
      <c r="DP27" s="1155">
        <f t="shared" si="79"/>
        <v>793428.10457092244</v>
      </c>
      <c r="DQ27" s="1155">
        <f t="shared" si="80"/>
        <v>0</v>
      </c>
      <c r="DR27" s="1155">
        <f t="shared" si="81"/>
        <v>0</v>
      </c>
      <c r="DS27" s="1155">
        <f t="shared" si="82"/>
        <v>0</v>
      </c>
      <c r="DT27" s="1155">
        <f t="shared" si="83"/>
        <v>0</v>
      </c>
      <c r="DU27" s="1155">
        <f t="shared" si="84"/>
        <v>0</v>
      </c>
      <c r="DV27" s="1155">
        <f t="shared" si="85"/>
        <v>0</v>
      </c>
      <c r="DW27" s="1155">
        <f t="shared" si="86"/>
        <v>0</v>
      </c>
      <c r="DX27" s="1155">
        <f t="shared" si="87"/>
        <v>0</v>
      </c>
      <c r="DY27" s="1155">
        <f t="shared" si="88"/>
        <v>0</v>
      </c>
      <c r="DZ27" s="1155">
        <f t="shared" si="89"/>
        <v>0</v>
      </c>
      <c r="EA27" s="1155">
        <f t="shared" si="90"/>
        <v>0</v>
      </c>
      <c r="EB27" s="1155">
        <f t="shared" si="91"/>
        <v>0</v>
      </c>
      <c r="EC27" s="1155">
        <f t="shared" si="92"/>
        <v>0</v>
      </c>
      <c r="ED27" s="1155">
        <f t="shared" si="93"/>
        <v>0</v>
      </c>
      <c r="EE27" s="1155">
        <f t="shared" si="94"/>
        <v>0</v>
      </c>
      <c r="EF27" s="1155">
        <f t="shared" si="95"/>
        <v>0</v>
      </c>
      <c r="EG27" s="1155">
        <f t="shared" si="96"/>
        <v>0</v>
      </c>
      <c r="EH27" s="1155">
        <f t="shared" si="97"/>
        <v>0</v>
      </c>
      <c r="EI27" s="1155">
        <f t="shared" si="98"/>
        <v>0</v>
      </c>
      <c r="EJ27" s="1155">
        <f t="shared" si="99"/>
        <v>0</v>
      </c>
      <c r="EK27" s="1155">
        <f t="shared" si="100"/>
        <v>0</v>
      </c>
      <c r="EL27" s="1155">
        <f t="shared" si="101"/>
        <v>0</v>
      </c>
      <c r="EM27" s="1155">
        <f t="shared" si="102"/>
        <v>481077.2326409716</v>
      </c>
      <c r="EN27" s="1155">
        <f t="shared" si="103"/>
        <v>0</v>
      </c>
      <c r="EO27" s="1155">
        <f t="shared" si="104"/>
        <v>0</v>
      </c>
      <c r="EP27" s="1155">
        <f t="shared" si="105"/>
        <v>0</v>
      </c>
      <c r="EQ27" s="1155">
        <f t="shared" si="106"/>
        <v>0</v>
      </c>
      <c r="ER27" s="1155">
        <f t="shared" si="107"/>
        <v>0</v>
      </c>
      <c r="ES27" s="1155">
        <f t="shared" si="108"/>
        <v>0</v>
      </c>
      <c r="ET27" s="1155">
        <f t="shared" si="109"/>
        <v>0</v>
      </c>
      <c r="EU27" s="1155">
        <f t="shared" si="110"/>
        <v>0</v>
      </c>
      <c r="EV27" s="1155">
        <f t="shared" si="111"/>
        <v>0</v>
      </c>
      <c r="EW27" s="1155">
        <f t="shared" si="112"/>
        <v>0</v>
      </c>
      <c r="EX27" s="1155">
        <f t="shared" si="113"/>
        <v>0</v>
      </c>
      <c r="EY27" s="1175">
        <f t="shared" si="114"/>
        <v>1274505.3372118941</v>
      </c>
      <c r="EZ27" s="1256"/>
      <c r="FA27" s="1155">
        <f t="shared" si="115"/>
        <v>815388.58515053208</v>
      </c>
      <c r="FB27" s="1155">
        <f t="shared" si="116"/>
        <v>0</v>
      </c>
      <c r="FC27" s="1155">
        <f t="shared" si="117"/>
        <v>0</v>
      </c>
      <c r="FD27" s="1155">
        <f t="shared" si="118"/>
        <v>0</v>
      </c>
      <c r="FE27" s="1155">
        <f t="shared" si="119"/>
        <v>0</v>
      </c>
      <c r="FF27" s="1155">
        <f t="shared" si="120"/>
        <v>0</v>
      </c>
      <c r="FG27" s="1155">
        <f t="shared" si="121"/>
        <v>0</v>
      </c>
      <c r="FH27" s="1155">
        <f t="shared" si="122"/>
        <v>0</v>
      </c>
      <c r="FI27" s="1155">
        <f t="shared" si="123"/>
        <v>0</v>
      </c>
      <c r="FJ27" s="1155">
        <f t="shared" si="124"/>
        <v>0</v>
      </c>
      <c r="FK27" s="1155">
        <f t="shared" si="125"/>
        <v>0</v>
      </c>
      <c r="FL27" s="1155">
        <f t="shared" si="126"/>
        <v>0</v>
      </c>
      <c r="FM27" s="1155">
        <f t="shared" si="127"/>
        <v>0</v>
      </c>
      <c r="FN27" s="1155">
        <f t="shared" si="128"/>
        <v>0</v>
      </c>
      <c r="FO27" s="1155">
        <f t="shared" si="129"/>
        <v>0</v>
      </c>
      <c r="FP27" s="1155">
        <f t="shared" si="130"/>
        <v>0</v>
      </c>
      <c r="FQ27" s="1155">
        <f t="shared" si="131"/>
        <v>0</v>
      </c>
      <c r="FR27" s="1155">
        <f t="shared" si="132"/>
        <v>0</v>
      </c>
      <c r="FS27" s="1155">
        <f t="shared" si="133"/>
        <v>0</v>
      </c>
      <c r="FT27" s="1155">
        <f t="shared" si="134"/>
        <v>0</v>
      </c>
      <c r="FU27" s="1155">
        <f t="shared" si="135"/>
        <v>0</v>
      </c>
      <c r="FV27" s="1155">
        <f t="shared" si="136"/>
        <v>0</v>
      </c>
      <c r="FW27" s="1155">
        <f t="shared" si="137"/>
        <v>0</v>
      </c>
      <c r="FX27" s="1155">
        <f t="shared" si="138"/>
        <v>506728.11980762292</v>
      </c>
      <c r="FY27" s="1155">
        <f t="shared" si="139"/>
        <v>0</v>
      </c>
      <c r="FZ27" s="1155">
        <f t="shared" si="140"/>
        <v>0</v>
      </c>
      <c r="GA27" s="1155">
        <f t="shared" si="141"/>
        <v>0</v>
      </c>
      <c r="GB27" s="1155">
        <f t="shared" si="142"/>
        <v>0</v>
      </c>
      <c r="GC27" s="1155">
        <f t="shared" si="143"/>
        <v>0</v>
      </c>
      <c r="GD27" s="1155">
        <f t="shared" si="144"/>
        <v>0</v>
      </c>
      <c r="GE27" s="1155">
        <f t="shared" si="145"/>
        <v>0</v>
      </c>
      <c r="GF27" s="1155">
        <f t="shared" si="146"/>
        <v>0</v>
      </c>
      <c r="GG27" s="1155">
        <f t="shared" si="147"/>
        <v>0</v>
      </c>
      <c r="GH27" s="1155">
        <f t="shared" si="148"/>
        <v>0</v>
      </c>
      <c r="GI27" s="1155">
        <f t="shared" si="149"/>
        <v>0</v>
      </c>
      <c r="GJ27" s="1175">
        <f t="shared" si="150"/>
        <v>1322116.7049581551</v>
      </c>
    </row>
    <row r="28" spans="1:192">
      <c r="B28" s="1259" t="str">
        <f>IF(Prop2021DUOSTariffs!B28="","",Prop2021DUOSTariffs!B28)</f>
        <v/>
      </c>
      <c r="C28" s="1259" t="str">
        <f>IF(Prop2021DUOSTariffs!C28="","",Prop2021DUOSTariffs!C28)</f>
        <v>West SAC&gt;100MWhpa DemandLarge</v>
      </c>
      <c r="D28" s="1259" t="str">
        <f>IF(Prop2021DUOSTariffs!D28="","",Prop2021DUOSTariffs!D28)</f>
        <v>West SAC&gt;100MWhpa DemandLarge</v>
      </c>
      <c r="E28" s="1259" t="str">
        <f>IF(Prop2021DUOSTariffs!E28="","",Prop2021DUOSTariffs!E28)</f>
        <v>SAC</v>
      </c>
      <c r="F28" s="1259" t="str">
        <f>IF(Prop2021DUOSTariffs!F28="","",Prop2021DUOSTariffs!F28)</f>
        <v>SACL</v>
      </c>
      <c r="G28" s="1259" t="str">
        <f>IF(Prop2021DUOSTariffs!G28="","",Prop2021DUOSTariffs!G28)</f>
        <v>West</v>
      </c>
      <c r="H28" s="1259" t="str">
        <f>IF(Prop2021DUOSTariffs!H28="","",Prop2021DUOSTariffs!H28)</f>
        <v>WDLT</v>
      </c>
      <c r="I28" s="1259" t="s">
        <v>935</v>
      </c>
      <c r="J28" s="1256"/>
      <c r="K28" s="1233">
        <v>0.50710714478107033</v>
      </c>
      <c r="L28" s="1135"/>
      <c r="M28" s="1135"/>
      <c r="N28" s="1135"/>
      <c r="O28" s="1135"/>
      <c r="P28" s="1135"/>
      <c r="Q28" s="1135"/>
      <c r="R28" s="1135"/>
      <c r="S28" s="1135"/>
      <c r="T28" s="1135"/>
      <c r="U28" s="1135"/>
      <c r="V28" s="1135"/>
      <c r="W28" s="1135"/>
      <c r="X28" s="1135"/>
      <c r="Y28" s="1135"/>
      <c r="Z28" s="1135"/>
      <c r="AA28" s="1135"/>
      <c r="AB28" s="1135"/>
      <c r="AC28" s="1135"/>
      <c r="AD28" s="1135"/>
      <c r="AE28" s="1135"/>
      <c r="AF28" s="1005"/>
      <c r="AG28" s="1005"/>
      <c r="AH28" s="1224">
        <v>6.0979236673115429E-4</v>
      </c>
      <c r="AI28" s="1241"/>
      <c r="AJ28" s="1241"/>
      <c r="AK28" s="1241"/>
      <c r="AL28" s="1241"/>
      <c r="AM28" s="1241"/>
      <c r="AN28" s="1241"/>
      <c r="AO28" s="1241"/>
      <c r="AP28" s="1241"/>
      <c r="AQ28" s="1241"/>
      <c r="AR28" s="1241"/>
      <c r="AS28" s="1241"/>
      <c r="AT28" s="1256"/>
      <c r="AU28" s="1484">
        <v>0.52114284195462635</v>
      </c>
      <c r="AV28" s="1241"/>
      <c r="AW28" s="1241"/>
      <c r="AX28" s="1241"/>
      <c r="AY28" s="1241"/>
      <c r="AZ28" s="1241"/>
      <c r="BA28" s="1241"/>
      <c r="BB28" s="1241"/>
      <c r="BC28" s="1241"/>
      <c r="BD28" s="1241"/>
      <c r="BE28" s="1241"/>
      <c r="BF28" s="1241"/>
      <c r="BG28" s="1241"/>
      <c r="BH28" s="1241"/>
      <c r="BI28" s="1241"/>
      <c r="BJ28" s="1241"/>
      <c r="BK28" s="1241"/>
      <c r="BL28" s="1241"/>
      <c r="BM28" s="1241"/>
      <c r="BN28" s="1241"/>
      <c r="BO28" s="1241"/>
      <c r="BP28" s="1241"/>
      <c r="BQ28" s="1241"/>
      <c r="BR28" s="1484">
        <v>6.4230630447923212E-4</v>
      </c>
      <c r="BS28" s="1241"/>
      <c r="BT28" s="1241"/>
      <c r="BU28" s="1241"/>
      <c r="BV28" s="1241"/>
      <c r="BW28" s="1241"/>
      <c r="BX28" s="1241"/>
      <c r="BY28" s="1241"/>
      <c r="BZ28" s="1241"/>
      <c r="CA28" s="1241"/>
      <c r="CB28" s="1241"/>
      <c r="CC28" s="1241"/>
      <c r="CD28" s="1256"/>
      <c r="CE28" s="1256"/>
      <c r="CF28" s="1265">
        <v>24.000000000000004</v>
      </c>
      <c r="CG28" s="1030"/>
      <c r="CH28" s="1030"/>
      <c r="CI28" s="1030"/>
      <c r="CJ28" s="1030"/>
      <c r="CK28" s="1030"/>
      <c r="CL28" s="1135"/>
      <c r="CM28" s="1135"/>
      <c r="CN28" s="1135"/>
      <c r="CO28" s="1135"/>
      <c r="CP28" s="1135"/>
      <c r="CQ28" s="1135"/>
      <c r="CR28" s="1135"/>
      <c r="CS28" s="1135"/>
      <c r="CT28" s="1135"/>
      <c r="CU28" s="1135"/>
      <c r="CV28" s="1135"/>
      <c r="CW28" s="1135"/>
      <c r="CX28" s="1135"/>
      <c r="CY28" s="1135"/>
      <c r="CZ28" s="1135"/>
      <c r="DA28" s="1008"/>
      <c r="DB28" s="1008"/>
      <c r="DC28" s="1265">
        <v>28638767.090000004</v>
      </c>
      <c r="DD28" s="1008"/>
      <c r="DE28" s="1008"/>
      <c r="DF28" s="1008"/>
      <c r="DG28" s="1008"/>
      <c r="DH28" s="1008"/>
      <c r="DI28" s="1008"/>
      <c r="DJ28" s="1008"/>
      <c r="DK28" s="1008"/>
      <c r="DL28" s="1008"/>
      <c r="DM28" s="1008"/>
      <c r="DN28" s="1008"/>
      <c r="DO28" s="1256"/>
      <c r="DP28" s="1155">
        <f t="shared" si="79"/>
        <v>4442.2585882821768</v>
      </c>
      <c r="DQ28" s="1155">
        <f t="shared" si="80"/>
        <v>0</v>
      </c>
      <c r="DR28" s="1155">
        <f t="shared" si="81"/>
        <v>0</v>
      </c>
      <c r="DS28" s="1155">
        <f t="shared" si="82"/>
        <v>0</v>
      </c>
      <c r="DT28" s="1155">
        <f t="shared" si="83"/>
        <v>0</v>
      </c>
      <c r="DU28" s="1155">
        <f t="shared" si="84"/>
        <v>0</v>
      </c>
      <c r="DV28" s="1155">
        <f t="shared" si="85"/>
        <v>0</v>
      </c>
      <c r="DW28" s="1155">
        <f t="shared" si="86"/>
        <v>0</v>
      </c>
      <c r="DX28" s="1155">
        <f t="shared" si="87"/>
        <v>0</v>
      </c>
      <c r="DY28" s="1155">
        <f t="shared" si="88"/>
        <v>0</v>
      </c>
      <c r="DZ28" s="1155">
        <f t="shared" si="89"/>
        <v>0</v>
      </c>
      <c r="EA28" s="1155">
        <f t="shared" si="90"/>
        <v>0</v>
      </c>
      <c r="EB28" s="1155">
        <f t="shared" si="91"/>
        <v>0</v>
      </c>
      <c r="EC28" s="1155">
        <f t="shared" si="92"/>
        <v>0</v>
      </c>
      <c r="ED28" s="1155">
        <f t="shared" si="93"/>
        <v>0</v>
      </c>
      <c r="EE28" s="1155">
        <f t="shared" si="94"/>
        <v>0</v>
      </c>
      <c r="EF28" s="1155">
        <f t="shared" si="95"/>
        <v>0</v>
      </c>
      <c r="EG28" s="1155">
        <f t="shared" si="96"/>
        <v>0</v>
      </c>
      <c r="EH28" s="1155">
        <f t="shared" si="97"/>
        <v>0</v>
      </c>
      <c r="EI28" s="1155">
        <f t="shared" si="98"/>
        <v>0</v>
      </c>
      <c r="EJ28" s="1155">
        <f t="shared" si="99"/>
        <v>0</v>
      </c>
      <c r="EK28" s="1155">
        <f t="shared" si="100"/>
        <v>0</v>
      </c>
      <c r="EL28" s="1155">
        <f t="shared" si="101"/>
        <v>0</v>
      </c>
      <c r="EM28" s="1155">
        <f t="shared" si="102"/>
        <v>17463.701564073395</v>
      </c>
      <c r="EN28" s="1155">
        <f t="shared" si="103"/>
        <v>0</v>
      </c>
      <c r="EO28" s="1155">
        <f t="shared" si="104"/>
        <v>0</v>
      </c>
      <c r="EP28" s="1155">
        <f t="shared" si="105"/>
        <v>0</v>
      </c>
      <c r="EQ28" s="1155">
        <f t="shared" si="106"/>
        <v>0</v>
      </c>
      <c r="ER28" s="1155">
        <f t="shared" si="107"/>
        <v>0</v>
      </c>
      <c r="ES28" s="1155">
        <f t="shared" si="108"/>
        <v>0</v>
      </c>
      <c r="ET28" s="1155">
        <f t="shared" si="109"/>
        <v>0</v>
      </c>
      <c r="EU28" s="1155">
        <f t="shared" si="110"/>
        <v>0</v>
      </c>
      <c r="EV28" s="1155">
        <f t="shared" si="111"/>
        <v>0</v>
      </c>
      <c r="EW28" s="1155">
        <f t="shared" si="112"/>
        <v>0</v>
      </c>
      <c r="EX28" s="1155">
        <f t="shared" si="113"/>
        <v>0</v>
      </c>
      <c r="EY28" s="1175">
        <f t="shared" si="114"/>
        <v>21905.960152355572</v>
      </c>
      <c r="EZ28" s="1256"/>
      <c r="FA28" s="1155">
        <f t="shared" si="115"/>
        <v>4565.2112955225275</v>
      </c>
      <c r="FB28" s="1155">
        <f t="shared" si="116"/>
        <v>0</v>
      </c>
      <c r="FC28" s="1155">
        <f t="shared" si="117"/>
        <v>0</v>
      </c>
      <c r="FD28" s="1155">
        <f t="shared" si="118"/>
        <v>0</v>
      </c>
      <c r="FE28" s="1155">
        <f t="shared" si="119"/>
        <v>0</v>
      </c>
      <c r="FF28" s="1155">
        <f t="shared" si="120"/>
        <v>0</v>
      </c>
      <c r="FG28" s="1155">
        <f t="shared" si="121"/>
        <v>0</v>
      </c>
      <c r="FH28" s="1155">
        <f t="shared" si="122"/>
        <v>0</v>
      </c>
      <c r="FI28" s="1155">
        <f t="shared" si="123"/>
        <v>0</v>
      </c>
      <c r="FJ28" s="1155">
        <f t="shared" si="124"/>
        <v>0</v>
      </c>
      <c r="FK28" s="1155">
        <f t="shared" si="125"/>
        <v>0</v>
      </c>
      <c r="FL28" s="1155">
        <f t="shared" si="126"/>
        <v>0</v>
      </c>
      <c r="FM28" s="1155">
        <f t="shared" si="127"/>
        <v>0</v>
      </c>
      <c r="FN28" s="1155">
        <f t="shared" si="128"/>
        <v>0</v>
      </c>
      <c r="FO28" s="1155">
        <f t="shared" si="129"/>
        <v>0</v>
      </c>
      <c r="FP28" s="1155">
        <f t="shared" si="130"/>
        <v>0</v>
      </c>
      <c r="FQ28" s="1155">
        <f t="shared" si="131"/>
        <v>0</v>
      </c>
      <c r="FR28" s="1155">
        <f t="shared" si="132"/>
        <v>0</v>
      </c>
      <c r="FS28" s="1155">
        <f t="shared" si="133"/>
        <v>0</v>
      </c>
      <c r="FT28" s="1155">
        <f t="shared" si="134"/>
        <v>0</v>
      </c>
      <c r="FU28" s="1155">
        <f t="shared" si="135"/>
        <v>0</v>
      </c>
      <c r="FV28" s="1155">
        <f t="shared" si="136"/>
        <v>0</v>
      </c>
      <c r="FW28" s="1155">
        <f t="shared" si="137"/>
        <v>0</v>
      </c>
      <c r="FX28" s="1155">
        <f t="shared" si="138"/>
        <v>18394.860654419354</v>
      </c>
      <c r="FY28" s="1155">
        <f t="shared" si="139"/>
        <v>0</v>
      </c>
      <c r="FZ28" s="1155">
        <f t="shared" si="140"/>
        <v>0</v>
      </c>
      <c r="GA28" s="1155">
        <f t="shared" si="141"/>
        <v>0</v>
      </c>
      <c r="GB28" s="1155">
        <f t="shared" si="142"/>
        <v>0</v>
      </c>
      <c r="GC28" s="1155">
        <f t="shared" si="143"/>
        <v>0</v>
      </c>
      <c r="GD28" s="1155">
        <f t="shared" si="144"/>
        <v>0</v>
      </c>
      <c r="GE28" s="1155">
        <f t="shared" si="145"/>
        <v>0</v>
      </c>
      <c r="GF28" s="1155">
        <f t="shared" si="146"/>
        <v>0</v>
      </c>
      <c r="GG28" s="1155">
        <f t="shared" si="147"/>
        <v>0</v>
      </c>
      <c r="GH28" s="1155">
        <f t="shared" si="148"/>
        <v>0</v>
      </c>
      <c r="GI28" s="1155">
        <f t="shared" si="149"/>
        <v>0</v>
      </c>
      <c r="GJ28" s="1175">
        <f t="shared" si="150"/>
        <v>22960.071949941881</v>
      </c>
    </row>
    <row r="29" spans="1:192">
      <c r="B29" s="1259" t="str">
        <f>IF(Prop2021DUOSTariffs!B29="","",Prop2021DUOSTariffs!B29)</f>
        <v/>
      </c>
      <c r="C29" s="1259" t="str">
        <f>IF(Prop2021DUOSTariffs!C29="","",Prop2021DUOSTariffs!C29)</f>
        <v>West SAC&gt;100MWhpa DemandMedium</v>
      </c>
      <c r="D29" s="1259" t="str">
        <f>IF(Prop2021DUOSTariffs!D29="","",Prop2021DUOSTariffs!D29)</f>
        <v>West SAC&gt;100MWhpa DemandMedium</v>
      </c>
      <c r="E29" s="1259" t="str">
        <f>IF(Prop2021DUOSTariffs!E29="","",Prop2021DUOSTariffs!E29)</f>
        <v>SAC</v>
      </c>
      <c r="F29" s="1259" t="str">
        <f>IF(Prop2021DUOSTariffs!F29="","",Prop2021DUOSTariffs!F29)</f>
        <v>SACL</v>
      </c>
      <c r="G29" s="1259" t="str">
        <f>IF(Prop2021DUOSTariffs!G29="","",Prop2021DUOSTariffs!G29)</f>
        <v>West</v>
      </c>
      <c r="H29" s="1259" t="str">
        <f>IF(Prop2021DUOSTariffs!H29="","",Prop2021DUOSTariffs!H29)</f>
        <v>WDMT</v>
      </c>
      <c r="I29" s="1259" t="s">
        <v>935</v>
      </c>
      <c r="J29" s="1256"/>
      <c r="K29" s="1233">
        <v>0.50710714478107033</v>
      </c>
      <c r="L29" s="1135"/>
      <c r="M29" s="1135"/>
      <c r="N29" s="1135"/>
      <c r="O29" s="1135"/>
      <c r="P29" s="1135"/>
      <c r="Q29" s="1135"/>
      <c r="R29" s="1135"/>
      <c r="S29" s="1135"/>
      <c r="T29" s="1135"/>
      <c r="U29" s="1135"/>
      <c r="V29" s="1135"/>
      <c r="W29" s="1135"/>
      <c r="X29" s="1135"/>
      <c r="Y29" s="1135"/>
      <c r="Z29" s="1135"/>
      <c r="AA29" s="1135"/>
      <c r="AB29" s="1135"/>
      <c r="AC29" s="1135"/>
      <c r="AD29" s="1135"/>
      <c r="AE29" s="1135"/>
      <c r="AF29" s="1005"/>
      <c r="AG29" s="1005"/>
      <c r="AH29" s="1224">
        <v>6.0979236673115429E-4</v>
      </c>
      <c r="AI29" s="1241"/>
      <c r="AJ29" s="1241"/>
      <c r="AK29" s="1241"/>
      <c r="AL29" s="1241"/>
      <c r="AM29" s="1241"/>
      <c r="AN29" s="1241"/>
      <c r="AO29" s="1241"/>
      <c r="AP29" s="1241"/>
      <c r="AQ29" s="1241"/>
      <c r="AR29" s="1241"/>
      <c r="AS29" s="1241"/>
      <c r="AT29" s="1256"/>
      <c r="AU29" s="1484">
        <v>0.52114284195462635</v>
      </c>
      <c r="AV29" s="1241"/>
      <c r="AW29" s="1241"/>
      <c r="AX29" s="1241"/>
      <c r="AY29" s="1241"/>
      <c r="AZ29" s="1241"/>
      <c r="BA29" s="1241"/>
      <c r="BB29" s="1241"/>
      <c r="BC29" s="1241"/>
      <c r="BD29" s="1241"/>
      <c r="BE29" s="1241"/>
      <c r="BF29" s="1241"/>
      <c r="BG29" s="1241"/>
      <c r="BH29" s="1241"/>
      <c r="BI29" s="1241"/>
      <c r="BJ29" s="1241"/>
      <c r="BK29" s="1241"/>
      <c r="BL29" s="1241"/>
      <c r="BM29" s="1241"/>
      <c r="BN29" s="1241"/>
      <c r="BO29" s="1241"/>
      <c r="BP29" s="1241"/>
      <c r="BQ29" s="1241"/>
      <c r="BR29" s="1484">
        <v>6.4230630447923212E-4</v>
      </c>
      <c r="BS29" s="1241"/>
      <c r="BT29" s="1241"/>
      <c r="BU29" s="1241"/>
      <c r="BV29" s="1241"/>
      <c r="BW29" s="1241"/>
      <c r="BX29" s="1241"/>
      <c r="BY29" s="1241"/>
      <c r="BZ29" s="1241"/>
      <c r="CA29" s="1241"/>
      <c r="CB29" s="1241"/>
      <c r="CC29" s="1241"/>
      <c r="CD29" s="1256"/>
      <c r="CE29" s="1256"/>
      <c r="CF29" s="1265">
        <v>142</v>
      </c>
      <c r="CG29" s="1030"/>
      <c r="CH29" s="1030"/>
      <c r="CI29" s="1030"/>
      <c r="CJ29" s="1030"/>
      <c r="CK29" s="1030"/>
      <c r="CL29" s="1135"/>
      <c r="CM29" s="1135"/>
      <c r="CN29" s="1135"/>
      <c r="CO29" s="1135"/>
      <c r="CP29" s="1135"/>
      <c r="CQ29" s="1135"/>
      <c r="CR29" s="1135"/>
      <c r="CS29" s="1135"/>
      <c r="CT29" s="1135"/>
      <c r="CU29" s="1135"/>
      <c r="CV29" s="1135"/>
      <c r="CW29" s="1135"/>
      <c r="CX29" s="1135"/>
      <c r="CY29" s="1135"/>
      <c r="CZ29" s="1135"/>
      <c r="DA29" s="1008"/>
      <c r="DB29" s="1008"/>
      <c r="DC29" s="1265">
        <v>60949413.220000006</v>
      </c>
      <c r="DD29" s="1008"/>
      <c r="DE29" s="1008"/>
      <c r="DF29" s="1008"/>
      <c r="DG29" s="1008"/>
      <c r="DH29" s="1008"/>
      <c r="DI29" s="1008"/>
      <c r="DJ29" s="1008"/>
      <c r="DK29" s="1008"/>
      <c r="DL29" s="1008"/>
      <c r="DM29" s="1008"/>
      <c r="DN29" s="1008"/>
      <c r="DO29" s="1256"/>
      <c r="DP29" s="1155">
        <f t="shared" si="79"/>
        <v>26283.363314002876</v>
      </c>
      <c r="DQ29" s="1155">
        <f t="shared" si="80"/>
        <v>0</v>
      </c>
      <c r="DR29" s="1155">
        <f t="shared" si="81"/>
        <v>0</v>
      </c>
      <c r="DS29" s="1155">
        <f t="shared" si="82"/>
        <v>0</v>
      </c>
      <c r="DT29" s="1155">
        <f t="shared" si="83"/>
        <v>0</v>
      </c>
      <c r="DU29" s="1155">
        <f t="shared" si="84"/>
        <v>0</v>
      </c>
      <c r="DV29" s="1155">
        <f t="shared" si="85"/>
        <v>0</v>
      </c>
      <c r="DW29" s="1155">
        <f t="shared" si="86"/>
        <v>0</v>
      </c>
      <c r="DX29" s="1155">
        <f t="shared" si="87"/>
        <v>0</v>
      </c>
      <c r="DY29" s="1155">
        <f t="shared" si="88"/>
        <v>0</v>
      </c>
      <c r="DZ29" s="1155">
        <f t="shared" si="89"/>
        <v>0</v>
      </c>
      <c r="EA29" s="1155">
        <f t="shared" si="90"/>
        <v>0</v>
      </c>
      <c r="EB29" s="1155">
        <f t="shared" si="91"/>
        <v>0</v>
      </c>
      <c r="EC29" s="1155">
        <f t="shared" si="92"/>
        <v>0</v>
      </c>
      <c r="ED29" s="1155">
        <f t="shared" si="93"/>
        <v>0</v>
      </c>
      <c r="EE29" s="1155">
        <f t="shared" si="94"/>
        <v>0</v>
      </c>
      <c r="EF29" s="1155">
        <f t="shared" si="95"/>
        <v>0</v>
      </c>
      <c r="EG29" s="1155">
        <f t="shared" si="96"/>
        <v>0</v>
      </c>
      <c r="EH29" s="1155">
        <f t="shared" si="97"/>
        <v>0</v>
      </c>
      <c r="EI29" s="1155">
        <f t="shared" si="98"/>
        <v>0</v>
      </c>
      <c r="EJ29" s="1155">
        <f t="shared" si="99"/>
        <v>0</v>
      </c>
      <c r="EK29" s="1155">
        <f t="shared" si="100"/>
        <v>0</v>
      </c>
      <c r="EL29" s="1155">
        <f t="shared" si="101"/>
        <v>0</v>
      </c>
      <c r="EM29" s="1155">
        <f t="shared" si="102"/>
        <v>37166.486938298905</v>
      </c>
      <c r="EN29" s="1155">
        <f t="shared" si="103"/>
        <v>0</v>
      </c>
      <c r="EO29" s="1155">
        <f t="shared" si="104"/>
        <v>0</v>
      </c>
      <c r="EP29" s="1155">
        <f t="shared" si="105"/>
        <v>0</v>
      </c>
      <c r="EQ29" s="1155">
        <f t="shared" si="106"/>
        <v>0</v>
      </c>
      <c r="ER29" s="1155">
        <f t="shared" si="107"/>
        <v>0</v>
      </c>
      <c r="ES29" s="1155">
        <f t="shared" si="108"/>
        <v>0</v>
      </c>
      <c r="ET29" s="1155">
        <f t="shared" si="109"/>
        <v>0</v>
      </c>
      <c r="EU29" s="1155">
        <f t="shared" si="110"/>
        <v>0</v>
      </c>
      <c r="EV29" s="1155">
        <f t="shared" si="111"/>
        <v>0</v>
      </c>
      <c r="EW29" s="1155">
        <f t="shared" si="112"/>
        <v>0</v>
      </c>
      <c r="EX29" s="1155">
        <f t="shared" si="113"/>
        <v>0</v>
      </c>
      <c r="EY29" s="1175">
        <f t="shared" si="114"/>
        <v>63449.850252301781</v>
      </c>
      <c r="EZ29" s="1256"/>
      <c r="FA29" s="1155">
        <f t="shared" si="115"/>
        <v>27010.83349850828</v>
      </c>
      <c r="FB29" s="1155">
        <f t="shared" si="116"/>
        <v>0</v>
      </c>
      <c r="FC29" s="1155">
        <f t="shared" si="117"/>
        <v>0</v>
      </c>
      <c r="FD29" s="1155">
        <f t="shared" si="118"/>
        <v>0</v>
      </c>
      <c r="FE29" s="1155">
        <f t="shared" si="119"/>
        <v>0</v>
      </c>
      <c r="FF29" s="1155">
        <f t="shared" si="120"/>
        <v>0</v>
      </c>
      <c r="FG29" s="1155">
        <f t="shared" si="121"/>
        <v>0</v>
      </c>
      <c r="FH29" s="1155">
        <f t="shared" si="122"/>
        <v>0</v>
      </c>
      <c r="FI29" s="1155">
        <f t="shared" si="123"/>
        <v>0</v>
      </c>
      <c r="FJ29" s="1155">
        <f t="shared" si="124"/>
        <v>0</v>
      </c>
      <c r="FK29" s="1155">
        <f t="shared" si="125"/>
        <v>0</v>
      </c>
      <c r="FL29" s="1155">
        <f t="shared" si="126"/>
        <v>0</v>
      </c>
      <c r="FM29" s="1155">
        <f t="shared" si="127"/>
        <v>0</v>
      </c>
      <c r="FN29" s="1155">
        <f t="shared" si="128"/>
        <v>0</v>
      </c>
      <c r="FO29" s="1155">
        <f t="shared" si="129"/>
        <v>0</v>
      </c>
      <c r="FP29" s="1155">
        <f t="shared" si="130"/>
        <v>0</v>
      </c>
      <c r="FQ29" s="1155">
        <f t="shared" si="131"/>
        <v>0</v>
      </c>
      <c r="FR29" s="1155">
        <f t="shared" si="132"/>
        <v>0</v>
      </c>
      <c r="FS29" s="1155">
        <f t="shared" si="133"/>
        <v>0</v>
      </c>
      <c r="FT29" s="1155">
        <f t="shared" si="134"/>
        <v>0</v>
      </c>
      <c r="FU29" s="1155">
        <f t="shared" si="135"/>
        <v>0</v>
      </c>
      <c r="FV29" s="1155">
        <f t="shared" si="136"/>
        <v>0</v>
      </c>
      <c r="FW29" s="1155">
        <f t="shared" si="137"/>
        <v>0</v>
      </c>
      <c r="FX29" s="1155">
        <f t="shared" si="138"/>
        <v>39148.192365515861</v>
      </c>
      <c r="FY29" s="1155">
        <f t="shared" si="139"/>
        <v>0</v>
      </c>
      <c r="FZ29" s="1155">
        <f t="shared" si="140"/>
        <v>0</v>
      </c>
      <c r="GA29" s="1155">
        <f t="shared" si="141"/>
        <v>0</v>
      </c>
      <c r="GB29" s="1155">
        <f t="shared" si="142"/>
        <v>0</v>
      </c>
      <c r="GC29" s="1155">
        <f t="shared" si="143"/>
        <v>0</v>
      </c>
      <c r="GD29" s="1155">
        <f t="shared" si="144"/>
        <v>0</v>
      </c>
      <c r="GE29" s="1155">
        <f t="shared" si="145"/>
        <v>0</v>
      </c>
      <c r="GF29" s="1155">
        <f t="shared" si="146"/>
        <v>0</v>
      </c>
      <c r="GG29" s="1155">
        <f t="shared" si="147"/>
        <v>0</v>
      </c>
      <c r="GH29" s="1155">
        <f t="shared" si="148"/>
        <v>0</v>
      </c>
      <c r="GI29" s="1155">
        <f t="shared" si="149"/>
        <v>0</v>
      </c>
      <c r="GJ29" s="1175">
        <f t="shared" si="150"/>
        <v>66159.025864024137</v>
      </c>
    </row>
    <row r="30" spans="1:192">
      <c r="B30" s="1259" t="str">
        <f>IF(Prop2021DUOSTariffs!B30="","",Prop2021DUOSTariffs!B30)</f>
        <v/>
      </c>
      <c r="C30" s="1259" t="str">
        <f>IF(Prop2021DUOSTariffs!C30="","",Prop2021DUOSTariffs!C30)</f>
        <v>West SAC&gt;100MWhpa DemandSmall</v>
      </c>
      <c r="D30" s="1259" t="str">
        <f>IF(Prop2021DUOSTariffs!D30="","",Prop2021DUOSTariffs!D30)</f>
        <v>West SAC&gt;100MWhpa DemandSmall</v>
      </c>
      <c r="E30" s="1259" t="str">
        <f>IF(Prop2021DUOSTariffs!E30="","",Prop2021DUOSTariffs!E30)</f>
        <v>SAC</v>
      </c>
      <c r="F30" s="1259" t="str">
        <f>IF(Prop2021DUOSTariffs!F30="","",Prop2021DUOSTariffs!F30)</f>
        <v>SACL</v>
      </c>
      <c r="G30" s="1259" t="str">
        <f>IF(Prop2021DUOSTariffs!G30="","",Prop2021DUOSTariffs!G30)</f>
        <v>West</v>
      </c>
      <c r="H30" s="1259" t="str">
        <f>IF(Prop2021DUOSTariffs!H30="","",Prop2021DUOSTariffs!H30)</f>
        <v>WDST</v>
      </c>
      <c r="I30" s="1259" t="s">
        <v>935</v>
      </c>
      <c r="J30" s="1256"/>
      <c r="K30" s="1233">
        <v>0.50710714478107033</v>
      </c>
      <c r="L30" s="1135"/>
      <c r="M30" s="1135"/>
      <c r="N30" s="1135"/>
      <c r="O30" s="1135"/>
      <c r="P30" s="1135"/>
      <c r="Q30" s="1135"/>
      <c r="R30" s="1135"/>
      <c r="S30" s="1135"/>
      <c r="T30" s="1135"/>
      <c r="U30" s="1135"/>
      <c r="V30" s="1135"/>
      <c r="W30" s="1135"/>
      <c r="X30" s="1135"/>
      <c r="Y30" s="1135"/>
      <c r="Z30" s="1135"/>
      <c r="AA30" s="1135"/>
      <c r="AB30" s="1135"/>
      <c r="AC30" s="1135"/>
      <c r="AD30" s="1135"/>
      <c r="AE30" s="1135"/>
      <c r="AF30" s="1005"/>
      <c r="AG30" s="1005"/>
      <c r="AH30" s="1224">
        <v>6.0979236673115429E-4</v>
      </c>
      <c r="AI30" s="1241"/>
      <c r="AJ30" s="1241"/>
      <c r="AK30" s="1241"/>
      <c r="AL30" s="1241"/>
      <c r="AM30" s="1241"/>
      <c r="AN30" s="1241"/>
      <c r="AO30" s="1241"/>
      <c r="AP30" s="1241"/>
      <c r="AQ30" s="1241"/>
      <c r="AR30" s="1241"/>
      <c r="AS30" s="1241"/>
      <c r="AT30" s="1256"/>
      <c r="AU30" s="1484">
        <v>0.52114284195462635</v>
      </c>
      <c r="AV30" s="1241"/>
      <c r="AW30" s="1241"/>
      <c r="AX30" s="1241"/>
      <c r="AY30" s="1241"/>
      <c r="AZ30" s="1241"/>
      <c r="BA30" s="1241"/>
      <c r="BB30" s="1241"/>
      <c r="BC30" s="1241"/>
      <c r="BD30" s="1241"/>
      <c r="BE30" s="1241"/>
      <c r="BF30" s="1241"/>
      <c r="BG30" s="1241"/>
      <c r="BH30" s="1241"/>
      <c r="BI30" s="1241"/>
      <c r="BJ30" s="1241"/>
      <c r="BK30" s="1241"/>
      <c r="BL30" s="1241"/>
      <c r="BM30" s="1241"/>
      <c r="BN30" s="1241"/>
      <c r="BO30" s="1241"/>
      <c r="BP30" s="1241"/>
      <c r="BQ30" s="1241"/>
      <c r="BR30" s="1484">
        <v>6.4230630447923212E-4</v>
      </c>
      <c r="BS30" s="1241"/>
      <c r="BT30" s="1241"/>
      <c r="BU30" s="1241"/>
      <c r="BV30" s="1241"/>
      <c r="BW30" s="1241"/>
      <c r="BX30" s="1241"/>
      <c r="BY30" s="1241"/>
      <c r="BZ30" s="1241"/>
      <c r="CA30" s="1241"/>
      <c r="CB30" s="1241"/>
      <c r="CC30" s="1241"/>
      <c r="CD30" s="1256"/>
      <c r="CE30" s="1256"/>
      <c r="CF30" s="1265">
        <v>661.37</v>
      </c>
      <c r="CG30" s="1030"/>
      <c r="CH30" s="1030"/>
      <c r="CI30" s="1030"/>
      <c r="CJ30" s="1030"/>
      <c r="CK30" s="1030"/>
      <c r="CL30" s="1135"/>
      <c r="CM30" s="1135"/>
      <c r="CN30" s="1135"/>
      <c r="CO30" s="1135"/>
      <c r="CP30" s="1135"/>
      <c r="CQ30" s="1135"/>
      <c r="CR30" s="1135"/>
      <c r="CS30" s="1135"/>
      <c r="CT30" s="1135"/>
      <c r="CU30" s="1135"/>
      <c r="CV30" s="1135"/>
      <c r="CW30" s="1135"/>
      <c r="CX30" s="1135"/>
      <c r="CY30" s="1135"/>
      <c r="CZ30" s="1135"/>
      <c r="DA30" s="1008"/>
      <c r="DB30" s="1008"/>
      <c r="DC30" s="1265">
        <v>95044179.719999999</v>
      </c>
      <c r="DD30" s="1008"/>
      <c r="DE30" s="1008"/>
      <c r="DF30" s="1008"/>
      <c r="DG30" s="1008"/>
      <c r="DH30" s="1008"/>
      <c r="DI30" s="1008"/>
      <c r="DJ30" s="1008"/>
      <c r="DK30" s="1008"/>
      <c r="DL30" s="1008"/>
      <c r="DM30" s="1008"/>
      <c r="DN30" s="1008"/>
      <c r="DO30" s="1256"/>
      <c r="DP30" s="1155">
        <f t="shared" si="79"/>
        <v>122415.69010550763</v>
      </c>
      <c r="DQ30" s="1155">
        <f t="shared" si="80"/>
        <v>0</v>
      </c>
      <c r="DR30" s="1155">
        <f t="shared" si="81"/>
        <v>0</v>
      </c>
      <c r="DS30" s="1155">
        <f t="shared" si="82"/>
        <v>0</v>
      </c>
      <c r="DT30" s="1155">
        <f t="shared" si="83"/>
        <v>0</v>
      </c>
      <c r="DU30" s="1155">
        <f t="shared" si="84"/>
        <v>0</v>
      </c>
      <c r="DV30" s="1155">
        <f t="shared" si="85"/>
        <v>0</v>
      </c>
      <c r="DW30" s="1155">
        <f t="shared" si="86"/>
        <v>0</v>
      </c>
      <c r="DX30" s="1155">
        <f t="shared" si="87"/>
        <v>0</v>
      </c>
      <c r="DY30" s="1155">
        <f t="shared" si="88"/>
        <v>0</v>
      </c>
      <c r="DZ30" s="1155">
        <f t="shared" si="89"/>
        <v>0</v>
      </c>
      <c r="EA30" s="1155">
        <f t="shared" si="90"/>
        <v>0</v>
      </c>
      <c r="EB30" s="1155">
        <f t="shared" si="91"/>
        <v>0</v>
      </c>
      <c r="EC30" s="1155">
        <f t="shared" si="92"/>
        <v>0</v>
      </c>
      <c r="ED30" s="1155">
        <f t="shared" si="93"/>
        <v>0</v>
      </c>
      <c r="EE30" s="1155">
        <f t="shared" si="94"/>
        <v>0</v>
      </c>
      <c r="EF30" s="1155">
        <f t="shared" si="95"/>
        <v>0</v>
      </c>
      <c r="EG30" s="1155">
        <f t="shared" si="96"/>
        <v>0</v>
      </c>
      <c r="EH30" s="1155">
        <f t="shared" si="97"/>
        <v>0</v>
      </c>
      <c r="EI30" s="1155">
        <f t="shared" si="98"/>
        <v>0</v>
      </c>
      <c r="EJ30" s="1155">
        <f t="shared" si="99"/>
        <v>0</v>
      </c>
      <c r="EK30" s="1155">
        <f t="shared" si="100"/>
        <v>0</v>
      </c>
      <c r="EL30" s="1155">
        <f t="shared" si="101"/>
        <v>0</v>
      </c>
      <c r="EM30" s="1155">
        <f t="shared" si="102"/>
        <v>57957.215295479975</v>
      </c>
      <c r="EN30" s="1155">
        <f t="shared" si="103"/>
        <v>0</v>
      </c>
      <c r="EO30" s="1155">
        <f t="shared" si="104"/>
        <v>0</v>
      </c>
      <c r="EP30" s="1155">
        <f t="shared" si="105"/>
        <v>0</v>
      </c>
      <c r="EQ30" s="1155">
        <f t="shared" si="106"/>
        <v>0</v>
      </c>
      <c r="ER30" s="1155">
        <f t="shared" si="107"/>
        <v>0</v>
      </c>
      <c r="ES30" s="1155">
        <f t="shared" si="108"/>
        <v>0</v>
      </c>
      <c r="ET30" s="1155">
        <f t="shared" si="109"/>
        <v>0</v>
      </c>
      <c r="EU30" s="1155">
        <f t="shared" si="110"/>
        <v>0</v>
      </c>
      <c r="EV30" s="1155">
        <f t="shared" si="111"/>
        <v>0</v>
      </c>
      <c r="EW30" s="1155">
        <f t="shared" si="112"/>
        <v>0</v>
      </c>
      <c r="EX30" s="1155">
        <f t="shared" si="113"/>
        <v>0</v>
      </c>
      <c r="EY30" s="1175">
        <f t="shared" si="114"/>
        <v>180372.9054009876</v>
      </c>
      <c r="EZ30" s="1256"/>
      <c r="FA30" s="1155">
        <f t="shared" si="115"/>
        <v>125803.90810498889</v>
      </c>
      <c r="FB30" s="1155">
        <f t="shared" si="116"/>
        <v>0</v>
      </c>
      <c r="FC30" s="1155">
        <f t="shared" si="117"/>
        <v>0</v>
      </c>
      <c r="FD30" s="1155">
        <f t="shared" si="118"/>
        <v>0</v>
      </c>
      <c r="FE30" s="1155">
        <f t="shared" si="119"/>
        <v>0</v>
      </c>
      <c r="FF30" s="1155">
        <f t="shared" si="120"/>
        <v>0</v>
      </c>
      <c r="FG30" s="1155">
        <f t="shared" si="121"/>
        <v>0</v>
      </c>
      <c r="FH30" s="1155">
        <f t="shared" si="122"/>
        <v>0</v>
      </c>
      <c r="FI30" s="1155">
        <f t="shared" si="123"/>
        <v>0</v>
      </c>
      <c r="FJ30" s="1155">
        <f t="shared" si="124"/>
        <v>0</v>
      </c>
      <c r="FK30" s="1155">
        <f t="shared" si="125"/>
        <v>0</v>
      </c>
      <c r="FL30" s="1155">
        <f t="shared" si="126"/>
        <v>0</v>
      </c>
      <c r="FM30" s="1155">
        <f t="shared" si="127"/>
        <v>0</v>
      </c>
      <c r="FN30" s="1155">
        <f t="shared" si="128"/>
        <v>0</v>
      </c>
      <c r="FO30" s="1155">
        <f t="shared" si="129"/>
        <v>0</v>
      </c>
      <c r="FP30" s="1155">
        <f t="shared" si="130"/>
        <v>0</v>
      </c>
      <c r="FQ30" s="1155">
        <f t="shared" si="131"/>
        <v>0</v>
      </c>
      <c r="FR30" s="1155">
        <f t="shared" si="132"/>
        <v>0</v>
      </c>
      <c r="FS30" s="1155">
        <f t="shared" si="133"/>
        <v>0</v>
      </c>
      <c r="FT30" s="1155">
        <f t="shared" si="134"/>
        <v>0</v>
      </c>
      <c r="FU30" s="1155">
        <f t="shared" si="135"/>
        <v>0</v>
      </c>
      <c r="FV30" s="1155">
        <f t="shared" si="136"/>
        <v>0</v>
      </c>
      <c r="FW30" s="1155">
        <f t="shared" si="137"/>
        <v>0</v>
      </c>
      <c r="FX30" s="1155">
        <f t="shared" si="138"/>
        <v>61047.475838213177</v>
      </c>
      <c r="FY30" s="1155">
        <f t="shared" si="139"/>
        <v>0</v>
      </c>
      <c r="FZ30" s="1155">
        <f t="shared" si="140"/>
        <v>0</v>
      </c>
      <c r="GA30" s="1155">
        <f t="shared" si="141"/>
        <v>0</v>
      </c>
      <c r="GB30" s="1155">
        <f t="shared" si="142"/>
        <v>0</v>
      </c>
      <c r="GC30" s="1155">
        <f t="shared" si="143"/>
        <v>0</v>
      </c>
      <c r="GD30" s="1155">
        <f t="shared" si="144"/>
        <v>0</v>
      </c>
      <c r="GE30" s="1155">
        <f t="shared" si="145"/>
        <v>0</v>
      </c>
      <c r="GF30" s="1155">
        <f t="shared" si="146"/>
        <v>0</v>
      </c>
      <c r="GG30" s="1155">
        <f t="shared" si="147"/>
        <v>0</v>
      </c>
      <c r="GH30" s="1155">
        <f t="shared" si="148"/>
        <v>0</v>
      </c>
      <c r="GI30" s="1155">
        <f t="shared" si="149"/>
        <v>0</v>
      </c>
      <c r="GJ30" s="1175">
        <f t="shared" si="150"/>
        <v>186851.38394320206</v>
      </c>
    </row>
    <row r="31" spans="1:192">
      <c r="B31" s="1259" t="str">
        <f>IF(Prop2021DUOSTariffs!B31="","",Prop2021DUOSTariffs!B31)</f>
        <v/>
      </c>
      <c r="C31" s="1259" t="str">
        <f>IF(Prop2021DUOSTariffs!C31="","",Prop2021DUOSTariffs!C31)</f>
        <v>MtIsa SAC&gt;100MWhpa DemandLarge</v>
      </c>
      <c r="D31" s="1259" t="str">
        <f>IF(Prop2021DUOSTariffs!D31="","",Prop2021DUOSTariffs!D31)</f>
        <v>MtIsa SAC&gt;100MWhpa DemandLarge</v>
      </c>
      <c r="E31" s="1259" t="str">
        <f>IF(Prop2021DUOSTariffs!E31="","",Prop2021DUOSTariffs!E31)</f>
        <v>SAC</v>
      </c>
      <c r="F31" s="1259" t="str">
        <f>IF(Prop2021DUOSTariffs!F31="","",Prop2021DUOSTariffs!F31)</f>
        <v>SACL</v>
      </c>
      <c r="G31" s="1259" t="str">
        <f>IF(Prop2021DUOSTariffs!G31="","",Prop2021DUOSTariffs!G31)</f>
        <v>Mt Isa</v>
      </c>
      <c r="H31" s="1259" t="str">
        <f>IF(Prop2021DUOSTariffs!H31="","",Prop2021DUOSTariffs!H31)</f>
        <v>MDLT</v>
      </c>
      <c r="I31" s="1259" t="s">
        <v>935</v>
      </c>
      <c r="J31" s="1256"/>
      <c r="K31" s="1233">
        <v>0.50710714478107033</v>
      </c>
      <c r="L31" s="1135"/>
      <c r="M31" s="1135"/>
      <c r="N31" s="1135"/>
      <c r="O31" s="1135"/>
      <c r="P31" s="1135"/>
      <c r="Q31" s="1135"/>
      <c r="R31" s="1135"/>
      <c r="S31" s="1135"/>
      <c r="T31" s="1135"/>
      <c r="U31" s="1135"/>
      <c r="V31" s="1135"/>
      <c r="W31" s="1135"/>
      <c r="X31" s="1135"/>
      <c r="Y31" s="1135"/>
      <c r="Z31" s="1135"/>
      <c r="AA31" s="1135"/>
      <c r="AB31" s="1135"/>
      <c r="AC31" s="1135"/>
      <c r="AD31" s="1135"/>
      <c r="AE31" s="1135"/>
      <c r="AF31" s="1005"/>
      <c r="AG31" s="1005"/>
      <c r="AH31" s="1224">
        <v>6.0979236673115429E-4</v>
      </c>
      <c r="AI31" s="1241"/>
      <c r="AJ31" s="1241"/>
      <c r="AK31" s="1241"/>
      <c r="AL31" s="1241"/>
      <c r="AM31" s="1241"/>
      <c r="AN31" s="1241"/>
      <c r="AO31" s="1241"/>
      <c r="AP31" s="1241"/>
      <c r="AQ31" s="1241"/>
      <c r="AR31" s="1241"/>
      <c r="AS31" s="1241"/>
      <c r="AT31" s="1256"/>
      <c r="AU31" s="1484">
        <v>0.52114284195462635</v>
      </c>
      <c r="AV31" s="1241"/>
      <c r="AW31" s="1241"/>
      <c r="AX31" s="1241"/>
      <c r="AY31" s="1241"/>
      <c r="AZ31" s="1241"/>
      <c r="BA31" s="1241"/>
      <c r="BB31" s="1241"/>
      <c r="BC31" s="1241"/>
      <c r="BD31" s="1241"/>
      <c r="BE31" s="1241"/>
      <c r="BF31" s="1241"/>
      <c r="BG31" s="1241"/>
      <c r="BH31" s="1241"/>
      <c r="BI31" s="1241"/>
      <c r="BJ31" s="1241"/>
      <c r="BK31" s="1241"/>
      <c r="BL31" s="1241"/>
      <c r="BM31" s="1241"/>
      <c r="BN31" s="1241"/>
      <c r="BO31" s="1241"/>
      <c r="BP31" s="1241"/>
      <c r="BQ31" s="1241"/>
      <c r="BR31" s="1484">
        <v>6.4230630447923212E-4</v>
      </c>
      <c r="BS31" s="1241"/>
      <c r="BT31" s="1241"/>
      <c r="BU31" s="1241"/>
      <c r="BV31" s="1241"/>
      <c r="BW31" s="1241"/>
      <c r="BX31" s="1241"/>
      <c r="BY31" s="1241"/>
      <c r="BZ31" s="1241"/>
      <c r="CA31" s="1241"/>
      <c r="CB31" s="1241"/>
      <c r="CC31" s="1241"/>
      <c r="CD31" s="1256"/>
      <c r="CE31" s="1256"/>
      <c r="CF31" s="1265">
        <v>7</v>
      </c>
      <c r="CG31" s="1030"/>
      <c r="CH31" s="1030"/>
      <c r="CI31" s="1030"/>
      <c r="CJ31" s="1030"/>
      <c r="CK31" s="1030"/>
      <c r="CL31" s="1135"/>
      <c r="CM31" s="1135"/>
      <c r="CN31" s="1135"/>
      <c r="CO31" s="1135"/>
      <c r="CP31" s="1135"/>
      <c r="CQ31" s="1135"/>
      <c r="CR31" s="1135"/>
      <c r="CS31" s="1135"/>
      <c r="CT31" s="1135"/>
      <c r="CU31" s="1135"/>
      <c r="CV31" s="1135"/>
      <c r="CW31" s="1135"/>
      <c r="CX31" s="1135"/>
      <c r="CY31" s="1135"/>
      <c r="CZ31" s="1135"/>
      <c r="DA31" s="1008"/>
      <c r="DB31" s="1008"/>
      <c r="DC31" s="1265">
        <v>11091765.17</v>
      </c>
      <c r="DD31" s="1008"/>
      <c r="DE31" s="1008"/>
      <c r="DF31" s="1008"/>
      <c r="DG31" s="1008"/>
      <c r="DH31" s="1008"/>
      <c r="DI31" s="1008"/>
      <c r="DJ31" s="1008"/>
      <c r="DK31" s="1008"/>
      <c r="DL31" s="1008"/>
      <c r="DM31" s="1008"/>
      <c r="DN31" s="1008"/>
      <c r="DO31" s="1256"/>
      <c r="DP31" s="1155">
        <f t="shared" si="79"/>
        <v>1295.6587549156347</v>
      </c>
      <c r="DQ31" s="1155">
        <f t="shared" si="80"/>
        <v>0</v>
      </c>
      <c r="DR31" s="1155">
        <f t="shared" si="81"/>
        <v>0</v>
      </c>
      <c r="DS31" s="1155">
        <f t="shared" si="82"/>
        <v>0</v>
      </c>
      <c r="DT31" s="1155">
        <f t="shared" si="83"/>
        <v>0</v>
      </c>
      <c r="DU31" s="1155">
        <f t="shared" si="84"/>
        <v>0</v>
      </c>
      <c r="DV31" s="1155">
        <f t="shared" si="85"/>
        <v>0</v>
      </c>
      <c r="DW31" s="1155">
        <f t="shared" si="86"/>
        <v>0</v>
      </c>
      <c r="DX31" s="1155">
        <f t="shared" si="87"/>
        <v>0</v>
      </c>
      <c r="DY31" s="1155">
        <f t="shared" si="88"/>
        <v>0</v>
      </c>
      <c r="DZ31" s="1155">
        <f t="shared" si="89"/>
        <v>0</v>
      </c>
      <c r="EA31" s="1155">
        <f t="shared" si="90"/>
        <v>0</v>
      </c>
      <c r="EB31" s="1155">
        <f t="shared" si="91"/>
        <v>0</v>
      </c>
      <c r="EC31" s="1155">
        <f t="shared" si="92"/>
        <v>0</v>
      </c>
      <c r="ED31" s="1155">
        <f t="shared" si="93"/>
        <v>0</v>
      </c>
      <c r="EE31" s="1155">
        <f t="shared" si="94"/>
        <v>0</v>
      </c>
      <c r="EF31" s="1155">
        <f t="shared" si="95"/>
        <v>0</v>
      </c>
      <c r="EG31" s="1155">
        <f t="shared" si="96"/>
        <v>0</v>
      </c>
      <c r="EH31" s="1155">
        <f t="shared" si="97"/>
        <v>0</v>
      </c>
      <c r="EI31" s="1155">
        <f t="shared" si="98"/>
        <v>0</v>
      </c>
      <c r="EJ31" s="1155">
        <f t="shared" si="99"/>
        <v>0</v>
      </c>
      <c r="EK31" s="1155">
        <f t="shared" si="100"/>
        <v>0</v>
      </c>
      <c r="EL31" s="1155">
        <f t="shared" si="101"/>
        <v>0</v>
      </c>
      <c r="EM31" s="1155">
        <f t="shared" si="102"/>
        <v>6763.673734240484</v>
      </c>
      <c r="EN31" s="1155">
        <f t="shared" si="103"/>
        <v>0</v>
      </c>
      <c r="EO31" s="1155">
        <f t="shared" si="104"/>
        <v>0</v>
      </c>
      <c r="EP31" s="1155">
        <f t="shared" si="105"/>
        <v>0</v>
      </c>
      <c r="EQ31" s="1155">
        <f t="shared" si="106"/>
        <v>0</v>
      </c>
      <c r="ER31" s="1155">
        <f t="shared" si="107"/>
        <v>0</v>
      </c>
      <c r="ES31" s="1155">
        <f t="shared" si="108"/>
        <v>0</v>
      </c>
      <c r="ET31" s="1155">
        <f t="shared" si="109"/>
        <v>0</v>
      </c>
      <c r="EU31" s="1155">
        <f t="shared" si="110"/>
        <v>0</v>
      </c>
      <c r="EV31" s="1155">
        <f t="shared" si="111"/>
        <v>0</v>
      </c>
      <c r="EW31" s="1155">
        <f t="shared" si="112"/>
        <v>0</v>
      </c>
      <c r="EX31" s="1155">
        <f t="shared" si="113"/>
        <v>0</v>
      </c>
      <c r="EY31" s="1175">
        <f t="shared" si="114"/>
        <v>8059.3324891561188</v>
      </c>
      <c r="EZ31" s="1256"/>
      <c r="FA31" s="1155">
        <f t="shared" si="115"/>
        <v>1331.5199611940704</v>
      </c>
      <c r="FB31" s="1155">
        <f t="shared" si="116"/>
        <v>0</v>
      </c>
      <c r="FC31" s="1155">
        <f t="shared" si="117"/>
        <v>0</v>
      </c>
      <c r="FD31" s="1155">
        <f t="shared" si="118"/>
        <v>0</v>
      </c>
      <c r="FE31" s="1155">
        <f t="shared" si="119"/>
        <v>0</v>
      </c>
      <c r="FF31" s="1155">
        <f t="shared" si="120"/>
        <v>0</v>
      </c>
      <c r="FG31" s="1155">
        <f t="shared" si="121"/>
        <v>0</v>
      </c>
      <c r="FH31" s="1155">
        <f t="shared" si="122"/>
        <v>0</v>
      </c>
      <c r="FI31" s="1155">
        <f t="shared" si="123"/>
        <v>0</v>
      </c>
      <c r="FJ31" s="1155">
        <f t="shared" si="124"/>
        <v>0</v>
      </c>
      <c r="FK31" s="1155">
        <f t="shared" si="125"/>
        <v>0</v>
      </c>
      <c r="FL31" s="1155">
        <f t="shared" si="126"/>
        <v>0</v>
      </c>
      <c r="FM31" s="1155">
        <f t="shared" si="127"/>
        <v>0</v>
      </c>
      <c r="FN31" s="1155">
        <f t="shared" si="128"/>
        <v>0</v>
      </c>
      <c r="FO31" s="1155">
        <f t="shared" si="129"/>
        <v>0</v>
      </c>
      <c r="FP31" s="1155">
        <f t="shared" si="130"/>
        <v>0</v>
      </c>
      <c r="FQ31" s="1155">
        <f t="shared" si="131"/>
        <v>0</v>
      </c>
      <c r="FR31" s="1155">
        <f t="shared" si="132"/>
        <v>0</v>
      </c>
      <c r="FS31" s="1155">
        <f t="shared" si="133"/>
        <v>0</v>
      </c>
      <c r="FT31" s="1155">
        <f t="shared" si="134"/>
        <v>0</v>
      </c>
      <c r="FU31" s="1155">
        <f t="shared" si="135"/>
        <v>0</v>
      </c>
      <c r="FV31" s="1155">
        <f t="shared" si="136"/>
        <v>0</v>
      </c>
      <c r="FW31" s="1155">
        <f t="shared" si="137"/>
        <v>0</v>
      </c>
      <c r="FX31" s="1155">
        <f t="shared" si="138"/>
        <v>7124.3106964941617</v>
      </c>
      <c r="FY31" s="1155">
        <f t="shared" si="139"/>
        <v>0</v>
      </c>
      <c r="FZ31" s="1155">
        <f t="shared" si="140"/>
        <v>0</v>
      </c>
      <c r="GA31" s="1155">
        <f t="shared" si="141"/>
        <v>0</v>
      </c>
      <c r="GB31" s="1155">
        <f t="shared" si="142"/>
        <v>0</v>
      </c>
      <c r="GC31" s="1155">
        <f t="shared" si="143"/>
        <v>0</v>
      </c>
      <c r="GD31" s="1155">
        <f t="shared" si="144"/>
        <v>0</v>
      </c>
      <c r="GE31" s="1155">
        <f t="shared" si="145"/>
        <v>0</v>
      </c>
      <c r="GF31" s="1155">
        <f t="shared" si="146"/>
        <v>0</v>
      </c>
      <c r="GG31" s="1155">
        <f t="shared" si="147"/>
        <v>0</v>
      </c>
      <c r="GH31" s="1155">
        <f t="shared" si="148"/>
        <v>0</v>
      </c>
      <c r="GI31" s="1155">
        <f t="shared" si="149"/>
        <v>0</v>
      </c>
      <c r="GJ31" s="1175">
        <f t="shared" si="150"/>
        <v>8455.8306576882314</v>
      </c>
    </row>
    <row r="32" spans="1:192">
      <c r="B32" s="1259" t="str">
        <f>IF(Prop2021DUOSTariffs!B32="","",Prop2021DUOSTariffs!B32)</f>
        <v/>
      </c>
      <c r="C32" s="1259" t="str">
        <f>IF(Prop2021DUOSTariffs!C32="","",Prop2021DUOSTariffs!C32)</f>
        <v>MtIsa SAC&gt;100MWhpa DemandMedium</v>
      </c>
      <c r="D32" s="1259" t="str">
        <f>IF(Prop2021DUOSTariffs!D32="","",Prop2021DUOSTariffs!D32)</f>
        <v>MtIsa SAC&gt;100MWhpa DemandMedium</v>
      </c>
      <c r="E32" s="1259" t="str">
        <f>IF(Prop2021DUOSTariffs!E32="","",Prop2021DUOSTariffs!E32)</f>
        <v>SAC</v>
      </c>
      <c r="F32" s="1259" t="str">
        <f>IF(Prop2021DUOSTariffs!F32="","",Prop2021DUOSTariffs!F32)</f>
        <v>SACL</v>
      </c>
      <c r="G32" s="1259" t="str">
        <f>IF(Prop2021DUOSTariffs!G32="","",Prop2021DUOSTariffs!G32)</f>
        <v>Mt Isa</v>
      </c>
      <c r="H32" s="1259" t="str">
        <f>IF(Prop2021DUOSTariffs!H32="","",Prop2021DUOSTariffs!H32)</f>
        <v>MDMT</v>
      </c>
      <c r="I32" s="1259" t="s">
        <v>935</v>
      </c>
      <c r="J32" s="1256"/>
      <c r="K32" s="1233">
        <v>0.50710714478107033</v>
      </c>
      <c r="L32" s="1135"/>
      <c r="M32" s="1135"/>
      <c r="N32" s="1135"/>
      <c r="O32" s="1135"/>
      <c r="P32" s="1135"/>
      <c r="Q32" s="1135"/>
      <c r="R32" s="1135"/>
      <c r="S32" s="1135"/>
      <c r="T32" s="1135"/>
      <c r="U32" s="1135"/>
      <c r="V32" s="1135"/>
      <c r="W32" s="1135"/>
      <c r="X32" s="1135"/>
      <c r="Y32" s="1135"/>
      <c r="Z32" s="1135"/>
      <c r="AA32" s="1135"/>
      <c r="AB32" s="1135"/>
      <c r="AC32" s="1135"/>
      <c r="AD32" s="1135"/>
      <c r="AE32" s="1135"/>
      <c r="AF32" s="1005"/>
      <c r="AG32" s="1005"/>
      <c r="AH32" s="1224">
        <v>6.0979236673115429E-4</v>
      </c>
      <c r="AI32" s="1241"/>
      <c r="AJ32" s="1241"/>
      <c r="AK32" s="1241"/>
      <c r="AL32" s="1241"/>
      <c r="AM32" s="1241"/>
      <c r="AN32" s="1241"/>
      <c r="AO32" s="1241"/>
      <c r="AP32" s="1241"/>
      <c r="AQ32" s="1241"/>
      <c r="AR32" s="1241"/>
      <c r="AS32" s="1241"/>
      <c r="AT32" s="1256"/>
      <c r="AU32" s="1484">
        <v>0.52114284195462635</v>
      </c>
      <c r="AV32" s="1241"/>
      <c r="AW32" s="1241"/>
      <c r="AX32" s="1241"/>
      <c r="AY32" s="1241"/>
      <c r="AZ32" s="1241"/>
      <c r="BA32" s="1241"/>
      <c r="BB32" s="1241"/>
      <c r="BC32" s="1241"/>
      <c r="BD32" s="1241"/>
      <c r="BE32" s="1241"/>
      <c r="BF32" s="1241"/>
      <c r="BG32" s="1241"/>
      <c r="BH32" s="1241"/>
      <c r="BI32" s="1241"/>
      <c r="BJ32" s="1241"/>
      <c r="BK32" s="1241"/>
      <c r="BL32" s="1241"/>
      <c r="BM32" s="1241"/>
      <c r="BN32" s="1241"/>
      <c r="BO32" s="1241"/>
      <c r="BP32" s="1241"/>
      <c r="BQ32" s="1241"/>
      <c r="BR32" s="1484">
        <v>6.4230630447923212E-4</v>
      </c>
      <c r="BS32" s="1241"/>
      <c r="BT32" s="1241"/>
      <c r="BU32" s="1241"/>
      <c r="BV32" s="1241"/>
      <c r="BW32" s="1241"/>
      <c r="BX32" s="1241"/>
      <c r="BY32" s="1241"/>
      <c r="BZ32" s="1241"/>
      <c r="CA32" s="1241"/>
      <c r="CB32" s="1241"/>
      <c r="CC32" s="1241"/>
      <c r="CD32" s="1256"/>
      <c r="CE32" s="1256"/>
      <c r="CF32" s="1265">
        <v>38</v>
      </c>
      <c r="CG32" s="1030"/>
      <c r="CH32" s="1030"/>
      <c r="CI32" s="1030"/>
      <c r="CJ32" s="1030"/>
      <c r="CK32" s="1030"/>
      <c r="CL32" s="1135"/>
      <c r="CM32" s="1135"/>
      <c r="CN32" s="1135"/>
      <c r="CO32" s="1135"/>
      <c r="CP32" s="1135"/>
      <c r="CQ32" s="1135"/>
      <c r="CR32" s="1135"/>
      <c r="CS32" s="1135"/>
      <c r="CT32" s="1135"/>
      <c r="CU32" s="1135"/>
      <c r="CV32" s="1135"/>
      <c r="CW32" s="1135"/>
      <c r="CX32" s="1135"/>
      <c r="CY32" s="1135"/>
      <c r="CZ32" s="1135"/>
      <c r="DA32" s="1008"/>
      <c r="DB32" s="1008"/>
      <c r="DC32" s="1265">
        <v>16596571.65</v>
      </c>
      <c r="DD32" s="1008"/>
      <c r="DE32" s="1008"/>
      <c r="DF32" s="1008"/>
      <c r="DG32" s="1008"/>
      <c r="DH32" s="1008"/>
      <c r="DI32" s="1008"/>
      <c r="DJ32" s="1008"/>
      <c r="DK32" s="1008"/>
      <c r="DL32" s="1008"/>
      <c r="DM32" s="1008"/>
      <c r="DN32" s="1008"/>
      <c r="DO32" s="1256"/>
      <c r="DP32" s="1155">
        <f t="shared" si="79"/>
        <v>7033.5760981134454</v>
      </c>
      <c r="DQ32" s="1155">
        <f t="shared" si="80"/>
        <v>0</v>
      </c>
      <c r="DR32" s="1155">
        <f t="shared" si="81"/>
        <v>0</v>
      </c>
      <c r="DS32" s="1155">
        <f t="shared" si="82"/>
        <v>0</v>
      </c>
      <c r="DT32" s="1155">
        <f t="shared" si="83"/>
        <v>0</v>
      </c>
      <c r="DU32" s="1155">
        <f t="shared" si="84"/>
        <v>0</v>
      </c>
      <c r="DV32" s="1155">
        <f t="shared" si="85"/>
        <v>0</v>
      </c>
      <c r="DW32" s="1155">
        <f t="shared" si="86"/>
        <v>0</v>
      </c>
      <c r="DX32" s="1155">
        <f t="shared" si="87"/>
        <v>0</v>
      </c>
      <c r="DY32" s="1155">
        <f t="shared" si="88"/>
        <v>0</v>
      </c>
      <c r="DZ32" s="1155">
        <f t="shared" si="89"/>
        <v>0</v>
      </c>
      <c r="EA32" s="1155">
        <f t="shared" si="90"/>
        <v>0</v>
      </c>
      <c r="EB32" s="1155">
        <f t="shared" si="91"/>
        <v>0</v>
      </c>
      <c r="EC32" s="1155">
        <f t="shared" si="92"/>
        <v>0</v>
      </c>
      <c r="ED32" s="1155">
        <f t="shared" si="93"/>
        <v>0</v>
      </c>
      <c r="EE32" s="1155">
        <f t="shared" si="94"/>
        <v>0</v>
      </c>
      <c r="EF32" s="1155">
        <f t="shared" si="95"/>
        <v>0</v>
      </c>
      <c r="EG32" s="1155">
        <f t="shared" si="96"/>
        <v>0</v>
      </c>
      <c r="EH32" s="1155">
        <f t="shared" si="97"/>
        <v>0</v>
      </c>
      <c r="EI32" s="1155">
        <f t="shared" si="98"/>
        <v>0</v>
      </c>
      <c r="EJ32" s="1155">
        <f t="shared" si="99"/>
        <v>0</v>
      </c>
      <c r="EK32" s="1155">
        <f t="shared" si="100"/>
        <v>0</v>
      </c>
      <c r="EL32" s="1155">
        <f t="shared" si="101"/>
        <v>0</v>
      </c>
      <c r="EM32" s="1155">
        <f t="shared" si="102"/>
        <v>10120.462706076678</v>
      </c>
      <c r="EN32" s="1155">
        <f t="shared" si="103"/>
        <v>0</v>
      </c>
      <c r="EO32" s="1155">
        <f t="shared" si="104"/>
        <v>0</v>
      </c>
      <c r="EP32" s="1155">
        <f t="shared" si="105"/>
        <v>0</v>
      </c>
      <c r="EQ32" s="1155">
        <f t="shared" si="106"/>
        <v>0</v>
      </c>
      <c r="ER32" s="1155">
        <f t="shared" si="107"/>
        <v>0</v>
      </c>
      <c r="ES32" s="1155">
        <f t="shared" si="108"/>
        <v>0</v>
      </c>
      <c r="ET32" s="1155">
        <f t="shared" si="109"/>
        <v>0</v>
      </c>
      <c r="EU32" s="1155">
        <f t="shared" si="110"/>
        <v>0</v>
      </c>
      <c r="EV32" s="1155">
        <f t="shared" si="111"/>
        <v>0</v>
      </c>
      <c r="EW32" s="1155">
        <f t="shared" si="112"/>
        <v>0</v>
      </c>
      <c r="EX32" s="1155">
        <f t="shared" si="113"/>
        <v>0</v>
      </c>
      <c r="EY32" s="1175">
        <f t="shared" si="114"/>
        <v>17154.038804190124</v>
      </c>
      <c r="EZ32" s="1256"/>
      <c r="FA32" s="1155">
        <f t="shared" si="115"/>
        <v>7228.251217910667</v>
      </c>
      <c r="FB32" s="1155">
        <f t="shared" si="116"/>
        <v>0</v>
      </c>
      <c r="FC32" s="1155">
        <f t="shared" si="117"/>
        <v>0</v>
      </c>
      <c r="FD32" s="1155">
        <f t="shared" si="118"/>
        <v>0</v>
      </c>
      <c r="FE32" s="1155">
        <f t="shared" si="119"/>
        <v>0</v>
      </c>
      <c r="FF32" s="1155">
        <f t="shared" si="120"/>
        <v>0</v>
      </c>
      <c r="FG32" s="1155">
        <f t="shared" si="121"/>
        <v>0</v>
      </c>
      <c r="FH32" s="1155">
        <f t="shared" si="122"/>
        <v>0</v>
      </c>
      <c r="FI32" s="1155">
        <f t="shared" si="123"/>
        <v>0</v>
      </c>
      <c r="FJ32" s="1155">
        <f t="shared" si="124"/>
        <v>0</v>
      </c>
      <c r="FK32" s="1155">
        <f t="shared" si="125"/>
        <v>0</v>
      </c>
      <c r="FL32" s="1155">
        <f t="shared" si="126"/>
        <v>0</v>
      </c>
      <c r="FM32" s="1155">
        <f t="shared" si="127"/>
        <v>0</v>
      </c>
      <c r="FN32" s="1155">
        <f t="shared" si="128"/>
        <v>0</v>
      </c>
      <c r="FO32" s="1155">
        <f t="shared" si="129"/>
        <v>0</v>
      </c>
      <c r="FP32" s="1155">
        <f t="shared" si="130"/>
        <v>0</v>
      </c>
      <c r="FQ32" s="1155">
        <f t="shared" si="131"/>
        <v>0</v>
      </c>
      <c r="FR32" s="1155">
        <f t="shared" si="132"/>
        <v>0</v>
      </c>
      <c r="FS32" s="1155">
        <f t="shared" si="133"/>
        <v>0</v>
      </c>
      <c r="FT32" s="1155">
        <f t="shared" si="134"/>
        <v>0</v>
      </c>
      <c r="FU32" s="1155">
        <f t="shared" si="135"/>
        <v>0</v>
      </c>
      <c r="FV32" s="1155">
        <f t="shared" si="136"/>
        <v>0</v>
      </c>
      <c r="FW32" s="1155">
        <f t="shared" si="137"/>
        <v>0</v>
      </c>
      <c r="FX32" s="1155">
        <f t="shared" si="138"/>
        <v>10660.082603536292</v>
      </c>
      <c r="FY32" s="1155">
        <f t="shared" si="139"/>
        <v>0</v>
      </c>
      <c r="FZ32" s="1155">
        <f t="shared" si="140"/>
        <v>0</v>
      </c>
      <c r="GA32" s="1155">
        <f t="shared" si="141"/>
        <v>0</v>
      </c>
      <c r="GB32" s="1155">
        <f t="shared" si="142"/>
        <v>0</v>
      </c>
      <c r="GC32" s="1155">
        <f t="shared" si="143"/>
        <v>0</v>
      </c>
      <c r="GD32" s="1155">
        <f t="shared" si="144"/>
        <v>0</v>
      </c>
      <c r="GE32" s="1155">
        <f t="shared" si="145"/>
        <v>0</v>
      </c>
      <c r="GF32" s="1155">
        <f t="shared" si="146"/>
        <v>0</v>
      </c>
      <c r="GG32" s="1155">
        <f t="shared" si="147"/>
        <v>0</v>
      </c>
      <c r="GH32" s="1155">
        <f t="shared" si="148"/>
        <v>0</v>
      </c>
      <c r="GI32" s="1155">
        <f t="shared" si="149"/>
        <v>0</v>
      </c>
      <c r="GJ32" s="1175">
        <f t="shared" si="150"/>
        <v>17888.333821446959</v>
      </c>
    </row>
    <row r="33" spans="1:192">
      <c r="B33" s="1259" t="str">
        <f>IF(Prop2021DUOSTariffs!B33="","",Prop2021DUOSTariffs!B33)</f>
        <v/>
      </c>
      <c r="C33" s="1259" t="str">
        <f>IF(Prop2021DUOSTariffs!C33="","",Prop2021DUOSTariffs!C33)</f>
        <v>MtIsa SAC&gt;100MWhpa DemandSmall</v>
      </c>
      <c r="D33" s="1259" t="str">
        <f>IF(Prop2021DUOSTariffs!D33="","",Prop2021DUOSTariffs!D33)</f>
        <v>MtIsa SAC&gt;100MWhpa DemandSmall</v>
      </c>
      <c r="E33" s="1259" t="str">
        <f>IF(Prop2021DUOSTariffs!E33="","",Prop2021DUOSTariffs!E33)</f>
        <v>SAC</v>
      </c>
      <c r="F33" s="1259" t="str">
        <f>IF(Prop2021DUOSTariffs!F33="","",Prop2021DUOSTariffs!F33)</f>
        <v>SACL</v>
      </c>
      <c r="G33" s="1259" t="str">
        <f>IF(Prop2021DUOSTariffs!G33="","",Prop2021DUOSTariffs!G33)</f>
        <v>Mt Isa</v>
      </c>
      <c r="H33" s="1259" t="str">
        <f>IF(Prop2021DUOSTariffs!H33="","",Prop2021DUOSTariffs!H33)</f>
        <v>MDST</v>
      </c>
      <c r="I33" s="1259" t="s">
        <v>935</v>
      </c>
      <c r="J33" s="1256"/>
      <c r="K33" s="1233">
        <v>0.50710714478107033</v>
      </c>
      <c r="L33" s="1135"/>
      <c r="M33" s="1135"/>
      <c r="N33" s="1135"/>
      <c r="O33" s="1135"/>
      <c r="P33" s="1135"/>
      <c r="Q33" s="1135"/>
      <c r="R33" s="1135"/>
      <c r="S33" s="1135"/>
      <c r="T33" s="1135"/>
      <c r="U33" s="1135"/>
      <c r="V33" s="1135"/>
      <c r="W33" s="1135"/>
      <c r="X33" s="1135"/>
      <c r="Y33" s="1135"/>
      <c r="Z33" s="1135"/>
      <c r="AA33" s="1135"/>
      <c r="AB33" s="1135"/>
      <c r="AC33" s="1135"/>
      <c r="AD33" s="1135"/>
      <c r="AE33" s="1135"/>
      <c r="AF33" s="1005"/>
      <c r="AG33" s="1005"/>
      <c r="AH33" s="1224">
        <v>6.0979236673115429E-4</v>
      </c>
      <c r="AI33" s="1241"/>
      <c r="AJ33" s="1241"/>
      <c r="AK33" s="1241"/>
      <c r="AL33" s="1241"/>
      <c r="AM33" s="1241"/>
      <c r="AN33" s="1241"/>
      <c r="AO33" s="1241"/>
      <c r="AP33" s="1241"/>
      <c r="AQ33" s="1241"/>
      <c r="AR33" s="1241"/>
      <c r="AS33" s="1241"/>
      <c r="AT33" s="1256"/>
      <c r="AU33" s="1484">
        <v>0.52114284195462635</v>
      </c>
      <c r="AV33" s="1241"/>
      <c r="AW33" s="1241"/>
      <c r="AX33" s="1241"/>
      <c r="AY33" s="1241"/>
      <c r="AZ33" s="1241"/>
      <c r="BA33" s="1241"/>
      <c r="BB33" s="1241"/>
      <c r="BC33" s="1241"/>
      <c r="BD33" s="1241"/>
      <c r="BE33" s="1241"/>
      <c r="BF33" s="1241"/>
      <c r="BG33" s="1241"/>
      <c r="BH33" s="1241"/>
      <c r="BI33" s="1241"/>
      <c r="BJ33" s="1241"/>
      <c r="BK33" s="1241"/>
      <c r="BL33" s="1241"/>
      <c r="BM33" s="1241"/>
      <c r="BN33" s="1241"/>
      <c r="BO33" s="1241"/>
      <c r="BP33" s="1241"/>
      <c r="BQ33" s="1241"/>
      <c r="BR33" s="1484">
        <v>6.4230630447923212E-4</v>
      </c>
      <c r="BS33" s="1241"/>
      <c r="BT33" s="1241"/>
      <c r="BU33" s="1241"/>
      <c r="BV33" s="1241"/>
      <c r="BW33" s="1241"/>
      <c r="BX33" s="1241"/>
      <c r="BY33" s="1241"/>
      <c r="BZ33" s="1241"/>
      <c r="CA33" s="1241"/>
      <c r="CB33" s="1241"/>
      <c r="CC33" s="1241"/>
      <c r="CD33" s="1256"/>
      <c r="CE33" s="1256"/>
      <c r="CF33" s="1265">
        <v>96</v>
      </c>
      <c r="CG33" s="1030"/>
      <c r="CH33" s="1030"/>
      <c r="CI33" s="1030"/>
      <c r="CJ33" s="1030"/>
      <c r="CK33" s="1030"/>
      <c r="CL33" s="1135"/>
      <c r="CM33" s="1135"/>
      <c r="CN33" s="1135"/>
      <c r="CO33" s="1135"/>
      <c r="CP33" s="1135"/>
      <c r="CQ33" s="1135"/>
      <c r="CR33" s="1135"/>
      <c r="CS33" s="1135"/>
      <c r="CT33" s="1135"/>
      <c r="CU33" s="1135"/>
      <c r="CV33" s="1135"/>
      <c r="CW33" s="1135"/>
      <c r="CX33" s="1135"/>
      <c r="CY33" s="1135"/>
      <c r="CZ33" s="1135"/>
      <c r="DA33" s="1008"/>
      <c r="DB33" s="1008"/>
      <c r="DC33" s="1265">
        <v>14296523.59</v>
      </c>
      <c r="DD33" s="1008"/>
      <c r="DE33" s="1008"/>
      <c r="DF33" s="1008"/>
      <c r="DG33" s="1008"/>
      <c r="DH33" s="1008"/>
      <c r="DI33" s="1008"/>
      <c r="DJ33" s="1008"/>
      <c r="DK33" s="1008"/>
      <c r="DL33" s="1008"/>
      <c r="DM33" s="1008"/>
      <c r="DN33" s="1008"/>
      <c r="DO33" s="1256"/>
      <c r="DP33" s="1155">
        <f t="shared" si="79"/>
        <v>17769.034353128707</v>
      </c>
      <c r="DQ33" s="1155">
        <f t="shared" si="80"/>
        <v>0</v>
      </c>
      <c r="DR33" s="1155">
        <f t="shared" si="81"/>
        <v>0</v>
      </c>
      <c r="DS33" s="1155">
        <f t="shared" si="82"/>
        <v>0</v>
      </c>
      <c r="DT33" s="1155">
        <f t="shared" si="83"/>
        <v>0</v>
      </c>
      <c r="DU33" s="1155">
        <f t="shared" si="84"/>
        <v>0</v>
      </c>
      <c r="DV33" s="1155">
        <f t="shared" si="85"/>
        <v>0</v>
      </c>
      <c r="DW33" s="1155">
        <f t="shared" si="86"/>
        <v>0</v>
      </c>
      <c r="DX33" s="1155">
        <f t="shared" si="87"/>
        <v>0</v>
      </c>
      <c r="DY33" s="1155">
        <f t="shared" si="88"/>
        <v>0</v>
      </c>
      <c r="DZ33" s="1155">
        <f t="shared" si="89"/>
        <v>0</v>
      </c>
      <c r="EA33" s="1155">
        <f t="shared" si="90"/>
        <v>0</v>
      </c>
      <c r="EB33" s="1155">
        <f t="shared" si="91"/>
        <v>0</v>
      </c>
      <c r="EC33" s="1155">
        <f t="shared" si="92"/>
        <v>0</v>
      </c>
      <c r="ED33" s="1155">
        <f t="shared" si="93"/>
        <v>0</v>
      </c>
      <c r="EE33" s="1155">
        <f t="shared" si="94"/>
        <v>0</v>
      </c>
      <c r="EF33" s="1155">
        <f t="shared" si="95"/>
        <v>0</v>
      </c>
      <c r="EG33" s="1155">
        <f t="shared" si="96"/>
        <v>0</v>
      </c>
      <c r="EH33" s="1155">
        <f t="shared" si="97"/>
        <v>0</v>
      </c>
      <c r="EI33" s="1155">
        <f t="shared" si="98"/>
        <v>0</v>
      </c>
      <c r="EJ33" s="1155">
        <f t="shared" si="99"/>
        <v>0</v>
      </c>
      <c r="EK33" s="1155">
        <f t="shared" si="100"/>
        <v>0</v>
      </c>
      <c r="EL33" s="1155">
        <f t="shared" si="101"/>
        <v>0</v>
      </c>
      <c r="EM33" s="1155">
        <f t="shared" si="102"/>
        <v>8717.910955973879</v>
      </c>
      <c r="EN33" s="1155">
        <f t="shared" si="103"/>
        <v>0</v>
      </c>
      <c r="EO33" s="1155">
        <f t="shared" si="104"/>
        <v>0</v>
      </c>
      <c r="EP33" s="1155">
        <f t="shared" si="105"/>
        <v>0</v>
      </c>
      <c r="EQ33" s="1155">
        <f t="shared" si="106"/>
        <v>0</v>
      </c>
      <c r="ER33" s="1155">
        <f t="shared" si="107"/>
        <v>0</v>
      </c>
      <c r="ES33" s="1155">
        <f t="shared" si="108"/>
        <v>0</v>
      </c>
      <c r="ET33" s="1155">
        <f t="shared" si="109"/>
        <v>0</v>
      </c>
      <c r="EU33" s="1155">
        <f t="shared" si="110"/>
        <v>0</v>
      </c>
      <c r="EV33" s="1155">
        <f t="shared" si="111"/>
        <v>0</v>
      </c>
      <c r="EW33" s="1155">
        <f t="shared" si="112"/>
        <v>0</v>
      </c>
      <c r="EX33" s="1155">
        <f t="shared" si="113"/>
        <v>0</v>
      </c>
      <c r="EY33" s="1175">
        <f t="shared" si="114"/>
        <v>26486.945309102586</v>
      </c>
      <c r="EZ33" s="1256"/>
      <c r="FA33" s="1155">
        <f t="shared" si="115"/>
        <v>18260.84518209011</v>
      </c>
      <c r="FB33" s="1155">
        <f t="shared" si="116"/>
        <v>0</v>
      </c>
      <c r="FC33" s="1155">
        <f t="shared" si="117"/>
        <v>0</v>
      </c>
      <c r="FD33" s="1155">
        <f t="shared" si="118"/>
        <v>0</v>
      </c>
      <c r="FE33" s="1155">
        <f t="shared" si="119"/>
        <v>0</v>
      </c>
      <c r="FF33" s="1155">
        <f t="shared" si="120"/>
        <v>0</v>
      </c>
      <c r="FG33" s="1155">
        <f t="shared" si="121"/>
        <v>0</v>
      </c>
      <c r="FH33" s="1155">
        <f t="shared" si="122"/>
        <v>0</v>
      </c>
      <c r="FI33" s="1155">
        <f t="shared" si="123"/>
        <v>0</v>
      </c>
      <c r="FJ33" s="1155">
        <f t="shared" si="124"/>
        <v>0</v>
      </c>
      <c r="FK33" s="1155">
        <f t="shared" si="125"/>
        <v>0</v>
      </c>
      <c r="FL33" s="1155">
        <f t="shared" si="126"/>
        <v>0</v>
      </c>
      <c r="FM33" s="1155">
        <f t="shared" si="127"/>
        <v>0</v>
      </c>
      <c r="FN33" s="1155">
        <f t="shared" si="128"/>
        <v>0</v>
      </c>
      <c r="FO33" s="1155">
        <f t="shared" si="129"/>
        <v>0</v>
      </c>
      <c r="FP33" s="1155">
        <f t="shared" si="130"/>
        <v>0</v>
      </c>
      <c r="FQ33" s="1155">
        <f t="shared" si="131"/>
        <v>0</v>
      </c>
      <c r="FR33" s="1155">
        <f t="shared" si="132"/>
        <v>0</v>
      </c>
      <c r="FS33" s="1155">
        <f t="shared" si="133"/>
        <v>0</v>
      </c>
      <c r="FT33" s="1155">
        <f t="shared" si="134"/>
        <v>0</v>
      </c>
      <c r="FU33" s="1155">
        <f t="shared" si="135"/>
        <v>0</v>
      </c>
      <c r="FV33" s="1155">
        <f t="shared" si="136"/>
        <v>0</v>
      </c>
      <c r="FW33" s="1155">
        <f t="shared" si="137"/>
        <v>0</v>
      </c>
      <c r="FX33" s="1155">
        <f t="shared" si="138"/>
        <v>9182.7472339930646</v>
      </c>
      <c r="FY33" s="1155">
        <f t="shared" si="139"/>
        <v>0</v>
      </c>
      <c r="FZ33" s="1155">
        <f t="shared" si="140"/>
        <v>0</v>
      </c>
      <c r="GA33" s="1155">
        <f t="shared" si="141"/>
        <v>0</v>
      </c>
      <c r="GB33" s="1155">
        <f t="shared" si="142"/>
        <v>0</v>
      </c>
      <c r="GC33" s="1155">
        <f t="shared" si="143"/>
        <v>0</v>
      </c>
      <c r="GD33" s="1155">
        <f t="shared" si="144"/>
        <v>0</v>
      </c>
      <c r="GE33" s="1155">
        <f t="shared" si="145"/>
        <v>0</v>
      </c>
      <c r="GF33" s="1155">
        <f t="shared" si="146"/>
        <v>0</v>
      </c>
      <c r="GG33" s="1155">
        <f t="shared" si="147"/>
        <v>0</v>
      </c>
      <c r="GH33" s="1155">
        <f t="shared" si="148"/>
        <v>0</v>
      </c>
      <c r="GI33" s="1155">
        <f t="shared" si="149"/>
        <v>0</v>
      </c>
      <c r="GJ33" s="1175">
        <f t="shared" si="150"/>
        <v>27443.592416083175</v>
      </c>
    </row>
    <row r="34" spans="1:192">
      <c r="B34" s="1259" t="str">
        <f>IF(Prop2021DUOSTariffs!B34="","",Prop2021DUOSTariffs!B34)</f>
        <v/>
      </c>
      <c r="C34" s="1259" t="str">
        <f>IF(Prop2021DUOSTariffs!C34="","",Prop2021DUOSTariffs!C34)</f>
        <v>East SAC&gt;100MWhpa STOUD</v>
      </c>
      <c r="D34" s="1259" t="str">
        <f>IF(Prop2021DUOSTariffs!D34="","",Prop2021DUOSTariffs!D34)</f>
        <v>East SAC&gt;100MWhpa STOUD</v>
      </c>
      <c r="E34" s="1259" t="str">
        <f>IF(Prop2021DUOSTariffs!E34="","",Prop2021DUOSTariffs!E34)</f>
        <v>SAC</v>
      </c>
      <c r="F34" s="1259" t="str">
        <f>IF(Prop2021DUOSTariffs!F34="","",Prop2021DUOSTariffs!F34)</f>
        <v>SACL</v>
      </c>
      <c r="G34" s="1259" t="str">
        <f>IF(Prop2021DUOSTariffs!G34="","",Prop2021DUOSTariffs!G34)</f>
        <v>East</v>
      </c>
      <c r="H34" s="1259" t="str">
        <f>IF(Prop2021DUOSTariffs!H34="","",Prop2021DUOSTariffs!H34)</f>
        <v>ESTOUD</v>
      </c>
      <c r="I34" s="1259" t="s">
        <v>935</v>
      </c>
      <c r="J34" s="1256"/>
      <c r="K34" s="1233">
        <v>0.50710714478107033</v>
      </c>
      <c r="L34" s="1135"/>
      <c r="M34" s="1135"/>
      <c r="N34" s="1135"/>
      <c r="O34" s="1135"/>
      <c r="P34" s="1135"/>
      <c r="Q34" s="1135"/>
      <c r="R34" s="1135"/>
      <c r="S34" s="1135"/>
      <c r="T34" s="1135"/>
      <c r="U34" s="1135"/>
      <c r="V34" s="1135"/>
      <c r="W34" s="1135"/>
      <c r="X34" s="1135"/>
      <c r="Y34" s="1135"/>
      <c r="Z34" s="1135"/>
      <c r="AA34" s="1135"/>
      <c r="AB34" s="1135"/>
      <c r="AC34" s="1135"/>
      <c r="AD34" s="1135"/>
      <c r="AE34" s="1135"/>
      <c r="AF34" s="1005"/>
      <c r="AG34" s="1005"/>
      <c r="AH34" s="1224">
        <v>6.0979236673115429E-4</v>
      </c>
      <c r="AI34" s="1241"/>
      <c r="AJ34" s="1241"/>
      <c r="AK34" s="1241"/>
      <c r="AL34" s="1241"/>
      <c r="AM34" s="1241"/>
      <c r="AN34" s="1241"/>
      <c r="AO34" s="1241"/>
      <c r="AP34" s="1241"/>
      <c r="AQ34" s="1241"/>
      <c r="AR34" s="1241"/>
      <c r="AS34" s="1241"/>
      <c r="AT34" s="1256"/>
      <c r="AU34" s="1484">
        <v>0.52114284195462635</v>
      </c>
      <c r="AV34" s="1241"/>
      <c r="AW34" s="1241"/>
      <c r="AX34" s="1241"/>
      <c r="AY34" s="1241"/>
      <c r="AZ34" s="1241"/>
      <c r="BA34" s="1241"/>
      <c r="BB34" s="1241"/>
      <c r="BC34" s="1241"/>
      <c r="BD34" s="1241"/>
      <c r="BE34" s="1241"/>
      <c r="BF34" s="1241"/>
      <c r="BG34" s="1241"/>
      <c r="BH34" s="1241"/>
      <c r="BI34" s="1241"/>
      <c r="BJ34" s="1241"/>
      <c r="BK34" s="1241"/>
      <c r="BL34" s="1241"/>
      <c r="BM34" s="1241"/>
      <c r="BN34" s="1241"/>
      <c r="BO34" s="1241"/>
      <c r="BP34" s="1241"/>
      <c r="BQ34" s="1241"/>
      <c r="BR34" s="1484">
        <v>6.4230630447923212E-4</v>
      </c>
      <c r="BS34" s="1241"/>
      <c r="BT34" s="1241"/>
      <c r="BU34" s="1241"/>
      <c r="BV34" s="1241"/>
      <c r="BW34" s="1241"/>
      <c r="BX34" s="1241"/>
      <c r="BY34" s="1241"/>
      <c r="BZ34" s="1241"/>
      <c r="CA34" s="1241"/>
      <c r="CB34" s="1241"/>
      <c r="CC34" s="1241"/>
      <c r="CD34" s="1256"/>
      <c r="CE34" s="1256"/>
      <c r="CF34" s="1265">
        <v>723.99999999999977</v>
      </c>
      <c r="CG34" s="1030"/>
      <c r="CH34" s="1030"/>
      <c r="CI34" s="1030"/>
      <c r="CJ34" s="1030"/>
      <c r="CK34" s="1030"/>
      <c r="CL34" s="1135"/>
      <c r="CM34" s="1135"/>
      <c r="CN34" s="1135"/>
      <c r="CO34" s="1135"/>
      <c r="CP34" s="1135"/>
      <c r="CQ34" s="1135"/>
      <c r="CR34" s="1135"/>
      <c r="CS34" s="1135"/>
      <c r="CT34" s="1135"/>
      <c r="CU34" s="1135"/>
      <c r="CV34" s="1135"/>
      <c r="CW34" s="1135"/>
      <c r="CX34" s="1135"/>
      <c r="CY34" s="1135"/>
      <c r="CZ34" s="1135"/>
      <c r="DA34" s="1008"/>
      <c r="DB34" s="1008"/>
      <c r="DC34" s="1265">
        <v>401302674.07999992</v>
      </c>
      <c r="DD34" s="1008"/>
      <c r="DE34" s="1008"/>
      <c r="DF34" s="1008"/>
      <c r="DG34" s="1008"/>
      <c r="DH34" s="1008"/>
      <c r="DI34" s="1008"/>
      <c r="DJ34" s="1008"/>
      <c r="DK34" s="1008"/>
      <c r="DL34" s="1008"/>
      <c r="DM34" s="1008"/>
      <c r="DN34" s="1008"/>
      <c r="DO34" s="1256"/>
      <c r="DP34" s="1155">
        <f t="shared" si="79"/>
        <v>134008.13407984559</v>
      </c>
      <c r="DQ34" s="1155">
        <f t="shared" si="80"/>
        <v>0</v>
      </c>
      <c r="DR34" s="1155">
        <f t="shared" si="81"/>
        <v>0</v>
      </c>
      <c r="DS34" s="1155">
        <f t="shared" si="82"/>
        <v>0</v>
      </c>
      <c r="DT34" s="1155">
        <f t="shared" si="83"/>
        <v>0</v>
      </c>
      <c r="DU34" s="1155">
        <f t="shared" si="84"/>
        <v>0</v>
      </c>
      <c r="DV34" s="1155">
        <f t="shared" si="85"/>
        <v>0</v>
      </c>
      <c r="DW34" s="1155">
        <f t="shared" si="86"/>
        <v>0</v>
      </c>
      <c r="DX34" s="1155">
        <f t="shared" si="87"/>
        <v>0</v>
      </c>
      <c r="DY34" s="1155">
        <f t="shared" si="88"/>
        <v>0</v>
      </c>
      <c r="DZ34" s="1155">
        <f t="shared" si="89"/>
        <v>0</v>
      </c>
      <c r="EA34" s="1155">
        <f t="shared" si="90"/>
        <v>0</v>
      </c>
      <c r="EB34" s="1155">
        <f t="shared" si="91"/>
        <v>0</v>
      </c>
      <c r="EC34" s="1155">
        <f t="shared" si="92"/>
        <v>0</v>
      </c>
      <c r="ED34" s="1155">
        <f t="shared" si="93"/>
        <v>0</v>
      </c>
      <c r="EE34" s="1155">
        <f t="shared" si="94"/>
        <v>0</v>
      </c>
      <c r="EF34" s="1155">
        <f t="shared" si="95"/>
        <v>0</v>
      </c>
      <c r="EG34" s="1155">
        <f t="shared" si="96"/>
        <v>0</v>
      </c>
      <c r="EH34" s="1155">
        <f t="shared" si="97"/>
        <v>0</v>
      </c>
      <c r="EI34" s="1155">
        <f t="shared" si="98"/>
        <v>0</v>
      </c>
      <c r="EJ34" s="1155">
        <f t="shared" si="99"/>
        <v>0</v>
      </c>
      <c r="EK34" s="1155">
        <f t="shared" si="100"/>
        <v>0</v>
      </c>
      <c r="EL34" s="1155">
        <f t="shared" si="101"/>
        <v>0</v>
      </c>
      <c r="EM34" s="1155">
        <f t="shared" si="102"/>
        <v>244711.30740278421</v>
      </c>
      <c r="EN34" s="1155">
        <f t="shared" si="103"/>
        <v>0</v>
      </c>
      <c r="EO34" s="1155">
        <f t="shared" si="104"/>
        <v>0</v>
      </c>
      <c r="EP34" s="1155">
        <f t="shared" si="105"/>
        <v>0</v>
      </c>
      <c r="EQ34" s="1155">
        <f t="shared" si="106"/>
        <v>0</v>
      </c>
      <c r="ER34" s="1155">
        <f t="shared" si="107"/>
        <v>0</v>
      </c>
      <c r="ES34" s="1155">
        <f t="shared" si="108"/>
        <v>0</v>
      </c>
      <c r="ET34" s="1155">
        <f t="shared" si="109"/>
        <v>0</v>
      </c>
      <c r="EU34" s="1155">
        <f t="shared" si="110"/>
        <v>0</v>
      </c>
      <c r="EV34" s="1155">
        <f t="shared" si="111"/>
        <v>0</v>
      </c>
      <c r="EW34" s="1155">
        <f t="shared" si="112"/>
        <v>0</v>
      </c>
      <c r="EX34" s="1155">
        <f t="shared" si="113"/>
        <v>0</v>
      </c>
      <c r="EY34" s="1175">
        <f t="shared" si="114"/>
        <v>378719.4414826298</v>
      </c>
      <c r="EZ34" s="1256"/>
      <c r="FA34" s="1155">
        <f t="shared" si="115"/>
        <v>137717.20741492952</v>
      </c>
      <c r="FB34" s="1155">
        <f t="shared" si="116"/>
        <v>0</v>
      </c>
      <c r="FC34" s="1155">
        <f t="shared" si="117"/>
        <v>0</v>
      </c>
      <c r="FD34" s="1155">
        <f t="shared" si="118"/>
        <v>0</v>
      </c>
      <c r="FE34" s="1155">
        <f t="shared" si="119"/>
        <v>0</v>
      </c>
      <c r="FF34" s="1155">
        <f t="shared" si="120"/>
        <v>0</v>
      </c>
      <c r="FG34" s="1155">
        <f t="shared" si="121"/>
        <v>0</v>
      </c>
      <c r="FH34" s="1155">
        <f t="shared" si="122"/>
        <v>0</v>
      </c>
      <c r="FI34" s="1155">
        <f t="shared" si="123"/>
        <v>0</v>
      </c>
      <c r="FJ34" s="1155">
        <f t="shared" si="124"/>
        <v>0</v>
      </c>
      <c r="FK34" s="1155">
        <f t="shared" si="125"/>
        <v>0</v>
      </c>
      <c r="FL34" s="1155">
        <f t="shared" si="126"/>
        <v>0</v>
      </c>
      <c r="FM34" s="1155">
        <f t="shared" si="127"/>
        <v>0</v>
      </c>
      <c r="FN34" s="1155">
        <f t="shared" si="128"/>
        <v>0</v>
      </c>
      <c r="FO34" s="1155">
        <f t="shared" si="129"/>
        <v>0</v>
      </c>
      <c r="FP34" s="1155">
        <f t="shared" si="130"/>
        <v>0</v>
      </c>
      <c r="FQ34" s="1155">
        <f t="shared" si="131"/>
        <v>0</v>
      </c>
      <c r="FR34" s="1155">
        <f t="shared" si="132"/>
        <v>0</v>
      </c>
      <c r="FS34" s="1155">
        <f t="shared" si="133"/>
        <v>0</v>
      </c>
      <c r="FT34" s="1155">
        <f t="shared" si="134"/>
        <v>0</v>
      </c>
      <c r="FU34" s="1155">
        <f t="shared" si="135"/>
        <v>0</v>
      </c>
      <c r="FV34" s="1155">
        <f t="shared" si="136"/>
        <v>0</v>
      </c>
      <c r="FW34" s="1155">
        <f t="shared" si="137"/>
        <v>0</v>
      </c>
      <c r="FX34" s="1155">
        <f t="shared" si="138"/>
        <v>257759.23756595849</v>
      </c>
      <c r="FY34" s="1155">
        <f t="shared" si="139"/>
        <v>0</v>
      </c>
      <c r="FZ34" s="1155">
        <f t="shared" si="140"/>
        <v>0</v>
      </c>
      <c r="GA34" s="1155">
        <f t="shared" si="141"/>
        <v>0</v>
      </c>
      <c r="GB34" s="1155">
        <f t="shared" si="142"/>
        <v>0</v>
      </c>
      <c r="GC34" s="1155">
        <f t="shared" si="143"/>
        <v>0</v>
      </c>
      <c r="GD34" s="1155">
        <f t="shared" si="144"/>
        <v>0</v>
      </c>
      <c r="GE34" s="1155">
        <f t="shared" si="145"/>
        <v>0</v>
      </c>
      <c r="GF34" s="1155">
        <f t="shared" si="146"/>
        <v>0</v>
      </c>
      <c r="GG34" s="1155">
        <f t="shared" si="147"/>
        <v>0</v>
      </c>
      <c r="GH34" s="1155">
        <f t="shared" si="148"/>
        <v>0</v>
      </c>
      <c r="GI34" s="1155">
        <f t="shared" si="149"/>
        <v>0</v>
      </c>
      <c r="GJ34" s="1175">
        <f t="shared" si="150"/>
        <v>395476.44498088805</v>
      </c>
    </row>
    <row r="35" spans="1:192">
      <c r="B35" s="1259" t="str">
        <f>IF(Prop2021DUOSTariffs!B35="","",Prop2021DUOSTariffs!B35)</f>
        <v/>
      </c>
      <c r="C35" s="1259" t="str">
        <f>IF(Prop2021DUOSTariffs!C35="","",Prop2021DUOSTariffs!C35)</f>
        <v>West SAC&gt;100MWhpa STOUD</v>
      </c>
      <c r="D35" s="1259" t="str">
        <f>IF(Prop2021DUOSTariffs!D35="","",Prop2021DUOSTariffs!D35)</f>
        <v>West SAC&gt;100MWhpa STOUD</v>
      </c>
      <c r="E35" s="1259" t="str">
        <f>IF(Prop2021DUOSTariffs!E35="","",Prop2021DUOSTariffs!E35)</f>
        <v>SAC</v>
      </c>
      <c r="F35" s="1259" t="str">
        <f>IF(Prop2021DUOSTariffs!F35="","",Prop2021DUOSTariffs!F35)</f>
        <v>SACL</v>
      </c>
      <c r="G35" s="1259" t="str">
        <f>IF(Prop2021DUOSTariffs!G35="","",Prop2021DUOSTariffs!G35)</f>
        <v>West</v>
      </c>
      <c r="H35" s="1259" t="str">
        <f>IF(Prop2021DUOSTariffs!H35="","",Prop2021DUOSTariffs!H35)</f>
        <v>WSTOUD</v>
      </c>
      <c r="I35" s="1259" t="s">
        <v>935</v>
      </c>
      <c r="J35" s="1256"/>
      <c r="K35" s="1233">
        <v>0.50710714478107033</v>
      </c>
      <c r="L35" s="1135"/>
      <c r="M35" s="1135"/>
      <c r="N35" s="1135"/>
      <c r="O35" s="1135"/>
      <c r="P35" s="1135"/>
      <c r="Q35" s="1135"/>
      <c r="R35" s="1135"/>
      <c r="S35" s="1135"/>
      <c r="T35" s="1135"/>
      <c r="U35" s="1135"/>
      <c r="V35" s="1135"/>
      <c r="W35" s="1135"/>
      <c r="X35" s="1135"/>
      <c r="Y35" s="1135"/>
      <c r="Z35" s="1135"/>
      <c r="AA35" s="1135"/>
      <c r="AB35" s="1135"/>
      <c r="AC35" s="1135"/>
      <c r="AD35" s="1135"/>
      <c r="AE35" s="1135"/>
      <c r="AF35" s="1005"/>
      <c r="AG35" s="1005"/>
      <c r="AH35" s="1224">
        <v>6.0979236673115429E-4</v>
      </c>
      <c r="AI35" s="1241"/>
      <c r="AJ35" s="1241"/>
      <c r="AK35" s="1241"/>
      <c r="AL35" s="1241"/>
      <c r="AM35" s="1241"/>
      <c r="AN35" s="1241"/>
      <c r="AO35" s="1241"/>
      <c r="AP35" s="1241"/>
      <c r="AQ35" s="1241"/>
      <c r="AR35" s="1241"/>
      <c r="AS35" s="1241"/>
      <c r="AT35" s="1256"/>
      <c r="AU35" s="1484">
        <v>0.52114284195462635</v>
      </c>
      <c r="AV35" s="1241"/>
      <c r="AW35" s="1241"/>
      <c r="AX35" s="1241"/>
      <c r="AY35" s="1241"/>
      <c r="AZ35" s="1241"/>
      <c r="BA35" s="1241"/>
      <c r="BB35" s="1241"/>
      <c r="BC35" s="1241"/>
      <c r="BD35" s="1241"/>
      <c r="BE35" s="1241"/>
      <c r="BF35" s="1241"/>
      <c r="BG35" s="1241"/>
      <c r="BH35" s="1241"/>
      <c r="BI35" s="1241"/>
      <c r="BJ35" s="1241"/>
      <c r="BK35" s="1241"/>
      <c r="BL35" s="1241"/>
      <c r="BM35" s="1241"/>
      <c r="BN35" s="1241"/>
      <c r="BO35" s="1241"/>
      <c r="BP35" s="1241"/>
      <c r="BQ35" s="1241"/>
      <c r="BR35" s="1484">
        <v>6.4230630447923212E-4</v>
      </c>
      <c r="BS35" s="1241"/>
      <c r="BT35" s="1241"/>
      <c r="BU35" s="1241"/>
      <c r="BV35" s="1241"/>
      <c r="BW35" s="1241"/>
      <c r="BX35" s="1241"/>
      <c r="BY35" s="1241"/>
      <c r="BZ35" s="1241"/>
      <c r="CA35" s="1241"/>
      <c r="CB35" s="1241"/>
      <c r="CC35" s="1241"/>
      <c r="CD35" s="1256"/>
      <c r="CE35" s="1256"/>
      <c r="CF35" s="1265">
        <v>25</v>
      </c>
      <c r="CG35" s="1030"/>
      <c r="CH35" s="1030"/>
      <c r="CI35" s="1030"/>
      <c r="CJ35" s="1030"/>
      <c r="CK35" s="1030"/>
      <c r="CL35" s="1135"/>
      <c r="CM35" s="1135"/>
      <c r="CN35" s="1135"/>
      <c r="CO35" s="1135"/>
      <c r="CP35" s="1135"/>
      <c r="CQ35" s="1135"/>
      <c r="CR35" s="1135"/>
      <c r="CS35" s="1135"/>
      <c r="CT35" s="1135"/>
      <c r="CU35" s="1135"/>
      <c r="CV35" s="1135"/>
      <c r="CW35" s="1135"/>
      <c r="CX35" s="1135"/>
      <c r="CY35" s="1135"/>
      <c r="CZ35" s="1135"/>
      <c r="DA35" s="1008"/>
      <c r="DB35" s="1008"/>
      <c r="DC35" s="1265">
        <v>10005524.59</v>
      </c>
      <c r="DD35" s="1008"/>
      <c r="DE35" s="1008"/>
      <c r="DF35" s="1008"/>
      <c r="DG35" s="1008"/>
      <c r="DH35" s="1008"/>
      <c r="DI35" s="1008"/>
      <c r="DJ35" s="1008"/>
      <c r="DK35" s="1008"/>
      <c r="DL35" s="1008"/>
      <c r="DM35" s="1008"/>
      <c r="DN35" s="1008"/>
      <c r="DO35" s="1256"/>
      <c r="DP35" s="1155">
        <f t="shared" si="79"/>
        <v>4627.3526961272673</v>
      </c>
      <c r="DQ35" s="1155">
        <f t="shared" si="80"/>
        <v>0</v>
      </c>
      <c r="DR35" s="1155">
        <f t="shared" si="81"/>
        <v>0</v>
      </c>
      <c r="DS35" s="1155">
        <f t="shared" si="82"/>
        <v>0</v>
      </c>
      <c r="DT35" s="1155">
        <f t="shared" si="83"/>
        <v>0</v>
      </c>
      <c r="DU35" s="1155">
        <f t="shared" si="84"/>
        <v>0</v>
      </c>
      <c r="DV35" s="1155">
        <f t="shared" si="85"/>
        <v>0</v>
      </c>
      <c r="DW35" s="1155">
        <f t="shared" si="86"/>
        <v>0</v>
      </c>
      <c r="DX35" s="1155">
        <f t="shared" si="87"/>
        <v>0</v>
      </c>
      <c r="DY35" s="1155">
        <f t="shared" si="88"/>
        <v>0</v>
      </c>
      <c r="DZ35" s="1155">
        <f t="shared" si="89"/>
        <v>0</v>
      </c>
      <c r="EA35" s="1155">
        <f t="shared" si="90"/>
        <v>0</v>
      </c>
      <c r="EB35" s="1155">
        <f t="shared" si="91"/>
        <v>0</v>
      </c>
      <c r="EC35" s="1155">
        <f t="shared" si="92"/>
        <v>0</v>
      </c>
      <c r="ED35" s="1155">
        <f t="shared" si="93"/>
        <v>0</v>
      </c>
      <c r="EE35" s="1155">
        <f t="shared" si="94"/>
        <v>0</v>
      </c>
      <c r="EF35" s="1155">
        <f t="shared" si="95"/>
        <v>0</v>
      </c>
      <c r="EG35" s="1155">
        <f t="shared" si="96"/>
        <v>0</v>
      </c>
      <c r="EH35" s="1155">
        <f t="shared" si="97"/>
        <v>0</v>
      </c>
      <c r="EI35" s="1155">
        <f t="shared" si="98"/>
        <v>0</v>
      </c>
      <c r="EJ35" s="1155">
        <f t="shared" si="99"/>
        <v>0</v>
      </c>
      <c r="EK35" s="1155">
        <f t="shared" si="100"/>
        <v>0</v>
      </c>
      <c r="EL35" s="1155">
        <f t="shared" si="101"/>
        <v>0</v>
      </c>
      <c r="EM35" s="1155">
        <f t="shared" si="102"/>
        <v>6101.2925201228618</v>
      </c>
      <c r="EN35" s="1155">
        <f t="shared" si="103"/>
        <v>0</v>
      </c>
      <c r="EO35" s="1155">
        <f t="shared" si="104"/>
        <v>0</v>
      </c>
      <c r="EP35" s="1155">
        <f t="shared" si="105"/>
        <v>0</v>
      </c>
      <c r="EQ35" s="1155">
        <f t="shared" si="106"/>
        <v>0</v>
      </c>
      <c r="ER35" s="1155">
        <f t="shared" si="107"/>
        <v>0</v>
      </c>
      <c r="ES35" s="1155">
        <f t="shared" si="108"/>
        <v>0</v>
      </c>
      <c r="ET35" s="1155">
        <f t="shared" si="109"/>
        <v>0</v>
      </c>
      <c r="EU35" s="1155">
        <f t="shared" si="110"/>
        <v>0</v>
      </c>
      <c r="EV35" s="1155">
        <f t="shared" si="111"/>
        <v>0</v>
      </c>
      <c r="EW35" s="1155">
        <f t="shared" si="112"/>
        <v>0</v>
      </c>
      <c r="EX35" s="1155">
        <f t="shared" si="113"/>
        <v>0</v>
      </c>
      <c r="EY35" s="1175">
        <f t="shared" si="114"/>
        <v>10728.64521625013</v>
      </c>
      <c r="EZ35" s="1256"/>
      <c r="FA35" s="1155">
        <f t="shared" si="115"/>
        <v>4755.4284328359654</v>
      </c>
      <c r="FB35" s="1155">
        <f t="shared" si="116"/>
        <v>0</v>
      </c>
      <c r="FC35" s="1155">
        <f t="shared" si="117"/>
        <v>0</v>
      </c>
      <c r="FD35" s="1155">
        <f t="shared" si="118"/>
        <v>0</v>
      </c>
      <c r="FE35" s="1155">
        <f t="shared" si="119"/>
        <v>0</v>
      </c>
      <c r="FF35" s="1155">
        <f t="shared" si="120"/>
        <v>0</v>
      </c>
      <c r="FG35" s="1155">
        <f t="shared" si="121"/>
        <v>0</v>
      </c>
      <c r="FH35" s="1155">
        <f t="shared" si="122"/>
        <v>0</v>
      </c>
      <c r="FI35" s="1155">
        <f t="shared" si="123"/>
        <v>0</v>
      </c>
      <c r="FJ35" s="1155">
        <f t="shared" si="124"/>
        <v>0</v>
      </c>
      <c r="FK35" s="1155">
        <f t="shared" si="125"/>
        <v>0</v>
      </c>
      <c r="FL35" s="1155">
        <f t="shared" si="126"/>
        <v>0</v>
      </c>
      <c r="FM35" s="1155">
        <f t="shared" si="127"/>
        <v>0</v>
      </c>
      <c r="FN35" s="1155">
        <f t="shared" si="128"/>
        <v>0</v>
      </c>
      <c r="FO35" s="1155">
        <f t="shared" si="129"/>
        <v>0</v>
      </c>
      <c r="FP35" s="1155">
        <f t="shared" si="130"/>
        <v>0</v>
      </c>
      <c r="FQ35" s="1155">
        <f t="shared" si="131"/>
        <v>0</v>
      </c>
      <c r="FR35" s="1155">
        <f t="shared" si="132"/>
        <v>0</v>
      </c>
      <c r="FS35" s="1155">
        <f t="shared" si="133"/>
        <v>0</v>
      </c>
      <c r="FT35" s="1155">
        <f t="shared" si="134"/>
        <v>0</v>
      </c>
      <c r="FU35" s="1155">
        <f t="shared" si="135"/>
        <v>0</v>
      </c>
      <c r="FV35" s="1155">
        <f t="shared" si="136"/>
        <v>0</v>
      </c>
      <c r="FW35" s="1155">
        <f t="shared" si="137"/>
        <v>0</v>
      </c>
      <c r="FX35" s="1155">
        <f t="shared" si="138"/>
        <v>6426.6115237789836</v>
      </c>
      <c r="FY35" s="1155">
        <f t="shared" si="139"/>
        <v>0</v>
      </c>
      <c r="FZ35" s="1155">
        <f t="shared" si="140"/>
        <v>0</v>
      </c>
      <c r="GA35" s="1155">
        <f t="shared" si="141"/>
        <v>0</v>
      </c>
      <c r="GB35" s="1155">
        <f t="shared" si="142"/>
        <v>0</v>
      </c>
      <c r="GC35" s="1155">
        <f t="shared" si="143"/>
        <v>0</v>
      </c>
      <c r="GD35" s="1155">
        <f t="shared" si="144"/>
        <v>0</v>
      </c>
      <c r="GE35" s="1155">
        <f t="shared" si="145"/>
        <v>0</v>
      </c>
      <c r="GF35" s="1155">
        <f t="shared" si="146"/>
        <v>0</v>
      </c>
      <c r="GG35" s="1155">
        <f t="shared" si="147"/>
        <v>0</v>
      </c>
      <c r="GH35" s="1155">
        <f t="shared" si="148"/>
        <v>0</v>
      </c>
      <c r="GI35" s="1155">
        <f t="shared" si="149"/>
        <v>0</v>
      </c>
      <c r="GJ35" s="1175">
        <f t="shared" si="150"/>
        <v>11182.03995661495</v>
      </c>
    </row>
    <row r="36" spans="1:192">
      <c r="B36" s="1259" t="str">
        <f>IF(Prop2021DUOSTariffs!B36="","",Prop2021DUOSTariffs!B36)</f>
        <v/>
      </c>
      <c r="C36" s="1259" t="str">
        <f>IF(Prop2021DUOSTariffs!C36="","",Prop2021DUOSTariffs!C36)</f>
        <v>MtIsa SAC&gt;100MWhpa STOUD</v>
      </c>
      <c r="D36" s="1259" t="str">
        <f>IF(Prop2021DUOSTariffs!D36="","",Prop2021DUOSTariffs!D36)</f>
        <v>MtIsa SAC&gt;100MWhpa STOUD</v>
      </c>
      <c r="E36" s="1259" t="str">
        <f>IF(Prop2021DUOSTariffs!E36="","",Prop2021DUOSTariffs!E36)</f>
        <v>SAC</v>
      </c>
      <c r="F36" s="1259" t="str">
        <f>IF(Prop2021DUOSTariffs!F36="","",Prop2021DUOSTariffs!F36)</f>
        <v>SACL</v>
      </c>
      <c r="G36" s="1259" t="str">
        <f>IF(Prop2021DUOSTariffs!G36="","",Prop2021DUOSTariffs!G36)</f>
        <v>Mt Isa</v>
      </c>
      <c r="H36" s="1259" t="str">
        <f>IF(Prop2021DUOSTariffs!H36="","",Prop2021DUOSTariffs!H36)</f>
        <v>MSTOUD</v>
      </c>
      <c r="I36" s="1259" t="s">
        <v>935</v>
      </c>
      <c r="J36" s="1256"/>
      <c r="K36" s="1233">
        <v>0.50710714478107033</v>
      </c>
      <c r="L36" s="1135"/>
      <c r="M36" s="1135"/>
      <c r="N36" s="1135"/>
      <c r="O36" s="1135"/>
      <c r="P36" s="1135"/>
      <c r="Q36" s="1135"/>
      <c r="R36" s="1135"/>
      <c r="S36" s="1135"/>
      <c r="T36" s="1135"/>
      <c r="U36" s="1135"/>
      <c r="V36" s="1135"/>
      <c r="W36" s="1135"/>
      <c r="X36" s="1135"/>
      <c r="Y36" s="1135"/>
      <c r="Z36" s="1135"/>
      <c r="AA36" s="1135"/>
      <c r="AB36" s="1135"/>
      <c r="AC36" s="1135"/>
      <c r="AD36" s="1135"/>
      <c r="AE36" s="1135"/>
      <c r="AF36" s="1005"/>
      <c r="AG36" s="1005"/>
      <c r="AH36" s="1224">
        <v>6.0979236673115429E-4</v>
      </c>
      <c r="AI36" s="1241"/>
      <c r="AJ36" s="1241"/>
      <c r="AK36" s="1241"/>
      <c r="AL36" s="1241"/>
      <c r="AM36" s="1241"/>
      <c r="AN36" s="1241"/>
      <c r="AO36" s="1241"/>
      <c r="AP36" s="1241"/>
      <c r="AQ36" s="1241"/>
      <c r="AR36" s="1241"/>
      <c r="AS36" s="1241"/>
      <c r="AT36" s="1256"/>
      <c r="AU36" s="1484">
        <v>0.52114284195462635</v>
      </c>
      <c r="AV36" s="1241"/>
      <c r="AW36" s="1241"/>
      <c r="AX36" s="1241"/>
      <c r="AY36" s="1241"/>
      <c r="AZ36" s="1241"/>
      <c r="BA36" s="1241"/>
      <c r="BB36" s="1241"/>
      <c r="BC36" s="1241"/>
      <c r="BD36" s="1241"/>
      <c r="BE36" s="1241"/>
      <c r="BF36" s="1241"/>
      <c r="BG36" s="1241"/>
      <c r="BH36" s="1241"/>
      <c r="BI36" s="1241"/>
      <c r="BJ36" s="1241"/>
      <c r="BK36" s="1241"/>
      <c r="BL36" s="1241"/>
      <c r="BM36" s="1241"/>
      <c r="BN36" s="1241"/>
      <c r="BO36" s="1241"/>
      <c r="BP36" s="1241"/>
      <c r="BQ36" s="1241"/>
      <c r="BR36" s="1484">
        <v>6.4230630447923212E-4</v>
      </c>
      <c r="BS36" s="1241"/>
      <c r="BT36" s="1241"/>
      <c r="BU36" s="1241"/>
      <c r="BV36" s="1241"/>
      <c r="BW36" s="1241"/>
      <c r="BX36" s="1241"/>
      <c r="BY36" s="1241"/>
      <c r="BZ36" s="1241"/>
      <c r="CA36" s="1241"/>
      <c r="CB36" s="1241"/>
      <c r="CC36" s="1241"/>
      <c r="CD36" s="1256"/>
      <c r="CE36" s="1256"/>
      <c r="CF36" s="1265">
        <v>2.68</v>
      </c>
      <c r="CG36" s="1030"/>
      <c r="CH36" s="1030"/>
      <c r="CI36" s="1030"/>
      <c r="CJ36" s="1030"/>
      <c r="CK36" s="1030"/>
      <c r="CL36" s="1135"/>
      <c r="CM36" s="1135"/>
      <c r="CN36" s="1135"/>
      <c r="CO36" s="1135"/>
      <c r="CP36" s="1135"/>
      <c r="CQ36" s="1135"/>
      <c r="CR36" s="1135"/>
      <c r="CS36" s="1135"/>
      <c r="CT36" s="1135"/>
      <c r="CU36" s="1135"/>
      <c r="CV36" s="1135"/>
      <c r="CW36" s="1135"/>
      <c r="CX36" s="1135"/>
      <c r="CY36" s="1135"/>
      <c r="CZ36" s="1135"/>
      <c r="DA36" s="1008"/>
      <c r="DB36" s="1008"/>
      <c r="DC36" s="1265">
        <v>889270.33</v>
      </c>
      <c r="DD36" s="1008"/>
      <c r="DE36" s="1008"/>
      <c r="DF36" s="1008"/>
      <c r="DG36" s="1008"/>
      <c r="DH36" s="1008"/>
      <c r="DI36" s="1008"/>
      <c r="DJ36" s="1008"/>
      <c r="DK36" s="1008"/>
      <c r="DL36" s="1008"/>
      <c r="DM36" s="1008"/>
      <c r="DN36" s="1008"/>
      <c r="DO36" s="1256"/>
      <c r="DP36" s="1155">
        <f t="shared" si="79"/>
        <v>496.05220902484308</v>
      </c>
      <c r="DQ36" s="1155">
        <f t="shared" si="80"/>
        <v>0</v>
      </c>
      <c r="DR36" s="1155">
        <f t="shared" si="81"/>
        <v>0</v>
      </c>
      <c r="DS36" s="1155">
        <f t="shared" si="82"/>
        <v>0</v>
      </c>
      <c r="DT36" s="1155">
        <f t="shared" si="83"/>
        <v>0</v>
      </c>
      <c r="DU36" s="1155">
        <f t="shared" si="84"/>
        <v>0</v>
      </c>
      <c r="DV36" s="1155">
        <f t="shared" si="85"/>
        <v>0</v>
      </c>
      <c r="DW36" s="1155">
        <f t="shared" si="86"/>
        <v>0</v>
      </c>
      <c r="DX36" s="1155">
        <f t="shared" si="87"/>
        <v>0</v>
      </c>
      <c r="DY36" s="1155">
        <f t="shared" si="88"/>
        <v>0</v>
      </c>
      <c r="DZ36" s="1155">
        <f t="shared" si="89"/>
        <v>0</v>
      </c>
      <c r="EA36" s="1155">
        <f t="shared" si="90"/>
        <v>0</v>
      </c>
      <c r="EB36" s="1155">
        <f t="shared" si="91"/>
        <v>0</v>
      </c>
      <c r="EC36" s="1155">
        <f t="shared" si="92"/>
        <v>0</v>
      </c>
      <c r="ED36" s="1155">
        <f t="shared" si="93"/>
        <v>0</v>
      </c>
      <c r="EE36" s="1155">
        <f t="shared" si="94"/>
        <v>0</v>
      </c>
      <c r="EF36" s="1155">
        <f t="shared" si="95"/>
        <v>0</v>
      </c>
      <c r="EG36" s="1155">
        <f t="shared" si="96"/>
        <v>0</v>
      </c>
      <c r="EH36" s="1155">
        <f t="shared" si="97"/>
        <v>0</v>
      </c>
      <c r="EI36" s="1155">
        <f t="shared" si="98"/>
        <v>0</v>
      </c>
      <c r="EJ36" s="1155">
        <f t="shared" si="99"/>
        <v>0</v>
      </c>
      <c r="EK36" s="1155">
        <f t="shared" si="100"/>
        <v>0</v>
      </c>
      <c r="EL36" s="1155">
        <f t="shared" si="101"/>
        <v>0</v>
      </c>
      <c r="EM36" s="1155">
        <f t="shared" si="102"/>
        <v>542.27025919449454</v>
      </c>
      <c r="EN36" s="1155">
        <f t="shared" si="103"/>
        <v>0</v>
      </c>
      <c r="EO36" s="1155">
        <f t="shared" si="104"/>
        <v>0</v>
      </c>
      <c r="EP36" s="1155">
        <f t="shared" si="105"/>
        <v>0</v>
      </c>
      <c r="EQ36" s="1155">
        <f t="shared" si="106"/>
        <v>0</v>
      </c>
      <c r="ER36" s="1155">
        <f t="shared" si="107"/>
        <v>0</v>
      </c>
      <c r="ES36" s="1155">
        <f t="shared" si="108"/>
        <v>0</v>
      </c>
      <c r="ET36" s="1155">
        <f t="shared" si="109"/>
        <v>0</v>
      </c>
      <c r="EU36" s="1155">
        <f t="shared" si="110"/>
        <v>0</v>
      </c>
      <c r="EV36" s="1155">
        <f t="shared" si="111"/>
        <v>0</v>
      </c>
      <c r="EW36" s="1155">
        <f t="shared" si="112"/>
        <v>0</v>
      </c>
      <c r="EX36" s="1155">
        <f t="shared" si="113"/>
        <v>0</v>
      </c>
      <c r="EY36" s="1175">
        <f t="shared" si="114"/>
        <v>1038.3224682193377</v>
      </c>
      <c r="EZ36" s="1256"/>
      <c r="FA36" s="1155">
        <f t="shared" si="115"/>
        <v>509.78192800001551</v>
      </c>
      <c r="FB36" s="1155">
        <f t="shared" si="116"/>
        <v>0</v>
      </c>
      <c r="FC36" s="1155">
        <f t="shared" si="117"/>
        <v>0</v>
      </c>
      <c r="FD36" s="1155">
        <f t="shared" si="118"/>
        <v>0</v>
      </c>
      <c r="FE36" s="1155">
        <f t="shared" si="119"/>
        <v>0</v>
      </c>
      <c r="FF36" s="1155">
        <f t="shared" si="120"/>
        <v>0</v>
      </c>
      <c r="FG36" s="1155">
        <f t="shared" si="121"/>
        <v>0</v>
      </c>
      <c r="FH36" s="1155">
        <f t="shared" si="122"/>
        <v>0</v>
      </c>
      <c r="FI36" s="1155">
        <f t="shared" si="123"/>
        <v>0</v>
      </c>
      <c r="FJ36" s="1155">
        <f t="shared" si="124"/>
        <v>0</v>
      </c>
      <c r="FK36" s="1155">
        <f t="shared" si="125"/>
        <v>0</v>
      </c>
      <c r="FL36" s="1155">
        <f t="shared" si="126"/>
        <v>0</v>
      </c>
      <c r="FM36" s="1155">
        <f t="shared" si="127"/>
        <v>0</v>
      </c>
      <c r="FN36" s="1155">
        <f t="shared" si="128"/>
        <v>0</v>
      </c>
      <c r="FO36" s="1155">
        <f t="shared" si="129"/>
        <v>0</v>
      </c>
      <c r="FP36" s="1155">
        <f t="shared" si="130"/>
        <v>0</v>
      </c>
      <c r="FQ36" s="1155">
        <f t="shared" si="131"/>
        <v>0</v>
      </c>
      <c r="FR36" s="1155">
        <f t="shared" si="132"/>
        <v>0</v>
      </c>
      <c r="FS36" s="1155">
        <f t="shared" si="133"/>
        <v>0</v>
      </c>
      <c r="FT36" s="1155">
        <f t="shared" si="134"/>
        <v>0</v>
      </c>
      <c r="FU36" s="1155">
        <f t="shared" si="135"/>
        <v>0</v>
      </c>
      <c r="FV36" s="1155">
        <f t="shared" si="136"/>
        <v>0</v>
      </c>
      <c r="FW36" s="1155">
        <f t="shared" si="137"/>
        <v>0</v>
      </c>
      <c r="FX36" s="1155">
        <f t="shared" si="138"/>
        <v>571.18393934532719</v>
      </c>
      <c r="FY36" s="1155">
        <f t="shared" si="139"/>
        <v>0</v>
      </c>
      <c r="FZ36" s="1155">
        <f t="shared" si="140"/>
        <v>0</v>
      </c>
      <c r="GA36" s="1155">
        <f t="shared" si="141"/>
        <v>0</v>
      </c>
      <c r="GB36" s="1155">
        <f t="shared" si="142"/>
        <v>0</v>
      </c>
      <c r="GC36" s="1155">
        <f t="shared" si="143"/>
        <v>0</v>
      </c>
      <c r="GD36" s="1155">
        <f t="shared" si="144"/>
        <v>0</v>
      </c>
      <c r="GE36" s="1155">
        <f t="shared" si="145"/>
        <v>0</v>
      </c>
      <c r="GF36" s="1155">
        <f t="shared" si="146"/>
        <v>0</v>
      </c>
      <c r="GG36" s="1155">
        <f t="shared" si="147"/>
        <v>0</v>
      </c>
      <c r="GH36" s="1155">
        <f t="shared" si="148"/>
        <v>0</v>
      </c>
      <c r="GI36" s="1155">
        <f t="shared" si="149"/>
        <v>0</v>
      </c>
      <c r="GJ36" s="1175">
        <f t="shared" si="150"/>
        <v>1080.9658673453428</v>
      </c>
    </row>
    <row r="37" spans="1:192">
      <c r="B37" s="1259" t="str">
        <f>IF(Prop2021DUOSTariffs!B37="","",Prop2021DUOSTariffs!B37)</f>
        <v/>
      </c>
      <c r="C37" s="1259" t="str">
        <f>IF(Prop2021DUOSTariffs!C37="","",Prop2021DUOSTariffs!C37)</f>
        <v>East SAC&gt;100MWhpa TOUD</v>
      </c>
      <c r="D37" s="1259" t="str">
        <f>IF(Prop2021DUOSTariffs!D37="","",Prop2021DUOSTariffs!D37)</f>
        <v>East SAC&gt;100MWhpa TOUD</v>
      </c>
      <c r="E37" s="1259" t="str">
        <f>IF(Prop2021DUOSTariffs!E37="","",Prop2021DUOSTariffs!E37)</f>
        <v>SAC</v>
      </c>
      <c r="F37" s="1259" t="str">
        <f>IF(Prop2021DUOSTariffs!F37="","",Prop2021DUOSTariffs!F37)</f>
        <v>SACL</v>
      </c>
      <c r="G37" s="1259" t="str">
        <f>IF(Prop2021DUOSTariffs!G37="","",Prop2021DUOSTariffs!G37)</f>
        <v>East</v>
      </c>
      <c r="H37" s="1259" t="str">
        <f>IF(Prop2021DUOSTariffs!H37="","",Prop2021DUOSTariffs!H37)</f>
        <v>ELTOUD</v>
      </c>
      <c r="I37" s="1259" t="s">
        <v>935</v>
      </c>
      <c r="J37" s="1256"/>
      <c r="K37" s="1233">
        <v>0.50710714478107033</v>
      </c>
      <c r="L37" s="1135"/>
      <c r="M37" s="1135"/>
      <c r="N37" s="1135"/>
      <c r="O37" s="1135"/>
      <c r="P37" s="1135"/>
      <c r="Q37" s="1135"/>
      <c r="R37" s="1135"/>
      <c r="S37" s="1135"/>
      <c r="T37" s="1135"/>
      <c r="U37" s="1135"/>
      <c r="V37" s="1135"/>
      <c r="W37" s="1135"/>
      <c r="X37" s="1135"/>
      <c r="Y37" s="1135"/>
      <c r="Z37" s="1135"/>
      <c r="AA37" s="1135"/>
      <c r="AB37" s="1135"/>
      <c r="AC37" s="1135"/>
      <c r="AD37" s="1135"/>
      <c r="AE37" s="1135"/>
      <c r="AF37" s="1005"/>
      <c r="AG37" s="1005"/>
      <c r="AH37" s="1224">
        <v>6.0979236673115429E-4</v>
      </c>
      <c r="AI37" s="1241"/>
      <c r="AJ37" s="1241"/>
      <c r="AK37" s="1241"/>
      <c r="AL37" s="1241"/>
      <c r="AM37" s="1241"/>
      <c r="AN37" s="1241"/>
      <c r="AO37" s="1241"/>
      <c r="AP37" s="1241"/>
      <c r="AQ37" s="1241"/>
      <c r="AR37" s="1241"/>
      <c r="AS37" s="1241"/>
      <c r="AT37" s="1256"/>
      <c r="AU37" s="1484">
        <v>0.52114284195462635</v>
      </c>
      <c r="AV37" s="1241"/>
      <c r="AW37" s="1241"/>
      <c r="AX37" s="1241"/>
      <c r="AY37" s="1241"/>
      <c r="AZ37" s="1241"/>
      <c r="BA37" s="1241"/>
      <c r="BB37" s="1241"/>
      <c r="BC37" s="1241"/>
      <c r="BD37" s="1241"/>
      <c r="BE37" s="1241"/>
      <c r="BF37" s="1241"/>
      <c r="BG37" s="1241"/>
      <c r="BH37" s="1241"/>
      <c r="BI37" s="1241"/>
      <c r="BJ37" s="1241"/>
      <c r="BK37" s="1241"/>
      <c r="BL37" s="1241"/>
      <c r="BM37" s="1241"/>
      <c r="BN37" s="1241"/>
      <c r="BO37" s="1241"/>
      <c r="BP37" s="1241"/>
      <c r="BQ37" s="1241"/>
      <c r="BR37" s="1484">
        <v>6.4230630447923212E-4</v>
      </c>
      <c r="BS37" s="1241"/>
      <c r="BT37" s="1241"/>
      <c r="BU37" s="1241"/>
      <c r="BV37" s="1241"/>
      <c r="BW37" s="1241"/>
      <c r="BX37" s="1241"/>
      <c r="BY37" s="1241"/>
      <c r="BZ37" s="1241"/>
      <c r="CA37" s="1241"/>
      <c r="CB37" s="1241"/>
      <c r="CC37" s="1241"/>
      <c r="CD37" s="1256"/>
      <c r="CE37" s="1256"/>
      <c r="CF37" s="1265">
        <v>19.999999999999996</v>
      </c>
      <c r="CG37" s="1030"/>
      <c r="CH37" s="1030"/>
      <c r="CI37" s="1030"/>
      <c r="CJ37" s="1030"/>
      <c r="CK37" s="1030"/>
      <c r="CL37" s="1135"/>
      <c r="CM37" s="1135"/>
      <c r="CN37" s="1135"/>
      <c r="CO37" s="1135"/>
      <c r="CP37" s="1135"/>
      <c r="CQ37" s="1135"/>
      <c r="CR37" s="1135"/>
      <c r="CS37" s="1135"/>
      <c r="CT37" s="1135"/>
      <c r="CU37" s="1135"/>
      <c r="CV37" s="1135"/>
      <c r="CW37" s="1135"/>
      <c r="CX37" s="1135"/>
      <c r="CY37" s="1135"/>
      <c r="CZ37" s="1135"/>
      <c r="DA37" s="1008"/>
      <c r="DB37" s="1008"/>
      <c r="DC37" s="1265">
        <v>19958821.199999996</v>
      </c>
      <c r="DD37" s="1008"/>
      <c r="DE37" s="1008"/>
      <c r="DF37" s="1008"/>
      <c r="DG37" s="1008"/>
      <c r="DH37" s="1008"/>
      <c r="DI37" s="1008"/>
      <c r="DJ37" s="1008"/>
      <c r="DK37" s="1008"/>
      <c r="DL37" s="1008"/>
      <c r="DM37" s="1008"/>
      <c r="DN37" s="1008"/>
      <c r="DO37" s="1256"/>
      <c r="DP37" s="1155">
        <f t="shared" si="79"/>
        <v>3701.8821569018128</v>
      </c>
      <c r="DQ37" s="1155">
        <f t="shared" si="80"/>
        <v>0</v>
      </c>
      <c r="DR37" s="1155">
        <f t="shared" si="81"/>
        <v>0</v>
      </c>
      <c r="DS37" s="1155">
        <f t="shared" si="82"/>
        <v>0</v>
      </c>
      <c r="DT37" s="1155">
        <f t="shared" si="83"/>
        <v>0</v>
      </c>
      <c r="DU37" s="1155">
        <f t="shared" si="84"/>
        <v>0</v>
      </c>
      <c r="DV37" s="1155">
        <f t="shared" si="85"/>
        <v>0</v>
      </c>
      <c r="DW37" s="1155">
        <f t="shared" si="86"/>
        <v>0</v>
      </c>
      <c r="DX37" s="1155">
        <f t="shared" si="87"/>
        <v>0</v>
      </c>
      <c r="DY37" s="1155">
        <f t="shared" si="88"/>
        <v>0</v>
      </c>
      <c r="DZ37" s="1155">
        <f t="shared" si="89"/>
        <v>0</v>
      </c>
      <c r="EA37" s="1155">
        <f t="shared" si="90"/>
        <v>0</v>
      </c>
      <c r="EB37" s="1155">
        <f t="shared" si="91"/>
        <v>0</v>
      </c>
      <c r="EC37" s="1155">
        <f t="shared" si="92"/>
        <v>0</v>
      </c>
      <c r="ED37" s="1155">
        <f t="shared" si="93"/>
        <v>0</v>
      </c>
      <c r="EE37" s="1155">
        <f t="shared" si="94"/>
        <v>0</v>
      </c>
      <c r="EF37" s="1155">
        <f t="shared" si="95"/>
        <v>0</v>
      </c>
      <c r="EG37" s="1155">
        <f t="shared" si="96"/>
        <v>0</v>
      </c>
      <c r="EH37" s="1155">
        <f t="shared" si="97"/>
        <v>0</v>
      </c>
      <c r="EI37" s="1155">
        <f t="shared" si="98"/>
        <v>0</v>
      </c>
      <c r="EJ37" s="1155">
        <f t="shared" si="99"/>
        <v>0</v>
      </c>
      <c r="EK37" s="1155">
        <f t="shared" si="100"/>
        <v>0</v>
      </c>
      <c r="EL37" s="1155">
        <f t="shared" si="101"/>
        <v>0</v>
      </c>
      <c r="EM37" s="1155">
        <f t="shared" si="102"/>
        <v>12170.736816711935</v>
      </c>
      <c r="EN37" s="1155">
        <f t="shared" si="103"/>
        <v>0</v>
      </c>
      <c r="EO37" s="1155">
        <f t="shared" si="104"/>
        <v>0</v>
      </c>
      <c r="EP37" s="1155">
        <f t="shared" si="105"/>
        <v>0</v>
      </c>
      <c r="EQ37" s="1155">
        <f t="shared" si="106"/>
        <v>0</v>
      </c>
      <c r="ER37" s="1155">
        <f t="shared" si="107"/>
        <v>0</v>
      </c>
      <c r="ES37" s="1155">
        <f t="shared" si="108"/>
        <v>0</v>
      </c>
      <c r="ET37" s="1155">
        <f t="shared" si="109"/>
        <v>0</v>
      </c>
      <c r="EU37" s="1155">
        <f t="shared" si="110"/>
        <v>0</v>
      </c>
      <c r="EV37" s="1155">
        <f t="shared" si="111"/>
        <v>0</v>
      </c>
      <c r="EW37" s="1155">
        <f t="shared" si="112"/>
        <v>0</v>
      </c>
      <c r="EX37" s="1155">
        <f t="shared" si="113"/>
        <v>0</v>
      </c>
      <c r="EY37" s="1175">
        <f t="shared" si="114"/>
        <v>15872.618973613748</v>
      </c>
      <c r="EZ37" s="1256"/>
      <c r="FA37" s="1155">
        <f t="shared" si="115"/>
        <v>3804.3427462687714</v>
      </c>
      <c r="FB37" s="1155">
        <f t="shared" si="116"/>
        <v>0</v>
      </c>
      <c r="FC37" s="1155">
        <f t="shared" si="117"/>
        <v>0</v>
      </c>
      <c r="FD37" s="1155">
        <f t="shared" si="118"/>
        <v>0</v>
      </c>
      <c r="FE37" s="1155">
        <f t="shared" si="119"/>
        <v>0</v>
      </c>
      <c r="FF37" s="1155">
        <f t="shared" si="120"/>
        <v>0</v>
      </c>
      <c r="FG37" s="1155">
        <f t="shared" si="121"/>
        <v>0</v>
      </c>
      <c r="FH37" s="1155">
        <f t="shared" si="122"/>
        <v>0</v>
      </c>
      <c r="FI37" s="1155">
        <f t="shared" si="123"/>
        <v>0</v>
      </c>
      <c r="FJ37" s="1155">
        <f t="shared" si="124"/>
        <v>0</v>
      </c>
      <c r="FK37" s="1155">
        <f t="shared" si="125"/>
        <v>0</v>
      </c>
      <c r="FL37" s="1155">
        <f t="shared" si="126"/>
        <v>0</v>
      </c>
      <c r="FM37" s="1155">
        <f t="shared" si="127"/>
        <v>0</v>
      </c>
      <c r="FN37" s="1155">
        <f t="shared" si="128"/>
        <v>0</v>
      </c>
      <c r="FO37" s="1155">
        <f t="shared" si="129"/>
        <v>0</v>
      </c>
      <c r="FP37" s="1155">
        <f t="shared" si="130"/>
        <v>0</v>
      </c>
      <c r="FQ37" s="1155">
        <f t="shared" si="131"/>
        <v>0</v>
      </c>
      <c r="FR37" s="1155">
        <f t="shared" si="132"/>
        <v>0</v>
      </c>
      <c r="FS37" s="1155">
        <f t="shared" si="133"/>
        <v>0</v>
      </c>
      <c r="FT37" s="1155">
        <f t="shared" si="134"/>
        <v>0</v>
      </c>
      <c r="FU37" s="1155">
        <f t="shared" si="135"/>
        <v>0</v>
      </c>
      <c r="FV37" s="1155">
        <f t="shared" si="136"/>
        <v>0</v>
      </c>
      <c r="FW37" s="1155">
        <f t="shared" si="137"/>
        <v>0</v>
      </c>
      <c r="FX37" s="1155">
        <f t="shared" si="138"/>
        <v>12819.67668673375</v>
      </c>
      <c r="FY37" s="1155">
        <f t="shared" si="139"/>
        <v>0</v>
      </c>
      <c r="FZ37" s="1155">
        <f t="shared" si="140"/>
        <v>0</v>
      </c>
      <c r="GA37" s="1155">
        <f t="shared" si="141"/>
        <v>0</v>
      </c>
      <c r="GB37" s="1155">
        <f t="shared" si="142"/>
        <v>0</v>
      </c>
      <c r="GC37" s="1155">
        <f t="shared" si="143"/>
        <v>0</v>
      </c>
      <c r="GD37" s="1155">
        <f t="shared" si="144"/>
        <v>0</v>
      </c>
      <c r="GE37" s="1155">
        <f t="shared" si="145"/>
        <v>0</v>
      </c>
      <c r="GF37" s="1155">
        <f t="shared" si="146"/>
        <v>0</v>
      </c>
      <c r="GG37" s="1155">
        <f t="shared" si="147"/>
        <v>0</v>
      </c>
      <c r="GH37" s="1155">
        <f t="shared" si="148"/>
        <v>0</v>
      </c>
      <c r="GI37" s="1155">
        <f t="shared" si="149"/>
        <v>0</v>
      </c>
      <c r="GJ37" s="1175">
        <f t="shared" si="150"/>
        <v>16624.019433002522</v>
      </c>
    </row>
    <row r="38" spans="1:192">
      <c r="B38" s="1259" t="str">
        <f>IF(Prop2021DUOSTariffs!B38="","",Prop2021DUOSTariffs!B38)</f>
        <v/>
      </c>
      <c r="C38" s="1259" t="str">
        <f>IF(Prop2021DUOSTariffs!C38="","",Prop2021DUOSTariffs!C38)</f>
        <v>West SAC&gt;100MWhpa TOUD</v>
      </c>
      <c r="D38" s="1259" t="str">
        <f>IF(Prop2021DUOSTariffs!D38="","",Prop2021DUOSTariffs!D38)</f>
        <v>West SAC&gt;100MWhpa TOUD</v>
      </c>
      <c r="E38" s="1259" t="str">
        <f>IF(Prop2021DUOSTariffs!E38="","",Prop2021DUOSTariffs!E38)</f>
        <v>SAC</v>
      </c>
      <c r="F38" s="1259" t="str">
        <f>IF(Prop2021DUOSTariffs!F38="","",Prop2021DUOSTariffs!F38)</f>
        <v>SACL</v>
      </c>
      <c r="G38" s="1259" t="str">
        <f>IF(Prop2021DUOSTariffs!G38="","",Prop2021DUOSTariffs!G38)</f>
        <v>West</v>
      </c>
      <c r="H38" s="1259" t="str">
        <f>IF(Prop2021DUOSTariffs!H38="","",Prop2021DUOSTariffs!H38)</f>
        <v>WLTOUD</v>
      </c>
      <c r="I38" s="1259" t="s">
        <v>935</v>
      </c>
      <c r="J38" s="1256"/>
      <c r="K38" s="1233">
        <v>0.50710714478107033</v>
      </c>
      <c r="L38" s="1135"/>
      <c r="M38" s="1135"/>
      <c r="N38" s="1135"/>
      <c r="O38" s="1135"/>
      <c r="P38" s="1135"/>
      <c r="Q38" s="1135"/>
      <c r="R38" s="1135"/>
      <c r="S38" s="1135"/>
      <c r="T38" s="1135"/>
      <c r="U38" s="1135"/>
      <c r="V38" s="1135"/>
      <c r="W38" s="1135"/>
      <c r="X38" s="1135"/>
      <c r="Y38" s="1135"/>
      <c r="Z38" s="1135"/>
      <c r="AA38" s="1135"/>
      <c r="AB38" s="1135"/>
      <c r="AC38" s="1135"/>
      <c r="AD38" s="1135"/>
      <c r="AE38" s="1135"/>
      <c r="AF38" s="1005"/>
      <c r="AG38" s="1005"/>
      <c r="AH38" s="1224">
        <v>6.0979236673115429E-4</v>
      </c>
      <c r="AI38" s="1241"/>
      <c r="AJ38" s="1241"/>
      <c r="AK38" s="1241"/>
      <c r="AL38" s="1241"/>
      <c r="AM38" s="1241"/>
      <c r="AN38" s="1241"/>
      <c r="AO38" s="1241"/>
      <c r="AP38" s="1241"/>
      <c r="AQ38" s="1241"/>
      <c r="AR38" s="1241"/>
      <c r="AS38" s="1241"/>
      <c r="AT38" s="1256"/>
      <c r="AU38" s="1484">
        <v>0.52114284195462635</v>
      </c>
      <c r="AV38" s="1241"/>
      <c r="AW38" s="1241"/>
      <c r="AX38" s="1241"/>
      <c r="AY38" s="1241"/>
      <c r="AZ38" s="1241"/>
      <c r="BA38" s="1241"/>
      <c r="BB38" s="1241"/>
      <c r="BC38" s="1241"/>
      <c r="BD38" s="1241"/>
      <c r="BE38" s="1241"/>
      <c r="BF38" s="1241"/>
      <c r="BG38" s="1241"/>
      <c r="BH38" s="1241"/>
      <c r="BI38" s="1241"/>
      <c r="BJ38" s="1241"/>
      <c r="BK38" s="1241"/>
      <c r="BL38" s="1241"/>
      <c r="BM38" s="1241"/>
      <c r="BN38" s="1241"/>
      <c r="BO38" s="1241"/>
      <c r="BP38" s="1241"/>
      <c r="BQ38" s="1241"/>
      <c r="BR38" s="1484">
        <v>6.4230630447923212E-4</v>
      </c>
      <c r="BS38" s="1241"/>
      <c r="BT38" s="1241"/>
      <c r="BU38" s="1241"/>
      <c r="BV38" s="1241"/>
      <c r="BW38" s="1241"/>
      <c r="BX38" s="1241"/>
      <c r="BY38" s="1241"/>
      <c r="BZ38" s="1241"/>
      <c r="CA38" s="1241"/>
      <c r="CB38" s="1241"/>
      <c r="CC38" s="1241"/>
      <c r="CD38" s="1256"/>
      <c r="CE38" s="1256"/>
      <c r="CF38" s="1265">
        <v>30.000000000000004</v>
      </c>
      <c r="CG38" s="1030"/>
      <c r="CH38" s="1030"/>
      <c r="CI38" s="1030"/>
      <c r="CJ38" s="1030"/>
      <c r="CK38" s="1030"/>
      <c r="CL38" s="1135"/>
      <c r="CM38" s="1135"/>
      <c r="CN38" s="1135"/>
      <c r="CO38" s="1135"/>
      <c r="CP38" s="1135"/>
      <c r="CQ38" s="1135"/>
      <c r="CR38" s="1135"/>
      <c r="CS38" s="1135"/>
      <c r="CT38" s="1135"/>
      <c r="CU38" s="1135"/>
      <c r="CV38" s="1135"/>
      <c r="CW38" s="1135"/>
      <c r="CX38" s="1135"/>
      <c r="CY38" s="1135"/>
      <c r="CZ38" s="1135"/>
      <c r="DA38" s="1008"/>
      <c r="DB38" s="1008"/>
      <c r="DC38" s="1265">
        <v>20440498.150000002</v>
      </c>
      <c r="DD38" s="1008"/>
      <c r="DE38" s="1008"/>
      <c r="DF38" s="1008"/>
      <c r="DG38" s="1008"/>
      <c r="DH38" s="1008"/>
      <c r="DI38" s="1008"/>
      <c r="DJ38" s="1008"/>
      <c r="DK38" s="1008"/>
      <c r="DL38" s="1008"/>
      <c r="DM38" s="1008"/>
      <c r="DN38" s="1008"/>
      <c r="DO38" s="1256"/>
      <c r="DP38" s="1155">
        <f t="shared" si="79"/>
        <v>5552.823235352721</v>
      </c>
      <c r="DQ38" s="1155">
        <f t="shared" si="80"/>
        <v>0</v>
      </c>
      <c r="DR38" s="1155">
        <f t="shared" si="81"/>
        <v>0</v>
      </c>
      <c r="DS38" s="1155">
        <f t="shared" si="82"/>
        <v>0</v>
      </c>
      <c r="DT38" s="1155">
        <f t="shared" si="83"/>
        <v>0</v>
      </c>
      <c r="DU38" s="1155">
        <f t="shared" si="84"/>
        <v>0</v>
      </c>
      <c r="DV38" s="1155">
        <f t="shared" si="85"/>
        <v>0</v>
      </c>
      <c r="DW38" s="1155">
        <f t="shared" si="86"/>
        <v>0</v>
      </c>
      <c r="DX38" s="1155">
        <f t="shared" si="87"/>
        <v>0</v>
      </c>
      <c r="DY38" s="1155">
        <f t="shared" si="88"/>
        <v>0</v>
      </c>
      <c r="DZ38" s="1155">
        <f t="shared" si="89"/>
        <v>0</v>
      </c>
      <c r="EA38" s="1155">
        <f t="shared" si="90"/>
        <v>0</v>
      </c>
      <c r="EB38" s="1155">
        <f t="shared" si="91"/>
        <v>0</v>
      </c>
      <c r="EC38" s="1155">
        <f t="shared" si="92"/>
        <v>0</v>
      </c>
      <c r="ED38" s="1155">
        <f t="shared" si="93"/>
        <v>0</v>
      </c>
      <c r="EE38" s="1155">
        <f t="shared" si="94"/>
        <v>0</v>
      </c>
      <c r="EF38" s="1155">
        <f t="shared" si="95"/>
        <v>0</v>
      </c>
      <c r="EG38" s="1155">
        <f t="shared" si="96"/>
        <v>0</v>
      </c>
      <c r="EH38" s="1155">
        <f t="shared" si="97"/>
        <v>0</v>
      </c>
      <c r="EI38" s="1155">
        <f t="shared" si="98"/>
        <v>0</v>
      </c>
      <c r="EJ38" s="1155">
        <f t="shared" si="99"/>
        <v>0</v>
      </c>
      <c r="EK38" s="1155">
        <f t="shared" si="100"/>
        <v>0</v>
      </c>
      <c r="EL38" s="1155">
        <f t="shared" si="101"/>
        <v>0</v>
      </c>
      <c r="EM38" s="1155">
        <f t="shared" si="102"/>
        <v>12464.459744052283</v>
      </c>
      <c r="EN38" s="1155">
        <f t="shared" si="103"/>
        <v>0</v>
      </c>
      <c r="EO38" s="1155">
        <f t="shared" si="104"/>
        <v>0</v>
      </c>
      <c r="EP38" s="1155">
        <f t="shared" si="105"/>
        <v>0</v>
      </c>
      <c r="EQ38" s="1155">
        <f t="shared" si="106"/>
        <v>0</v>
      </c>
      <c r="ER38" s="1155">
        <f t="shared" si="107"/>
        <v>0</v>
      </c>
      <c r="ES38" s="1155">
        <f t="shared" si="108"/>
        <v>0</v>
      </c>
      <c r="ET38" s="1155">
        <f t="shared" si="109"/>
        <v>0</v>
      </c>
      <c r="EU38" s="1155">
        <f t="shared" si="110"/>
        <v>0</v>
      </c>
      <c r="EV38" s="1155">
        <f t="shared" si="111"/>
        <v>0</v>
      </c>
      <c r="EW38" s="1155">
        <f t="shared" si="112"/>
        <v>0</v>
      </c>
      <c r="EX38" s="1155">
        <f t="shared" si="113"/>
        <v>0</v>
      </c>
      <c r="EY38" s="1175">
        <f t="shared" si="114"/>
        <v>18017.282979405005</v>
      </c>
      <c r="EZ38" s="1256"/>
      <c r="FA38" s="1155">
        <f t="shared" si="115"/>
        <v>5706.5141194031594</v>
      </c>
      <c r="FB38" s="1155">
        <f t="shared" si="116"/>
        <v>0</v>
      </c>
      <c r="FC38" s="1155">
        <f t="shared" si="117"/>
        <v>0</v>
      </c>
      <c r="FD38" s="1155">
        <f t="shared" si="118"/>
        <v>0</v>
      </c>
      <c r="FE38" s="1155">
        <f t="shared" si="119"/>
        <v>0</v>
      </c>
      <c r="FF38" s="1155">
        <f t="shared" si="120"/>
        <v>0</v>
      </c>
      <c r="FG38" s="1155">
        <f t="shared" si="121"/>
        <v>0</v>
      </c>
      <c r="FH38" s="1155">
        <f t="shared" si="122"/>
        <v>0</v>
      </c>
      <c r="FI38" s="1155">
        <f t="shared" si="123"/>
        <v>0</v>
      </c>
      <c r="FJ38" s="1155">
        <f t="shared" si="124"/>
        <v>0</v>
      </c>
      <c r="FK38" s="1155">
        <f t="shared" si="125"/>
        <v>0</v>
      </c>
      <c r="FL38" s="1155">
        <f t="shared" si="126"/>
        <v>0</v>
      </c>
      <c r="FM38" s="1155">
        <f t="shared" si="127"/>
        <v>0</v>
      </c>
      <c r="FN38" s="1155">
        <f t="shared" si="128"/>
        <v>0</v>
      </c>
      <c r="FO38" s="1155">
        <f t="shared" si="129"/>
        <v>0</v>
      </c>
      <c r="FP38" s="1155">
        <f t="shared" si="130"/>
        <v>0</v>
      </c>
      <c r="FQ38" s="1155">
        <f t="shared" si="131"/>
        <v>0</v>
      </c>
      <c r="FR38" s="1155">
        <f t="shared" si="132"/>
        <v>0</v>
      </c>
      <c r="FS38" s="1155">
        <f t="shared" si="133"/>
        <v>0</v>
      </c>
      <c r="FT38" s="1155">
        <f t="shared" si="134"/>
        <v>0</v>
      </c>
      <c r="FU38" s="1155">
        <f t="shared" si="135"/>
        <v>0</v>
      </c>
      <c r="FV38" s="1155">
        <f t="shared" si="136"/>
        <v>0</v>
      </c>
      <c r="FW38" s="1155">
        <f t="shared" si="137"/>
        <v>0</v>
      </c>
      <c r="FX38" s="1155">
        <f t="shared" si="138"/>
        <v>13129.060828441083</v>
      </c>
      <c r="FY38" s="1155">
        <f t="shared" si="139"/>
        <v>0</v>
      </c>
      <c r="FZ38" s="1155">
        <f t="shared" si="140"/>
        <v>0</v>
      </c>
      <c r="GA38" s="1155">
        <f t="shared" si="141"/>
        <v>0</v>
      </c>
      <c r="GB38" s="1155">
        <f t="shared" si="142"/>
        <v>0</v>
      </c>
      <c r="GC38" s="1155">
        <f t="shared" si="143"/>
        <v>0</v>
      </c>
      <c r="GD38" s="1155">
        <f t="shared" si="144"/>
        <v>0</v>
      </c>
      <c r="GE38" s="1155">
        <f t="shared" si="145"/>
        <v>0</v>
      </c>
      <c r="GF38" s="1155">
        <f t="shared" si="146"/>
        <v>0</v>
      </c>
      <c r="GG38" s="1155">
        <f t="shared" si="147"/>
        <v>0</v>
      </c>
      <c r="GH38" s="1155">
        <f t="shared" si="148"/>
        <v>0</v>
      </c>
      <c r="GI38" s="1155">
        <f t="shared" si="149"/>
        <v>0</v>
      </c>
      <c r="GJ38" s="1175">
        <f t="shared" si="150"/>
        <v>18835.574947844241</v>
      </c>
    </row>
    <row r="39" spans="1:192">
      <c r="B39" s="1259" t="str">
        <f>IF(Prop2021DUOSTariffs!B39="","",Prop2021DUOSTariffs!B39)</f>
        <v/>
      </c>
      <c r="C39" s="1259" t="str">
        <f>IF(Prop2021DUOSTariffs!C39="","",Prop2021DUOSTariffs!C39)</f>
        <v>MtIsa SAC&gt;100MWhpa TOUD</v>
      </c>
      <c r="D39" s="1259" t="str">
        <f>IF(Prop2021DUOSTariffs!D39="","",Prop2021DUOSTariffs!D39)</f>
        <v>MtIsa SAC&gt;100MWhpa TOUD</v>
      </c>
      <c r="E39" s="1259" t="str">
        <f>IF(Prop2021DUOSTariffs!E39="","",Prop2021DUOSTariffs!E39)</f>
        <v>SAC</v>
      </c>
      <c r="F39" s="1259" t="str">
        <f>IF(Prop2021DUOSTariffs!F39="","",Prop2021DUOSTariffs!F39)</f>
        <v>SACL</v>
      </c>
      <c r="G39" s="1259" t="str">
        <f>IF(Prop2021DUOSTariffs!G39="","",Prop2021DUOSTariffs!G39)</f>
        <v>Mt Isa</v>
      </c>
      <c r="H39" s="1259" t="str">
        <f>IF(Prop2021DUOSTariffs!H39="","",Prop2021DUOSTariffs!H39)</f>
        <v>MLTOUD</v>
      </c>
      <c r="I39" s="1259" t="s">
        <v>935</v>
      </c>
      <c r="J39" s="1256"/>
      <c r="K39" s="1233">
        <v>0.50710714478107033</v>
      </c>
      <c r="L39" s="1135"/>
      <c r="M39" s="1135"/>
      <c r="N39" s="1135"/>
      <c r="O39" s="1135"/>
      <c r="P39" s="1135"/>
      <c r="Q39" s="1135"/>
      <c r="R39" s="1135"/>
      <c r="S39" s="1135"/>
      <c r="T39" s="1135"/>
      <c r="U39" s="1135"/>
      <c r="V39" s="1135"/>
      <c r="W39" s="1135"/>
      <c r="X39" s="1135"/>
      <c r="Y39" s="1135"/>
      <c r="Z39" s="1135"/>
      <c r="AA39" s="1135"/>
      <c r="AB39" s="1135"/>
      <c r="AC39" s="1135"/>
      <c r="AD39" s="1135"/>
      <c r="AE39" s="1135"/>
      <c r="AF39" s="1005"/>
      <c r="AG39" s="1005"/>
      <c r="AH39" s="1224">
        <v>6.0979236673115429E-4</v>
      </c>
      <c r="AI39" s="1241"/>
      <c r="AJ39" s="1241"/>
      <c r="AK39" s="1241"/>
      <c r="AL39" s="1241"/>
      <c r="AM39" s="1241"/>
      <c r="AN39" s="1241"/>
      <c r="AO39" s="1241"/>
      <c r="AP39" s="1241"/>
      <c r="AQ39" s="1241"/>
      <c r="AR39" s="1241"/>
      <c r="AS39" s="1241"/>
      <c r="AT39" s="1256"/>
      <c r="AU39" s="1484">
        <v>0.52114284195462635</v>
      </c>
      <c r="AV39" s="1241"/>
      <c r="AW39" s="1241"/>
      <c r="AX39" s="1241"/>
      <c r="AY39" s="1241"/>
      <c r="AZ39" s="1241"/>
      <c r="BA39" s="1241"/>
      <c r="BB39" s="1241"/>
      <c r="BC39" s="1241"/>
      <c r="BD39" s="1241"/>
      <c r="BE39" s="1241"/>
      <c r="BF39" s="1241"/>
      <c r="BG39" s="1241"/>
      <c r="BH39" s="1241"/>
      <c r="BI39" s="1241"/>
      <c r="BJ39" s="1241"/>
      <c r="BK39" s="1241"/>
      <c r="BL39" s="1241"/>
      <c r="BM39" s="1241"/>
      <c r="BN39" s="1241"/>
      <c r="BO39" s="1241"/>
      <c r="BP39" s="1241"/>
      <c r="BQ39" s="1241"/>
      <c r="BR39" s="1484">
        <v>6.4230630447923212E-4</v>
      </c>
      <c r="BS39" s="1241"/>
      <c r="BT39" s="1241"/>
      <c r="BU39" s="1241"/>
      <c r="BV39" s="1241"/>
      <c r="BW39" s="1241"/>
      <c r="BX39" s="1241"/>
      <c r="BY39" s="1241"/>
      <c r="BZ39" s="1241"/>
      <c r="CA39" s="1241"/>
      <c r="CB39" s="1241"/>
      <c r="CC39" s="1241"/>
      <c r="CD39" s="1256"/>
      <c r="CE39" s="1256"/>
      <c r="CF39" s="1265">
        <v>5.35</v>
      </c>
      <c r="CG39" s="1030"/>
      <c r="CH39" s="1030"/>
      <c r="CI39" s="1030"/>
      <c r="CJ39" s="1030"/>
      <c r="CK39" s="1030"/>
      <c r="CL39" s="1135"/>
      <c r="CM39" s="1135"/>
      <c r="CN39" s="1135"/>
      <c r="CO39" s="1135"/>
      <c r="CP39" s="1135"/>
      <c r="CQ39" s="1135"/>
      <c r="CR39" s="1135"/>
      <c r="CS39" s="1135"/>
      <c r="CT39" s="1135"/>
      <c r="CU39" s="1135"/>
      <c r="CV39" s="1135"/>
      <c r="CW39" s="1135"/>
      <c r="CX39" s="1135"/>
      <c r="CY39" s="1135"/>
      <c r="CZ39" s="1135"/>
      <c r="DA39" s="1008"/>
      <c r="DB39" s="1008"/>
      <c r="DC39" s="1265">
        <v>5321124.3099999996</v>
      </c>
      <c r="DD39" s="1008"/>
      <c r="DE39" s="1008"/>
      <c r="DF39" s="1008"/>
      <c r="DG39" s="1008"/>
      <c r="DH39" s="1008"/>
      <c r="DI39" s="1008"/>
      <c r="DJ39" s="1008"/>
      <c r="DK39" s="1008"/>
      <c r="DL39" s="1008"/>
      <c r="DM39" s="1008"/>
      <c r="DN39" s="1008"/>
      <c r="DO39" s="1256"/>
      <c r="DP39" s="1155">
        <f t="shared" si="79"/>
        <v>990.25347697123505</v>
      </c>
      <c r="DQ39" s="1155">
        <f t="shared" si="80"/>
        <v>0</v>
      </c>
      <c r="DR39" s="1155">
        <f t="shared" si="81"/>
        <v>0</v>
      </c>
      <c r="DS39" s="1155">
        <f t="shared" si="82"/>
        <v>0</v>
      </c>
      <c r="DT39" s="1155">
        <f t="shared" si="83"/>
        <v>0</v>
      </c>
      <c r="DU39" s="1155">
        <f t="shared" si="84"/>
        <v>0</v>
      </c>
      <c r="DV39" s="1155">
        <f t="shared" si="85"/>
        <v>0</v>
      </c>
      <c r="DW39" s="1155">
        <f t="shared" si="86"/>
        <v>0</v>
      </c>
      <c r="DX39" s="1155">
        <f t="shared" si="87"/>
        <v>0</v>
      </c>
      <c r="DY39" s="1155">
        <f t="shared" si="88"/>
        <v>0</v>
      </c>
      <c r="DZ39" s="1155">
        <f t="shared" si="89"/>
        <v>0</v>
      </c>
      <c r="EA39" s="1155">
        <f t="shared" si="90"/>
        <v>0</v>
      </c>
      <c r="EB39" s="1155">
        <f t="shared" si="91"/>
        <v>0</v>
      </c>
      <c r="EC39" s="1155">
        <f t="shared" si="92"/>
        <v>0</v>
      </c>
      <c r="ED39" s="1155">
        <f t="shared" si="93"/>
        <v>0</v>
      </c>
      <c r="EE39" s="1155">
        <f t="shared" si="94"/>
        <v>0</v>
      </c>
      <c r="EF39" s="1155">
        <f t="shared" si="95"/>
        <v>0</v>
      </c>
      <c r="EG39" s="1155">
        <f t="shared" si="96"/>
        <v>0</v>
      </c>
      <c r="EH39" s="1155">
        <f t="shared" si="97"/>
        <v>0</v>
      </c>
      <c r="EI39" s="1155">
        <f t="shared" si="98"/>
        <v>0</v>
      </c>
      <c r="EJ39" s="1155">
        <f t="shared" si="99"/>
        <v>0</v>
      </c>
      <c r="EK39" s="1155">
        <f t="shared" si="100"/>
        <v>0</v>
      </c>
      <c r="EL39" s="1155">
        <f t="shared" si="101"/>
        <v>0</v>
      </c>
      <c r="EM39" s="1155">
        <f t="shared" si="102"/>
        <v>3244.7809866655803</v>
      </c>
      <c r="EN39" s="1155">
        <f t="shared" si="103"/>
        <v>0</v>
      </c>
      <c r="EO39" s="1155">
        <f t="shared" si="104"/>
        <v>0</v>
      </c>
      <c r="EP39" s="1155">
        <f t="shared" si="105"/>
        <v>0</v>
      </c>
      <c r="EQ39" s="1155">
        <f t="shared" si="106"/>
        <v>0</v>
      </c>
      <c r="ER39" s="1155">
        <f t="shared" si="107"/>
        <v>0</v>
      </c>
      <c r="ES39" s="1155">
        <f t="shared" si="108"/>
        <v>0</v>
      </c>
      <c r="ET39" s="1155">
        <f t="shared" si="109"/>
        <v>0</v>
      </c>
      <c r="EU39" s="1155">
        <f t="shared" si="110"/>
        <v>0</v>
      </c>
      <c r="EV39" s="1155">
        <f t="shared" si="111"/>
        <v>0</v>
      </c>
      <c r="EW39" s="1155">
        <f t="shared" si="112"/>
        <v>0</v>
      </c>
      <c r="EX39" s="1155">
        <f t="shared" si="113"/>
        <v>0</v>
      </c>
      <c r="EY39" s="1175">
        <f t="shared" si="114"/>
        <v>4235.0344636368154</v>
      </c>
      <c r="EZ39" s="1256"/>
      <c r="FA39" s="1155">
        <f t="shared" si="115"/>
        <v>1017.6616846268965</v>
      </c>
      <c r="FB39" s="1155">
        <f t="shared" si="116"/>
        <v>0</v>
      </c>
      <c r="FC39" s="1155">
        <f t="shared" si="117"/>
        <v>0</v>
      </c>
      <c r="FD39" s="1155">
        <f t="shared" si="118"/>
        <v>0</v>
      </c>
      <c r="FE39" s="1155">
        <f t="shared" si="119"/>
        <v>0</v>
      </c>
      <c r="FF39" s="1155">
        <f t="shared" si="120"/>
        <v>0</v>
      </c>
      <c r="FG39" s="1155">
        <f t="shared" si="121"/>
        <v>0</v>
      </c>
      <c r="FH39" s="1155">
        <f t="shared" si="122"/>
        <v>0</v>
      </c>
      <c r="FI39" s="1155">
        <f t="shared" si="123"/>
        <v>0</v>
      </c>
      <c r="FJ39" s="1155">
        <f t="shared" si="124"/>
        <v>0</v>
      </c>
      <c r="FK39" s="1155">
        <f t="shared" si="125"/>
        <v>0</v>
      </c>
      <c r="FL39" s="1155">
        <f t="shared" si="126"/>
        <v>0</v>
      </c>
      <c r="FM39" s="1155">
        <f t="shared" si="127"/>
        <v>0</v>
      </c>
      <c r="FN39" s="1155">
        <f t="shared" si="128"/>
        <v>0</v>
      </c>
      <c r="FO39" s="1155">
        <f t="shared" si="129"/>
        <v>0</v>
      </c>
      <c r="FP39" s="1155">
        <f t="shared" si="130"/>
        <v>0</v>
      </c>
      <c r="FQ39" s="1155">
        <f t="shared" si="131"/>
        <v>0</v>
      </c>
      <c r="FR39" s="1155">
        <f t="shared" si="132"/>
        <v>0</v>
      </c>
      <c r="FS39" s="1155">
        <f t="shared" si="133"/>
        <v>0</v>
      </c>
      <c r="FT39" s="1155">
        <f t="shared" si="134"/>
        <v>0</v>
      </c>
      <c r="FU39" s="1155">
        <f t="shared" si="135"/>
        <v>0</v>
      </c>
      <c r="FV39" s="1155">
        <f t="shared" si="136"/>
        <v>0</v>
      </c>
      <c r="FW39" s="1155">
        <f t="shared" si="137"/>
        <v>0</v>
      </c>
      <c r="FX39" s="1155">
        <f t="shared" si="138"/>
        <v>3417.7916912307037</v>
      </c>
      <c r="FY39" s="1155">
        <f t="shared" si="139"/>
        <v>0</v>
      </c>
      <c r="FZ39" s="1155">
        <f t="shared" si="140"/>
        <v>0</v>
      </c>
      <c r="GA39" s="1155">
        <f t="shared" si="141"/>
        <v>0</v>
      </c>
      <c r="GB39" s="1155">
        <f t="shared" si="142"/>
        <v>0</v>
      </c>
      <c r="GC39" s="1155">
        <f t="shared" si="143"/>
        <v>0</v>
      </c>
      <c r="GD39" s="1155">
        <f t="shared" si="144"/>
        <v>0</v>
      </c>
      <c r="GE39" s="1155">
        <f t="shared" si="145"/>
        <v>0</v>
      </c>
      <c r="GF39" s="1155">
        <f t="shared" si="146"/>
        <v>0</v>
      </c>
      <c r="GG39" s="1155">
        <f t="shared" si="147"/>
        <v>0</v>
      </c>
      <c r="GH39" s="1155">
        <f t="shared" si="148"/>
        <v>0</v>
      </c>
      <c r="GI39" s="1155">
        <f t="shared" si="149"/>
        <v>0</v>
      </c>
      <c r="GJ39" s="1175">
        <f t="shared" si="150"/>
        <v>4435.4533758575999</v>
      </c>
    </row>
    <row r="40" spans="1:192">
      <c r="B40" s="1259" t="str">
        <f>IF(Prop2021DUOSTariffs!B40="","",Prop2021DUOSTariffs!B40)</f>
        <v/>
      </c>
      <c r="C40" s="1259" t="str">
        <f>IF(Prop2021DUOSTariffs!C40="","",Prop2021DUOSTariffs!C40)</f>
        <v>East SAC&gt;100MWhpa Business Primary LC</v>
      </c>
      <c r="D40" s="1259" t="str">
        <f>IF(Prop2021DUOSTariffs!D40="","",Prop2021DUOSTariffs!D40)</f>
        <v>East SAC&gt;100MWhpa Business Primary LC</v>
      </c>
      <c r="E40" s="1259" t="str">
        <f>IF(Prop2021DUOSTariffs!E40="","",Prop2021DUOSTariffs!E40)</f>
        <v>SAC</v>
      </c>
      <c r="F40" s="1259" t="str">
        <f>IF(Prop2021DUOSTariffs!F40="","",Prop2021DUOSTariffs!F40)</f>
        <v>SACL</v>
      </c>
      <c r="G40" s="1259" t="str">
        <f>IF(Prop2021DUOSTariffs!G40="","",Prop2021DUOSTariffs!G40)</f>
        <v>East</v>
      </c>
      <c r="H40" s="1259" t="str">
        <f>IF(Prop2021DUOSTariffs!H40="","",Prop2021DUOSTariffs!H40)</f>
        <v>ELPLC</v>
      </c>
      <c r="I40" s="1259" t="s">
        <v>935</v>
      </c>
      <c r="J40" s="1256"/>
      <c r="K40" s="1233">
        <v>0.50710714478107033</v>
      </c>
      <c r="L40" s="1135"/>
      <c r="M40" s="1135"/>
      <c r="N40" s="1135"/>
      <c r="O40" s="1135"/>
      <c r="P40" s="1135"/>
      <c r="Q40" s="1135"/>
      <c r="R40" s="1135"/>
      <c r="S40" s="1135"/>
      <c r="T40" s="1135"/>
      <c r="U40" s="1135"/>
      <c r="V40" s="1135"/>
      <c r="W40" s="1135"/>
      <c r="X40" s="1135"/>
      <c r="Y40" s="1135"/>
      <c r="Z40" s="1135"/>
      <c r="AA40" s="1135"/>
      <c r="AB40" s="1135"/>
      <c r="AC40" s="1135"/>
      <c r="AD40" s="1135"/>
      <c r="AE40" s="1135"/>
      <c r="AF40" s="1005"/>
      <c r="AG40" s="1005"/>
      <c r="AH40" s="1224">
        <v>6.0979236673115429E-4</v>
      </c>
      <c r="AI40" s="1241"/>
      <c r="AJ40" s="1241"/>
      <c r="AK40" s="1241"/>
      <c r="AL40" s="1241"/>
      <c r="AM40" s="1241"/>
      <c r="AN40" s="1241"/>
      <c r="AO40" s="1241"/>
      <c r="AP40" s="1241"/>
      <c r="AQ40" s="1241"/>
      <c r="AR40" s="1241"/>
      <c r="AS40" s="1241"/>
      <c r="AT40" s="1256"/>
      <c r="AU40" s="1484">
        <v>0.52114284195462635</v>
      </c>
      <c r="AV40" s="1241"/>
      <c r="AW40" s="1241"/>
      <c r="AX40" s="1241"/>
      <c r="AY40" s="1241"/>
      <c r="AZ40" s="1241"/>
      <c r="BA40" s="1241"/>
      <c r="BB40" s="1241"/>
      <c r="BC40" s="1241"/>
      <c r="BD40" s="1241"/>
      <c r="BE40" s="1241"/>
      <c r="BF40" s="1241"/>
      <c r="BG40" s="1241"/>
      <c r="BH40" s="1241"/>
      <c r="BI40" s="1241"/>
      <c r="BJ40" s="1241"/>
      <c r="BK40" s="1241"/>
      <c r="BL40" s="1241"/>
      <c r="BM40" s="1241"/>
      <c r="BN40" s="1241"/>
      <c r="BO40" s="1241"/>
      <c r="BP40" s="1241"/>
      <c r="BQ40" s="1241"/>
      <c r="BR40" s="1484">
        <v>6.4230630447923212E-4</v>
      </c>
      <c r="BS40" s="1241"/>
      <c r="BT40" s="1241"/>
      <c r="BU40" s="1241"/>
      <c r="BV40" s="1241"/>
      <c r="BW40" s="1241"/>
      <c r="BX40" s="1241"/>
      <c r="BY40" s="1241"/>
      <c r="BZ40" s="1241"/>
      <c r="CA40" s="1241"/>
      <c r="CB40" s="1241"/>
      <c r="CC40" s="1241"/>
      <c r="CD40" s="1256"/>
      <c r="CE40" s="1256"/>
      <c r="CF40" s="1265">
        <v>30.669999999999998</v>
      </c>
      <c r="CG40" s="1030"/>
      <c r="CH40" s="1030"/>
      <c r="CI40" s="1030"/>
      <c r="CJ40" s="1030"/>
      <c r="CK40" s="1030"/>
      <c r="CL40" s="1135"/>
      <c r="CM40" s="1135"/>
      <c r="CN40" s="1135"/>
      <c r="CO40" s="1135"/>
      <c r="CP40" s="1135"/>
      <c r="CQ40" s="1135"/>
      <c r="CR40" s="1135"/>
      <c r="CS40" s="1135"/>
      <c r="CT40" s="1135"/>
      <c r="CU40" s="1135"/>
      <c r="CV40" s="1135"/>
      <c r="CW40" s="1135"/>
      <c r="CX40" s="1135"/>
      <c r="CY40" s="1135"/>
      <c r="CZ40" s="1135"/>
      <c r="DA40" s="1008"/>
      <c r="DB40" s="1008"/>
      <c r="DC40" s="1265">
        <v>9108307.8299999982</v>
      </c>
      <c r="DD40" s="1008"/>
      <c r="DE40" s="1008"/>
      <c r="DF40" s="1008"/>
      <c r="DG40" s="1008"/>
      <c r="DH40" s="1008"/>
      <c r="DI40" s="1008"/>
      <c r="DJ40" s="1008"/>
      <c r="DK40" s="1008"/>
      <c r="DL40" s="1008"/>
      <c r="DM40" s="1008"/>
      <c r="DN40" s="1008"/>
      <c r="DO40" s="1256"/>
      <c r="DP40" s="1155">
        <f t="shared" si="79"/>
        <v>5676.8362876089304</v>
      </c>
      <c r="DQ40" s="1155">
        <f t="shared" si="80"/>
        <v>0</v>
      </c>
      <c r="DR40" s="1155">
        <f t="shared" si="81"/>
        <v>0</v>
      </c>
      <c r="DS40" s="1155">
        <f t="shared" si="82"/>
        <v>0</v>
      </c>
      <c r="DT40" s="1155">
        <f t="shared" si="83"/>
        <v>0</v>
      </c>
      <c r="DU40" s="1155">
        <f t="shared" si="84"/>
        <v>0</v>
      </c>
      <c r="DV40" s="1155">
        <f t="shared" si="85"/>
        <v>0</v>
      </c>
      <c r="DW40" s="1155">
        <f t="shared" si="86"/>
        <v>0</v>
      </c>
      <c r="DX40" s="1155">
        <f t="shared" si="87"/>
        <v>0</v>
      </c>
      <c r="DY40" s="1155">
        <f t="shared" si="88"/>
        <v>0</v>
      </c>
      <c r="DZ40" s="1155">
        <f t="shared" si="89"/>
        <v>0</v>
      </c>
      <c r="EA40" s="1155">
        <f t="shared" si="90"/>
        <v>0</v>
      </c>
      <c r="EB40" s="1155">
        <f t="shared" si="91"/>
        <v>0</v>
      </c>
      <c r="EC40" s="1155">
        <f t="shared" si="92"/>
        <v>0</v>
      </c>
      <c r="ED40" s="1155">
        <f t="shared" si="93"/>
        <v>0</v>
      </c>
      <c r="EE40" s="1155">
        <f t="shared" si="94"/>
        <v>0</v>
      </c>
      <c r="EF40" s="1155">
        <f t="shared" si="95"/>
        <v>0</v>
      </c>
      <c r="EG40" s="1155">
        <f t="shared" si="96"/>
        <v>0</v>
      </c>
      <c r="EH40" s="1155">
        <f t="shared" si="97"/>
        <v>0</v>
      </c>
      <c r="EI40" s="1155">
        <f t="shared" si="98"/>
        <v>0</v>
      </c>
      <c r="EJ40" s="1155">
        <f t="shared" si="99"/>
        <v>0</v>
      </c>
      <c r="EK40" s="1155">
        <f t="shared" si="100"/>
        <v>0</v>
      </c>
      <c r="EL40" s="1155">
        <f t="shared" si="101"/>
        <v>0</v>
      </c>
      <c r="EM40" s="1155">
        <f t="shared" si="102"/>
        <v>5554.1765885716031</v>
      </c>
      <c r="EN40" s="1155">
        <f t="shared" si="103"/>
        <v>0</v>
      </c>
      <c r="EO40" s="1155">
        <f t="shared" si="104"/>
        <v>0</v>
      </c>
      <c r="EP40" s="1155">
        <f t="shared" si="105"/>
        <v>0</v>
      </c>
      <c r="EQ40" s="1155">
        <f t="shared" si="106"/>
        <v>0</v>
      </c>
      <c r="ER40" s="1155">
        <f t="shared" si="107"/>
        <v>0</v>
      </c>
      <c r="ES40" s="1155">
        <f t="shared" si="108"/>
        <v>0</v>
      </c>
      <c r="ET40" s="1155">
        <f t="shared" si="109"/>
        <v>0</v>
      </c>
      <c r="EU40" s="1155">
        <f t="shared" si="110"/>
        <v>0</v>
      </c>
      <c r="EV40" s="1155">
        <f t="shared" si="111"/>
        <v>0</v>
      </c>
      <c r="EW40" s="1155">
        <f t="shared" si="112"/>
        <v>0</v>
      </c>
      <c r="EX40" s="1155">
        <f t="shared" si="113"/>
        <v>0</v>
      </c>
      <c r="EY40" s="1175">
        <f t="shared" si="114"/>
        <v>11231.012876180534</v>
      </c>
      <c r="EZ40" s="1256"/>
      <c r="FA40" s="1155">
        <f t="shared" si="115"/>
        <v>5833.9596014031622</v>
      </c>
      <c r="FB40" s="1155">
        <f t="shared" si="116"/>
        <v>0</v>
      </c>
      <c r="FC40" s="1155">
        <f t="shared" si="117"/>
        <v>0</v>
      </c>
      <c r="FD40" s="1155">
        <f t="shared" si="118"/>
        <v>0</v>
      </c>
      <c r="FE40" s="1155">
        <f t="shared" si="119"/>
        <v>0</v>
      </c>
      <c r="FF40" s="1155">
        <f t="shared" si="120"/>
        <v>0</v>
      </c>
      <c r="FG40" s="1155">
        <f t="shared" si="121"/>
        <v>0</v>
      </c>
      <c r="FH40" s="1155">
        <f t="shared" si="122"/>
        <v>0</v>
      </c>
      <c r="FI40" s="1155">
        <f t="shared" si="123"/>
        <v>0</v>
      </c>
      <c r="FJ40" s="1155">
        <f t="shared" si="124"/>
        <v>0</v>
      </c>
      <c r="FK40" s="1155">
        <f t="shared" si="125"/>
        <v>0</v>
      </c>
      <c r="FL40" s="1155">
        <f t="shared" si="126"/>
        <v>0</v>
      </c>
      <c r="FM40" s="1155">
        <f t="shared" si="127"/>
        <v>0</v>
      </c>
      <c r="FN40" s="1155">
        <f t="shared" si="128"/>
        <v>0</v>
      </c>
      <c r="FO40" s="1155">
        <f t="shared" si="129"/>
        <v>0</v>
      </c>
      <c r="FP40" s="1155">
        <f t="shared" si="130"/>
        <v>0</v>
      </c>
      <c r="FQ40" s="1155">
        <f t="shared" si="131"/>
        <v>0</v>
      </c>
      <c r="FR40" s="1155">
        <f t="shared" si="132"/>
        <v>0</v>
      </c>
      <c r="FS40" s="1155">
        <f t="shared" si="133"/>
        <v>0</v>
      </c>
      <c r="FT40" s="1155">
        <f t="shared" si="134"/>
        <v>0</v>
      </c>
      <c r="FU40" s="1155">
        <f t="shared" si="135"/>
        <v>0</v>
      </c>
      <c r="FV40" s="1155">
        <f t="shared" si="136"/>
        <v>0</v>
      </c>
      <c r="FW40" s="1155">
        <f t="shared" si="137"/>
        <v>0</v>
      </c>
      <c r="FX40" s="1155">
        <f t="shared" si="138"/>
        <v>5850.323542346553</v>
      </c>
      <c r="FY40" s="1155">
        <f t="shared" si="139"/>
        <v>0</v>
      </c>
      <c r="FZ40" s="1155">
        <f t="shared" si="140"/>
        <v>0</v>
      </c>
      <c r="GA40" s="1155">
        <f t="shared" si="141"/>
        <v>0</v>
      </c>
      <c r="GB40" s="1155">
        <f t="shared" si="142"/>
        <v>0</v>
      </c>
      <c r="GC40" s="1155">
        <f t="shared" si="143"/>
        <v>0</v>
      </c>
      <c r="GD40" s="1155">
        <f t="shared" si="144"/>
        <v>0</v>
      </c>
      <c r="GE40" s="1155">
        <f t="shared" si="145"/>
        <v>0</v>
      </c>
      <c r="GF40" s="1155">
        <f t="shared" si="146"/>
        <v>0</v>
      </c>
      <c r="GG40" s="1155">
        <f t="shared" si="147"/>
        <v>0</v>
      </c>
      <c r="GH40" s="1155">
        <f t="shared" si="148"/>
        <v>0</v>
      </c>
      <c r="GI40" s="1155">
        <f t="shared" si="149"/>
        <v>0</v>
      </c>
      <c r="GJ40" s="1175">
        <f t="shared" si="150"/>
        <v>11684.283143749715</v>
      </c>
    </row>
    <row r="41" spans="1:192">
      <c r="B41" s="1259" t="str">
        <f>IF(Prop2021DUOSTariffs!B41="","",Prop2021DUOSTariffs!B41)</f>
        <v/>
      </c>
      <c r="C41" s="1259" t="str">
        <f>IF(Prop2021DUOSTariffs!C41="","",Prop2021DUOSTariffs!C41)</f>
        <v>West SAC&gt;100MWhpa Business Primary LC</v>
      </c>
      <c r="D41" s="1259" t="str">
        <f>IF(Prop2021DUOSTariffs!D41="","",Prop2021DUOSTariffs!D41)</f>
        <v>West SAC&gt;100MWhpa Business Primary LC</v>
      </c>
      <c r="E41" s="1259" t="str">
        <f>IF(Prop2021DUOSTariffs!E41="","",Prop2021DUOSTariffs!E41)</f>
        <v>SAC</v>
      </c>
      <c r="F41" s="1259" t="str">
        <f>IF(Prop2021DUOSTariffs!F41="","",Prop2021DUOSTariffs!F41)</f>
        <v>SACL</v>
      </c>
      <c r="G41" s="1259" t="str">
        <f>IF(Prop2021DUOSTariffs!G41="","",Prop2021DUOSTariffs!G41)</f>
        <v>West</v>
      </c>
      <c r="H41" s="1259" t="str">
        <f>IF(Prop2021DUOSTariffs!H41="","",Prop2021DUOSTariffs!H41)</f>
        <v>WLPLC</v>
      </c>
      <c r="I41" s="1259" t="s">
        <v>935</v>
      </c>
      <c r="J41" s="1256"/>
      <c r="K41" s="1233">
        <v>0.50710714478107033</v>
      </c>
      <c r="L41" s="1135"/>
      <c r="M41" s="1135"/>
      <c r="N41" s="1135"/>
      <c r="O41" s="1135"/>
      <c r="P41" s="1135"/>
      <c r="Q41" s="1135"/>
      <c r="R41" s="1135"/>
      <c r="S41" s="1135"/>
      <c r="T41" s="1135"/>
      <c r="U41" s="1135"/>
      <c r="V41" s="1135"/>
      <c r="W41" s="1135"/>
      <c r="X41" s="1135"/>
      <c r="Y41" s="1135"/>
      <c r="Z41" s="1135"/>
      <c r="AA41" s="1135"/>
      <c r="AB41" s="1135"/>
      <c r="AC41" s="1135"/>
      <c r="AD41" s="1135"/>
      <c r="AE41" s="1135"/>
      <c r="AF41" s="1005"/>
      <c r="AG41" s="1005"/>
      <c r="AH41" s="1224">
        <v>6.0979236673115429E-4</v>
      </c>
      <c r="AI41" s="1241"/>
      <c r="AJ41" s="1241"/>
      <c r="AK41" s="1241"/>
      <c r="AL41" s="1241"/>
      <c r="AM41" s="1241"/>
      <c r="AN41" s="1241"/>
      <c r="AO41" s="1241"/>
      <c r="AP41" s="1241"/>
      <c r="AQ41" s="1241"/>
      <c r="AR41" s="1241"/>
      <c r="AS41" s="1241"/>
      <c r="AT41" s="1256"/>
      <c r="AU41" s="1484">
        <v>0.52114284195462635</v>
      </c>
      <c r="AV41" s="1241"/>
      <c r="AW41" s="1241"/>
      <c r="AX41" s="1241"/>
      <c r="AY41" s="1241"/>
      <c r="AZ41" s="1241"/>
      <c r="BA41" s="1241"/>
      <c r="BB41" s="1241"/>
      <c r="BC41" s="1241"/>
      <c r="BD41" s="1241"/>
      <c r="BE41" s="1241"/>
      <c r="BF41" s="1241"/>
      <c r="BG41" s="1241"/>
      <c r="BH41" s="1241"/>
      <c r="BI41" s="1241"/>
      <c r="BJ41" s="1241"/>
      <c r="BK41" s="1241"/>
      <c r="BL41" s="1241"/>
      <c r="BM41" s="1241"/>
      <c r="BN41" s="1241"/>
      <c r="BO41" s="1241"/>
      <c r="BP41" s="1241"/>
      <c r="BQ41" s="1241"/>
      <c r="BR41" s="1484">
        <v>6.4230630447923212E-4</v>
      </c>
      <c r="BS41" s="1241"/>
      <c r="BT41" s="1241"/>
      <c r="BU41" s="1241"/>
      <c r="BV41" s="1241"/>
      <c r="BW41" s="1241"/>
      <c r="BX41" s="1241"/>
      <c r="BY41" s="1241"/>
      <c r="BZ41" s="1241"/>
      <c r="CA41" s="1241"/>
      <c r="CB41" s="1241"/>
      <c r="CC41" s="1241"/>
      <c r="CD41" s="1256"/>
      <c r="CE41" s="1256"/>
      <c r="CF41" s="1265">
        <v>6.3200000000000012</v>
      </c>
      <c r="CG41" s="1030"/>
      <c r="CH41" s="1030"/>
      <c r="CI41" s="1030"/>
      <c r="CJ41" s="1030"/>
      <c r="CK41" s="1030"/>
      <c r="CL41" s="1135"/>
      <c r="CM41" s="1135"/>
      <c r="CN41" s="1135"/>
      <c r="CO41" s="1135"/>
      <c r="CP41" s="1135"/>
      <c r="CQ41" s="1135"/>
      <c r="CR41" s="1135"/>
      <c r="CS41" s="1135"/>
      <c r="CT41" s="1135"/>
      <c r="CU41" s="1135"/>
      <c r="CV41" s="1135"/>
      <c r="CW41" s="1135"/>
      <c r="CX41" s="1135"/>
      <c r="CY41" s="1135"/>
      <c r="CZ41" s="1135"/>
      <c r="DA41" s="1008"/>
      <c r="DB41" s="1008"/>
      <c r="DC41" s="1265">
        <v>1157556.9700000002</v>
      </c>
      <c r="DD41" s="1008"/>
      <c r="DE41" s="1008"/>
      <c r="DF41" s="1008"/>
      <c r="DG41" s="1008"/>
      <c r="DH41" s="1008"/>
      <c r="DI41" s="1008"/>
      <c r="DJ41" s="1008"/>
      <c r="DK41" s="1008"/>
      <c r="DL41" s="1008"/>
      <c r="DM41" s="1008"/>
      <c r="DN41" s="1008"/>
      <c r="DO41" s="1256"/>
      <c r="DP41" s="1155">
        <f t="shared" si="79"/>
        <v>1169.7947615809733</v>
      </c>
      <c r="DQ41" s="1155">
        <f t="shared" si="80"/>
        <v>0</v>
      </c>
      <c r="DR41" s="1155">
        <f t="shared" si="81"/>
        <v>0</v>
      </c>
      <c r="DS41" s="1155">
        <f t="shared" si="82"/>
        <v>0</v>
      </c>
      <c r="DT41" s="1155">
        <f t="shared" si="83"/>
        <v>0</v>
      </c>
      <c r="DU41" s="1155">
        <f t="shared" si="84"/>
        <v>0</v>
      </c>
      <c r="DV41" s="1155">
        <f t="shared" si="85"/>
        <v>0</v>
      </c>
      <c r="DW41" s="1155">
        <f t="shared" si="86"/>
        <v>0</v>
      </c>
      <c r="DX41" s="1155">
        <f t="shared" si="87"/>
        <v>0</v>
      </c>
      <c r="DY41" s="1155">
        <f t="shared" si="88"/>
        <v>0</v>
      </c>
      <c r="DZ41" s="1155">
        <f t="shared" si="89"/>
        <v>0</v>
      </c>
      <c r="EA41" s="1155">
        <f t="shared" si="90"/>
        <v>0</v>
      </c>
      <c r="EB41" s="1155">
        <f t="shared" si="91"/>
        <v>0</v>
      </c>
      <c r="EC41" s="1155">
        <f t="shared" si="92"/>
        <v>0</v>
      </c>
      <c r="ED41" s="1155">
        <f t="shared" si="93"/>
        <v>0</v>
      </c>
      <c r="EE41" s="1155">
        <f t="shared" si="94"/>
        <v>0</v>
      </c>
      <c r="EF41" s="1155">
        <f t="shared" si="95"/>
        <v>0</v>
      </c>
      <c r="EG41" s="1155">
        <f t="shared" si="96"/>
        <v>0</v>
      </c>
      <c r="EH41" s="1155">
        <f t="shared" si="97"/>
        <v>0</v>
      </c>
      <c r="EI41" s="1155">
        <f t="shared" si="98"/>
        <v>0</v>
      </c>
      <c r="EJ41" s="1155">
        <f t="shared" si="99"/>
        <v>0</v>
      </c>
      <c r="EK41" s="1155">
        <f t="shared" si="100"/>
        <v>0</v>
      </c>
      <c r="EL41" s="1155">
        <f t="shared" si="101"/>
        <v>0</v>
      </c>
      <c r="EM41" s="1155">
        <f t="shared" si="102"/>
        <v>705.8694043624439</v>
      </c>
      <c r="EN41" s="1155">
        <f t="shared" si="103"/>
        <v>0</v>
      </c>
      <c r="EO41" s="1155">
        <f t="shared" si="104"/>
        <v>0</v>
      </c>
      <c r="EP41" s="1155">
        <f t="shared" si="105"/>
        <v>0</v>
      </c>
      <c r="EQ41" s="1155">
        <f t="shared" si="106"/>
        <v>0</v>
      </c>
      <c r="ER41" s="1155">
        <f t="shared" si="107"/>
        <v>0</v>
      </c>
      <c r="ES41" s="1155">
        <f t="shared" si="108"/>
        <v>0</v>
      </c>
      <c r="ET41" s="1155">
        <f t="shared" si="109"/>
        <v>0</v>
      </c>
      <c r="EU41" s="1155">
        <f t="shared" si="110"/>
        <v>0</v>
      </c>
      <c r="EV41" s="1155">
        <f t="shared" si="111"/>
        <v>0</v>
      </c>
      <c r="EW41" s="1155">
        <f t="shared" si="112"/>
        <v>0</v>
      </c>
      <c r="EX41" s="1155">
        <f t="shared" si="113"/>
        <v>0</v>
      </c>
      <c r="EY41" s="1175">
        <f t="shared" si="114"/>
        <v>1875.6641659434172</v>
      </c>
      <c r="EZ41" s="1256"/>
      <c r="FA41" s="1155">
        <f t="shared" si="115"/>
        <v>1202.1723078209322</v>
      </c>
      <c r="FB41" s="1155">
        <f t="shared" si="116"/>
        <v>0</v>
      </c>
      <c r="FC41" s="1155">
        <f t="shared" si="117"/>
        <v>0</v>
      </c>
      <c r="FD41" s="1155">
        <f t="shared" si="118"/>
        <v>0</v>
      </c>
      <c r="FE41" s="1155">
        <f t="shared" si="119"/>
        <v>0</v>
      </c>
      <c r="FF41" s="1155">
        <f t="shared" si="120"/>
        <v>0</v>
      </c>
      <c r="FG41" s="1155">
        <f t="shared" si="121"/>
        <v>0</v>
      </c>
      <c r="FH41" s="1155">
        <f t="shared" si="122"/>
        <v>0</v>
      </c>
      <c r="FI41" s="1155">
        <f t="shared" si="123"/>
        <v>0</v>
      </c>
      <c r="FJ41" s="1155">
        <f t="shared" si="124"/>
        <v>0</v>
      </c>
      <c r="FK41" s="1155">
        <f t="shared" si="125"/>
        <v>0</v>
      </c>
      <c r="FL41" s="1155">
        <f t="shared" si="126"/>
        <v>0</v>
      </c>
      <c r="FM41" s="1155">
        <f t="shared" si="127"/>
        <v>0</v>
      </c>
      <c r="FN41" s="1155">
        <f t="shared" si="128"/>
        <v>0</v>
      </c>
      <c r="FO41" s="1155">
        <f t="shared" si="129"/>
        <v>0</v>
      </c>
      <c r="FP41" s="1155">
        <f t="shared" si="130"/>
        <v>0</v>
      </c>
      <c r="FQ41" s="1155">
        <f t="shared" si="131"/>
        <v>0</v>
      </c>
      <c r="FR41" s="1155">
        <f t="shared" si="132"/>
        <v>0</v>
      </c>
      <c r="FS41" s="1155">
        <f t="shared" si="133"/>
        <v>0</v>
      </c>
      <c r="FT41" s="1155">
        <f t="shared" si="134"/>
        <v>0</v>
      </c>
      <c r="FU41" s="1155">
        <f t="shared" si="135"/>
        <v>0</v>
      </c>
      <c r="FV41" s="1155">
        <f t="shared" si="136"/>
        <v>0</v>
      </c>
      <c r="FW41" s="1155">
        <f t="shared" si="137"/>
        <v>0</v>
      </c>
      <c r="FX41" s="1155">
        <f t="shared" si="138"/>
        <v>743.50613962487751</v>
      </c>
      <c r="FY41" s="1155">
        <f t="shared" si="139"/>
        <v>0</v>
      </c>
      <c r="FZ41" s="1155">
        <f t="shared" si="140"/>
        <v>0</v>
      </c>
      <c r="GA41" s="1155">
        <f t="shared" si="141"/>
        <v>0</v>
      </c>
      <c r="GB41" s="1155">
        <f t="shared" si="142"/>
        <v>0</v>
      </c>
      <c r="GC41" s="1155">
        <f t="shared" si="143"/>
        <v>0</v>
      </c>
      <c r="GD41" s="1155">
        <f t="shared" si="144"/>
        <v>0</v>
      </c>
      <c r="GE41" s="1155">
        <f t="shared" si="145"/>
        <v>0</v>
      </c>
      <c r="GF41" s="1155">
        <f t="shared" si="146"/>
        <v>0</v>
      </c>
      <c r="GG41" s="1155">
        <f t="shared" si="147"/>
        <v>0</v>
      </c>
      <c r="GH41" s="1155">
        <f t="shared" si="148"/>
        <v>0</v>
      </c>
      <c r="GI41" s="1155">
        <f t="shared" si="149"/>
        <v>0</v>
      </c>
      <c r="GJ41" s="1175">
        <f t="shared" si="150"/>
        <v>1945.6784474458098</v>
      </c>
    </row>
    <row r="42" spans="1:192">
      <c r="B42" s="1259" t="str">
        <f>IF(Prop2021DUOSTariffs!B42="","",Prop2021DUOSTariffs!B42)</f>
        <v/>
      </c>
      <c r="C42" s="1259" t="str">
        <f>IF(Prop2021DUOSTariffs!C42="","",Prop2021DUOSTariffs!C42)</f>
        <v>MtIsa SAC&gt;100MWhpa Business Primary LC</v>
      </c>
      <c r="D42" s="1259" t="str">
        <f>IF(Prop2021DUOSTariffs!D42="","",Prop2021DUOSTariffs!D42)</f>
        <v>MtIsa SAC&gt;100MWhpa Business Primary LC</v>
      </c>
      <c r="E42" s="1259" t="str">
        <f>IF(Prop2021DUOSTariffs!E42="","",Prop2021DUOSTariffs!E42)</f>
        <v>SAC</v>
      </c>
      <c r="F42" s="1259" t="str">
        <f>IF(Prop2021DUOSTariffs!F42="","",Prop2021DUOSTariffs!F42)</f>
        <v>SACL</v>
      </c>
      <c r="G42" s="1259" t="str">
        <f>IF(Prop2021DUOSTariffs!G42="","",Prop2021DUOSTariffs!G42)</f>
        <v>Mt Isa</v>
      </c>
      <c r="H42" s="1259" t="str">
        <f>IF(Prop2021DUOSTariffs!H42="","",Prop2021DUOSTariffs!H42)</f>
        <v>MLPLC</v>
      </c>
      <c r="I42" s="1259" t="s">
        <v>935</v>
      </c>
      <c r="J42" s="1256"/>
      <c r="K42" s="1233">
        <v>0.50710714478107033</v>
      </c>
      <c r="L42" s="1135"/>
      <c r="M42" s="1135"/>
      <c r="N42" s="1135"/>
      <c r="O42" s="1135"/>
      <c r="P42" s="1135"/>
      <c r="Q42" s="1135"/>
      <c r="R42" s="1135"/>
      <c r="S42" s="1135"/>
      <c r="T42" s="1135"/>
      <c r="U42" s="1135"/>
      <c r="V42" s="1135"/>
      <c r="W42" s="1135"/>
      <c r="X42" s="1135"/>
      <c r="Y42" s="1135"/>
      <c r="Z42" s="1135"/>
      <c r="AA42" s="1135"/>
      <c r="AB42" s="1135"/>
      <c r="AC42" s="1135"/>
      <c r="AD42" s="1135"/>
      <c r="AE42" s="1135"/>
      <c r="AF42" s="1005"/>
      <c r="AG42" s="1005"/>
      <c r="AH42" s="1224">
        <v>6.0979236673115429E-4</v>
      </c>
      <c r="AI42" s="1241"/>
      <c r="AJ42" s="1241"/>
      <c r="AK42" s="1241"/>
      <c r="AL42" s="1241"/>
      <c r="AM42" s="1241"/>
      <c r="AN42" s="1241"/>
      <c r="AO42" s="1241"/>
      <c r="AP42" s="1241"/>
      <c r="AQ42" s="1241"/>
      <c r="AR42" s="1241"/>
      <c r="AS42" s="1241"/>
      <c r="AT42" s="1256"/>
      <c r="AU42" s="1484">
        <v>0.52114284195462635</v>
      </c>
      <c r="AV42" s="1241"/>
      <c r="AW42" s="1241"/>
      <c r="AX42" s="1241"/>
      <c r="AY42" s="1241"/>
      <c r="AZ42" s="1241"/>
      <c r="BA42" s="1241"/>
      <c r="BB42" s="1241"/>
      <c r="BC42" s="1241"/>
      <c r="BD42" s="1241"/>
      <c r="BE42" s="1241"/>
      <c r="BF42" s="1241"/>
      <c r="BG42" s="1241"/>
      <c r="BH42" s="1241"/>
      <c r="BI42" s="1241"/>
      <c r="BJ42" s="1241"/>
      <c r="BK42" s="1241"/>
      <c r="BL42" s="1241"/>
      <c r="BM42" s="1241"/>
      <c r="BN42" s="1241"/>
      <c r="BO42" s="1241"/>
      <c r="BP42" s="1241"/>
      <c r="BQ42" s="1241"/>
      <c r="BR42" s="1484">
        <v>6.4230630447923212E-4</v>
      </c>
      <c r="BS42" s="1241"/>
      <c r="BT42" s="1241"/>
      <c r="BU42" s="1241"/>
      <c r="BV42" s="1241"/>
      <c r="BW42" s="1241"/>
      <c r="BX42" s="1241"/>
      <c r="BY42" s="1241"/>
      <c r="BZ42" s="1241"/>
      <c r="CA42" s="1241"/>
      <c r="CB42" s="1241"/>
      <c r="CC42" s="1241"/>
      <c r="CD42" s="1256"/>
      <c r="CE42" s="1256"/>
      <c r="CF42" s="1265">
        <v>1.78</v>
      </c>
      <c r="CG42" s="1030"/>
      <c r="CH42" s="1030"/>
      <c r="CI42" s="1030"/>
      <c r="CJ42" s="1030"/>
      <c r="CK42" s="1030"/>
      <c r="CL42" s="1135"/>
      <c r="CM42" s="1135"/>
      <c r="CN42" s="1135"/>
      <c r="CO42" s="1135"/>
      <c r="CP42" s="1135"/>
      <c r="CQ42" s="1135"/>
      <c r="CR42" s="1135"/>
      <c r="CS42" s="1135"/>
      <c r="CT42" s="1135"/>
      <c r="CU42" s="1135"/>
      <c r="CV42" s="1135"/>
      <c r="CW42" s="1135"/>
      <c r="CX42" s="1135"/>
      <c r="CY42" s="1135"/>
      <c r="CZ42" s="1135"/>
      <c r="DA42" s="1008"/>
      <c r="DB42" s="1008"/>
      <c r="DC42" s="1265">
        <v>462476.17</v>
      </c>
      <c r="DD42" s="1008"/>
      <c r="DE42" s="1008"/>
      <c r="DF42" s="1008"/>
      <c r="DG42" s="1008"/>
      <c r="DH42" s="1008"/>
      <c r="DI42" s="1008"/>
      <c r="DJ42" s="1008"/>
      <c r="DK42" s="1008"/>
      <c r="DL42" s="1008"/>
      <c r="DM42" s="1008"/>
      <c r="DN42" s="1008"/>
      <c r="DO42" s="1256"/>
      <c r="DP42" s="1155">
        <f t="shared" si="79"/>
        <v>329.4675119642614</v>
      </c>
      <c r="DQ42" s="1155">
        <f t="shared" si="80"/>
        <v>0</v>
      </c>
      <c r="DR42" s="1155">
        <f t="shared" si="81"/>
        <v>0</v>
      </c>
      <c r="DS42" s="1155">
        <f t="shared" si="82"/>
        <v>0</v>
      </c>
      <c r="DT42" s="1155">
        <f t="shared" si="83"/>
        <v>0</v>
      </c>
      <c r="DU42" s="1155">
        <f t="shared" si="84"/>
        <v>0</v>
      </c>
      <c r="DV42" s="1155">
        <f t="shared" si="85"/>
        <v>0</v>
      </c>
      <c r="DW42" s="1155">
        <f t="shared" si="86"/>
        <v>0</v>
      </c>
      <c r="DX42" s="1155">
        <f t="shared" si="87"/>
        <v>0</v>
      </c>
      <c r="DY42" s="1155">
        <f t="shared" si="88"/>
        <v>0</v>
      </c>
      <c r="DZ42" s="1155">
        <f t="shared" si="89"/>
        <v>0</v>
      </c>
      <c r="EA42" s="1155">
        <f t="shared" si="90"/>
        <v>0</v>
      </c>
      <c r="EB42" s="1155">
        <f t="shared" si="91"/>
        <v>0</v>
      </c>
      <c r="EC42" s="1155">
        <f t="shared" si="92"/>
        <v>0</v>
      </c>
      <c r="ED42" s="1155">
        <f t="shared" si="93"/>
        <v>0</v>
      </c>
      <c r="EE42" s="1155">
        <f t="shared" si="94"/>
        <v>0</v>
      </c>
      <c r="EF42" s="1155">
        <f t="shared" si="95"/>
        <v>0</v>
      </c>
      <c r="EG42" s="1155">
        <f t="shared" si="96"/>
        <v>0</v>
      </c>
      <c r="EH42" s="1155">
        <f t="shared" si="97"/>
        <v>0</v>
      </c>
      <c r="EI42" s="1155">
        <f t="shared" si="98"/>
        <v>0</v>
      </c>
      <c r="EJ42" s="1155">
        <f t="shared" si="99"/>
        <v>0</v>
      </c>
      <c r="EK42" s="1155">
        <f t="shared" si="100"/>
        <v>0</v>
      </c>
      <c r="EL42" s="1155">
        <f t="shared" si="101"/>
        <v>0</v>
      </c>
      <c r="EM42" s="1155">
        <f t="shared" si="102"/>
        <v>282.01443826105964</v>
      </c>
      <c r="EN42" s="1155">
        <f t="shared" si="103"/>
        <v>0</v>
      </c>
      <c r="EO42" s="1155">
        <f t="shared" si="104"/>
        <v>0</v>
      </c>
      <c r="EP42" s="1155">
        <f t="shared" si="105"/>
        <v>0</v>
      </c>
      <c r="EQ42" s="1155">
        <f t="shared" si="106"/>
        <v>0</v>
      </c>
      <c r="ER42" s="1155">
        <f t="shared" si="107"/>
        <v>0</v>
      </c>
      <c r="ES42" s="1155">
        <f t="shared" si="108"/>
        <v>0</v>
      </c>
      <c r="ET42" s="1155">
        <f t="shared" si="109"/>
        <v>0</v>
      </c>
      <c r="EU42" s="1155">
        <f t="shared" si="110"/>
        <v>0</v>
      </c>
      <c r="EV42" s="1155">
        <f t="shared" si="111"/>
        <v>0</v>
      </c>
      <c r="EW42" s="1155">
        <f t="shared" si="112"/>
        <v>0</v>
      </c>
      <c r="EX42" s="1155">
        <f t="shared" si="113"/>
        <v>0</v>
      </c>
      <c r="EY42" s="1175">
        <f t="shared" si="114"/>
        <v>611.48195022532104</v>
      </c>
      <c r="EZ42" s="1256"/>
      <c r="FA42" s="1155">
        <f t="shared" si="115"/>
        <v>338.58650441792071</v>
      </c>
      <c r="FB42" s="1155">
        <f t="shared" si="116"/>
        <v>0</v>
      </c>
      <c r="FC42" s="1155">
        <f t="shared" si="117"/>
        <v>0</v>
      </c>
      <c r="FD42" s="1155">
        <f t="shared" si="118"/>
        <v>0</v>
      </c>
      <c r="FE42" s="1155">
        <f t="shared" si="119"/>
        <v>0</v>
      </c>
      <c r="FF42" s="1155">
        <f t="shared" si="120"/>
        <v>0</v>
      </c>
      <c r="FG42" s="1155">
        <f t="shared" si="121"/>
        <v>0</v>
      </c>
      <c r="FH42" s="1155">
        <f t="shared" si="122"/>
        <v>0</v>
      </c>
      <c r="FI42" s="1155">
        <f t="shared" si="123"/>
        <v>0</v>
      </c>
      <c r="FJ42" s="1155">
        <f t="shared" si="124"/>
        <v>0</v>
      </c>
      <c r="FK42" s="1155">
        <f t="shared" si="125"/>
        <v>0</v>
      </c>
      <c r="FL42" s="1155">
        <f t="shared" si="126"/>
        <v>0</v>
      </c>
      <c r="FM42" s="1155">
        <f t="shared" si="127"/>
        <v>0</v>
      </c>
      <c r="FN42" s="1155">
        <f t="shared" si="128"/>
        <v>0</v>
      </c>
      <c r="FO42" s="1155">
        <f t="shared" si="129"/>
        <v>0</v>
      </c>
      <c r="FP42" s="1155">
        <f t="shared" si="130"/>
        <v>0</v>
      </c>
      <c r="FQ42" s="1155">
        <f t="shared" si="131"/>
        <v>0</v>
      </c>
      <c r="FR42" s="1155">
        <f t="shared" si="132"/>
        <v>0</v>
      </c>
      <c r="FS42" s="1155">
        <f t="shared" si="133"/>
        <v>0</v>
      </c>
      <c r="FT42" s="1155">
        <f t="shared" si="134"/>
        <v>0</v>
      </c>
      <c r="FU42" s="1155">
        <f t="shared" si="135"/>
        <v>0</v>
      </c>
      <c r="FV42" s="1155">
        <f t="shared" si="136"/>
        <v>0</v>
      </c>
      <c r="FW42" s="1155">
        <f t="shared" si="137"/>
        <v>0</v>
      </c>
      <c r="FX42" s="1155">
        <f t="shared" si="138"/>
        <v>297.05135966240908</v>
      </c>
      <c r="FY42" s="1155">
        <f t="shared" si="139"/>
        <v>0</v>
      </c>
      <c r="FZ42" s="1155">
        <f t="shared" si="140"/>
        <v>0</v>
      </c>
      <c r="GA42" s="1155">
        <f t="shared" si="141"/>
        <v>0</v>
      </c>
      <c r="GB42" s="1155">
        <f t="shared" si="142"/>
        <v>0</v>
      </c>
      <c r="GC42" s="1155">
        <f t="shared" si="143"/>
        <v>0</v>
      </c>
      <c r="GD42" s="1155">
        <f t="shared" si="144"/>
        <v>0</v>
      </c>
      <c r="GE42" s="1155">
        <f t="shared" si="145"/>
        <v>0</v>
      </c>
      <c r="GF42" s="1155">
        <f t="shared" si="146"/>
        <v>0</v>
      </c>
      <c r="GG42" s="1155">
        <f t="shared" si="147"/>
        <v>0</v>
      </c>
      <c r="GH42" s="1155">
        <f t="shared" si="148"/>
        <v>0</v>
      </c>
      <c r="GI42" s="1155">
        <f t="shared" si="149"/>
        <v>0</v>
      </c>
      <c r="GJ42" s="1175">
        <f t="shared" si="150"/>
        <v>635.63786408032979</v>
      </c>
    </row>
    <row r="43" spans="1:192">
      <c r="B43" s="1259" t="str">
        <f>IF(Prop2021DUOSTariffs!B43="","",Prop2021DUOSTariffs!B43)</f>
        <v/>
      </c>
      <c r="C43" s="1259" t="str">
        <f>IF(Prop2021DUOSTariffs!C43="","",Prop2021DUOSTariffs!C43)</f>
        <v>East SAC&gt;100MWhpa Business Secondary LC</v>
      </c>
      <c r="D43" s="1259" t="str">
        <f>IF(Prop2021DUOSTariffs!D43="","",Prop2021DUOSTariffs!D43)</f>
        <v>East SAC&gt;100MWhpa Business Secondary LC</v>
      </c>
      <c r="E43" s="1259" t="str">
        <f>IF(Prop2021DUOSTariffs!E43="","",Prop2021DUOSTariffs!E43)</f>
        <v>SAC</v>
      </c>
      <c r="F43" s="1259" t="str">
        <f>IF(Prop2021DUOSTariffs!F43="","",Prop2021DUOSTariffs!F43)</f>
        <v>SACL</v>
      </c>
      <c r="G43" s="1259" t="str">
        <f>IF(Prop2021DUOSTariffs!G43="","",Prop2021DUOSTariffs!G43)</f>
        <v>East</v>
      </c>
      <c r="H43" s="1259" t="str">
        <f>IF(Prop2021DUOSTariffs!H43="","",Prop2021DUOSTariffs!H43)</f>
        <v>ELSLC</v>
      </c>
      <c r="I43" s="1259" t="s">
        <v>935</v>
      </c>
      <c r="J43" s="1256"/>
      <c r="K43" s="1135"/>
      <c r="L43" s="1135"/>
      <c r="M43" s="1135"/>
      <c r="N43" s="1135"/>
      <c r="O43" s="1135"/>
      <c r="P43" s="1135"/>
      <c r="Q43" s="1135"/>
      <c r="R43" s="1135"/>
      <c r="S43" s="1135"/>
      <c r="T43" s="1135"/>
      <c r="U43" s="1135"/>
      <c r="V43" s="1135"/>
      <c r="W43" s="1135"/>
      <c r="X43" s="1135"/>
      <c r="Y43" s="1135"/>
      <c r="Z43" s="1135"/>
      <c r="AA43" s="1135"/>
      <c r="AB43" s="1135"/>
      <c r="AC43" s="1135"/>
      <c r="AD43" s="1135"/>
      <c r="AE43" s="1135"/>
      <c r="AF43" s="1005"/>
      <c r="AG43" s="1005"/>
      <c r="AH43" s="1224">
        <v>6.0979236673115429E-4</v>
      </c>
      <c r="AI43" s="1241"/>
      <c r="AJ43" s="1241"/>
      <c r="AK43" s="1241"/>
      <c r="AL43" s="1241"/>
      <c r="AM43" s="1241"/>
      <c r="AN43" s="1241"/>
      <c r="AO43" s="1241"/>
      <c r="AP43" s="1241"/>
      <c r="AQ43" s="1241"/>
      <c r="AR43" s="1241"/>
      <c r="AS43" s="1241"/>
      <c r="AT43" s="1256"/>
      <c r="AU43" s="1484">
        <v>0</v>
      </c>
      <c r="AV43" s="1241"/>
      <c r="AW43" s="1241"/>
      <c r="AX43" s="1241"/>
      <c r="AY43" s="1241"/>
      <c r="AZ43" s="1241"/>
      <c r="BA43" s="1241"/>
      <c r="BB43" s="1241"/>
      <c r="BC43" s="1241"/>
      <c r="BD43" s="1241"/>
      <c r="BE43" s="1241"/>
      <c r="BF43" s="1241"/>
      <c r="BG43" s="1241"/>
      <c r="BH43" s="1241"/>
      <c r="BI43" s="1241"/>
      <c r="BJ43" s="1241"/>
      <c r="BK43" s="1241"/>
      <c r="BL43" s="1241"/>
      <c r="BM43" s="1241"/>
      <c r="BN43" s="1241"/>
      <c r="BO43" s="1241"/>
      <c r="BP43" s="1241"/>
      <c r="BQ43" s="1241"/>
      <c r="BR43" s="1484">
        <v>6.4230630447923212E-4</v>
      </c>
      <c r="BS43" s="1241"/>
      <c r="BT43" s="1241"/>
      <c r="BU43" s="1241"/>
      <c r="BV43" s="1241"/>
      <c r="BW43" s="1241"/>
      <c r="BX43" s="1241"/>
      <c r="BY43" s="1241"/>
      <c r="BZ43" s="1241"/>
      <c r="CA43" s="1241"/>
      <c r="CB43" s="1241"/>
      <c r="CC43" s="1241"/>
      <c r="CD43" s="1256"/>
      <c r="CE43" s="1256"/>
      <c r="CF43" s="1265">
        <v>0</v>
      </c>
      <c r="CG43" s="1030"/>
      <c r="CH43" s="1030"/>
      <c r="CI43" s="1030"/>
      <c r="CJ43" s="1030"/>
      <c r="CK43" s="1030"/>
      <c r="CL43" s="1135"/>
      <c r="CM43" s="1135"/>
      <c r="CN43" s="1135"/>
      <c r="CO43" s="1135"/>
      <c r="CP43" s="1135"/>
      <c r="CQ43" s="1135"/>
      <c r="CR43" s="1135"/>
      <c r="CS43" s="1135"/>
      <c r="CT43" s="1135"/>
      <c r="CU43" s="1135"/>
      <c r="CV43" s="1135"/>
      <c r="CW43" s="1135"/>
      <c r="CX43" s="1135"/>
      <c r="CY43" s="1135"/>
      <c r="CZ43" s="1135"/>
      <c r="DA43" s="1008"/>
      <c r="DB43" s="1008"/>
      <c r="DC43" s="1265">
        <v>6739999.9999999981</v>
      </c>
      <c r="DD43" s="1008"/>
      <c r="DE43" s="1008"/>
      <c r="DF43" s="1008"/>
      <c r="DG43" s="1008"/>
      <c r="DH43" s="1008"/>
      <c r="DI43" s="1008"/>
      <c r="DJ43" s="1008"/>
      <c r="DK43" s="1008"/>
      <c r="DL43" s="1008"/>
      <c r="DM43" s="1008"/>
      <c r="DN43" s="1008"/>
      <c r="DO43" s="1256"/>
      <c r="DP43" s="1155">
        <f t="shared" si="79"/>
        <v>0</v>
      </c>
      <c r="DQ43" s="1155">
        <f t="shared" si="80"/>
        <v>0</v>
      </c>
      <c r="DR43" s="1155">
        <f t="shared" si="81"/>
        <v>0</v>
      </c>
      <c r="DS43" s="1155">
        <f t="shared" si="82"/>
        <v>0</v>
      </c>
      <c r="DT43" s="1155">
        <f t="shared" si="83"/>
        <v>0</v>
      </c>
      <c r="DU43" s="1155">
        <f t="shared" si="84"/>
        <v>0</v>
      </c>
      <c r="DV43" s="1155">
        <f t="shared" si="85"/>
        <v>0</v>
      </c>
      <c r="DW43" s="1155">
        <f t="shared" si="86"/>
        <v>0</v>
      </c>
      <c r="DX43" s="1155">
        <f t="shared" si="87"/>
        <v>0</v>
      </c>
      <c r="DY43" s="1155">
        <f t="shared" si="88"/>
        <v>0</v>
      </c>
      <c r="DZ43" s="1155">
        <f t="shared" si="89"/>
        <v>0</v>
      </c>
      <c r="EA43" s="1155">
        <f t="shared" si="90"/>
        <v>0</v>
      </c>
      <c r="EB43" s="1155">
        <f t="shared" si="91"/>
        <v>0</v>
      </c>
      <c r="EC43" s="1155">
        <f t="shared" si="92"/>
        <v>0</v>
      </c>
      <c r="ED43" s="1155">
        <f t="shared" si="93"/>
        <v>0</v>
      </c>
      <c r="EE43" s="1155">
        <f t="shared" si="94"/>
        <v>0</v>
      </c>
      <c r="EF43" s="1155">
        <f t="shared" si="95"/>
        <v>0</v>
      </c>
      <c r="EG43" s="1155">
        <f t="shared" si="96"/>
        <v>0</v>
      </c>
      <c r="EH43" s="1155">
        <f t="shared" si="97"/>
        <v>0</v>
      </c>
      <c r="EI43" s="1155">
        <f t="shared" si="98"/>
        <v>0</v>
      </c>
      <c r="EJ43" s="1155">
        <f t="shared" si="99"/>
        <v>0</v>
      </c>
      <c r="EK43" s="1155">
        <f t="shared" si="100"/>
        <v>0</v>
      </c>
      <c r="EL43" s="1155">
        <f t="shared" si="101"/>
        <v>0</v>
      </c>
      <c r="EM43" s="1155">
        <f t="shared" si="102"/>
        <v>4110.0005517679792</v>
      </c>
      <c r="EN43" s="1155">
        <f t="shared" si="103"/>
        <v>0</v>
      </c>
      <c r="EO43" s="1155">
        <f t="shared" si="104"/>
        <v>0</v>
      </c>
      <c r="EP43" s="1155">
        <f t="shared" si="105"/>
        <v>0</v>
      </c>
      <c r="EQ43" s="1155">
        <f t="shared" si="106"/>
        <v>0</v>
      </c>
      <c r="ER43" s="1155">
        <f t="shared" si="107"/>
        <v>0</v>
      </c>
      <c r="ES43" s="1155">
        <f t="shared" si="108"/>
        <v>0</v>
      </c>
      <c r="ET43" s="1155">
        <f t="shared" si="109"/>
        <v>0</v>
      </c>
      <c r="EU43" s="1155">
        <f t="shared" si="110"/>
        <v>0</v>
      </c>
      <c r="EV43" s="1155">
        <f t="shared" si="111"/>
        <v>0</v>
      </c>
      <c r="EW43" s="1155">
        <f t="shared" si="112"/>
        <v>0</v>
      </c>
      <c r="EX43" s="1155">
        <f t="shared" si="113"/>
        <v>0</v>
      </c>
      <c r="EY43" s="1175">
        <f t="shared" si="114"/>
        <v>4110.0005517679792</v>
      </c>
      <c r="EZ43" s="1256"/>
      <c r="FA43" s="1155">
        <f t="shared" si="115"/>
        <v>0</v>
      </c>
      <c r="FB43" s="1155">
        <f t="shared" si="116"/>
        <v>0</v>
      </c>
      <c r="FC43" s="1155">
        <f t="shared" si="117"/>
        <v>0</v>
      </c>
      <c r="FD43" s="1155">
        <f t="shared" si="118"/>
        <v>0</v>
      </c>
      <c r="FE43" s="1155">
        <f t="shared" si="119"/>
        <v>0</v>
      </c>
      <c r="FF43" s="1155">
        <f t="shared" si="120"/>
        <v>0</v>
      </c>
      <c r="FG43" s="1155">
        <f t="shared" si="121"/>
        <v>0</v>
      </c>
      <c r="FH43" s="1155">
        <f t="shared" si="122"/>
        <v>0</v>
      </c>
      <c r="FI43" s="1155">
        <f t="shared" si="123"/>
        <v>0</v>
      </c>
      <c r="FJ43" s="1155">
        <f t="shared" si="124"/>
        <v>0</v>
      </c>
      <c r="FK43" s="1155">
        <f t="shared" si="125"/>
        <v>0</v>
      </c>
      <c r="FL43" s="1155">
        <f t="shared" si="126"/>
        <v>0</v>
      </c>
      <c r="FM43" s="1155">
        <f t="shared" si="127"/>
        <v>0</v>
      </c>
      <c r="FN43" s="1155">
        <f t="shared" si="128"/>
        <v>0</v>
      </c>
      <c r="FO43" s="1155">
        <f t="shared" si="129"/>
        <v>0</v>
      </c>
      <c r="FP43" s="1155">
        <f t="shared" si="130"/>
        <v>0</v>
      </c>
      <c r="FQ43" s="1155">
        <f t="shared" si="131"/>
        <v>0</v>
      </c>
      <c r="FR43" s="1155">
        <f t="shared" si="132"/>
        <v>0</v>
      </c>
      <c r="FS43" s="1155">
        <f t="shared" si="133"/>
        <v>0</v>
      </c>
      <c r="FT43" s="1155">
        <f t="shared" si="134"/>
        <v>0</v>
      </c>
      <c r="FU43" s="1155">
        <f t="shared" si="135"/>
        <v>0</v>
      </c>
      <c r="FV43" s="1155">
        <f t="shared" si="136"/>
        <v>0</v>
      </c>
      <c r="FW43" s="1155">
        <f t="shared" si="137"/>
        <v>0</v>
      </c>
      <c r="FX43" s="1155">
        <f t="shared" si="138"/>
        <v>4329.1444921900229</v>
      </c>
      <c r="FY43" s="1155">
        <f t="shared" si="139"/>
        <v>0</v>
      </c>
      <c r="FZ43" s="1155">
        <f t="shared" si="140"/>
        <v>0</v>
      </c>
      <c r="GA43" s="1155">
        <f t="shared" si="141"/>
        <v>0</v>
      </c>
      <c r="GB43" s="1155">
        <f t="shared" si="142"/>
        <v>0</v>
      </c>
      <c r="GC43" s="1155">
        <f t="shared" si="143"/>
        <v>0</v>
      </c>
      <c r="GD43" s="1155">
        <f t="shared" si="144"/>
        <v>0</v>
      </c>
      <c r="GE43" s="1155">
        <f t="shared" si="145"/>
        <v>0</v>
      </c>
      <c r="GF43" s="1155">
        <f t="shared" si="146"/>
        <v>0</v>
      </c>
      <c r="GG43" s="1155">
        <f t="shared" si="147"/>
        <v>0</v>
      </c>
      <c r="GH43" s="1155">
        <f t="shared" si="148"/>
        <v>0</v>
      </c>
      <c r="GI43" s="1155">
        <f t="shared" si="149"/>
        <v>0</v>
      </c>
      <c r="GJ43" s="1175">
        <f t="shared" si="150"/>
        <v>4329.1444921900229</v>
      </c>
    </row>
    <row r="44" spans="1:192">
      <c r="B44" s="1259" t="str">
        <f>IF(Prop2021DUOSTariffs!B44="","",Prop2021DUOSTariffs!B44)</f>
        <v/>
      </c>
      <c r="C44" s="1259" t="str">
        <f>IF(Prop2021DUOSTariffs!C44="","",Prop2021DUOSTariffs!C44)</f>
        <v>West SAC&gt;100MWhpa Business Secondary LC</v>
      </c>
      <c r="D44" s="1259" t="str">
        <f>IF(Prop2021DUOSTariffs!D44="","",Prop2021DUOSTariffs!D44)</f>
        <v>West SAC&gt;100MWhpa Business Secondary LC</v>
      </c>
      <c r="E44" s="1259" t="str">
        <f>IF(Prop2021DUOSTariffs!E44="","",Prop2021DUOSTariffs!E44)</f>
        <v>SAC</v>
      </c>
      <c r="F44" s="1259" t="str">
        <f>IF(Prop2021DUOSTariffs!F44="","",Prop2021DUOSTariffs!F44)</f>
        <v>SACL</v>
      </c>
      <c r="G44" s="1259" t="str">
        <f>IF(Prop2021DUOSTariffs!G44="","",Prop2021DUOSTariffs!G44)</f>
        <v>West</v>
      </c>
      <c r="H44" s="1259" t="str">
        <f>IF(Prop2021DUOSTariffs!H44="","",Prop2021DUOSTariffs!H44)</f>
        <v>WLSLC</v>
      </c>
      <c r="I44" s="1259" t="s">
        <v>935</v>
      </c>
      <c r="J44" s="1256"/>
      <c r="K44" s="1135"/>
      <c r="L44" s="1135"/>
      <c r="M44" s="1135"/>
      <c r="N44" s="1135"/>
      <c r="O44" s="1135"/>
      <c r="P44" s="1135"/>
      <c r="Q44" s="1135"/>
      <c r="R44" s="1135"/>
      <c r="S44" s="1135"/>
      <c r="T44" s="1135"/>
      <c r="U44" s="1135"/>
      <c r="V44" s="1135"/>
      <c r="W44" s="1135"/>
      <c r="X44" s="1135"/>
      <c r="Y44" s="1135"/>
      <c r="Z44" s="1135"/>
      <c r="AA44" s="1135"/>
      <c r="AB44" s="1135"/>
      <c r="AC44" s="1135"/>
      <c r="AD44" s="1135"/>
      <c r="AE44" s="1135"/>
      <c r="AF44" s="1005"/>
      <c r="AG44" s="1005"/>
      <c r="AH44" s="1224">
        <v>6.0979236673115429E-4</v>
      </c>
      <c r="AI44" s="1241"/>
      <c r="AJ44" s="1241"/>
      <c r="AK44" s="1241"/>
      <c r="AL44" s="1241"/>
      <c r="AM44" s="1241"/>
      <c r="AN44" s="1241"/>
      <c r="AO44" s="1241"/>
      <c r="AP44" s="1241"/>
      <c r="AQ44" s="1241"/>
      <c r="AR44" s="1241"/>
      <c r="AS44" s="1241"/>
      <c r="AT44" s="1256"/>
      <c r="AU44" s="1484">
        <v>0</v>
      </c>
      <c r="AV44" s="1241"/>
      <c r="AW44" s="1241"/>
      <c r="AX44" s="1241"/>
      <c r="AY44" s="1241"/>
      <c r="AZ44" s="1241"/>
      <c r="BA44" s="1241"/>
      <c r="BB44" s="1241"/>
      <c r="BC44" s="1241"/>
      <c r="BD44" s="1241"/>
      <c r="BE44" s="1241"/>
      <c r="BF44" s="1241"/>
      <c r="BG44" s="1241"/>
      <c r="BH44" s="1241"/>
      <c r="BI44" s="1241"/>
      <c r="BJ44" s="1241"/>
      <c r="BK44" s="1241"/>
      <c r="BL44" s="1241"/>
      <c r="BM44" s="1241"/>
      <c r="BN44" s="1241"/>
      <c r="BO44" s="1241"/>
      <c r="BP44" s="1241"/>
      <c r="BQ44" s="1241"/>
      <c r="BR44" s="1484">
        <v>6.4230630447923212E-4</v>
      </c>
      <c r="BS44" s="1241"/>
      <c r="BT44" s="1241"/>
      <c r="BU44" s="1241"/>
      <c r="BV44" s="1241"/>
      <c r="BW44" s="1241"/>
      <c r="BX44" s="1241"/>
      <c r="BY44" s="1241"/>
      <c r="BZ44" s="1241"/>
      <c r="CA44" s="1241"/>
      <c r="CB44" s="1241"/>
      <c r="CC44" s="1241"/>
      <c r="CD44" s="1256"/>
      <c r="CE44" s="1256"/>
      <c r="CF44" s="1265">
        <v>0</v>
      </c>
      <c r="CG44" s="1030"/>
      <c r="CH44" s="1030"/>
      <c r="CI44" s="1030"/>
      <c r="CJ44" s="1030"/>
      <c r="CK44" s="1030"/>
      <c r="CL44" s="1135"/>
      <c r="CM44" s="1135"/>
      <c r="CN44" s="1135"/>
      <c r="CO44" s="1135"/>
      <c r="CP44" s="1135"/>
      <c r="CQ44" s="1135"/>
      <c r="CR44" s="1135"/>
      <c r="CS44" s="1135"/>
      <c r="CT44" s="1135"/>
      <c r="CU44" s="1135"/>
      <c r="CV44" s="1135"/>
      <c r="CW44" s="1135"/>
      <c r="CX44" s="1135"/>
      <c r="CY44" s="1135"/>
      <c r="CZ44" s="1135"/>
      <c r="DA44" s="1008"/>
      <c r="DB44" s="1008"/>
      <c r="DC44" s="1265">
        <v>576922.46</v>
      </c>
      <c r="DD44" s="1008"/>
      <c r="DE44" s="1008"/>
      <c r="DF44" s="1008"/>
      <c r="DG44" s="1008"/>
      <c r="DH44" s="1008"/>
      <c r="DI44" s="1008"/>
      <c r="DJ44" s="1008"/>
      <c r="DK44" s="1008"/>
      <c r="DL44" s="1008"/>
      <c r="DM44" s="1008"/>
      <c r="DN44" s="1008"/>
      <c r="DO44" s="1256"/>
      <c r="DP44" s="1155">
        <f t="shared" si="79"/>
        <v>0</v>
      </c>
      <c r="DQ44" s="1155">
        <f t="shared" si="80"/>
        <v>0</v>
      </c>
      <c r="DR44" s="1155">
        <f t="shared" si="81"/>
        <v>0</v>
      </c>
      <c r="DS44" s="1155">
        <f t="shared" si="82"/>
        <v>0</v>
      </c>
      <c r="DT44" s="1155">
        <f t="shared" si="83"/>
        <v>0</v>
      </c>
      <c r="DU44" s="1155">
        <f t="shared" si="84"/>
        <v>0</v>
      </c>
      <c r="DV44" s="1155">
        <f t="shared" si="85"/>
        <v>0</v>
      </c>
      <c r="DW44" s="1155">
        <f t="shared" si="86"/>
        <v>0</v>
      </c>
      <c r="DX44" s="1155">
        <f t="shared" si="87"/>
        <v>0</v>
      </c>
      <c r="DY44" s="1155">
        <f t="shared" si="88"/>
        <v>0</v>
      </c>
      <c r="DZ44" s="1155">
        <f t="shared" si="89"/>
        <v>0</v>
      </c>
      <c r="EA44" s="1155">
        <f t="shared" si="90"/>
        <v>0</v>
      </c>
      <c r="EB44" s="1155">
        <f t="shared" si="91"/>
        <v>0</v>
      </c>
      <c r="EC44" s="1155">
        <f t="shared" si="92"/>
        <v>0</v>
      </c>
      <c r="ED44" s="1155">
        <f t="shared" si="93"/>
        <v>0</v>
      </c>
      <c r="EE44" s="1155">
        <f t="shared" si="94"/>
        <v>0</v>
      </c>
      <c r="EF44" s="1155">
        <f t="shared" si="95"/>
        <v>0</v>
      </c>
      <c r="EG44" s="1155">
        <f t="shared" si="96"/>
        <v>0</v>
      </c>
      <c r="EH44" s="1155">
        <f t="shared" si="97"/>
        <v>0</v>
      </c>
      <c r="EI44" s="1155">
        <f t="shared" si="98"/>
        <v>0</v>
      </c>
      <c r="EJ44" s="1155">
        <f t="shared" si="99"/>
        <v>0</v>
      </c>
      <c r="EK44" s="1155">
        <f t="shared" si="100"/>
        <v>0</v>
      </c>
      <c r="EL44" s="1155">
        <f t="shared" si="101"/>
        <v>0</v>
      </c>
      <c r="EM44" s="1155">
        <f t="shared" si="102"/>
        <v>351.80291230375968</v>
      </c>
      <c r="EN44" s="1155">
        <f t="shared" si="103"/>
        <v>0</v>
      </c>
      <c r="EO44" s="1155">
        <f t="shared" si="104"/>
        <v>0</v>
      </c>
      <c r="EP44" s="1155">
        <f t="shared" si="105"/>
        <v>0</v>
      </c>
      <c r="EQ44" s="1155">
        <f t="shared" si="106"/>
        <v>0</v>
      </c>
      <c r="ER44" s="1155">
        <f t="shared" si="107"/>
        <v>0</v>
      </c>
      <c r="ES44" s="1155">
        <f t="shared" si="108"/>
        <v>0</v>
      </c>
      <c r="ET44" s="1155">
        <f t="shared" si="109"/>
        <v>0</v>
      </c>
      <c r="EU44" s="1155">
        <f t="shared" si="110"/>
        <v>0</v>
      </c>
      <c r="EV44" s="1155">
        <f t="shared" si="111"/>
        <v>0</v>
      </c>
      <c r="EW44" s="1155">
        <f t="shared" si="112"/>
        <v>0</v>
      </c>
      <c r="EX44" s="1155">
        <f t="shared" si="113"/>
        <v>0</v>
      </c>
      <c r="EY44" s="1175">
        <f t="shared" si="114"/>
        <v>351.80291230375968</v>
      </c>
      <c r="EZ44" s="1256"/>
      <c r="FA44" s="1155">
        <f t="shared" si="115"/>
        <v>0</v>
      </c>
      <c r="FB44" s="1155">
        <f t="shared" si="116"/>
        <v>0</v>
      </c>
      <c r="FC44" s="1155">
        <f t="shared" si="117"/>
        <v>0</v>
      </c>
      <c r="FD44" s="1155">
        <f t="shared" si="118"/>
        <v>0</v>
      </c>
      <c r="FE44" s="1155">
        <f t="shared" si="119"/>
        <v>0</v>
      </c>
      <c r="FF44" s="1155">
        <f t="shared" si="120"/>
        <v>0</v>
      </c>
      <c r="FG44" s="1155">
        <f t="shared" si="121"/>
        <v>0</v>
      </c>
      <c r="FH44" s="1155">
        <f t="shared" si="122"/>
        <v>0</v>
      </c>
      <c r="FI44" s="1155">
        <f t="shared" si="123"/>
        <v>0</v>
      </c>
      <c r="FJ44" s="1155">
        <f t="shared" si="124"/>
        <v>0</v>
      </c>
      <c r="FK44" s="1155">
        <f t="shared" si="125"/>
        <v>0</v>
      </c>
      <c r="FL44" s="1155">
        <f t="shared" si="126"/>
        <v>0</v>
      </c>
      <c r="FM44" s="1155">
        <f t="shared" si="127"/>
        <v>0</v>
      </c>
      <c r="FN44" s="1155">
        <f t="shared" si="128"/>
        <v>0</v>
      </c>
      <c r="FO44" s="1155">
        <f t="shared" si="129"/>
        <v>0</v>
      </c>
      <c r="FP44" s="1155">
        <f t="shared" si="130"/>
        <v>0</v>
      </c>
      <c r="FQ44" s="1155">
        <f t="shared" si="131"/>
        <v>0</v>
      </c>
      <c r="FR44" s="1155">
        <f t="shared" si="132"/>
        <v>0</v>
      </c>
      <c r="FS44" s="1155">
        <f t="shared" si="133"/>
        <v>0</v>
      </c>
      <c r="FT44" s="1155">
        <f t="shared" si="134"/>
        <v>0</v>
      </c>
      <c r="FU44" s="1155">
        <f t="shared" si="135"/>
        <v>0</v>
      </c>
      <c r="FV44" s="1155">
        <f t="shared" si="136"/>
        <v>0</v>
      </c>
      <c r="FW44" s="1155">
        <f t="shared" si="137"/>
        <v>0</v>
      </c>
      <c r="FX44" s="1155">
        <f t="shared" si="138"/>
        <v>370.5609332536676</v>
      </c>
      <c r="FY44" s="1155">
        <f t="shared" si="139"/>
        <v>0</v>
      </c>
      <c r="FZ44" s="1155">
        <f t="shared" si="140"/>
        <v>0</v>
      </c>
      <c r="GA44" s="1155">
        <f t="shared" si="141"/>
        <v>0</v>
      </c>
      <c r="GB44" s="1155">
        <f t="shared" si="142"/>
        <v>0</v>
      </c>
      <c r="GC44" s="1155">
        <f t="shared" si="143"/>
        <v>0</v>
      </c>
      <c r="GD44" s="1155">
        <f t="shared" si="144"/>
        <v>0</v>
      </c>
      <c r="GE44" s="1155">
        <f t="shared" si="145"/>
        <v>0</v>
      </c>
      <c r="GF44" s="1155">
        <f t="shared" si="146"/>
        <v>0</v>
      </c>
      <c r="GG44" s="1155">
        <f t="shared" si="147"/>
        <v>0</v>
      </c>
      <c r="GH44" s="1155">
        <f t="shared" si="148"/>
        <v>0</v>
      </c>
      <c r="GI44" s="1155">
        <f t="shared" si="149"/>
        <v>0</v>
      </c>
      <c r="GJ44" s="1175">
        <f t="shared" si="150"/>
        <v>370.5609332536676</v>
      </c>
    </row>
    <row r="45" spans="1:192">
      <c r="B45" s="1259" t="str">
        <f>IF(Prop2021DUOSTariffs!B45="","",Prop2021DUOSTariffs!B45)</f>
        <v/>
      </c>
      <c r="C45" s="1259" t="str">
        <f>IF(Prop2021DUOSTariffs!C45="","",Prop2021DUOSTariffs!C45)</f>
        <v>MtIsa SAC&gt;100MWhpa Business Secondary LC</v>
      </c>
      <c r="D45" s="1259" t="str">
        <f>IF(Prop2021DUOSTariffs!D45="","",Prop2021DUOSTariffs!D45)</f>
        <v>MtIsa SAC&gt;100MWhpa Business Secondary LC</v>
      </c>
      <c r="E45" s="1259" t="str">
        <f>IF(Prop2021DUOSTariffs!E45="","",Prop2021DUOSTariffs!E45)</f>
        <v>SAC</v>
      </c>
      <c r="F45" s="1259" t="str">
        <f>IF(Prop2021DUOSTariffs!F45="","",Prop2021DUOSTariffs!F45)</f>
        <v>SACL</v>
      </c>
      <c r="G45" s="1259" t="str">
        <f>IF(Prop2021DUOSTariffs!G45="","",Prop2021DUOSTariffs!G45)</f>
        <v>Mt Isa</v>
      </c>
      <c r="H45" s="1259" t="str">
        <f>IF(Prop2021DUOSTariffs!H45="","",Prop2021DUOSTariffs!H45)</f>
        <v>MLSLC</v>
      </c>
      <c r="I45" s="1259" t="s">
        <v>935</v>
      </c>
      <c r="J45" s="1256"/>
      <c r="K45" s="1135"/>
      <c r="L45" s="1135"/>
      <c r="M45" s="1135"/>
      <c r="N45" s="1135"/>
      <c r="O45" s="1135"/>
      <c r="P45" s="1135"/>
      <c r="Q45" s="1135"/>
      <c r="R45" s="1135"/>
      <c r="S45" s="1135"/>
      <c r="T45" s="1135"/>
      <c r="U45" s="1135"/>
      <c r="V45" s="1135"/>
      <c r="W45" s="1135"/>
      <c r="X45" s="1135"/>
      <c r="Y45" s="1135"/>
      <c r="Z45" s="1135"/>
      <c r="AA45" s="1135"/>
      <c r="AB45" s="1135"/>
      <c r="AC45" s="1135"/>
      <c r="AD45" s="1135"/>
      <c r="AE45" s="1135"/>
      <c r="AF45" s="1005"/>
      <c r="AG45" s="1005"/>
      <c r="AH45" s="1224">
        <v>6.0979236673115429E-4</v>
      </c>
      <c r="AI45" s="1241"/>
      <c r="AJ45" s="1241"/>
      <c r="AK45" s="1241"/>
      <c r="AL45" s="1241"/>
      <c r="AM45" s="1241"/>
      <c r="AN45" s="1241"/>
      <c r="AO45" s="1241"/>
      <c r="AP45" s="1241"/>
      <c r="AQ45" s="1241"/>
      <c r="AR45" s="1241"/>
      <c r="AS45" s="1241"/>
      <c r="AT45" s="1256"/>
      <c r="AU45" s="1484">
        <v>0</v>
      </c>
      <c r="AV45" s="1241"/>
      <c r="AW45" s="1241"/>
      <c r="AX45" s="1241"/>
      <c r="AY45" s="1241"/>
      <c r="AZ45" s="1241"/>
      <c r="BA45" s="1241"/>
      <c r="BB45" s="1241"/>
      <c r="BC45" s="1241"/>
      <c r="BD45" s="1241"/>
      <c r="BE45" s="1241"/>
      <c r="BF45" s="1241"/>
      <c r="BG45" s="1241"/>
      <c r="BH45" s="1241"/>
      <c r="BI45" s="1241"/>
      <c r="BJ45" s="1241"/>
      <c r="BK45" s="1241"/>
      <c r="BL45" s="1241"/>
      <c r="BM45" s="1241"/>
      <c r="BN45" s="1241"/>
      <c r="BO45" s="1241"/>
      <c r="BP45" s="1241"/>
      <c r="BQ45" s="1241"/>
      <c r="BR45" s="1484">
        <v>6.4230630447923212E-4</v>
      </c>
      <c r="BS45" s="1241"/>
      <c r="BT45" s="1241"/>
      <c r="BU45" s="1241"/>
      <c r="BV45" s="1241"/>
      <c r="BW45" s="1241"/>
      <c r="BX45" s="1241"/>
      <c r="BY45" s="1241"/>
      <c r="BZ45" s="1241"/>
      <c r="CA45" s="1241"/>
      <c r="CB45" s="1241"/>
      <c r="CC45" s="1241"/>
      <c r="CD45" s="1256"/>
      <c r="CE45" s="1256"/>
      <c r="CF45" s="1265">
        <v>0</v>
      </c>
      <c r="CG45" s="1030"/>
      <c r="CH45" s="1030"/>
      <c r="CI45" s="1030"/>
      <c r="CJ45" s="1030"/>
      <c r="CK45" s="1030"/>
      <c r="CL45" s="1135"/>
      <c r="CM45" s="1135"/>
      <c r="CN45" s="1135"/>
      <c r="CO45" s="1135"/>
      <c r="CP45" s="1135"/>
      <c r="CQ45" s="1135"/>
      <c r="CR45" s="1135"/>
      <c r="CS45" s="1135"/>
      <c r="CT45" s="1135"/>
      <c r="CU45" s="1135"/>
      <c r="CV45" s="1135"/>
      <c r="CW45" s="1135"/>
      <c r="CX45" s="1135"/>
      <c r="CY45" s="1135"/>
      <c r="CZ45" s="1135"/>
      <c r="DA45" s="1008"/>
      <c r="DB45" s="1008"/>
      <c r="DC45" s="1265">
        <v>270000</v>
      </c>
      <c r="DD45" s="1008"/>
      <c r="DE45" s="1008"/>
      <c r="DF45" s="1008"/>
      <c r="DG45" s="1008"/>
      <c r="DH45" s="1008"/>
      <c r="DI45" s="1008"/>
      <c r="DJ45" s="1008"/>
      <c r="DK45" s="1008"/>
      <c r="DL45" s="1008"/>
      <c r="DM45" s="1008"/>
      <c r="DN45" s="1008"/>
      <c r="DO45" s="1256"/>
      <c r="DP45" s="1155">
        <f t="shared" si="79"/>
        <v>0</v>
      </c>
      <c r="DQ45" s="1155">
        <f t="shared" si="80"/>
        <v>0</v>
      </c>
      <c r="DR45" s="1155">
        <f t="shared" si="81"/>
        <v>0</v>
      </c>
      <c r="DS45" s="1155">
        <f t="shared" si="82"/>
        <v>0</v>
      </c>
      <c r="DT45" s="1155">
        <f t="shared" si="83"/>
        <v>0</v>
      </c>
      <c r="DU45" s="1155">
        <f t="shared" si="84"/>
        <v>0</v>
      </c>
      <c r="DV45" s="1155">
        <f t="shared" si="85"/>
        <v>0</v>
      </c>
      <c r="DW45" s="1155">
        <f t="shared" si="86"/>
        <v>0</v>
      </c>
      <c r="DX45" s="1155">
        <f t="shared" si="87"/>
        <v>0</v>
      </c>
      <c r="DY45" s="1155">
        <f t="shared" si="88"/>
        <v>0</v>
      </c>
      <c r="DZ45" s="1155">
        <f t="shared" si="89"/>
        <v>0</v>
      </c>
      <c r="EA45" s="1155">
        <f t="shared" si="90"/>
        <v>0</v>
      </c>
      <c r="EB45" s="1155">
        <f t="shared" si="91"/>
        <v>0</v>
      </c>
      <c r="EC45" s="1155">
        <f t="shared" si="92"/>
        <v>0</v>
      </c>
      <c r="ED45" s="1155">
        <f t="shared" si="93"/>
        <v>0</v>
      </c>
      <c r="EE45" s="1155">
        <f t="shared" si="94"/>
        <v>0</v>
      </c>
      <c r="EF45" s="1155">
        <f t="shared" si="95"/>
        <v>0</v>
      </c>
      <c r="EG45" s="1155">
        <f t="shared" si="96"/>
        <v>0</v>
      </c>
      <c r="EH45" s="1155">
        <f t="shared" si="97"/>
        <v>0</v>
      </c>
      <c r="EI45" s="1155">
        <f t="shared" si="98"/>
        <v>0</v>
      </c>
      <c r="EJ45" s="1155">
        <f t="shared" si="99"/>
        <v>0</v>
      </c>
      <c r="EK45" s="1155">
        <f t="shared" si="100"/>
        <v>0</v>
      </c>
      <c r="EL45" s="1155">
        <f t="shared" si="101"/>
        <v>0</v>
      </c>
      <c r="EM45" s="1155">
        <f t="shared" si="102"/>
        <v>164.64393901741167</v>
      </c>
      <c r="EN45" s="1155">
        <f t="shared" si="103"/>
        <v>0</v>
      </c>
      <c r="EO45" s="1155">
        <f t="shared" si="104"/>
        <v>0</v>
      </c>
      <c r="EP45" s="1155">
        <f t="shared" si="105"/>
        <v>0</v>
      </c>
      <c r="EQ45" s="1155">
        <f t="shared" si="106"/>
        <v>0</v>
      </c>
      <c r="ER45" s="1155">
        <f t="shared" si="107"/>
        <v>0</v>
      </c>
      <c r="ES45" s="1155">
        <f t="shared" si="108"/>
        <v>0</v>
      </c>
      <c r="ET45" s="1155">
        <f t="shared" si="109"/>
        <v>0</v>
      </c>
      <c r="EU45" s="1155">
        <f t="shared" si="110"/>
        <v>0</v>
      </c>
      <c r="EV45" s="1155">
        <f t="shared" si="111"/>
        <v>0</v>
      </c>
      <c r="EW45" s="1155">
        <f t="shared" si="112"/>
        <v>0</v>
      </c>
      <c r="EX45" s="1155">
        <f t="shared" si="113"/>
        <v>0</v>
      </c>
      <c r="EY45" s="1175">
        <f t="shared" si="114"/>
        <v>164.64393901741167</v>
      </c>
      <c r="EZ45" s="1256"/>
      <c r="FA45" s="1155">
        <f t="shared" si="115"/>
        <v>0</v>
      </c>
      <c r="FB45" s="1155">
        <f t="shared" si="116"/>
        <v>0</v>
      </c>
      <c r="FC45" s="1155">
        <f t="shared" si="117"/>
        <v>0</v>
      </c>
      <c r="FD45" s="1155">
        <f t="shared" si="118"/>
        <v>0</v>
      </c>
      <c r="FE45" s="1155">
        <f t="shared" si="119"/>
        <v>0</v>
      </c>
      <c r="FF45" s="1155">
        <f t="shared" si="120"/>
        <v>0</v>
      </c>
      <c r="FG45" s="1155">
        <f t="shared" si="121"/>
        <v>0</v>
      </c>
      <c r="FH45" s="1155">
        <f t="shared" si="122"/>
        <v>0</v>
      </c>
      <c r="FI45" s="1155">
        <f t="shared" si="123"/>
        <v>0</v>
      </c>
      <c r="FJ45" s="1155">
        <f t="shared" si="124"/>
        <v>0</v>
      </c>
      <c r="FK45" s="1155">
        <f t="shared" si="125"/>
        <v>0</v>
      </c>
      <c r="FL45" s="1155">
        <f t="shared" si="126"/>
        <v>0</v>
      </c>
      <c r="FM45" s="1155">
        <f t="shared" si="127"/>
        <v>0</v>
      </c>
      <c r="FN45" s="1155">
        <f t="shared" si="128"/>
        <v>0</v>
      </c>
      <c r="FO45" s="1155">
        <f t="shared" si="129"/>
        <v>0</v>
      </c>
      <c r="FP45" s="1155">
        <f t="shared" si="130"/>
        <v>0</v>
      </c>
      <c r="FQ45" s="1155">
        <f t="shared" si="131"/>
        <v>0</v>
      </c>
      <c r="FR45" s="1155">
        <f t="shared" si="132"/>
        <v>0</v>
      </c>
      <c r="FS45" s="1155">
        <f t="shared" si="133"/>
        <v>0</v>
      </c>
      <c r="FT45" s="1155">
        <f t="shared" si="134"/>
        <v>0</v>
      </c>
      <c r="FU45" s="1155">
        <f t="shared" si="135"/>
        <v>0</v>
      </c>
      <c r="FV45" s="1155">
        <f t="shared" si="136"/>
        <v>0</v>
      </c>
      <c r="FW45" s="1155">
        <f t="shared" si="137"/>
        <v>0</v>
      </c>
      <c r="FX45" s="1155">
        <f t="shared" si="138"/>
        <v>173.42270220939267</v>
      </c>
      <c r="FY45" s="1155">
        <f t="shared" si="139"/>
        <v>0</v>
      </c>
      <c r="FZ45" s="1155">
        <f t="shared" si="140"/>
        <v>0</v>
      </c>
      <c r="GA45" s="1155">
        <f t="shared" si="141"/>
        <v>0</v>
      </c>
      <c r="GB45" s="1155">
        <f t="shared" si="142"/>
        <v>0</v>
      </c>
      <c r="GC45" s="1155">
        <f t="shared" si="143"/>
        <v>0</v>
      </c>
      <c r="GD45" s="1155">
        <f t="shared" si="144"/>
        <v>0</v>
      </c>
      <c r="GE45" s="1155">
        <f t="shared" si="145"/>
        <v>0</v>
      </c>
      <c r="GF45" s="1155">
        <f t="shared" si="146"/>
        <v>0</v>
      </c>
      <c r="GG45" s="1155">
        <f t="shared" si="147"/>
        <v>0</v>
      </c>
      <c r="GH45" s="1155">
        <f t="shared" si="148"/>
        <v>0</v>
      </c>
      <c r="GI45" s="1155">
        <f t="shared" si="149"/>
        <v>0</v>
      </c>
      <c r="GJ45" s="1175">
        <f t="shared" si="150"/>
        <v>173.42270220939267</v>
      </c>
    </row>
    <row r="46" spans="1:192" ht="6" customHeight="1">
      <c r="A46" s="1205"/>
      <c r="B46" s="1184" t="s">
        <v>742</v>
      </c>
      <c r="C46" s="1184"/>
      <c r="D46" s="1184"/>
      <c r="E46" s="1184"/>
      <c r="F46" s="1184"/>
      <c r="G46" s="1184"/>
      <c r="H46" s="1184"/>
      <c r="I46" s="1184"/>
      <c r="J46" s="1207"/>
      <c r="K46" s="1184"/>
      <c r="L46" s="1184"/>
      <c r="M46" s="1184"/>
      <c r="N46" s="1184"/>
      <c r="O46" s="1184"/>
      <c r="P46" s="1184"/>
      <c r="Q46" s="1184"/>
      <c r="R46" s="1184"/>
      <c r="S46" s="1184"/>
      <c r="T46" s="1184"/>
      <c r="U46" s="1184"/>
      <c r="V46" s="1184"/>
      <c r="W46" s="1184"/>
      <c r="X46" s="1184"/>
      <c r="Y46" s="1184"/>
      <c r="Z46" s="1184"/>
      <c r="AA46" s="1184"/>
      <c r="AB46" s="1184"/>
      <c r="AC46" s="1184"/>
      <c r="AD46" s="1184"/>
      <c r="AE46" s="1184"/>
      <c r="AF46" s="1184"/>
      <c r="AG46" s="1184"/>
      <c r="AH46" s="1263"/>
      <c r="AI46" s="1263"/>
      <c r="AJ46" s="1263"/>
      <c r="AK46" s="1263"/>
      <c r="AL46" s="1263"/>
      <c r="AM46" s="1263"/>
      <c r="AN46" s="1263"/>
      <c r="AO46" s="1263"/>
      <c r="AP46" s="1263"/>
      <c r="AQ46" s="1263"/>
      <c r="AR46" s="1263"/>
      <c r="AS46" s="1263"/>
      <c r="AT46" s="1207"/>
      <c r="AU46" s="1263"/>
      <c r="AV46" s="1263"/>
      <c r="AW46" s="1263"/>
      <c r="AX46" s="1263"/>
      <c r="AY46" s="1263"/>
      <c r="AZ46" s="1263"/>
      <c r="BA46" s="1263"/>
      <c r="BB46" s="1263"/>
      <c r="BC46" s="1263"/>
      <c r="BD46" s="1263"/>
      <c r="BE46" s="1263"/>
      <c r="BF46" s="1263"/>
      <c r="BG46" s="1263"/>
      <c r="BH46" s="1263"/>
      <c r="BI46" s="1263"/>
      <c r="BJ46" s="1263"/>
      <c r="BK46" s="1263"/>
      <c r="BL46" s="1263"/>
      <c r="BM46" s="1263"/>
      <c r="BN46" s="1263"/>
      <c r="BO46" s="1263"/>
      <c r="BP46" s="1263"/>
      <c r="BQ46" s="1263"/>
      <c r="BR46" s="1263"/>
      <c r="BS46" s="1263"/>
      <c r="BT46" s="1263"/>
      <c r="BU46" s="1263"/>
      <c r="BV46" s="1263"/>
      <c r="BW46" s="1263"/>
      <c r="BX46" s="1263"/>
      <c r="BY46" s="1263"/>
      <c r="BZ46" s="1263"/>
      <c r="CA46" s="1263"/>
      <c r="CB46" s="1263"/>
      <c r="CC46" s="1263"/>
      <c r="CD46" s="1207"/>
      <c r="CE46" s="1207"/>
      <c r="CF46" s="1184"/>
      <c r="CG46" s="1184"/>
      <c r="CH46" s="1184"/>
      <c r="CI46" s="1184"/>
      <c r="CJ46" s="1184"/>
      <c r="CK46" s="1184"/>
      <c r="CL46" s="1184"/>
      <c r="CM46" s="1184"/>
      <c r="CN46" s="1184"/>
      <c r="CO46" s="1184"/>
      <c r="CP46" s="1184"/>
      <c r="CQ46" s="1184"/>
      <c r="CR46" s="1184"/>
      <c r="CS46" s="1184"/>
      <c r="CT46" s="1184"/>
      <c r="CU46" s="1184"/>
      <c r="CV46" s="1184"/>
      <c r="CW46" s="1184"/>
      <c r="CX46" s="1184"/>
      <c r="CY46" s="1184"/>
      <c r="CZ46" s="1184"/>
      <c r="DA46" s="1184"/>
      <c r="DB46" s="1184"/>
      <c r="DC46" s="1607"/>
      <c r="DD46" s="1184"/>
      <c r="DE46" s="1184"/>
      <c r="DF46" s="1184"/>
      <c r="DG46" s="1184"/>
      <c r="DH46" s="1184"/>
      <c r="DI46" s="1184"/>
      <c r="DJ46" s="1184"/>
      <c r="DK46" s="1184"/>
      <c r="DL46" s="1184"/>
      <c r="DM46" s="1184"/>
      <c r="DN46" s="1184"/>
      <c r="DO46" s="1207"/>
      <c r="DP46" s="1252"/>
      <c r="DQ46" s="1252"/>
      <c r="DR46" s="1252"/>
      <c r="DS46" s="1252"/>
      <c r="DT46" s="1252"/>
      <c r="DU46" s="1252"/>
      <c r="DV46" s="1252"/>
      <c r="DW46" s="1252"/>
      <c r="DX46" s="1252"/>
      <c r="DY46" s="1252"/>
      <c r="DZ46" s="1252"/>
      <c r="EA46" s="1252"/>
      <c r="EB46" s="1252"/>
      <c r="EC46" s="1252"/>
      <c r="ED46" s="1252"/>
      <c r="EE46" s="1252"/>
      <c r="EF46" s="1252"/>
      <c r="EG46" s="1252"/>
      <c r="EH46" s="1252"/>
      <c r="EI46" s="1252"/>
      <c r="EJ46" s="1252"/>
      <c r="EK46" s="1252"/>
      <c r="EL46" s="1252"/>
      <c r="EM46" s="1252"/>
      <c r="EN46" s="1252"/>
      <c r="EO46" s="1252"/>
      <c r="EP46" s="1252"/>
      <c r="EQ46" s="1252"/>
      <c r="ER46" s="1252"/>
      <c r="ES46" s="1252"/>
      <c r="ET46" s="1252"/>
      <c r="EU46" s="1252"/>
      <c r="EV46" s="1252"/>
      <c r="EW46" s="1252"/>
      <c r="EX46" s="1252"/>
      <c r="EY46" s="1252"/>
      <c r="EZ46" s="1207"/>
      <c r="FA46" s="1252"/>
      <c r="FB46" s="1252"/>
      <c r="FC46" s="1252"/>
      <c r="FD46" s="1252"/>
      <c r="FE46" s="1252"/>
      <c r="FF46" s="1252"/>
      <c r="FG46" s="1252"/>
      <c r="FH46" s="1252"/>
      <c r="FI46" s="1252"/>
      <c r="FJ46" s="1252"/>
      <c r="FK46" s="1252"/>
      <c r="FL46" s="1252"/>
      <c r="FM46" s="1252"/>
      <c r="FN46" s="1252"/>
      <c r="FO46" s="1252"/>
      <c r="FP46" s="1252"/>
      <c r="FQ46" s="1252"/>
      <c r="FR46" s="1252"/>
      <c r="FS46" s="1252"/>
      <c r="FT46" s="1252"/>
      <c r="FU46" s="1252"/>
      <c r="FV46" s="1252"/>
      <c r="FW46" s="1252"/>
      <c r="FX46" s="1252"/>
      <c r="FY46" s="1252"/>
      <c r="FZ46" s="1252"/>
      <c r="GA46" s="1252"/>
      <c r="GB46" s="1252"/>
      <c r="GC46" s="1252"/>
      <c r="GD46" s="1252"/>
      <c r="GE46" s="1252"/>
      <c r="GF46" s="1252"/>
      <c r="GG46" s="1252"/>
      <c r="GH46" s="1252"/>
      <c r="GI46" s="1252"/>
      <c r="GJ46" s="1252"/>
    </row>
    <row r="47" spans="1:192" s="1101" customFormat="1">
      <c r="B47" s="1259" t="str">
        <f>IF(Prop2021DUOSTariffs!B47="","",Prop2021DUOSTariffs!B47)</f>
        <v/>
      </c>
      <c r="C47" s="1259" t="str">
        <f>IF(Prop2021DUOSTariffs!C47="","",Prop2021DUOSTariffs!C47)</f>
        <v>East SAC&gt;100MWhpa Large Business Energy</v>
      </c>
      <c r="D47" s="1259" t="str">
        <f>IF(Prop2021DUOSTariffs!D47="","",Prop2021DUOSTariffs!D47)</f>
        <v>East SAC&gt;100MWhpa DemandSmall</v>
      </c>
      <c r="E47" s="1259" t="str">
        <f>IF(Prop2021DUOSTariffs!E47="","",Prop2021DUOSTariffs!E47)</f>
        <v>SAC</v>
      </c>
      <c r="F47" s="1259" t="str">
        <f>IF(Prop2021DUOSTariffs!F47="","",Prop2021DUOSTariffs!F47)</f>
        <v>SACL</v>
      </c>
      <c r="G47" s="1259" t="str">
        <f>IF(Prop2021DUOSTariffs!G47="","",Prop2021DUOSTariffs!G47)</f>
        <v>East</v>
      </c>
      <c r="H47" s="1259" t="str">
        <f>IF(Prop2021DUOSTariffs!H47="","",Prop2021DUOSTariffs!H47)</f>
        <v>EBEST</v>
      </c>
      <c r="I47" s="1259" t="s">
        <v>935</v>
      </c>
      <c r="J47" s="1256"/>
      <c r="K47" s="1233">
        <v>0.50710714478107033</v>
      </c>
      <c r="L47" s="1135"/>
      <c r="M47" s="1135"/>
      <c r="N47" s="1135"/>
      <c r="O47" s="1135"/>
      <c r="P47" s="1135"/>
      <c r="Q47" s="1135"/>
      <c r="R47" s="1135"/>
      <c r="S47" s="1135"/>
      <c r="T47" s="1135"/>
      <c r="U47" s="1135"/>
      <c r="V47" s="1135"/>
      <c r="W47" s="1135"/>
      <c r="X47" s="1135"/>
      <c r="Y47" s="1135"/>
      <c r="Z47" s="1135"/>
      <c r="AA47" s="1135"/>
      <c r="AB47" s="1135"/>
      <c r="AC47" s="1135"/>
      <c r="AD47" s="1135"/>
      <c r="AE47" s="1135"/>
      <c r="AF47" s="1005"/>
      <c r="AG47" s="1005"/>
      <c r="AH47" s="1224">
        <v>6.0979236673115429E-4</v>
      </c>
      <c r="AI47" s="1241"/>
      <c r="AJ47" s="1241"/>
      <c r="AK47" s="1241"/>
      <c r="AL47" s="1241"/>
      <c r="AM47" s="1241"/>
      <c r="AN47" s="1241"/>
      <c r="AO47" s="1241"/>
      <c r="AP47" s="1241"/>
      <c r="AQ47" s="1241"/>
      <c r="AR47" s="1241"/>
      <c r="AS47" s="1241"/>
      <c r="AT47" s="1256"/>
      <c r="AU47" s="1241"/>
      <c r="AV47" s="1241"/>
      <c r="AW47" s="1241"/>
      <c r="AX47" s="1241"/>
      <c r="AY47" s="1241"/>
      <c r="AZ47" s="1241"/>
      <c r="BA47" s="1241"/>
      <c r="BB47" s="1241"/>
      <c r="BC47" s="1241"/>
      <c r="BD47" s="1241"/>
      <c r="BE47" s="1241"/>
      <c r="BF47" s="1241"/>
      <c r="BG47" s="1241"/>
      <c r="BH47" s="1241"/>
      <c r="BI47" s="1241"/>
      <c r="BJ47" s="1241"/>
      <c r="BK47" s="1241"/>
      <c r="BL47" s="1241"/>
      <c r="BM47" s="1241"/>
      <c r="BN47" s="1241"/>
      <c r="BO47" s="1241"/>
      <c r="BP47" s="1241"/>
      <c r="BQ47" s="1241"/>
      <c r="BR47" s="1241"/>
      <c r="BS47" s="1241"/>
      <c r="BT47" s="1241"/>
      <c r="BU47" s="1241"/>
      <c r="BV47" s="1241"/>
      <c r="BW47" s="1241"/>
      <c r="BX47" s="1241"/>
      <c r="BY47" s="1241"/>
      <c r="BZ47" s="1241"/>
      <c r="CA47" s="1241"/>
      <c r="CB47" s="1241"/>
      <c r="CC47" s="1241"/>
      <c r="CD47" s="1256"/>
      <c r="CE47" s="1256"/>
      <c r="CF47" s="1265">
        <v>171</v>
      </c>
      <c r="CG47" s="1030"/>
      <c r="CH47" s="1030"/>
      <c r="CI47" s="1030"/>
      <c r="CJ47" s="1030"/>
      <c r="CK47" s="1030"/>
      <c r="CL47" s="1135"/>
      <c r="CM47" s="1135"/>
      <c r="CN47" s="1135"/>
      <c r="CO47" s="1135"/>
      <c r="CP47" s="1135"/>
      <c r="CQ47" s="1135"/>
      <c r="CR47" s="1135"/>
      <c r="CS47" s="1135"/>
      <c r="CT47" s="1135"/>
      <c r="CU47" s="1135"/>
      <c r="CV47" s="1135"/>
      <c r="CW47" s="1135"/>
      <c r="CX47" s="1135"/>
      <c r="CY47" s="1135"/>
      <c r="CZ47" s="1135"/>
      <c r="DA47" s="1008"/>
      <c r="DB47" s="1008"/>
      <c r="DC47" s="1265">
        <v>31653063.965593748</v>
      </c>
      <c r="DD47" s="1008"/>
      <c r="DE47" s="1008"/>
      <c r="DF47" s="1008"/>
      <c r="DG47" s="1008"/>
      <c r="DH47" s="1008"/>
      <c r="DI47" s="1008"/>
      <c r="DJ47" s="1008"/>
      <c r="DK47" s="1008"/>
      <c r="DL47" s="1008"/>
      <c r="DM47" s="1008"/>
      <c r="DN47" s="1008"/>
      <c r="DO47" s="1256"/>
      <c r="DP47" s="1155">
        <f t="shared" ref="DP47:DP52" si="151">IFERROR(K47*CF47*DP$107,0)</f>
        <v>31651.092441510507</v>
      </c>
      <c r="DQ47" s="1155">
        <f t="shared" ref="DQ47:DZ52" si="152">L47*CG47*DQ$107</f>
        <v>0</v>
      </c>
      <c r="DR47" s="1155">
        <f t="shared" si="152"/>
        <v>0</v>
      </c>
      <c r="DS47" s="1155">
        <f t="shared" si="152"/>
        <v>0</v>
      </c>
      <c r="DT47" s="1155">
        <f t="shared" si="152"/>
        <v>0</v>
      </c>
      <c r="DU47" s="1155">
        <f t="shared" si="152"/>
        <v>0</v>
      </c>
      <c r="DV47" s="1155">
        <f t="shared" si="152"/>
        <v>0</v>
      </c>
      <c r="DW47" s="1155">
        <f t="shared" si="152"/>
        <v>0</v>
      </c>
      <c r="DX47" s="1155">
        <f t="shared" si="152"/>
        <v>0</v>
      </c>
      <c r="DY47" s="1155">
        <f t="shared" si="152"/>
        <v>0</v>
      </c>
      <c r="DZ47" s="1155">
        <f t="shared" si="152"/>
        <v>0</v>
      </c>
      <c r="EA47" s="1155">
        <f t="shared" ref="EA47:EJ52" si="153">V47*CQ47*EA$107</f>
        <v>0</v>
      </c>
      <c r="EB47" s="1155">
        <f t="shared" si="153"/>
        <v>0</v>
      </c>
      <c r="EC47" s="1155">
        <f t="shared" si="153"/>
        <v>0</v>
      </c>
      <c r="ED47" s="1155">
        <f t="shared" si="153"/>
        <v>0</v>
      </c>
      <c r="EE47" s="1155">
        <f t="shared" si="153"/>
        <v>0</v>
      </c>
      <c r="EF47" s="1155">
        <f t="shared" si="153"/>
        <v>0</v>
      </c>
      <c r="EG47" s="1155">
        <f t="shared" si="153"/>
        <v>0</v>
      </c>
      <c r="EH47" s="1155">
        <f t="shared" si="153"/>
        <v>0</v>
      </c>
      <c r="EI47" s="1155">
        <f t="shared" si="153"/>
        <v>0</v>
      </c>
      <c r="EJ47" s="1155">
        <f t="shared" si="153"/>
        <v>0</v>
      </c>
      <c r="EK47" s="1155">
        <f t="shared" ref="EK47:EL52" si="154">AF47*DA47*EK$107</f>
        <v>0</v>
      </c>
      <c r="EL47" s="1155">
        <f t="shared" si="154"/>
        <v>0</v>
      </c>
      <c r="EM47" s="1155">
        <f t="shared" ref="EM47:EM52" si="155">IFERROR(AH47*DC47*EM$107,0)</f>
        <v>19301.796789872027</v>
      </c>
      <c r="EN47" s="1155">
        <f t="shared" ref="EN47:EX52" si="156">AI47*DD47*EN$107</f>
        <v>0</v>
      </c>
      <c r="EO47" s="1155">
        <f t="shared" si="156"/>
        <v>0</v>
      </c>
      <c r="EP47" s="1155">
        <f t="shared" si="156"/>
        <v>0</v>
      </c>
      <c r="EQ47" s="1155">
        <f t="shared" si="156"/>
        <v>0</v>
      </c>
      <c r="ER47" s="1155">
        <f t="shared" si="156"/>
        <v>0</v>
      </c>
      <c r="ES47" s="1155">
        <f t="shared" si="156"/>
        <v>0</v>
      </c>
      <c r="ET47" s="1155">
        <f t="shared" si="156"/>
        <v>0</v>
      </c>
      <c r="EU47" s="1155">
        <f t="shared" si="156"/>
        <v>0</v>
      </c>
      <c r="EV47" s="1155">
        <f t="shared" si="156"/>
        <v>0</v>
      </c>
      <c r="EW47" s="1155">
        <f t="shared" si="156"/>
        <v>0</v>
      </c>
      <c r="EX47" s="1155">
        <f t="shared" si="156"/>
        <v>0</v>
      </c>
      <c r="EY47" s="1175">
        <f t="shared" ref="EY47:EY52" si="157">SUM(DP47:EX47)</f>
        <v>50952.889231382534</v>
      </c>
      <c r="EZ47" s="1256"/>
      <c r="FA47" s="1155">
        <f t="shared" ref="FA47:FJ52" si="158">AU47*CF47*FA$107</f>
        <v>0</v>
      </c>
      <c r="FB47" s="1155">
        <f t="shared" si="158"/>
        <v>0</v>
      </c>
      <c r="FC47" s="1155">
        <f t="shared" si="158"/>
        <v>0</v>
      </c>
      <c r="FD47" s="1155">
        <f t="shared" si="158"/>
        <v>0</v>
      </c>
      <c r="FE47" s="1155">
        <f t="shared" si="158"/>
        <v>0</v>
      </c>
      <c r="FF47" s="1155">
        <f t="shared" si="158"/>
        <v>0</v>
      </c>
      <c r="FG47" s="1155">
        <f t="shared" si="158"/>
        <v>0</v>
      </c>
      <c r="FH47" s="1155">
        <f t="shared" si="158"/>
        <v>0</v>
      </c>
      <c r="FI47" s="1155">
        <f t="shared" si="158"/>
        <v>0</v>
      </c>
      <c r="FJ47" s="1155">
        <f t="shared" si="158"/>
        <v>0</v>
      </c>
      <c r="FK47" s="1155">
        <f t="shared" ref="FK47:FT52" si="159">BE47*CP47*FK$107</f>
        <v>0</v>
      </c>
      <c r="FL47" s="1155">
        <f t="shared" si="159"/>
        <v>0</v>
      </c>
      <c r="FM47" s="1155">
        <f t="shared" si="159"/>
        <v>0</v>
      </c>
      <c r="FN47" s="1155">
        <f t="shared" si="159"/>
        <v>0</v>
      </c>
      <c r="FO47" s="1155">
        <f t="shared" si="159"/>
        <v>0</v>
      </c>
      <c r="FP47" s="1155">
        <f t="shared" si="159"/>
        <v>0</v>
      </c>
      <c r="FQ47" s="1155">
        <f t="shared" si="159"/>
        <v>0</v>
      </c>
      <c r="FR47" s="1155">
        <f t="shared" si="159"/>
        <v>0</v>
      </c>
      <c r="FS47" s="1155">
        <f t="shared" si="159"/>
        <v>0</v>
      </c>
      <c r="FT47" s="1155">
        <f t="shared" si="159"/>
        <v>0</v>
      </c>
      <c r="FU47" s="1155">
        <f t="shared" ref="FU47:GD52" si="160">BO47*CZ47*FU$107</f>
        <v>0</v>
      </c>
      <c r="FV47" s="1155">
        <f t="shared" si="160"/>
        <v>0</v>
      </c>
      <c r="FW47" s="1155">
        <f t="shared" si="160"/>
        <v>0</v>
      </c>
      <c r="FX47" s="1155">
        <f t="shared" si="160"/>
        <v>0</v>
      </c>
      <c r="FY47" s="1155">
        <f t="shared" si="160"/>
        <v>0</v>
      </c>
      <c r="FZ47" s="1155">
        <f t="shared" si="160"/>
        <v>0</v>
      </c>
      <c r="GA47" s="1155">
        <f t="shared" si="160"/>
        <v>0</v>
      </c>
      <c r="GB47" s="1155">
        <f t="shared" si="160"/>
        <v>0</v>
      </c>
      <c r="GC47" s="1155">
        <f t="shared" si="160"/>
        <v>0</v>
      </c>
      <c r="GD47" s="1155">
        <f t="shared" si="160"/>
        <v>0</v>
      </c>
      <c r="GE47" s="1155">
        <f t="shared" ref="GE47:GI52" si="161">BY47*DJ47*GE$107</f>
        <v>0</v>
      </c>
      <c r="GF47" s="1155">
        <f t="shared" si="161"/>
        <v>0</v>
      </c>
      <c r="GG47" s="1155">
        <f t="shared" si="161"/>
        <v>0</v>
      </c>
      <c r="GH47" s="1155">
        <f t="shared" si="161"/>
        <v>0</v>
      </c>
      <c r="GI47" s="1155">
        <f t="shared" si="161"/>
        <v>0</v>
      </c>
      <c r="GJ47" s="1175">
        <f t="shared" ref="GJ47:GJ52" si="162">SUM(FA47:GI47)</f>
        <v>0</v>
      </c>
    </row>
    <row r="48" spans="1:192" s="1101" customFormat="1">
      <c r="B48" s="1259" t="str">
        <f>IF(Prop2021DUOSTariffs!B48="","",Prop2021DUOSTariffs!B48)</f>
        <v/>
      </c>
      <c r="C48" s="1259" t="str">
        <f>IF(Prop2021DUOSTariffs!C48="","",Prop2021DUOSTariffs!C48)</f>
        <v>West SAC&gt;100MWhpa Large Business Energy</v>
      </c>
      <c r="D48" s="1259" t="str">
        <f>IF(Prop2021DUOSTariffs!D48="","",Prop2021DUOSTariffs!D48)</f>
        <v>West SAC&gt;100MWhpa DemandSmall</v>
      </c>
      <c r="E48" s="1259" t="str">
        <f>IF(Prop2021DUOSTariffs!E48="","",Prop2021DUOSTariffs!E48)</f>
        <v>SAC</v>
      </c>
      <c r="F48" s="1259" t="str">
        <f>IF(Prop2021DUOSTariffs!F48="","",Prop2021DUOSTariffs!F48)</f>
        <v>SACL</v>
      </c>
      <c r="G48" s="1259" t="str">
        <f>IF(Prop2021DUOSTariffs!G48="","",Prop2021DUOSTariffs!G48)</f>
        <v>West</v>
      </c>
      <c r="H48" s="1259" t="str">
        <f>IF(Prop2021DUOSTariffs!H48="","",Prop2021DUOSTariffs!H48)</f>
        <v>WBEST</v>
      </c>
      <c r="I48" s="1259" t="s">
        <v>935</v>
      </c>
      <c r="J48" s="1256"/>
      <c r="K48" s="1233">
        <v>0.50710714478107033</v>
      </c>
      <c r="L48" s="1135"/>
      <c r="M48" s="1135"/>
      <c r="N48" s="1135"/>
      <c r="O48" s="1135"/>
      <c r="P48" s="1135"/>
      <c r="Q48" s="1135"/>
      <c r="R48" s="1135"/>
      <c r="S48" s="1135"/>
      <c r="T48" s="1135"/>
      <c r="U48" s="1135"/>
      <c r="V48" s="1135"/>
      <c r="W48" s="1135"/>
      <c r="X48" s="1135"/>
      <c r="Y48" s="1135"/>
      <c r="Z48" s="1135"/>
      <c r="AA48" s="1135"/>
      <c r="AB48" s="1135"/>
      <c r="AC48" s="1135"/>
      <c r="AD48" s="1135"/>
      <c r="AE48" s="1135"/>
      <c r="AF48" s="1005"/>
      <c r="AG48" s="1005"/>
      <c r="AH48" s="1224">
        <v>6.0979236673115429E-4</v>
      </c>
      <c r="AI48" s="1241"/>
      <c r="AJ48" s="1241"/>
      <c r="AK48" s="1241"/>
      <c r="AL48" s="1241"/>
      <c r="AM48" s="1241"/>
      <c r="AN48" s="1241"/>
      <c r="AO48" s="1241"/>
      <c r="AP48" s="1241"/>
      <c r="AQ48" s="1241"/>
      <c r="AR48" s="1241"/>
      <c r="AS48" s="1241"/>
      <c r="AT48" s="1256"/>
      <c r="AU48" s="1241"/>
      <c r="AV48" s="1241"/>
      <c r="AW48" s="1241"/>
      <c r="AX48" s="1241"/>
      <c r="AY48" s="1241"/>
      <c r="AZ48" s="1241"/>
      <c r="BA48" s="1241"/>
      <c r="BB48" s="1241"/>
      <c r="BC48" s="1241"/>
      <c r="BD48" s="1241"/>
      <c r="BE48" s="1241"/>
      <c r="BF48" s="1241"/>
      <c r="BG48" s="1241"/>
      <c r="BH48" s="1241"/>
      <c r="BI48" s="1241"/>
      <c r="BJ48" s="1241"/>
      <c r="BK48" s="1241"/>
      <c r="BL48" s="1241"/>
      <c r="BM48" s="1241"/>
      <c r="BN48" s="1241"/>
      <c r="BO48" s="1241"/>
      <c r="BP48" s="1241"/>
      <c r="BQ48" s="1241"/>
      <c r="BR48" s="1241"/>
      <c r="BS48" s="1241"/>
      <c r="BT48" s="1241"/>
      <c r="BU48" s="1241"/>
      <c r="BV48" s="1241"/>
      <c r="BW48" s="1241"/>
      <c r="BX48" s="1241"/>
      <c r="BY48" s="1241"/>
      <c r="BZ48" s="1241"/>
      <c r="CA48" s="1241"/>
      <c r="CB48" s="1241"/>
      <c r="CC48" s="1241"/>
      <c r="CD48" s="1256"/>
      <c r="CE48" s="1256"/>
      <c r="CF48" s="1265">
        <v>34.000000000000007</v>
      </c>
      <c r="CG48" s="1030"/>
      <c r="CH48" s="1030"/>
      <c r="CI48" s="1030"/>
      <c r="CJ48" s="1030"/>
      <c r="CK48" s="1030"/>
      <c r="CL48" s="1135"/>
      <c r="CM48" s="1135"/>
      <c r="CN48" s="1135"/>
      <c r="CO48" s="1135"/>
      <c r="CP48" s="1135"/>
      <c r="CQ48" s="1135"/>
      <c r="CR48" s="1135"/>
      <c r="CS48" s="1135"/>
      <c r="CT48" s="1135"/>
      <c r="CU48" s="1135"/>
      <c r="CV48" s="1135"/>
      <c r="CW48" s="1135"/>
      <c r="CX48" s="1135"/>
      <c r="CY48" s="1135"/>
      <c r="CZ48" s="1135"/>
      <c r="DA48" s="1008"/>
      <c r="DB48" s="1008"/>
      <c r="DC48" s="1265">
        <v>4939062.526252212</v>
      </c>
      <c r="DD48" s="1008"/>
      <c r="DE48" s="1008"/>
      <c r="DF48" s="1008"/>
      <c r="DG48" s="1008"/>
      <c r="DH48" s="1008"/>
      <c r="DI48" s="1008"/>
      <c r="DJ48" s="1008"/>
      <c r="DK48" s="1008"/>
      <c r="DL48" s="1008"/>
      <c r="DM48" s="1008"/>
      <c r="DN48" s="1008"/>
      <c r="DO48" s="1256"/>
      <c r="DP48" s="1155">
        <f t="shared" si="151"/>
        <v>6293.1996667330841</v>
      </c>
      <c r="DQ48" s="1155">
        <f t="shared" si="152"/>
        <v>0</v>
      </c>
      <c r="DR48" s="1155">
        <f t="shared" si="152"/>
        <v>0</v>
      </c>
      <c r="DS48" s="1155">
        <f t="shared" si="152"/>
        <v>0</v>
      </c>
      <c r="DT48" s="1155">
        <f t="shared" si="152"/>
        <v>0</v>
      </c>
      <c r="DU48" s="1155">
        <f t="shared" si="152"/>
        <v>0</v>
      </c>
      <c r="DV48" s="1155">
        <f t="shared" si="152"/>
        <v>0</v>
      </c>
      <c r="DW48" s="1155">
        <f t="shared" si="152"/>
        <v>0</v>
      </c>
      <c r="DX48" s="1155">
        <f t="shared" si="152"/>
        <v>0</v>
      </c>
      <c r="DY48" s="1155">
        <f t="shared" si="152"/>
        <v>0</v>
      </c>
      <c r="DZ48" s="1155">
        <f t="shared" si="152"/>
        <v>0</v>
      </c>
      <c r="EA48" s="1155">
        <f t="shared" si="153"/>
        <v>0</v>
      </c>
      <c r="EB48" s="1155">
        <f t="shared" si="153"/>
        <v>0</v>
      </c>
      <c r="EC48" s="1155">
        <f t="shared" si="153"/>
        <v>0</v>
      </c>
      <c r="ED48" s="1155">
        <f t="shared" si="153"/>
        <v>0</v>
      </c>
      <c r="EE48" s="1155">
        <f t="shared" si="153"/>
        <v>0</v>
      </c>
      <c r="EF48" s="1155">
        <f t="shared" si="153"/>
        <v>0</v>
      </c>
      <c r="EG48" s="1155">
        <f t="shared" si="153"/>
        <v>0</v>
      </c>
      <c r="EH48" s="1155">
        <f t="shared" si="153"/>
        <v>0</v>
      </c>
      <c r="EI48" s="1155">
        <f t="shared" si="153"/>
        <v>0</v>
      </c>
      <c r="EJ48" s="1155">
        <f t="shared" si="153"/>
        <v>0</v>
      </c>
      <c r="EK48" s="1155">
        <f t="shared" si="154"/>
        <v>0</v>
      </c>
      <c r="EL48" s="1155">
        <f t="shared" si="154"/>
        <v>0</v>
      </c>
      <c r="EM48" s="1155">
        <f t="shared" si="155"/>
        <v>3011.8026273164901</v>
      </c>
      <c r="EN48" s="1155">
        <f t="shared" si="156"/>
        <v>0</v>
      </c>
      <c r="EO48" s="1155">
        <f t="shared" si="156"/>
        <v>0</v>
      </c>
      <c r="EP48" s="1155">
        <f t="shared" si="156"/>
        <v>0</v>
      </c>
      <c r="EQ48" s="1155">
        <f t="shared" si="156"/>
        <v>0</v>
      </c>
      <c r="ER48" s="1155">
        <f t="shared" si="156"/>
        <v>0</v>
      </c>
      <c r="ES48" s="1155">
        <f t="shared" si="156"/>
        <v>0</v>
      </c>
      <c r="ET48" s="1155">
        <f t="shared" si="156"/>
        <v>0</v>
      </c>
      <c r="EU48" s="1155">
        <f t="shared" si="156"/>
        <v>0</v>
      </c>
      <c r="EV48" s="1155">
        <f t="shared" si="156"/>
        <v>0</v>
      </c>
      <c r="EW48" s="1155">
        <f t="shared" si="156"/>
        <v>0</v>
      </c>
      <c r="EX48" s="1155">
        <f t="shared" si="156"/>
        <v>0</v>
      </c>
      <c r="EY48" s="1175">
        <f>SUM(DP48:EX48)</f>
        <v>9305.0022940495746</v>
      </c>
      <c r="EZ48" s="1256"/>
      <c r="FA48" s="1155">
        <f t="shared" si="158"/>
        <v>0</v>
      </c>
      <c r="FB48" s="1155">
        <f t="shared" si="158"/>
        <v>0</v>
      </c>
      <c r="FC48" s="1155">
        <f t="shared" si="158"/>
        <v>0</v>
      </c>
      <c r="FD48" s="1155">
        <f t="shared" si="158"/>
        <v>0</v>
      </c>
      <c r="FE48" s="1155">
        <f t="shared" si="158"/>
        <v>0</v>
      </c>
      <c r="FF48" s="1155">
        <f t="shared" si="158"/>
        <v>0</v>
      </c>
      <c r="FG48" s="1155">
        <f t="shared" si="158"/>
        <v>0</v>
      </c>
      <c r="FH48" s="1155">
        <f t="shared" si="158"/>
        <v>0</v>
      </c>
      <c r="FI48" s="1155">
        <f t="shared" si="158"/>
        <v>0</v>
      </c>
      <c r="FJ48" s="1155">
        <f t="shared" si="158"/>
        <v>0</v>
      </c>
      <c r="FK48" s="1155">
        <f t="shared" si="159"/>
        <v>0</v>
      </c>
      <c r="FL48" s="1155">
        <f t="shared" si="159"/>
        <v>0</v>
      </c>
      <c r="FM48" s="1155">
        <f t="shared" si="159"/>
        <v>0</v>
      </c>
      <c r="FN48" s="1155">
        <f t="shared" si="159"/>
        <v>0</v>
      </c>
      <c r="FO48" s="1155">
        <f t="shared" si="159"/>
        <v>0</v>
      </c>
      <c r="FP48" s="1155">
        <f t="shared" si="159"/>
        <v>0</v>
      </c>
      <c r="FQ48" s="1155">
        <f t="shared" si="159"/>
        <v>0</v>
      </c>
      <c r="FR48" s="1155">
        <f t="shared" si="159"/>
        <v>0</v>
      </c>
      <c r="FS48" s="1155">
        <f t="shared" si="159"/>
        <v>0</v>
      </c>
      <c r="FT48" s="1155">
        <f t="shared" si="159"/>
        <v>0</v>
      </c>
      <c r="FU48" s="1155">
        <f t="shared" si="160"/>
        <v>0</v>
      </c>
      <c r="FV48" s="1155">
        <f t="shared" si="160"/>
        <v>0</v>
      </c>
      <c r="FW48" s="1155">
        <f t="shared" si="160"/>
        <v>0</v>
      </c>
      <c r="FX48" s="1155">
        <f t="shared" si="160"/>
        <v>0</v>
      </c>
      <c r="FY48" s="1155">
        <f t="shared" si="160"/>
        <v>0</v>
      </c>
      <c r="FZ48" s="1155">
        <f t="shared" si="160"/>
        <v>0</v>
      </c>
      <c r="GA48" s="1155">
        <f t="shared" si="160"/>
        <v>0</v>
      </c>
      <c r="GB48" s="1155">
        <f t="shared" si="160"/>
        <v>0</v>
      </c>
      <c r="GC48" s="1155">
        <f t="shared" si="160"/>
        <v>0</v>
      </c>
      <c r="GD48" s="1155">
        <f t="shared" si="160"/>
        <v>0</v>
      </c>
      <c r="GE48" s="1155">
        <f t="shared" si="161"/>
        <v>0</v>
      </c>
      <c r="GF48" s="1155">
        <f t="shared" si="161"/>
        <v>0</v>
      </c>
      <c r="GG48" s="1155">
        <f t="shared" si="161"/>
        <v>0</v>
      </c>
      <c r="GH48" s="1155">
        <f t="shared" si="161"/>
        <v>0</v>
      </c>
      <c r="GI48" s="1155">
        <f t="shared" si="161"/>
        <v>0</v>
      </c>
      <c r="GJ48" s="1175">
        <f>SUM(FA48:GI48)</f>
        <v>0</v>
      </c>
    </row>
    <row r="49" spans="1:192" s="1101" customFormat="1">
      <c r="B49" s="1259" t="str">
        <f>IF(Prop2021DUOSTariffs!B49="","",Prop2021DUOSTariffs!B49)</f>
        <v/>
      </c>
      <c r="C49" s="1259" t="str">
        <f>IF(Prop2021DUOSTariffs!C49="","",Prop2021DUOSTariffs!C49)</f>
        <v>MtIsa SAC&gt;100MWhpa Large Business Energy</v>
      </c>
      <c r="D49" s="1259" t="str">
        <f>IF(Prop2021DUOSTariffs!D49="","",Prop2021DUOSTariffs!D49)</f>
        <v>MtIsa SAC&gt;100MWhpa DemandSmall</v>
      </c>
      <c r="E49" s="1259" t="str">
        <f>IF(Prop2021DUOSTariffs!E49="","",Prop2021DUOSTariffs!E49)</f>
        <v>SAC</v>
      </c>
      <c r="F49" s="1259" t="str">
        <f>IF(Prop2021DUOSTariffs!F49="","",Prop2021DUOSTariffs!F49)</f>
        <v>SACL</v>
      </c>
      <c r="G49" s="1259" t="str">
        <f>IF(Prop2021DUOSTariffs!G49="","",Prop2021DUOSTariffs!G49)</f>
        <v>Mt Isa</v>
      </c>
      <c r="H49" s="1259" t="str">
        <f>IF(Prop2021DUOSTariffs!H49="","",Prop2021DUOSTariffs!H49)</f>
        <v>MBEST</v>
      </c>
      <c r="I49" s="1259" t="s">
        <v>935</v>
      </c>
      <c r="J49" s="1256"/>
      <c r="K49" s="1233">
        <v>0.50710714478107033</v>
      </c>
      <c r="L49" s="1135"/>
      <c r="M49" s="1135"/>
      <c r="N49" s="1135"/>
      <c r="O49" s="1135"/>
      <c r="P49" s="1135"/>
      <c r="Q49" s="1135"/>
      <c r="R49" s="1135"/>
      <c r="S49" s="1135"/>
      <c r="T49" s="1135"/>
      <c r="U49" s="1135"/>
      <c r="V49" s="1135"/>
      <c r="W49" s="1135"/>
      <c r="X49" s="1135"/>
      <c r="Y49" s="1135"/>
      <c r="Z49" s="1135"/>
      <c r="AA49" s="1135"/>
      <c r="AB49" s="1135"/>
      <c r="AC49" s="1135"/>
      <c r="AD49" s="1135"/>
      <c r="AE49" s="1135"/>
      <c r="AF49" s="1005"/>
      <c r="AG49" s="1005"/>
      <c r="AH49" s="1224">
        <v>6.0979236673115429E-4</v>
      </c>
      <c r="AI49" s="1241"/>
      <c r="AJ49" s="1241"/>
      <c r="AK49" s="1241"/>
      <c r="AL49" s="1241"/>
      <c r="AM49" s="1241"/>
      <c r="AN49" s="1241"/>
      <c r="AO49" s="1241"/>
      <c r="AP49" s="1241"/>
      <c r="AQ49" s="1241"/>
      <c r="AR49" s="1241"/>
      <c r="AS49" s="1241"/>
      <c r="AT49" s="1256"/>
      <c r="AU49" s="1241"/>
      <c r="AV49" s="1241"/>
      <c r="AW49" s="1241"/>
      <c r="AX49" s="1241"/>
      <c r="AY49" s="1241"/>
      <c r="AZ49" s="1241"/>
      <c r="BA49" s="1241"/>
      <c r="BB49" s="1241"/>
      <c r="BC49" s="1241"/>
      <c r="BD49" s="1241"/>
      <c r="BE49" s="1241"/>
      <c r="BF49" s="1241"/>
      <c r="BG49" s="1241"/>
      <c r="BH49" s="1241"/>
      <c r="BI49" s="1241"/>
      <c r="BJ49" s="1241"/>
      <c r="BK49" s="1241"/>
      <c r="BL49" s="1241"/>
      <c r="BM49" s="1241"/>
      <c r="BN49" s="1241"/>
      <c r="BO49" s="1241"/>
      <c r="BP49" s="1241"/>
      <c r="BQ49" s="1241"/>
      <c r="BR49" s="1241"/>
      <c r="BS49" s="1241"/>
      <c r="BT49" s="1241"/>
      <c r="BU49" s="1241"/>
      <c r="BV49" s="1241"/>
      <c r="BW49" s="1241"/>
      <c r="BX49" s="1241"/>
      <c r="BY49" s="1241"/>
      <c r="BZ49" s="1241"/>
      <c r="CA49" s="1241"/>
      <c r="CB49" s="1241"/>
      <c r="CC49" s="1241"/>
      <c r="CD49" s="1256"/>
      <c r="CE49" s="1256"/>
      <c r="CF49" s="1265">
        <v>10</v>
      </c>
      <c r="CG49" s="1030"/>
      <c r="CH49" s="1030"/>
      <c r="CI49" s="1030"/>
      <c r="CJ49" s="1030"/>
      <c r="CK49" s="1030"/>
      <c r="CL49" s="1135"/>
      <c r="CM49" s="1135"/>
      <c r="CN49" s="1135"/>
      <c r="CO49" s="1135"/>
      <c r="CP49" s="1135"/>
      <c r="CQ49" s="1135"/>
      <c r="CR49" s="1135"/>
      <c r="CS49" s="1135"/>
      <c r="CT49" s="1135"/>
      <c r="CU49" s="1135"/>
      <c r="CV49" s="1135"/>
      <c r="CW49" s="1135"/>
      <c r="CX49" s="1135"/>
      <c r="CY49" s="1135"/>
      <c r="CZ49" s="1135"/>
      <c r="DA49" s="1008"/>
      <c r="DB49" s="1008"/>
      <c r="DC49" s="1265">
        <v>1493227.9443396227</v>
      </c>
      <c r="DD49" s="1008"/>
      <c r="DE49" s="1008"/>
      <c r="DF49" s="1008"/>
      <c r="DG49" s="1008"/>
      <c r="DH49" s="1008"/>
      <c r="DI49" s="1008"/>
      <c r="DJ49" s="1008"/>
      <c r="DK49" s="1008"/>
      <c r="DL49" s="1008"/>
      <c r="DM49" s="1008"/>
      <c r="DN49" s="1008"/>
      <c r="DO49" s="1256"/>
      <c r="DP49" s="1155">
        <f t="shared" si="151"/>
        <v>1850.9410784509066</v>
      </c>
      <c r="DQ49" s="1155">
        <f t="shared" si="152"/>
        <v>0</v>
      </c>
      <c r="DR49" s="1155">
        <f t="shared" si="152"/>
        <v>0</v>
      </c>
      <c r="DS49" s="1155">
        <f t="shared" si="152"/>
        <v>0</v>
      </c>
      <c r="DT49" s="1155">
        <f t="shared" si="152"/>
        <v>0</v>
      </c>
      <c r="DU49" s="1155">
        <f t="shared" si="152"/>
        <v>0</v>
      </c>
      <c r="DV49" s="1155">
        <f t="shared" si="152"/>
        <v>0</v>
      </c>
      <c r="DW49" s="1155">
        <f t="shared" si="152"/>
        <v>0</v>
      </c>
      <c r="DX49" s="1155">
        <f t="shared" si="152"/>
        <v>0</v>
      </c>
      <c r="DY49" s="1155">
        <f t="shared" si="152"/>
        <v>0</v>
      </c>
      <c r="DZ49" s="1155">
        <f t="shared" si="152"/>
        <v>0</v>
      </c>
      <c r="EA49" s="1155">
        <f t="shared" si="153"/>
        <v>0</v>
      </c>
      <c r="EB49" s="1155">
        <f t="shared" si="153"/>
        <v>0</v>
      </c>
      <c r="EC49" s="1155">
        <f t="shared" si="153"/>
        <v>0</v>
      </c>
      <c r="ED49" s="1155">
        <f t="shared" si="153"/>
        <v>0</v>
      </c>
      <c r="EE49" s="1155">
        <f t="shared" si="153"/>
        <v>0</v>
      </c>
      <c r="EF49" s="1155">
        <f t="shared" si="153"/>
        <v>0</v>
      </c>
      <c r="EG49" s="1155">
        <f t="shared" si="153"/>
        <v>0</v>
      </c>
      <c r="EH49" s="1155">
        <f t="shared" si="153"/>
        <v>0</v>
      </c>
      <c r="EI49" s="1155">
        <f t="shared" si="153"/>
        <v>0</v>
      </c>
      <c r="EJ49" s="1155">
        <f t="shared" si="153"/>
        <v>0</v>
      </c>
      <c r="EK49" s="1155">
        <f t="shared" si="154"/>
        <v>0</v>
      </c>
      <c r="EL49" s="1155">
        <f t="shared" si="154"/>
        <v>0</v>
      </c>
      <c r="EM49" s="1155">
        <f t="shared" si="155"/>
        <v>910.55900224795494</v>
      </c>
      <c r="EN49" s="1155">
        <f t="shared" si="156"/>
        <v>0</v>
      </c>
      <c r="EO49" s="1155">
        <f t="shared" si="156"/>
        <v>0</v>
      </c>
      <c r="EP49" s="1155">
        <f t="shared" si="156"/>
        <v>0</v>
      </c>
      <c r="EQ49" s="1155">
        <f t="shared" si="156"/>
        <v>0</v>
      </c>
      <c r="ER49" s="1155">
        <f t="shared" si="156"/>
        <v>0</v>
      </c>
      <c r="ES49" s="1155">
        <f t="shared" si="156"/>
        <v>0</v>
      </c>
      <c r="ET49" s="1155">
        <f t="shared" si="156"/>
        <v>0</v>
      </c>
      <c r="EU49" s="1155">
        <f t="shared" si="156"/>
        <v>0</v>
      </c>
      <c r="EV49" s="1155">
        <f t="shared" si="156"/>
        <v>0</v>
      </c>
      <c r="EW49" s="1155">
        <f t="shared" si="156"/>
        <v>0</v>
      </c>
      <c r="EX49" s="1155">
        <f t="shared" si="156"/>
        <v>0</v>
      </c>
      <c r="EY49" s="1175">
        <f>SUM(DP49:EX49)</f>
        <v>2761.5000806988614</v>
      </c>
      <c r="EZ49" s="1256"/>
      <c r="FA49" s="1155">
        <f t="shared" si="158"/>
        <v>0</v>
      </c>
      <c r="FB49" s="1155">
        <f t="shared" si="158"/>
        <v>0</v>
      </c>
      <c r="FC49" s="1155">
        <f t="shared" si="158"/>
        <v>0</v>
      </c>
      <c r="FD49" s="1155">
        <f t="shared" si="158"/>
        <v>0</v>
      </c>
      <c r="FE49" s="1155">
        <f t="shared" si="158"/>
        <v>0</v>
      </c>
      <c r="FF49" s="1155">
        <f t="shared" si="158"/>
        <v>0</v>
      </c>
      <c r="FG49" s="1155">
        <f t="shared" si="158"/>
        <v>0</v>
      </c>
      <c r="FH49" s="1155">
        <f t="shared" si="158"/>
        <v>0</v>
      </c>
      <c r="FI49" s="1155">
        <f t="shared" si="158"/>
        <v>0</v>
      </c>
      <c r="FJ49" s="1155">
        <f t="shared" si="158"/>
        <v>0</v>
      </c>
      <c r="FK49" s="1155">
        <f t="shared" si="159"/>
        <v>0</v>
      </c>
      <c r="FL49" s="1155">
        <f t="shared" si="159"/>
        <v>0</v>
      </c>
      <c r="FM49" s="1155">
        <f t="shared" si="159"/>
        <v>0</v>
      </c>
      <c r="FN49" s="1155">
        <f t="shared" si="159"/>
        <v>0</v>
      </c>
      <c r="FO49" s="1155">
        <f t="shared" si="159"/>
        <v>0</v>
      </c>
      <c r="FP49" s="1155">
        <f t="shared" si="159"/>
        <v>0</v>
      </c>
      <c r="FQ49" s="1155">
        <f t="shared" si="159"/>
        <v>0</v>
      </c>
      <c r="FR49" s="1155">
        <f t="shared" si="159"/>
        <v>0</v>
      </c>
      <c r="FS49" s="1155">
        <f t="shared" si="159"/>
        <v>0</v>
      </c>
      <c r="FT49" s="1155">
        <f t="shared" si="159"/>
        <v>0</v>
      </c>
      <c r="FU49" s="1155">
        <f t="shared" si="160"/>
        <v>0</v>
      </c>
      <c r="FV49" s="1155">
        <f t="shared" si="160"/>
        <v>0</v>
      </c>
      <c r="FW49" s="1155">
        <f t="shared" si="160"/>
        <v>0</v>
      </c>
      <c r="FX49" s="1155">
        <f t="shared" si="160"/>
        <v>0</v>
      </c>
      <c r="FY49" s="1155">
        <f t="shared" si="160"/>
        <v>0</v>
      </c>
      <c r="FZ49" s="1155">
        <f t="shared" si="160"/>
        <v>0</v>
      </c>
      <c r="GA49" s="1155">
        <f t="shared" si="160"/>
        <v>0</v>
      </c>
      <c r="GB49" s="1155">
        <f t="shared" si="160"/>
        <v>0</v>
      </c>
      <c r="GC49" s="1155">
        <f t="shared" si="160"/>
        <v>0</v>
      </c>
      <c r="GD49" s="1155">
        <f t="shared" si="160"/>
        <v>0</v>
      </c>
      <c r="GE49" s="1155">
        <f t="shared" si="161"/>
        <v>0</v>
      </c>
      <c r="GF49" s="1155">
        <f t="shared" si="161"/>
        <v>0</v>
      </c>
      <c r="GG49" s="1155">
        <f t="shared" si="161"/>
        <v>0</v>
      </c>
      <c r="GH49" s="1155">
        <f t="shared" si="161"/>
        <v>0</v>
      </c>
      <c r="GI49" s="1155">
        <f t="shared" si="161"/>
        <v>0</v>
      </c>
      <c r="GJ49" s="1175">
        <f>SUM(FA49:GI49)</f>
        <v>0</v>
      </c>
    </row>
    <row r="50" spans="1:192" s="1101" customFormat="1">
      <c r="B50" s="1259" t="str">
        <f>IF(Prop2021DUOSTariffs!B50="","",Prop2021DUOSTariffs!B50)</f>
        <v/>
      </c>
      <c r="C50" s="1259" t="str">
        <f>IF(Prop2021DUOSTariffs!C50="","",Prop2021DUOSTariffs!C50)</f>
        <v>East SAC&gt;100MWhpa Large Residential Energy</v>
      </c>
      <c r="D50" s="1259" t="str">
        <f>IF(Prop2021DUOSTariffs!D50="","",Prop2021DUOSTariffs!D50)</f>
        <v>East SAC&gt;100MWhpa DemandSmall</v>
      </c>
      <c r="E50" s="1259" t="str">
        <f>IF(Prop2021DUOSTariffs!E50="","",Prop2021DUOSTariffs!E50)</f>
        <v>SAC</v>
      </c>
      <c r="F50" s="1259" t="str">
        <f>IF(Prop2021DUOSTariffs!F50="","",Prop2021DUOSTariffs!F50)</f>
        <v>SACL</v>
      </c>
      <c r="G50" s="1259" t="str">
        <f>IF(Prop2021DUOSTariffs!G50="","",Prop2021DUOSTariffs!G50)</f>
        <v>East</v>
      </c>
      <c r="H50" s="1259" t="str">
        <f>IF(Prop2021DUOSTariffs!H50="","",Prop2021DUOSTariffs!H50)</f>
        <v>EREST</v>
      </c>
      <c r="I50" s="1259" t="s">
        <v>935</v>
      </c>
      <c r="J50" s="1256"/>
      <c r="K50" s="1233">
        <v>0.50710714478107033</v>
      </c>
      <c r="L50" s="1135"/>
      <c r="M50" s="1135"/>
      <c r="N50" s="1135"/>
      <c r="O50" s="1135"/>
      <c r="P50" s="1135"/>
      <c r="Q50" s="1135"/>
      <c r="R50" s="1135"/>
      <c r="S50" s="1135"/>
      <c r="T50" s="1135"/>
      <c r="U50" s="1135"/>
      <c r="V50" s="1135"/>
      <c r="W50" s="1135"/>
      <c r="X50" s="1135"/>
      <c r="Y50" s="1135"/>
      <c r="Z50" s="1135"/>
      <c r="AA50" s="1135"/>
      <c r="AB50" s="1135"/>
      <c r="AC50" s="1135"/>
      <c r="AD50" s="1135"/>
      <c r="AE50" s="1135"/>
      <c r="AF50" s="1005"/>
      <c r="AG50" s="1005"/>
      <c r="AH50" s="1224">
        <v>6.0979236673115429E-4</v>
      </c>
      <c r="AI50" s="1241"/>
      <c r="AJ50" s="1241"/>
      <c r="AK50" s="1241"/>
      <c r="AL50" s="1241"/>
      <c r="AM50" s="1241"/>
      <c r="AN50" s="1241"/>
      <c r="AO50" s="1241"/>
      <c r="AP50" s="1241"/>
      <c r="AQ50" s="1241"/>
      <c r="AR50" s="1241"/>
      <c r="AS50" s="1241"/>
      <c r="AT50" s="1256"/>
      <c r="AU50" s="1241"/>
      <c r="AV50" s="1241"/>
      <c r="AW50" s="1241"/>
      <c r="AX50" s="1241"/>
      <c r="AY50" s="1241"/>
      <c r="AZ50" s="1241"/>
      <c r="BA50" s="1241"/>
      <c r="BB50" s="1241"/>
      <c r="BC50" s="1241"/>
      <c r="BD50" s="1241"/>
      <c r="BE50" s="1241"/>
      <c r="BF50" s="1241"/>
      <c r="BG50" s="1241"/>
      <c r="BH50" s="1241"/>
      <c r="BI50" s="1241"/>
      <c r="BJ50" s="1241"/>
      <c r="BK50" s="1241"/>
      <c r="BL50" s="1241"/>
      <c r="BM50" s="1241"/>
      <c r="BN50" s="1241"/>
      <c r="BO50" s="1241"/>
      <c r="BP50" s="1241"/>
      <c r="BQ50" s="1241"/>
      <c r="BR50" s="1241"/>
      <c r="BS50" s="1241"/>
      <c r="BT50" s="1241"/>
      <c r="BU50" s="1241"/>
      <c r="BV50" s="1241"/>
      <c r="BW50" s="1241"/>
      <c r="BX50" s="1241"/>
      <c r="BY50" s="1241"/>
      <c r="BZ50" s="1241"/>
      <c r="CA50" s="1241"/>
      <c r="CB50" s="1241"/>
      <c r="CC50" s="1241"/>
      <c r="CD50" s="1256"/>
      <c r="CE50" s="1256"/>
      <c r="CF50" s="1265">
        <v>0</v>
      </c>
      <c r="CG50" s="1030"/>
      <c r="CH50" s="1030"/>
      <c r="CI50" s="1030"/>
      <c r="CJ50" s="1030"/>
      <c r="CK50" s="1030"/>
      <c r="CL50" s="1135"/>
      <c r="CM50" s="1135"/>
      <c r="CN50" s="1135"/>
      <c r="CO50" s="1135"/>
      <c r="CP50" s="1135"/>
      <c r="CQ50" s="1135"/>
      <c r="CR50" s="1135"/>
      <c r="CS50" s="1135"/>
      <c r="CT50" s="1135"/>
      <c r="CU50" s="1135"/>
      <c r="CV50" s="1135"/>
      <c r="CW50" s="1135"/>
      <c r="CX50" s="1135"/>
      <c r="CY50" s="1135"/>
      <c r="CZ50" s="1135"/>
      <c r="DA50" s="1008"/>
      <c r="DB50" s="1008"/>
      <c r="DC50" s="1265">
        <v>0</v>
      </c>
      <c r="DD50" s="1008"/>
      <c r="DE50" s="1008"/>
      <c r="DF50" s="1008"/>
      <c r="DG50" s="1008"/>
      <c r="DH50" s="1008"/>
      <c r="DI50" s="1008"/>
      <c r="DJ50" s="1008"/>
      <c r="DK50" s="1008"/>
      <c r="DL50" s="1008"/>
      <c r="DM50" s="1008"/>
      <c r="DN50" s="1008"/>
      <c r="DO50" s="1256"/>
      <c r="DP50" s="1155">
        <f t="shared" si="151"/>
        <v>0</v>
      </c>
      <c r="DQ50" s="1155">
        <f t="shared" si="152"/>
        <v>0</v>
      </c>
      <c r="DR50" s="1155">
        <f t="shared" si="152"/>
        <v>0</v>
      </c>
      <c r="DS50" s="1155">
        <f t="shared" si="152"/>
        <v>0</v>
      </c>
      <c r="DT50" s="1155">
        <f t="shared" si="152"/>
        <v>0</v>
      </c>
      <c r="DU50" s="1155">
        <f t="shared" si="152"/>
        <v>0</v>
      </c>
      <c r="DV50" s="1155">
        <f t="shared" si="152"/>
        <v>0</v>
      </c>
      <c r="DW50" s="1155">
        <f t="shared" si="152"/>
        <v>0</v>
      </c>
      <c r="DX50" s="1155">
        <f t="shared" si="152"/>
        <v>0</v>
      </c>
      <c r="DY50" s="1155">
        <f t="shared" si="152"/>
        <v>0</v>
      </c>
      <c r="DZ50" s="1155">
        <f t="shared" si="152"/>
        <v>0</v>
      </c>
      <c r="EA50" s="1155">
        <f t="shared" si="153"/>
        <v>0</v>
      </c>
      <c r="EB50" s="1155">
        <f t="shared" si="153"/>
        <v>0</v>
      </c>
      <c r="EC50" s="1155">
        <f t="shared" si="153"/>
        <v>0</v>
      </c>
      <c r="ED50" s="1155">
        <f t="shared" si="153"/>
        <v>0</v>
      </c>
      <c r="EE50" s="1155">
        <f t="shared" si="153"/>
        <v>0</v>
      </c>
      <c r="EF50" s="1155">
        <f t="shared" si="153"/>
        <v>0</v>
      </c>
      <c r="EG50" s="1155">
        <f t="shared" si="153"/>
        <v>0</v>
      </c>
      <c r="EH50" s="1155">
        <f t="shared" si="153"/>
        <v>0</v>
      </c>
      <c r="EI50" s="1155">
        <f t="shared" si="153"/>
        <v>0</v>
      </c>
      <c r="EJ50" s="1155">
        <f t="shared" si="153"/>
        <v>0</v>
      </c>
      <c r="EK50" s="1155">
        <f t="shared" si="154"/>
        <v>0</v>
      </c>
      <c r="EL50" s="1155">
        <f t="shared" si="154"/>
        <v>0</v>
      </c>
      <c r="EM50" s="1155">
        <f t="shared" si="155"/>
        <v>0</v>
      </c>
      <c r="EN50" s="1155">
        <f t="shared" si="156"/>
        <v>0</v>
      </c>
      <c r="EO50" s="1155">
        <f t="shared" si="156"/>
        <v>0</v>
      </c>
      <c r="EP50" s="1155">
        <f t="shared" si="156"/>
        <v>0</v>
      </c>
      <c r="EQ50" s="1155">
        <f t="shared" si="156"/>
        <v>0</v>
      </c>
      <c r="ER50" s="1155">
        <f t="shared" si="156"/>
        <v>0</v>
      </c>
      <c r="ES50" s="1155">
        <f t="shared" si="156"/>
        <v>0</v>
      </c>
      <c r="ET50" s="1155">
        <f t="shared" si="156"/>
        <v>0</v>
      </c>
      <c r="EU50" s="1155">
        <f t="shared" si="156"/>
        <v>0</v>
      </c>
      <c r="EV50" s="1155">
        <f t="shared" si="156"/>
        <v>0</v>
      </c>
      <c r="EW50" s="1155">
        <f t="shared" si="156"/>
        <v>0</v>
      </c>
      <c r="EX50" s="1155">
        <f t="shared" si="156"/>
        <v>0</v>
      </c>
      <c r="EY50" s="1175">
        <f t="shared" si="157"/>
        <v>0</v>
      </c>
      <c r="EZ50" s="1256"/>
      <c r="FA50" s="1155">
        <f t="shared" si="158"/>
        <v>0</v>
      </c>
      <c r="FB50" s="1155">
        <f t="shared" si="158"/>
        <v>0</v>
      </c>
      <c r="FC50" s="1155">
        <f t="shared" si="158"/>
        <v>0</v>
      </c>
      <c r="FD50" s="1155">
        <f t="shared" si="158"/>
        <v>0</v>
      </c>
      <c r="FE50" s="1155">
        <f t="shared" si="158"/>
        <v>0</v>
      </c>
      <c r="FF50" s="1155">
        <f t="shared" si="158"/>
        <v>0</v>
      </c>
      <c r="FG50" s="1155">
        <f t="shared" si="158"/>
        <v>0</v>
      </c>
      <c r="FH50" s="1155">
        <f t="shared" si="158"/>
        <v>0</v>
      </c>
      <c r="FI50" s="1155">
        <f t="shared" si="158"/>
        <v>0</v>
      </c>
      <c r="FJ50" s="1155">
        <f t="shared" si="158"/>
        <v>0</v>
      </c>
      <c r="FK50" s="1155">
        <f t="shared" si="159"/>
        <v>0</v>
      </c>
      <c r="FL50" s="1155">
        <f t="shared" si="159"/>
        <v>0</v>
      </c>
      <c r="FM50" s="1155">
        <f t="shared" si="159"/>
        <v>0</v>
      </c>
      <c r="FN50" s="1155">
        <f t="shared" si="159"/>
        <v>0</v>
      </c>
      <c r="FO50" s="1155">
        <f t="shared" si="159"/>
        <v>0</v>
      </c>
      <c r="FP50" s="1155">
        <f t="shared" si="159"/>
        <v>0</v>
      </c>
      <c r="FQ50" s="1155">
        <f t="shared" si="159"/>
        <v>0</v>
      </c>
      <c r="FR50" s="1155">
        <f t="shared" si="159"/>
        <v>0</v>
      </c>
      <c r="FS50" s="1155">
        <f t="shared" si="159"/>
        <v>0</v>
      </c>
      <c r="FT50" s="1155">
        <f t="shared" si="159"/>
        <v>0</v>
      </c>
      <c r="FU50" s="1155">
        <f t="shared" si="160"/>
        <v>0</v>
      </c>
      <c r="FV50" s="1155">
        <f t="shared" si="160"/>
        <v>0</v>
      </c>
      <c r="FW50" s="1155">
        <f t="shared" si="160"/>
        <v>0</v>
      </c>
      <c r="FX50" s="1155">
        <f t="shared" si="160"/>
        <v>0</v>
      </c>
      <c r="FY50" s="1155">
        <f t="shared" si="160"/>
        <v>0</v>
      </c>
      <c r="FZ50" s="1155">
        <f t="shared" si="160"/>
        <v>0</v>
      </c>
      <c r="GA50" s="1155">
        <f t="shared" si="160"/>
        <v>0</v>
      </c>
      <c r="GB50" s="1155">
        <f t="shared" si="160"/>
        <v>0</v>
      </c>
      <c r="GC50" s="1155">
        <f t="shared" si="160"/>
        <v>0</v>
      </c>
      <c r="GD50" s="1155">
        <f t="shared" si="160"/>
        <v>0</v>
      </c>
      <c r="GE50" s="1155">
        <f t="shared" si="161"/>
        <v>0</v>
      </c>
      <c r="GF50" s="1155">
        <f t="shared" si="161"/>
        <v>0</v>
      </c>
      <c r="GG50" s="1155">
        <f t="shared" si="161"/>
        <v>0</v>
      </c>
      <c r="GH50" s="1155">
        <f t="shared" si="161"/>
        <v>0</v>
      </c>
      <c r="GI50" s="1155">
        <f t="shared" si="161"/>
        <v>0</v>
      </c>
      <c r="GJ50" s="1175">
        <f t="shared" si="162"/>
        <v>0</v>
      </c>
    </row>
    <row r="51" spans="1:192" s="1101" customFormat="1">
      <c r="B51" s="1259" t="str">
        <f>IF(Prop2021DUOSTariffs!B51="","",Prop2021DUOSTariffs!B51)</f>
        <v/>
      </c>
      <c r="C51" s="1259" t="str">
        <f>IF(Prop2021DUOSTariffs!C51="","",Prop2021DUOSTariffs!C51)</f>
        <v>West SAC&gt;100MWhpa Large Residential Energy</v>
      </c>
      <c r="D51" s="1259" t="str">
        <f>IF(Prop2021DUOSTariffs!D51="","",Prop2021DUOSTariffs!D51)</f>
        <v>West SAC&gt;100MWhpa DemandSmall</v>
      </c>
      <c r="E51" s="1259" t="str">
        <f>IF(Prop2021DUOSTariffs!E51="","",Prop2021DUOSTariffs!E51)</f>
        <v>SAC</v>
      </c>
      <c r="F51" s="1259" t="str">
        <f>IF(Prop2021DUOSTariffs!F51="","",Prop2021DUOSTariffs!F51)</f>
        <v>SACL</v>
      </c>
      <c r="G51" s="1259" t="str">
        <f>IF(Prop2021DUOSTariffs!G51="","",Prop2021DUOSTariffs!G51)</f>
        <v>West</v>
      </c>
      <c r="H51" s="1259" t="str">
        <f>IF(Prop2021DUOSTariffs!H51="","",Prop2021DUOSTariffs!H51)</f>
        <v>WREST</v>
      </c>
      <c r="I51" s="1259" t="s">
        <v>935</v>
      </c>
      <c r="J51" s="1256"/>
      <c r="K51" s="1233">
        <v>0.50710714478107033</v>
      </c>
      <c r="L51" s="1135"/>
      <c r="M51" s="1135"/>
      <c r="N51" s="1135"/>
      <c r="O51" s="1135"/>
      <c r="P51" s="1135"/>
      <c r="Q51" s="1135"/>
      <c r="R51" s="1135"/>
      <c r="S51" s="1135"/>
      <c r="T51" s="1135"/>
      <c r="U51" s="1135"/>
      <c r="V51" s="1135"/>
      <c r="W51" s="1135"/>
      <c r="X51" s="1135"/>
      <c r="Y51" s="1135"/>
      <c r="Z51" s="1135"/>
      <c r="AA51" s="1135"/>
      <c r="AB51" s="1135"/>
      <c r="AC51" s="1135"/>
      <c r="AD51" s="1135"/>
      <c r="AE51" s="1135"/>
      <c r="AF51" s="1005"/>
      <c r="AG51" s="1005"/>
      <c r="AH51" s="1224">
        <v>6.0979236673115429E-4</v>
      </c>
      <c r="AI51" s="1241"/>
      <c r="AJ51" s="1241"/>
      <c r="AK51" s="1241"/>
      <c r="AL51" s="1241"/>
      <c r="AM51" s="1241"/>
      <c r="AN51" s="1241"/>
      <c r="AO51" s="1241"/>
      <c r="AP51" s="1241"/>
      <c r="AQ51" s="1241"/>
      <c r="AR51" s="1241"/>
      <c r="AS51" s="1241"/>
      <c r="AT51" s="1256"/>
      <c r="AU51" s="1241"/>
      <c r="AV51" s="1241"/>
      <c r="AW51" s="1241"/>
      <c r="AX51" s="1241"/>
      <c r="AY51" s="1241"/>
      <c r="AZ51" s="1241"/>
      <c r="BA51" s="1241"/>
      <c r="BB51" s="1241"/>
      <c r="BC51" s="1241"/>
      <c r="BD51" s="1241"/>
      <c r="BE51" s="1241"/>
      <c r="BF51" s="1241"/>
      <c r="BG51" s="1241"/>
      <c r="BH51" s="1241"/>
      <c r="BI51" s="1241"/>
      <c r="BJ51" s="1241"/>
      <c r="BK51" s="1241"/>
      <c r="BL51" s="1241"/>
      <c r="BM51" s="1241"/>
      <c r="BN51" s="1241"/>
      <c r="BO51" s="1241"/>
      <c r="BP51" s="1241"/>
      <c r="BQ51" s="1241"/>
      <c r="BR51" s="1241"/>
      <c r="BS51" s="1241"/>
      <c r="BT51" s="1241"/>
      <c r="BU51" s="1241"/>
      <c r="BV51" s="1241"/>
      <c r="BW51" s="1241"/>
      <c r="BX51" s="1241"/>
      <c r="BY51" s="1241"/>
      <c r="BZ51" s="1241"/>
      <c r="CA51" s="1241"/>
      <c r="CB51" s="1241"/>
      <c r="CC51" s="1241"/>
      <c r="CD51" s="1256"/>
      <c r="CE51" s="1256"/>
      <c r="CF51" s="1265">
        <v>0</v>
      </c>
      <c r="CG51" s="1030"/>
      <c r="CH51" s="1030"/>
      <c r="CI51" s="1030"/>
      <c r="CJ51" s="1030"/>
      <c r="CK51" s="1030"/>
      <c r="CL51" s="1135"/>
      <c r="CM51" s="1135"/>
      <c r="CN51" s="1135"/>
      <c r="CO51" s="1135"/>
      <c r="CP51" s="1135"/>
      <c r="CQ51" s="1135"/>
      <c r="CR51" s="1135"/>
      <c r="CS51" s="1135"/>
      <c r="CT51" s="1135"/>
      <c r="CU51" s="1135"/>
      <c r="CV51" s="1135"/>
      <c r="CW51" s="1135"/>
      <c r="CX51" s="1135"/>
      <c r="CY51" s="1135"/>
      <c r="CZ51" s="1135"/>
      <c r="DA51" s="1008"/>
      <c r="DB51" s="1008"/>
      <c r="DC51" s="1265">
        <v>0</v>
      </c>
      <c r="DD51" s="1008"/>
      <c r="DE51" s="1008"/>
      <c r="DF51" s="1008"/>
      <c r="DG51" s="1008"/>
      <c r="DH51" s="1008"/>
      <c r="DI51" s="1008"/>
      <c r="DJ51" s="1008"/>
      <c r="DK51" s="1008"/>
      <c r="DL51" s="1008"/>
      <c r="DM51" s="1008"/>
      <c r="DN51" s="1008"/>
      <c r="DO51" s="1256"/>
      <c r="DP51" s="1155">
        <f t="shared" si="151"/>
        <v>0</v>
      </c>
      <c r="DQ51" s="1155">
        <f t="shared" si="152"/>
        <v>0</v>
      </c>
      <c r="DR51" s="1155">
        <f t="shared" si="152"/>
        <v>0</v>
      </c>
      <c r="DS51" s="1155">
        <f t="shared" si="152"/>
        <v>0</v>
      </c>
      <c r="DT51" s="1155">
        <f t="shared" si="152"/>
        <v>0</v>
      </c>
      <c r="DU51" s="1155">
        <f t="shared" si="152"/>
        <v>0</v>
      </c>
      <c r="DV51" s="1155">
        <f t="shared" si="152"/>
        <v>0</v>
      </c>
      <c r="DW51" s="1155">
        <f t="shared" si="152"/>
        <v>0</v>
      </c>
      <c r="DX51" s="1155">
        <f t="shared" si="152"/>
        <v>0</v>
      </c>
      <c r="DY51" s="1155">
        <f t="shared" si="152"/>
        <v>0</v>
      </c>
      <c r="DZ51" s="1155">
        <f t="shared" si="152"/>
        <v>0</v>
      </c>
      <c r="EA51" s="1155">
        <f t="shared" si="153"/>
        <v>0</v>
      </c>
      <c r="EB51" s="1155">
        <f t="shared" si="153"/>
        <v>0</v>
      </c>
      <c r="EC51" s="1155">
        <f t="shared" si="153"/>
        <v>0</v>
      </c>
      <c r="ED51" s="1155">
        <f t="shared" si="153"/>
        <v>0</v>
      </c>
      <c r="EE51" s="1155">
        <f t="shared" si="153"/>
        <v>0</v>
      </c>
      <c r="EF51" s="1155">
        <f t="shared" si="153"/>
        <v>0</v>
      </c>
      <c r="EG51" s="1155">
        <f t="shared" si="153"/>
        <v>0</v>
      </c>
      <c r="EH51" s="1155">
        <f t="shared" si="153"/>
        <v>0</v>
      </c>
      <c r="EI51" s="1155">
        <f t="shared" si="153"/>
        <v>0</v>
      </c>
      <c r="EJ51" s="1155">
        <f t="shared" si="153"/>
        <v>0</v>
      </c>
      <c r="EK51" s="1155">
        <f t="shared" si="154"/>
        <v>0</v>
      </c>
      <c r="EL51" s="1155">
        <f t="shared" si="154"/>
        <v>0</v>
      </c>
      <c r="EM51" s="1155">
        <f t="shared" si="155"/>
        <v>0</v>
      </c>
      <c r="EN51" s="1155">
        <f t="shared" si="156"/>
        <v>0</v>
      </c>
      <c r="EO51" s="1155">
        <f t="shared" si="156"/>
        <v>0</v>
      </c>
      <c r="EP51" s="1155">
        <f t="shared" si="156"/>
        <v>0</v>
      </c>
      <c r="EQ51" s="1155">
        <f t="shared" si="156"/>
        <v>0</v>
      </c>
      <c r="ER51" s="1155">
        <f t="shared" si="156"/>
        <v>0</v>
      </c>
      <c r="ES51" s="1155">
        <f t="shared" si="156"/>
        <v>0</v>
      </c>
      <c r="ET51" s="1155">
        <f t="shared" si="156"/>
        <v>0</v>
      </c>
      <c r="EU51" s="1155">
        <f t="shared" si="156"/>
        <v>0</v>
      </c>
      <c r="EV51" s="1155">
        <f t="shared" si="156"/>
        <v>0</v>
      </c>
      <c r="EW51" s="1155">
        <f t="shared" si="156"/>
        <v>0</v>
      </c>
      <c r="EX51" s="1155">
        <f t="shared" si="156"/>
        <v>0</v>
      </c>
      <c r="EY51" s="1175">
        <f t="shared" si="157"/>
        <v>0</v>
      </c>
      <c r="EZ51" s="1256"/>
      <c r="FA51" s="1155">
        <f t="shared" si="158"/>
        <v>0</v>
      </c>
      <c r="FB51" s="1155">
        <f t="shared" si="158"/>
        <v>0</v>
      </c>
      <c r="FC51" s="1155">
        <f t="shared" si="158"/>
        <v>0</v>
      </c>
      <c r="FD51" s="1155">
        <f t="shared" si="158"/>
        <v>0</v>
      </c>
      <c r="FE51" s="1155">
        <f t="shared" si="158"/>
        <v>0</v>
      </c>
      <c r="FF51" s="1155">
        <f t="shared" si="158"/>
        <v>0</v>
      </c>
      <c r="FG51" s="1155">
        <f t="shared" si="158"/>
        <v>0</v>
      </c>
      <c r="FH51" s="1155">
        <f t="shared" si="158"/>
        <v>0</v>
      </c>
      <c r="FI51" s="1155">
        <f t="shared" si="158"/>
        <v>0</v>
      </c>
      <c r="FJ51" s="1155">
        <f t="shared" si="158"/>
        <v>0</v>
      </c>
      <c r="FK51" s="1155">
        <f t="shared" si="159"/>
        <v>0</v>
      </c>
      <c r="FL51" s="1155">
        <f t="shared" si="159"/>
        <v>0</v>
      </c>
      <c r="FM51" s="1155">
        <f t="shared" si="159"/>
        <v>0</v>
      </c>
      <c r="FN51" s="1155">
        <f t="shared" si="159"/>
        <v>0</v>
      </c>
      <c r="FO51" s="1155">
        <f t="shared" si="159"/>
        <v>0</v>
      </c>
      <c r="FP51" s="1155">
        <f t="shared" si="159"/>
        <v>0</v>
      </c>
      <c r="FQ51" s="1155">
        <f t="shared" si="159"/>
        <v>0</v>
      </c>
      <c r="FR51" s="1155">
        <f t="shared" si="159"/>
        <v>0</v>
      </c>
      <c r="FS51" s="1155">
        <f t="shared" si="159"/>
        <v>0</v>
      </c>
      <c r="FT51" s="1155">
        <f t="shared" si="159"/>
        <v>0</v>
      </c>
      <c r="FU51" s="1155">
        <f t="shared" si="160"/>
        <v>0</v>
      </c>
      <c r="FV51" s="1155">
        <f t="shared" si="160"/>
        <v>0</v>
      </c>
      <c r="FW51" s="1155">
        <f t="shared" si="160"/>
        <v>0</v>
      </c>
      <c r="FX51" s="1155">
        <f t="shared" si="160"/>
        <v>0</v>
      </c>
      <c r="FY51" s="1155">
        <f t="shared" si="160"/>
        <v>0</v>
      </c>
      <c r="FZ51" s="1155">
        <f t="shared" si="160"/>
        <v>0</v>
      </c>
      <c r="GA51" s="1155">
        <f t="shared" si="160"/>
        <v>0</v>
      </c>
      <c r="GB51" s="1155">
        <f t="shared" si="160"/>
        <v>0</v>
      </c>
      <c r="GC51" s="1155">
        <f t="shared" si="160"/>
        <v>0</v>
      </c>
      <c r="GD51" s="1155">
        <f t="shared" si="160"/>
        <v>0</v>
      </c>
      <c r="GE51" s="1155">
        <f t="shared" si="161"/>
        <v>0</v>
      </c>
      <c r="GF51" s="1155">
        <f t="shared" si="161"/>
        <v>0</v>
      </c>
      <c r="GG51" s="1155">
        <f t="shared" si="161"/>
        <v>0</v>
      </c>
      <c r="GH51" s="1155">
        <f t="shared" si="161"/>
        <v>0</v>
      </c>
      <c r="GI51" s="1155">
        <f t="shared" si="161"/>
        <v>0</v>
      </c>
      <c r="GJ51" s="1175">
        <f t="shared" si="162"/>
        <v>0</v>
      </c>
    </row>
    <row r="52" spans="1:192" s="1101" customFormat="1">
      <c r="B52" s="1259" t="str">
        <f>IF(Prop2021DUOSTariffs!B52="","",Prop2021DUOSTariffs!B52)</f>
        <v/>
      </c>
      <c r="C52" s="1259" t="str">
        <f>IF(Prop2021DUOSTariffs!C52="","",Prop2021DUOSTariffs!C52)</f>
        <v>MtIsa SAC&gt;100MWhpa Large Residential Energy</v>
      </c>
      <c r="D52" s="1259" t="str">
        <f>IF(Prop2021DUOSTariffs!D52="","",Prop2021DUOSTariffs!D52)</f>
        <v>MtIsa SAC&gt;100MWhpa DemandSmall</v>
      </c>
      <c r="E52" s="1259" t="str">
        <f>IF(Prop2021DUOSTariffs!E52="","",Prop2021DUOSTariffs!E52)</f>
        <v>SAC</v>
      </c>
      <c r="F52" s="1259" t="str">
        <f>IF(Prop2021DUOSTariffs!F52="","",Prop2021DUOSTariffs!F52)</f>
        <v>SACL</v>
      </c>
      <c r="G52" s="1259" t="str">
        <f>IF(Prop2021DUOSTariffs!G52="","",Prop2021DUOSTariffs!G52)</f>
        <v>Mt Isa</v>
      </c>
      <c r="H52" s="1259" t="str">
        <f>IF(Prop2021DUOSTariffs!H52="","",Prop2021DUOSTariffs!H52)</f>
        <v>MREST</v>
      </c>
      <c r="I52" s="1259" t="s">
        <v>935</v>
      </c>
      <c r="J52" s="1256"/>
      <c r="K52" s="1233">
        <v>0.50710714478107033</v>
      </c>
      <c r="L52" s="1135"/>
      <c r="M52" s="1135"/>
      <c r="N52" s="1135"/>
      <c r="O52" s="1135"/>
      <c r="P52" s="1135"/>
      <c r="Q52" s="1135"/>
      <c r="R52" s="1135"/>
      <c r="S52" s="1135"/>
      <c r="T52" s="1135"/>
      <c r="U52" s="1135"/>
      <c r="V52" s="1135"/>
      <c r="W52" s="1135"/>
      <c r="X52" s="1135"/>
      <c r="Y52" s="1135"/>
      <c r="Z52" s="1135"/>
      <c r="AA52" s="1135"/>
      <c r="AB52" s="1135"/>
      <c r="AC52" s="1135"/>
      <c r="AD52" s="1135"/>
      <c r="AE52" s="1135"/>
      <c r="AF52" s="1005"/>
      <c r="AG52" s="1005"/>
      <c r="AH52" s="1224">
        <v>6.0979236673115429E-4</v>
      </c>
      <c r="AI52" s="1241"/>
      <c r="AJ52" s="1241"/>
      <c r="AK52" s="1241"/>
      <c r="AL52" s="1241"/>
      <c r="AM52" s="1241"/>
      <c r="AN52" s="1241"/>
      <c r="AO52" s="1241"/>
      <c r="AP52" s="1241"/>
      <c r="AQ52" s="1241"/>
      <c r="AR52" s="1241"/>
      <c r="AS52" s="1241"/>
      <c r="AT52" s="1256"/>
      <c r="AU52" s="1241"/>
      <c r="AV52" s="1241"/>
      <c r="AW52" s="1241"/>
      <c r="AX52" s="1241"/>
      <c r="AY52" s="1241"/>
      <c r="AZ52" s="1241"/>
      <c r="BA52" s="1241"/>
      <c r="BB52" s="1241"/>
      <c r="BC52" s="1241"/>
      <c r="BD52" s="1241"/>
      <c r="BE52" s="1241"/>
      <c r="BF52" s="1241"/>
      <c r="BG52" s="1241"/>
      <c r="BH52" s="1241"/>
      <c r="BI52" s="1241"/>
      <c r="BJ52" s="1241"/>
      <c r="BK52" s="1241"/>
      <c r="BL52" s="1241"/>
      <c r="BM52" s="1241"/>
      <c r="BN52" s="1241"/>
      <c r="BO52" s="1241"/>
      <c r="BP52" s="1241"/>
      <c r="BQ52" s="1241"/>
      <c r="BR52" s="1241"/>
      <c r="BS52" s="1241"/>
      <c r="BT52" s="1241"/>
      <c r="BU52" s="1241"/>
      <c r="BV52" s="1241"/>
      <c r="BW52" s="1241"/>
      <c r="BX52" s="1241"/>
      <c r="BY52" s="1241"/>
      <c r="BZ52" s="1241"/>
      <c r="CA52" s="1241"/>
      <c r="CB52" s="1241"/>
      <c r="CC52" s="1241"/>
      <c r="CD52" s="1256"/>
      <c r="CE52" s="1256"/>
      <c r="CF52" s="1265">
        <v>0</v>
      </c>
      <c r="CG52" s="1030"/>
      <c r="CH52" s="1030"/>
      <c r="CI52" s="1030"/>
      <c r="CJ52" s="1030"/>
      <c r="CK52" s="1030"/>
      <c r="CL52" s="1135"/>
      <c r="CM52" s="1135"/>
      <c r="CN52" s="1135"/>
      <c r="CO52" s="1135"/>
      <c r="CP52" s="1135"/>
      <c r="CQ52" s="1135"/>
      <c r="CR52" s="1135"/>
      <c r="CS52" s="1135"/>
      <c r="CT52" s="1135"/>
      <c r="CU52" s="1135"/>
      <c r="CV52" s="1135"/>
      <c r="CW52" s="1135"/>
      <c r="CX52" s="1135"/>
      <c r="CY52" s="1135"/>
      <c r="CZ52" s="1135"/>
      <c r="DA52" s="1008"/>
      <c r="DB52" s="1008"/>
      <c r="DC52" s="1265">
        <v>0</v>
      </c>
      <c r="DD52" s="1008"/>
      <c r="DE52" s="1008"/>
      <c r="DF52" s="1008"/>
      <c r="DG52" s="1008"/>
      <c r="DH52" s="1008"/>
      <c r="DI52" s="1008"/>
      <c r="DJ52" s="1008"/>
      <c r="DK52" s="1008"/>
      <c r="DL52" s="1008"/>
      <c r="DM52" s="1008"/>
      <c r="DN52" s="1008"/>
      <c r="DO52" s="1256"/>
      <c r="DP52" s="1155">
        <f t="shared" si="151"/>
        <v>0</v>
      </c>
      <c r="DQ52" s="1155">
        <f t="shared" si="152"/>
        <v>0</v>
      </c>
      <c r="DR52" s="1155">
        <f t="shared" si="152"/>
        <v>0</v>
      </c>
      <c r="DS52" s="1155">
        <f t="shared" si="152"/>
        <v>0</v>
      </c>
      <c r="DT52" s="1155">
        <f t="shared" si="152"/>
        <v>0</v>
      </c>
      <c r="DU52" s="1155">
        <f t="shared" si="152"/>
        <v>0</v>
      </c>
      <c r="DV52" s="1155">
        <f t="shared" si="152"/>
        <v>0</v>
      </c>
      <c r="DW52" s="1155">
        <f t="shared" si="152"/>
        <v>0</v>
      </c>
      <c r="DX52" s="1155">
        <f t="shared" si="152"/>
        <v>0</v>
      </c>
      <c r="DY52" s="1155">
        <f t="shared" si="152"/>
        <v>0</v>
      </c>
      <c r="DZ52" s="1155">
        <f t="shared" si="152"/>
        <v>0</v>
      </c>
      <c r="EA52" s="1155">
        <f t="shared" si="153"/>
        <v>0</v>
      </c>
      <c r="EB52" s="1155">
        <f t="shared" si="153"/>
        <v>0</v>
      </c>
      <c r="EC52" s="1155">
        <f t="shared" si="153"/>
        <v>0</v>
      </c>
      <c r="ED52" s="1155">
        <f t="shared" si="153"/>
        <v>0</v>
      </c>
      <c r="EE52" s="1155">
        <f t="shared" si="153"/>
        <v>0</v>
      </c>
      <c r="EF52" s="1155">
        <f t="shared" si="153"/>
        <v>0</v>
      </c>
      <c r="EG52" s="1155">
        <f t="shared" si="153"/>
        <v>0</v>
      </c>
      <c r="EH52" s="1155">
        <f t="shared" si="153"/>
        <v>0</v>
      </c>
      <c r="EI52" s="1155">
        <f t="shared" si="153"/>
        <v>0</v>
      </c>
      <c r="EJ52" s="1155">
        <f t="shared" si="153"/>
        <v>0</v>
      </c>
      <c r="EK52" s="1155">
        <f t="shared" si="154"/>
        <v>0</v>
      </c>
      <c r="EL52" s="1155">
        <f t="shared" si="154"/>
        <v>0</v>
      </c>
      <c r="EM52" s="1155">
        <f t="shared" si="155"/>
        <v>0</v>
      </c>
      <c r="EN52" s="1155">
        <f t="shared" si="156"/>
        <v>0</v>
      </c>
      <c r="EO52" s="1155">
        <f t="shared" si="156"/>
        <v>0</v>
      </c>
      <c r="EP52" s="1155">
        <f t="shared" si="156"/>
        <v>0</v>
      </c>
      <c r="EQ52" s="1155">
        <f t="shared" si="156"/>
        <v>0</v>
      </c>
      <c r="ER52" s="1155">
        <f t="shared" si="156"/>
        <v>0</v>
      </c>
      <c r="ES52" s="1155">
        <f t="shared" si="156"/>
        <v>0</v>
      </c>
      <c r="ET52" s="1155">
        <f t="shared" si="156"/>
        <v>0</v>
      </c>
      <c r="EU52" s="1155">
        <f t="shared" si="156"/>
        <v>0</v>
      </c>
      <c r="EV52" s="1155">
        <f t="shared" si="156"/>
        <v>0</v>
      </c>
      <c r="EW52" s="1155">
        <f t="shared" si="156"/>
        <v>0</v>
      </c>
      <c r="EX52" s="1155">
        <f t="shared" si="156"/>
        <v>0</v>
      </c>
      <c r="EY52" s="1175">
        <f t="shared" si="157"/>
        <v>0</v>
      </c>
      <c r="EZ52" s="1256"/>
      <c r="FA52" s="1155">
        <f t="shared" si="158"/>
        <v>0</v>
      </c>
      <c r="FB52" s="1155">
        <f t="shared" si="158"/>
        <v>0</v>
      </c>
      <c r="FC52" s="1155">
        <f t="shared" si="158"/>
        <v>0</v>
      </c>
      <c r="FD52" s="1155">
        <f t="shared" si="158"/>
        <v>0</v>
      </c>
      <c r="FE52" s="1155">
        <f t="shared" si="158"/>
        <v>0</v>
      </c>
      <c r="FF52" s="1155">
        <f t="shared" si="158"/>
        <v>0</v>
      </c>
      <c r="FG52" s="1155">
        <f t="shared" si="158"/>
        <v>0</v>
      </c>
      <c r="FH52" s="1155">
        <f t="shared" si="158"/>
        <v>0</v>
      </c>
      <c r="FI52" s="1155">
        <f t="shared" si="158"/>
        <v>0</v>
      </c>
      <c r="FJ52" s="1155">
        <f t="shared" si="158"/>
        <v>0</v>
      </c>
      <c r="FK52" s="1155">
        <f t="shared" si="159"/>
        <v>0</v>
      </c>
      <c r="FL52" s="1155">
        <f t="shared" si="159"/>
        <v>0</v>
      </c>
      <c r="FM52" s="1155">
        <f t="shared" si="159"/>
        <v>0</v>
      </c>
      <c r="FN52" s="1155">
        <f t="shared" si="159"/>
        <v>0</v>
      </c>
      <c r="FO52" s="1155">
        <f t="shared" si="159"/>
        <v>0</v>
      </c>
      <c r="FP52" s="1155">
        <f t="shared" si="159"/>
        <v>0</v>
      </c>
      <c r="FQ52" s="1155">
        <f t="shared" si="159"/>
        <v>0</v>
      </c>
      <c r="FR52" s="1155">
        <f t="shared" si="159"/>
        <v>0</v>
      </c>
      <c r="FS52" s="1155">
        <f t="shared" si="159"/>
        <v>0</v>
      </c>
      <c r="FT52" s="1155">
        <f t="shared" si="159"/>
        <v>0</v>
      </c>
      <c r="FU52" s="1155">
        <f t="shared" si="160"/>
        <v>0</v>
      </c>
      <c r="FV52" s="1155">
        <f t="shared" si="160"/>
        <v>0</v>
      </c>
      <c r="FW52" s="1155">
        <f t="shared" si="160"/>
        <v>0</v>
      </c>
      <c r="FX52" s="1155">
        <f t="shared" si="160"/>
        <v>0</v>
      </c>
      <c r="FY52" s="1155">
        <f t="shared" si="160"/>
        <v>0</v>
      </c>
      <c r="FZ52" s="1155">
        <f t="shared" si="160"/>
        <v>0</v>
      </c>
      <c r="GA52" s="1155">
        <f t="shared" si="160"/>
        <v>0</v>
      </c>
      <c r="GB52" s="1155">
        <f t="shared" si="160"/>
        <v>0</v>
      </c>
      <c r="GC52" s="1155">
        <f t="shared" si="160"/>
        <v>0</v>
      </c>
      <c r="GD52" s="1155">
        <f t="shared" si="160"/>
        <v>0</v>
      </c>
      <c r="GE52" s="1155">
        <f t="shared" si="161"/>
        <v>0</v>
      </c>
      <c r="GF52" s="1155">
        <f t="shared" si="161"/>
        <v>0</v>
      </c>
      <c r="GG52" s="1155">
        <f t="shared" si="161"/>
        <v>0</v>
      </c>
      <c r="GH52" s="1155">
        <f t="shared" si="161"/>
        <v>0</v>
      </c>
      <c r="GI52" s="1155">
        <f t="shared" si="161"/>
        <v>0</v>
      </c>
      <c r="GJ52" s="1175">
        <f t="shared" si="162"/>
        <v>0</v>
      </c>
    </row>
    <row r="53" spans="1:192" ht="6" customHeight="1">
      <c r="A53" s="1205"/>
      <c r="B53" s="1184" t="s">
        <v>742</v>
      </c>
      <c r="C53" s="1184"/>
      <c r="D53" s="1184"/>
      <c r="E53" s="1184"/>
      <c r="F53" s="1184"/>
      <c r="G53" s="1184"/>
      <c r="H53" s="1184"/>
      <c r="I53" s="1184"/>
      <c r="J53" s="1207"/>
      <c r="K53" s="1184"/>
      <c r="L53" s="1184"/>
      <c r="M53" s="1184"/>
      <c r="N53" s="1184"/>
      <c r="O53" s="1184"/>
      <c r="P53" s="1184"/>
      <c r="Q53" s="1184"/>
      <c r="R53" s="1184"/>
      <c r="S53" s="1184"/>
      <c r="T53" s="1184"/>
      <c r="U53" s="1184"/>
      <c r="V53" s="1184"/>
      <c r="W53" s="1184"/>
      <c r="X53" s="1184"/>
      <c r="Y53" s="1184"/>
      <c r="Z53" s="1184"/>
      <c r="AA53" s="1184"/>
      <c r="AB53" s="1184"/>
      <c r="AC53" s="1184"/>
      <c r="AD53" s="1184"/>
      <c r="AE53" s="1184"/>
      <c r="AF53" s="1184"/>
      <c r="AG53" s="1184"/>
      <c r="AH53" s="1263"/>
      <c r="AI53" s="1263"/>
      <c r="AJ53" s="1263"/>
      <c r="AK53" s="1263"/>
      <c r="AL53" s="1263"/>
      <c r="AM53" s="1263"/>
      <c r="AN53" s="1263"/>
      <c r="AO53" s="1263"/>
      <c r="AP53" s="1263"/>
      <c r="AQ53" s="1263"/>
      <c r="AR53" s="1263"/>
      <c r="AS53" s="1263"/>
      <c r="AT53" s="1207"/>
      <c r="AU53" s="1263"/>
      <c r="AV53" s="1263"/>
      <c r="AW53" s="1263"/>
      <c r="AX53" s="1263"/>
      <c r="AY53" s="1263"/>
      <c r="AZ53" s="1263"/>
      <c r="BA53" s="1263"/>
      <c r="BB53" s="1263"/>
      <c r="BC53" s="1263"/>
      <c r="BD53" s="1263"/>
      <c r="BE53" s="1263"/>
      <c r="BF53" s="1263"/>
      <c r="BG53" s="1263"/>
      <c r="BH53" s="1263"/>
      <c r="BI53" s="1263"/>
      <c r="BJ53" s="1263"/>
      <c r="BK53" s="1263"/>
      <c r="BL53" s="1263"/>
      <c r="BM53" s="1263"/>
      <c r="BN53" s="1263"/>
      <c r="BO53" s="1263"/>
      <c r="BP53" s="1263"/>
      <c r="BQ53" s="1263"/>
      <c r="BR53" s="1263"/>
      <c r="BS53" s="1263"/>
      <c r="BT53" s="1263"/>
      <c r="BU53" s="1263"/>
      <c r="BV53" s="1263"/>
      <c r="BW53" s="1263"/>
      <c r="BX53" s="1263"/>
      <c r="BY53" s="1263"/>
      <c r="BZ53" s="1263"/>
      <c r="CA53" s="1263"/>
      <c r="CB53" s="1263"/>
      <c r="CC53" s="1263"/>
      <c r="CD53" s="1207"/>
      <c r="CE53" s="1207"/>
      <c r="CF53" s="1184"/>
      <c r="CG53" s="1184"/>
      <c r="CH53" s="1184"/>
      <c r="CI53" s="1184"/>
      <c r="CJ53" s="1184"/>
      <c r="CK53" s="1184"/>
      <c r="CL53" s="1184"/>
      <c r="CM53" s="1184"/>
      <c r="CN53" s="1184"/>
      <c r="CO53" s="1184"/>
      <c r="CP53" s="1184"/>
      <c r="CQ53" s="1184"/>
      <c r="CR53" s="1184"/>
      <c r="CS53" s="1184"/>
      <c r="CT53" s="1184"/>
      <c r="CU53" s="1184"/>
      <c r="CV53" s="1184"/>
      <c r="CW53" s="1184"/>
      <c r="CX53" s="1184"/>
      <c r="CY53" s="1184"/>
      <c r="CZ53" s="1184"/>
      <c r="DA53" s="1184"/>
      <c r="DB53" s="1184"/>
      <c r="DC53" s="1607"/>
      <c r="DD53" s="1184"/>
      <c r="DE53" s="1184"/>
      <c r="DF53" s="1184"/>
      <c r="DG53" s="1184"/>
      <c r="DH53" s="1184"/>
      <c r="DI53" s="1184"/>
      <c r="DJ53" s="1184"/>
      <c r="DK53" s="1184"/>
      <c r="DL53" s="1184"/>
      <c r="DM53" s="1184"/>
      <c r="DN53" s="1184"/>
      <c r="DO53" s="1207"/>
      <c r="DP53" s="1252"/>
      <c r="DQ53" s="1252"/>
      <c r="DR53" s="1252"/>
      <c r="DS53" s="1252"/>
      <c r="DT53" s="1252"/>
      <c r="DU53" s="1252"/>
      <c r="DV53" s="1252"/>
      <c r="DW53" s="1252"/>
      <c r="DX53" s="1252"/>
      <c r="DY53" s="1252"/>
      <c r="DZ53" s="1252"/>
      <c r="EA53" s="1252"/>
      <c r="EB53" s="1252"/>
      <c r="EC53" s="1252"/>
      <c r="ED53" s="1252"/>
      <c r="EE53" s="1252"/>
      <c r="EF53" s="1252"/>
      <c r="EG53" s="1252"/>
      <c r="EH53" s="1252"/>
      <c r="EI53" s="1252"/>
      <c r="EJ53" s="1252"/>
      <c r="EK53" s="1252"/>
      <c r="EL53" s="1252"/>
      <c r="EM53" s="1252"/>
      <c r="EN53" s="1252"/>
      <c r="EO53" s="1252"/>
      <c r="EP53" s="1252"/>
      <c r="EQ53" s="1252"/>
      <c r="ER53" s="1252"/>
      <c r="ES53" s="1252"/>
      <c r="ET53" s="1252"/>
      <c r="EU53" s="1252"/>
      <c r="EV53" s="1252"/>
      <c r="EW53" s="1252"/>
      <c r="EX53" s="1252"/>
      <c r="EY53" s="1252"/>
      <c r="EZ53" s="1207"/>
      <c r="FA53" s="1252"/>
      <c r="FB53" s="1252"/>
      <c r="FC53" s="1252"/>
      <c r="FD53" s="1252"/>
      <c r="FE53" s="1252"/>
      <c r="FF53" s="1252"/>
      <c r="FG53" s="1252"/>
      <c r="FH53" s="1252"/>
      <c r="FI53" s="1252"/>
      <c r="FJ53" s="1252"/>
      <c r="FK53" s="1252"/>
      <c r="FL53" s="1252"/>
      <c r="FM53" s="1252"/>
      <c r="FN53" s="1252"/>
      <c r="FO53" s="1252"/>
      <c r="FP53" s="1252"/>
      <c r="FQ53" s="1252"/>
      <c r="FR53" s="1252"/>
      <c r="FS53" s="1252"/>
      <c r="FT53" s="1252"/>
      <c r="FU53" s="1252"/>
      <c r="FV53" s="1252"/>
      <c r="FW53" s="1252"/>
      <c r="FX53" s="1252"/>
      <c r="FY53" s="1252"/>
      <c r="FZ53" s="1252"/>
      <c r="GA53" s="1252"/>
      <c r="GB53" s="1252"/>
      <c r="GC53" s="1252"/>
      <c r="GD53" s="1252"/>
      <c r="GE53" s="1252"/>
      <c r="GF53" s="1252"/>
      <c r="GG53" s="1252"/>
      <c r="GH53" s="1252"/>
      <c r="GI53" s="1252"/>
      <c r="GJ53" s="1252"/>
    </row>
    <row r="54" spans="1:192" s="1101" customFormat="1">
      <c r="B54" s="1259" t="str">
        <f>IF(Prop2021DUOSTariffs!B54="","",Prop2021DUOSTariffs!B54)</f>
        <v/>
      </c>
      <c r="C54" s="1259" t="str">
        <f>IF(Prop2021DUOSTariffs!C54="","",Prop2021DUOSTariffs!C54)</f>
        <v>East SAC&lt;20MWhpa Business IBT</v>
      </c>
      <c r="D54" s="1259" t="str">
        <f>IF(Prop2021DUOSTariffs!D54="","",Prop2021DUOSTariffs!D54)</f>
        <v>East SAC&lt;20MWhpa Business IBT</v>
      </c>
      <c r="E54" s="1259" t="str">
        <f>IF(Prop2021DUOSTariffs!E54="","",Prop2021DUOSTariffs!E54)</f>
        <v>SAC</v>
      </c>
      <c r="F54" s="1259" t="str">
        <f>IF(Prop2021DUOSTariffs!F54="","",Prop2021DUOSTariffs!F54)</f>
        <v>SACS Bus</v>
      </c>
      <c r="G54" s="1259" t="str">
        <f>IF(Prop2021DUOSTariffs!G54="","",Prop2021DUOSTariffs!G54)</f>
        <v>East</v>
      </c>
      <c r="H54" s="1259" t="str">
        <f>IF(Prop2021DUOSTariffs!H54="","",Prop2021DUOSTariffs!H54)</f>
        <v>EBIB</v>
      </c>
      <c r="I54" s="1259" t="s">
        <v>935</v>
      </c>
      <c r="J54" s="1256"/>
      <c r="K54" s="1233">
        <v>0.1335341443782054</v>
      </c>
      <c r="L54" s="1135"/>
      <c r="M54" s="1135"/>
      <c r="N54" s="1135"/>
      <c r="O54" s="1135"/>
      <c r="P54" s="1135"/>
      <c r="Q54" s="1135"/>
      <c r="R54" s="1135"/>
      <c r="S54" s="1135"/>
      <c r="T54" s="1135"/>
      <c r="U54" s="1135"/>
      <c r="V54" s="1135"/>
      <c r="W54" s="1135"/>
      <c r="X54" s="1135"/>
      <c r="Y54" s="1135"/>
      <c r="Z54" s="1135"/>
      <c r="AA54" s="1135"/>
      <c r="AB54" s="1135"/>
      <c r="AC54" s="1135"/>
      <c r="AD54" s="1135"/>
      <c r="AE54" s="1135"/>
      <c r="AF54" s="1005"/>
      <c r="AG54" s="1005"/>
      <c r="AH54" s="1224">
        <v>7.4122808686789441E-3</v>
      </c>
      <c r="AI54" s="1241"/>
      <c r="AJ54" s="1241"/>
      <c r="AK54" s="1241"/>
      <c r="AL54" s="1241"/>
      <c r="AM54" s="1241"/>
      <c r="AN54" s="1241"/>
      <c r="AO54" s="1241"/>
      <c r="AP54" s="1241"/>
      <c r="AQ54" s="1241"/>
      <c r="AR54" s="1241"/>
      <c r="AS54" s="1241"/>
      <c r="AT54" s="1256"/>
      <c r="AU54" s="1484">
        <v>0.14489953366876271</v>
      </c>
      <c r="AV54" s="1241"/>
      <c r="AW54" s="1241"/>
      <c r="AX54" s="1241"/>
      <c r="AY54" s="1241"/>
      <c r="AZ54" s="1241"/>
      <c r="BA54" s="1241"/>
      <c r="BB54" s="1241"/>
      <c r="BC54" s="1241"/>
      <c r="BD54" s="1241"/>
      <c r="BE54" s="1241"/>
      <c r="BF54" s="1241"/>
      <c r="BG54" s="1241"/>
      <c r="BH54" s="1241"/>
      <c r="BI54" s="1241"/>
      <c r="BJ54" s="1241"/>
      <c r="BK54" s="1241"/>
      <c r="BL54" s="1241"/>
      <c r="BM54" s="1241"/>
      <c r="BN54" s="1241"/>
      <c r="BO54" s="1241"/>
      <c r="BP54" s="1241"/>
      <c r="BQ54" s="1241"/>
      <c r="BR54" s="1484">
        <v>8.2170735145811833E-3</v>
      </c>
      <c r="BS54" s="1241"/>
      <c r="BT54" s="1241"/>
      <c r="BU54" s="1241"/>
      <c r="BV54" s="1241"/>
      <c r="BW54" s="1241"/>
      <c r="BX54" s="1241"/>
      <c r="BY54" s="1241"/>
      <c r="BZ54" s="1241"/>
      <c r="CA54" s="1241"/>
      <c r="CB54" s="1241"/>
      <c r="CC54" s="1241"/>
      <c r="CD54" s="1256"/>
      <c r="CE54" s="1256"/>
      <c r="CF54" s="1265">
        <v>54672.720000000008</v>
      </c>
      <c r="CG54" s="1030"/>
      <c r="CH54" s="1030"/>
      <c r="CI54" s="1030"/>
      <c r="CJ54" s="1030"/>
      <c r="CK54" s="1030"/>
      <c r="CL54" s="1135"/>
      <c r="CM54" s="1135"/>
      <c r="CN54" s="1135"/>
      <c r="CO54" s="1135"/>
      <c r="CP54" s="1135"/>
      <c r="CQ54" s="1135"/>
      <c r="CR54" s="1135"/>
      <c r="CS54" s="1135"/>
      <c r="CT54" s="1135"/>
      <c r="CU54" s="1135"/>
      <c r="CV54" s="1135"/>
      <c r="CW54" s="1135"/>
      <c r="CX54" s="1135"/>
      <c r="CY54" s="1135"/>
      <c r="CZ54" s="1135"/>
      <c r="DA54" s="1008"/>
      <c r="DB54" s="1008"/>
      <c r="DC54" s="1265">
        <v>217502064.30000001</v>
      </c>
      <c r="DD54" s="1008"/>
      <c r="DE54" s="1008"/>
      <c r="DF54" s="1008"/>
      <c r="DG54" s="1008"/>
      <c r="DH54" s="1008"/>
      <c r="DI54" s="1008"/>
      <c r="DJ54" s="1008"/>
      <c r="DK54" s="1008"/>
      <c r="DL54" s="1008"/>
      <c r="DM54" s="1008"/>
      <c r="DN54" s="1008"/>
      <c r="DO54" s="1256"/>
      <c r="DP54" s="1155">
        <f t="shared" ref="DP54:DP71" si="163">K54*CF54*DP$107</f>
        <v>2664746.3334006579</v>
      </c>
      <c r="DQ54" s="1155">
        <f t="shared" ref="DQ54:DQ71" si="164">L54*CG54*DQ$107</f>
        <v>0</v>
      </c>
      <c r="DR54" s="1155">
        <f t="shared" ref="DR54:DR71" si="165">M54*CH54*DR$107</f>
        <v>0</v>
      </c>
      <c r="DS54" s="1155">
        <f t="shared" ref="DS54:DS71" si="166">N54*CI54*DS$107</f>
        <v>0</v>
      </c>
      <c r="DT54" s="1155">
        <f t="shared" ref="DT54:DT71" si="167">O54*CJ54*DT$107</f>
        <v>0</v>
      </c>
      <c r="DU54" s="1155">
        <f t="shared" ref="DU54:DU71" si="168">P54*CK54*DU$107</f>
        <v>0</v>
      </c>
      <c r="DV54" s="1155">
        <f t="shared" ref="DV54:DV71" si="169">Q54*CL54*DV$107</f>
        <v>0</v>
      </c>
      <c r="DW54" s="1155">
        <f t="shared" ref="DW54:DW71" si="170">R54*CM54*DW$107</f>
        <v>0</v>
      </c>
      <c r="DX54" s="1155">
        <f t="shared" ref="DX54:DX71" si="171">S54*CN54*DX$107</f>
        <v>0</v>
      </c>
      <c r="DY54" s="1155">
        <f t="shared" ref="DY54:DY71" si="172">T54*CO54*DY$107</f>
        <v>0</v>
      </c>
      <c r="DZ54" s="1155">
        <f t="shared" ref="DZ54:DZ71" si="173">U54*CP54*DZ$107</f>
        <v>0</v>
      </c>
      <c r="EA54" s="1155">
        <f t="shared" ref="EA54:EA71" si="174">V54*CQ54*EA$107</f>
        <v>0</v>
      </c>
      <c r="EB54" s="1155">
        <f t="shared" ref="EB54:EB71" si="175">W54*CR54*EB$107</f>
        <v>0</v>
      </c>
      <c r="EC54" s="1155">
        <f t="shared" ref="EC54:EC71" si="176">X54*CS54*EC$107</f>
        <v>0</v>
      </c>
      <c r="ED54" s="1155">
        <f t="shared" ref="ED54:ED71" si="177">Y54*CT54*ED$107</f>
        <v>0</v>
      </c>
      <c r="EE54" s="1155">
        <f t="shared" ref="EE54:EE71" si="178">Z54*CU54*EE$107</f>
        <v>0</v>
      </c>
      <c r="EF54" s="1155">
        <f t="shared" ref="EF54:EF71" si="179">AA54*CV54*EF$107</f>
        <v>0</v>
      </c>
      <c r="EG54" s="1155">
        <f t="shared" ref="EG54:EG71" si="180">AB54*CW54*EG$107</f>
        <v>0</v>
      </c>
      <c r="EH54" s="1155">
        <f t="shared" ref="EH54:EH71" si="181">AC54*CX54*EH$107</f>
        <v>0</v>
      </c>
      <c r="EI54" s="1155">
        <f t="shared" ref="EI54:EI71" si="182">AD54*CY54*EI$107</f>
        <v>0</v>
      </c>
      <c r="EJ54" s="1155">
        <f t="shared" ref="EJ54:EJ71" si="183">AE54*CZ54*EJ$107</f>
        <v>0</v>
      </c>
      <c r="EK54" s="1155">
        <f t="shared" ref="EK54:EK71" si="184">AF54*DA54*EK$107</f>
        <v>0</v>
      </c>
      <c r="EL54" s="1155">
        <f t="shared" ref="EL54:EL71" si="185">AG54*DB54*EL$107</f>
        <v>0</v>
      </c>
      <c r="EM54" s="1155">
        <f t="shared" ref="EM54:EM71" si="186">AH54*DC54*EM$107</f>
        <v>1612186.3901090675</v>
      </c>
      <c r="EN54" s="1155">
        <f t="shared" ref="EN54:EN71" si="187">AI54*DD54*EN$107</f>
        <v>0</v>
      </c>
      <c r="EO54" s="1155">
        <f t="shared" ref="EO54:EO71" si="188">AJ54*DE54*EO$107</f>
        <v>0</v>
      </c>
      <c r="EP54" s="1155">
        <f t="shared" ref="EP54:EP71" si="189">AK54*DF54*EP$107</f>
        <v>0</v>
      </c>
      <c r="EQ54" s="1155">
        <f t="shared" ref="EQ54:EQ71" si="190">AL54*DG54*EQ$107</f>
        <v>0</v>
      </c>
      <c r="ER54" s="1155">
        <f t="shared" ref="ER54:ER71" si="191">AM54*DH54*ER$107</f>
        <v>0</v>
      </c>
      <c r="ES54" s="1155">
        <f t="shared" ref="ES54:ES71" si="192">AN54*DI54*ES$107</f>
        <v>0</v>
      </c>
      <c r="ET54" s="1155">
        <f t="shared" ref="ET54:ET71" si="193">AO54*DJ54*ET$107</f>
        <v>0</v>
      </c>
      <c r="EU54" s="1155">
        <f t="shared" ref="EU54:EU71" si="194">AP54*DK54*EU$107</f>
        <v>0</v>
      </c>
      <c r="EV54" s="1155">
        <f t="shared" ref="EV54:EV71" si="195">AQ54*DL54*EV$107</f>
        <v>0</v>
      </c>
      <c r="EW54" s="1155">
        <f t="shared" ref="EW54:EW71" si="196">AR54*DM54*EW$107</f>
        <v>0</v>
      </c>
      <c r="EX54" s="1155">
        <f t="shared" ref="EX54:EX71" si="197">AS54*DN54*EX$107</f>
        <v>0</v>
      </c>
      <c r="EY54" s="1175">
        <f t="shared" ref="EY54:EY71" si="198">SUM(DP54:EX54)</f>
        <v>4276932.7235097252</v>
      </c>
      <c r="EZ54" s="1256"/>
      <c r="FA54" s="1155">
        <f t="shared" ref="FA54:FA71" si="199">AU54*CF54*FA$107</f>
        <v>2891548.8458270356</v>
      </c>
      <c r="FB54" s="1155">
        <f t="shared" ref="FB54:FB71" si="200">AV54*CG54*FB$107</f>
        <v>0</v>
      </c>
      <c r="FC54" s="1155">
        <f t="shared" ref="FC54:FC71" si="201">AW54*CH54*FC$107</f>
        <v>0</v>
      </c>
      <c r="FD54" s="1155">
        <f t="shared" ref="FD54:FD71" si="202">AX54*CI54*FD$107</f>
        <v>0</v>
      </c>
      <c r="FE54" s="1155">
        <f t="shared" ref="FE54:FE71" si="203">AY54*CJ54*FE$107</f>
        <v>0</v>
      </c>
      <c r="FF54" s="1155">
        <f t="shared" ref="FF54:FF71" si="204">AZ54*CK54*FF$107</f>
        <v>0</v>
      </c>
      <c r="FG54" s="1155">
        <f t="shared" ref="FG54:FG71" si="205">BA54*CL54*FG$107</f>
        <v>0</v>
      </c>
      <c r="FH54" s="1155">
        <f t="shared" ref="FH54:FH71" si="206">BB54*CM54*FH$107</f>
        <v>0</v>
      </c>
      <c r="FI54" s="1155">
        <f t="shared" ref="FI54:FI71" si="207">BC54*CN54*FI$107</f>
        <v>0</v>
      </c>
      <c r="FJ54" s="1155">
        <f t="shared" ref="FJ54:FJ71" si="208">BD54*CO54*FJ$107</f>
        <v>0</v>
      </c>
      <c r="FK54" s="1155">
        <f t="shared" ref="FK54:FK71" si="209">BE54*CP54*FK$107</f>
        <v>0</v>
      </c>
      <c r="FL54" s="1155">
        <f t="shared" ref="FL54:FL71" si="210">BF54*CQ54*FL$107</f>
        <v>0</v>
      </c>
      <c r="FM54" s="1155">
        <f t="shared" ref="FM54:FM71" si="211">BG54*CR54*FM$107</f>
        <v>0</v>
      </c>
      <c r="FN54" s="1155">
        <f t="shared" ref="FN54:FN71" si="212">BH54*CS54*FN$107</f>
        <v>0</v>
      </c>
      <c r="FO54" s="1155">
        <f t="shared" ref="FO54:FO71" si="213">BI54*CT54*FO$107</f>
        <v>0</v>
      </c>
      <c r="FP54" s="1155">
        <f t="shared" ref="FP54:FP71" si="214">BJ54*CU54*FP$107</f>
        <v>0</v>
      </c>
      <c r="FQ54" s="1155">
        <f t="shared" ref="FQ54:FQ71" si="215">BK54*CV54*FQ$107</f>
        <v>0</v>
      </c>
      <c r="FR54" s="1155">
        <f t="shared" ref="FR54:FR71" si="216">BL54*CW54*FR$107</f>
        <v>0</v>
      </c>
      <c r="FS54" s="1155">
        <f t="shared" ref="FS54:FS71" si="217">BM54*CX54*FS$107</f>
        <v>0</v>
      </c>
      <c r="FT54" s="1155">
        <f t="shared" ref="FT54:FT71" si="218">BN54*CY54*FT$107</f>
        <v>0</v>
      </c>
      <c r="FU54" s="1155">
        <f t="shared" ref="FU54:FU71" si="219">BO54*CZ54*FU$107</f>
        <v>0</v>
      </c>
      <c r="FV54" s="1155">
        <f t="shared" ref="FV54:FV71" si="220">BP54*DA54*FV$107</f>
        <v>0</v>
      </c>
      <c r="FW54" s="1155">
        <f t="shared" ref="FW54:FW71" si="221">BQ54*DB54*FW$107</f>
        <v>0</v>
      </c>
      <c r="FX54" s="1155">
        <f t="shared" ref="FX54:FX71" si="222">BR54*DC54*FX$107</f>
        <v>1787230.4519262635</v>
      </c>
      <c r="FY54" s="1155">
        <f t="shared" ref="FY54:FY71" si="223">BS54*DD54*FY$107</f>
        <v>0</v>
      </c>
      <c r="FZ54" s="1155">
        <f t="shared" ref="FZ54:FZ71" si="224">BT54*DE54*FZ$107</f>
        <v>0</v>
      </c>
      <c r="GA54" s="1155">
        <f t="shared" ref="GA54:GA71" si="225">BU54*DF54*GA$107</f>
        <v>0</v>
      </c>
      <c r="GB54" s="1155">
        <f t="shared" ref="GB54:GB71" si="226">BV54*DG54*GB$107</f>
        <v>0</v>
      </c>
      <c r="GC54" s="1155">
        <f t="shared" ref="GC54:GC71" si="227">BW54*DH54*GC$107</f>
        <v>0</v>
      </c>
      <c r="GD54" s="1155">
        <f t="shared" ref="GD54:GD71" si="228">BX54*DI54*GD$107</f>
        <v>0</v>
      </c>
      <c r="GE54" s="1155">
        <f t="shared" ref="GE54:GE71" si="229">BY54*DJ54*GE$107</f>
        <v>0</v>
      </c>
      <c r="GF54" s="1155">
        <f t="shared" ref="GF54:GF71" si="230">BZ54*DK54*GF$107</f>
        <v>0</v>
      </c>
      <c r="GG54" s="1155">
        <f t="shared" ref="GG54:GG71" si="231">CA54*DL54*GG$107</f>
        <v>0</v>
      </c>
      <c r="GH54" s="1155">
        <f t="shared" ref="GH54:GH71" si="232">CB54*DM54*GH$107</f>
        <v>0</v>
      </c>
      <c r="GI54" s="1155">
        <f t="shared" ref="GI54:GI71" si="233">CC54*DN54*GI$107</f>
        <v>0</v>
      </c>
      <c r="GJ54" s="1175">
        <f t="shared" ref="GJ54:GJ71" si="234">SUM(FA54:GI54)</f>
        <v>4678779.2977532987</v>
      </c>
    </row>
    <row r="55" spans="1:192" s="1101" customFormat="1">
      <c r="B55" s="1259" t="str">
        <f>IF(Prop2021DUOSTariffs!B55="","",Prop2021DUOSTariffs!B55)</f>
        <v/>
      </c>
      <c r="C55" s="1259" t="str">
        <f>IF(Prop2021DUOSTariffs!C55="","",Prop2021DUOSTariffs!C55)</f>
        <v>West SAC&lt;20MWhpa Business IBT</v>
      </c>
      <c r="D55" s="1259" t="str">
        <f>IF(Prop2021DUOSTariffs!D55="","",Prop2021DUOSTariffs!D55)</f>
        <v>West SAC&lt;20MWhpa Business IBT</v>
      </c>
      <c r="E55" s="1259" t="str">
        <f>IF(Prop2021DUOSTariffs!E55="","",Prop2021DUOSTariffs!E55)</f>
        <v>SAC</v>
      </c>
      <c r="F55" s="1259" t="str">
        <f>IF(Prop2021DUOSTariffs!F55="","",Prop2021DUOSTariffs!F55)</f>
        <v>SACS Bus</v>
      </c>
      <c r="G55" s="1259" t="str">
        <f>IF(Prop2021DUOSTariffs!G55="","",Prop2021DUOSTariffs!G55)</f>
        <v>West</v>
      </c>
      <c r="H55" s="1259" t="str">
        <f>IF(Prop2021DUOSTariffs!H55="","",Prop2021DUOSTariffs!H55)</f>
        <v>WBIB</v>
      </c>
      <c r="I55" s="1259" t="s">
        <v>935</v>
      </c>
      <c r="J55" s="1256"/>
      <c r="K55" s="1233">
        <v>0.1335341443782054</v>
      </c>
      <c r="L55" s="1135"/>
      <c r="M55" s="1135"/>
      <c r="N55" s="1135"/>
      <c r="O55" s="1135"/>
      <c r="P55" s="1135"/>
      <c r="Q55" s="1135"/>
      <c r="R55" s="1135"/>
      <c r="S55" s="1135"/>
      <c r="T55" s="1135"/>
      <c r="U55" s="1135"/>
      <c r="V55" s="1135"/>
      <c r="W55" s="1135"/>
      <c r="X55" s="1135"/>
      <c r="Y55" s="1135"/>
      <c r="Z55" s="1135"/>
      <c r="AA55" s="1135"/>
      <c r="AB55" s="1135"/>
      <c r="AC55" s="1135"/>
      <c r="AD55" s="1135"/>
      <c r="AE55" s="1135"/>
      <c r="AF55" s="1005"/>
      <c r="AG55" s="1005"/>
      <c r="AH55" s="1224">
        <v>7.4122808686789441E-3</v>
      </c>
      <c r="AI55" s="1241"/>
      <c r="AJ55" s="1241"/>
      <c r="AK55" s="1241"/>
      <c r="AL55" s="1241"/>
      <c r="AM55" s="1241"/>
      <c r="AN55" s="1241"/>
      <c r="AO55" s="1241"/>
      <c r="AP55" s="1241"/>
      <c r="AQ55" s="1241"/>
      <c r="AR55" s="1241"/>
      <c r="AS55" s="1241"/>
      <c r="AT55" s="1256"/>
      <c r="AU55" s="1484">
        <v>0.14489953366876271</v>
      </c>
      <c r="AV55" s="1241"/>
      <c r="AW55" s="1241"/>
      <c r="AX55" s="1241"/>
      <c r="AY55" s="1241"/>
      <c r="AZ55" s="1241"/>
      <c r="BA55" s="1241"/>
      <c r="BB55" s="1241"/>
      <c r="BC55" s="1241"/>
      <c r="BD55" s="1241"/>
      <c r="BE55" s="1241"/>
      <c r="BF55" s="1241"/>
      <c r="BG55" s="1241"/>
      <c r="BH55" s="1241"/>
      <c r="BI55" s="1241"/>
      <c r="BJ55" s="1241"/>
      <c r="BK55" s="1241"/>
      <c r="BL55" s="1241"/>
      <c r="BM55" s="1241"/>
      <c r="BN55" s="1241"/>
      <c r="BO55" s="1241"/>
      <c r="BP55" s="1241"/>
      <c r="BQ55" s="1241"/>
      <c r="BR55" s="1484">
        <v>8.2170735145811833E-3</v>
      </c>
      <c r="BS55" s="1241"/>
      <c r="BT55" s="1241"/>
      <c r="BU55" s="1241"/>
      <c r="BV55" s="1241"/>
      <c r="BW55" s="1241"/>
      <c r="BX55" s="1241"/>
      <c r="BY55" s="1241"/>
      <c r="BZ55" s="1241"/>
      <c r="CA55" s="1241"/>
      <c r="CB55" s="1241"/>
      <c r="CC55" s="1241"/>
      <c r="CD55" s="1256"/>
      <c r="CE55" s="1256"/>
      <c r="CF55" s="1265">
        <v>9868.5300000000007</v>
      </c>
      <c r="CG55" s="1030"/>
      <c r="CH55" s="1030"/>
      <c r="CI55" s="1030"/>
      <c r="CJ55" s="1030"/>
      <c r="CK55" s="1030"/>
      <c r="CL55" s="1135"/>
      <c r="CM55" s="1135"/>
      <c r="CN55" s="1135"/>
      <c r="CO55" s="1135"/>
      <c r="CP55" s="1135"/>
      <c r="CQ55" s="1135"/>
      <c r="CR55" s="1135"/>
      <c r="CS55" s="1135"/>
      <c r="CT55" s="1135"/>
      <c r="CU55" s="1135"/>
      <c r="CV55" s="1135"/>
      <c r="CW55" s="1135"/>
      <c r="CX55" s="1135"/>
      <c r="CY55" s="1135"/>
      <c r="CZ55" s="1135"/>
      <c r="DA55" s="1008"/>
      <c r="DB55" s="1008"/>
      <c r="DC55" s="1265">
        <v>49667257.789999992</v>
      </c>
      <c r="DD55" s="1008"/>
      <c r="DE55" s="1008"/>
      <c r="DF55" s="1008"/>
      <c r="DG55" s="1008"/>
      <c r="DH55" s="1008"/>
      <c r="DI55" s="1008"/>
      <c r="DJ55" s="1008"/>
      <c r="DK55" s="1008"/>
      <c r="DL55" s="1008"/>
      <c r="DM55" s="1008"/>
      <c r="DN55" s="1008"/>
      <c r="DO55" s="1256"/>
      <c r="DP55" s="1155">
        <f t="shared" si="163"/>
        <v>480991.78408453777</v>
      </c>
      <c r="DQ55" s="1155">
        <f t="shared" si="164"/>
        <v>0</v>
      </c>
      <c r="DR55" s="1155">
        <f t="shared" si="165"/>
        <v>0</v>
      </c>
      <c r="DS55" s="1155">
        <f t="shared" si="166"/>
        <v>0</v>
      </c>
      <c r="DT55" s="1155">
        <f t="shared" si="167"/>
        <v>0</v>
      </c>
      <c r="DU55" s="1155">
        <f t="shared" si="168"/>
        <v>0</v>
      </c>
      <c r="DV55" s="1155">
        <f t="shared" si="169"/>
        <v>0</v>
      </c>
      <c r="DW55" s="1155">
        <f t="shared" si="170"/>
        <v>0</v>
      </c>
      <c r="DX55" s="1155">
        <f t="shared" si="171"/>
        <v>0</v>
      </c>
      <c r="DY55" s="1155">
        <f t="shared" si="172"/>
        <v>0</v>
      </c>
      <c r="DZ55" s="1155">
        <f t="shared" si="173"/>
        <v>0</v>
      </c>
      <c r="EA55" s="1155">
        <f t="shared" si="174"/>
        <v>0</v>
      </c>
      <c r="EB55" s="1155">
        <f t="shared" si="175"/>
        <v>0</v>
      </c>
      <c r="EC55" s="1155">
        <f t="shared" si="176"/>
        <v>0</v>
      </c>
      <c r="ED55" s="1155">
        <f t="shared" si="177"/>
        <v>0</v>
      </c>
      <c r="EE55" s="1155">
        <f t="shared" si="178"/>
        <v>0</v>
      </c>
      <c r="EF55" s="1155">
        <f t="shared" si="179"/>
        <v>0</v>
      </c>
      <c r="EG55" s="1155">
        <f t="shared" si="180"/>
        <v>0</v>
      </c>
      <c r="EH55" s="1155">
        <f t="shared" si="181"/>
        <v>0</v>
      </c>
      <c r="EI55" s="1155">
        <f t="shared" si="182"/>
        <v>0</v>
      </c>
      <c r="EJ55" s="1155">
        <f t="shared" si="183"/>
        <v>0</v>
      </c>
      <c r="EK55" s="1155">
        <f t="shared" si="184"/>
        <v>0</v>
      </c>
      <c r="EL55" s="1155">
        <f t="shared" si="185"/>
        <v>0</v>
      </c>
      <c r="EM55" s="1155">
        <f t="shared" si="186"/>
        <v>368147.6647165622</v>
      </c>
      <c r="EN55" s="1155">
        <f t="shared" si="187"/>
        <v>0</v>
      </c>
      <c r="EO55" s="1155">
        <f t="shared" si="188"/>
        <v>0</v>
      </c>
      <c r="EP55" s="1155">
        <f t="shared" si="189"/>
        <v>0</v>
      </c>
      <c r="EQ55" s="1155">
        <f t="shared" si="190"/>
        <v>0</v>
      </c>
      <c r="ER55" s="1155">
        <f t="shared" si="191"/>
        <v>0</v>
      </c>
      <c r="ES55" s="1155">
        <f t="shared" si="192"/>
        <v>0</v>
      </c>
      <c r="ET55" s="1155">
        <f t="shared" si="193"/>
        <v>0</v>
      </c>
      <c r="EU55" s="1155">
        <f t="shared" si="194"/>
        <v>0</v>
      </c>
      <c r="EV55" s="1155">
        <f t="shared" si="195"/>
        <v>0</v>
      </c>
      <c r="EW55" s="1155">
        <f t="shared" si="196"/>
        <v>0</v>
      </c>
      <c r="EX55" s="1155">
        <f t="shared" si="197"/>
        <v>0</v>
      </c>
      <c r="EY55" s="1175">
        <f t="shared" si="198"/>
        <v>849139.44880110002</v>
      </c>
      <c r="EZ55" s="1256"/>
      <c r="FA55" s="1155">
        <f t="shared" si="199"/>
        <v>521930.06917361112</v>
      </c>
      <c r="FB55" s="1155">
        <f t="shared" si="200"/>
        <v>0</v>
      </c>
      <c r="FC55" s="1155">
        <f t="shared" si="201"/>
        <v>0</v>
      </c>
      <c r="FD55" s="1155">
        <f t="shared" si="202"/>
        <v>0</v>
      </c>
      <c r="FE55" s="1155">
        <f t="shared" si="203"/>
        <v>0</v>
      </c>
      <c r="FF55" s="1155">
        <f t="shared" si="204"/>
        <v>0</v>
      </c>
      <c r="FG55" s="1155">
        <f t="shared" si="205"/>
        <v>0</v>
      </c>
      <c r="FH55" s="1155">
        <f t="shared" si="206"/>
        <v>0</v>
      </c>
      <c r="FI55" s="1155">
        <f t="shared" si="207"/>
        <v>0</v>
      </c>
      <c r="FJ55" s="1155">
        <f t="shared" si="208"/>
        <v>0</v>
      </c>
      <c r="FK55" s="1155">
        <f t="shared" si="209"/>
        <v>0</v>
      </c>
      <c r="FL55" s="1155">
        <f t="shared" si="210"/>
        <v>0</v>
      </c>
      <c r="FM55" s="1155">
        <f t="shared" si="211"/>
        <v>0</v>
      </c>
      <c r="FN55" s="1155">
        <f t="shared" si="212"/>
        <v>0</v>
      </c>
      <c r="FO55" s="1155">
        <f t="shared" si="213"/>
        <v>0</v>
      </c>
      <c r="FP55" s="1155">
        <f t="shared" si="214"/>
        <v>0</v>
      </c>
      <c r="FQ55" s="1155">
        <f t="shared" si="215"/>
        <v>0</v>
      </c>
      <c r="FR55" s="1155">
        <f t="shared" si="216"/>
        <v>0</v>
      </c>
      <c r="FS55" s="1155">
        <f t="shared" si="217"/>
        <v>0</v>
      </c>
      <c r="FT55" s="1155">
        <f t="shared" si="218"/>
        <v>0</v>
      </c>
      <c r="FU55" s="1155">
        <f t="shared" si="219"/>
        <v>0</v>
      </c>
      <c r="FV55" s="1155">
        <f t="shared" si="220"/>
        <v>0</v>
      </c>
      <c r="FW55" s="1155">
        <f t="shared" si="221"/>
        <v>0</v>
      </c>
      <c r="FX55" s="1155">
        <f t="shared" si="222"/>
        <v>408119.5085280849</v>
      </c>
      <c r="FY55" s="1155">
        <f t="shared" si="223"/>
        <v>0</v>
      </c>
      <c r="FZ55" s="1155">
        <f t="shared" si="224"/>
        <v>0</v>
      </c>
      <c r="GA55" s="1155">
        <f t="shared" si="225"/>
        <v>0</v>
      </c>
      <c r="GB55" s="1155">
        <f t="shared" si="226"/>
        <v>0</v>
      </c>
      <c r="GC55" s="1155">
        <f t="shared" si="227"/>
        <v>0</v>
      </c>
      <c r="GD55" s="1155">
        <f t="shared" si="228"/>
        <v>0</v>
      </c>
      <c r="GE55" s="1155">
        <f t="shared" si="229"/>
        <v>0</v>
      </c>
      <c r="GF55" s="1155">
        <f t="shared" si="230"/>
        <v>0</v>
      </c>
      <c r="GG55" s="1155">
        <f t="shared" si="231"/>
        <v>0</v>
      </c>
      <c r="GH55" s="1155">
        <f t="shared" si="232"/>
        <v>0</v>
      </c>
      <c r="GI55" s="1155">
        <f t="shared" si="233"/>
        <v>0</v>
      </c>
      <c r="GJ55" s="1175">
        <f t="shared" si="234"/>
        <v>930049.57770169596</v>
      </c>
    </row>
    <row r="56" spans="1:192" s="1101" customFormat="1">
      <c r="B56" s="1259" t="str">
        <f>IF(Prop2021DUOSTariffs!B56="","",Prop2021DUOSTariffs!B56)</f>
        <v/>
      </c>
      <c r="C56" s="1259" t="str">
        <f>IF(Prop2021DUOSTariffs!C56="","",Prop2021DUOSTariffs!C56)</f>
        <v>MtIsa SAC&lt;20MWhpa Business IBT</v>
      </c>
      <c r="D56" s="1259" t="str">
        <f>IF(Prop2021DUOSTariffs!D56="","",Prop2021DUOSTariffs!D56)</f>
        <v>MtIsa SAC&lt;20MWhpa Business IBT</v>
      </c>
      <c r="E56" s="1259" t="str">
        <f>IF(Prop2021DUOSTariffs!E56="","",Prop2021DUOSTariffs!E56)</f>
        <v>SAC</v>
      </c>
      <c r="F56" s="1259" t="str">
        <f>IF(Prop2021DUOSTariffs!F56="","",Prop2021DUOSTariffs!F56)</f>
        <v>SACS Bus</v>
      </c>
      <c r="G56" s="1259" t="str">
        <f>IF(Prop2021DUOSTariffs!G56="","",Prop2021DUOSTariffs!G56)</f>
        <v>Mt Isa</v>
      </c>
      <c r="H56" s="1259" t="str">
        <f>IF(Prop2021DUOSTariffs!H56="","",Prop2021DUOSTariffs!H56)</f>
        <v>MBIB</v>
      </c>
      <c r="I56" s="1259" t="s">
        <v>935</v>
      </c>
      <c r="J56" s="1256"/>
      <c r="K56" s="1233">
        <v>0.1335341443782054</v>
      </c>
      <c r="L56" s="1135"/>
      <c r="M56" s="1135"/>
      <c r="N56" s="1135"/>
      <c r="O56" s="1135"/>
      <c r="P56" s="1135"/>
      <c r="Q56" s="1135"/>
      <c r="R56" s="1135"/>
      <c r="S56" s="1135"/>
      <c r="T56" s="1135"/>
      <c r="U56" s="1135"/>
      <c r="V56" s="1135"/>
      <c r="W56" s="1135"/>
      <c r="X56" s="1135"/>
      <c r="Y56" s="1135"/>
      <c r="Z56" s="1135"/>
      <c r="AA56" s="1135"/>
      <c r="AB56" s="1135"/>
      <c r="AC56" s="1135"/>
      <c r="AD56" s="1135"/>
      <c r="AE56" s="1135"/>
      <c r="AF56" s="1005"/>
      <c r="AG56" s="1005"/>
      <c r="AH56" s="1224">
        <v>7.4122808686789441E-3</v>
      </c>
      <c r="AI56" s="1241"/>
      <c r="AJ56" s="1241"/>
      <c r="AK56" s="1241"/>
      <c r="AL56" s="1241"/>
      <c r="AM56" s="1241"/>
      <c r="AN56" s="1241"/>
      <c r="AO56" s="1241"/>
      <c r="AP56" s="1241"/>
      <c r="AQ56" s="1241"/>
      <c r="AR56" s="1241"/>
      <c r="AS56" s="1241"/>
      <c r="AT56" s="1256"/>
      <c r="AU56" s="1484">
        <v>0.14489953366876271</v>
      </c>
      <c r="AV56" s="1241"/>
      <c r="AW56" s="1241"/>
      <c r="AX56" s="1241"/>
      <c r="AY56" s="1241"/>
      <c r="AZ56" s="1241"/>
      <c r="BA56" s="1241"/>
      <c r="BB56" s="1241"/>
      <c r="BC56" s="1241"/>
      <c r="BD56" s="1241"/>
      <c r="BE56" s="1241"/>
      <c r="BF56" s="1241"/>
      <c r="BG56" s="1241"/>
      <c r="BH56" s="1241"/>
      <c r="BI56" s="1241"/>
      <c r="BJ56" s="1241"/>
      <c r="BK56" s="1241"/>
      <c r="BL56" s="1241"/>
      <c r="BM56" s="1241"/>
      <c r="BN56" s="1241"/>
      <c r="BO56" s="1241"/>
      <c r="BP56" s="1241"/>
      <c r="BQ56" s="1241"/>
      <c r="BR56" s="1484">
        <v>8.2170735145811833E-3</v>
      </c>
      <c r="BS56" s="1241"/>
      <c r="BT56" s="1241"/>
      <c r="BU56" s="1241"/>
      <c r="BV56" s="1241"/>
      <c r="BW56" s="1241"/>
      <c r="BX56" s="1241"/>
      <c r="BY56" s="1241"/>
      <c r="BZ56" s="1241"/>
      <c r="CA56" s="1241"/>
      <c r="CB56" s="1241"/>
      <c r="CC56" s="1241"/>
      <c r="CD56" s="1256"/>
      <c r="CE56" s="1256"/>
      <c r="CF56" s="1265">
        <v>1028.96</v>
      </c>
      <c r="CG56" s="1030"/>
      <c r="CH56" s="1030"/>
      <c r="CI56" s="1030"/>
      <c r="CJ56" s="1030"/>
      <c r="CK56" s="1030"/>
      <c r="CL56" s="1135"/>
      <c r="CM56" s="1135"/>
      <c r="CN56" s="1135"/>
      <c r="CO56" s="1135"/>
      <c r="CP56" s="1135"/>
      <c r="CQ56" s="1135"/>
      <c r="CR56" s="1135"/>
      <c r="CS56" s="1135"/>
      <c r="CT56" s="1135"/>
      <c r="CU56" s="1135"/>
      <c r="CV56" s="1135"/>
      <c r="CW56" s="1135"/>
      <c r="CX56" s="1135"/>
      <c r="CY56" s="1135"/>
      <c r="CZ56" s="1135"/>
      <c r="DA56" s="1008"/>
      <c r="DB56" s="1008"/>
      <c r="DC56" s="1265">
        <v>5103727.75</v>
      </c>
      <c r="DD56" s="1008"/>
      <c r="DE56" s="1008"/>
      <c r="DF56" s="1008"/>
      <c r="DG56" s="1008"/>
      <c r="DH56" s="1008"/>
      <c r="DI56" s="1008"/>
      <c r="DJ56" s="1008"/>
      <c r="DK56" s="1008"/>
      <c r="DL56" s="1008"/>
      <c r="DM56" s="1008"/>
      <c r="DN56" s="1008"/>
      <c r="DO56" s="1256"/>
      <c r="DP56" s="1155">
        <f t="shared" si="163"/>
        <v>50151.472017780354</v>
      </c>
      <c r="DQ56" s="1155">
        <f t="shared" si="164"/>
        <v>0</v>
      </c>
      <c r="DR56" s="1155">
        <f t="shared" si="165"/>
        <v>0</v>
      </c>
      <c r="DS56" s="1155">
        <f t="shared" si="166"/>
        <v>0</v>
      </c>
      <c r="DT56" s="1155">
        <f t="shared" si="167"/>
        <v>0</v>
      </c>
      <c r="DU56" s="1155">
        <f t="shared" si="168"/>
        <v>0</v>
      </c>
      <c r="DV56" s="1155">
        <f t="shared" si="169"/>
        <v>0</v>
      </c>
      <c r="DW56" s="1155">
        <f t="shared" si="170"/>
        <v>0</v>
      </c>
      <c r="DX56" s="1155">
        <f t="shared" si="171"/>
        <v>0</v>
      </c>
      <c r="DY56" s="1155">
        <f t="shared" si="172"/>
        <v>0</v>
      </c>
      <c r="DZ56" s="1155">
        <f t="shared" si="173"/>
        <v>0</v>
      </c>
      <c r="EA56" s="1155">
        <f t="shared" si="174"/>
        <v>0</v>
      </c>
      <c r="EB56" s="1155">
        <f t="shared" si="175"/>
        <v>0</v>
      </c>
      <c r="EC56" s="1155">
        <f t="shared" si="176"/>
        <v>0</v>
      </c>
      <c r="ED56" s="1155">
        <f t="shared" si="177"/>
        <v>0</v>
      </c>
      <c r="EE56" s="1155">
        <f t="shared" si="178"/>
        <v>0</v>
      </c>
      <c r="EF56" s="1155">
        <f t="shared" si="179"/>
        <v>0</v>
      </c>
      <c r="EG56" s="1155">
        <f t="shared" si="180"/>
        <v>0</v>
      </c>
      <c r="EH56" s="1155">
        <f t="shared" si="181"/>
        <v>0</v>
      </c>
      <c r="EI56" s="1155">
        <f t="shared" si="182"/>
        <v>0</v>
      </c>
      <c r="EJ56" s="1155">
        <f t="shared" si="183"/>
        <v>0</v>
      </c>
      <c r="EK56" s="1155">
        <f t="shared" si="184"/>
        <v>0</v>
      </c>
      <c r="EL56" s="1155">
        <f t="shared" si="185"/>
        <v>0</v>
      </c>
      <c r="EM56" s="1155">
        <f t="shared" si="186"/>
        <v>37830.263560270832</v>
      </c>
      <c r="EN56" s="1155">
        <f t="shared" si="187"/>
        <v>0</v>
      </c>
      <c r="EO56" s="1155">
        <f t="shared" si="188"/>
        <v>0</v>
      </c>
      <c r="EP56" s="1155">
        <f t="shared" si="189"/>
        <v>0</v>
      </c>
      <c r="EQ56" s="1155">
        <f t="shared" si="190"/>
        <v>0</v>
      </c>
      <c r="ER56" s="1155">
        <f t="shared" si="191"/>
        <v>0</v>
      </c>
      <c r="ES56" s="1155">
        <f t="shared" si="192"/>
        <v>0</v>
      </c>
      <c r="ET56" s="1155">
        <f t="shared" si="193"/>
        <v>0</v>
      </c>
      <c r="EU56" s="1155">
        <f t="shared" si="194"/>
        <v>0</v>
      </c>
      <c r="EV56" s="1155">
        <f t="shared" si="195"/>
        <v>0</v>
      </c>
      <c r="EW56" s="1155">
        <f t="shared" si="196"/>
        <v>0</v>
      </c>
      <c r="EX56" s="1155">
        <f t="shared" si="197"/>
        <v>0</v>
      </c>
      <c r="EY56" s="1175">
        <f t="shared" si="198"/>
        <v>87981.735578051186</v>
      </c>
      <c r="EZ56" s="1256"/>
      <c r="FA56" s="1155">
        <f t="shared" si="199"/>
        <v>54419.975819790678</v>
      </c>
      <c r="FB56" s="1155">
        <f t="shared" si="200"/>
        <v>0</v>
      </c>
      <c r="FC56" s="1155">
        <f t="shared" si="201"/>
        <v>0</v>
      </c>
      <c r="FD56" s="1155">
        <f t="shared" si="202"/>
        <v>0</v>
      </c>
      <c r="FE56" s="1155">
        <f t="shared" si="203"/>
        <v>0</v>
      </c>
      <c r="FF56" s="1155">
        <f t="shared" si="204"/>
        <v>0</v>
      </c>
      <c r="FG56" s="1155">
        <f t="shared" si="205"/>
        <v>0</v>
      </c>
      <c r="FH56" s="1155">
        <f t="shared" si="206"/>
        <v>0</v>
      </c>
      <c r="FI56" s="1155">
        <f t="shared" si="207"/>
        <v>0</v>
      </c>
      <c r="FJ56" s="1155">
        <f t="shared" si="208"/>
        <v>0</v>
      </c>
      <c r="FK56" s="1155">
        <f t="shared" si="209"/>
        <v>0</v>
      </c>
      <c r="FL56" s="1155">
        <f t="shared" si="210"/>
        <v>0</v>
      </c>
      <c r="FM56" s="1155">
        <f t="shared" si="211"/>
        <v>0</v>
      </c>
      <c r="FN56" s="1155">
        <f t="shared" si="212"/>
        <v>0</v>
      </c>
      <c r="FO56" s="1155">
        <f t="shared" si="213"/>
        <v>0</v>
      </c>
      <c r="FP56" s="1155">
        <f t="shared" si="214"/>
        <v>0</v>
      </c>
      <c r="FQ56" s="1155">
        <f t="shared" si="215"/>
        <v>0</v>
      </c>
      <c r="FR56" s="1155">
        <f t="shared" si="216"/>
        <v>0</v>
      </c>
      <c r="FS56" s="1155">
        <f t="shared" si="217"/>
        <v>0</v>
      </c>
      <c r="FT56" s="1155">
        <f t="shared" si="218"/>
        <v>0</v>
      </c>
      <c r="FU56" s="1155">
        <f t="shared" si="219"/>
        <v>0</v>
      </c>
      <c r="FV56" s="1155">
        <f t="shared" si="220"/>
        <v>0</v>
      </c>
      <c r="FW56" s="1155">
        <f t="shared" si="221"/>
        <v>0</v>
      </c>
      <c r="FX56" s="1155">
        <f t="shared" si="222"/>
        <v>41937.706120158015</v>
      </c>
      <c r="FY56" s="1155">
        <f t="shared" si="223"/>
        <v>0</v>
      </c>
      <c r="FZ56" s="1155">
        <f t="shared" si="224"/>
        <v>0</v>
      </c>
      <c r="GA56" s="1155">
        <f t="shared" si="225"/>
        <v>0</v>
      </c>
      <c r="GB56" s="1155">
        <f t="shared" si="226"/>
        <v>0</v>
      </c>
      <c r="GC56" s="1155">
        <f t="shared" si="227"/>
        <v>0</v>
      </c>
      <c r="GD56" s="1155">
        <f t="shared" si="228"/>
        <v>0</v>
      </c>
      <c r="GE56" s="1155">
        <f t="shared" si="229"/>
        <v>0</v>
      </c>
      <c r="GF56" s="1155">
        <f t="shared" si="230"/>
        <v>0</v>
      </c>
      <c r="GG56" s="1155">
        <f t="shared" si="231"/>
        <v>0</v>
      </c>
      <c r="GH56" s="1155">
        <f t="shared" si="232"/>
        <v>0</v>
      </c>
      <c r="GI56" s="1155">
        <f t="shared" si="233"/>
        <v>0</v>
      </c>
      <c r="GJ56" s="1175">
        <f t="shared" si="234"/>
        <v>96357.681939948699</v>
      </c>
    </row>
    <row r="57" spans="1:192" s="1101" customFormat="1">
      <c r="B57" s="1259" t="str">
        <f>IF(Prop2021DUOSTariffs!B57="","",Prop2021DUOSTariffs!B57)</f>
        <v/>
      </c>
      <c r="C57" s="1259" t="str">
        <f>IF(Prop2021DUOSTariffs!C57="","",Prop2021DUOSTariffs!C57)</f>
        <v xml:space="preserve">East Wide Inclining Fixed </v>
      </c>
      <c r="D57" s="1259" t="str">
        <f>IF(Prop2021DUOSTariffs!D57="","",Prop2021DUOSTariffs!D57)</f>
        <v xml:space="preserve">East Wide Inclining Fixed </v>
      </c>
      <c r="E57" s="1259" t="str">
        <f>IF(Prop2021DUOSTariffs!E57="","",Prop2021DUOSTariffs!E57)</f>
        <v>SAC</v>
      </c>
      <c r="F57" s="1259" t="str">
        <f>IF(Prop2021DUOSTariffs!F57="","",Prop2021DUOSTariffs!F57)</f>
        <v>SACS Bus</v>
      </c>
      <c r="G57" s="1259" t="str">
        <f>IF(Prop2021DUOSTariffs!G57="","",Prop2021DUOSTariffs!G57)</f>
        <v>East</v>
      </c>
      <c r="H57" s="1259" t="str">
        <f>IF(Prop2021DUOSTariffs!H57="","",Prop2021DUOSTariffs!H57)</f>
        <v>EBWIF</v>
      </c>
      <c r="I57" s="1259" t="s">
        <v>935</v>
      </c>
      <c r="J57" s="1256"/>
      <c r="K57" s="1233">
        <v>0.1335341443782054</v>
      </c>
      <c r="L57" s="1135"/>
      <c r="M57" s="1135"/>
      <c r="N57" s="1135"/>
      <c r="O57" s="1135"/>
      <c r="P57" s="1135"/>
      <c r="Q57" s="1135"/>
      <c r="R57" s="1135"/>
      <c r="S57" s="1135"/>
      <c r="T57" s="1135"/>
      <c r="U57" s="1135"/>
      <c r="V57" s="1135"/>
      <c r="W57" s="1135"/>
      <c r="X57" s="1135"/>
      <c r="Y57" s="1135"/>
      <c r="Z57" s="1135"/>
      <c r="AA57" s="1135"/>
      <c r="AB57" s="1135"/>
      <c r="AC57" s="1135"/>
      <c r="AD57" s="1135"/>
      <c r="AE57" s="1135"/>
      <c r="AF57" s="1005"/>
      <c r="AG57" s="1005"/>
      <c r="AH57" s="1224">
        <v>7.4122808686789441E-3</v>
      </c>
      <c r="AI57" s="1241"/>
      <c r="AJ57" s="1241"/>
      <c r="AK57" s="1241"/>
      <c r="AL57" s="1241"/>
      <c r="AM57" s="1241"/>
      <c r="AN57" s="1241"/>
      <c r="AO57" s="1241"/>
      <c r="AP57" s="1241"/>
      <c r="AQ57" s="1241"/>
      <c r="AR57" s="1241"/>
      <c r="AS57" s="1241"/>
      <c r="AT57" s="1256"/>
      <c r="AU57" s="1484">
        <v>0.14489953366876271</v>
      </c>
      <c r="AV57" s="1241"/>
      <c r="AW57" s="1241"/>
      <c r="AX57" s="1241"/>
      <c r="AY57" s="1241"/>
      <c r="AZ57" s="1241"/>
      <c r="BA57" s="1241"/>
      <c r="BB57" s="1241"/>
      <c r="BC57" s="1241"/>
      <c r="BD57" s="1241"/>
      <c r="BE57" s="1241"/>
      <c r="BF57" s="1241"/>
      <c r="BG57" s="1241"/>
      <c r="BH57" s="1241"/>
      <c r="BI57" s="1241"/>
      <c r="BJ57" s="1241"/>
      <c r="BK57" s="1241"/>
      <c r="BL57" s="1241"/>
      <c r="BM57" s="1241"/>
      <c r="BN57" s="1241"/>
      <c r="BO57" s="1241"/>
      <c r="BP57" s="1241"/>
      <c r="BQ57" s="1241"/>
      <c r="BR57" s="1484">
        <v>8.2170735145811833E-3</v>
      </c>
      <c r="BS57" s="1241"/>
      <c r="BT57" s="1241"/>
      <c r="BU57" s="1241"/>
      <c r="BV57" s="1241"/>
      <c r="BW57" s="1241"/>
      <c r="BX57" s="1241"/>
      <c r="BY57" s="1241"/>
      <c r="BZ57" s="1241"/>
      <c r="CA57" s="1241"/>
      <c r="CB57" s="1241"/>
      <c r="CC57" s="1241"/>
      <c r="CD57" s="1256"/>
      <c r="CE57" s="1256"/>
      <c r="CF57" s="1265">
        <v>14717.010000000002</v>
      </c>
      <c r="CG57" s="1030"/>
      <c r="CH57" s="1030"/>
      <c r="CI57" s="1030"/>
      <c r="CJ57" s="1030"/>
      <c r="CK57" s="1030"/>
      <c r="CL57" s="1135"/>
      <c r="CM57" s="1135"/>
      <c r="CN57" s="1135"/>
      <c r="CO57" s="1135"/>
      <c r="CP57" s="1135"/>
      <c r="CQ57" s="1135"/>
      <c r="CR57" s="1135"/>
      <c r="CS57" s="1135"/>
      <c r="CT57" s="1135"/>
      <c r="CU57" s="1135"/>
      <c r="CV57" s="1135"/>
      <c r="CW57" s="1135"/>
      <c r="CX57" s="1135"/>
      <c r="CY57" s="1135"/>
      <c r="CZ57" s="1135"/>
      <c r="DA57" s="1008"/>
      <c r="DB57" s="1008"/>
      <c r="DC57" s="1265">
        <v>667156427.70000017</v>
      </c>
      <c r="DD57" s="1008"/>
      <c r="DE57" s="1008"/>
      <c r="DF57" s="1008"/>
      <c r="DG57" s="1008"/>
      <c r="DH57" s="1008"/>
      <c r="DI57" s="1008"/>
      <c r="DJ57" s="1008"/>
      <c r="DK57" s="1008"/>
      <c r="DL57" s="1008"/>
      <c r="DM57" s="1008"/>
      <c r="DN57" s="1008"/>
      <c r="DO57" s="1256"/>
      <c r="DP57" s="1155">
        <f t="shared" si="163"/>
        <v>717306.51842675486</v>
      </c>
      <c r="DQ57" s="1155">
        <f t="shared" si="164"/>
        <v>0</v>
      </c>
      <c r="DR57" s="1155">
        <f t="shared" si="165"/>
        <v>0</v>
      </c>
      <c r="DS57" s="1155">
        <f t="shared" si="166"/>
        <v>0</v>
      </c>
      <c r="DT57" s="1155">
        <f t="shared" si="167"/>
        <v>0</v>
      </c>
      <c r="DU57" s="1155">
        <f t="shared" si="168"/>
        <v>0</v>
      </c>
      <c r="DV57" s="1155">
        <f t="shared" si="169"/>
        <v>0</v>
      </c>
      <c r="DW57" s="1155">
        <f t="shared" si="170"/>
        <v>0</v>
      </c>
      <c r="DX57" s="1155">
        <f t="shared" si="171"/>
        <v>0</v>
      </c>
      <c r="DY57" s="1155">
        <f t="shared" si="172"/>
        <v>0</v>
      </c>
      <c r="DZ57" s="1155">
        <f t="shared" si="173"/>
        <v>0</v>
      </c>
      <c r="EA57" s="1155">
        <f t="shared" si="174"/>
        <v>0</v>
      </c>
      <c r="EB57" s="1155">
        <f t="shared" si="175"/>
        <v>0</v>
      </c>
      <c r="EC57" s="1155">
        <f t="shared" si="176"/>
        <v>0</v>
      </c>
      <c r="ED57" s="1155">
        <f t="shared" si="177"/>
        <v>0</v>
      </c>
      <c r="EE57" s="1155">
        <f t="shared" si="178"/>
        <v>0</v>
      </c>
      <c r="EF57" s="1155">
        <f t="shared" si="179"/>
        <v>0</v>
      </c>
      <c r="EG57" s="1155">
        <f t="shared" si="180"/>
        <v>0</v>
      </c>
      <c r="EH57" s="1155">
        <f t="shared" si="181"/>
        <v>0</v>
      </c>
      <c r="EI57" s="1155">
        <f t="shared" si="182"/>
        <v>0</v>
      </c>
      <c r="EJ57" s="1155">
        <f t="shared" si="183"/>
        <v>0</v>
      </c>
      <c r="EK57" s="1155">
        <f t="shared" si="184"/>
        <v>0</v>
      </c>
      <c r="EL57" s="1155">
        <f t="shared" si="185"/>
        <v>0</v>
      </c>
      <c r="EM57" s="1155">
        <f t="shared" si="186"/>
        <v>4945150.8254568987</v>
      </c>
      <c r="EN57" s="1155">
        <f t="shared" si="187"/>
        <v>0</v>
      </c>
      <c r="EO57" s="1155">
        <f t="shared" si="188"/>
        <v>0</v>
      </c>
      <c r="EP57" s="1155">
        <f t="shared" si="189"/>
        <v>0</v>
      </c>
      <c r="EQ57" s="1155">
        <f t="shared" si="190"/>
        <v>0</v>
      </c>
      <c r="ER57" s="1155">
        <f t="shared" si="191"/>
        <v>0</v>
      </c>
      <c r="ES57" s="1155">
        <f t="shared" si="192"/>
        <v>0</v>
      </c>
      <c r="ET57" s="1155">
        <f t="shared" si="193"/>
        <v>0</v>
      </c>
      <c r="EU57" s="1155">
        <f t="shared" si="194"/>
        <v>0</v>
      </c>
      <c r="EV57" s="1155">
        <f t="shared" si="195"/>
        <v>0</v>
      </c>
      <c r="EW57" s="1155">
        <f t="shared" si="196"/>
        <v>0</v>
      </c>
      <c r="EX57" s="1155">
        <f t="shared" si="197"/>
        <v>0</v>
      </c>
      <c r="EY57" s="1175">
        <f t="shared" si="198"/>
        <v>5662457.3438836532</v>
      </c>
      <c r="EZ57" s="1256"/>
      <c r="FA57" s="1155">
        <f t="shared" si="199"/>
        <v>778358.07838945906</v>
      </c>
      <c r="FB57" s="1155">
        <f t="shared" si="200"/>
        <v>0</v>
      </c>
      <c r="FC57" s="1155">
        <f t="shared" si="201"/>
        <v>0</v>
      </c>
      <c r="FD57" s="1155">
        <f t="shared" si="202"/>
        <v>0</v>
      </c>
      <c r="FE57" s="1155">
        <f t="shared" si="203"/>
        <v>0</v>
      </c>
      <c r="FF57" s="1155">
        <f t="shared" si="204"/>
        <v>0</v>
      </c>
      <c r="FG57" s="1155">
        <f t="shared" si="205"/>
        <v>0</v>
      </c>
      <c r="FH57" s="1155">
        <f t="shared" si="206"/>
        <v>0</v>
      </c>
      <c r="FI57" s="1155">
        <f t="shared" si="207"/>
        <v>0</v>
      </c>
      <c r="FJ57" s="1155">
        <f t="shared" si="208"/>
        <v>0</v>
      </c>
      <c r="FK57" s="1155">
        <f t="shared" si="209"/>
        <v>0</v>
      </c>
      <c r="FL57" s="1155">
        <f t="shared" si="210"/>
        <v>0</v>
      </c>
      <c r="FM57" s="1155">
        <f t="shared" si="211"/>
        <v>0</v>
      </c>
      <c r="FN57" s="1155">
        <f t="shared" si="212"/>
        <v>0</v>
      </c>
      <c r="FO57" s="1155">
        <f t="shared" si="213"/>
        <v>0</v>
      </c>
      <c r="FP57" s="1155">
        <f t="shared" si="214"/>
        <v>0</v>
      </c>
      <c r="FQ57" s="1155">
        <f t="shared" si="215"/>
        <v>0</v>
      </c>
      <c r="FR57" s="1155">
        <f t="shared" si="216"/>
        <v>0</v>
      </c>
      <c r="FS57" s="1155">
        <f t="shared" si="217"/>
        <v>0</v>
      </c>
      <c r="FT57" s="1155">
        <f t="shared" si="218"/>
        <v>0</v>
      </c>
      <c r="FU57" s="1155">
        <f t="shared" si="219"/>
        <v>0</v>
      </c>
      <c r="FV57" s="1155">
        <f t="shared" si="220"/>
        <v>0</v>
      </c>
      <c r="FW57" s="1155">
        <f t="shared" si="221"/>
        <v>0</v>
      </c>
      <c r="FX57" s="1155">
        <f t="shared" si="222"/>
        <v>5482073.4121362679</v>
      </c>
      <c r="FY57" s="1155">
        <f t="shared" si="223"/>
        <v>0</v>
      </c>
      <c r="FZ57" s="1155">
        <f t="shared" si="224"/>
        <v>0</v>
      </c>
      <c r="GA57" s="1155">
        <f t="shared" si="225"/>
        <v>0</v>
      </c>
      <c r="GB57" s="1155">
        <f t="shared" si="226"/>
        <v>0</v>
      </c>
      <c r="GC57" s="1155">
        <f t="shared" si="227"/>
        <v>0</v>
      </c>
      <c r="GD57" s="1155">
        <f t="shared" si="228"/>
        <v>0</v>
      </c>
      <c r="GE57" s="1155">
        <f t="shared" si="229"/>
        <v>0</v>
      </c>
      <c r="GF57" s="1155">
        <f t="shared" si="230"/>
        <v>0</v>
      </c>
      <c r="GG57" s="1155">
        <f t="shared" si="231"/>
        <v>0</v>
      </c>
      <c r="GH57" s="1155">
        <f t="shared" si="232"/>
        <v>0</v>
      </c>
      <c r="GI57" s="1155">
        <f t="shared" si="233"/>
        <v>0</v>
      </c>
      <c r="GJ57" s="1175">
        <f t="shared" si="234"/>
        <v>6260431.4905257272</v>
      </c>
    </row>
    <row r="58" spans="1:192" s="1101" customFormat="1">
      <c r="B58" s="1259" t="str">
        <f>IF(Prop2021DUOSTariffs!B58="","",Prop2021DUOSTariffs!B58)</f>
        <v/>
      </c>
      <c r="C58" s="1259" t="str">
        <f>IF(Prop2021DUOSTariffs!C58="","",Prop2021DUOSTariffs!C58)</f>
        <v>West Wide Inclining Fixed</v>
      </c>
      <c r="D58" s="1259" t="str">
        <f>IF(Prop2021DUOSTariffs!D58="","",Prop2021DUOSTariffs!D58)</f>
        <v>West Wide Inclining Fixed</v>
      </c>
      <c r="E58" s="1259" t="str">
        <f>IF(Prop2021DUOSTariffs!E58="","",Prop2021DUOSTariffs!E58)</f>
        <v>SAC</v>
      </c>
      <c r="F58" s="1259" t="str">
        <f>IF(Prop2021DUOSTariffs!F58="","",Prop2021DUOSTariffs!F58)</f>
        <v>SACS Bus</v>
      </c>
      <c r="G58" s="1259" t="str">
        <f>IF(Prop2021DUOSTariffs!G58="","",Prop2021DUOSTariffs!G58)</f>
        <v>West</v>
      </c>
      <c r="H58" s="1259" t="str">
        <f>IF(Prop2021DUOSTariffs!H58="","",Prop2021DUOSTariffs!H58)</f>
        <v>WBWIF</v>
      </c>
      <c r="I58" s="1259" t="s">
        <v>935</v>
      </c>
      <c r="J58" s="1256"/>
      <c r="K58" s="1233">
        <v>0.1335341443782054</v>
      </c>
      <c r="L58" s="1135"/>
      <c r="M58" s="1135"/>
      <c r="N58" s="1135"/>
      <c r="O58" s="1135"/>
      <c r="P58" s="1135"/>
      <c r="Q58" s="1135"/>
      <c r="R58" s="1135"/>
      <c r="S58" s="1135"/>
      <c r="T58" s="1135"/>
      <c r="U58" s="1135"/>
      <c r="V58" s="1135"/>
      <c r="W58" s="1135"/>
      <c r="X58" s="1135"/>
      <c r="Y58" s="1135"/>
      <c r="Z58" s="1135"/>
      <c r="AA58" s="1135"/>
      <c r="AB58" s="1135"/>
      <c r="AC58" s="1135"/>
      <c r="AD58" s="1135"/>
      <c r="AE58" s="1135"/>
      <c r="AF58" s="1005"/>
      <c r="AG58" s="1005"/>
      <c r="AH58" s="1224">
        <v>7.4122808686789441E-3</v>
      </c>
      <c r="AI58" s="1241"/>
      <c r="AJ58" s="1241"/>
      <c r="AK58" s="1241"/>
      <c r="AL58" s="1241"/>
      <c r="AM58" s="1241"/>
      <c r="AN58" s="1241"/>
      <c r="AO58" s="1241"/>
      <c r="AP58" s="1241"/>
      <c r="AQ58" s="1241"/>
      <c r="AR58" s="1241"/>
      <c r="AS58" s="1241"/>
      <c r="AT58" s="1256"/>
      <c r="AU58" s="1484">
        <v>0.14489953366876271</v>
      </c>
      <c r="AV58" s="1241"/>
      <c r="AW58" s="1241"/>
      <c r="AX58" s="1241"/>
      <c r="AY58" s="1241"/>
      <c r="AZ58" s="1241"/>
      <c r="BA58" s="1241"/>
      <c r="BB58" s="1241"/>
      <c r="BC58" s="1241"/>
      <c r="BD58" s="1241"/>
      <c r="BE58" s="1241"/>
      <c r="BF58" s="1241"/>
      <c r="BG58" s="1241"/>
      <c r="BH58" s="1241"/>
      <c r="BI58" s="1241"/>
      <c r="BJ58" s="1241"/>
      <c r="BK58" s="1241"/>
      <c r="BL58" s="1241"/>
      <c r="BM58" s="1241"/>
      <c r="BN58" s="1241"/>
      <c r="BO58" s="1241"/>
      <c r="BP58" s="1241"/>
      <c r="BQ58" s="1241"/>
      <c r="BR58" s="1484">
        <v>8.2170735145811833E-3</v>
      </c>
      <c r="BS58" s="1241"/>
      <c r="BT58" s="1241"/>
      <c r="BU58" s="1241"/>
      <c r="BV58" s="1241"/>
      <c r="BW58" s="1241"/>
      <c r="BX58" s="1241"/>
      <c r="BY58" s="1241"/>
      <c r="BZ58" s="1241"/>
      <c r="CA58" s="1241"/>
      <c r="CB58" s="1241"/>
      <c r="CC58" s="1241"/>
      <c r="CD58" s="1256"/>
      <c r="CE58" s="1256"/>
      <c r="CF58" s="1265">
        <v>2091.64</v>
      </c>
      <c r="CG58" s="1030"/>
      <c r="CH58" s="1030"/>
      <c r="CI58" s="1030"/>
      <c r="CJ58" s="1030"/>
      <c r="CK58" s="1030"/>
      <c r="CL58" s="1135"/>
      <c r="CM58" s="1135"/>
      <c r="CN58" s="1135"/>
      <c r="CO58" s="1135"/>
      <c r="CP58" s="1135"/>
      <c r="CQ58" s="1135"/>
      <c r="CR58" s="1135"/>
      <c r="CS58" s="1135"/>
      <c r="CT58" s="1135"/>
      <c r="CU58" s="1135"/>
      <c r="CV58" s="1135"/>
      <c r="CW58" s="1135"/>
      <c r="CX58" s="1135"/>
      <c r="CY58" s="1135"/>
      <c r="CZ58" s="1135"/>
      <c r="DA58" s="1008"/>
      <c r="DB58" s="1008"/>
      <c r="DC58" s="1265">
        <v>89217404.640000001</v>
      </c>
      <c r="DD58" s="1008"/>
      <c r="DE58" s="1008"/>
      <c r="DF58" s="1008"/>
      <c r="DG58" s="1008"/>
      <c r="DH58" s="1008"/>
      <c r="DI58" s="1008"/>
      <c r="DJ58" s="1008"/>
      <c r="DK58" s="1008"/>
      <c r="DL58" s="1008"/>
      <c r="DM58" s="1008"/>
      <c r="DN58" s="1008"/>
      <c r="DO58" s="1256"/>
      <c r="DP58" s="1155">
        <f t="shared" si="163"/>
        <v>101946.45557773879</v>
      </c>
      <c r="DQ58" s="1155">
        <f t="shared" si="164"/>
        <v>0</v>
      </c>
      <c r="DR58" s="1155">
        <f t="shared" si="165"/>
        <v>0</v>
      </c>
      <c r="DS58" s="1155">
        <f t="shared" si="166"/>
        <v>0</v>
      </c>
      <c r="DT58" s="1155">
        <f t="shared" si="167"/>
        <v>0</v>
      </c>
      <c r="DU58" s="1155">
        <f t="shared" si="168"/>
        <v>0</v>
      </c>
      <c r="DV58" s="1155">
        <f t="shared" si="169"/>
        <v>0</v>
      </c>
      <c r="DW58" s="1155">
        <f t="shared" si="170"/>
        <v>0</v>
      </c>
      <c r="DX58" s="1155">
        <f t="shared" si="171"/>
        <v>0</v>
      </c>
      <c r="DY58" s="1155">
        <f t="shared" si="172"/>
        <v>0</v>
      </c>
      <c r="DZ58" s="1155">
        <f t="shared" si="173"/>
        <v>0</v>
      </c>
      <c r="EA58" s="1155">
        <f t="shared" si="174"/>
        <v>0</v>
      </c>
      <c r="EB58" s="1155">
        <f t="shared" si="175"/>
        <v>0</v>
      </c>
      <c r="EC58" s="1155">
        <f t="shared" si="176"/>
        <v>0</v>
      </c>
      <c r="ED58" s="1155">
        <f t="shared" si="177"/>
        <v>0</v>
      </c>
      <c r="EE58" s="1155">
        <f t="shared" si="178"/>
        <v>0</v>
      </c>
      <c r="EF58" s="1155">
        <f t="shared" si="179"/>
        <v>0</v>
      </c>
      <c r="EG58" s="1155">
        <f t="shared" si="180"/>
        <v>0</v>
      </c>
      <c r="EH58" s="1155">
        <f t="shared" si="181"/>
        <v>0</v>
      </c>
      <c r="EI58" s="1155">
        <f t="shared" si="182"/>
        <v>0</v>
      </c>
      <c r="EJ58" s="1155">
        <f t="shared" si="183"/>
        <v>0</v>
      </c>
      <c r="EK58" s="1155">
        <f t="shared" si="184"/>
        <v>0</v>
      </c>
      <c r="EL58" s="1155">
        <f t="shared" si="185"/>
        <v>0</v>
      </c>
      <c r="EM58" s="1155">
        <f t="shared" si="186"/>
        <v>661304.46156626008</v>
      </c>
      <c r="EN58" s="1155">
        <f t="shared" si="187"/>
        <v>0</v>
      </c>
      <c r="EO58" s="1155">
        <f t="shared" si="188"/>
        <v>0</v>
      </c>
      <c r="EP58" s="1155">
        <f t="shared" si="189"/>
        <v>0</v>
      </c>
      <c r="EQ58" s="1155">
        <f t="shared" si="190"/>
        <v>0</v>
      </c>
      <c r="ER58" s="1155">
        <f t="shared" si="191"/>
        <v>0</v>
      </c>
      <c r="ES58" s="1155">
        <f t="shared" si="192"/>
        <v>0</v>
      </c>
      <c r="ET58" s="1155">
        <f t="shared" si="193"/>
        <v>0</v>
      </c>
      <c r="EU58" s="1155">
        <f t="shared" si="194"/>
        <v>0</v>
      </c>
      <c r="EV58" s="1155">
        <f t="shared" si="195"/>
        <v>0</v>
      </c>
      <c r="EW58" s="1155">
        <f t="shared" si="196"/>
        <v>0</v>
      </c>
      <c r="EX58" s="1155">
        <f t="shared" si="197"/>
        <v>0</v>
      </c>
      <c r="EY58" s="1175">
        <f t="shared" si="198"/>
        <v>763250.9171439989</v>
      </c>
      <c r="EZ58" s="1256"/>
      <c r="FA58" s="1155">
        <f t="shared" si="199"/>
        <v>110623.34612006973</v>
      </c>
      <c r="FB58" s="1155">
        <f t="shared" si="200"/>
        <v>0</v>
      </c>
      <c r="FC58" s="1155">
        <f t="shared" si="201"/>
        <v>0</v>
      </c>
      <c r="FD58" s="1155">
        <f t="shared" si="202"/>
        <v>0</v>
      </c>
      <c r="FE58" s="1155">
        <f t="shared" si="203"/>
        <v>0</v>
      </c>
      <c r="FF58" s="1155">
        <f t="shared" si="204"/>
        <v>0</v>
      </c>
      <c r="FG58" s="1155">
        <f t="shared" si="205"/>
        <v>0</v>
      </c>
      <c r="FH58" s="1155">
        <f t="shared" si="206"/>
        <v>0</v>
      </c>
      <c r="FI58" s="1155">
        <f t="shared" si="207"/>
        <v>0</v>
      </c>
      <c r="FJ58" s="1155">
        <f t="shared" si="208"/>
        <v>0</v>
      </c>
      <c r="FK58" s="1155">
        <f t="shared" si="209"/>
        <v>0</v>
      </c>
      <c r="FL58" s="1155">
        <f t="shared" si="210"/>
        <v>0</v>
      </c>
      <c r="FM58" s="1155">
        <f t="shared" si="211"/>
        <v>0</v>
      </c>
      <c r="FN58" s="1155">
        <f t="shared" si="212"/>
        <v>0</v>
      </c>
      <c r="FO58" s="1155">
        <f t="shared" si="213"/>
        <v>0</v>
      </c>
      <c r="FP58" s="1155">
        <f t="shared" si="214"/>
        <v>0</v>
      </c>
      <c r="FQ58" s="1155">
        <f t="shared" si="215"/>
        <v>0</v>
      </c>
      <c r="FR58" s="1155">
        <f t="shared" si="216"/>
        <v>0</v>
      </c>
      <c r="FS58" s="1155">
        <f t="shared" si="217"/>
        <v>0</v>
      </c>
      <c r="FT58" s="1155">
        <f t="shared" si="218"/>
        <v>0</v>
      </c>
      <c r="FU58" s="1155">
        <f t="shared" si="219"/>
        <v>0</v>
      </c>
      <c r="FV58" s="1155">
        <f t="shared" si="220"/>
        <v>0</v>
      </c>
      <c r="FW58" s="1155">
        <f t="shared" si="221"/>
        <v>0</v>
      </c>
      <c r="FX58" s="1155">
        <f t="shared" si="222"/>
        <v>733105.97270701639</v>
      </c>
      <c r="FY58" s="1155">
        <f t="shared" si="223"/>
        <v>0</v>
      </c>
      <c r="FZ58" s="1155">
        <f t="shared" si="224"/>
        <v>0</v>
      </c>
      <c r="GA58" s="1155">
        <f t="shared" si="225"/>
        <v>0</v>
      </c>
      <c r="GB58" s="1155">
        <f t="shared" si="226"/>
        <v>0</v>
      </c>
      <c r="GC58" s="1155">
        <f t="shared" si="227"/>
        <v>0</v>
      </c>
      <c r="GD58" s="1155">
        <f t="shared" si="228"/>
        <v>0</v>
      </c>
      <c r="GE58" s="1155">
        <f t="shared" si="229"/>
        <v>0</v>
      </c>
      <c r="GF58" s="1155">
        <f t="shared" si="230"/>
        <v>0</v>
      </c>
      <c r="GG58" s="1155">
        <f t="shared" si="231"/>
        <v>0</v>
      </c>
      <c r="GH58" s="1155">
        <f t="shared" si="232"/>
        <v>0</v>
      </c>
      <c r="GI58" s="1155">
        <f t="shared" si="233"/>
        <v>0</v>
      </c>
      <c r="GJ58" s="1175">
        <f t="shared" si="234"/>
        <v>843729.31882708613</v>
      </c>
    </row>
    <row r="59" spans="1:192" s="1101" customFormat="1">
      <c r="B59" s="1259" t="str">
        <f>IF(Prop2021DUOSTariffs!B59="","",Prop2021DUOSTariffs!B59)</f>
        <v/>
      </c>
      <c r="C59" s="1259" t="str">
        <f>IF(Prop2021DUOSTariffs!C59="","",Prop2021DUOSTariffs!C59)</f>
        <v>MtIsa Wide Inclining Fixed</v>
      </c>
      <c r="D59" s="1259" t="str">
        <f>IF(Prop2021DUOSTariffs!D59="","",Prop2021DUOSTariffs!D59)</f>
        <v>MtIsa Wide Inclining Fixed</v>
      </c>
      <c r="E59" s="1259" t="str">
        <f>IF(Prop2021DUOSTariffs!E59="","",Prop2021DUOSTariffs!E59)</f>
        <v>SAC</v>
      </c>
      <c r="F59" s="1259" t="str">
        <f>IF(Prop2021DUOSTariffs!F59="","",Prop2021DUOSTariffs!F59)</f>
        <v>SACS Bus</v>
      </c>
      <c r="G59" s="1259" t="str">
        <f>IF(Prop2021DUOSTariffs!G59="","",Prop2021DUOSTariffs!G59)</f>
        <v>Mt Isa</v>
      </c>
      <c r="H59" s="1259" t="str">
        <f>IF(Prop2021DUOSTariffs!H59="","",Prop2021DUOSTariffs!H59)</f>
        <v>MBWIF</v>
      </c>
      <c r="I59" s="1259" t="s">
        <v>935</v>
      </c>
      <c r="J59" s="1256"/>
      <c r="K59" s="1233">
        <v>0.1335341443782054</v>
      </c>
      <c r="L59" s="1135"/>
      <c r="M59" s="1135"/>
      <c r="N59" s="1135"/>
      <c r="O59" s="1135"/>
      <c r="P59" s="1135"/>
      <c r="Q59" s="1135"/>
      <c r="R59" s="1135"/>
      <c r="S59" s="1135"/>
      <c r="T59" s="1135"/>
      <c r="U59" s="1135"/>
      <c r="V59" s="1135"/>
      <c r="W59" s="1135"/>
      <c r="X59" s="1135"/>
      <c r="Y59" s="1135"/>
      <c r="Z59" s="1135"/>
      <c r="AA59" s="1135"/>
      <c r="AB59" s="1135"/>
      <c r="AC59" s="1135"/>
      <c r="AD59" s="1135"/>
      <c r="AE59" s="1135"/>
      <c r="AF59" s="1005"/>
      <c r="AG59" s="1005"/>
      <c r="AH59" s="1224">
        <v>7.4122808686789441E-3</v>
      </c>
      <c r="AI59" s="1241"/>
      <c r="AJ59" s="1241"/>
      <c r="AK59" s="1241"/>
      <c r="AL59" s="1241"/>
      <c r="AM59" s="1241"/>
      <c r="AN59" s="1241"/>
      <c r="AO59" s="1241"/>
      <c r="AP59" s="1241"/>
      <c r="AQ59" s="1241"/>
      <c r="AR59" s="1241"/>
      <c r="AS59" s="1241"/>
      <c r="AT59" s="1256"/>
      <c r="AU59" s="1484">
        <v>0.14489953366876271</v>
      </c>
      <c r="AV59" s="1241"/>
      <c r="AW59" s="1241"/>
      <c r="AX59" s="1241"/>
      <c r="AY59" s="1241"/>
      <c r="AZ59" s="1241"/>
      <c r="BA59" s="1241"/>
      <c r="BB59" s="1241"/>
      <c r="BC59" s="1241"/>
      <c r="BD59" s="1241"/>
      <c r="BE59" s="1241"/>
      <c r="BF59" s="1241"/>
      <c r="BG59" s="1241"/>
      <c r="BH59" s="1241"/>
      <c r="BI59" s="1241"/>
      <c r="BJ59" s="1241"/>
      <c r="BK59" s="1241"/>
      <c r="BL59" s="1241"/>
      <c r="BM59" s="1241"/>
      <c r="BN59" s="1241"/>
      <c r="BO59" s="1241"/>
      <c r="BP59" s="1241"/>
      <c r="BQ59" s="1241"/>
      <c r="BR59" s="1484">
        <v>8.2170735145811833E-3</v>
      </c>
      <c r="BS59" s="1241"/>
      <c r="BT59" s="1241"/>
      <c r="BU59" s="1241"/>
      <c r="BV59" s="1241"/>
      <c r="BW59" s="1241"/>
      <c r="BX59" s="1241"/>
      <c r="BY59" s="1241"/>
      <c r="BZ59" s="1241"/>
      <c r="CA59" s="1241"/>
      <c r="CB59" s="1241"/>
      <c r="CC59" s="1241"/>
      <c r="CD59" s="1256"/>
      <c r="CE59" s="1256"/>
      <c r="CF59" s="1265">
        <v>377.84000000000003</v>
      </c>
      <c r="CG59" s="1030"/>
      <c r="CH59" s="1030"/>
      <c r="CI59" s="1030"/>
      <c r="CJ59" s="1030"/>
      <c r="CK59" s="1030"/>
      <c r="CL59" s="1135"/>
      <c r="CM59" s="1135"/>
      <c r="CN59" s="1135"/>
      <c r="CO59" s="1135"/>
      <c r="CP59" s="1135"/>
      <c r="CQ59" s="1135"/>
      <c r="CR59" s="1135"/>
      <c r="CS59" s="1135"/>
      <c r="CT59" s="1135"/>
      <c r="CU59" s="1135"/>
      <c r="CV59" s="1135"/>
      <c r="CW59" s="1135"/>
      <c r="CX59" s="1135"/>
      <c r="CY59" s="1135"/>
      <c r="CZ59" s="1135"/>
      <c r="DA59" s="1008"/>
      <c r="DB59" s="1008"/>
      <c r="DC59" s="1265">
        <v>18180753.899999999</v>
      </c>
      <c r="DD59" s="1008"/>
      <c r="DE59" s="1008"/>
      <c r="DF59" s="1008"/>
      <c r="DG59" s="1008"/>
      <c r="DH59" s="1008"/>
      <c r="DI59" s="1008"/>
      <c r="DJ59" s="1008"/>
      <c r="DK59" s="1008"/>
      <c r="DL59" s="1008"/>
      <c r="DM59" s="1008"/>
      <c r="DN59" s="1008"/>
      <c r="DO59" s="1256"/>
      <c r="DP59" s="1155">
        <f t="shared" si="163"/>
        <v>18415.907505829313</v>
      </c>
      <c r="DQ59" s="1155">
        <f t="shared" si="164"/>
        <v>0</v>
      </c>
      <c r="DR59" s="1155">
        <f t="shared" si="165"/>
        <v>0</v>
      </c>
      <c r="DS59" s="1155">
        <f t="shared" si="166"/>
        <v>0</v>
      </c>
      <c r="DT59" s="1155">
        <f t="shared" si="167"/>
        <v>0</v>
      </c>
      <c r="DU59" s="1155">
        <f t="shared" si="168"/>
        <v>0</v>
      </c>
      <c r="DV59" s="1155">
        <f t="shared" si="169"/>
        <v>0</v>
      </c>
      <c r="DW59" s="1155">
        <f t="shared" si="170"/>
        <v>0</v>
      </c>
      <c r="DX59" s="1155">
        <f t="shared" si="171"/>
        <v>0</v>
      </c>
      <c r="DY59" s="1155">
        <f t="shared" si="172"/>
        <v>0</v>
      </c>
      <c r="DZ59" s="1155">
        <f t="shared" si="173"/>
        <v>0</v>
      </c>
      <c r="EA59" s="1155">
        <f t="shared" si="174"/>
        <v>0</v>
      </c>
      <c r="EB59" s="1155">
        <f t="shared" si="175"/>
        <v>0</v>
      </c>
      <c r="EC59" s="1155">
        <f t="shared" si="176"/>
        <v>0</v>
      </c>
      <c r="ED59" s="1155">
        <f t="shared" si="177"/>
        <v>0</v>
      </c>
      <c r="EE59" s="1155">
        <f t="shared" si="178"/>
        <v>0</v>
      </c>
      <c r="EF59" s="1155">
        <f t="shared" si="179"/>
        <v>0</v>
      </c>
      <c r="EG59" s="1155">
        <f t="shared" si="180"/>
        <v>0</v>
      </c>
      <c r="EH59" s="1155">
        <f t="shared" si="181"/>
        <v>0</v>
      </c>
      <c r="EI59" s="1155">
        <f t="shared" si="182"/>
        <v>0</v>
      </c>
      <c r="EJ59" s="1155">
        <f t="shared" si="183"/>
        <v>0</v>
      </c>
      <c r="EK59" s="1155">
        <f t="shared" si="184"/>
        <v>0</v>
      </c>
      <c r="EL59" s="1155">
        <f t="shared" si="185"/>
        <v>0</v>
      </c>
      <c r="EM59" s="1155">
        <f t="shared" si="186"/>
        <v>134760.8543111301</v>
      </c>
      <c r="EN59" s="1155">
        <f t="shared" si="187"/>
        <v>0</v>
      </c>
      <c r="EO59" s="1155">
        <f t="shared" si="188"/>
        <v>0</v>
      </c>
      <c r="EP59" s="1155">
        <f t="shared" si="189"/>
        <v>0</v>
      </c>
      <c r="EQ59" s="1155">
        <f t="shared" si="190"/>
        <v>0</v>
      </c>
      <c r="ER59" s="1155">
        <f t="shared" si="191"/>
        <v>0</v>
      </c>
      <c r="ES59" s="1155">
        <f t="shared" si="192"/>
        <v>0</v>
      </c>
      <c r="ET59" s="1155">
        <f t="shared" si="193"/>
        <v>0</v>
      </c>
      <c r="EU59" s="1155">
        <f t="shared" si="194"/>
        <v>0</v>
      </c>
      <c r="EV59" s="1155">
        <f t="shared" si="195"/>
        <v>0</v>
      </c>
      <c r="EW59" s="1155">
        <f t="shared" si="196"/>
        <v>0</v>
      </c>
      <c r="EX59" s="1155">
        <f t="shared" si="197"/>
        <v>0</v>
      </c>
      <c r="EY59" s="1175">
        <f t="shared" si="198"/>
        <v>153176.76181695942</v>
      </c>
      <c r="EZ59" s="1256"/>
      <c r="FA59" s="1155">
        <f t="shared" si="199"/>
        <v>19983.326527512934</v>
      </c>
      <c r="FB59" s="1155">
        <f t="shared" si="200"/>
        <v>0</v>
      </c>
      <c r="FC59" s="1155">
        <f t="shared" si="201"/>
        <v>0</v>
      </c>
      <c r="FD59" s="1155">
        <f t="shared" si="202"/>
        <v>0</v>
      </c>
      <c r="FE59" s="1155">
        <f t="shared" si="203"/>
        <v>0</v>
      </c>
      <c r="FF59" s="1155">
        <f t="shared" si="204"/>
        <v>0</v>
      </c>
      <c r="FG59" s="1155">
        <f t="shared" si="205"/>
        <v>0</v>
      </c>
      <c r="FH59" s="1155">
        <f t="shared" si="206"/>
        <v>0</v>
      </c>
      <c r="FI59" s="1155">
        <f t="shared" si="207"/>
        <v>0</v>
      </c>
      <c r="FJ59" s="1155">
        <f t="shared" si="208"/>
        <v>0</v>
      </c>
      <c r="FK59" s="1155">
        <f t="shared" si="209"/>
        <v>0</v>
      </c>
      <c r="FL59" s="1155">
        <f t="shared" si="210"/>
        <v>0</v>
      </c>
      <c r="FM59" s="1155">
        <f t="shared" si="211"/>
        <v>0</v>
      </c>
      <c r="FN59" s="1155">
        <f t="shared" si="212"/>
        <v>0</v>
      </c>
      <c r="FO59" s="1155">
        <f t="shared" si="213"/>
        <v>0</v>
      </c>
      <c r="FP59" s="1155">
        <f t="shared" si="214"/>
        <v>0</v>
      </c>
      <c r="FQ59" s="1155">
        <f t="shared" si="215"/>
        <v>0</v>
      </c>
      <c r="FR59" s="1155">
        <f t="shared" si="216"/>
        <v>0</v>
      </c>
      <c r="FS59" s="1155">
        <f t="shared" si="217"/>
        <v>0</v>
      </c>
      <c r="FT59" s="1155">
        <f t="shared" si="218"/>
        <v>0</v>
      </c>
      <c r="FU59" s="1155">
        <f t="shared" si="219"/>
        <v>0</v>
      </c>
      <c r="FV59" s="1155">
        <f t="shared" si="220"/>
        <v>0</v>
      </c>
      <c r="FW59" s="1155">
        <f t="shared" si="221"/>
        <v>0</v>
      </c>
      <c r="FX59" s="1155">
        <f t="shared" si="222"/>
        <v>149392.59134680853</v>
      </c>
      <c r="FY59" s="1155">
        <f t="shared" si="223"/>
        <v>0</v>
      </c>
      <c r="FZ59" s="1155">
        <f t="shared" si="224"/>
        <v>0</v>
      </c>
      <c r="GA59" s="1155">
        <f t="shared" si="225"/>
        <v>0</v>
      </c>
      <c r="GB59" s="1155">
        <f t="shared" si="226"/>
        <v>0</v>
      </c>
      <c r="GC59" s="1155">
        <f t="shared" si="227"/>
        <v>0</v>
      </c>
      <c r="GD59" s="1155">
        <f t="shared" si="228"/>
        <v>0</v>
      </c>
      <c r="GE59" s="1155">
        <f t="shared" si="229"/>
        <v>0</v>
      </c>
      <c r="GF59" s="1155">
        <f t="shared" si="230"/>
        <v>0</v>
      </c>
      <c r="GG59" s="1155">
        <f t="shared" si="231"/>
        <v>0</v>
      </c>
      <c r="GH59" s="1155">
        <f t="shared" si="232"/>
        <v>0</v>
      </c>
      <c r="GI59" s="1155">
        <f t="shared" si="233"/>
        <v>0</v>
      </c>
      <c r="GJ59" s="1175">
        <f t="shared" si="234"/>
        <v>169375.91787432146</v>
      </c>
    </row>
    <row r="60" spans="1:192" s="1101" customFormat="1">
      <c r="B60" s="1259" t="str">
        <f>IF(Prop2021DUOSTariffs!B60="","",Prop2021DUOSTariffs!B60)</f>
        <v/>
      </c>
      <c r="C60" s="1259" t="str">
        <f>IF(Prop2021DUOSTariffs!C60="","",Prop2021DUOSTariffs!C60)</f>
        <v>East SAC&lt;100MWhpa Business TOU Energy</v>
      </c>
      <c r="D60" s="1259" t="str">
        <f>IF(Prop2021DUOSTariffs!D60="","",Prop2021DUOSTariffs!D60)</f>
        <v>East SAC&lt;100MWhpa Business TOU Energy</v>
      </c>
      <c r="E60" s="1259" t="str">
        <f>IF(Prop2021DUOSTariffs!E60="","",Prop2021DUOSTariffs!E60)</f>
        <v>SAC</v>
      </c>
      <c r="F60" s="1259" t="str">
        <f>IF(Prop2021DUOSTariffs!F60="","",Prop2021DUOSTariffs!F60)</f>
        <v>SACS Bus</v>
      </c>
      <c r="G60" s="1259" t="str">
        <f>IF(Prop2021DUOSTariffs!G60="","",Prop2021DUOSTariffs!G60)</f>
        <v>East</v>
      </c>
      <c r="H60" s="1259" t="str">
        <f>IF(Prop2021DUOSTariffs!H60="","",Prop2021DUOSTariffs!H60)</f>
        <v>EBTOUE</v>
      </c>
      <c r="I60" s="1259" t="s">
        <v>935</v>
      </c>
      <c r="J60" s="1256"/>
      <c r="K60" s="1233">
        <v>0.1335341443782054</v>
      </c>
      <c r="L60" s="1135"/>
      <c r="M60" s="1135"/>
      <c r="N60" s="1135"/>
      <c r="O60" s="1135"/>
      <c r="P60" s="1135"/>
      <c r="Q60" s="1135"/>
      <c r="R60" s="1135"/>
      <c r="S60" s="1135"/>
      <c r="T60" s="1135"/>
      <c r="U60" s="1135"/>
      <c r="V60" s="1135"/>
      <c r="W60" s="1135"/>
      <c r="X60" s="1135"/>
      <c r="Y60" s="1135"/>
      <c r="Z60" s="1135"/>
      <c r="AA60" s="1135"/>
      <c r="AB60" s="1135"/>
      <c r="AC60" s="1135"/>
      <c r="AD60" s="1135"/>
      <c r="AE60" s="1135"/>
      <c r="AF60" s="1005"/>
      <c r="AG60" s="1005"/>
      <c r="AH60" s="1224">
        <v>7.4122808686789441E-3</v>
      </c>
      <c r="AI60" s="1241"/>
      <c r="AJ60" s="1241"/>
      <c r="AK60" s="1241"/>
      <c r="AL60" s="1241"/>
      <c r="AM60" s="1241"/>
      <c r="AN60" s="1241"/>
      <c r="AO60" s="1241"/>
      <c r="AP60" s="1241"/>
      <c r="AQ60" s="1241"/>
      <c r="AR60" s="1241"/>
      <c r="AS60" s="1241"/>
      <c r="AT60" s="1256"/>
      <c r="AU60" s="1484">
        <v>0.14489953366876271</v>
      </c>
      <c r="AV60" s="1241"/>
      <c r="AW60" s="1241"/>
      <c r="AX60" s="1241"/>
      <c r="AY60" s="1241"/>
      <c r="AZ60" s="1241"/>
      <c r="BA60" s="1241"/>
      <c r="BB60" s="1241"/>
      <c r="BC60" s="1241"/>
      <c r="BD60" s="1241"/>
      <c r="BE60" s="1241"/>
      <c r="BF60" s="1241"/>
      <c r="BG60" s="1241"/>
      <c r="BH60" s="1241"/>
      <c r="BI60" s="1241"/>
      <c r="BJ60" s="1241"/>
      <c r="BK60" s="1241"/>
      <c r="BL60" s="1241"/>
      <c r="BM60" s="1241"/>
      <c r="BN60" s="1241"/>
      <c r="BO60" s="1241"/>
      <c r="BP60" s="1241"/>
      <c r="BQ60" s="1241"/>
      <c r="BR60" s="1484">
        <v>8.2170735145811833E-3</v>
      </c>
      <c r="BS60" s="1241"/>
      <c r="BT60" s="1241"/>
      <c r="BU60" s="1241"/>
      <c r="BV60" s="1241"/>
      <c r="BW60" s="1241"/>
      <c r="BX60" s="1241"/>
      <c r="BY60" s="1241"/>
      <c r="BZ60" s="1241"/>
      <c r="CA60" s="1241"/>
      <c r="CB60" s="1241"/>
      <c r="CC60" s="1241"/>
      <c r="CD60" s="1256"/>
      <c r="CE60" s="1256"/>
      <c r="CF60" s="1265">
        <v>562.09</v>
      </c>
      <c r="CG60" s="1135"/>
      <c r="CH60" s="1135"/>
      <c r="CI60" s="1135"/>
      <c r="CJ60" s="1135"/>
      <c r="CK60" s="1135"/>
      <c r="CL60" s="1135"/>
      <c r="CM60" s="1135"/>
      <c r="CN60" s="1135"/>
      <c r="CO60" s="1135"/>
      <c r="CP60" s="1135"/>
      <c r="CQ60" s="1135"/>
      <c r="CR60" s="1135"/>
      <c r="CS60" s="1135"/>
      <c r="CT60" s="1135"/>
      <c r="CU60" s="1135"/>
      <c r="CV60" s="1135"/>
      <c r="CW60" s="1135"/>
      <c r="CX60" s="1135"/>
      <c r="CY60" s="1135"/>
      <c r="CZ60" s="1135"/>
      <c r="DA60" s="1008"/>
      <c r="DB60" s="1008"/>
      <c r="DC60" s="1265">
        <v>10535534.470000003</v>
      </c>
      <c r="DD60" s="1008"/>
      <c r="DE60" s="1008"/>
      <c r="DF60" s="1008"/>
      <c r="DG60" s="1008"/>
      <c r="DH60" s="1008"/>
      <c r="DI60" s="1008"/>
      <c r="DJ60" s="1008"/>
      <c r="DK60" s="1008"/>
      <c r="DL60" s="1008"/>
      <c r="DM60" s="1008"/>
      <c r="DN60" s="1008"/>
      <c r="DO60" s="1256"/>
      <c r="DP60" s="1155">
        <f t="shared" si="163"/>
        <v>27396.245632944101</v>
      </c>
      <c r="DQ60" s="1155">
        <f t="shared" si="164"/>
        <v>0</v>
      </c>
      <c r="DR60" s="1155">
        <f t="shared" si="165"/>
        <v>0</v>
      </c>
      <c r="DS60" s="1155">
        <f t="shared" si="166"/>
        <v>0</v>
      </c>
      <c r="DT60" s="1155">
        <f t="shared" si="167"/>
        <v>0</v>
      </c>
      <c r="DU60" s="1155">
        <f t="shared" si="168"/>
        <v>0</v>
      </c>
      <c r="DV60" s="1155">
        <f t="shared" si="169"/>
        <v>0</v>
      </c>
      <c r="DW60" s="1155">
        <f t="shared" si="170"/>
        <v>0</v>
      </c>
      <c r="DX60" s="1155">
        <f t="shared" si="171"/>
        <v>0</v>
      </c>
      <c r="DY60" s="1155">
        <f t="shared" si="172"/>
        <v>0</v>
      </c>
      <c r="DZ60" s="1155">
        <f t="shared" si="173"/>
        <v>0</v>
      </c>
      <c r="EA60" s="1155">
        <f t="shared" si="174"/>
        <v>0</v>
      </c>
      <c r="EB60" s="1155">
        <f t="shared" si="175"/>
        <v>0</v>
      </c>
      <c r="EC60" s="1155">
        <f t="shared" si="176"/>
        <v>0</v>
      </c>
      <c r="ED60" s="1155">
        <f t="shared" si="177"/>
        <v>0</v>
      </c>
      <c r="EE60" s="1155">
        <f t="shared" si="178"/>
        <v>0</v>
      </c>
      <c r="EF60" s="1155">
        <f t="shared" si="179"/>
        <v>0</v>
      </c>
      <c r="EG60" s="1155">
        <f t="shared" si="180"/>
        <v>0</v>
      </c>
      <c r="EH60" s="1155">
        <f t="shared" si="181"/>
        <v>0</v>
      </c>
      <c r="EI60" s="1155">
        <f t="shared" si="182"/>
        <v>0</v>
      </c>
      <c r="EJ60" s="1155">
        <f t="shared" si="183"/>
        <v>0</v>
      </c>
      <c r="EK60" s="1155">
        <f t="shared" si="184"/>
        <v>0</v>
      </c>
      <c r="EL60" s="1155">
        <f t="shared" si="185"/>
        <v>0</v>
      </c>
      <c r="EM60" s="1155">
        <f t="shared" si="186"/>
        <v>78092.34059328858</v>
      </c>
      <c r="EN60" s="1155">
        <f t="shared" si="187"/>
        <v>0</v>
      </c>
      <c r="EO60" s="1155">
        <f t="shared" si="188"/>
        <v>0</v>
      </c>
      <c r="EP60" s="1155">
        <f t="shared" si="189"/>
        <v>0</v>
      </c>
      <c r="EQ60" s="1155">
        <f t="shared" si="190"/>
        <v>0</v>
      </c>
      <c r="ER60" s="1155">
        <f t="shared" si="191"/>
        <v>0</v>
      </c>
      <c r="ES60" s="1155">
        <f t="shared" si="192"/>
        <v>0</v>
      </c>
      <c r="ET60" s="1155">
        <f t="shared" si="193"/>
        <v>0</v>
      </c>
      <c r="EU60" s="1155">
        <f t="shared" si="194"/>
        <v>0</v>
      </c>
      <c r="EV60" s="1155">
        <f t="shared" si="195"/>
        <v>0</v>
      </c>
      <c r="EW60" s="1155">
        <f t="shared" si="196"/>
        <v>0</v>
      </c>
      <c r="EX60" s="1155">
        <f t="shared" si="197"/>
        <v>0</v>
      </c>
      <c r="EY60" s="1175">
        <f t="shared" si="198"/>
        <v>105488.58622623268</v>
      </c>
      <c r="EZ60" s="1256"/>
      <c r="FA60" s="1155">
        <f t="shared" si="199"/>
        <v>29728.001291154316</v>
      </c>
      <c r="FB60" s="1155">
        <f t="shared" si="200"/>
        <v>0</v>
      </c>
      <c r="FC60" s="1155">
        <f t="shared" si="201"/>
        <v>0</v>
      </c>
      <c r="FD60" s="1155">
        <f t="shared" si="202"/>
        <v>0</v>
      </c>
      <c r="FE60" s="1155">
        <f t="shared" si="203"/>
        <v>0</v>
      </c>
      <c r="FF60" s="1155">
        <f t="shared" si="204"/>
        <v>0</v>
      </c>
      <c r="FG60" s="1155">
        <f t="shared" si="205"/>
        <v>0</v>
      </c>
      <c r="FH60" s="1155">
        <f t="shared" si="206"/>
        <v>0</v>
      </c>
      <c r="FI60" s="1155">
        <f t="shared" si="207"/>
        <v>0</v>
      </c>
      <c r="FJ60" s="1155">
        <f t="shared" si="208"/>
        <v>0</v>
      </c>
      <c r="FK60" s="1155">
        <f t="shared" si="209"/>
        <v>0</v>
      </c>
      <c r="FL60" s="1155">
        <f t="shared" si="210"/>
        <v>0</v>
      </c>
      <c r="FM60" s="1155">
        <f t="shared" si="211"/>
        <v>0</v>
      </c>
      <c r="FN60" s="1155">
        <f t="shared" si="212"/>
        <v>0</v>
      </c>
      <c r="FO60" s="1155">
        <f t="shared" si="213"/>
        <v>0</v>
      </c>
      <c r="FP60" s="1155">
        <f t="shared" si="214"/>
        <v>0</v>
      </c>
      <c r="FQ60" s="1155">
        <f t="shared" si="215"/>
        <v>0</v>
      </c>
      <c r="FR60" s="1155">
        <f t="shared" si="216"/>
        <v>0</v>
      </c>
      <c r="FS60" s="1155">
        <f t="shared" si="217"/>
        <v>0</v>
      </c>
      <c r="FT60" s="1155">
        <f t="shared" si="218"/>
        <v>0</v>
      </c>
      <c r="FU60" s="1155">
        <f t="shared" si="219"/>
        <v>0</v>
      </c>
      <c r="FV60" s="1155">
        <f t="shared" si="220"/>
        <v>0</v>
      </c>
      <c r="FW60" s="1155">
        <f t="shared" si="221"/>
        <v>0</v>
      </c>
      <c r="FX60" s="1155">
        <f t="shared" si="222"/>
        <v>86571.261255394129</v>
      </c>
      <c r="FY60" s="1155">
        <f t="shared" si="223"/>
        <v>0</v>
      </c>
      <c r="FZ60" s="1155">
        <f t="shared" si="224"/>
        <v>0</v>
      </c>
      <c r="GA60" s="1155">
        <f t="shared" si="225"/>
        <v>0</v>
      </c>
      <c r="GB60" s="1155">
        <f t="shared" si="226"/>
        <v>0</v>
      </c>
      <c r="GC60" s="1155">
        <f t="shared" si="227"/>
        <v>0</v>
      </c>
      <c r="GD60" s="1155">
        <f t="shared" si="228"/>
        <v>0</v>
      </c>
      <c r="GE60" s="1155">
        <f t="shared" si="229"/>
        <v>0</v>
      </c>
      <c r="GF60" s="1155">
        <f t="shared" si="230"/>
        <v>0</v>
      </c>
      <c r="GG60" s="1155">
        <f t="shared" si="231"/>
        <v>0</v>
      </c>
      <c r="GH60" s="1155">
        <f t="shared" si="232"/>
        <v>0</v>
      </c>
      <c r="GI60" s="1155">
        <f t="shared" si="233"/>
        <v>0</v>
      </c>
      <c r="GJ60" s="1175">
        <f t="shared" si="234"/>
        <v>116299.26254654845</v>
      </c>
    </row>
    <row r="61" spans="1:192" s="1101" customFormat="1">
      <c r="B61" s="1259" t="str">
        <f>IF(Prop2021DUOSTariffs!B61="","",Prop2021DUOSTariffs!B61)</f>
        <v/>
      </c>
      <c r="C61" s="1259" t="str">
        <f>IF(Prop2021DUOSTariffs!C61="","",Prop2021DUOSTariffs!C61)</f>
        <v>West SAC&lt;100MWhpa Business TOU Energy</v>
      </c>
      <c r="D61" s="1259" t="str">
        <f>IF(Prop2021DUOSTariffs!D61="","",Prop2021DUOSTariffs!D61)</f>
        <v>West SAC&lt;100MWhpa Business TOU Energy</v>
      </c>
      <c r="E61" s="1259" t="str">
        <f>IF(Prop2021DUOSTariffs!E61="","",Prop2021DUOSTariffs!E61)</f>
        <v>SAC</v>
      </c>
      <c r="F61" s="1259" t="str">
        <f>IF(Prop2021DUOSTariffs!F61="","",Prop2021DUOSTariffs!F61)</f>
        <v>SACS Bus</v>
      </c>
      <c r="G61" s="1259" t="str">
        <f>IF(Prop2021DUOSTariffs!G61="","",Prop2021DUOSTariffs!G61)</f>
        <v>West</v>
      </c>
      <c r="H61" s="1259" t="str">
        <f>IF(Prop2021DUOSTariffs!H61="","",Prop2021DUOSTariffs!H61)</f>
        <v>WBTOUE</v>
      </c>
      <c r="I61" s="1259" t="s">
        <v>935</v>
      </c>
      <c r="J61" s="1256"/>
      <c r="K61" s="1233">
        <v>0.1335341443782054</v>
      </c>
      <c r="L61" s="1135"/>
      <c r="M61" s="1135"/>
      <c r="N61" s="1135"/>
      <c r="O61" s="1135"/>
      <c r="P61" s="1135"/>
      <c r="Q61" s="1135"/>
      <c r="R61" s="1135"/>
      <c r="S61" s="1135"/>
      <c r="T61" s="1135"/>
      <c r="U61" s="1135"/>
      <c r="V61" s="1135"/>
      <c r="W61" s="1135"/>
      <c r="X61" s="1135"/>
      <c r="Y61" s="1135"/>
      <c r="Z61" s="1135"/>
      <c r="AA61" s="1135"/>
      <c r="AB61" s="1135"/>
      <c r="AC61" s="1135"/>
      <c r="AD61" s="1135"/>
      <c r="AE61" s="1135"/>
      <c r="AF61" s="1005"/>
      <c r="AG61" s="1005"/>
      <c r="AH61" s="1224">
        <v>7.4122808686789441E-3</v>
      </c>
      <c r="AI61" s="1241"/>
      <c r="AJ61" s="1241"/>
      <c r="AK61" s="1241"/>
      <c r="AL61" s="1241"/>
      <c r="AM61" s="1241"/>
      <c r="AN61" s="1241"/>
      <c r="AO61" s="1241"/>
      <c r="AP61" s="1241"/>
      <c r="AQ61" s="1241"/>
      <c r="AR61" s="1241"/>
      <c r="AS61" s="1241"/>
      <c r="AT61" s="1256"/>
      <c r="AU61" s="1484">
        <v>0.14489953366876271</v>
      </c>
      <c r="AV61" s="1241"/>
      <c r="AW61" s="1241"/>
      <c r="AX61" s="1241"/>
      <c r="AY61" s="1241"/>
      <c r="AZ61" s="1241"/>
      <c r="BA61" s="1241"/>
      <c r="BB61" s="1241"/>
      <c r="BC61" s="1241"/>
      <c r="BD61" s="1241"/>
      <c r="BE61" s="1241"/>
      <c r="BF61" s="1241"/>
      <c r="BG61" s="1241"/>
      <c r="BH61" s="1241"/>
      <c r="BI61" s="1241"/>
      <c r="BJ61" s="1241"/>
      <c r="BK61" s="1241"/>
      <c r="BL61" s="1241"/>
      <c r="BM61" s="1241"/>
      <c r="BN61" s="1241"/>
      <c r="BO61" s="1241"/>
      <c r="BP61" s="1241"/>
      <c r="BQ61" s="1241"/>
      <c r="BR61" s="1484">
        <v>8.2170735145811833E-3</v>
      </c>
      <c r="BS61" s="1241"/>
      <c r="BT61" s="1241"/>
      <c r="BU61" s="1241"/>
      <c r="BV61" s="1241"/>
      <c r="BW61" s="1241"/>
      <c r="BX61" s="1241"/>
      <c r="BY61" s="1241"/>
      <c r="BZ61" s="1241"/>
      <c r="CA61" s="1241"/>
      <c r="CB61" s="1241"/>
      <c r="CC61" s="1241"/>
      <c r="CD61" s="1256"/>
      <c r="CE61" s="1256"/>
      <c r="CF61" s="1265">
        <v>100.09</v>
      </c>
      <c r="CG61" s="1135"/>
      <c r="CH61" s="1135"/>
      <c r="CI61" s="1135"/>
      <c r="CJ61" s="1135"/>
      <c r="CK61" s="1135"/>
      <c r="CL61" s="1135"/>
      <c r="CM61" s="1135"/>
      <c r="CN61" s="1135"/>
      <c r="CO61" s="1135"/>
      <c r="CP61" s="1135"/>
      <c r="CQ61" s="1135"/>
      <c r="CR61" s="1135"/>
      <c r="CS61" s="1135"/>
      <c r="CT61" s="1135"/>
      <c r="CU61" s="1135"/>
      <c r="CV61" s="1135"/>
      <c r="CW61" s="1135"/>
      <c r="CX61" s="1135"/>
      <c r="CY61" s="1135"/>
      <c r="CZ61" s="1135"/>
      <c r="DA61" s="1008"/>
      <c r="DB61" s="1008"/>
      <c r="DC61" s="1265">
        <v>762686.45</v>
      </c>
      <c r="DD61" s="1008"/>
      <c r="DE61" s="1008"/>
      <c r="DF61" s="1008"/>
      <c r="DG61" s="1008"/>
      <c r="DH61" s="1008"/>
      <c r="DI61" s="1008"/>
      <c r="DJ61" s="1008"/>
      <c r="DK61" s="1008"/>
      <c r="DL61" s="1008"/>
      <c r="DM61" s="1008"/>
      <c r="DN61" s="1008"/>
      <c r="DO61" s="1256"/>
      <c r="DP61" s="1155">
        <f t="shared" si="163"/>
        <v>4878.3828664473222</v>
      </c>
      <c r="DQ61" s="1155">
        <f t="shared" si="164"/>
        <v>0</v>
      </c>
      <c r="DR61" s="1155">
        <f t="shared" si="165"/>
        <v>0</v>
      </c>
      <c r="DS61" s="1155">
        <f t="shared" si="166"/>
        <v>0</v>
      </c>
      <c r="DT61" s="1155">
        <f t="shared" si="167"/>
        <v>0</v>
      </c>
      <c r="DU61" s="1155">
        <f t="shared" si="168"/>
        <v>0</v>
      </c>
      <c r="DV61" s="1155">
        <f t="shared" si="169"/>
        <v>0</v>
      </c>
      <c r="DW61" s="1155">
        <f t="shared" si="170"/>
        <v>0</v>
      </c>
      <c r="DX61" s="1155">
        <f t="shared" si="171"/>
        <v>0</v>
      </c>
      <c r="DY61" s="1155">
        <f t="shared" si="172"/>
        <v>0</v>
      </c>
      <c r="DZ61" s="1155">
        <f t="shared" si="173"/>
        <v>0</v>
      </c>
      <c r="EA61" s="1155">
        <f t="shared" si="174"/>
        <v>0</v>
      </c>
      <c r="EB61" s="1155">
        <f t="shared" si="175"/>
        <v>0</v>
      </c>
      <c r="EC61" s="1155">
        <f t="shared" si="176"/>
        <v>0</v>
      </c>
      <c r="ED61" s="1155">
        <f t="shared" si="177"/>
        <v>0</v>
      </c>
      <c r="EE61" s="1155">
        <f t="shared" si="178"/>
        <v>0</v>
      </c>
      <c r="EF61" s="1155">
        <f t="shared" si="179"/>
        <v>0</v>
      </c>
      <c r="EG61" s="1155">
        <f t="shared" si="180"/>
        <v>0</v>
      </c>
      <c r="EH61" s="1155">
        <f t="shared" si="181"/>
        <v>0</v>
      </c>
      <c r="EI61" s="1155">
        <f t="shared" si="182"/>
        <v>0</v>
      </c>
      <c r="EJ61" s="1155">
        <f t="shared" si="183"/>
        <v>0</v>
      </c>
      <c r="EK61" s="1155">
        <f t="shared" si="184"/>
        <v>0</v>
      </c>
      <c r="EL61" s="1155">
        <f t="shared" si="185"/>
        <v>0</v>
      </c>
      <c r="EM61" s="1155">
        <f t="shared" si="186"/>
        <v>5653.2461821356601</v>
      </c>
      <c r="EN61" s="1155">
        <f t="shared" si="187"/>
        <v>0</v>
      </c>
      <c r="EO61" s="1155">
        <f t="shared" si="188"/>
        <v>0</v>
      </c>
      <c r="EP61" s="1155">
        <f t="shared" si="189"/>
        <v>0</v>
      </c>
      <c r="EQ61" s="1155">
        <f t="shared" si="190"/>
        <v>0</v>
      </c>
      <c r="ER61" s="1155">
        <f t="shared" si="191"/>
        <v>0</v>
      </c>
      <c r="ES61" s="1155">
        <f t="shared" si="192"/>
        <v>0</v>
      </c>
      <c r="ET61" s="1155">
        <f t="shared" si="193"/>
        <v>0</v>
      </c>
      <c r="EU61" s="1155">
        <f t="shared" si="194"/>
        <v>0</v>
      </c>
      <c r="EV61" s="1155">
        <f t="shared" si="195"/>
        <v>0</v>
      </c>
      <c r="EW61" s="1155">
        <f t="shared" si="196"/>
        <v>0</v>
      </c>
      <c r="EX61" s="1155">
        <f t="shared" si="197"/>
        <v>0</v>
      </c>
      <c r="EY61" s="1175">
        <f t="shared" si="198"/>
        <v>10531.629048582981</v>
      </c>
      <c r="EZ61" s="1256"/>
      <c r="FA61" s="1155">
        <f t="shared" si="199"/>
        <v>5293.5929285908578</v>
      </c>
      <c r="FB61" s="1155">
        <f t="shared" si="200"/>
        <v>0</v>
      </c>
      <c r="FC61" s="1155">
        <f t="shared" si="201"/>
        <v>0</v>
      </c>
      <c r="FD61" s="1155">
        <f t="shared" si="202"/>
        <v>0</v>
      </c>
      <c r="FE61" s="1155">
        <f t="shared" si="203"/>
        <v>0</v>
      </c>
      <c r="FF61" s="1155">
        <f t="shared" si="204"/>
        <v>0</v>
      </c>
      <c r="FG61" s="1155">
        <f t="shared" si="205"/>
        <v>0</v>
      </c>
      <c r="FH61" s="1155">
        <f t="shared" si="206"/>
        <v>0</v>
      </c>
      <c r="FI61" s="1155">
        <f t="shared" si="207"/>
        <v>0</v>
      </c>
      <c r="FJ61" s="1155">
        <f t="shared" si="208"/>
        <v>0</v>
      </c>
      <c r="FK61" s="1155">
        <f t="shared" si="209"/>
        <v>0</v>
      </c>
      <c r="FL61" s="1155">
        <f t="shared" si="210"/>
        <v>0</v>
      </c>
      <c r="FM61" s="1155">
        <f t="shared" si="211"/>
        <v>0</v>
      </c>
      <c r="FN61" s="1155">
        <f t="shared" si="212"/>
        <v>0</v>
      </c>
      <c r="FO61" s="1155">
        <f t="shared" si="213"/>
        <v>0</v>
      </c>
      <c r="FP61" s="1155">
        <f t="shared" si="214"/>
        <v>0</v>
      </c>
      <c r="FQ61" s="1155">
        <f t="shared" si="215"/>
        <v>0</v>
      </c>
      <c r="FR61" s="1155">
        <f t="shared" si="216"/>
        <v>0</v>
      </c>
      <c r="FS61" s="1155">
        <f t="shared" si="217"/>
        <v>0</v>
      </c>
      <c r="FT61" s="1155">
        <f t="shared" si="218"/>
        <v>0</v>
      </c>
      <c r="FU61" s="1155">
        <f t="shared" si="219"/>
        <v>0</v>
      </c>
      <c r="FV61" s="1155">
        <f t="shared" si="220"/>
        <v>0</v>
      </c>
      <c r="FW61" s="1155">
        <f t="shared" si="221"/>
        <v>0</v>
      </c>
      <c r="FX61" s="1155">
        <f t="shared" si="222"/>
        <v>6267.0506282249453</v>
      </c>
      <c r="FY61" s="1155">
        <f t="shared" si="223"/>
        <v>0</v>
      </c>
      <c r="FZ61" s="1155">
        <f t="shared" si="224"/>
        <v>0</v>
      </c>
      <c r="GA61" s="1155">
        <f t="shared" si="225"/>
        <v>0</v>
      </c>
      <c r="GB61" s="1155">
        <f t="shared" si="226"/>
        <v>0</v>
      </c>
      <c r="GC61" s="1155">
        <f t="shared" si="227"/>
        <v>0</v>
      </c>
      <c r="GD61" s="1155">
        <f t="shared" si="228"/>
        <v>0</v>
      </c>
      <c r="GE61" s="1155">
        <f t="shared" si="229"/>
        <v>0</v>
      </c>
      <c r="GF61" s="1155">
        <f t="shared" si="230"/>
        <v>0</v>
      </c>
      <c r="GG61" s="1155">
        <f t="shared" si="231"/>
        <v>0</v>
      </c>
      <c r="GH61" s="1155">
        <f t="shared" si="232"/>
        <v>0</v>
      </c>
      <c r="GI61" s="1155">
        <f t="shared" si="233"/>
        <v>0</v>
      </c>
      <c r="GJ61" s="1175">
        <f t="shared" si="234"/>
        <v>11560.643556815803</v>
      </c>
    </row>
    <row r="62" spans="1:192" s="1101" customFormat="1">
      <c r="B62" s="1259" t="str">
        <f>IF(Prop2021DUOSTariffs!B62="","",Prop2021DUOSTariffs!B62)</f>
        <v/>
      </c>
      <c r="C62" s="1259" t="str">
        <f>IF(Prop2021DUOSTariffs!C62="","",Prop2021DUOSTariffs!C62)</f>
        <v>MtIsa SAC&lt;100MWhpa Business TOU Energy</v>
      </c>
      <c r="D62" s="1259" t="str">
        <f>IF(Prop2021DUOSTariffs!D62="","",Prop2021DUOSTariffs!D62)</f>
        <v>MtIsa SAC&lt;100MWhpa Business TOU Energy</v>
      </c>
      <c r="E62" s="1259" t="str">
        <f>IF(Prop2021DUOSTariffs!E62="","",Prop2021DUOSTariffs!E62)</f>
        <v>SAC</v>
      </c>
      <c r="F62" s="1259" t="str">
        <f>IF(Prop2021DUOSTariffs!F62="","",Prop2021DUOSTariffs!F62)</f>
        <v>SACS Bus</v>
      </c>
      <c r="G62" s="1259" t="str">
        <f>IF(Prop2021DUOSTariffs!G62="","",Prop2021DUOSTariffs!G62)</f>
        <v>Mt Isa</v>
      </c>
      <c r="H62" s="1259" t="str">
        <f>IF(Prop2021DUOSTariffs!H62="","",Prop2021DUOSTariffs!H62)</f>
        <v>MBTOUE</v>
      </c>
      <c r="I62" s="1259" t="s">
        <v>935</v>
      </c>
      <c r="J62" s="1256"/>
      <c r="K62" s="1233">
        <v>0.1335341443782054</v>
      </c>
      <c r="L62" s="1135"/>
      <c r="M62" s="1135"/>
      <c r="N62" s="1135"/>
      <c r="O62" s="1135"/>
      <c r="P62" s="1135"/>
      <c r="Q62" s="1135"/>
      <c r="R62" s="1135"/>
      <c r="S62" s="1135"/>
      <c r="T62" s="1135"/>
      <c r="U62" s="1135"/>
      <c r="V62" s="1135"/>
      <c r="W62" s="1135"/>
      <c r="X62" s="1135"/>
      <c r="Y62" s="1135"/>
      <c r="Z62" s="1135"/>
      <c r="AA62" s="1135"/>
      <c r="AB62" s="1135"/>
      <c r="AC62" s="1135"/>
      <c r="AD62" s="1135"/>
      <c r="AE62" s="1135"/>
      <c r="AF62" s="1005"/>
      <c r="AG62" s="1005"/>
      <c r="AH62" s="1224">
        <v>7.4122808686789441E-3</v>
      </c>
      <c r="AI62" s="1241"/>
      <c r="AJ62" s="1241"/>
      <c r="AK62" s="1241"/>
      <c r="AL62" s="1241"/>
      <c r="AM62" s="1241"/>
      <c r="AN62" s="1241"/>
      <c r="AO62" s="1241"/>
      <c r="AP62" s="1241"/>
      <c r="AQ62" s="1241"/>
      <c r="AR62" s="1241"/>
      <c r="AS62" s="1241"/>
      <c r="AT62" s="1256"/>
      <c r="AU62" s="1484">
        <v>0.14489953366876271</v>
      </c>
      <c r="AV62" s="1241"/>
      <c r="AW62" s="1241"/>
      <c r="AX62" s="1241"/>
      <c r="AY62" s="1241"/>
      <c r="AZ62" s="1241"/>
      <c r="BA62" s="1241"/>
      <c r="BB62" s="1241"/>
      <c r="BC62" s="1241"/>
      <c r="BD62" s="1241"/>
      <c r="BE62" s="1241"/>
      <c r="BF62" s="1241"/>
      <c r="BG62" s="1241"/>
      <c r="BH62" s="1241"/>
      <c r="BI62" s="1241"/>
      <c r="BJ62" s="1241"/>
      <c r="BK62" s="1241"/>
      <c r="BL62" s="1241"/>
      <c r="BM62" s="1241"/>
      <c r="BN62" s="1241"/>
      <c r="BO62" s="1241"/>
      <c r="BP62" s="1241"/>
      <c r="BQ62" s="1241"/>
      <c r="BR62" s="1484">
        <v>8.2170735145811833E-3</v>
      </c>
      <c r="BS62" s="1241"/>
      <c r="BT62" s="1241"/>
      <c r="BU62" s="1241"/>
      <c r="BV62" s="1241"/>
      <c r="BW62" s="1241"/>
      <c r="BX62" s="1241"/>
      <c r="BY62" s="1241"/>
      <c r="BZ62" s="1241"/>
      <c r="CA62" s="1241"/>
      <c r="CB62" s="1241"/>
      <c r="CC62" s="1241"/>
      <c r="CD62" s="1256"/>
      <c r="CE62" s="1256"/>
      <c r="CF62" s="1265">
        <v>0</v>
      </c>
      <c r="CG62" s="1135"/>
      <c r="CH62" s="1135"/>
      <c r="CI62" s="1135"/>
      <c r="CJ62" s="1135"/>
      <c r="CK62" s="1135"/>
      <c r="CL62" s="1135"/>
      <c r="CM62" s="1135"/>
      <c r="CN62" s="1135"/>
      <c r="CO62" s="1135"/>
      <c r="CP62" s="1135"/>
      <c r="CQ62" s="1135"/>
      <c r="CR62" s="1135"/>
      <c r="CS62" s="1135"/>
      <c r="CT62" s="1135"/>
      <c r="CU62" s="1135"/>
      <c r="CV62" s="1135"/>
      <c r="CW62" s="1135"/>
      <c r="CX62" s="1135"/>
      <c r="CY62" s="1135"/>
      <c r="CZ62" s="1135"/>
      <c r="DA62" s="1008"/>
      <c r="DB62" s="1008"/>
      <c r="DC62" s="1265">
        <v>0</v>
      </c>
      <c r="DD62" s="1008"/>
      <c r="DE62" s="1008"/>
      <c r="DF62" s="1008"/>
      <c r="DG62" s="1008"/>
      <c r="DH62" s="1008"/>
      <c r="DI62" s="1008"/>
      <c r="DJ62" s="1008"/>
      <c r="DK62" s="1008"/>
      <c r="DL62" s="1008"/>
      <c r="DM62" s="1008"/>
      <c r="DN62" s="1008"/>
      <c r="DO62" s="1256"/>
      <c r="DP62" s="1155">
        <f t="shared" si="163"/>
        <v>0</v>
      </c>
      <c r="DQ62" s="1155">
        <f t="shared" si="164"/>
        <v>0</v>
      </c>
      <c r="DR62" s="1155">
        <f t="shared" si="165"/>
        <v>0</v>
      </c>
      <c r="DS62" s="1155">
        <f t="shared" si="166"/>
        <v>0</v>
      </c>
      <c r="DT62" s="1155">
        <f t="shared" si="167"/>
        <v>0</v>
      </c>
      <c r="DU62" s="1155">
        <f t="shared" si="168"/>
        <v>0</v>
      </c>
      <c r="DV62" s="1155">
        <f t="shared" si="169"/>
        <v>0</v>
      </c>
      <c r="DW62" s="1155">
        <f t="shared" si="170"/>
        <v>0</v>
      </c>
      <c r="DX62" s="1155">
        <f t="shared" si="171"/>
        <v>0</v>
      </c>
      <c r="DY62" s="1155">
        <f t="shared" si="172"/>
        <v>0</v>
      </c>
      <c r="DZ62" s="1155">
        <f t="shared" si="173"/>
        <v>0</v>
      </c>
      <c r="EA62" s="1155">
        <f t="shared" si="174"/>
        <v>0</v>
      </c>
      <c r="EB62" s="1155">
        <f t="shared" si="175"/>
        <v>0</v>
      </c>
      <c r="EC62" s="1155">
        <f t="shared" si="176"/>
        <v>0</v>
      </c>
      <c r="ED62" s="1155">
        <f t="shared" si="177"/>
        <v>0</v>
      </c>
      <c r="EE62" s="1155">
        <f t="shared" si="178"/>
        <v>0</v>
      </c>
      <c r="EF62" s="1155">
        <f t="shared" si="179"/>
        <v>0</v>
      </c>
      <c r="EG62" s="1155">
        <f t="shared" si="180"/>
        <v>0</v>
      </c>
      <c r="EH62" s="1155">
        <f t="shared" si="181"/>
        <v>0</v>
      </c>
      <c r="EI62" s="1155">
        <f t="shared" si="182"/>
        <v>0</v>
      </c>
      <c r="EJ62" s="1155">
        <f t="shared" si="183"/>
        <v>0</v>
      </c>
      <c r="EK62" s="1155">
        <f t="shared" si="184"/>
        <v>0</v>
      </c>
      <c r="EL62" s="1155">
        <f t="shared" si="185"/>
        <v>0</v>
      </c>
      <c r="EM62" s="1155">
        <f t="shared" si="186"/>
        <v>0</v>
      </c>
      <c r="EN62" s="1155">
        <f t="shared" si="187"/>
        <v>0</v>
      </c>
      <c r="EO62" s="1155">
        <f t="shared" si="188"/>
        <v>0</v>
      </c>
      <c r="EP62" s="1155">
        <f t="shared" si="189"/>
        <v>0</v>
      </c>
      <c r="EQ62" s="1155">
        <f t="shared" si="190"/>
        <v>0</v>
      </c>
      <c r="ER62" s="1155">
        <f t="shared" si="191"/>
        <v>0</v>
      </c>
      <c r="ES62" s="1155">
        <f t="shared" si="192"/>
        <v>0</v>
      </c>
      <c r="ET62" s="1155">
        <f t="shared" si="193"/>
        <v>0</v>
      </c>
      <c r="EU62" s="1155">
        <f t="shared" si="194"/>
        <v>0</v>
      </c>
      <c r="EV62" s="1155">
        <f t="shared" si="195"/>
        <v>0</v>
      </c>
      <c r="EW62" s="1155">
        <f t="shared" si="196"/>
        <v>0</v>
      </c>
      <c r="EX62" s="1155">
        <f t="shared" si="197"/>
        <v>0</v>
      </c>
      <c r="EY62" s="1175">
        <f t="shared" si="198"/>
        <v>0</v>
      </c>
      <c r="EZ62" s="1256"/>
      <c r="FA62" s="1155">
        <f t="shared" si="199"/>
        <v>0</v>
      </c>
      <c r="FB62" s="1155">
        <f t="shared" si="200"/>
        <v>0</v>
      </c>
      <c r="FC62" s="1155">
        <f t="shared" si="201"/>
        <v>0</v>
      </c>
      <c r="FD62" s="1155">
        <f t="shared" si="202"/>
        <v>0</v>
      </c>
      <c r="FE62" s="1155">
        <f t="shared" si="203"/>
        <v>0</v>
      </c>
      <c r="FF62" s="1155">
        <f t="shared" si="204"/>
        <v>0</v>
      </c>
      <c r="FG62" s="1155">
        <f t="shared" si="205"/>
        <v>0</v>
      </c>
      <c r="FH62" s="1155">
        <f t="shared" si="206"/>
        <v>0</v>
      </c>
      <c r="FI62" s="1155">
        <f t="shared" si="207"/>
        <v>0</v>
      </c>
      <c r="FJ62" s="1155">
        <f t="shared" si="208"/>
        <v>0</v>
      </c>
      <c r="FK62" s="1155">
        <f t="shared" si="209"/>
        <v>0</v>
      </c>
      <c r="FL62" s="1155">
        <f t="shared" si="210"/>
        <v>0</v>
      </c>
      <c r="FM62" s="1155">
        <f t="shared" si="211"/>
        <v>0</v>
      </c>
      <c r="FN62" s="1155">
        <f t="shared" si="212"/>
        <v>0</v>
      </c>
      <c r="FO62" s="1155">
        <f t="shared" si="213"/>
        <v>0</v>
      </c>
      <c r="FP62" s="1155">
        <f t="shared" si="214"/>
        <v>0</v>
      </c>
      <c r="FQ62" s="1155">
        <f t="shared" si="215"/>
        <v>0</v>
      </c>
      <c r="FR62" s="1155">
        <f t="shared" si="216"/>
        <v>0</v>
      </c>
      <c r="FS62" s="1155">
        <f t="shared" si="217"/>
        <v>0</v>
      </c>
      <c r="FT62" s="1155">
        <f t="shared" si="218"/>
        <v>0</v>
      </c>
      <c r="FU62" s="1155">
        <f t="shared" si="219"/>
        <v>0</v>
      </c>
      <c r="FV62" s="1155">
        <f t="shared" si="220"/>
        <v>0</v>
      </c>
      <c r="FW62" s="1155">
        <f t="shared" si="221"/>
        <v>0</v>
      </c>
      <c r="FX62" s="1155">
        <f t="shared" si="222"/>
        <v>0</v>
      </c>
      <c r="FY62" s="1155">
        <f t="shared" si="223"/>
        <v>0</v>
      </c>
      <c r="FZ62" s="1155">
        <f t="shared" si="224"/>
        <v>0</v>
      </c>
      <c r="GA62" s="1155">
        <f t="shared" si="225"/>
        <v>0</v>
      </c>
      <c r="GB62" s="1155">
        <f t="shared" si="226"/>
        <v>0</v>
      </c>
      <c r="GC62" s="1155">
        <f t="shared" si="227"/>
        <v>0</v>
      </c>
      <c r="GD62" s="1155">
        <f t="shared" si="228"/>
        <v>0</v>
      </c>
      <c r="GE62" s="1155">
        <f t="shared" si="229"/>
        <v>0</v>
      </c>
      <c r="GF62" s="1155">
        <f t="shared" si="230"/>
        <v>0</v>
      </c>
      <c r="GG62" s="1155">
        <f t="shared" si="231"/>
        <v>0</v>
      </c>
      <c r="GH62" s="1155">
        <f t="shared" si="232"/>
        <v>0</v>
      </c>
      <c r="GI62" s="1155">
        <f t="shared" si="233"/>
        <v>0</v>
      </c>
      <c r="GJ62" s="1175">
        <f t="shared" si="234"/>
        <v>0</v>
      </c>
    </row>
    <row r="63" spans="1:192" s="1101" customFormat="1">
      <c r="B63" s="1259" t="str">
        <f>IF(Prop2021DUOSTariffs!B63="","",Prop2021DUOSTariffs!B63)</f>
        <v/>
      </c>
      <c r="C63" s="1259" t="str">
        <f>IF(Prop2021DUOSTariffs!C63="","",Prop2021DUOSTariffs!C63)</f>
        <v>East SAC&lt;100MWhpa Business TOU Transitional Demand</v>
      </c>
      <c r="D63" s="1259" t="str">
        <f>IF(Prop2021DUOSTariffs!D63="","",Prop2021DUOSTariffs!D63)</f>
        <v>East SAC&lt;100MWhpa Business TOU Transitional Demand</v>
      </c>
      <c r="E63" s="1259" t="str">
        <f>IF(Prop2021DUOSTariffs!E63="","",Prop2021DUOSTariffs!E63)</f>
        <v>SAC</v>
      </c>
      <c r="F63" s="1259" t="str">
        <f>IF(Prop2021DUOSTariffs!F63="","",Prop2021DUOSTariffs!F63)</f>
        <v>SACS Bus</v>
      </c>
      <c r="G63" s="1259" t="str">
        <f>IF(Prop2021DUOSTariffs!G63="","",Prop2021DUOSTariffs!G63)</f>
        <v>East</v>
      </c>
      <c r="H63" s="1259" t="str">
        <f>IF(Prop2021DUOSTariffs!H63="","",Prop2021DUOSTariffs!H63)</f>
        <v>EBTDEM</v>
      </c>
      <c r="I63" s="1259" t="s">
        <v>935</v>
      </c>
      <c r="J63" s="1256"/>
      <c r="K63" s="1233">
        <v>0.1335341443782054</v>
      </c>
      <c r="L63" s="1135"/>
      <c r="M63" s="1135"/>
      <c r="N63" s="1135"/>
      <c r="O63" s="1135"/>
      <c r="P63" s="1135"/>
      <c r="Q63" s="1135"/>
      <c r="R63" s="1135"/>
      <c r="S63" s="1135"/>
      <c r="T63" s="1135"/>
      <c r="U63" s="1135"/>
      <c r="V63" s="1135"/>
      <c r="W63" s="1135"/>
      <c r="X63" s="1135"/>
      <c r="Y63" s="1135"/>
      <c r="Z63" s="1135"/>
      <c r="AA63" s="1135"/>
      <c r="AB63" s="1135"/>
      <c r="AC63" s="1135"/>
      <c r="AD63" s="1135"/>
      <c r="AE63" s="1135"/>
      <c r="AF63" s="1005"/>
      <c r="AG63" s="1005"/>
      <c r="AH63" s="1224">
        <v>7.4122808686789441E-3</v>
      </c>
      <c r="AI63" s="1241"/>
      <c r="AJ63" s="1241"/>
      <c r="AK63" s="1241"/>
      <c r="AL63" s="1241"/>
      <c r="AM63" s="1241"/>
      <c r="AN63" s="1241"/>
      <c r="AO63" s="1241"/>
      <c r="AP63" s="1241"/>
      <c r="AQ63" s="1241"/>
      <c r="AR63" s="1241"/>
      <c r="AS63" s="1241"/>
      <c r="AT63" s="1256"/>
      <c r="AU63" s="1484">
        <v>0.14489953366876271</v>
      </c>
      <c r="AV63" s="1241"/>
      <c r="AW63" s="1241"/>
      <c r="AX63" s="1241"/>
      <c r="AY63" s="1241"/>
      <c r="AZ63" s="1241"/>
      <c r="BA63" s="1241"/>
      <c r="BB63" s="1241"/>
      <c r="BC63" s="1241"/>
      <c r="BD63" s="1241"/>
      <c r="BE63" s="1241"/>
      <c r="BF63" s="1241"/>
      <c r="BG63" s="1241"/>
      <c r="BH63" s="1241"/>
      <c r="BI63" s="1241"/>
      <c r="BJ63" s="1241"/>
      <c r="BK63" s="1241"/>
      <c r="BL63" s="1241"/>
      <c r="BM63" s="1241"/>
      <c r="BN63" s="1241"/>
      <c r="BO63" s="1241"/>
      <c r="BP63" s="1241"/>
      <c r="BQ63" s="1241"/>
      <c r="BR63" s="1484">
        <v>8.2170735145811833E-3</v>
      </c>
      <c r="BS63" s="1241"/>
      <c r="BT63" s="1241"/>
      <c r="BU63" s="1241"/>
      <c r="BV63" s="1241"/>
      <c r="BW63" s="1241"/>
      <c r="BX63" s="1241"/>
      <c r="BY63" s="1241"/>
      <c r="BZ63" s="1241"/>
      <c r="CA63" s="1241"/>
      <c r="CB63" s="1241"/>
      <c r="CC63" s="1241"/>
      <c r="CD63" s="1256"/>
      <c r="CE63" s="1256"/>
      <c r="CF63" s="1265">
        <v>16800.64</v>
      </c>
      <c r="CG63" s="1135"/>
      <c r="CH63" s="1135"/>
      <c r="CI63" s="1135"/>
      <c r="CJ63" s="1135"/>
      <c r="CK63" s="1135"/>
      <c r="CL63" s="1135"/>
      <c r="CM63" s="1135"/>
      <c r="CN63" s="1135"/>
      <c r="CO63" s="1135"/>
      <c r="CP63" s="1135"/>
      <c r="CQ63" s="1135"/>
      <c r="CR63" s="1135"/>
      <c r="CS63" s="1135"/>
      <c r="CT63" s="1135"/>
      <c r="CU63" s="1135"/>
      <c r="CV63" s="1135"/>
      <c r="CW63" s="1135"/>
      <c r="CX63" s="1135"/>
      <c r="CY63" s="1135"/>
      <c r="CZ63" s="1135"/>
      <c r="DA63" s="1008"/>
      <c r="DB63" s="1008"/>
      <c r="DC63" s="1265">
        <v>221343074.28000003</v>
      </c>
      <c r="DD63" s="1008"/>
      <c r="DE63" s="1008"/>
      <c r="DF63" s="1008"/>
      <c r="DG63" s="1008"/>
      <c r="DH63" s="1008"/>
      <c r="DI63" s="1008"/>
      <c r="DJ63" s="1008"/>
      <c r="DK63" s="1008"/>
      <c r="DL63" s="1008"/>
      <c r="DM63" s="1008"/>
      <c r="DN63" s="1008"/>
      <c r="DO63" s="1256"/>
      <c r="DP63" s="1155">
        <f t="shared" si="163"/>
        <v>818862.56690328231</v>
      </c>
      <c r="DQ63" s="1155">
        <f t="shared" si="164"/>
        <v>0</v>
      </c>
      <c r="DR63" s="1155">
        <f t="shared" si="165"/>
        <v>0</v>
      </c>
      <c r="DS63" s="1155">
        <f t="shared" si="166"/>
        <v>0</v>
      </c>
      <c r="DT63" s="1155">
        <f t="shared" si="167"/>
        <v>0</v>
      </c>
      <c r="DU63" s="1155">
        <f t="shared" si="168"/>
        <v>0</v>
      </c>
      <c r="DV63" s="1155">
        <f t="shared" si="169"/>
        <v>0</v>
      </c>
      <c r="DW63" s="1155">
        <f t="shared" si="170"/>
        <v>0</v>
      </c>
      <c r="DX63" s="1155">
        <f t="shared" si="171"/>
        <v>0</v>
      </c>
      <c r="DY63" s="1155">
        <f t="shared" si="172"/>
        <v>0</v>
      </c>
      <c r="DZ63" s="1155">
        <f t="shared" si="173"/>
        <v>0</v>
      </c>
      <c r="EA63" s="1155">
        <f t="shared" si="174"/>
        <v>0</v>
      </c>
      <c r="EB63" s="1155">
        <f t="shared" si="175"/>
        <v>0</v>
      </c>
      <c r="EC63" s="1155">
        <f t="shared" si="176"/>
        <v>0</v>
      </c>
      <c r="ED63" s="1155">
        <f t="shared" si="177"/>
        <v>0</v>
      </c>
      <c r="EE63" s="1155">
        <f t="shared" si="178"/>
        <v>0</v>
      </c>
      <c r="EF63" s="1155">
        <f t="shared" si="179"/>
        <v>0</v>
      </c>
      <c r="EG63" s="1155">
        <f t="shared" si="180"/>
        <v>0</v>
      </c>
      <c r="EH63" s="1155">
        <f t="shared" si="181"/>
        <v>0</v>
      </c>
      <c r="EI63" s="1155">
        <f t="shared" si="182"/>
        <v>0</v>
      </c>
      <c r="EJ63" s="1155">
        <f t="shared" si="183"/>
        <v>0</v>
      </c>
      <c r="EK63" s="1155">
        <f t="shared" si="184"/>
        <v>0</v>
      </c>
      <c r="EL63" s="1155">
        <f t="shared" si="185"/>
        <v>0</v>
      </c>
      <c r="EM63" s="1155">
        <f t="shared" si="186"/>
        <v>1640657.0349002266</v>
      </c>
      <c r="EN63" s="1155">
        <f t="shared" si="187"/>
        <v>0</v>
      </c>
      <c r="EO63" s="1155">
        <f t="shared" si="188"/>
        <v>0</v>
      </c>
      <c r="EP63" s="1155">
        <f t="shared" si="189"/>
        <v>0</v>
      </c>
      <c r="EQ63" s="1155">
        <f t="shared" si="190"/>
        <v>0</v>
      </c>
      <c r="ER63" s="1155">
        <f t="shared" si="191"/>
        <v>0</v>
      </c>
      <c r="ES63" s="1155">
        <f t="shared" si="192"/>
        <v>0</v>
      </c>
      <c r="ET63" s="1155">
        <f t="shared" si="193"/>
        <v>0</v>
      </c>
      <c r="EU63" s="1155">
        <f t="shared" si="194"/>
        <v>0</v>
      </c>
      <c r="EV63" s="1155">
        <f t="shared" si="195"/>
        <v>0</v>
      </c>
      <c r="EW63" s="1155">
        <f t="shared" si="196"/>
        <v>0</v>
      </c>
      <c r="EX63" s="1155">
        <f t="shared" si="197"/>
        <v>0</v>
      </c>
      <c r="EY63" s="1175">
        <f t="shared" si="198"/>
        <v>2459519.6018035091</v>
      </c>
      <c r="EZ63" s="1256"/>
      <c r="FA63" s="1155">
        <f t="shared" si="199"/>
        <v>888557.78898791783</v>
      </c>
      <c r="FB63" s="1155">
        <f t="shared" si="200"/>
        <v>0</v>
      </c>
      <c r="FC63" s="1155">
        <f t="shared" si="201"/>
        <v>0</v>
      </c>
      <c r="FD63" s="1155">
        <f t="shared" si="202"/>
        <v>0</v>
      </c>
      <c r="FE63" s="1155">
        <f t="shared" si="203"/>
        <v>0</v>
      </c>
      <c r="FF63" s="1155">
        <f t="shared" si="204"/>
        <v>0</v>
      </c>
      <c r="FG63" s="1155">
        <f t="shared" si="205"/>
        <v>0</v>
      </c>
      <c r="FH63" s="1155">
        <f t="shared" si="206"/>
        <v>0</v>
      </c>
      <c r="FI63" s="1155">
        <f t="shared" si="207"/>
        <v>0</v>
      </c>
      <c r="FJ63" s="1155">
        <f t="shared" si="208"/>
        <v>0</v>
      </c>
      <c r="FK63" s="1155">
        <f t="shared" si="209"/>
        <v>0</v>
      </c>
      <c r="FL63" s="1155">
        <f t="shared" si="210"/>
        <v>0</v>
      </c>
      <c r="FM63" s="1155">
        <f t="shared" si="211"/>
        <v>0</v>
      </c>
      <c r="FN63" s="1155">
        <f t="shared" si="212"/>
        <v>0</v>
      </c>
      <c r="FO63" s="1155">
        <f t="shared" si="213"/>
        <v>0</v>
      </c>
      <c r="FP63" s="1155">
        <f t="shared" si="214"/>
        <v>0</v>
      </c>
      <c r="FQ63" s="1155">
        <f t="shared" si="215"/>
        <v>0</v>
      </c>
      <c r="FR63" s="1155">
        <f t="shared" si="216"/>
        <v>0</v>
      </c>
      <c r="FS63" s="1155">
        <f t="shared" si="217"/>
        <v>0</v>
      </c>
      <c r="FT63" s="1155">
        <f t="shared" si="218"/>
        <v>0</v>
      </c>
      <c r="FU63" s="1155">
        <f t="shared" si="219"/>
        <v>0</v>
      </c>
      <c r="FV63" s="1155">
        <f t="shared" si="220"/>
        <v>0</v>
      </c>
      <c r="FW63" s="1155">
        <f t="shared" si="221"/>
        <v>0</v>
      </c>
      <c r="FX63" s="1155">
        <f t="shared" si="222"/>
        <v>1818792.3133021637</v>
      </c>
      <c r="FY63" s="1155">
        <f t="shared" si="223"/>
        <v>0</v>
      </c>
      <c r="FZ63" s="1155">
        <f t="shared" si="224"/>
        <v>0</v>
      </c>
      <c r="GA63" s="1155">
        <f t="shared" si="225"/>
        <v>0</v>
      </c>
      <c r="GB63" s="1155">
        <f t="shared" si="226"/>
        <v>0</v>
      </c>
      <c r="GC63" s="1155">
        <f t="shared" si="227"/>
        <v>0</v>
      </c>
      <c r="GD63" s="1155">
        <f t="shared" si="228"/>
        <v>0</v>
      </c>
      <c r="GE63" s="1155">
        <f t="shared" si="229"/>
        <v>0</v>
      </c>
      <c r="GF63" s="1155">
        <f t="shared" si="230"/>
        <v>0</v>
      </c>
      <c r="GG63" s="1155">
        <f t="shared" si="231"/>
        <v>0</v>
      </c>
      <c r="GH63" s="1155">
        <f t="shared" si="232"/>
        <v>0</v>
      </c>
      <c r="GI63" s="1155">
        <f t="shared" si="233"/>
        <v>0</v>
      </c>
      <c r="GJ63" s="1175">
        <f t="shared" si="234"/>
        <v>2707350.1022900818</v>
      </c>
    </row>
    <row r="64" spans="1:192" s="1101" customFormat="1">
      <c r="B64" s="1259" t="str">
        <f>IF(Prop2021DUOSTariffs!B64="","",Prop2021DUOSTariffs!B64)</f>
        <v/>
      </c>
      <c r="C64" s="1259" t="str">
        <f>IF(Prop2021DUOSTariffs!C64="","",Prop2021DUOSTariffs!C64)</f>
        <v>West SAC&lt;100MWhpa Business TOU Transitional Demand</v>
      </c>
      <c r="D64" s="1259" t="str">
        <f>IF(Prop2021DUOSTariffs!D64="","",Prop2021DUOSTariffs!D64)</f>
        <v>West SAC&lt;100MWhpa Business TOU Transitional Demand</v>
      </c>
      <c r="E64" s="1259" t="str">
        <f>IF(Prop2021DUOSTariffs!E64="","",Prop2021DUOSTariffs!E64)</f>
        <v>SAC</v>
      </c>
      <c r="F64" s="1259" t="str">
        <f>IF(Prop2021DUOSTariffs!F64="","",Prop2021DUOSTariffs!F64)</f>
        <v>SACS Bus</v>
      </c>
      <c r="G64" s="1259" t="str">
        <f>IF(Prop2021DUOSTariffs!G64="","",Prop2021DUOSTariffs!G64)</f>
        <v>West</v>
      </c>
      <c r="H64" s="1259" t="str">
        <f>IF(Prop2021DUOSTariffs!H64="","",Prop2021DUOSTariffs!H64)</f>
        <v>WBTDEM</v>
      </c>
      <c r="I64" s="1259" t="s">
        <v>935</v>
      </c>
      <c r="J64" s="1256"/>
      <c r="K64" s="1233">
        <v>0.1335341443782054</v>
      </c>
      <c r="L64" s="1135"/>
      <c r="M64" s="1135"/>
      <c r="N64" s="1135"/>
      <c r="O64" s="1135"/>
      <c r="P64" s="1135"/>
      <c r="Q64" s="1135"/>
      <c r="R64" s="1135"/>
      <c r="S64" s="1135"/>
      <c r="T64" s="1135"/>
      <c r="U64" s="1135"/>
      <c r="V64" s="1135"/>
      <c r="W64" s="1135"/>
      <c r="X64" s="1135"/>
      <c r="Y64" s="1135"/>
      <c r="Z64" s="1135"/>
      <c r="AA64" s="1135"/>
      <c r="AB64" s="1135"/>
      <c r="AC64" s="1135"/>
      <c r="AD64" s="1135"/>
      <c r="AE64" s="1135"/>
      <c r="AF64" s="1005"/>
      <c r="AG64" s="1005"/>
      <c r="AH64" s="1224">
        <v>7.4122808686789441E-3</v>
      </c>
      <c r="AI64" s="1241"/>
      <c r="AJ64" s="1241"/>
      <c r="AK64" s="1241"/>
      <c r="AL64" s="1241"/>
      <c r="AM64" s="1241"/>
      <c r="AN64" s="1241"/>
      <c r="AO64" s="1241"/>
      <c r="AP64" s="1241"/>
      <c r="AQ64" s="1241"/>
      <c r="AR64" s="1241"/>
      <c r="AS64" s="1241"/>
      <c r="AT64" s="1256"/>
      <c r="AU64" s="1484">
        <v>0.14489953366876271</v>
      </c>
      <c r="AV64" s="1241"/>
      <c r="AW64" s="1241"/>
      <c r="AX64" s="1241"/>
      <c r="AY64" s="1241"/>
      <c r="AZ64" s="1241"/>
      <c r="BA64" s="1241"/>
      <c r="BB64" s="1241"/>
      <c r="BC64" s="1241"/>
      <c r="BD64" s="1241"/>
      <c r="BE64" s="1241"/>
      <c r="BF64" s="1241"/>
      <c r="BG64" s="1241"/>
      <c r="BH64" s="1241"/>
      <c r="BI64" s="1241"/>
      <c r="BJ64" s="1241"/>
      <c r="BK64" s="1241"/>
      <c r="BL64" s="1241"/>
      <c r="BM64" s="1241"/>
      <c r="BN64" s="1241"/>
      <c r="BO64" s="1241"/>
      <c r="BP64" s="1241"/>
      <c r="BQ64" s="1241"/>
      <c r="BR64" s="1484">
        <v>8.2170735145811833E-3</v>
      </c>
      <c r="BS64" s="1241"/>
      <c r="BT64" s="1241"/>
      <c r="BU64" s="1241"/>
      <c r="BV64" s="1241"/>
      <c r="BW64" s="1241"/>
      <c r="BX64" s="1241"/>
      <c r="BY64" s="1241"/>
      <c r="BZ64" s="1241"/>
      <c r="CA64" s="1241"/>
      <c r="CB64" s="1241"/>
      <c r="CC64" s="1241"/>
      <c r="CD64" s="1256"/>
      <c r="CE64" s="1256"/>
      <c r="CF64" s="1265">
        <v>2066.0100000000002</v>
      </c>
      <c r="CG64" s="1135"/>
      <c r="CH64" s="1135"/>
      <c r="CI64" s="1135"/>
      <c r="CJ64" s="1135"/>
      <c r="CK64" s="1135"/>
      <c r="CL64" s="1135"/>
      <c r="CM64" s="1135"/>
      <c r="CN64" s="1135"/>
      <c r="CO64" s="1135"/>
      <c r="CP64" s="1135"/>
      <c r="CQ64" s="1135"/>
      <c r="CR64" s="1135"/>
      <c r="CS64" s="1135"/>
      <c r="CT64" s="1135"/>
      <c r="CU64" s="1135"/>
      <c r="CV64" s="1135"/>
      <c r="CW64" s="1135"/>
      <c r="CX64" s="1135"/>
      <c r="CY64" s="1135"/>
      <c r="CZ64" s="1135"/>
      <c r="DA64" s="1008"/>
      <c r="DB64" s="1008"/>
      <c r="DC64" s="1265">
        <v>11981426.869999997</v>
      </c>
      <c r="DD64" s="1008"/>
      <c r="DE64" s="1008"/>
      <c r="DF64" s="1008"/>
      <c r="DG64" s="1008"/>
      <c r="DH64" s="1008"/>
      <c r="DI64" s="1008"/>
      <c r="DJ64" s="1008"/>
      <c r="DK64" s="1008"/>
      <c r="DL64" s="1008"/>
      <c r="DM64" s="1008"/>
      <c r="DN64" s="1008"/>
      <c r="DO64" s="1256"/>
      <c r="DP64" s="1155">
        <f t="shared" si="163"/>
        <v>100697.25033378792</v>
      </c>
      <c r="DQ64" s="1155">
        <f t="shared" si="164"/>
        <v>0</v>
      </c>
      <c r="DR64" s="1155">
        <f t="shared" si="165"/>
        <v>0</v>
      </c>
      <c r="DS64" s="1155">
        <f t="shared" si="166"/>
        <v>0</v>
      </c>
      <c r="DT64" s="1155">
        <f t="shared" si="167"/>
        <v>0</v>
      </c>
      <c r="DU64" s="1155">
        <f t="shared" si="168"/>
        <v>0</v>
      </c>
      <c r="DV64" s="1155">
        <f t="shared" si="169"/>
        <v>0</v>
      </c>
      <c r="DW64" s="1155">
        <f t="shared" si="170"/>
        <v>0</v>
      </c>
      <c r="DX64" s="1155">
        <f t="shared" si="171"/>
        <v>0</v>
      </c>
      <c r="DY64" s="1155">
        <f t="shared" si="172"/>
        <v>0</v>
      </c>
      <c r="DZ64" s="1155">
        <f t="shared" si="173"/>
        <v>0</v>
      </c>
      <c r="EA64" s="1155">
        <f t="shared" si="174"/>
        <v>0</v>
      </c>
      <c r="EB64" s="1155">
        <f t="shared" si="175"/>
        <v>0</v>
      </c>
      <c r="EC64" s="1155">
        <f t="shared" si="176"/>
        <v>0</v>
      </c>
      <c r="ED64" s="1155">
        <f t="shared" si="177"/>
        <v>0</v>
      </c>
      <c r="EE64" s="1155">
        <f t="shared" si="178"/>
        <v>0</v>
      </c>
      <c r="EF64" s="1155">
        <f t="shared" si="179"/>
        <v>0</v>
      </c>
      <c r="EG64" s="1155">
        <f t="shared" si="180"/>
        <v>0</v>
      </c>
      <c r="EH64" s="1155">
        <f t="shared" si="181"/>
        <v>0</v>
      </c>
      <c r="EI64" s="1155">
        <f t="shared" si="182"/>
        <v>0</v>
      </c>
      <c r="EJ64" s="1155">
        <f t="shared" si="183"/>
        <v>0</v>
      </c>
      <c r="EK64" s="1155">
        <f t="shared" si="184"/>
        <v>0</v>
      </c>
      <c r="EL64" s="1155">
        <f t="shared" si="185"/>
        <v>0</v>
      </c>
      <c r="EM64" s="1155">
        <f t="shared" si="186"/>
        <v>88809.701167976818</v>
      </c>
      <c r="EN64" s="1155">
        <f t="shared" si="187"/>
        <v>0</v>
      </c>
      <c r="EO64" s="1155">
        <f t="shared" si="188"/>
        <v>0</v>
      </c>
      <c r="EP64" s="1155">
        <f t="shared" si="189"/>
        <v>0</v>
      </c>
      <c r="EQ64" s="1155">
        <f t="shared" si="190"/>
        <v>0</v>
      </c>
      <c r="ER64" s="1155">
        <f t="shared" si="191"/>
        <v>0</v>
      </c>
      <c r="ES64" s="1155">
        <f t="shared" si="192"/>
        <v>0</v>
      </c>
      <c r="ET64" s="1155">
        <f t="shared" si="193"/>
        <v>0</v>
      </c>
      <c r="EU64" s="1155">
        <f t="shared" si="194"/>
        <v>0</v>
      </c>
      <c r="EV64" s="1155">
        <f t="shared" si="195"/>
        <v>0</v>
      </c>
      <c r="EW64" s="1155">
        <f t="shared" si="196"/>
        <v>0</v>
      </c>
      <c r="EX64" s="1155">
        <f t="shared" si="197"/>
        <v>0</v>
      </c>
      <c r="EY64" s="1175">
        <f t="shared" si="198"/>
        <v>189506.95150176474</v>
      </c>
      <c r="EZ64" s="1256"/>
      <c r="FA64" s="1155">
        <f t="shared" si="199"/>
        <v>109267.81822757518</v>
      </c>
      <c r="FB64" s="1155">
        <f t="shared" si="200"/>
        <v>0</v>
      </c>
      <c r="FC64" s="1155">
        <f t="shared" si="201"/>
        <v>0</v>
      </c>
      <c r="FD64" s="1155">
        <f t="shared" si="202"/>
        <v>0</v>
      </c>
      <c r="FE64" s="1155">
        <f t="shared" si="203"/>
        <v>0</v>
      </c>
      <c r="FF64" s="1155">
        <f t="shared" si="204"/>
        <v>0</v>
      </c>
      <c r="FG64" s="1155">
        <f t="shared" si="205"/>
        <v>0</v>
      </c>
      <c r="FH64" s="1155">
        <f t="shared" si="206"/>
        <v>0</v>
      </c>
      <c r="FI64" s="1155">
        <f t="shared" si="207"/>
        <v>0</v>
      </c>
      <c r="FJ64" s="1155">
        <f t="shared" si="208"/>
        <v>0</v>
      </c>
      <c r="FK64" s="1155">
        <f t="shared" si="209"/>
        <v>0</v>
      </c>
      <c r="FL64" s="1155">
        <f t="shared" si="210"/>
        <v>0</v>
      </c>
      <c r="FM64" s="1155">
        <f t="shared" si="211"/>
        <v>0</v>
      </c>
      <c r="FN64" s="1155">
        <f t="shared" si="212"/>
        <v>0</v>
      </c>
      <c r="FO64" s="1155">
        <f t="shared" si="213"/>
        <v>0</v>
      </c>
      <c r="FP64" s="1155">
        <f t="shared" si="214"/>
        <v>0</v>
      </c>
      <c r="FQ64" s="1155">
        <f t="shared" si="215"/>
        <v>0</v>
      </c>
      <c r="FR64" s="1155">
        <f t="shared" si="216"/>
        <v>0</v>
      </c>
      <c r="FS64" s="1155">
        <f t="shared" si="217"/>
        <v>0</v>
      </c>
      <c r="FT64" s="1155">
        <f t="shared" si="218"/>
        <v>0</v>
      </c>
      <c r="FU64" s="1155">
        <f t="shared" si="219"/>
        <v>0</v>
      </c>
      <c r="FV64" s="1155">
        <f t="shared" si="220"/>
        <v>0</v>
      </c>
      <c r="FW64" s="1155">
        <f t="shared" si="221"/>
        <v>0</v>
      </c>
      <c r="FX64" s="1155">
        <f t="shared" si="222"/>
        <v>98452.265400368298</v>
      </c>
      <c r="FY64" s="1155">
        <f t="shared" si="223"/>
        <v>0</v>
      </c>
      <c r="FZ64" s="1155">
        <f t="shared" si="224"/>
        <v>0</v>
      </c>
      <c r="GA64" s="1155">
        <f t="shared" si="225"/>
        <v>0</v>
      </c>
      <c r="GB64" s="1155">
        <f t="shared" si="226"/>
        <v>0</v>
      </c>
      <c r="GC64" s="1155">
        <f t="shared" si="227"/>
        <v>0</v>
      </c>
      <c r="GD64" s="1155">
        <f t="shared" si="228"/>
        <v>0</v>
      </c>
      <c r="GE64" s="1155">
        <f t="shared" si="229"/>
        <v>0</v>
      </c>
      <c r="GF64" s="1155">
        <f t="shared" si="230"/>
        <v>0</v>
      </c>
      <c r="GG64" s="1155">
        <f t="shared" si="231"/>
        <v>0</v>
      </c>
      <c r="GH64" s="1155">
        <f t="shared" si="232"/>
        <v>0</v>
      </c>
      <c r="GI64" s="1155">
        <f t="shared" si="233"/>
        <v>0</v>
      </c>
      <c r="GJ64" s="1175">
        <f t="shared" si="234"/>
        <v>207720.08362794347</v>
      </c>
    </row>
    <row r="65" spans="1:192" s="1101" customFormat="1">
      <c r="B65" s="1259" t="str">
        <f>IF(Prop2021DUOSTariffs!B65="","",Prop2021DUOSTariffs!B65)</f>
        <v/>
      </c>
      <c r="C65" s="1259" t="str">
        <f>IF(Prop2021DUOSTariffs!C65="","",Prop2021DUOSTariffs!C65)</f>
        <v>MtIsa SAC&lt;100MWhpa Business TOU Transitional Demand</v>
      </c>
      <c r="D65" s="1259" t="str">
        <f>IF(Prop2021DUOSTariffs!D65="","",Prop2021DUOSTariffs!D65)</f>
        <v>MtIsa SAC&lt;100MWhpa Business TOU Transitional Demand</v>
      </c>
      <c r="E65" s="1259" t="str">
        <f>IF(Prop2021DUOSTariffs!E65="","",Prop2021DUOSTariffs!E65)</f>
        <v>SAC</v>
      </c>
      <c r="F65" s="1259" t="str">
        <f>IF(Prop2021DUOSTariffs!F65="","",Prop2021DUOSTariffs!F65)</f>
        <v>SACS Bus</v>
      </c>
      <c r="G65" s="1259" t="str">
        <f>IF(Prop2021DUOSTariffs!G65="","",Prop2021DUOSTariffs!G65)</f>
        <v>Mt Isa</v>
      </c>
      <c r="H65" s="1259" t="str">
        <f>IF(Prop2021DUOSTariffs!H65="","",Prop2021DUOSTariffs!H65)</f>
        <v>MBTDEM</v>
      </c>
      <c r="I65" s="1259" t="s">
        <v>935</v>
      </c>
      <c r="J65" s="1256"/>
      <c r="K65" s="1233">
        <v>0.1335341443782054</v>
      </c>
      <c r="L65" s="1135"/>
      <c r="M65" s="1135"/>
      <c r="N65" s="1135"/>
      <c r="O65" s="1135"/>
      <c r="P65" s="1135"/>
      <c r="Q65" s="1135"/>
      <c r="R65" s="1135"/>
      <c r="S65" s="1135"/>
      <c r="T65" s="1135"/>
      <c r="U65" s="1135"/>
      <c r="V65" s="1135"/>
      <c r="W65" s="1135"/>
      <c r="X65" s="1135"/>
      <c r="Y65" s="1135"/>
      <c r="Z65" s="1135"/>
      <c r="AA65" s="1135"/>
      <c r="AB65" s="1135"/>
      <c r="AC65" s="1135"/>
      <c r="AD65" s="1135"/>
      <c r="AE65" s="1135"/>
      <c r="AF65" s="1005"/>
      <c r="AG65" s="1005"/>
      <c r="AH65" s="1224">
        <v>7.4122808686789441E-3</v>
      </c>
      <c r="AI65" s="1241"/>
      <c r="AJ65" s="1241"/>
      <c r="AK65" s="1241"/>
      <c r="AL65" s="1241"/>
      <c r="AM65" s="1241"/>
      <c r="AN65" s="1241"/>
      <c r="AO65" s="1241"/>
      <c r="AP65" s="1241"/>
      <c r="AQ65" s="1241"/>
      <c r="AR65" s="1241"/>
      <c r="AS65" s="1241"/>
      <c r="AT65" s="1256"/>
      <c r="AU65" s="1484">
        <v>0.14489953366876271</v>
      </c>
      <c r="AV65" s="1241"/>
      <c r="AW65" s="1241"/>
      <c r="AX65" s="1241"/>
      <c r="AY65" s="1241"/>
      <c r="AZ65" s="1241"/>
      <c r="BA65" s="1241"/>
      <c r="BB65" s="1241"/>
      <c r="BC65" s="1241"/>
      <c r="BD65" s="1241"/>
      <c r="BE65" s="1241"/>
      <c r="BF65" s="1241"/>
      <c r="BG65" s="1241"/>
      <c r="BH65" s="1241"/>
      <c r="BI65" s="1241"/>
      <c r="BJ65" s="1241"/>
      <c r="BK65" s="1241"/>
      <c r="BL65" s="1241"/>
      <c r="BM65" s="1241"/>
      <c r="BN65" s="1241"/>
      <c r="BO65" s="1241"/>
      <c r="BP65" s="1241"/>
      <c r="BQ65" s="1241"/>
      <c r="BR65" s="1484">
        <v>8.2170735145811833E-3</v>
      </c>
      <c r="BS65" s="1241"/>
      <c r="BT65" s="1241"/>
      <c r="BU65" s="1241"/>
      <c r="BV65" s="1241"/>
      <c r="BW65" s="1241"/>
      <c r="BX65" s="1241"/>
      <c r="BY65" s="1241"/>
      <c r="BZ65" s="1241"/>
      <c r="CA65" s="1241"/>
      <c r="CB65" s="1241"/>
      <c r="CC65" s="1241"/>
      <c r="CD65" s="1256"/>
      <c r="CE65" s="1256"/>
      <c r="CF65" s="1265">
        <v>9</v>
      </c>
      <c r="CG65" s="1135"/>
      <c r="CH65" s="1135"/>
      <c r="CI65" s="1135"/>
      <c r="CJ65" s="1135"/>
      <c r="CK65" s="1135"/>
      <c r="CL65" s="1135"/>
      <c r="CM65" s="1135"/>
      <c r="CN65" s="1135"/>
      <c r="CO65" s="1135"/>
      <c r="CP65" s="1135"/>
      <c r="CQ65" s="1135"/>
      <c r="CR65" s="1135"/>
      <c r="CS65" s="1135"/>
      <c r="CT65" s="1135"/>
      <c r="CU65" s="1135"/>
      <c r="CV65" s="1135"/>
      <c r="CW65" s="1135"/>
      <c r="CX65" s="1135"/>
      <c r="CY65" s="1135"/>
      <c r="CZ65" s="1135"/>
      <c r="DA65" s="1008"/>
      <c r="DB65" s="1008"/>
      <c r="DC65" s="1265">
        <v>1147410</v>
      </c>
      <c r="DD65" s="1008"/>
      <c r="DE65" s="1008"/>
      <c r="DF65" s="1008"/>
      <c r="DG65" s="1008"/>
      <c r="DH65" s="1008"/>
      <c r="DI65" s="1008"/>
      <c r="DJ65" s="1008"/>
      <c r="DK65" s="1008"/>
      <c r="DL65" s="1008"/>
      <c r="DM65" s="1008"/>
      <c r="DN65" s="1008"/>
      <c r="DO65" s="1256"/>
      <c r="DP65" s="1155">
        <f t="shared" si="163"/>
        <v>438.65966428240478</v>
      </c>
      <c r="DQ65" s="1155">
        <f t="shared" si="164"/>
        <v>0</v>
      </c>
      <c r="DR65" s="1155">
        <f t="shared" si="165"/>
        <v>0</v>
      </c>
      <c r="DS65" s="1155">
        <f t="shared" si="166"/>
        <v>0</v>
      </c>
      <c r="DT65" s="1155">
        <f t="shared" si="167"/>
        <v>0</v>
      </c>
      <c r="DU65" s="1155">
        <f t="shared" si="168"/>
        <v>0</v>
      </c>
      <c r="DV65" s="1155">
        <f t="shared" si="169"/>
        <v>0</v>
      </c>
      <c r="DW65" s="1155">
        <f t="shared" si="170"/>
        <v>0</v>
      </c>
      <c r="DX65" s="1155">
        <f t="shared" si="171"/>
        <v>0</v>
      </c>
      <c r="DY65" s="1155">
        <f t="shared" si="172"/>
        <v>0</v>
      </c>
      <c r="DZ65" s="1155">
        <f t="shared" si="173"/>
        <v>0</v>
      </c>
      <c r="EA65" s="1155">
        <f t="shared" si="174"/>
        <v>0</v>
      </c>
      <c r="EB65" s="1155">
        <f t="shared" si="175"/>
        <v>0</v>
      </c>
      <c r="EC65" s="1155">
        <f t="shared" si="176"/>
        <v>0</v>
      </c>
      <c r="ED65" s="1155">
        <f t="shared" si="177"/>
        <v>0</v>
      </c>
      <c r="EE65" s="1155">
        <f t="shared" si="178"/>
        <v>0</v>
      </c>
      <c r="EF65" s="1155">
        <f t="shared" si="179"/>
        <v>0</v>
      </c>
      <c r="EG65" s="1155">
        <f t="shared" si="180"/>
        <v>0</v>
      </c>
      <c r="EH65" s="1155">
        <f t="shared" si="181"/>
        <v>0</v>
      </c>
      <c r="EI65" s="1155">
        <f t="shared" si="182"/>
        <v>0</v>
      </c>
      <c r="EJ65" s="1155">
        <f t="shared" si="183"/>
        <v>0</v>
      </c>
      <c r="EK65" s="1155">
        <f t="shared" si="184"/>
        <v>0</v>
      </c>
      <c r="EL65" s="1155">
        <f t="shared" si="185"/>
        <v>0</v>
      </c>
      <c r="EM65" s="1155">
        <f t="shared" si="186"/>
        <v>8504.9251915309069</v>
      </c>
      <c r="EN65" s="1155">
        <f t="shared" si="187"/>
        <v>0</v>
      </c>
      <c r="EO65" s="1155">
        <f t="shared" si="188"/>
        <v>0</v>
      </c>
      <c r="EP65" s="1155">
        <f t="shared" si="189"/>
        <v>0</v>
      </c>
      <c r="EQ65" s="1155">
        <f t="shared" si="190"/>
        <v>0</v>
      </c>
      <c r="ER65" s="1155">
        <f t="shared" si="191"/>
        <v>0</v>
      </c>
      <c r="ES65" s="1155">
        <f t="shared" si="192"/>
        <v>0</v>
      </c>
      <c r="ET65" s="1155">
        <f t="shared" si="193"/>
        <v>0</v>
      </c>
      <c r="EU65" s="1155">
        <f t="shared" si="194"/>
        <v>0</v>
      </c>
      <c r="EV65" s="1155">
        <f t="shared" si="195"/>
        <v>0</v>
      </c>
      <c r="EW65" s="1155">
        <f t="shared" si="196"/>
        <v>0</v>
      </c>
      <c r="EX65" s="1155">
        <f t="shared" si="197"/>
        <v>0</v>
      </c>
      <c r="EY65" s="1175">
        <f t="shared" si="198"/>
        <v>8943.5848558133112</v>
      </c>
      <c r="EZ65" s="1256"/>
      <c r="FA65" s="1155">
        <f t="shared" si="199"/>
        <v>475.99496810188549</v>
      </c>
      <c r="FB65" s="1155">
        <f t="shared" si="200"/>
        <v>0</v>
      </c>
      <c r="FC65" s="1155">
        <f t="shared" si="201"/>
        <v>0</v>
      </c>
      <c r="FD65" s="1155">
        <f t="shared" si="202"/>
        <v>0</v>
      </c>
      <c r="FE65" s="1155">
        <f t="shared" si="203"/>
        <v>0</v>
      </c>
      <c r="FF65" s="1155">
        <f t="shared" si="204"/>
        <v>0</v>
      </c>
      <c r="FG65" s="1155">
        <f t="shared" si="205"/>
        <v>0</v>
      </c>
      <c r="FH65" s="1155">
        <f t="shared" si="206"/>
        <v>0</v>
      </c>
      <c r="FI65" s="1155">
        <f t="shared" si="207"/>
        <v>0</v>
      </c>
      <c r="FJ65" s="1155">
        <f t="shared" si="208"/>
        <v>0</v>
      </c>
      <c r="FK65" s="1155">
        <f t="shared" si="209"/>
        <v>0</v>
      </c>
      <c r="FL65" s="1155">
        <f t="shared" si="210"/>
        <v>0</v>
      </c>
      <c r="FM65" s="1155">
        <f t="shared" si="211"/>
        <v>0</v>
      </c>
      <c r="FN65" s="1155">
        <f t="shared" si="212"/>
        <v>0</v>
      </c>
      <c r="FO65" s="1155">
        <f t="shared" si="213"/>
        <v>0</v>
      </c>
      <c r="FP65" s="1155">
        <f t="shared" si="214"/>
        <v>0</v>
      </c>
      <c r="FQ65" s="1155">
        <f t="shared" si="215"/>
        <v>0</v>
      </c>
      <c r="FR65" s="1155">
        <f t="shared" si="216"/>
        <v>0</v>
      </c>
      <c r="FS65" s="1155">
        <f t="shared" si="217"/>
        <v>0</v>
      </c>
      <c r="FT65" s="1155">
        <f t="shared" si="218"/>
        <v>0</v>
      </c>
      <c r="FU65" s="1155">
        <f t="shared" si="219"/>
        <v>0</v>
      </c>
      <c r="FV65" s="1155">
        <f t="shared" si="220"/>
        <v>0</v>
      </c>
      <c r="FW65" s="1155">
        <f t="shared" si="221"/>
        <v>0</v>
      </c>
      <c r="FX65" s="1155">
        <f t="shared" si="222"/>
        <v>9428.3523213655953</v>
      </c>
      <c r="FY65" s="1155">
        <f t="shared" si="223"/>
        <v>0</v>
      </c>
      <c r="FZ65" s="1155">
        <f t="shared" si="224"/>
        <v>0</v>
      </c>
      <c r="GA65" s="1155">
        <f t="shared" si="225"/>
        <v>0</v>
      </c>
      <c r="GB65" s="1155">
        <f t="shared" si="226"/>
        <v>0</v>
      </c>
      <c r="GC65" s="1155">
        <f t="shared" si="227"/>
        <v>0</v>
      </c>
      <c r="GD65" s="1155">
        <f t="shared" si="228"/>
        <v>0</v>
      </c>
      <c r="GE65" s="1155">
        <f t="shared" si="229"/>
        <v>0</v>
      </c>
      <c r="GF65" s="1155">
        <f t="shared" si="230"/>
        <v>0</v>
      </c>
      <c r="GG65" s="1155">
        <f t="shared" si="231"/>
        <v>0</v>
      </c>
      <c r="GH65" s="1155">
        <f t="shared" si="232"/>
        <v>0</v>
      </c>
      <c r="GI65" s="1155">
        <f t="shared" si="233"/>
        <v>0</v>
      </c>
      <c r="GJ65" s="1175">
        <f t="shared" si="234"/>
        <v>9904.3472894674815</v>
      </c>
    </row>
    <row r="66" spans="1:192" s="1101" customFormat="1">
      <c r="B66" s="1259" t="str">
        <f>IF(Prop2021DUOSTariffs!B66="","",Prop2021DUOSTariffs!B66)</f>
        <v/>
      </c>
      <c r="C66" s="1259" t="str">
        <f>IF(Prop2021DUOSTariffs!C66="","",Prop2021DUOSTariffs!C66)</f>
        <v>East SAC&lt;100MWhpa Business TOU Demand</v>
      </c>
      <c r="D66" s="1259" t="str">
        <f>IF(Prop2021DUOSTariffs!D66="","",Prop2021DUOSTariffs!D66)</f>
        <v>East SAC&lt;100MWhpa Business TOU Demand</v>
      </c>
      <c r="E66" s="1259" t="str">
        <f>IF(Prop2021DUOSTariffs!E66="","",Prop2021DUOSTariffs!E66)</f>
        <v>SAC</v>
      </c>
      <c r="F66" s="1259" t="str">
        <f>IF(Prop2021DUOSTariffs!F66="","",Prop2021DUOSTariffs!F66)</f>
        <v>SACS Bus</v>
      </c>
      <c r="G66" s="1259" t="str">
        <f>IF(Prop2021DUOSTariffs!G66="","",Prop2021DUOSTariffs!G66)</f>
        <v>East</v>
      </c>
      <c r="H66" s="1259" t="str">
        <f>IF(Prop2021DUOSTariffs!H66="","",Prop2021DUOSTariffs!H66)</f>
        <v>EBDEM</v>
      </c>
      <c r="I66" s="1259" t="s">
        <v>935</v>
      </c>
      <c r="J66" s="1256"/>
      <c r="K66" s="1233">
        <v>0.1335341443782054</v>
      </c>
      <c r="L66" s="1135"/>
      <c r="M66" s="1135"/>
      <c r="N66" s="1135"/>
      <c r="O66" s="1135"/>
      <c r="P66" s="1135"/>
      <c r="Q66" s="1135"/>
      <c r="R66" s="1135"/>
      <c r="S66" s="1135"/>
      <c r="T66" s="1135"/>
      <c r="U66" s="1135"/>
      <c r="V66" s="1135"/>
      <c r="W66" s="1135"/>
      <c r="X66" s="1135"/>
      <c r="Y66" s="1135"/>
      <c r="Z66" s="1135"/>
      <c r="AA66" s="1135"/>
      <c r="AB66" s="1135"/>
      <c r="AC66" s="1135"/>
      <c r="AD66" s="1135"/>
      <c r="AE66" s="1135"/>
      <c r="AF66" s="1005"/>
      <c r="AG66" s="1005"/>
      <c r="AH66" s="1224">
        <v>7.4122808686789441E-3</v>
      </c>
      <c r="AI66" s="1241"/>
      <c r="AJ66" s="1241"/>
      <c r="AK66" s="1241"/>
      <c r="AL66" s="1241"/>
      <c r="AM66" s="1241"/>
      <c r="AN66" s="1241"/>
      <c r="AO66" s="1241"/>
      <c r="AP66" s="1241"/>
      <c r="AQ66" s="1241"/>
      <c r="AR66" s="1241"/>
      <c r="AS66" s="1241"/>
      <c r="AT66" s="1256"/>
      <c r="AU66" s="1484">
        <v>0.14489953366876271</v>
      </c>
      <c r="AV66" s="1241"/>
      <c r="AW66" s="1241"/>
      <c r="AX66" s="1241"/>
      <c r="AY66" s="1241"/>
      <c r="AZ66" s="1241"/>
      <c r="BA66" s="1241"/>
      <c r="BB66" s="1241"/>
      <c r="BC66" s="1241"/>
      <c r="BD66" s="1241"/>
      <c r="BE66" s="1241"/>
      <c r="BF66" s="1241"/>
      <c r="BG66" s="1241"/>
      <c r="BH66" s="1241"/>
      <c r="BI66" s="1241"/>
      <c r="BJ66" s="1241"/>
      <c r="BK66" s="1241"/>
      <c r="BL66" s="1241"/>
      <c r="BM66" s="1241"/>
      <c r="BN66" s="1241"/>
      <c r="BO66" s="1241"/>
      <c r="BP66" s="1241"/>
      <c r="BQ66" s="1241"/>
      <c r="BR66" s="1484">
        <v>8.2170735145811833E-3</v>
      </c>
      <c r="BS66" s="1241"/>
      <c r="BT66" s="1241"/>
      <c r="BU66" s="1241"/>
      <c r="BV66" s="1241"/>
      <c r="BW66" s="1241"/>
      <c r="BX66" s="1241"/>
      <c r="BY66" s="1241"/>
      <c r="BZ66" s="1241"/>
      <c r="CA66" s="1241"/>
      <c r="CB66" s="1241"/>
      <c r="CC66" s="1241"/>
      <c r="CD66" s="1256"/>
      <c r="CE66" s="1256"/>
      <c r="CF66" s="1265">
        <v>14.470000000000002</v>
      </c>
      <c r="CG66" s="1135"/>
      <c r="CH66" s="1135"/>
      <c r="CI66" s="1135"/>
      <c r="CJ66" s="1135"/>
      <c r="CK66" s="1135"/>
      <c r="CL66" s="1135"/>
      <c r="CM66" s="1135"/>
      <c r="CN66" s="1135"/>
      <c r="CO66" s="1135"/>
      <c r="CP66" s="1135"/>
      <c r="CQ66" s="1135"/>
      <c r="CR66" s="1135"/>
      <c r="CS66" s="1135"/>
      <c r="CT66" s="1135"/>
      <c r="CU66" s="1135"/>
      <c r="CV66" s="1135"/>
      <c r="CW66" s="1135"/>
      <c r="CX66" s="1135"/>
      <c r="CY66" s="1135"/>
      <c r="CZ66" s="1135"/>
      <c r="DA66" s="1008"/>
      <c r="DB66" s="1008"/>
      <c r="DC66" s="1265">
        <v>2015388.5300000003</v>
      </c>
      <c r="DD66" s="1008"/>
      <c r="DE66" s="1008"/>
      <c r="DF66" s="1008"/>
      <c r="DG66" s="1008"/>
      <c r="DH66" s="1008"/>
      <c r="DI66" s="1008"/>
      <c r="DJ66" s="1008"/>
      <c r="DK66" s="1008"/>
      <c r="DL66" s="1008"/>
      <c r="DM66" s="1008"/>
      <c r="DN66" s="1008"/>
      <c r="DO66" s="1256"/>
      <c r="DP66" s="1155">
        <f t="shared" si="163"/>
        <v>705.26726024071093</v>
      </c>
      <c r="DQ66" s="1155">
        <f t="shared" si="164"/>
        <v>0</v>
      </c>
      <c r="DR66" s="1155">
        <f t="shared" si="165"/>
        <v>0</v>
      </c>
      <c r="DS66" s="1155">
        <f t="shared" si="166"/>
        <v>0</v>
      </c>
      <c r="DT66" s="1155">
        <f t="shared" si="167"/>
        <v>0</v>
      </c>
      <c r="DU66" s="1155">
        <f t="shared" si="168"/>
        <v>0</v>
      </c>
      <c r="DV66" s="1155">
        <f t="shared" si="169"/>
        <v>0</v>
      </c>
      <c r="DW66" s="1155">
        <f t="shared" si="170"/>
        <v>0</v>
      </c>
      <c r="DX66" s="1155">
        <f t="shared" si="171"/>
        <v>0</v>
      </c>
      <c r="DY66" s="1155">
        <f t="shared" si="172"/>
        <v>0</v>
      </c>
      <c r="DZ66" s="1155">
        <f t="shared" si="173"/>
        <v>0</v>
      </c>
      <c r="EA66" s="1155">
        <f t="shared" si="174"/>
        <v>0</v>
      </c>
      <c r="EB66" s="1155">
        <f t="shared" si="175"/>
        <v>0</v>
      </c>
      <c r="EC66" s="1155">
        <f t="shared" si="176"/>
        <v>0</v>
      </c>
      <c r="ED66" s="1155">
        <f t="shared" si="177"/>
        <v>0</v>
      </c>
      <c r="EE66" s="1155">
        <f t="shared" si="178"/>
        <v>0</v>
      </c>
      <c r="EF66" s="1155">
        <f t="shared" si="179"/>
        <v>0</v>
      </c>
      <c r="EG66" s="1155">
        <f t="shared" si="180"/>
        <v>0</v>
      </c>
      <c r="EH66" s="1155">
        <f t="shared" si="181"/>
        <v>0</v>
      </c>
      <c r="EI66" s="1155">
        <f t="shared" si="182"/>
        <v>0</v>
      </c>
      <c r="EJ66" s="1155">
        <f t="shared" si="183"/>
        <v>0</v>
      </c>
      <c r="EK66" s="1155">
        <f t="shared" si="184"/>
        <v>0</v>
      </c>
      <c r="EL66" s="1155">
        <f t="shared" si="185"/>
        <v>0</v>
      </c>
      <c r="EM66" s="1155">
        <f t="shared" si="186"/>
        <v>14938.625843873982</v>
      </c>
      <c r="EN66" s="1155">
        <f t="shared" si="187"/>
        <v>0</v>
      </c>
      <c r="EO66" s="1155">
        <f t="shared" si="188"/>
        <v>0</v>
      </c>
      <c r="EP66" s="1155">
        <f t="shared" si="189"/>
        <v>0</v>
      </c>
      <c r="EQ66" s="1155">
        <f t="shared" si="190"/>
        <v>0</v>
      </c>
      <c r="ER66" s="1155">
        <f t="shared" si="191"/>
        <v>0</v>
      </c>
      <c r="ES66" s="1155">
        <f t="shared" si="192"/>
        <v>0</v>
      </c>
      <c r="ET66" s="1155">
        <f t="shared" si="193"/>
        <v>0</v>
      </c>
      <c r="EU66" s="1155">
        <f t="shared" si="194"/>
        <v>0</v>
      </c>
      <c r="EV66" s="1155">
        <f t="shared" si="195"/>
        <v>0</v>
      </c>
      <c r="EW66" s="1155">
        <f t="shared" si="196"/>
        <v>0</v>
      </c>
      <c r="EX66" s="1155">
        <f t="shared" si="197"/>
        <v>0</v>
      </c>
      <c r="EY66" s="1175">
        <f t="shared" si="198"/>
        <v>15643.893104114693</v>
      </c>
      <c r="EZ66" s="1256"/>
      <c r="FA66" s="1155">
        <f t="shared" si="199"/>
        <v>765.2941320482538</v>
      </c>
      <c r="FB66" s="1155">
        <f t="shared" si="200"/>
        <v>0</v>
      </c>
      <c r="FC66" s="1155">
        <f t="shared" si="201"/>
        <v>0</v>
      </c>
      <c r="FD66" s="1155">
        <f t="shared" si="202"/>
        <v>0</v>
      </c>
      <c r="FE66" s="1155">
        <f t="shared" si="203"/>
        <v>0</v>
      </c>
      <c r="FF66" s="1155">
        <f t="shared" si="204"/>
        <v>0</v>
      </c>
      <c r="FG66" s="1155">
        <f t="shared" si="205"/>
        <v>0</v>
      </c>
      <c r="FH66" s="1155">
        <f t="shared" si="206"/>
        <v>0</v>
      </c>
      <c r="FI66" s="1155">
        <f t="shared" si="207"/>
        <v>0</v>
      </c>
      <c r="FJ66" s="1155">
        <f t="shared" si="208"/>
        <v>0</v>
      </c>
      <c r="FK66" s="1155">
        <f t="shared" si="209"/>
        <v>0</v>
      </c>
      <c r="FL66" s="1155">
        <f t="shared" si="210"/>
        <v>0</v>
      </c>
      <c r="FM66" s="1155">
        <f t="shared" si="211"/>
        <v>0</v>
      </c>
      <c r="FN66" s="1155">
        <f t="shared" si="212"/>
        <v>0</v>
      </c>
      <c r="FO66" s="1155">
        <f t="shared" si="213"/>
        <v>0</v>
      </c>
      <c r="FP66" s="1155">
        <f t="shared" si="214"/>
        <v>0</v>
      </c>
      <c r="FQ66" s="1155">
        <f t="shared" si="215"/>
        <v>0</v>
      </c>
      <c r="FR66" s="1155">
        <f t="shared" si="216"/>
        <v>0</v>
      </c>
      <c r="FS66" s="1155">
        <f t="shared" si="217"/>
        <v>0</v>
      </c>
      <c r="FT66" s="1155">
        <f t="shared" si="218"/>
        <v>0</v>
      </c>
      <c r="FU66" s="1155">
        <f t="shared" si="219"/>
        <v>0</v>
      </c>
      <c r="FV66" s="1155">
        <f t="shared" si="220"/>
        <v>0</v>
      </c>
      <c r="FW66" s="1155">
        <f t="shared" si="221"/>
        <v>0</v>
      </c>
      <c r="FX66" s="1155">
        <f t="shared" si="222"/>
        <v>16560.595711453705</v>
      </c>
      <c r="FY66" s="1155">
        <f t="shared" si="223"/>
        <v>0</v>
      </c>
      <c r="FZ66" s="1155">
        <f t="shared" si="224"/>
        <v>0</v>
      </c>
      <c r="GA66" s="1155">
        <f t="shared" si="225"/>
        <v>0</v>
      </c>
      <c r="GB66" s="1155">
        <f t="shared" si="226"/>
        <v>0</v>
      </c>
      <c r="GC66" s="1155">
        <f t="shared" si="227"/>
        <v>0</v>
      </c>
      <c r="GD66" s="1155">
        <f t="shared" si="228"/>
        <v>0</v>
      </c>
      <c r="GE66" s="1155">
        <f t="shared" si="229"/>
        <v>0</v>
      </c>
      <c r="GF66" s="1155">
        <f t="shared" si="230"/>
        <v>0</v>
      </c>
      <c r="GG66" s="1155">
        <f t="shared" si="231"/>
        <v>0</v>
      </c>
      <c r="GH66" s="1155">
        <f t="shared" si="232"/>
        <v>0</v>
      </c>
      <c r="GI66" s="1155">
        <f t="shared" si="233"/>
        <v>0</v>
      </c>
      <c r="GJ66" s="1175">
        <f t="shared" si="234"/>
        <v>17325.889843501958</v>
      </c>
    </row>
    <row r="67" spans="1:192" s="1101" customFormat="1">
      <c r="B67" s="1259" t="str">
        <f>IF(Prop2021DUOSTariffs!B67="","",Prop2021DUOSTariffs!B67)</f>
        <v/>
      </c>
      <c r="C67" s="1259" t="str">
        <f>IF(Prop2021DUOSTariffs!C67="","",Prop2021DUOSTariffs!C67)</f>
        <v>West SAC&lt;100MWhpa Business TOU Demand</v>
      </c>
      <c r="D67" s="1259" t="str">
        <f>IF(Prop2021DUOSTariffs!D67="","",Prop2021DUOSTariffs!D67)</f>
        <v>West SAC&lt;100MWhpa Business TOU Demand</v>
      </c>
      <c r="E67" s="1259" t="str">
        <f>IF(Prop2021DUOSTariffs!E67="","",Prop2021DUOSTariffs!E67)</f>
        <v>SAC</v>
      </c>
      <c r="F67" s="1259" t="str">
        <f>IF(Prop2021DUOSTariffs!F67="","",Prop2021DUOSTariffs!F67)</f>
        <v>SACS Bus</v>
      </c>
      <c r="G67" s="1259" t="str">
        <f>IF(Prop2021DUOSTariffs!G67="","",Prop2021DUOSTariffs!G67)</f>
        <v>West</v>
      </c>
      <c r="H67" s="1259" t="str">
        <f>IF(Prop2021DUOSTariffs!H67="","",Prop2021DUOSTariffs!H67)</f>
        <v>WBDEM</v>
      </c>
      <c r="I67" s="1259" t="s">
        <v>935</v>
      </c>
      <c r="J67" s="1256"/>
      <c r="K67" s="1233">
        <v>0.1335341443782054</v>
      </c>
      <c r="L67" s="1135"/>
      <c r="M67" s="1135"/>
      <c r="N67" s="1135"/>
      <c r="O67" s="1135"/>
      <c r="P67" s="1135"/>
      <c r="Q67" s="1135"/>
      <c r="R67" s="1135"/>
      <c r="S67" s="1135"/>
      <c r="T67" s="1135"/>
      <c r="U67" s="1135"/>
      <c r="V67" s="1135"/>
      <c r="W67" s="1135"/>
      <c r="X67" s="1135"/>
      <c r="Y67" s="1135"/>
      <c r="Z67" s="1135"/>
      <c r="AA67" s="1135"/>
      <c r="AB67" s="1135"/>
      <c r="AC67" s="1135"/>
      <c r="AD67" s="1135"/>
      <c r="AE67" s="1135"/>
      <c r="AF67" s="1005"/>
      <c r="AG67" s="1005"/>
      <c r="AH67" s="1224">
        <v>7.4122808686789441E-3</v>
      </c>
      <c r="AI67" s="1241"/>
      <c r="AJ67" s="1241"/>
      <c r="AK67" s="1241"/>
      <c r="AL67" s="1241"/>
      <c r="AM67" s="1241"/>
      <c r="AN67" s="1241"/>
      <c r="AO67" s="1241"/>
      <c r="AP67" s="1241"/>
      <c r="AQ67" s="1241"/>
      <c r="AR67" s="1241"/>
      <c r="AS67" s="1241"/>
      <c r="AT67" s="1256"/>
      <c r="AU67" s="1484">
        <v>0.14489953366876271</v>
      </c>
      <c r="AV67" s="1241"/>
      <c r="AW67" s="1241"/>
      <c r="AX67" s="1241"/>
      <c r="AY67" s="1241"/>
      <c r="AZ67" s="1241"/>
      <c r="BA67" s="1241"/>
      <c r="BB67" s="1241"/>
      <c r="BC67" s="1241"/>
      <c r="BD67" s="1241"/>
      <c r="BE67" s="1241"/>
      <c r="BF67" s="1241"/>
      <c r="BG67" s="1241"/>
      <c r="BH67" s="1241"/>
      <c r="BI67" s="1241"/>
      <c r="BJ67" s="1241"/>
      <c r="BK67" s="1241"/>
      <c r="BL67" s="1241"/>
      <c r="BM67" s="1241"/>
      <c r="BN67" s="1241"/>
      <c r="BO67" s="1241"/>
      <c r="BP67" s="1241"/>
      <c r="BQ67" s="1241"/>
      <c r="BR67" s="1484">
        <v>8.2170735145811833E-3</v>
      </c>
      <c r="BS67" s="1241"/>
      <c r="BT67" s="1241"/>
      <c r="BU67" s="1241"/>
      <c r="BV67" s="1241"/>
      <c r="BW67" s="1241"/>
      <c r="BX67" s="1241"/>
      <c r="BY67" s="1241"/>
      <c r="BZ67" s="1241"/>
      <c r="CA67" s="1241"/>
      <c r="CB67" s="1241"/>
      <c r="CC67" s="1241"/>
      <c r="CD67" s="1256"/>
      <c r="CE67" s="1256"/>
      <c r="CF67" s="1265">
        <v>8.8199999999999985</v>
      </c>
      <c r="CG67" s="1135"/>
      <c r="CH67" s="1135"/>
      <c r="CI67" s="1135"/>
      <c r="CJ67" s="1135"/>
      <c r="CK67" s="1135"/>
      <c r="CL67" s="1135"/>
      <c r="CM67" s="1135"/>
      <c r="CN67" s="1135"/>
      <c r="CO67" s="1135"/>
      <c r="CP67" s="1135"/>
      <c r="CQ67" s="1135"/>
      <c r="CR67" s="1135"/>
      <c r="CS67" s="1135"/>
      <c r="CT67" s="1135"/>
      <c r="CU67" s="1135"/>
      <c r="CV67" s="1135"/>
      <c r="CW67" s="1135"/>
      <c r="CX67" s="1135"/>
      <c r="CY67" s="1135"/>
      <c r="CZ67" s="1135"/>
      <c r="DA67" s="1008"/>
      <c r="DB67" s="1008"/>
      <c r="DC67" s="1265">
        <v>170499.95999999996</v>
      </c>
      <c r="DD67" s="1008"/>
      <c r="DE67" s="1008"/>
      <c r="DF67" s="1008"/>
      <c r="DG67" s="1008"/>
      <c r="DH67" s="1008"/>
      <c r="DI67" s="1008"/>
      <c r="DJ67" s="1008"/>
      <c r="DK67" s="1008"/>
      <c r="DL67" s="1008"/>
      <c r="DM67" s="1008"/>
      <c r="DN67" s="1008"/>
      <c r="DO67" s="1256"/>
      <c r="DP67" s="1155">
        <f t="shared" si="163"/>
        <v>429.8864709967566</v>
      </c>
      <c r="DQ67" s="1155">
        <f t="shared" si="164"/>
        <v>0</v>
      </c>
      <c r="DR67" s="1155">
        <f t="shared" si="165"/>
        <v>0</v>
      </c>
      <c r="DS67" s="1155">
        <f t="shared" si="166"/>
        <v>0</v>
      </c>
      <c r="DT67" s="1155">
        <f t="shared" si="167"/>
        <v>0</v>
      </c>
      <c r="DU67" s="1155">
        <f t="shared" si="168"/>
        <v>0</v>
      </c>
      <c r="DV67" s="1155">
        <f t="shared" si="169"/>
        <v>0</v>
      </c>
      <c r="DW67" s="1155">
        <f t="shared" si="170"/>
        <v>0</v>
      </c>
      <c r="DX67" s="1155">
        <f t="shared" si="171"/>
        <v>0</v>
      </c>
      <c r="DY67" s="1155">
        <f t="shared" si="172"/>
        <v>0</v>
      </c>
      <c r="DZ67" s="1155">
        <f t="shared" si="173"/>
        <v>0</v>
      </c>
      <c r="EA67" s="1155">
        <f t="shared" si="174"/>
        <v>0</v>
      </c>
      <c r="EB67" s="1155">
        <f t="shared" si="175"/>
        <v>0</v>
      </c>
      <c r="EC67" s="1155">
        <f t="shared" si="176"/>
        <v>0</v>
      </c>
      <c r="ED67" s="1155">
        <f t="shared" si="177"/>
        <v>0</v>
      </c>
      <c r="EE67" s="1155">
        <f t="shared" si="178"/>
        <v>0</v>
      </c>
      <c r="EF67" s="1155">
        <f t="shared" si="179"/>
        <v>0</v>
      </c>
      <c r="EG67" s="1155">
        <f t="shared" si="180"/>
        <v>0</v>
      </c>
      <c r="EH67" s="1155">
        <f t="shared" si="181"/>
        <v>0</v>
      </c>
      <c r="EI67" s="1155">
        <f t="shared" si="182"/>
        <v>0</v>
      </c>
      <c r="EJ67" s="1155">
        <f t="shared" si="183"/>
        <v>0</v>
      </c>
      <c r="EK67" s="1155">
        <f t="shared" si="184"/>
        <v>0</v>
      </c>
      <c r="EL67" s="1155">
        <f t="shared" si="185"/>
        <v>0</v>
      </c>
      <c r="EM67" s="1155">
        <f t="shared" si="186"/>
        <v>1263.7935916185249</v>
      </c>
      <c r="EN67" s="1155">
        <f t="shared" si="187"/>
        <v>0</v>
      </c>
      <c r="EO67" s="1155">
        <f t="shared" si="188"/>
        <v>0</v>
      </c>
      <c r="EP67" s="1155">
        <f t="shared" si="189"/>
        <v>0</v>
      </c>
      <c r="EQ67" s="1155">
        <f t="shared" si="190"/>
        <v>0</v>
      </c>
      <c r="ER67" s="1155">
        <f t="shared" si="191"/>
        <v>0</v>
      </c>
      <c r="ES67" s="1155">
        <f t="shared" si="192"/>
        <v>0</v>
      </c>
      <c r="ET67" s="1155">
        <f t="shared" si="193"/>
        <v>0</v>
      </c>
      <c r="EU67" s="1155">
        <f t="shared" si="194"/>
        <v>0</v>
      </c>
      <c r="EV67" s="1155">
        <f t="shared" si="195"/>
        <v>0</v>
      </c>
      <c r="EW67" s="1155">
        <f t="shared" si="196"/>
        <v>0</v>
      </c>
      <c r="EX67" s="1155">
        <f t="shared" si="197"/>
        <v>0</v>
      </c>
      <c r="EY67" s="1175">
        <f t="shared" si="198"/>
        <v>1693.6800626152815</v>
      </c>
      <c r="EZ67" s="1256"/>
      <c r="FA67" s="1155">
        <f t="shared" si="199"/>
        <v>466.47506873984776</v>
      </c>
      <c r="FB67" s="1155">
        <f t="shared" si="200"/>
        <v>0</v>
      </c>
      <c r="FC67" s="1155">
        <f t="shared" si="201"/>
        <v>0</v>
      </c>
      <c r="FD67" s="1155">
        <f t="shared" si="202"/>
        <v>0</v>
      </c>
      <c r="FE67" s="1155">
        <f t="shared" si="203"/>
        <v>0</v>
      </c>
      <c r="FF67" s="1155">
        <f t="shared" si="204"/>
        <v>0</v>
      </c>
      <c r="FG67" s="1155">
        <f t="shared" si="205"/>
        <v>0</v>
      </c>
      <c r="FH67" s="1155">
        <f t="shared" si="206"/>
        <v>0</v>
      </c>
      <c r="FI67" s="1155">
        <f t="shared" si="207"/>
        <v>0</v>
      </c>
      <c r="FJ67" s="1155">
        <f t="shared" si="208"/>
        <v>0</v>
      </c>
      <c r="FK67" s="1155">
        <f t="shared" si="209"/>
        <v>0</v>
      </c>
      <c r="FL67" s="1155">
        <f t="shared" si="210"/>
        <v>0</v>
      </c>
      <c r="FM67" s="1155">
        <f t="shared" si="211"/>
        <v>0</v>
      </c>
      <c r="FN67" s="1155">
        <f t="shared" si="212"/>
        <v>0</v>
      </c>
      <c r="FO67" s="1155">
        <f t="shared" si="213"/>
        <v>0</v>
      </c>
      <c r="FP67" s="1155">
        <f t="shared" si="214"/>
        <v>0</v>
      </c>
      <c r="FQ67" s="1155">
        <f t="shared" si="215"/>
        <v>0</v>
      </c>
      <c r="FR67" s="1155">
        <f t="shared" si="216"/>
        <v>0</v>
      </c>
      <c r="FS67" s="1155">
        <f t="shared" si="217"/>
        <v>0</v>
      </c>
      <c r="FT67" s="1155">
        <f t="shared" si="218"/>
        <v>0</v>
      </c>
      <c r="FU67" s="1155">
        <f t="shared" si="219"/>
        <v>0</v>
      </c>
      <c r="FV67" s="1155">
        <f t="shared" si="220"/>
        <v>0</v>
      </c>
      <c r="FW67" s="1155">
        <f t="shared" si="221"/>
        <v>0</v>
      </c>
      <c r="FX67" s="1155">
        <f t="shared" si="222"/>
        <v>1401.010705553151</v>
      </c>
      <c r="FY67" s="1155">
        <f t="shared" si="223"/>
        <v>0</v>
      </c>
      <c r="FZ67" s="1155">
        <f t="shared" si="224"/>
        <v>0</v>
      </c>
      <c r="GA67" s="1155">
        <f t="shared" si="225"/>
        <v>0</v>
      </c>
      <c r="GB67" s="1155">
        <f t="shared" si="226"/>
        <v>0</v>
      </c>
      <c r="GC67" s="1155">
        <f t="shared" si="227"/>
        <v>0</v>
      </c>
      <c r="GD67" s="1155">
        <f t="shared" si="228"/>
        <v>0</v>
      </c>
      <c r="GE67" s="1155">
        <f t="shared" si="229"/>
        <v>0</v>
      </c>
      <c r="GF67" s="1155">
        <f t="shared" si="230"/>
        <v>0</v>
      </c>
      <c r="GG67" s="1155">
        <f t="shared" si="231"/>
        <v>0</v>
      </c>
      <c r="GH67" s="1155">
        <f t="shared" si="232"/>
        <v>0</v>
      </c>
      <c r="GI67" s="1155">
        <f t="shared" si="233"/>
        <v>0</v>
      </c>
      <c r="GJ67" s="1175">
        <f t="shared" si="234"/>
        <v>1867.4857742929987</v>
      </c>
    </row>
    <row r="68" spans="1:192" s="1101" customFormat="1">
      <c r="B68" s="1259" t="str">
        <f>IF(Prop2021DUOSTariffs!B68="","",Prop2021DUOSTariffs!B68)</f>
        <v/>
      </c>
      <c r="C68" s="1259" t="str">
        <f>IF(Prop2021DUOSTariffs!C68="","",Prop2021DUOSTariffs!C68)</f>
        <v>MtIsa SAC&lt;100MWhpa Business TOU Demand</v>
      </c>
      <c r="D68" s="1259" t="str">
        <f>IF(Prop2021DUOSTariffs!D68="","",Prop2021DUOSTariffs!D68)</f>
        <v>MtIsa SAC&lt;100MWhpa Business TOU Demand</v>
      </c>
      <c r="E68" s="1259" t="str">
        <f>IF(Prop2021DUOSTariffs!E68="","",Prop2021DUOSTariffs!E68)</f>
        <v>SAC</v>
      </c>
      <c r="F68" s="1259" t="str">
        <f>IF(Prop2021DUOSTariffs!F68="","",Prop2021DUOSTariffs!F68)</f>
        <v>SACS Bus</v>
      </c>
      <c r="G68" s="1259" t="str">
        <f>IF(Prop2021DUOSTariffs!G68="","",Prop2021DUOSTariffs!G68)</f>
        <v>Mt Isa</v>
      </c>
      <c r="H68" s="1259" t="str">
        <f>IF(Prop2021DUOSTariffs!H68="","",Prop2021DUOSTariffs!H68)</f>
        <v>MBDEM</v>
      </c>
      <c r="I68" s="1259" t="s">
        <v>935</v>
      </c>
      <c r="J68" s="1256"/>
      <c r="K68" s="1233">
        <v>0.1335341443782054</v>
      </c>
      <c r="L68" s="1135"/>
      <c r="M68" s="1135"/>
      <c r="N68" s="1135"/>
      <c r="O68" s="1135"/>
      <c r="P68" s="1135"/>
      <c r="Q68" s="1135"/>
      <c r="R68" s="1135"/>
      <c r="S68" s="1135"/>
      <c r="T68" s="1135"/>
      <c r="U68" s="1135"/>
      <c r="V68" s="1135"/>
      <c r="W68" s="1135"/>
      <c r="X68" s="1135"/>
      <c r="Y68" s="1135"/>
      <c r="Z68" s="1135"/>
      <c r="AA68" s="1135"/>
      <c r="AB68" s="1135"/>
      <c r="AC68" s="1135"/>
      <c r="AD68" s="1135"/>
      <c r="AE68" s="1135"/>
      <c r="AF68" s="1005"/>
      <c r="AG68" s="1005"/>
      <c r="AH68" s="1224">
        <v>7.4122808686789441E-3</v>
      </c>
      <c r="AI68" s="1241"/>
      <c r="AJ68" s="1241"/>
      <c r="AK68" s="1241"/>
      <c r="AL68" s="1241"/>
      <c r="AM68" s="1241"/>
      <c r="AN68" s="1241"/>
      <c r="AO68" s="1241"/>
      <c r="AP68" s="1241"/>
      <c r="AQ68" s="1241"/>
      <c r="AR68" s="1241"/>
      <c r="AS68" s="1241"/>
      <c r="AT68" s="1256"/>
      <c r="AU68" s="1484">
        <v>0.14489953366876271</v>
      </c>
      <c r="AV68" s="1241"/>
      <c r="AW68" s="1241"/>
      <c r="AX68" s="1241"/>
      <c r="AY68" s="1241"/>
      <c r="AZ68" s="1241"/>
      <c r="BA68" s="1241"/>
      <c r="BB68" s="1241"/>
      <c r="BC68" s="1241"/>
      <c r="BD68" s="1241"/>
      <c r="BE68" s="1241"/>
      <c r="BF68" s="1241"/>
      <c r="BG68" s="1241"/>
      <c r="BH68" s="1241"/>
      <c r="BI68" s="1241"/>
      <c r="BJ68" s="1241"/>
      <c r="BK68" s="1241"/>
      <c r="BL68" s="1241"/>
      <c r="BM68" s="1241"/>
      <c r="BN68" s="1241"/>
      <c r="BO68" s="1241"/>
      <c r="BP68" s="1241"/>
      <c r="BQ68" s="1241"/>
      <c r="BR68" s="1484">
        <v>8.2170735145811833E-3</v>
      </c>
      <c r="BS68" s="1241"/>
      <c r="BT68" s="1241"/>
      <c r="BU68" s="1241"/>
      <c r="BV68" s="1241"/>
      <c r="BW68" s="1241"/>
      <c r="BX68" s="1241"/>
      <c r="BY68" s="1241"/>
      <c r="BZ68" s="1241"/>
      <c r="CA68" s="1241"/>
      <c r="CB68" s="1241"/>
      <c r="CC68" s="1241"/>
      <c r="CD68" s="1256"/>
      <c r="CE68" s="1256"/>
      <c r="CF68" s="1265">
        <v>0</v>
      </c>
      <c r="CG68" s="1135"/>
      <c r="CH68" s="1135"/>
      <c r="CI68" s="1135"/>
      <c r="CJ68" s="1135"/>
      <c r="CK68" s="1135"/>
      <c r="CL68" s="1135"/>
      <c r="CM68" s="1135"/>
      <c r="CN68" s="1135"/>
      <c r="CO68" s="1135"/>
      <c r="CP68" s="1135"/>
      <c r="CQ68" s="1135"/>
      <c r="CR68" s="1135"/>
      <c r="CS68" s="1135"/>
      <c r="CT68" s="1135"/>
      <c r="CU68" s="1135"/>
      <c r="CV68" s="1135"/>
      <c r="CW68" s="1135"/>
      <c r="CX68" s="1135"/>
      <c r="CY68" s="1135"/>
      <c r="CZ68" s="1135"/>
      <c r="DA68" s="1008"/>
      <c r="DB68" s="1008"/>
      <c r="DC68" s="1265">
        <v>0</v>
      </c>
      <c r="DD68" s="1008"/>
      <c r="DE68" s="1008"/>
      <c r="DF68" s="1008"/>
      <c r="DG68" s="1008"/>
      <c r="DH68" s="1008"/>
      <c r="DI68" s="1008"/>
      <c r="DJ68" s="1008"/>
      <c r="DK68" s="1008"/>
      <c r="DL68" s="1008"/>
      <c r="DM68" s="1008"/>
      <c r="DN68" s="1008"/>
      <c r="DO68" s="1256"/>
      <c r="DP68" s="1155">
        <f t="shared" si="163"/>
        <v>0</v>
      </c>
      <c r="DQ68" s="1155">
        <f t="shared" si="164"/>
        <v>0</v>
      </c>
      <c r="DR68" s="1155">
        <f t="shared" si="165"/>
        <v>0</v>
      </c>
      <c r="DS68" s="1155">
        <f t="shared" si="166"/>
        <v>0</v>
      </c>
      <c r="DT68" s="1155">
        <f t="shared" si="167"/>
        <v>0</v>
      </c>
      <c r="DU68" s="1155">
        <f t="shared" si="168"/>
        <v>0</v>
      </c>
      <c r="DV68" s="1155">
        <f t="shared" si="169"/>
        <v>0</v>
      </c>
      <c r="DW68" s="1155">
        <f t="shared" si="170"/>
        <v>0</v>
      </c>
      <c r="DX68" s="1155">
        <f t="shared" si="171"/>
        <v>0</v>
      </c>
      <c r="DY68" s="1155">
        <f t="shared" si="172"/>
        <v>0</v>
      </c>
      <c r="DZ68" s="1155">
        <f t="shared" si="173"/>
        <v>0</v>
      </c>
      <c r="EA68" s="1155">
        <f t="shared" si="174"/>
        <v>0</v>
      </c>
      <c r="EB68" s="1155">
        <f t="shared" si="175"/>
        <v>0</v>
      </c>
      <c r="EC68" s="1155">
        <f t="shared" si="176"/>
        <v>0</v>
      </c>
      <c r="ED68" s="1155">
        <f t="shared" si="177"/>
        <v>0</v>
      </c>
      <c r="EE68" s="1155">
        <f t="shared" si="178"/>
        <v>0</v>
      </c>
      <c r="EF68" s="1155">
        <f t="shared" si="179"/>
        <v>0</v>
      </c>
      <c r="EG68" s="1155">
        <f t="shared" si="180"/>
        <v>0</v>
      </c>
      <c r="EH68" s="1155">
        <f t="shared" si="181"/>
        <v>0</v>
      </c>
      <c r="EI68" s="1155">
        <f t="shared" si="182"/>
        <v>0</v>
      </c>
      <c r="EJ68" s="1155">
        <f t="shared" si="183"/>
        <v>0</v>
      </c>
      <c r="EK68" s="1155">
        <f t="shared" si="184"/>
        <v>0</v>
      </c>
      <c r="EL68" s="1155">
        <f t="shared" si="185"/>
        <v>0</v>
      </c>
      <c r="EM68" s="1155">
        <f t="shared" si="186"/>
        <v>0</v>
      </c>
      <c r="EN68" s="1155">
        <f t="shared" si="187"/>
        <v>0</v>
      </c>
      <c r="EO68" s="1155">
        <f t="shared" si="188"/>
        <v>0</v>
      </c>
      <c r="EP68" s="1155">
        <f t="shared" si="189"/>
        <v>0</v>
      </c>
      <c r="EQ68" s="1155">
        <f t="shared" si="190"/>
        <v>0</v>
      </c>
      <c r="ER68" s="1155">
        <f t="shared" si="191"/>
        <v>0</v>
      </c>
      <c r="ES68" s="1155">
        <f t="shared" si="192"/>
        <v>0</v>
      </c>
      <c r="ET68" s="1155">
        <f t="shared" si="193"/>
        <v>0</v>
      </c>
      <c r="EU68" s="1155">
        <f t="shared" si="194"/>
        <v>0</v>
      </c>
      <c r="EV68" s="1155">
        <f t="shared" si="195"/>
        <v>0</v>
      </c>
      <c r="EW68" s="1155">
        <f t="shared" si="196"/>
        <v>0</v>
      </c>
      <c r="EX68" s="1155">
        <f t="shared" si="197"/>
        <v>0</v>
      </c>
      <c r="EY68" s="1175">
        <f t="shared" si="198"/>
        <v>0</v>
      </c>
      <c r="EZ68" s="1256"/>
      <c r="FA68" s="1155">
        <f t="shared" si="199"/>
        <v>0</v>
      </c>
      <c r="FB68" s="1155">
        <f t="shared" si="200"/>
        <v>0</v>
      </c>
      <c r="FC68" s="1155">
        <f t="shared" si="201"/>
        <v>0</v>
      </c>
      <c r="FD68" s="1155">
        <f t="shared" si="202"/>
        <v>0</v>
      </c>
      <c r="FE68" s="1155">
        <f t="shared" si="203"/>
        <v>0</v>
      </c>
      <c r="FF68" s="1155">
        <f t="shared" si="204"/>
        <v>0</v>
      </c>
      <c r="FG68" s="1155">
        <f t="shared" si="205"/>
        <v>0</v>
      </c>
      <c r="FH68" s="1155">
        <f t="shared" si="206"/>
        <v>0</v>
      </c>
      <c r="FI68" s="1155">
        <f t="shared" si="207"/>
        <v>0</v>
      </c>
      <c r="FJ68" s="1155">
        <f t="shared" si="208"/>
        <v>0</v>
      </c>
      <c r="FK68" s="1155">
        <f t="shared" si="209"/>
        <v>0</v>
      </c>
      <c r="FL68" s="1155">
        <f t="shared" si="210"/>
        <v>0</v>
      </c>
      <c r="FM68" s="1155">
        <f t="shared" si="211"/>
        <v>0</v>
      </c>
      <c r="FN68" s="1155">
        <f t="shared" si="212"/>
        <v>0</v>
      </c>
      <c r="FO68" s="1155">
        <f t="shared" si="213"/>
        <v>0</v>
      </c>
      <c r="FP68" s="1155">
        <f t="shared" si="214"/>
        <v>0</v>
      </c>
      <c r="FQ68" s="1155">
        <f t="shared" si="215"/>
        <v>0</v>
      </c>
      <c r="FR68" s="1155">
        <f t="shared" si="216"/>
        <v>0</v>
      </c>
      <c r="FS68" s="1155">
        <f t="shared" si="217"/>
        <v>0</v>
      </c>
      <c r="FT68" s="1155">
        <f t="shared" si="218"/>
        <v>0</v>
      </c>
      <c r="FU68" s="1155">
        <f t="shared" si="219"/>
        <v>0</v>
      </c>
      <c r="FV68" s="1155">
        <f t="shared" si="220"/>
        <v>0</v>
      </c>
      <c r="FW68" s="1155">
        <f t="shared" si="221"/>
        <v>0</v>
      </c>
      <c r="FX68" s="1155">
        <f t="shared" si="222"/>
        <v>0</v>
      </c>
      <c r="FY68" s="1155">
        <f t="shared" si="223"/>
        <v>0</v>
      </c>
      <c r="FZ68" s="1155">
        <f t="shared" si="224"/>
        <v>0</v>
      </c>
      <c r="GA68" s="1155">
        <f t="shared" si="225"/>
        <v>0</v>
      </c>
      <c r="GB68" s="1155">
        <f t="shared" si="226"/>
        <v>0</v>
      </c>
      <c r="GC68" s="1155">
        <f t="shared" si="227"/>
        <v>0</v>
      </c>
      <c r="GD68" s="1155">
        <f t="shared" si="228"/>
        <v>0</v>
      </c>
      <c r="GE68" s="1155">
        <f t="shared" si="229"/>
        <v>0</v>
      </c>
      <c r="GF68" s="1155">
        <f t="shared" si="230"/>
        <v>0</v>
      </c>
      <c r="GG68" s="1155">
        <f t="shared" si="231"/>
        <v>0</v>
      </c>
      <c r="GH68" s="1155">
        <f t="shared" si="232"/>
        <v>0</v>
      </c>
      <c r="GI68" s="1155">
        <f t="shared" si="233"/>
        <v>0</v>
      </c>
      <c r="GJ68" s="1175">
        <f t="shared" si="234"/>
        <v>0</v>
      </c>
    </row>
    <row r="69" spans="1:192" s="1101" customFormat="1">
      <c r="B69" s="1259" t="str">
        <f>IF(Prop2021DUOSTariffs!B69="","",Prop2021DUOSTariffs!B69)</f>
        <v/>
      </c>
      <c r="C69" s="1259" t="str">
        <f>IF(Prop2021DUOSTariffs!C69="","",Prop2021DUOSTariffs!C69)</f>
        <v xml:space="preserve">East SAC&lt;100MWhpa Small Business Primary Load Control </v>
      </c>
      <c r="D69" s="1259" t="str">
        <f>IF(Prop2021DUOSTariffs!D69="","",Prop2021DUOSTariffs!D69)</f>
        <v xml:space="preserve">East SAC&lt;100MWhpa Small Business Primary Load Control </v>
      </c>
      <c r="E69" s="1259" t="str">
        <f>IF(Prop2021DUOSTariffs!E69="","",Prop2021DUOSTariffs!E69)</f>
        <v>SAC</v>
      </c>
      <c r="F69" s="1259" t="str">
        <f>IF(Prop2021DUOSTariffs!F69="","",Prop2021DUOSTariffs!F69)</f>
        <v>SACS Bus</v>
      </c>
      <c r="G69" s="1259" t="str">
        <f>IF(Prop2021DUOSTariffs!G69="","",Prop2021DUOSTariffs!G69)</f>
        <v>East</v>
      </c>
      <c r="H69" s="1259" t="str">
        <f>IF(Prop2021DUOSTariffs!H69="","",Prop2021DUOSTariffs!H69)</f>
        <v>EBPLC</v>
      </c>
      <c r="I69" s="1259" t="s">
        <v>935</v>
      </c>
      <c r="J69" s="1256"/>
      <c r="K69" s="1233">
        <v>0.1335341443782054</v>
      </c>
      <c r="L69" s="1135"/>
      <c r="M69" s="1135"/>
      <c r="N69" s="1135"/>
      <c r="O69" s="1135"/>
      <c r="P69" s="1135"/>
      <c r="Q69" s="1135"/>
      <c r="R69" s="1135"/>
      <c r="S69" s="1135"/>
      <c r="T69" s="1135"/>
      <c r="U69" s="1135"/>
      <c r="V69" s="1135"/>
      <c r="W69" s="1135"/>
      <c r="X69" s="1135"/>
      <c r="Y69" s="1135"/>
      <c r="Z69" s="1135"/>
      <c r="AA69" s="1135"/>
      <c r="AB69" s="1135"/>
      <c r="AC69" s="1135"/>
      <c r="AD69" s="1135"/>
      <c r="AE69" s="1135"/>
      <c r="AF69" s="1005"/>
      <c r="AG69" s="1005"/>
      <c r="AH69" s="1224">
        <v>7.4122808686789441E-3</v>
      </c>
      <c r="AI69" s="1241"/>
      <c r="AJ69" s="1241"/>
      <c r="AK69" s="1241"/>
      <c r="AL69" s="1241"/>
      <c r="AM69" s="1241"/>
      <c r="AN69" s="1241"/>
      <c r="AO69" s="1241"/>
      <c r="AP69" s="1241"/>
      <c r="AQ69" s="1241"/>
      <c r="AR69" s="1241"/>
      <c r="AS69" s="1241"/>
      <c r="AT69" s="1256"/>
      <c r="AU69" s="1484">
        <v>0.14489953366876271</v>
      </c>
      <c r="AV69" s="1241"/>
      <c r="AW69" s="1241"/>
      <c r="AX69" s="1241"/>
      <c r="AY69" s="1241"/>
      <c r="AZ69" s="1241"/>
      <c r="BA69" s="1241"/>
      <c r="BB69" s="1241"/>
      <c r="BC69" s="1241"/>
      <c r="BD69" s="1241"/>
      <c r="BE69" s="1241"/>
      <c r="BF69" s="1241"/>
      <c r="BG69" s="1241"/>
      <c r="BH69" s="1241"/>
      <c r="BI69" s="1241"/>
      <c r="BJ69" s="1241"/>
      <c r="BK69" s="1241"/>
      <c r="BL69" s="1241"/>
      <c r="BM69" s="1241"/>
      <c r="BN69" s="1241"/>
      <c r="BO69" s="1241"/>
      <c r="BP69" s="1241"/>
      <c r="BQ69" s="1241"/>
      <c r="BR69" s="1484">
        <v>8.2170735145811833E-3</v>
      </c>
      <c r="BS69" s="1241"/>
      <c r="BT69" s="1241"/>
      <c r="BU69" s="1241"/>
      <c r="BV69" s="1241"/>
      <c r="BW69" s="1241"/>
      <c r="BX69" s="1241"/>
      <c r="BY69" s="1241"/>
      <c r="BZ69" s="1241"/>
      <c r="CA69" s="1241"/>
      <c r="CB69" s="1241"/>
      <c r="CC69" s="1241"/>
      <c r="CD69" s="1256"/>
      <c r="CE69" s="1256"/>
      <c r="CF69" s="1265">
        <v>783.7700000000001</v>
      </c>
      <c r="CG69" s="1135"/>
      <c r="CH69" s="1135"/>
      <c r="CI69" s="1135"/>
      <c r="CJ69" s="1135"/>
      <c r="CK69" s="1135"/>
      <c r="CL69" s="1135"/>
      <c r="CM69" s="1135"/>
      <c r="CN69" s="1135"/>
      <c r="CO69" s="1135"/>
      <c r="CP69" s="1135"/>
      <c r="CQ69" s="1135"/>
      <c r="CR69" s="1135"/>
      <c r="CS69" s="1135"/>
      <c r="CT69" s="1135"/>
      <c r="CU69" s="1135"/>
      <c r="CV69" s="1135"/>
      <c r="CW69" s="1135"/>
      <c r="CX69" s="1135"/>
      <c r="CY69" s="1135"/>
      <c r="CZ69" s="1135"/>
      <c r="DA69" s="1008"/>
      <c r="DB69" s="1008"/>
      <c r="DC69" s="1265">
        <v>10726472.780000001</v>
      </c>
      <c r="DD69" s="1008"/>
      <c r="DE69" s="1008"/>
      <c r="DF69" s="1008"/>
      <c r="DG69" s="1008"/>
      <c r="DH69" s="1008"/>
      <c r="DI69" s="1008"/>
      <c r="DJ69" s="1008"/>
      <c r="DK69" s="1008"/>
      <c r="DL69" s="1008"/>
      <c r="DM69" s="1008"/>
      <c r="DN69" s="1008"/>
      <c r="DO69" s="1256"/>
      <c r="DP69" s="1155">
        <f t="shared" si="163"/>
        <v>38200.920563846717</v>
      </c>
      <c r="DQ69" s="1155">
        <f t="shared" si="164"/>
        <v>0</v>
      </c>
      <c r="DR69" s="1155">
        <f t="shared" si="165"/>
        <v>0</v>
      </c>
      <c r="DS69" s="1155">
        <f t="shared" si="166"/>
        <v>0</v>
      </c>
      <c r="DT69" s="1155">
        <f t="shared" si="167"/>
        <v>0</v>
      </c>
      <c r="DU69" s="1155">
        <f t="shared" si="168"/>
        <v>0</v>
      </c>
      <c r="DV69" s="1155">
        <f t="shared" si="169"/>
        <v>0</v>
      </c>
      <c r="DW69" s="1155">
        <f t="shared" si="170"/>
        <v>0</v>
      </c>
      <c r="DX69" s="1155">
        <f t="shared" si="171"/>
        <v>0</v>
      </c>
      <c r="DY69" s="1155">
        <f t="shared" si="172"/>
        <v>0</v>
      </c>
      <c r="DZ69" s="1155">
        <f t="shared" si="173"/>
        <v>0</v>
      </c>
      <c r="EA69" s="1155">
        <f t="shared" si="174"/>
        <v>0</v>
      </c>
      <c r="EB69" s="1155">
        <f t="shared" si="175"/>
        <v>0</v>
      </c>
      <c r="EC69" s="1155">
        <f t="shared" si="176"/>
        <v>0</v>
      </c>
      <c r="ED69" s="1155">
        <f t="shared" si="177"/>
        <v>0</v>
      </c>
      <c r="EE69" s="1155">
        <f t="shared" si="178"/>
        <v>0</v>
      </c>
      <c r="EF69" s="1155">
        <f t="shared" si="179"/>
        <v>0</v>
      </c>
      <c r="EG69" s="1155">
        <f t="shared" si="180"/>
        <v>0</v>
      </c>
      <c r="EH69" s="1155">
        <f t="shared" si="181"/>
        <v>0</v>
      </c>
      <c r="EI69" s="1155">
        <f t="shared" si="182"/>
        <v>0</v>
      </c>
      <c r="EJ69" s="1155">
        <f t="shared" si="183"/>
        <v>0</v>
      </c>
      <c r="EK69" s="1155">
        <f t="shared" si="184"/>
        <v>0</v>
      </c>
      <c r="EL69" s="1155">
        <f t="shared" si="185"/>
        <v>0</v>
      </c>
      <c r="EM69" s="1155">
        <f t="shared" si="186"/>
        <v>79507.628975599451</v>
      </c>
      <c r="EN69" s="1155">
        <f t="shared" si="187"/>
        <v>0</v>
      </c>
      <c r="EO69" s="1155">
        <f t="shared" si="188"/>
        <v>0</v>
      </c>
      <c r="EP69" s="1155">
        <f t="shared" si="189"/>
        <v>0</v>
      </c>
      <c r="EQ69" s="1155">
        <f t="shared" si="190"/>
        <v>0</v>
      </c>
      <c r="ER69" s="1155">
        <f t="shared" si="191"/>
        <v>0</v>
      </c>
      <c r="ES69" s="1155">
        <f t="shared" si="192"/>
        <v>0</v>
      </c>
      <c r="ET69" s="1155">
        <f t="shared" si="193"/>
        <v>0</v>
      </c>
      <c r="EU69" s="1155">
        <f t="shared" si="194"/>
        <v>0</v>
      </c>
      <c r="EV69" s="1155">
        <f t="shared" si="195"/>
        <v>0</v>
      </c>
      <c r="EW69" s="1155">
        <f t="shared" si="196"/>
        <v>0</v>
      </c>
      <c r="EX69" s="1155">
        <f t="shared" si="197"/>
        <v>0</v>
      </c>
      <c r="EY69" s="1175">
        <f t="shared" si="198"/>
        <v>117708.54953944616</v>
      </c>
      <c r="EZ69" s="1256"/>
      <c r="FA69" s="1155">
        <f t="shared" si="199"/>
        <v>41452.286238801651</v>
      </c>
      <c r="FB69" s="1155">
        <f t="shared" si="200"/>
        <v>0</v>
      </c>
      <c r="FC69" s="1155">
        <f t="shared" si="201"/>
        <v>0</v>
      </c>
      <c r="FD69" s="1155">
        <f t="shared" si="202"/>
        <v>0</v>
      </c>
      <c r="FE69" s="1155">
        <f t="shared" si="203"/>
        <v>0</v>
      </c>
      <c r="FF69" s="1155">
        <f t="shared" si="204"/>
        <v>0</v>
      </c>
      <c r="FG69" s="1155">
        <f t="shared" si="205"/>
        <v>0</v>
      </c>
      <c r="FH69" s="1155">
        <f t="shared" si="206"/>
        <v>0</v>
      </c>
      <c r="FI69" s="1155">
        <f t="shared" si="207"/>
        <v>0</v>
      </c>
      <c r="FJ69" s="1155">
        <f t="shared" si="208"/>
        <v>0</v>
      </c>
      <c r="FK69" s="1155">
        <f t="shared" si="209"/>
        <v>0</v>
      </c>
      <c r="FL69" s="1155">
        <f t="shared" si="210"/>
        <v>0</v>
      </c>
      <c r="FM69" s="1155">
        <f t="shared" si="211"/>
        <v>0</v>
      </c>
      <c r="FN69" s="1155">
        <f t="shared" si="212"/>
        <v>0</v>
      </c>
      <c r="FO69" s="1155">
        <f t="shared" si="213"/>
        <v>0</v>
      </c>
      <c r="FP69" s="1155">
        <f t="shared" si="214"/>
        <v>0</v>
      </c>
      <c r="FQ69" s="1155">
        <f t="shared" si="215"/>
        <v>0</v>
      </c>
      <c r="FR69" s="1155">
        <f t="shared" si="216"/>
        <v>0</v>
      </c>
      <c r="FS69" s="1155">
        <f t="shared" si="217"/>
        <v>0</v>
      </c>
      <c r="FT69" s="1155">
        <f t="shared" si="218"/>
        <v>0</v>
      </c>
      <c r="FU69" s="1155">
        <f t="shared" si="219"/>
        <v>0</v>
      </c>
      <c r="FV69" s="1155">
        <f t="shared" si="220"/>
        <v>0</v>
      </c>
      <c r="FW69" s="1155">
        <f t="shared" si="221"/>
        <v>0</v>
      </c>
      <c r="FX69" s="1155">
        <f t="shared" si="222"/>
        <v>88140.215385414005</v>
      </c>
      <c r="FY69" s="1155">
        <f t="shared" si="223"/>
        <v>0</v>
      </c>
      <c r="FZ69" s="1155">
        <f t="shared" si="224"/>
        <v>0</v>
      </c>
      <c r="GA69" s="1155">
        <f t="shared" si="225"/>
        <v>0</v>
      </c>
      <c r="GB69" s="1155">
        <f t="shared" si="226"/>
        <v>0</v>
      </c>
      <c r="GC69" s="1155">
        <f t="shared" si="227"/>
        <v>0</v>
      </c>
      <c r="GD69" s="1155">
        <f t="shared" si="228"/>
        <v>0</v>
      </c>
      <c r="GE69" s="1155">
        <f t="shared" si="229"/>
        <v>0</v>
      </c>
      <c r="GF69" s="1155">
        <f t="shared" si="230"/>
        <v>0</v>
      </c>
      <c r="GG69" s="1155">
        <f t="shared" si="231"/>
        <v>0</v>
      </c>
      <c r="GH69" s="1155">
        <f t="shared" si="232"/>
        <v>0</v>
      </c>
      <c r="GI69" s="1155">
        <f t="shared" si="233"/>
        <v>0</v>
      </c>
      <c r="GJ69" s="1175">
        <f t="shared" si="234"/>
        <v>129592.50162421566</v>
      </c>
    </row>
    <row r="70" spans="1:192" s="1101" customFormat="1">
      <c r="B70" s="1259" t="str">
        <f>IF(Prop2021DUOSTariffs!B70="","",Prop2021DUOSTariffs!B70)</f>
        <v/>
      </c>
      <c r="C70" s="1259" t="str">
        <f>IF(Prop2021DUOSTariffs!C70="","",Prop2021DUOSTariffs!C70)</f>
        <v xml:space="preserve">West SAC&lt;100MWhpa Small Business Primary Load Control </v>
      </c>
      <c r="D70" s="1259" t="str">
        <f>IF(Prop2021DUOSTariffs!D70="","",Prop2021DUOSTariffs!D70)</f>
        <v xml:space="preserve">West SAC&lt;100MWhpa Small Business Primary Load Control </v>
      </c>
      <c r="E70" s="1259" t="str">
        <f>IF(Prop2021DUOSTariffs!E70="","",Prop2021DUOSTariffs!E70)</f>
        <v>SAC</v>
      </c>
      <c r="F70" s="1259" t="str">
        <f>IF(Prop2021DUOSTariffs!F70="","",Prop2021DUOSTariffs!F70)</f>
        <v>SACS Bus</v>
      </c>
      <c r="G70" s="1259" t="str">
        <f>IF(Prop2021DUOSTariffs!G70="","",Prop2021DUOSTariffs!G70)</f>
        <v>West</v>
      </c>
      <c r="H70" s="1259" t="str">
        <f>IF(Prop2021DUOSTariffs!H70="","",Prop2021DUOSTariffs!H70)</f>
        <v>WBPLC</v>
      </c>
      <c r="I70" s="1259" t="s">
        <v>935</v>
      </c>
      <c r="J70" s="1256"/>
      <c r="K70" s="1233">
        <v>0.1335341443782054</v>
      </c>
      <c r="L70" s="1135"/>
      <c r="M70" s="1135"/>
      <c r="N70" s="1135"/>
      <c r="O70" s="1135"/>
      <c r="P70" s="1135"/>
      <c r="Q70" s="1135"/>
      <c r="R70" s="1135"/>
      <c r="S70" s="1135"/>
      <c r="T70" s="1135"/>
      <c r="U70" s="1135"/>
      <c r="V70" s="1135"/>
      <c r="W70" s="1135"/>
      <c r="X70" s="1135"/>
      <c r="Y70" s="1135"/>
      <c r="Z70" s="1135"/>
      <c r="AA70" s="1135"/>
      <c r="AB70" s="1135"/>
      <c r="AC70" s="1135"/>
      <c r="AD70" s="1135"/>
      <c r="AE70" s="1135"/>
      <c r="AF70" s="1005"/>
      <c r="AG70" s="1005"/>
      <c r="AH70" s="1224">
        <v>7.4122808686789441E-3</v>
      </c>
      <c r="AI70" s="1241"/>
      <c r="AJ70" s="1241"/>
      <c r="AK70" s="1241"/>
      <c r="AL70" s="1241"/>
      <c r="AM70" s="1241"/>
      <c r="AN70" s="1241"/>
      <c r="AO70" s="1241"/>
      <c r="AP70" s="1241"/>
      <c r="AQ70" s="1241"/>
      <c r="AR70" s="1241"/>
      <c r="AS70" s="1241"/>
      <c r="AT70" s="1256"/>
      <c r="AU70" s="1484">
        <v>0.14489953366876271</v>
      </c>
      <c r="AV70" s="1241"/>
      <c r="AW70" s="1241"/>
      <c r="AX70" s="1241"/>
      <c r="AY70" s="1241"/>
      <c r="AZ70" s="1241"/>
      <c r="BA70" s="1241"/>
      <c r="BB70" s="1241"/>
      <c r="BC70" s="1241"/>
      <c r="BD70" s="1241"/>
      <c r="BE70" s="1241"/>
      <c r="BF70" s="1241"/>
      <c r="BG70" s="1241"/>
      <c r="BH70" s="1241"/>
      <c r="BI70" s="1241"/>
      <c r="BJ70" s="1241"/>
      <c r="BK70" s="1241"/>
      <c r="BL70" s="1241"/>
      <c r="BM70" s="1241"/>
      <c r="BN70" s="1241"/>
      <c r="BO70" s="1241"/>
      <c r="BP70" s="1241"/>
      <c r="BQ70" s="1241"/>
      <c r="BR70" s="1484">
        <v>8.2170735145811833E-3</v>
      </c>
      <c r="BS70" s="1241"/>
      <c r="BT70" s="1241"/>
      <c r="BU70" s="1241"/>
      <c r="BV70" s="1241"/>
      <c r="BW70" s="1241"/>
      <c r="BX70" s="1241"/>
      <c r="BY70" s="1241"/>
      <c r="BZ70" s="1241"/>
      <c r="CA70" s="1241"/>
      <c r="CB70" s="1241"/>
      <c r="CC70" s="1241"/>
      <c r="CD70" s="1256"/>
      <c r="CE70" s="1256"/>
      <c r="CF70" s="1265">
        <v>127.31</v>
      </c>
      <c r="CG70" s="1135"/>
      <c r="CH70" s="1135"/>
      <c r="CI70" s="1135"/>
      <c r="CJ70" s="1135"/>
      <c r="CK70" s="1135"/>
      <c r="CL70" s="1135"/>
      <c r="CM70" s="1135"/>
      <c r="CN70" s="1135"/>
      <c r="CO70" s="1135"/>
      <c r="CP70" s="1135"/>
      <c r="CQ70" s="1135"/>
      <c r="CR70" s="1135"/>
      <c r="CS70" s="1135"/>
      <c r="CT70" s="1135"/>
      <c r="CU70" s="1135"/>
      <c r="CV70" s="1135"/>
      <c r="CW70" s="1135"/>
      <c r="CX70" s="1135"/>
      <c r="CY70" s="1135"/>
      <c r="CZ70" s="1135"/>
      <c r="DA70" s="1008"/>
      <c r="DB70" s="1008"/>
      <c r="DC70" s="1265">
        <v>1447644.99</v>
      </c>
      <c r="DD70" s="1008"/>
      <c r="DE70" s="1008"/>
      <c r="DF70" s="1008"/>
      <c r="DG70" s="1008"/>
      <c r="DH70" s="1008"/>
      <c r="DI70" s="1008"/>
      <c r="DJ70" s="1008"/>
      <c r="DK70" s="1008"/>
      <c r="DL70" s="1008"/>
      <c r="DM70" s="1008"/>
      <c r="DN70" s="1008"/>
      <c r="DO70" s="1256"/>
      <c r="DP70" s="1155">
        <f t="shared" si="163"/>
        <v>6205.0846510881047</v>
      </c>
      <c r="DQ70" s="1155">
        <f t="shared" si="164"/>
        <v>0</v>
      </c>
      <c r="DR70" s="1155">
        <f t="shared" si="165"/>
        <v>0</v>
      </c>
      <c r="DS70" s="1155">
        <f t="shared" si="166"/>
        <v>0</v>
      </c>
      <c r="DT70" s="1155">
        <f t="shared" si="167"/>
        <v>0</v>
      </c>
      <c r="DU70" s="1155">
        <f t="shared" si="168"/>
        <v>0</v>
      </c>
      <c r="DV70" s="1155">
        <f t="shared" si="169"/>
        <v>0</v>
      </c>
      <c r="DW70" s="1155">
        <f t="shared" si="170"/>
        <v>0</v>
      </c>
      <c r="DX70" s="1155">
        <f t="shared" si="171"/>
        <v>0</v>
      </c>
      <c r="DY70" s="1155">
        <f t="shared" si="172"/>
        <v>0</v>
      </c>
      <c r="DZ70" s="1155">
        <f t="shared" si="173"/>
        <v>0</v>
      </c>
      <c r="EA70" s="1155">
        <f t="shared" si="174"/>
        <v>0</v>
      </c>
      <c r="EB70" s="1155">
        <f t="shared" si="175"/>
        <v>0</v>
      </c>
      <c r="EC70" s="1155">
        <f t="shared" si="176"/>
        <v>0</v>
      </c>
      <c r="ED70" s="1155">
        <f t="shared" si="177"/>
        <v>0</v>
      </c>
      <c r="EE70" s="1155">
        <f t="shared" si="178"/>
        <v>0</v>
      </c>
      <c r="EF70" s="1155">
        <f t="shared" si="179"/>
        <v>0</v>
      </c>
      <c r="EG70" s="1155">
        <f t="shared" si="180"/>
        <v>0</v>
      </c>
      <c r="EH70" s="1155">
        <f t="shared" si="181"/>
        <v>0</v>
      </c>
      <c r="EI70" s="1155">
        <f t="shared" si="182"/>
        <v>0</v>
      </c>
      <c r="EJ70" s="1155">
        <f t="shared" si="183"/>
        <v>0</v>
      </c>
      <c r="EK70" s="1155">
        <f t="shared" si="184"/>
        <v>0</v>
      </c>
      <c r="EL70" s="1155">
        <f t="shared" si="185"/>
        <v>0</v>
      </c>
      <c r="EM70" s="1155">
        <f t="shared" si="186"/>
        <v>10730.351264015921</v>
      </c>
      <c r="EN70" s="1155">
        <f t="shared" si="187"/>
        <v>0</v>
      </c>
      <c r="EO70" s="1155">
        <f t="shared" si="188"/>
        <v>0</v>
      </c>
      <c r="EP70" s="1155">
        <f t="shared" si="189"/>
        <v>0</v>
      </c>
      <c r="EQ70" s="1155">
        <f t="shared" si="190"/>
        <v>0</v>
      </c>
      <c r="ER70" s="1155">
        <f t="shared" si="191"/>
        <v>0</v>
      </c>
      <c r="ES70" s="1155">
        <f t="shared" si="192"/>
        <v>0</v>
      </c>
      <c r="ET70" s="1155">
        <f t="shared" si="193"/>
        <v>0</v>
      </c>
      <c r="EU70" s="1155">
        <f t="shared" si="194"/>
        <v>0</v>
      </c>
      <c r="EV70" s="1155">
        <f t="shared" si="195"/>
        <v>0</v>
      </c>
      <c r="EW70" s="1155">
        <f t="shared" si="196"/>
        <v>0</v>
      </c>
      <c r="EX70" s="1155">
        <f t="shared" si="197"/>
        <v>0</v>
      </c>
      <c r="EY70" s="1175">
        <f t="shared" si="198"/>
        <v>16935.435915104026</v>
      </c>
      <c r="EZ70" s="1256"/>
      <c r="FA70" s="1155">
        <f t="shared" si="199"/>
        <v>6733.2132654501156</v>
      </c>
      <c r="FB70" s="1155">
        <f t="shared" si="200"/>
        <v>0</v>
      </c>
      <c r="FC70" s="1155">
        <f t="shared" si="201"/>
        <v>0</v>
      </c>
      <c r="FD70" s="1155">
        <f t="shared" si="202"/>
        <v>0</v>
      </c>
      <c r="FE70" s="1155">
        <f t="shared" si="203"/>
        <v>0</v>
      </c>
      <c r="FF70" s="1155">
        <f t="shared" si="204"/>
        <v>0</v>
      </c>
      <c r="FG70" s="1155">
        <f t="shared" si="205"/>
        <v>0</v>
      </c>
      <c r="FH70" s="1155">
        <f t="shared" si="206"/>
        <v>0</v>
      </c>
      <c r="FI70" s="1155">
        <f t="shared" si="207"/>
        <v>0</v>
      </c>
      <c r="FJ70" s="1155">
        <f t="shared" si="208"/>
        <v>0</v>
      </c>
      <c r="FK70" s="1155">
        <f t="shared" si="209"/>
        <v>0</v>
      </c>
      <c r="FL70" s="1155">
        <f t="shared" si="210"/>
        <v>0</v>
      </c>
      <c r="FM70" s="1155">
        <f t="shared" si="211"/>
        <v>0</v>
      </c>
      <c r="FN70" s="1155">
        <f t="shared" si="212"/>
        <v>0</v>
      </c>
      <c r="FO70" s="1155">
        <f t="shared" si="213"/>
        <v>0</v>
      </c>
      <c r="FP70" s="1155">
        <f t="shared" si="214"/>
        <v>0</v>
      </c>
      <c r="FQ70" s="1155">
        <f t="shared" si="215"/>
        <v>0</v>
      </c>
      <c r="FR70" s="1155">
        <f t="shared" si="216"/>
        <v>0</v>
      </c>
      <c r="FS70" s="1155">
        <f t="shared" si="217"/>
        <v>0</v>
      </c>
      <c r="FT70" s="1155">
        <f t="shared" si="218"/>
        <v>0</v>
      </c>
      <c r="FU70" s="1155">
        <f t="shared" si="219"/>
        <v>0</v>
      </c>
      <c r="FV70" s="1155">
        <f t="shared" si="220"/>
        <v>0</v>
      </c>
      <c r="FW70" s="1155">
        <f t="shared" si="221"/>
        <v>0</v>
      </c>
      <c r="FX70" s="1155">
        <f t="shared" si="222"/>
        <v>11895.405305845143</v>
      </c>
      <c r="FY70" s="1155">
        <f t="shared" si="223"/>
        <v>0</v>
      </c>
      <c r="FZ70" s="1155">
        <f t="shared" si="224"/>
        <v>0</v>
      </c>
      <c r="GA70" s="1155">
        <f t="shared" si="225"/>
        <v>0</v>
      </c>
      <c r="GB70" s="1155">
        <f t="shared" si="226"/>
        <v>0</v>
      </c>
      <c r="GC70" s="1155">
        <f t="shared" si="227"/>
        <v>0</v>
      </c>
      <c r="GD70" s="1155">
        <f t="shared" si="228"/>
        <v>0</v>
      </c>
      <c r="GE70" s="1155">
        <f t="shared" si="229"/>
        <v>0</v>
      </c>
      <c r="GF70" s="1155">
        <f t="shared" si="230"/>
        <v>0</v>
      </c>
      <c r="GG70" s="1155">
        <f t="shared" si="231"/>
        <v>0</v>
      </c>
      <c r="GH70" s="1155">
        <f t="shared" si="232"/>
        <v>0</v>
      </c>
      <c r="GI70" s="1155">
        <f t="shared" si="233"/>
        <v>0</v>
      </c>
      <c r="GJ70" s="1175">
        <f t="shared" si="234"/>
        <v>18628.618571295257</v>
      </c>
    </row>
    <row r="71" spans="1:192" s="1101" customFormat="1">
      <c r="B71" s="1259" t="str">
        <f>IF(Prop2021DUOSTariffs!B71="","",Prop2021DUOSTariffs!B71)</f>
        <v/>
      </c>
      <c r="C71" s="1259" t="str">
        <f>IF(Prop2021DUOSTariffs!C71="","",Prop2021DUOSTariffs!C71)</f>
        <v xml:space="preserve">Mt Isa SAC&lt;100MWhpa Small Business Primary Load Control </v>
      </c>
      <c r="D71" s="1259" t="str">
        <f>IF(Prop2021DUOSTariffs!D71="","",Prop2021DUOSTariffs!D71)</f>
        <v xml:space="preserve">Mt Isa SAC&lt;100MWhpa Small Business Primary Load Control </v>
      </c>
      <c r="E71" s="1259" t="str">
        <f>IF(Prop2021DUOSTariffs!E71="","",Prop2021DUOSTariffs!E71)</f>
        <v>SAC</v>
      </c>
      <c r="F71" s="1259" t="str">
        <f>IF(Prop2021DUOSTariffs!F71="","",Prop2021DUOSTariffs!F71)</f>
        <v>SACS Bus</v>
      </c>
      <c r="G71" s="1259" t="str">
        <f>IF(Prop2021DUOSTariffs!G71="","",Prop2021DUOSTariffs!G71)</f>
        <v>Mt Isa</v>
      </c>
      <c r="H71" s="1259" t="str">
        <f>IF(Prop2021DUOSTariffs!H71="","",Prop2021DUOSTariffs!H71)</f>
        <v>MBPLC</v>
      </c>
      <c r="I71" s="1259" t="s">
        <v>935</v>
      </c>
      <c r="J71" s="1256"/>
      <c r="K71" s="1233">
        <v>0.1335341443782054</v>
      </c>
      <c r="L71" s="1135"/>
      <c r="M71" s="1135"/>
      <c r="N71" s="1135"/>
      <c r="O71" s="1135"/>
      <c r="P71" s="1135"/>
      <c r="Q71" s="1135"/>
      <c r="R71" s="1135"/>
      <c r="S71" s="1135"/>
      <c r="T71" s="1135"/>
      <c r="U71" s="1135"/>
      <c r="V71" s="1135"/>
      <c r="W71" s="1135"/>
      <c r="X71" s="1135"/>
      <c r="Y71" s="1135"/>
      <c r="Z71" s="1135"/>
      <c r="AA71" s="1135"/>
      <c r="AB71" s="1135"/>
      <c r="AC71" s="1135"/>
      <c r="AD71" s="1135"/>
      <c r="AE71" s="1135"/>
      <c r="AF71" s="1005"/>
      <c r="AG71" s="1005"/>
      <c r="AH71" s="1224">
        <v>7.4122808686789441E-3</v>
      </c>
      <c r="AI71" s="1241"/>
      <c r="AJ71" s="1241"/>
      <c r="AK71" s="1241"/>
      <c r="AL71" s="1241"/>
      <c r="AM71" s="1241"/>
      <c r="AN71" s="1241"/>
      <c r="AO71" s="1241"/>
      <c r="AP71" s="1241"/>
      <c r="AQ71" s="1241"/>
      <c r="AR71" s="1241"/>
      <c r="AS71" s="1241"/>
      <c r="AT71" s="1256"/>
      <c r="AU71" s="1484">
        <v>0.14489953366876271</v>
      </c>
      <c r="AV71" s="1241"/>
      <c r="AW71" s="1241"/>
      <c r="AX71" s="1241"/>
      <c r="AY71" s="1241"/>
      <c r="AZ71" s="1241"/>
      <c r="BA71" s="1241"/>
      <c r="BB71" s="1241"/>
      <c r="BC71" s="1241"/>
      <c r="BD71" s="1241"/>
      <c r="BE71" s="1241"/>
      <c r="BF71" s="1241"/>
      <c r="BG71" s="1241"/>
      <c r="BH71" s="1241"/>
      <c r="BI71" s="1241"/>
      <c r="BJ71" s="1241"/>
      <c r="BK71" s="1241"/>
      <c r="BL71" s="1241"/>
      <c r="BM71" s="1241"/>
      <c r="BN71" s="1241"/>
      <c r="BO71" s="1241"/>
      <c r="BP71" s="1241"/>
      <c r="BQ71" s="1241"/>
      <c r="BR71" s="1484">
        <v>8.2170735145811833E-3</v>
      </c>
      <c r="BS71" s="1241"/>
      <c r="BT71" s="1241"/>
      <c r="BU71" s="1241"/>
      <c r="BV71" s="1241"/>
      <c r="BW71" s="1241"/>
      <c r="BX71" s="1241"/>
      <c r="BY71" s="1241"/>
      <c r="BZ71" s="1241"/>
      <c r="CA71" s="1241"/>
      <c r="CB71" s="1241"/>
      <c r="CC71" s="1241"/>
      <c r="CD71" s="1256"/>
      <c r="CE71" s="1256"/>
      <c r="CF71" s="1265">
        <v>26.65</v>
      </c>
      <c r="CG71" s="1135"/>
      <c r="CH71" s="1135"/>
      <c r="CI71" s="1135"/>
      <c r="CJ71" s="1135"/>
      <c r="CK71" s="1135"/>
      <c r="CL71" s="1135"/>
      <c r="CM71" s="1135"/>
      <c r="CN71" s="1135"/>
      <c r="CO71" s="1135"/>
      <c r="CP71" s="1135"/>
      <c r="CQ71" s="1135"/>
      <c r="CR71" s="1135"/>
      <c r="CS71" s="1135"/>
      <c r="CT71" s="1135"/>
      <c r="CU71" s="1135"/>
      <c r="CV71" s="1135"/>
      <c r="CW71" s="1135"/>
      <c r="CX71" s="1135"/>
      <c r="CY71" s="1135"/>
      <c r="CZ71" s="1135"/>
      <c r="DA71" s="1008"/>
      <c r="DB71" s="1008"/>
      <c r="DC71" s="1265">
        <v>459034.02</v>
      </c>
      <c r="DD71" s="1008"/>
      <c r="DE71" s="1008"/>
      <c r="DF71" s="1008"/>
      <c r="DG71" s="1008"/>
      <c r="DH71" s="1008"/>
      <c r="DI71" s="1008"/>
      <c r="DJ71" s="1008"/>
      <c r="DK71" s="1008"/>
      <c r="DL71" s="1008"/>
      <c r="DM71" s="1008"/>
      <c r="DN71" s="1008"/>
      <c r="DO71" s="1256"/>
      <c r="DP71" s="1155">
        <f t="shared" si="163"/>
        <v>1298.9200059028983</v>
      </c>
      <c r="DQ71" s="1155">
        <f t="shared" si="164"/>
        <v>0</v>
      </c>
      <c r="DR71" s="1155">
        <f t="shared" si="165"/>
        <v>0</v>
      </c>
      <c r="DS71" s="1155">
        <f t="shared" si="166"/>
        <v>0</v>
      </c>
      <c r="DT71" s="1155">
        <f t="shared" si="167"/>
        <v>0</v>
      </c>
      <c r="DU71" s="1155">
        <f t="shared" si="168"/>
        <v>0</v>
      </c>
      <c r="DV71" s="1155">
        <f t="shared" si="169"/>
        <v>0</v>
      </c>
      <c r="DW71" s="1155">
        <f t="shared" si="170"/>
        <v>0</v>
      </c>
      <c r="DX71" s="1155">
        <f t="shared" si="171"/>
        <v>0</v>
      </c>
      <c r="DY71" s="1155">
        <f t="shared" si="172"/>
        <v>0</v>
      </c>
      <c r="DZ71" s="1155">
        <f t="shared" si="173"/>
        <v>0</v>
      </c>
      <c r="EA71" s="1155">
        <f t="shared" si="174"/>
        <v>0</v>
      </c>
      <c r="EB71" s="1155">
        <f t="shared" si="175"/>
        <v>0</v>
      </c>
      <c r="EC71" s="1155">
        <f t="shared" si="176"/>
        <v>0</v>
      </c>
      <c r="ED71" s="1155">
        <f t="shared" si="177"/>
        <v>0</v>
      </c>
      <c r="EE71" s="1155">
        <f t="shared" si="178"/>
        <v>0</v>
      </c>
      <c r="EF71" s="1155">
        <f t="shared" si="179"/>
        <v>0</v>
      </c>
      <c r="EG71" s="1155">
        <f t="shared" si="180"/>
        <v>0</v>
      </c>
      <c r="EH71" s="1155">
        <f t="shared" si="181"/>
        <v>0</v>
      </c>
      <c r="EI71" s="1155">
        <f t="shared" si="182"/>
        <v>0</v>
      </c>
      <c r="EJ71" s="1155">
        <f t="shared" si="183"/>
        <v>0</v>
      </c>
      <c r="EK71" s="1155">
        <f t="shared" si="184"/>
        <v>0</v>
      </c>
      <c r="EL71" s="1155">
        <f t="shared" si="185"/>
        <v>0</v>
      </c>
      <c r="EM71" s="1155">
        <f t="shared" si="186"/>
        <v>3402.4890845187879</v>
      </c>
      <c r="EN71" s="1155">
        <f t="shared" si="187"/>
        <v>0</v>
      </c>
      <c r="EO71" s="1155">
        <f t="shared" si="188"/>
        <v>0</v>
      </c>
      <c r="EP71" s="1155">
        <f t="shared" si="189"/>
        <v>0</v>
      </c>
      <c r="EQ71" s="1155">
        <f t="shared" si="190"/>
        <v>0</v>
      </c>
      <c r="ER71" s="1155">
        <f t="shared" si="191"/>
        <v>0</v>
      </c>
      <c r="ES71" s="1155">
        <f t="shared" si="192"/>
        <v>0</v>
      </c>
      <c r="ET71" s="1155">
        <f t="shared" si="193"/>
        <v>0</v>
      </c>
      <c r="EU71" s="1155">
        <f t="shared" si="194"/>
        <v>0</v>
      </c>
      <c r="EV71" s="1155">
        <f t="shared" si="195"/>
        <v>0</v>
      </c>
      <c r="EW71" s="1155">
        <f t="shared" si="196"/>
        <v>0</v>
      </c>
      <c r="EX71" s="1155">
        <f t="shared" si="197"/>
        <v>0</v>
      </c>
      <c r="EY71" s="1175">
        <f t="shared" si="198"/>
        <v>4701.4090904216864</v>
      </c>
      <c r="EZ71" s="1256"/>
      <c r="FA71" s="1155">
        <f t="shared" si="199"/>
        <v>1409.473988879472</v>
      </c>
      <c r="FB71" s="1155">
        <f t="shared" si="200"/>
        <v>0</v>
      </c>
      <c r="FC71" s="1155">
        <f t="shared" si="201"/>
        <v>0</v>
      </c>
      <c r="FD71" s="1155">
        <f t="shared" si="202"/>
        <v>0</v>
      </c>
      <c r="FE71" s="1155">
        <f t="shared" si="203"/>
        <v>0</v>
      </c>
      <c r="FF71" s="1155">
        <f t="shared" si="204"/>
        <v>0</v>
      </c>
      <c r="FG71" s="1155">
        <f t="shared" si="205"/>
        <v>0</v>
      </c>
      <c r="FH71" s="1155">
        <f t="shared" si="206"/>
        <v>0</v>
      </c>
      <c r="FI71" s="1155">
        <f t="shared" si="207"/>
        <v>0</v>
      </c>
      <c r="FJ71" s="1155">
        <f t="shared" si="208"/>
        <v>0</v>
      </c>
      <c r="FK71" s="1155">
        <f t="shared" si="209"/>
        <v>0</v>
      </c>
      <c r="FL71" s="1155">
        <f t="shared" si="210"/>
        <v>0</v>
      </c>
      <c r="FM71" s="1155">
        <f t="shared" si="211"/>
        <v>0</v>
      </c>
      <c r="FN71" s="1155">
        <f t="shared" si="212"/>
        <v>0</v>
      </c>
      <c r="FO71" s="1155">
        <f t="shared" si="213"/>
        <v>0</v>
      </c>
      <c r="FP71" s="1155">
        <f t="shared" si="214"/>
        <v>0</v>
      </c>
      <c r="FQ71" s="1155">
        <f t="shared" si="215"/>
        <v>0</v>
      </c>
      <c r="FR71" s="1155">
        <f t="shared" si="216"/>
        <v>0</v>
      </c>
      <c r="FS71" s="1155">
        <f t="shared" si="217"/>
        <v>0</v>
      </c>
      <c r="FT71" s="1155">
        <f t="shared" si="218"/>
        <v>0</v>
      </c>
      <c r="FU71" s="1155">
        <f t="shared" si="219"/>
        <v>0</v>
      </c>
      <c r="FV71" s="1155">
        <f t="shared" si="220"/>
        <v>0</v>
      </c>
      <c r="FW71" s="1155">
        <f t="shared" si="221"/>
        <v>0</v>
      </c>
      <c r="FX71" s="1155">
        <f t="shared" si="222"/>
        <v>3771.9162880337294</v>
      </c>
      <c r="FY71" s="1155">
        <f t="shared" si="223"/>
        <v>0</v>
      </c>
      <c r="FZ71" s="1155">
        <f t="shared" si="224"/>
        <v>0</v>
      </c>
      <c r="GA71" s="1155">
        <f t="shared" si="225"/>
        <v>0</v>
      </c>
      <c r="GB71" s="1155">
        <f t="shared" si="226"/>
        <v>0</v>
      </c>
      <c r="GC71" s="1155">
        <f t="shared" si="227"/>
        <v>0</v>
      </c>
      <c r="GD71" s="1155">
        <f t="shared" si="228"/>
        <v>0</v>
      </c>
      <c r="GE71" s="1155">
        <f t="shared" si="229"/>
        <v>0</v>
      </c>
      <c r="GF71" s="1155">
        <f t="shared" si="230"/>
        <v>0</v>
      </c>
      <c r="GG71" s="1155">
        <f t="shared" si="231"/>
        <v>0</v>
      </c>
      <c r="GH71" s="1155">
        <f t="shared" si="232"/>
        <v>0</v>
      </c>
      <c r="GI71" s="1155">
        <f t="shared" si="233"/>
        <v>0</v>
      </c>
      <c r="GJ71" s="1175">
        <f t="shared" si="234"/>
        <v>5181.3902769132019</v>
      </c>
    </row>
    <row r="72" spans="1:192" ht="6" customHeight="1">
      <c r="A72" s="1205"/>
      <c r="B72" s="1184" t="s">
        <v>742</v>
      </c>
      <c r="C72" s="1184"/>
      <c r="D72" s="1184"/>
      <c r="E72" s="1184"/>
      <c r="F72" s="1184"/>
      <c r="G72" s="1184"/>
      <c r="H72" s="1184"/>
      <c r="I72" s="1184"/>
      <c r="J72" s="1207"/>
      <c r="K72" s="1184"/>
      <c r="L72" s="1184"/>
      <c r="M72" s="1184"/>
      <c r="N72" s="1184"/>
      <c r="O72" s="1184"/>
      <c r="P72" s="1184"/>
      <c r="Q72" s="1184"/>
      <c r="R72" s="1184"/>
      <c r="S72" s="1184"/>
      <c r="T72" s="1184"/>
      <c r="U72" s="1184"/>
      <c r="V72" s="1184"/>
      <c r="W72" s="1184"/>
      <c r="X72" s="1184"/>
      <c r="Y72" s="1184"/>
      <c r="Z72" s="1184"/>
      <c r="AA72" s="1184"/>
      <c r="AB72" s="1184"/>
      <c r="AC72" s="1184"/>
      <c r="AD72" s="1184"/>
      <c r="AE72" s="1184"/>
      <c r="AF72" s="1184"/>
      <c r="AG72" s="1184"/>
      <c r="AH72" s="1263"/>
      <c r="AI72" s="1263"/>
      <c r="AJ72" s="1263"/>
      <c r="AK72" s="1263"/>
      <c r="AL72" s="1263"/>
      <c r="AM72" s="1263"/>
      <c r="AN72" s="1263"/>
      <c r="AO72" s="1263"/>
      <c r="AP72" s="1263"/>
      <c r="AQ72" s="1263"/>
      <c r="AR72" s="1263"/>
      <c r="AS72" s="1263"/>
      <c r="AT72" s="1207"/>
      <c r="AU72" s="1263"/>
      <c r="AV72" s="1263"/>
      <c r="AW72" s="1263"/>
      <c r="AX72" s="1263"/>
      <c r="AY72" s="1263"/>
      <c r="AZ72" s="1263"/>
      <c r="BA72" s="1263"/>
      <c r="BB72" s="1263"/>
      <c r="BC72" s="1263"/>
      <c r="BD72" s="1263"/>
      <c r="BE72" s="1263"/>
      <c r="BF72" s="1263"/>
      <c r="BG72" s="1263"/>
      <c r="BH72" s="1263"/>
      <c r="BI72" s="1263"/>
      <c r="BJ72" s="1263"/>
      <c r="BK72" s="1263"/>
      <c r="BL72" s="1263"/>
      <c r="BM72" s="1263"/>
      <c r="BN72" s="1263"/>
      <c r="BO72" s="1263"/>
      <c r="BP72" s="1263"/>
      <c r="BQ72" s="1263"/>
      <c r="BR72" s="1263"/>
      <c r="BS72" s="1263"/>
      <c r="BT72" s="1263"/>
      <c r="BU72" s="1263"/>
      <c r="BV72" s="1263"/>
      <c r="BW72" s="1263"/>
      <c r="BX72" s="1263"/>
      <c r="BY72" s="1263"/>
      <c r="BZ72" s="1263"/>
      <c r="CA72" s="1263"/>
      <c r="CB72" s="1263"/>
      <c r="CC72" s="1263"/>
      <c r="CD72" s="1207"/>
      <c r="CE72" s="1207"/>
      <c r="CF72" s="1184"/>
      <c r="CG72" s="1184"/>
      <c r="CH72" s="1184"/>
      <c r="CI72" s="1184"/>
      <c r="CJ72" s="1184"/>
      <c r="CK72" s="1184"/>
      <c r="CL72" s="1184"/>
      <c r="CM72" s="1184"/>
      <c r="CN72" s="1184"/>
      <c r="CO72" s="1184"/>
      <c r="CP72" s="1184"/>
      <c r="CQ72" s="1184"/>
      <c r="CR72" s="1184"/>
      <c r="CS72" s="1184"/>
      <c r="CT72" s="1184"/>
      <c r="CU72" s="1184"/>
      <c r="CV72" s="1184"/>
      <c r="CW72" s="1184"/>
      <c r="CX72" s="1184"/>
      <c r="CY72" s="1184"/>
      <c r="CZ72" s="1184"/>
      <c r="DA72" s="1184"/>
      <c r="DB72" s="1184"/>
      <c r="DC72" s="1607"/>
      <c r="DD72" s="1184"/>
      <c r="DE72" s="1184"/>
      <c r="DF72" s="1184"/>
      <c r="DG72" s="1184"/>
      <c r="DH72" s="1184"/>
      <c r="DI72" s="1184"/>
      <c r="DJ72" s="1184"/>
      <c r="DK72" s="1184"/>
      <c r="DL72" s="1184"/>
      <c r="DM72" s="1184"/>
      <c r="DN72" s="1184"/>
      <c r="DO72" s="1207"/>
      <c r="DP72" s="1252"/>
      <c r="DQ72" s="1252"/>
      <c r="DR72" s="1252"/>
      <c r="DS72" s="1252"/>
      <c r="DT72" s="1252"/>
      <c r="DU72" s="1252"/>
      <c r="DV72" s="1252"/>
      <c r="DW72" s="1252"/>
      <c r="DX72" s="1252"/>
      <c r="DY72" s="1252"/>
      <c r="DZ72" s="1252"/>
      <c r="EA72" s="1252"/>
      <c r="EB72" s="1252"/>
      <c r="EC72" s="1252"/>
      <c r="ED72" s="1252"/>
      <c r="EE72" s="1252"/>
      <c r="EF72" s="1252"/>
      <c r="EG72" s="1252"/>
      <c r="EH72" s="1252"/>
      <c r="EI72" s="1252"/>
      <c r="EJ72" s="1252"/>
      <c r="EK72" s="1252"/>
      <c r="EL72" s="1252"/>
      <c r="EM72" s="1252"/>
      <c r="EN72" s="1252"/>
      <c r="EO72" s="1252"/>
      <c r="EP72" s="1252"/>
      <c r="EQ72" s="1252"/>
      <c r="ER72" s="1252"/>
      <c r="ES72" s="1252"/>
      <c r="ET72" s="1252"/>
      <c r="EU72" s="1252"/>
      <c r="EV72" s="1252"/>
      <c r="EW72" s="1252"/>
      <c r="EX72" s="1252"/>
      <c r="EY72" s="1252"/>
      <c r="EZ72" s="1207"/>
      <c r="FA72" s="1252"/>
      <c r="FB72" s="1252"/>
      <c r="FC72" s="1252"/>
      <c r="FD72" s="1252"/>
      <c r="FE72" s="1252"/>
      <c r="FF72" s="1252"/>
      <c r="FG72" s="1252"/>
      <c r="FH72" s="1252"/>
      <c r="FI72" s="1252"/>
      <c r="FJ72" s="1252"/>
      <c r="FK72" s="1252"/>
      <c r="FL72" s="1252"/>
      <c r="FM72" s="1252"/>
      <c r="FN72" s="1252"/>
      <c r="FO72" s="1252"/>
      <c r="FP72" s="1252"/>
      <c r="FQ72" s="1252"/>
      <c r="FR72" s="1252"/>
      <c r="FS72" s="1252"/>
      <c r="FT72" s="1252"/>
      <c r="FU72" s="1252"/>
      <c r="FV72" s="1252"/>
      <c r="FW72" s="1252"/>
      <c r="FX72" s="1252"/>
      <c r="FY72" s="1252"/>
      <c r="FZ72" s="1252"/>
      <c r="GA72" s="1252"/>
      <c r="GB72" s="1252"/>
      <c r="GC72" s="1252"/>
      <c r="GD72" s="1252"/>
      <c r="GE72" s="1252"/>
      <c r="GF72" s="1252"/>
      <c r="GG72" s="1252"/>
      <c r="GH72" s="1252"/>
      <c r="GI72" s="1252"/>
      <c r="GJ72" s="1252"/>
    </row>
    <row r="73" spans="1:192" s="1101" customFormat="1">
      <c r="B73" s="1259"/>
      <c r="C73" s="1149" t="s">
        <v>1615</v>
      </c>
      <c r="D73" s="1204" t="s">
        <v>742</v>
      </c>
      <c r="E73" s="1204" t="s">
        <v>765</v>
      </c>
      <c r="F73" s="1204" t="s">
        <v>770</v>
      </c>
      <c r="G73" s="1204" t="s">
        <v>789</v>
      </c>
      <c r="H73" s="1204" t="s">
        <v>1619</v>
      </c>
      <c r="I73" s="1259" t="s">
        <v>935</v>
      </c>
      <c r="J73" s="1256"/>
      <c r="K73" s="1233">
        <v>0.1335341443782054</v>
      </c>
      <c r="L73" s="1135"/>
      <c r="M73" s="1135"/>
      <c r="N73" s="1135"/>
      <c r="O73" s="1135"/>
      <c r="P73" s="1135"/>
      <c r="Q73" s="1135"/>
      <c r="R73" s="1135"/>
      <c r="S73" s="1135"/>
      <c r="T73" s="1135"/>
      <c r="U73" s="1135"/>
      <c r="V73" s="1135"/>
      <c r="W73" s="1135"/>
      <c r="X73" s="1135"/>
      <c r="Y73" s="1135"/>
      <c r="Z73" s="1135"/>
      <c r="AA73" s="1135"/>
      <c r="AB73" s="1135"/>
      <c r="AC73" s="1135"/>
      <c r="AD73" s="1135"/>
      <c r="AE73" s="1135"/>
      <c r="AF73" s="1005"/>
      <c r="AG73" s="1005"/>
      <c r="AH73" s="1224">
        <v>7.4122808686789441E-3</v>
      </c>
      <c r="AI73" s="1241"/>
      <c r="AJ73" s="1241"/>
      <c r="AK73" s="1241"/>
      <c r="AL73" s="1241"/>
      <c r="AM73" s="1241"/>
      <c r="AN73" s="1241"/>
      <c r="AO73" s="1241"/>
      <c r="AP73" s="1241"/>
      <c r="AQ73" s="1241"/>
      <c r="AR73" s="1241"/>
      <c r="AS73" s="1241"/>
      <c r="AT73" s="1256"/>
      <c r="AU73" s="1241"/>
      <c r="AV73" s="1241"/>
      <c r="AW73" s="1241"/>
      <c r="AX73" s="1241"/>
      <c r="AY73" s="1241"/>
      <c r="AZ73" s="1241"/>
      <c r="BA73" s="1241"/>
      <c r="BB73" s="1241"/>
      <c r="BC73" s="1241"/>
      <c r="BD73" s="1241"/>
      <c r="BE73" s="1241"/>
      <c r="BF73" s="1241"/>
      <c r="BG73" s="1241"/>
      <c r="BH73" s="1241"/>
      <c r="BI73" s="1241"/>
      <c r="BJ73" s="1241"/>
      <c r="BK73" s="1241"/>
      <c r="BL73" s="1241"/>
      <c r="BM73" s="1241"/>
      <c r="BN73" s="1241"/>
      <c r="BO73" s="1241"/>
      <c r="BP73" s="1241"/>
      <c r="BQ73" s="1241"/>
      <c r="BR73" s="1241"/>
      <c r="BS73" s="1241"/>
      <c r="BT73" s="1241"/>
      <c r="BU73" s="1241"/>
      <c r="BV73" s="1241"/>
      <c r="BW73" s="1241"/>
      <c r="BX73" s="1241"/>
      <c r="BY73" s="1241"/>
      <c r="BZ73" s="1241"/>
      <c r="CA73" s="1241"/>
      <c r="CB73" s="1241"/>
      <c r="CC73" s="1241"/>
      <c r="CD73" s="1256"/>
      <c r="CE73" s="1256"/>
      <c r="CF73" s="1265">
        <v>0</v>
      </c>
      <c r="CG73" s="1135"/>
      <c r="CH73" s="1135"/>
      <c r="CI73" s="1135"/>
      <c r="CJ73" s="1135"/>
      <c r="CK73" s="1135"/>
      <c r="CL73" s="1135"/>
      <c r="CM73" s="1135"/>
      <c r="CN73" s="1135"/>
      <c r="CO73" s="1135"/>
      <c r="CP73" s="1135"/>
      <c r="CQ73" s="1135"/>
      <c r="CR73" s="1135"/>
      <c r="CS73" s="1135"/>
      <c r="CT73" s="1135"/>
      <c r="CU73" s="1135"/>
      <c r="CV73" s="1135"/>
      <c r="CW73" s="1135"/>
      <c r="CX73" s="1135"/>
      <c r="CY73" s="1135"/>
      <c r="CZ73" s="1135"/>
      <c r="DA73" s="1008"/>
      <c r="DB73" s="1008"/>
      <c r="DC73" s="1265">
        <v>0</v>
      </c>
      <c r="DD73" s="1008"/>
      <c r="DE73" s="1008"/>
      <c r="DF73" s="1008"/>
      <c r="DG73" s="1008"/>
      <c r="DH73" s="1008"/>
      <c r="DI73" s="1008"/>
      <c r="DJ73" s="1008"/>
      <c r="DK73" s="1008"/>
      <c r="DL73" s="1008"/>
      <c r="DM73" s="1008"/>
      <c r="DN73" s="1008"/>
      <c r="DO73" s="1256"/>
      <c r="DP73" s="1155">
        <f>IFERROR(K73*CF73*DP$107,0)</f>
        <v>0</v>
      </c>
      <c r="DQ73" s="1155">
        <f t="shared" ref="DQ73:DZ75" si="235">L73*CG73*DQ$107</f>
        <v>0</v>
      </c>
      <c r="DR73" s="1155">
        <f t="shared" si="235"/>
        <v>0</v>
      </c>
      <c r="DS73" s="1155">
        <f t="shared" si="235"/>
        <v>0</v>
      </c>
      <c r="DT73" s="1155">
        <f t="shared" si="235"/>
        <v>0</v>
      </c>
      <c r="DU73" s="1155">
        <f t="shared" si="235"/>
        <v>0</v>
      </c>
      <c r="DV73" s="1155">
        <f t="shared" si="235"/>
        <v>0</v>
      </c>
      <c r="DW73" s="1155">
        <f t="shared" si="235"/>
        <v>0</v>
      </c>
      <c r="DX73" s="1155">
        <f t="shared" si="235"/>
        <v>0</v>
      </c>
      <c r="DY73" s="1155">
        <f t="shared" si="235"/>
        <v>0</v>
      </c>
      <c r="DZ73" s="1155">
        <f t="shared" si="235"/>
        <v>0</v>
      </c>
      <c r="EA73" s="1155">
        <f t="shared" ref="EA73:EJ75" si="236">V73*CQ73*EA$107</f>
        <v>0</v>
      </c>
      <c r="EB73" s="1155">
        <f t="shared" si="236"/>
        <v>0</v>
      </c>
      <c r="EC73" s="1155">
        <f t="shared" si="236"/>
        <v>0</v>
      </c>
      <c r="ED73" s="1155">
        <f t="shared" si="236"/>
        <v>0</v>
      </c>
      <c r="EE73" s="1155">
        <f t="shared" si="236"/>
        <v>0</v>
      </c>
      <c r="EF73" s="1155">
        <f t="shared" si="236"/>
        <v>0</v>
      </c>
      <c r="EG73" s="1155">
        <f t="shared" si="236"/>
        <v>0</v>
      </c>
      <c r="EH73" s="1155">
        <f t="shared" si="236"/>
        <v>0</v>
      </c>
      <c r="EI73" s="1155">
        <f t="shared" si="236"/>
        <v>0</v>
      </c>
      <c r="EJ73" s="1155">
        <f t="shared" si="236"/>
        <v>0</v>
      </c>
      <c r="EK73" s="1155">
        <f t="shared" ref="EK73:EL75" si="237">AF73*DA73*EK$107</f>
        <v>0</v>
      </c>
      <c r="EL73" s="1155">
        <f t="shared" si="237"/>
        <v>0</v>
      </c>
      <c r="EM73" s="1155">
        <f>IFERROR(AH73*DC73*EM$107,0)</f>
        <v>0</v>
      </c>
      <c r="EN73" s="1155">
        <f t="shared" ref="EN73:EX75" si="238">AI73*DD73*EN$107</f>
        <v>0</v>
      </c>
      <c r="EO73" s="1155">
        <f t="shared" si="238"/>
        <v>0</v>
      </c>
      <c r="EP73" s="1155">
        <f t="shared" si="238"/>
        <v>0</v>
      </c>
      <c r="EQ73" s="1155">
        <f t="shared" si="238"/>
        <v>0</v>
      </c>
      <c r="ER73" s="1155">
        <f t="shared" si="238"/>
        <v>0</v>
      </c>
      <c r="ES73" s="1155">
        <f t="shared" si="238"/>
        <v>0</v>
      </c>
      <c r="ET73" s="1155">
        <f t="shared" si="238"/>
        <v>0</v>
      </c>
      <c r="EU73" s="1155">
        <f t="shared" si="238"/>
        <v>0</v>
      </c>
      <c r="EV73" s="1155">
        <f t="shared" si="238"/>
        <v>0</v>
      </c>
      <c r="EW73" s="1155">
        <f t="shared" si="238"/>
        <v>0</v>
      </c>
      <c r="EX73" s="1155">
        <f t="shared" si="238"/>
        <v>0</v>
      </c>
      <c r="EY73" s="1175">
        <f t="shared" ref="EY73:EY75" si="239">SUM(DP73:EX73)</f>
        <v>0</v>
      </c>
      <c r="EZ73" s="1256"/>
      <c r="FA73" s="1155">
        <f t="shared" ref="FA73:FJ75" si="240">AU73*CF73*FA$107</f>
        <v>0</v>
      </c>
      <c r="FB73" s="1155">
        <f t="shared" si="240"/>
        <v>0</v>
      </c>
      <c r="FC73" s="1155">
        <f t="shared" si="240"/>
        <v>0</v>
      </c>
      <c r="FD73" s="1155">
        <f t="shared" si="240"/>
        <v>0</v>
      </c>
      <c r="FE73" s="1155">
        <f t="shared" si="240"/>
        <v>0</v>
      </c>
      <c r="FF73" s="1155">
        <f t="shared" si="240"/>
        <v>0</v>
      </c>
      <c r="FG73" s="1155">
        <f t="shared" si="240"/>
        <v>0</v>
      </c>
      <c r="FH73" s="1155">
        <f t="shared" si="240"/>
        <v>0</v>
      </c>
      <c r="FI73" s="1155">
        <f t="shared" si="240"/>
        <v>0</v>
      </c>
      <c r="FJ73" s="1155">
        <f t="shared" si="240"/>
        <v>0</v>
      </c>
      <c r="FK73" s="1155">
        <f t="shared" ref="FK73:FT75" si="241">BE73*CP73*FK$107</f>
        <v>0</v>
      </c>
      <c r="FL73" s="1155">
        <f t="shared" si="241"/>
        <v>0</v>
      </c>
      <c r="FM73" s="1155">
        <f t="shared" si="241"/>
        <v>0</v>
      </c>
      <c r="FN73" s="1155">
        <f t="shared" si="241"/>
        <v>0</v>
      </c>
      <c r="FO73" s="1155">
        <f t="shared" si="241"/>
        <v>0</v>
      </c>
      <c r="FP73" s="1155">
        <f t="shared" si="241"/>
        <v>0</v>
      </c>
      <c r="FQ73" s="1155">
        <f t="shared" si="241"/>
        <v>0</v>
      </c>
      <c r="FR73" s="1155">
        <f t="shared" si="241"/>
        <v>0</v>
      </c>
      <c r="FS73" s="1155">
        <f t="shared" si="241"/>
        <v>0</v>
      </c>
      <c r="FT73" s="1155">
        <f t="shared" si="241"/>
        <v>0</v>
      </c>
      <c r="FU73" s="1155">
        <f t="shared" ref="FU73:GD75" si="242">BO73*CZ73*FU$107</f>
        <v>0</v>
      </c>
      <c r="FV73" s="1155">
        <f t="shared" si="242"/>
        <v>0</v>
      </c>
      <c r="FW73" s="1155">
        <f t="shared" si="242"/>
        <v>0</v>
      </c>
      <c r="FX73" s="1155">
        <f t="shared" si="242"/>
        <v>0</v>
      </c>
      <c r="FY73" s="1155">
        <f t="shared" si="242"/>
        <v>0</v>
      </c>
      <c r="FZ73" s="1155">
        <f t="shared" si="242"/>
        <v>0</v>
      </c>
      <c r="GA73" s="1155">
        <f t="shared" si="242"/>
        <v>0</v>
      </c>
      <c r="GB73" s="1155">
        <f t="shared" si="242"/>
        <v>0</v>
      </c>
      <c r="GC73" s="1155">
        <f t="shared" si="242"/>
        <v>0</v>
      </c>
      <c r="GD73" s="1155">
        <f t="shared" si="242"/>
        <v>0</v>
      </c>
      <c r="GE73" s="1155">
        <f t="shared" ref="GE73:GI75" si="243">BY73*DJ73*GE$107</f>
        <v>0</v>
      </c>
      <c r="GF73" s="1155">
        <f t="shared" si="243"/>
        <v>0</v>
      </c>
      <c r="GG73" s="1155">
        <f t="shared" si="243"/>
        <v>0</v>
      </c>
      <c r="GH73" s="1155">
        <f t="shared" si="243"/>
        <v>0</v>
      </c>
      <c r="GI73" s="1155">
        <f t="shared" si="243"/>
        <v>0</v>
      </c>
      <c r="GJ73" s="1175">
        <f t="shared" ref="GJ73:GJ75" si="244">SUM(FA73:GI73)</f>
        <v>0</v>
      </c>
    </row>
    <row r="74" spans="1:192" s="1101" customFormat="1">
      <c r="B74" s="1259"/>
      <c r="C74" s="1149" t="s">
        <v>1616</v>
      </c>
      <c r="D74" s="1204" t="s">
        <v>742</v>
      </c>
      <c r="E74" s="1204" t="s">
        <v>765</v>
      </c>
      <c r="F74" s="1204" t="s">
        <v>770</v>
      </c>
      <c r="G74" s="1204" t="s">
        <v>789</v>
      </c>
      <c r="H74" s="1204" t="s">
        <v>1618</v>
      </c>
      <c r="I74" s="1259" t="s">
        <v>935</v>
      </c>
      <c r="J74" s="1256"/>
      <c r="K74" s="1233">
        <v>0.1335341443782054</v>
      </c>
      <c r="L74" s="1135"/>
      <c r="M74" s="1135"/>
      <c r="N74" s="1135"/>
      <c r="O74" s="1135"/>
      <c r="P74" s="1135"/>
      <c r="Q74" s="1135"/>
      <c r="R74" s="1135"/>
      <c r="S74" s="1135"/>
      <c r="T74" s="1135"/>
      <c r="U74" s="1135"/>
      <c r="V74" s="1135"/>
      <c r="W74" s="1135"/>
      <c r="X74" s="1135"/>
      <c r="Y74" s="1135"/>
      <c r="Z74" s="1135"/>
      <c r="AA74" s="1135"/>
      <c r="AB74" s="1135"/>
      <c r="AC74" s="1135"/>
      <c r="AD74" s="1135"/>
      <c r="AE74" s="1135"/>
      <c r="AF74" s="1005"/>
      <c r="AG74" s="1005"/>
      <c r="AH74" s="1224">
        <v>7.4122808686789441E-3</v>
      </c>
      <c r="AI74" s="1241"/>
      <c r="AJ74" s="1241"/>
      <c r="AK74" s="1241"/>
      <c r="AL74" s="1241"/>
      <c r="AM74" s="1241"/>
      <c r="AN74" s="1241"/>
      <c r="AO74" s="1241"/>
      <c r="AP74" s="1241"/>
      <c r="AQ74" s="1241"/>
      <c r="AR74" s="1241"/>
      <c r="AS74" s="1241"/>
      <c r="AT74" s="1256"/>
      <c r="AU74" s="1241"/>
      <c r="AV74" s="1241"/>
      <c r="AW74" s="1241"/>
      <c r="AX74" s="1241"/>
      <c r="AY74" s="1241"/>
      <c r="AZ74" s="1241"/>
      <c r="BA74" s="1241"/>
      <c r="BB74" s="1241"/>
      <c r="BC74" s="1241"/>
      <c r="BD74" s="1241"/>
      <c r="BE74" s="1241"/>
      <c r="BF74" s="1241"/>
      <c r="BG74" s="1241"/>
      <c r="BH74" s="1241"/>
      <c r="BI74" s="1241"/>
      <c r="BJ74" s="1241"/>
      <c r="BK74" s="1241"/>
      <c r="BL74" s="1241"/>
      <c r="BM74" s="1241"/>
      <c r="BN74" s="1241"/>
      <c r="BO74" s="1241"/>
      <c r="BP74" s="1241"/>
      <c r="BQ74" s="1241"/>
      <c r="BR74" s="1241"/>
      <c r="BS74" s="1241"/>
      <c r="BT74" s="1241"/>
      <c r="BU74" s="1241"/>
      <c r="BV74" s="1241"/>
      <c r="BW74" s="1241"/>
      <c r="BX74" s="1241"/>
      <c r="BY74" s="1241"/>
      <c r="BZ74" s="1241"/>
      <c r="CA74" s="1241"/>
      <c r="CB74" s="1241"/>
      <c r="CC74" s="1241"/>
      <c r="CD74" s="1256"/>
      <c r="CE74" s="1256"/>
      <c r="CF74" s="1265">
        <v>0</v>
      </c>
      <c r="CG74" s="1135"/>
      <c r="CH74" s="1135"/>
      <c r="CI74" s="1135"/>
      <c r="CJ74" s="1135"/>
      <c r="CK74" s="1135"/>
      <c r="CL74" s="1135"/>
      <c r="CM74" s="1135"/>
      <c r="CN74" s="1135"/>
      <c r="CO74" s="1135"/>
      <c r="CP74" s="1135"/>
      <c r="CQ74" s="1135"/>
      <c r="CR74" s="1135"/>
      <c r="CS74" s="1135"/>
      <c r="CT74" s="1135"/>
      <c r="CU74" s="1135"/>
      <c r="CV74" s="1135"/>
      <c r="CW74" s="1135"/>
      <c r="CX74" s="1135"/>
      <c r="CY74" s="1135"/>
      <c r="CZ74" s="1135"/>
      <c r="DA74" s="1008"/>
      <c r="DB74" s="1008"/>
      <c r="DC74" s="1265">
        <v>0</v>
      </c>
      <c r="DD74" s="1008"/>
      <c r="DE74" s="1008"/>
      <c r="DF74" s="1008"/>
      <c r="DG74" s="1008"/>
      <c r="DH74" s="1008"/>
      <c r="DI74" s="1008"/>
      <c r="DJ74" s="1008"/>
      <c r="DK74" s="1008"/>
      <c r="DL74" s="1008"/>
      <c r="DM74" s="1008"/>
      <c r="DN74" s="1008"/>
      <c r="DO74" s="1256"/>
      <c r="DP74" s="1155">
        <f>IFERROR(K74*CF74*DP$107,0)</f>
        <v>0</v>
      </c>
      <c r="DQ74" s="1155">
        <f t="shared" si="235"/>
        <v>0</v>
      </c>
      <c r="DR74" s="1155">
        <f t="shared" si="235"/>
        <v>0</v>
      </c>
      <c r="DS74" s="1155">
        <f t="shared" si="235"/>
        <v>0</v>
      </c>
      <c r="DT74" s="1155">
        <f t="shared" si="235"/>
        <v>0</v>
      </c>
      <c r="DU74" s="1155">
        <f t="shared" si="235"/>
        <v>0</v>
      </c>
      <c r="DV74" s="1155">
        <f t="shared" si="235"/>
        <v>0</v>
      </c>
      <c r="DW74" s="1155">
        <f t="shared" si="235"/>
        <v>0</v>
      </c>
      <c r="DX74" s="1155">
        <f t="shared" si="235"/>
        <v>0</v>
      </c>
      <c r="DY74" s="1155">
        <f t="shared" si="235"/>
        <v>0</v>
      </c>
      <c r="DZ74" s="1155">
        <f t="shared" si="235"/>
        <v>0</v>
      </c>
      <c r="EA74" s="1155">
        <f t="shared" si="236"/>
        <v>0</v>
      </c>
      <c r="EB74" s="1155">
        <f t="shared" si="236"/>
        <v>0</v>
      </c>
      <c r="EC74" s="1155">
        <f t="shared" si="236"/>
        <v>0</v>
      </c>
      <c r="ED74" s="1155">
        <f t="shared" si="236"/>
        <v>0</v>
      </c>
      <c r="EE74" s="1155">
        <f t="shared" si="236"/>
        <v>0</v>
      </c>
      <c r="EF74" s="1155">
        <f t="shared" si="236"/>
        <v>0</v>
      </c>
      <c r="EG74" s="1155">
        <f t="shared" si="236"/>
        <v>0</v>
      </c>
      <c r="EH74" s="1155">
        <f t="shared" si="236"/>
        <v>0</v>
      </c>
      <c r="EI74" s="1155">
        <f t="shared" si="236"/>
        <v>0</v>
      </c>
      <c r="EJ74" s="1155">
        <f t="shared" si="236"/>
        <v>0</v>
      </c>
      <c r="EK74" s="1155">
        <f t="shared" si="237"/>
        <v>0</v>
      </c>
      <c r="EL74" s="1155">
        <f t="shared" si="237"/>
        <v>0</v>
      </c>
      <c r="EM74" s="1155">
        <f>IFERROR(AH74*DC74*EM$107,0)</f>
        <v>0</v>
      </c>
      <c r="EN74" s="1155">
        <f t="shared" si="238"/>
        <v>0</v>
      </c>
      <c r="EO74" s="1155">
        <f t="shared" si="238"/>
        <v>0</v>
      </c>
      <c r="EP74" s="1155">
        <f t="shared" si="238"/>
        <v>0</v>
      </c>
      <c r="EQ74" s="1155">
        <f t="shared" si="238"/>
        <v>0</v>
      </c>
      <c r="ER74" s="1155">
        <f t="shared" si="238"/>
        <v>0</v>
      </c>
      <c r="ES74" s="1155">
        <f t="shared" si="238"/>
        <v>0</v>
      </c>
      <c r="ET74" s="1155">
        <f t="shared" si="238"/>
        <v>0</v>
      </c>
      <c r="EU74" s="1155">
        <f t="shared" si="238"/>
        <v>0</v>
      </c>
      <c r="EV74" s="1155">
        <f t="shared" si="238"/>
        <v>0</v>
      </c>
      <c r="EW74" s="1155">
        <f t="shared" si="238"/>
        <v>0</v>
      </c>
      <c r="EX74" s="1155">
        <f t="shared" si="238"/>
        <v>0</v>
      </c>
      <c r="EY74" s="1175">
        <f t="shared" si="239"/>
        <v>0</v>
      </c>
      <c r="EZ74" s="1256"/>
      <c r="FA74" s="1155">
        <f t="shared" si="240"/>
        <v>0</v>
      </c>
      <c r="FB74" s="1155">
        <f t="shared" si="240"/>
        <v>0</v>
      </c>
      <c r="FC74" s="1155">
        <f t="shared" si="240"/>
        <v>0</v>
      </c>
      <c r="FD74" s="1155">
        <f t="shared" si="240"/>
        <v>0</v>
      </c>
      <c r="FE74" s="1155">
        <f t="shared" si="240"/>
        <v>0</v>
      </c>
      <c r="FF74" s="1155">
        <f t="shared" si="240"/>
        <v>0</v>
      </c>
      <c r="FG74" s="1155">
        <f t="shared" si="240"/>
        <v>0</v>
      </c>
      <c r="FH74" s="1155">
        <f t="shared" si="240"/>
        <v>0</v>
      </c>
      <c r="FI74" s="1155">
        <f t="shared" si="240"/>
        <v>0</v>
      </c>
      <c r="FJ74" s="1155">
        <f t="shared" si="240"/>
        <v>0</v>
      </c>
      <c r="FK74" s="1155">
        <f t="shared" si="241"/>
        <v>0</v>
      </c>
      <c r="FL74" s="1155">
        <f t="shared" si="241"/>
        <v>0</v>
      </c>
      <c r="FM74" s="1155">
        <f t="shared" si="241"/>
        <v>0</v>
      </c>
      <c r="FN74" s="1155">
        <f t="shared" si="241"/>
        <v>0</v>
      </c>
      <c r="FO74" s="1155">
        <f t="shared" si="241"/>
        <v>0</v>
      </c>
      <c r="FP74" s="1155">
        <f t="shared" si="241"/>
        <v>0</v>
      </c>
      <c r="FQ74" s="1155">
        <f t="shared" si="241"/>
        <v>0</v>
      </c>
      <c r="FR74" s="1155">
        <f t="shared" si="241"/>
        <v>0</v>
      </c>
      <c r="FS74" s="1155">
        <f t="shared" si="241"/>
        <v>0</v>
      </c>
      <c r="FT74" s="1155">
        <f t="shared" si="241"/>
        <v>0</v>
      </c>
      <c r="FU74" s="1155">
        <f t="shared" si="242"/>
        <v>0</v>
      </c>
      <c r="FV74" s="1155">
        <f t="shared" si="242"/>
        <v>0</v>
      </c>
      <c r="FW74" s="1155">
        <f t="shared" si="242"/>
        <v>0</v>
      </c>
      <c r="FX74" s="1155">
        <f t="shared" si="242"/>
        <v>0</v>
      </c>
      <c r="FY74" s="1155">
        <f t="shared" si="242"/>
        <v>0</v>
      </c>
      <c r="FZ74" s="1155">
        <f t="shared" si="242"/>
        <v>0</v>
      </c>
      <c r="GA74" s="1155">
        <f t="shared" si="242"/>
        <v>0</v>
      </c>
      <c r="GB74" s="1155">
        <f t="shared" si="242"/>
        <v>0</v>
      </c>
      <c r="GC74" s="1155">
        <f t="shared" si="242"/>
        <v>0</v>
      </c>
      <c r="GD74" s="1155">
        <f t="shared" si="242"/>
        <v>0</v>
      </c>
      <c r="GE74" s="1155">
        <f t="shared" si="243"/>
        <v>0</v>
      </c>
      <c r="GF74" s="1155">
        <f t="shared" si="243"/>
        <v>0</v>
      </c>
      <c r="GG74" s="1155">
        <f t="shared" si="243"/>
        <v>0</v>
      </c>
      <c r="GH74" s="1155">
        <f t="shared" si="243"/>
        <v>0</v>
      </c>
      <c r="GI74" s="1155">
        <f t="shared" si="243"/>
        <v>0</v>
      </c>
      <c r="GJ74" s="1175">
        <f t="shared" si="244"/>
        <v>0</v>
      </c>
    </row>
    <row r="75" spans="1:192" s="1101" customFormat="1">
      <c r="B75" s="1259"/>
      <c r="C75" s="1149" t="s">
        <v>1614</v>
      </c>
      <c r="D75" s="1204" t="s">
        <v>742</v>
      </c>
      <c r="E75" s="1204" t="s">
        <v>765</v>
      </c>
      <c r="F75" s="1204" t="s">
        <v>770</v>
      </c>
      <c r="G75" s="1204" t="s">
        <v>789</v>
      </c>
      <c r="H75" s="1204" t="s">
        <v>1617</v>
      </c>
      <c r="I75" s="1259" t="s">
        <v>935</v>
      </c>
      <c r="J75" s="1256"/>
      <c r="K75" s="1233">
        <v>0.1335341443782054</v>
      </c>
      <c r="L75" s="1135"/>
      <c r="M75" s="1135"/>
      <c r="N75" s="1135"/>
      <c r="O75" s="1135"/>
      <c r="P75" s="1135"/>
      <c r="Q75" s="1135"/>
      <c r="R75" s="1135"/>
      <c r="S75" s="1135"/>
      <c r="T75" s="1135"/>
      <c r="U75" s="1135"/>
      <c r="V75" s="1135"/>
      <c r="W75" s="1135"/>
      <c r="X75" s="1135"/>
      <c r="Y75" s="1135"/>
      <c r="Z75" s="1135"/>
      <c r="AA75" s="1135"/>
      <c r="AB75" s="1135"/>
      <c r="AC75" s="1135"/>
      <c r="AD75" s="1135"/>
      <c r="AE75" s="1135"/>
      <c r="AF75" s="1005"/>
      <c r="AG75" s="1005"/>
      <c r="AH75" s="1224">
        <v>7.4122808686789441E-3</v>
      </c>
      <c r="AI75" s="1241"/>
      <c r="AJ75" s="1241"/>
      <c r="AK75" s="1241"/>
      <c r="AL75" s="1241"/>
      <c r="AM75" s="1241"/>
      <c r="AN75" s="1241"/>
      <c r="AO75" s="1241"/>
      <c r="AP75" s="1241"/>
      <c r="AQ75" s="1241"/>
      <c r="AR75" s="1241"/>
      <c r="AS75" s="1241"/>
      <c r="AT75" s="1256"/>
      <c r="AU75" s="1241"/>
      <c r="AV75" s="1241"/>
      <c r="AW75" s="1241"/>
      <c r="AX75" s="1241"/>
      <c r="AY75" s="1241"/>
      <c r="AZ75" s="1241"/>
      <c r="BA75" s="1241"/>
      <c r="BB75" s="1241"/>
      <c r="BC75" s="1241"/>
      <c r="BD75" s="1241"/>
      <c r="BE75" s="1241"/>
      <c r="BF75" s="1241"/>
      <c r="BG75" s="1241"/>
      <c r="BH75" s="1241"/>
      <c r="BI75" s="1241"/>
      <c r="BJ75" s="1241"/>
      <c r="BK75" s="1241"/>
      <c r="BL75" s="1241"/>
      <c r="BM75" s="1241"/>
      <c r="BN75" s="1241"/>
      <c r="BO75" s="1241"/>
      <c r="BP75" s="1241"/>
      <c r="BQ75" s="1241"/>
      <c r="BR75" s="1241"/>
      <c r="BS75" s="1241"/>
      <c r="BT75" s="1241"/>
      <c r="BU75" s="1241"/>
      <c r="BV75" s="1241"/>
      <c r="BW75" s="1241"/>
      <c r="BX75" s="1241"/>
      <c r="BY75" s="1241"/>
      <c r="BZ75" s="1241"/>
      <c r="CA75" s="1241"/>
      <c r="CB75" s="1241"/>
      <c r="CC75" s="1241"/>
      <c r="CD75" s="1256"/>
      <c r="CE75" s="1256"/>
      <c r="CF75" s="1265">
        <v>0</v>
      </c>
      <c r="CG75" s="1135"/>
      <c r="CH75" s="1135"/>
      <c r="CI75" s="1135"/>
      <c r="CJ75" s="1135"/>
      <c r="CK75" s="1135"/>
      <c r="CL75" s="1135"/>
      <c r="CM75" s="1135"/>
      <c r="CN75" s="1135"/>
      <c r="CO75" s="1135"/>
      <c r="CP75" s="1135"/>
      <c r="CQ75" s="1135"/>
      <c r="CR75" s="1135"/>
      <c r="CS75" s="1135"/>
      <c r="CT75" s="1135"/>
      <c r="CU75" s="1135"/>
      <c r="CV75" s="1135"/>
      <c r="CW75" s="1135"/>
      <c r="CX75" s="1135"/>
      <c r="CY75" s="1135"/>
      <c r="CZ75" s="1135"/>
      <c r="DA75" s="1008"/>
      <c r="DB75" s="1008"/>
      <c r="DC75" s="1265">
        <v>0</v>
      </c>
      <c r="DD75" s="1008"/>
      <c r="DE75" s="1008"/>
      <c r="DF75" s="1008"/>
      <c r="DG75" s="1008"/>
      <c r="DH75" s="1008"/>
      <c r="DI75" s="1008"/>
      <c r="DJ75" s="1008"/>
      <c r="DK75" s="1008"/>
      <c r="DL75" s="1008"/>
      <c r="DM75" s="1008"/>
      <c r="DN75" s="1008"/>
      <c r="DO75" s="1256"/>
      <c r="DP75" s="1155">
        <f>IFERROR(K75*CF75*DP$107,0)</f>
        <v>0</v>
      </c>
      <c r="DQ75" s="1155">
        <f t="shared" si="235"/>
        <v>0</v>
      </c>
      <c r="DR75" s="1155">
        <f t="shared" si="235"/>
        <v>0</v>
      </c>
      <c r="DS75" s="1155">
        <f t="shared" si="235"/>
        <v>0</v>
      </c>
      <c r="DT75" s="1155">
        <f t="shared" si="235"/>
        <v>0</v>
      </c>
      <c r="DU75" s="1155">
        <f t="shared" si="235"/>
        <v>0</v>
      </c>
      <c r="DV75" s="1155">
        <f t="shared" si="235"/>
        <v>0</v>
      </c>
      <c r="DW75" s="1155">
        <f t="shared" si="235"/>
        <v>0</v>
      </c>
      <c r="DX75" s="1155">
        <f t="shared" si="235"/>
        <v>0</v>
      </c>
      <c r="DY75" s="1155">
        <f t="shared" si="235"/>
        <v>0</v>
      </c>
      <c r="DZ75" s="1155">
        <f t="shared" si="235"/>
        <v>0</v>
      </c>
      <c r="EA75" s="1155">
        <f t="shared" si="236"/>
        <v>0</v>
      </c>
      <c r="EB75" s="1155">
        <f t="shared" si="236"/>
        <v>0</v>
      </c>
      <c r="EC75" s="1155">
        <f t="shared" si="236"/>
        <v>0</v>
      </c>
      <c r="ED75" s="1155">
        <f t="shared" si="236"/>
        <v>0</v>
      </c>
      <c r="EE75" s="1155">
        <f t="shared" si="236"/>
        <v>0</v>
      </c>
      <c r="EF75" s="1155">
        <f t="shared" si="236"/>
        <v>0</v>
      </c>
      <c r="EG75" s="1155">
        <f t="shared" si="236"/>
        <v>0</v>
      </c>
      <c r="EH75" s="1155">
        <f t="shared" si="236"/>
        <v>0</v>
      </c>
      <c r="EI75" s="1155">
        <f t="shared" si="236"/>
        <v>0</v>
      </c>
      <c r="EJ75" s="1155">
        <f t="shared" si="236"/>
        <v>0</v>
      </c>
      <c r="EK75" s="1155">
        <f t="shared" si="237"/>
        <v>0</v>
      </c>
      <c r="EL75" s="1155">
        <f t="shared" si="237"/>
        <v>0</v>
      </c>
      <c r="EM75" s="1155">
        <f>IFERROR(AH75*DC75*EM$107,0)</f>
        <v>0</v>
      </c>
      <c r="EN75" s="1155">
        <f t="shared" si="238"/>
        <v>0</v>
      </c>
      <c r="EO75" s="1155">
        <f t="shared" si="238"/>
        <v>0</v>
      </c>
      <c r="EP75" s="1155">
        <f t="shared" si="238"/>
        <v>0</v>
      </c>
      <c r="EQ75" s="1155">
        <f t="shared" si="238"/>
        <v>0</v>
      </c>
      <c r="ER75" s="1155">
        <f t="shared" si="238"/>
        <v>0</v>
      </c>
      <c r="ES75" s="1155">
        <f t="shared" si="238"/>
        <v>0</v>
      </c>
      <c r="ET75" s="1155">
        <f t="shared" si="238"/>
        <v>0</v>
      </c>
      <c r="EU75" s="1155">
        <f t="shared" si="238"/>
        <v>0</v>
      </c>
      <c r="EV75" s="1155">
        <f t="shared" si="238"/>
        <v>0</v>
      </c>
      <c r="EW75" s="1155">
        <f t="shared" si="238"/>
        <v>0</v>
      </c>
      <c r="EX75" s="1155">
        <f t="shared" si="238"/>
        <v>0</v>
      </c>
      <c r="EY75" s="1175">
        <f t="shared" si="239"/>
        <v>0</v>
      </c>
      <c r="EZ75" s="1256"/>
      <c r="FA75" s="1155">
        <f t="shared" si="240"/>
        <v>0</v>
      </c>
      <c r="FB75" s="1155">
        <f t="shared" si="240"/>
        <v>0</v>
      </c>
      <c r="FC75" s="1155">
        <f t="shared" si="240"/>
        <v>0</v>
      </c>
      <c r="FD75" s="1155">
        <f t="shared" si="240"/>
        <v>0</v>
      </c>
      <c r="FE75" s="1155">
        <f t="shared" si="240"/>
        <v>0</v>
      </c>
      <c r="FF75" s="1155">
        <f t="shared" si="240"/>
        <v>0</v>
      </c>
      <c r="FG75" s="1155">
        <f t="shared" si="240"/>
        <v>0</v>
      </c>
      <c r="FH75" s="1155">
        <f t="shared" si="240"/>
        <v>0</v>
      </c>
      <c r="FI75" s="1155">
        <f t="shared" si="240"/>
        <v>0</v>
      </c>
      <c r="FJ75" s="1155">
        <f t="shared" si="240"/>
        <v>0</v>
      </c>
      <c r="FK75" s="1155">
        <f t="shared" si="241"/>
        <v>0</v>
      </c>
      <c r="FL75" s="1155">
        <f t="shared" si="241"/>
        <v>0</v>
      </c>
      <c r="FM75" s="1155">
        <f t="shared" si="241"/>
        <v>0</v>
      </c>
      <c r="FN75" s="1155">
        <f t="shared" si="241"/>
        <v>0</v>
      </c>
      <c r="FO75" s="1155">
        <f t="shared" si="241"/>
        <v>0</v>
      </c>
      <c r="FP75" s="1155">
        <f t="shared" si="241"/>
        <v>0</v>
      </c>
      <c r="FQ75" s="1155">
        <f t="shared" si="241"/>
        <v>0</v>
      </c>
      <c r="FR75" s="1155">
        <f t="shared" si="241"/>
        <v>0</v>
      </c>
      <c r="FS75" s="1155">
        <f t="shared" si="241"/>
        <v>0</v>
      </c>
      <c r="FT75" s="1155">
        <f t="shared" si="241"/>
        <v>0</v>
      </c>
      <c r="FU75" s="1155">
        <f t="shared" si="242"/>
        <v>0</v>
      </c>
      <c r="FV75" s="1155">
        <f t="shared" si="242"/>
        <v>0</v>
      </c>
      <c r="FW75" s="1155">
        <f t="shared" si="242"/>
        <v>0</v>
      </c>
      <c r="FX75" s="1155">
        <f t="shared" si="242"/>
        <v>0</v>
      </c>
      <c r="FY75" s="1155">
        <f t="shared" si="242"/>
        <v>0</v>
      </c>
      <c r="FZ75" s="1155">
        <f t="shared" si="242"/>
        <v>0</v>
      </c>
      <c r="GA75" s="1155">
        <f t="shared" si="242"/>
        <v>0</v>
      </c>
      <c r="GB75" s="1155">
        <f t="shared" si="242"/>
        <v>0</v>
      </c>
      <c r="GC75" s="1155">
        <f t="shared" si="242"/>
        <v>0</v>
      </c>
      <c r="GD75" s="1155">
        <f t="shared" si="242"/>
        <v>0</v>
      </c>
      <c r="GE75" s="1155">
        <f t="shared" si="243"/>
        <v>0</v>
      </c>
      <c r="GF75" s="1155">
        <f t="shared" si="243"/>
        <v>0</v>
      </c>
      <c r="GG75" s="1155">
        <f t="shared" si="243"/>
        <v>0</v>
      </c>
      <c r="GH75" s="1155">
        <f t="shared" si="243"/>
        <v>0</v>
      </c>
      <c r="GI75" s="1155">
        <f t="shared" si="243"/>
        <v>0</v>
      </c>
      <c r="GJ75" s="1175">
        <f t="shared" si="244"/>
        <v>0</v>
      </c>
    </row>
    <row r="76" spans="1:192" ht="6" customHeight="1">
      <c r="A76" s="1205"/>
      <c r="B76" s="1184" t="s">
        <v>742</v>
      </c>
      <c r="C76" s="1184"/>
      <c r="D76" s="1184"/>
      <c r="E76" s="1184"/>
      <c r="F76" s="1184"/>
      <c r="G76" s="1184"/>
      <c r="H76" s="1184"/>
      <c r="I76" s="1184"/>
      <c r="J76" s="1207"/>
      <c r="K76" s="1184"/>
      <c r="L76" s="1184"/>
      <c r="M76" s="1184"/>
      <c r="N76" s="1184"/>
      <c r="O76" s="1184"/>
      <c r="P76" s="1184"/>
      <c r="Q76" s="1184"/>
      <c r="R76" s="1184"/>
      <c r="S76" s="1184"/>
      <c r="T76" s="1184"/>
      <c r="U76" s="1184"/>
      <c r="V76" s="1184"/>
      <c r="W76" s="1184"/>
      <c r="X76" s="1184"/>
      <c r="Y76" s="1184"/>
      <c r="Z76" s="1184"/>
      <c r="AA76" s="1184"/>
      <c r="AB76" s="1184"/>
      <c r="AC76" s="1184"/>
      <c r="AD76" s="1184"/>
      <c r="AE76" s="1184"/>
      <c r="AF76" s="1184"/>
      <c r="AG76" s="1184"/>
      <c r="AH76" s="1263"/>
      <c r="AI76" s="1263"/>
      <c r="AJ76" s="1263"/>
      <c r="AK76" s="1263"/>
      <c r="AL76" s="1263"/>
      <c r="AM76" s="1263"/>
      <c r="AN76" s="1263"/>
      <c r="AO76" s="1263"/>
      <c r="AP76" s="1263"/>
      <c r="AQ76" s="1263"/>
      <c r="AR76" s="1263"/>
      <c r="AS76" s="1263"/>
      <c r="AT76" s="1207"/>
      <c r="AU76" s="1263"/>
      <c r="AV76" s="1263"/>
      <c r="AW76" s="1263"/>
      <c r="AX76" s="1263"/>
      <c r="AY76" s="1263"/>
      <c r="AZ76" s="1263"/>
      <c r="BA76" s="1263"/>
      <c r="BB76" s="1263"/>
      <c r="BC76" s="1263"/>
      <c r="BD76" s="1263"/>
      <c r="BE76" s="1263"/>
      <c r="BF76" s="1263"/>
      <c r="BG76" s="1263"/>
      <c r="BH76" s="1263"/>
      <c r="BI76" s="1263"/>
      <c r="BJ76" s="1263"/>
      <c r="BK76" s="1263"/>
      <c r="BL76" s="1263"/>
      <c r="BM76" s="1263"/>
      <c r="BN76" s="1263"/>
      <c r="BO76" s="1263"/>
      <c r="BP76" s="1263"/>
      <c r="BQ76" s="1263"/>
      <c r="BR76" s="1263"/>
      <c r="BS76" s="1263"/>
      <c r="BT76" s="1263"/>
      <c r="BU76" s="1263"/>
      <c r="BV76" s="1263"/>
      <c r="BW76" s="1263"/>
      <c r="BX76" s="1263"/>
      <c r="BY76" s="1263"/>
      <c r="BZ76" s="1263"/>
      <c r="CA76" s="1263"/>
      <c r="CB76" s="1263"/>
      <c r="CC76" s="1263"/>
      <c r="CD76" s="1207"/>
      <c r="CE76" s="1207"/>
      <c r="CF76" s="1184"/>
      <c r="CG76" s="1184"/>
      <c r="CH76" s="1184"/>
      <c r="CI76" s="1184"/>
      <c r="CJ76" s="1184"/>
      <c r="CK76" s="1184"/>
      <c r="CL76" s="1184"/>
      <c r="CM76" s="1184"/>
      <c r="CN76" s="1184"/>
      <c r="CO76" s="1184"/>
      <c r="CP76" s="1184"/>
      <c r="CQ76" s="1184"/>
      <c r="CR76" s="1184"/>
      <c r="CS76" s="1184"/>
      <c r="CT76" s="1184"/>
      <c r="CU76" s="1184"/>
      <c r="CV76" s="1184"/>
      <c r="CW76" s="1184"/>
      <c r="CX76" s="1184"/>
      <c r="CY76" s="1184"/>
      <c r="CZ76" s="1184"/>
      <c r="DA76" s="1184"/>
      <c r="DB76" s="1184"/>
      <c r="DC76" s="1607"/>
      <c r="DD76" s="1184"/>
      <c r="DE76" s="1184"/>
      <c r="DF76" s="1184"/>
      <c r="DG76" s="1184"/>
      <c r="DH76" s="1184"/>
      <c r="DI76" s="1184"/>
      <c r="DJ76" s="1184"/>
      <c r="DK76" s="1184"/>
      <c r="DL76" s="1184"/>
      <c r="DM76" s="1184"/>
      <c r="DN76" s="1184"/>
      <c r="DO76" s="1207"/>
      <c r="DP76" s="1252"/>
      <c r="DQ76" s="1252"/>
      <c r="DR76" s="1252"/>
      <c r="DS76" s="1252"/>
      <c r="DT76" s="1252"/>
      <c r="DU76" s="1252"/>
      <c r="DV76" s="1252"/>
      <c r="DW76" s="1252"/>
      <c r="DX76" s="1252"/>
      <c r="DY76" s="1252"/>
      <c r="DZ76" s="1252"/>
      <c r="EA76" s="1252"/>
      <c r="EB76" s="1252"/>
      <c r="EC76" s="1252"/>
      <c r="ED76" s="1252"/>
      <c r="EE76" s="1252"/>
      <c r="EF76" s="1252"/>
      <c r="EG76" s="1252"/>
      <c r="EH76" s="1252"/>
      <c r="EI76" s="1252"/>
      <c r="EJ76" s="1252"/>
      <c r="EK76" s="1252"/>
      <c r="EL76" s="1252"/>
      <c r="EM76" s="1252"/>
      <c r="EN76" s="1252"/>
      <c r="EO76" s="1252"/>
      <c r="EP76" s="1252"/>
      <c r="EQ76" s="1252"/>
      <c r="ER76" s="1252"/>
      <c r="ES76" s="1252"/>
      <c r="ET76" s="1252"/>
      <c r="EU76" s="1252"/>
      <c r="EV76" s="1252"/>
      <c r="EW76" s="1252"/>
      <c r="EX76" s="1252"/>
      <c r="EY76" s="1252"/>
      <c r="EZ76" s="1207"/>
      <c r="FA76" s="1252"/>
      <c r="FB76" s="1252"/>
      <c r="FC76" s="1252"/>
      <c r="FD76" s="1252"/>
      <c r="FE76" s="1252"/>
      <c r="FF76" s="1252"/>
      <c r="FG76" s="1252"/>
      <c r="FH76" s="1252"/>
      <c r="FI76" s="1252"/>
      <c r="FJ76" s="1252"/>
      <c r="FK76" s="1252"/>
      <c r="FL76" s="1252"/>
      <c r="FM76" s="1252"/>
      <c r="FN76" s="1252"/>
      <c r="FO76" s="1252"/>
      <c r="FP76" s="1252"/>
      <c r="FQ76" s="1252"/>
      <c r="FR76" s="1252"/>
      <c r="FS76" s="1252"/>
      <c r="FT76" s="1252"/>
      <c r="FU76" s="1252"/>
      <c r="FV76" s="1252"/>
      <c r="FW76" s="1252"/>
      <c r="FX76" s="1252"/>
      <c r="FY76" s="1252"/>
      <c r="FZ76" s="1252"/>
      <c r="GA76" s="1252"/>
      <c r="GB76" s="1252"/>
      <c r="GC76" s="1252"/>
      <c r="GD76" s="1252"/>
      <c r="GE76" s="1252"/>
      <c r="GF76" s="1252"/>
      <c r="GG76" s="1252"/>
      <c r="GH76" s="1252"/>
      <c r="GI76" s="1252"/>
      <c r="GJ76" s="1252"/>
    </row>
    <row r="77" spans="1:192">
      <c r="B77" s="1259" t="str">
        <f>IF(Prop2021DUOSTariffs!B77="","",Prop2021DUOSTariffs!B77)</f>
        <v/>
      </c>
      <c r="C77" s="1259" t="str">
        <f>IF(Prop2021DUOSTariffs!C77="","",Prop2021DUOSTariffs!C77)</f>
        <v>East SAC&lt;100MWhpa Residential IBT</v>
      </c>
      <c r="D77" s="1259" t="str">
        <f>IF(Prop2021DUOSTariffs!D77="","",Prop2021DUOSTariffs!D77)</f>
        <v>East SAC&lt;100MWhpa Residential IBT</v>
      </c>
      <c r="E77" s="1259" t="str">
        <f>IF(Prop2021DUOSTariffs!E77="","",Prop2021DUOSTariffs!E77)</f>
        <v>SAC</v>
      </c>
      <c r="F77" s="1259" t="str">
        <f>IF(Prop2021DUOSTariffs!F77="","",Prop2021DUOSTariffs!F77)</f>
        <v>SACS Res</v>
      </c>
      <c r="G77" s="1259" t="str">
        <f>IF(Prop2021DUOSTariffs!G77="","",Prop2021DUOSTariffs!G77)</f>
        <v>East</v>
      </c>
      <c r="H77" s="1259" t="str">
        <f>IF(Prop2021DUOSTariffs!H77="","",Prop2021DUOSTariffs!H77)</f>
        <v>ERIB</v>
      </c>
      <c r="I77" s="1259" t="s">
        <v>935</v>
      </c>
      <c r="J77" s="1256"/>
      <c r="K77" s="1233">
        <v>0.1335341443782054</v>
      </c>
      <c r="L77" s="1135"/>
      <c r="M77" s="1135"/>
      <c r="N77" s="1135"/>
      <c r="O77" s="1135"/>
      <c r="P77" s="1135"/>
      <c r="Q77" s="1135"/>
      <c r="R77" s="1135"/>
      <c r="S77" s="1135"/>
      <c r="T77" s="1135"/>
      <c r="U77" s="1135"/>
      <c r="V77" s="1135"/>
      <c r="W77" s="1135"/>
      <c r="X77" s="1135"/>
      <c r="Y77" s="1135"/>
      <c r="Z77" s="1135"/>
      <c r="AA77" s="1135"/>
      <c r="AB77" s="1135"/>
      <c r="AC77" s="1135"/>
      <c r="AD77" s="1135"/>
      <c r="AE77" s="1135"/>
      <c r="AF77" s="1005"/>
      <c r="AG77" s="1005"/>
      <c r="AH77" s="1224">
        <v>7.4122808686789441E-3</v>
      </c>
      <c r="AI77" s="1241"/>
      <c r="AJ77" s="1241"/>
      <c r="AK77" s="1241"/>
      <c r="AL77" s="1241"/>
      <c r="AM77" s="1241"/>
      <c r="AN77" s="1241"/>
      <c r="AO77" s="1241"/>
      <c r="AP77" s="1241"/>
      <c r="AQ77" s="1241"/>
      <c r="AR77" s="1241"/>
      <c r="AS77" s="1241"/>
      <c r="AT77" s="1256"/>
      <c r="AU77" s="1484">
        <v>0.14489953366876271</v>
      </c>
      <c r="AV77" s="1241"/>
      <c r="AW77" s="1241"/>
      <c r="AX77" s="1241"/>
      <c r="AY77" s="1241"/>
      <c r="AZ77" s="1241"/>
      <c r="BA77" s="1241"/>
      <c r="BB77" s="1241"/>
      <c r="BC77" s="1241"/>
      <c r="BD77" s="1241"/>
      <c r="BE77" s="1241"/>
      <c r="BF77" s="1241"/>
      <c r="BG77" s="1241"/>
      <c r="BH77" s="1241"/>
      <c r="BI77" s="1241"/>
      <c r="BJ77" s="1241"/>
      <c r="BK77" s="1241"/>
      <c r="BL77" s="1241"/>
      <c r="BM77" s="1241"/>
      <c r="BN77" s="1241"/>
      <c r="BO77" s="1241"/>
      <c r="BP77" s="1241"/>
      <c r="BQ77" s="1241"/>
      <c r="BR77" s="1484">
        <v>8.2170735145811833E-3</v>
      </c>
      <c r="BS77" s="1241"/>
      <c r="BT77" s="1241"/>
      <c r="BU77" s="1241"/>
      <c r="BV77" s="1241"/>
      <c r="BW77" s="1241"/>
      <c r="BX77" s="1241"/>
      <c r="BY77" s="1241"/>
      <c r="BZ77" s="1241"/>
      <c r="CA77" s="1241"/>
      <c r="CB77" s="1241"/>
      <c r="CC77" s="1241"/>
      <c r="CD77" s="1256"/>
      <c r="CE77" s="1256"/>
      <c r="CF77" s="1265">
        <v>477664.94999999995</v>
      </c>
      <c r="CG77" s="1030"/>
      <c r="CH77" s="1030"/>
      <c r="CI77" s="1030"/>
      <c r="CJ77" s="1030"/>
      <c r="CK77" s="1030"/>
      <c r="CL77" s="1135"/>
      <c r="CM77" s="1135"/>
      <c r="CN77" s="1135"/>
      <c r="CO77" s="1135"/>
      <c r="CP77" s="1135"/>
      <c r="CQ77" s="1135"/>
      <c r="CR77" s="1135"/>
      <c r="CS77" s="1135"/>
      <c r="CT77" s="1135"/>
      <c r="CU77" s="1135"/>
      <c r="CV77" s="1135"/>
      <c r="CW77" s="1135"/>
      <c r="CX77" s="1135"/>
      <c r="CY77" s="1135"/>
      <c r="CZ77" s="1135"/>
      <c r="DA77" s="1008"/>
      <c r="DB77" s="1008"/>
      <c r="DC77" s="1265">
        <v>2145811388.5799999</v>
      </c>
      <c r="DD77" s="1008"/>
      <c r="DE77" s="1008"/>
      <c r="DF77" s="1008"/>
      <c r="DG77" s="1008"/>
      <c r="DH77" s="1008"/>
      <c r="DI77" s="1008"/>
      <c r="DJ77" s="1008"/>
      <c r="DK77" s="1008"/>
      <c r="DL77" s="1008"/>
      <c r="DM77" s="1008"/>
      <c r="DN77" s="1008"/>
      <c r="DO77" s="1256"/>
      <c r="DP77" s="1155">
        <f t="shared" ref="DP77:DP88" si="245">K77*CF77*DP$107</f>
        <v>23281371.845163517</v>
      </c>
      <c r="DQ77" s="1155">
        <f t="shared" ref="DQ77:DQ88" si="246">L77*CG77*DQ$107</f>
        <v>0</v>
      </c>
      <c r="DR77" s="1155">
        <f t="shared" ref="DR77:DR88" si="247">M77*CH77*DR$107</f>
        <v>0</v>
      </c>
      <c r="DS77" s="1155">
        <f t="shared" ref="DS77:DS88" si="248">N77*CI77*DS$107</f>
        <v>0</v>
      </c>
      <c r="DT77" s="1155">
        <f t="shared" ref="DT77:DT88" si="249">O77*CJ77*DT$107</f>
        <v>0</v>
      </c>
      <c r="DU77" s="1155">
        <f t="shared" ref="DU77:DU88" si="250">P77*CK77*DU$107</f>
        <v>0</v>
      </c>
      <c r="DV77" s="1155">
        <f t="shared" ref="DV77:DV88" si="251">Q77*CL77*DV$107</f>
        <v>0</v>
      </c>
      <c r="DW77" s="1155">
        <f t="shared" ref="DW77:DW88" si="252">R77*CM77*DW$107</f>
        <v>0</v>
      </c>
      <c r="DX77" s="1155">
        <f t="shared" ref="DX77:DX88" si="253">S77*CN77*DX$107</f>
        <v>0</v>
      </c>
      <c r="DY77" s="1155">
        <f t="shared" ref="DY77:DY88" si="254">T77*CO77*DY$107</f>
        <v>0</v>
      </c>
      <c r="DZ77" s="1155">
        <f t="shared" ref="DZ77:DZ88" si="255">U77*CP77*DZ$107</f>
        <v>0</v>
      </c>
      <c r="EA77" s="1155">
        <f t="shared" ref="EA77:EA88" si="256">V77*CQ77*EA$107</f>
        <v>0</v>
      </c>
      <c r="EB77" s="1155">
        <f t="shared" ref="EB77:EB88" si="257">W77*CR77*EB$107</f>
        <v>0</v>
      </c>
      <c r="EC77" s="1155">
        <f t="shared" ref="EC77:EC88" si="258">X77*CS77*EC$107</f>
        <v>0</v>
      </c>
      <c r="ED77" s="1155">
        <f t="shared" ref="ED77:ED88" si="259">Y77*CT77*ED$107</f>
        <v>0</v>
      </c>
      <c r="EE77" s="1155">
        <f t="shared" ref="EE77:EE88" si="260">Z77*CU77*EE$107</f>
        <v>0</v>
      </c>
      <c r="EF77" s="1155">
        <f t="shared" ref="EF77:EF88" si="261">AA77*CV77*EF$107</f>
        <v>0</v>
      </c>
      <c r="EG77" s="1155">
        <f t="shared" ref="EG77:EG88" si="262">AB77*CW77*EG$107</f>
        <v>0</v>
      </c>
      <c r="EH77" s="1155">
        <f t="shared" ref="EH77:EH88" si="263">AC77*CX77*EH$107</f>
        <v>0</v>
      </c>
      <c r="EI77" s="1155">
        <f t="shared" ref="EI77:EI88" si="264">AD77*CY77*EI$107</f>
        <v>0</v>
      </c>
      <c r="EJ77" s="1155">
        <f t="shared" ref="EJ77:EJ88" si="265">AE77*CZ77*EJ$107</f>
        <v>0</v>
      </c>
      <c r="EK77" s="1155">
        <f t="shared" ref="EK77:EK88" si="266">AF77*DA77*EK$107</f>
        <v>0</v>
      </c>
      <c r="EL77" s="1155">
        <f t="shared" ref="EL77:EL88" si="267">AG77*DB77*EL$107</f>
        <v>0</v>
      </c>
      <c r="EM77" s="1155">
        <f t="shared" ref="EM77:EM88" si="268">AH77*DC77*EM$107</f>
        <v>15905356.703364933</v>
      </c>
      <c r="EN77" s="1155">
        <f t="shared" ref="EN77:EN88" si="269">AI77*DD77*EN$107</f>
        <v>0</v>
      </c>
      <c r="EO77" s="1155">
        <f t="shared" ref="EO77:EO88" si="270">AJ77*DE77*EO$107</f>
        <v>0</v>
      </c>
      <c r="EP77" s="1155">
        <f t="shared" ref="EP77:EP88" si="271">AK77*DF77*EP$107</f>
        <v>0</v>
      </c>
      <c r="EQ77" s="1155">
        <f t="shared" ref="EQ77:EQ88" si="272">AL77*DG77*EQ$107</f>
        <v>0</v>
      </c>
      <c r="ER77" s="1155">
        <f t="shared" ref="ER77:ER88" si="273">AM77*DH77*ER$107</f>
        <v>0</v>
      </c>
      <c r="ES77" s="1155">
        <f t="shared" ref="ES77:ES88" si="274">AN77*DI77*ES$107</f>
        <v>0</v>
      </c>
      <c r="ET77" s="1155">
        <f t="shared" ref="ET77:ET88" si="275">AO77*DJ77*ET$107</f>
        <v>0</v>
      </c>
      <c r="EU77" s="1155">
        <f t="shared" ref="EU77:EU88" si="276">AP77*DK77*EU$107</f>
        <v>0</v>
      </c>
      <c r="EV77" s="1155">
        <f t="shared" ref="EV77:EV88" si="277">AQ77*DL77*EV$107</f>
        <v>0</v>
      </c>
      <c r="EW77" s="1155">
        <f t="shared" ref="EW77:EW88" si="278">AR77*DM77*EW$107</f>
        <v>0</v>
      </c>
      <c r="EX77" s="1155">
        <f t="shared" ref="EX77:EX88" si="279">AS77*DN77*EX$107</f>
        <v>0</v>
      </c>
      <c r="EY77" s="1175">
        <f t="shared" ref="EY77:EY98" si="280">SUM(DP77:EX77)</f>
        <v>39186728.548528448</v>
      </c>
      <c r="EZ77" s="1256"/>
      <c r="FA77" s="1155">
        <f t="shared" ref="FA77:FA88" si="281">AU77*CF77*FA$107</f>
        <v>25262901.404293191</v>
      </c>
      <c r="FB77" s="1155">
        <f t="shared" ref="FB77:FB88" si="282">AV77*CG77*FB$107</f>
        <v>0</v>
      </c>
      <c r="FC77" s="1155">
        <f t="shared" ref="FC77:FC88" si="283">AW77*CH77*FC$107</f>
        <v>0</v>
      </c>
      <c r="FD77" s="1155">
        <f t="shared" ref="FD77:FD88" si="284">AX77*CI77*FD$107</f>
        <v>0</v>
      </c>
      <c r="FE77" s="1155">
        <f t="shared" ref="FE77:FE88" si="285">AY77*CJ77*FE$107</f>
        <v>0</v>
      </c>
      <c r="FF77" s="1155">
        <f t="shared" ref="FF77:FF88" si="286">AZ77*CK77*FF$107</f>
        <v>0</v>
      </c>
      <c r="FG77" s="1155">
        <f t="shared" ref="FG77:FG88" si="287">BA77*CL77*FG$107</f>
        <v>0</v>
      </c>
      <c r="FH77" s="1155">
        <f t="shared" ref="FH77:FH88" si="288">BB77*CM77*FH$107</f>
        <v>0</v>
      </c>
      <c r="FI77" s="1155">
        <f t="shared" ref="FI77:FI88" si="289">BC77*CN77*FI$107</f>
        <v>0</v>
      </c>
      <c r="FJ77" s="1155">
        <f t="shared" ref="FJ77:FJ88" si="290">BD77*CO77*FJ$107</f>
        <v>0</v>
      </c>
      <c r="FK77" s="1155">
        <f t="shared" ref="FK77:FK88" si="291">BE77*CP77*FK$107</f>
        <v>0</v>
      </c>
      <c r="FL77" s="1155">
        <f t="shared" ref="FL77:FL88" si="292">BF77*CQ77*FL$107</f>
        <v>0</v>
      </c>
      <c r="FM77" s="1155">
        <f t="shared" ref="FM77:FM88" si="293">BG77*CR77*FM$107</f>
        <v>0</v>
      </c>
      <c r="FN77" s="1155">
        <f t="shared" ref="FN77:FN88" si="294">BH77*CS77*FN$107</f>
        <v>0</v>
      </c>
      <c r="FO77" s="1155">
        <f t="shared" ref="FO77:FO88" si="295">BI77*CT77*FO$107</f>
        <v>0</v>
      </c>
      <c r="FP77" s="1155">
        <f t="shared" ref="FP77:FP88" si="296">BJ77*CU77*FP$107</f>
        <v>0</v>
      </c>
      <c r="FQ77" s="1155">
        <f t="shared" ref="FQ77:FQ88" si="297">BK77*CV77*FQ$107</f>
        <v>0</v>
      </c>
      <c r="FR77" s="1155">
        <f t="shared" ref="FR77:FR88" si="298">BL77*CW77*FR$107</f>
        <v>0</v>
      </c>
      <c r="FS77" s="1155">
        <f t="shared" ref="FS77:FS88" si="299">BM77*CX77*FS$107</f>
        <v>0</v>
      </c>
      <c r="FT77" s="1155">
        <f t="shared" ref="FT77:FT88" si="300">BN77*CY77*FT$107</f>
        <v>0</v>
      </c>
      <c r="FU77" s="1155">
        <f t="shared" ref="FU77:FU88" si="301">BO77*CZ77*FU$107</f>
        <v>0</v>
      </c>
      <c r="FV77" s="1155">
        <f t="shared" ref="FV77:FV88" si="302">BP77*DA77*FV$107</f>
        <v>0</v>
      </c>
      <c r="FW77" s="1155">
        <f t="shared" ref="FW77:FW88" si="303">BQ77*DB77*FW$107</f>
        <v>0</v>
      </c>
      <c r="FX77" s="1155">
        <f t="shared" ref="FX77:FX88" si="304">BR77*DC77*FX$107</f>
        <v>17632289.928387389</v>
      </c>
      <c r="FY77" s="1155">
        <f t="shared" ref="FY77:FY88" si="305">BS77*DD77*FY$107</f>
        <v>0</v>
      </c>
      <c r="FZ77" s="1155">
        <f t="shared" ref="FZ77:FZ88" si="306">BT77*DE77*FZ$107</f>
        <v>0</v>
      </c>
      <c r="GA77" s="1155">
        <f t="shared" ref="GA77:GA88" si="307">BU77*DF77*GA$107</f>
        <v>0</v>
      </c>
      <c r="GB77" s="1155">
        <f t="shared" ref="GB77:GB88" si="308">BV77*DG77*GB$107</f>
        <v>0</v>
      </c>
      <c r="GC77" s="1155">
        <f t="shared" ref="GC77:GC88" si="309">BW77*DH77*GC$107</f>
        <v>0</v>
      </c>
      <c r="GD77" s="1155">
        <f t="shared" ref="GD77:GD88" si="310">BX77*DI77*GD$107</f>
        <v>0</v>
      </c>
      <c r="GE77" s="1155">
        <f t="shared" ref="GE77:GE88" si="311">BY77*DJ77*GE$107</f>
        <v>0</v>
      </c>
      <c r="GF77" s="1155">
        <f t="shared" ref="GF77:GF88" si="312">BZ77*DK77*GF$107</f>
        <v>0</v>
      </c>
      <c r="GG77" s="1155">
        <f t="shared" ref="GG77:GG88" si="313">CA77*DL77*GG$107</f>
        <v>0</v>
      </c>
      <c r="GH77" s="1155">
        <f t="shared" ref="GH77:GH88" si="314">CB77*DM77*GH$107</f>
        <v>0</v>
      </c>
      <c r="GI77" s="1155">
        <f t="shared" ref="GI77:GI88" si="315">CC77*DN77*GI$107</f>
        <v>0</v>
      </c>
      <c r="GJ77" s="1175">
        <f t="shared" ref="GJ77:GJ88" si="316">SUM(FA77:GI77)</f>
        <v>42895191.332680583</v>
      </c>
    </row>
    <row r="78" spans="1:192" s="1101" customFormat="1">
      <c r="B78" s="1259" t="str">
        <f>IF(Prop2021DUOSTariffs!B78="","",Prop2021DUOSTariffs!B78)</f>
        <v/>
      </c>
      <c r="C78" s="1259" t="str">
        <f>IF(Prop2021DUOSTariffs!C78="","",Prop2021DUOSTariffs!C78)</f>
        <v>West SAC&lt;100MWhpa Residential IBT</v>
      </c>
      <c r="D78" s="1259" t="str">
        <f>IF(Prop2021DUOSTariffs!D78="","",Prop2021DUOSTariffs!D78)</f>
        <v>West SAC&lt;100MWhpa Residential IBT</v>
      </c>
      <c r="E78" s="1259" t="str">
        <f>IF(Prop2021DUOSTariffs!E78="","",Prop2021DUOSTariffs!E78)</f>
        <v>SAC</v>
      </c>
      <c r="F78" s="1259" t="str">
        <f>IF(Prop2021DUOSTariffs!F78="","",Prop2021DUOSTariffs!F78)</f>
        <v>SACS Res</v>
      </c>
      <c r="G78" s="1259" t="str">
        <f>IF(Prop2021DUOSTariffs!G78="","",Prop2021DUOSTariffs!G78)</f>
        <v>West</v>
      </c>
      <c r="H78" s="1259" t="str">
        <f>IF(Prop2021DUOSTariffs!H78="","",Prop2021DUOSTariffs!H78)</f>
        <v>WRIB</v>
      </c>
      <c r="I78" s="1259" t="s">
        <v>935</v>
      </c>
      <c r="J78" s="1256"/>
      <c r="K78" s="1233">
        <v>0.1335341443782054</v>
      </c>
      <c r="L78" s="1135"/>
      <c r="M78" s="1135"/>
      <c r="N78" s="1135"/>
      <c r="O78" s="1135"/>
      <c r="P78" s="1135"/>
      <c r="Q78" s="1135"/>
      <c r="R78" s="1135"/>
      <c r="S78" s="1135"/>
      <c r="T78" s="1135"/>
      <c r="U78" s="1135"/>
      <c r="V78" s="1135"/>
      <c r="W78" s="1135"/>
      <c r="X78" s="1135"/>
      <c r="Y78" s="1135"/>
      <c r="Z78" s="1135"/>
      <c r="AA78" s="1135"/>
      <c r="AB78" s="1135"/>
      <c r="AC78" s="1135"/>
      <c r="AD78" s="1135"/>
      <c r="AE78" s="1135"/>
      <c r="AF78" s="1005"/>
      <c r="AG78" s="1005"/>
      <c r="AH78" s="1224">
        <v>7.4122808686789441E-3</v>
      </c>
      <c r="AI78" s="1241"/>
      <c r="AJ78" s="1241"/>
      <c r="AK78" s="1241"/>
      <c r="AL78" s="1241"/>
      <c r="AM78" s="1241"/>
      <c r="AN78" s="1241"/>
      <c r="AO78" s="1241"/>
      <c r="AP78" s="1241"/>
      <c r="AQ78" s="1241"/>
      <c r="AR78" s="1241"/>
      <c r="AS78" s="1241"/>
      <c r="AT78" s="1256"/>
      <c r="AU78" s="1484">
        <v>0.14489953366876271</v>
      </c>
      <c r="AV78" s="1241"/>
      <c r="AW78" s="1241"/>
      <c r="AX78" s="1241"/>
      <c r="AY78" s="1241"/>
      <c r="AZ78" s="1241"/>
      <c r="BA78" s="1241"/>
      <c r="BB78" s="1241"/>
      <c r="BC78" s="1241"/>
      <c r="BD78" s="1241"/>
      <c r="BE78" s="1241"/>
      <c r="BF78" s="1241"/>
      <c r="BG78" s="1241"/>
      <c r="BH78" s="1241"/>
      <c r="BI78" s="1241"/>
      <c r="BJ78" s="1241"/>
      <c r="BK78" s="1241"/>
      <c r="BL78" s="1241"/>
      <c r="BM78" s="1241"/>
      <c r="BN78" s="1241"/>
      <c r="BO78" s="1241"/>
      <c r="BP78" s="1241"/>
      <c r="BQ78" s="1241"/>
      <c r="BR78" s="1484">
        <v>8.2170735145811833E-3</v>
      </c>
      <c r="BS78" s="1241"/>
      <c r="BT78" s="1241"/>
      <c r="BU78" s="1241"/>
      <c r="BV78" s="1241"/>
      <c r="BW78" s="1241"/>
      <c r="BX78" s="1241"/>
      <c r="BY78" s="1241"/>
      <c r="BZ78" s="1241"/>
      <c r="CA78" s="1241"/>
      <c r="CB78" s="1241"/>
      <c r="CC78" s="1241"/>
      <c r="CD78" s="1256"/>
      <c r="CE78" s="1256"/>
      <c r="CF78" s="1265">
        <v>41398.94999999999</v>
      </c>
      <c r="CG78" s="1030"/>
      <c r="CH78" s="1030"/>
      <c r="CI78" s="1030"/>
      <c r="CJ78" s="1030"/>
      <c r="CK78" s="1030"/>
      <c r="CL78" s="1135"/>
      <c r="CM78" s="1135"/>
      <c r="CN78" s="1135"/>
      <c r="CO78" s="1135"/>
      <c r="CP78" s="1135"/>
      <c r="CQ78" s="1135"/>
      <c r="CR78" s="1135"/>
      <c r="CS78" s="1135"/>
      <c r="CT78" s="1135"/>
      <c r="CU78" s="1135"/>
      <c r="CV78" s="1135"/>
      <c r="CW78" s="1135"/>
      <c r="CX78" s="1135"/>
      <c r="CY78" s="1135"/>
      <c r="CZ78" s="1135"/>
      <c r="DA78" s="1008"/>
      <c r="DB78" s="1008"/>
      <c r="DC78" s="1265">
        <v>236819898.61999997</v>
      </c>
      <c r="DD78" s="1008"/>
      <c r="DE78" s="1008"/>
      <c r="DF78" s="1008"/>
      <c r="DG78" s="1008"/>
      <c r="DH78" s="1008"/>
      <c r="DI78" s="1008"/>
      <c r="DJ78" s="1008"/>
      <c r="DK78" s="1008"/>
      <c r="DL78" s="1008"/>
      <c r="DM78" s="1008"/>
      <c r="DN78" s="1008"/>
      <c r="DO78" s="1256"/>
      <c r="DP78" s="1155">
        <f t="shared" si="245"/>
        <v>2017783.2787382286</v>
      </c>
      <c r="DQ78" s="1155">
        <f t="shared" si="246"/>
        <v>0</v>
      </c>
      <c r="DR78" s="1155">
        <f t="shared" si="247"/>
        <v>0</v>
      </c>
      <c r="DS78" s="1155">
        <f t="shared" si="248"/>
        <v>0</v>
      </c>
      <c r="DT78" s="1155">
        <f t="shared" si="249"/>
        <v>0</v>
      </c>
      <c r="DU78" s="1155">
        <f t="shared" si="250"/>
        <v>0</v>
      </c>
      <c r="DV78" s="1155">
        <f t="shared" si="251"/>
        <v>0</v>
      </c>
      <c r="DW78" s="1155">
        <f t="shared" si="252"/>
        <v>0</v>
      </c>
      <c r="DX78" s="1155">
        <f t="shared" si="253"/>
        <v>0</v>
      </c>
      <c r="DY78" s="1155">
        <f t="shared" si="254"/>
        <v>0</v>
      </c>
      <c r="DZ78" s="1155">
        <f t="shared" si="255"/>
        <v>0</v>
      </c>
      <c r="EA78" s="1155">
        <f t="shared" si="256"/>
        <v>0</v>
      </c>
      <c r="EB78" s="1155">
        <f t="shared" si="257"/>
        <v>0</v>
      </c>
      <c r="EC78" s="1155">
        <f t="shared" si="258"/>
        <v>0</v>
      </c>
      <c r="ED78" s="1155">
        <f t="shared" si="259"/>
        <v>0</v>
      </c>
      <c r="EE78" s="1155">
        <f t="shared" si="260"/>
        <v>0</v>
      </c>
      <c r="EF78" s="1155">
        <f t="shared" si="261"/>
        <v>0</v>
      </c>
      <c r="EG78" s="1155">
        <f t="shared" si="262"/>
        <v>0</v>
      </c>
      <c r="EH78" s="1155">
        <f t="shared" si="263"/>
        <v>0</v>
      </c>
      <c r="EI78" s="1155">
        <f t="shared" si="264"/>
        <v>0</v>
      </c>
      <c r="EJ78" s="1155">
        <f t="shared" si="265"/>
        <v>0</v>
      </c>
      <c r="EK78" s="1155">
        <f t="shared" si="266"/>
        <v>0</v>
      </c>
      <c r="EL78" s="1155">
        <f t="shared" si="267"/>
        <v>0</v>
      </c>
      <c r="EM78" s="1155">
        <f t="shared" si="268"/>
        <v>1755375.6038635129</v>
      </c>
      <c r="EN78" s="1155">
        <f t="shared" si="269"/>
        <v>0</v>
      </c>
      <c r="EO78" s="1155">
        <f t="shared" si="270"/>
        <v>0</v>
      </c>
      <c r="EP78" s="1155">
        <f t="shared" si="271"/>
        <v>0</v>
      </c>
      <c r="EQ78" s="1155">
        <f t="shared" si="272"/>
        <v>0</v>
      </c>
      <c r="ER78" s="1155">
        <f t="shared" si="273"/>
        <v>0</v>
      </c>
      <c r="ES78" s="1155">
        <f t="shared" si="274"/>
        <v>0</v>
      </c>
      <c r="ET78" s="1155">
        <f t="shared" si="275"/>
        <v>0</v>
      </c>
      <c r="EU78" s="1155">
        <f t="shared" si="276"/>
        <v>0</v>
      </c>
      <c r="EV78" s="1155">
        <f t="shared" si="277"/>
        <v>0</v>
      </c>
      <c r="EW78" s="1155">
        <f t="shared" si="278"/>
        <v>0</v>
      </c>
      <c r="EX78" s="1155">
        <f t="shared" si="279"/>
        <v>0</v>
      </c>
      <c r="EY78" s="1175">
        <f t="shared" si="280"/>
        <v>3773158.8826017417</v>
      </c>
      <c r="EZ78" s="1256"/>
      <c r="FA78" s="1155">
        <f t="shared" si="281"/>
        <v>2189521.320522394</v>
      </c>
      <c r="FB78" s="1155">
        <f t="shared" si="282"/>
        <v>0</v>
      </c>
      <c r="FC78" s="1155">
        <f t="shared" si="283"/>
        <v>0</v>
      </c>
      <c r="FD78" s="1155">
        <f t="shared" si="284"/>
        <v>0</v>
      </c>
      <c r="FE78" s="1155">
        <f t="shared" si="285"/>
        <v>0</v>
      </c>
      <c r="FF78" s="1155">
        <f t="shared" si="286"/>
        <v>0</v>
      </c>
      <c r="FG78" s="1155">
        <f t="shared" si="287"/>
        <v>0</v>
      </c>
      <c r="FH78" s="1155">
        <f t="shared" si="288"/>
        <v>0</v>
      </c>
      <c r="FI78" s="1155">
        <f t="shared" si="289"/>
        <v>0</v>
      </c>
      <c r="FJ78" s="1155">
        <f t="shared" si="290"/>
        <v>0</v>
      </c>
      <c r="FK78" s="1155">
        <f t="shared" si="291"/>
        <v>0</v>
      </c>
      <c r="FL78" s="1155">
        <f t="shared" si="292"/>
        <v>0</v>
      </c>
      <c r="FM78" s="1155">
        <f t="shared" si="293"/>
        <v>0</v>
      </c>
      <c r="FN78" s="1155">
        <f t="shared" si="294"/>
        <v>0</v>
      </c>
      <c r="FO78" s="1155">
        <f t="shared" si="295"/>
        <v>0</v>
      </c>
      <c r="FP78" s="1155">
        <f t="shared" si="296"/>
        <v>0</v>
      </c>
      <c r="FQ78" s="1155">
        <f t="shared" si="297"/>
        <v>0</v>
      </c>
      <c r="FR78" s="1155">
        <f t="shared" si="298"/>
        <v>0</v>
      </c>
      <c r="FS78" s="1155">
        <f t="shared" si="299"/>
        <v>0</v>
      </c>
      <c r="FT78" s="1155">
        <f t="shared" si="300"/>
        <v>0</v>
      </c>
      <c r="FU78" s="1155">
        <f t="shared" si="301"/>
        <v>0</v>
      </c>
      <c r="FV78" s="1155">
        <f t="shared" si="302"/>
        <v>0</v>
      </c>
      <c r="FW78" s="1155">
        <f t="shared" si="303"/>
        <v>0</v>
      </c>
      <c r="FX78" s="1155">
        <f t="shared" si="304"/>
        <v>1945966.5166762026</v>
      </c>
      <c r="FY78" s="1155">
        <f t="shared" si="305"/>
        <v>0</v>
      </c>
      <c r="FZ78" s="1155">
        <f t="shared" si="306"/>
        <v>0</v>
      </c>
      <c r="GA78" s="1155">
        <f t="shared" si="307"/>
        <v>0</v>
      </c>
      <c r="GB78" s="1155">
        <f t="shared" si="308"/>
        <v>0</v>
      </c>
      <c r="GC78" s="1155">
        <f t="shared" si="309"/>
        <v>0</v>
      </c>
      <c r="GD78" s="1155">
        <f t="shared" si="310"/>
        <v>0</v>
      </c>
      <c r="GE78" s="1155">
        <f t="shared" si="311"/>
        <v>0</v>
      </c>
      <c r="GF78" s="1155">
        <f t="shared" si="312"/>
        <v>0</v>
      </c>
      <c r="GG78" s="1155">
        <f t="shared" si="313"/>
        <v>0</v>
      </c>
      <c r="GH78" s="1155">
        <f t="shared" si="314"/>
        <v>0</v>
      </c>
      <c r="GI78" s="1155">
        <f t="shared" si="315"/>
        <v>0</v>
      </c>
      <c r="GJ78" s="1175">
        <f t="shared" si="316"/>
        <v>4135487.8371985964</v>
      </c>
    </row>
    <row r="79" spans="1:192" s="1101" customFormat="1">
      <c r="B79" s="1259" t="str">
        <f>IF(Prop2021DUOSTariffs!B79="","",Prop2021DUOSTariffs!B79)</f>
        <v/>
      </c>
      <c r="C79" s="1259" t="str">
        <f>IF(Prop2021DUOSTariffs!C79="","",Prop2021DUOSTariffs!C79)</f>
        <v>MtIsa SAC&lt;100MWhpa Residential IBT</v>
      </c>
      <c r="D79" s="1259" t="str">
        <f>IF(Prop2021DUOSTariffs!D79="","",Prop2021DUOSTariffs!D79)</f>
        <v>MtIsa SAC&lt;100MWhpa Residential IBT</v>
      </c>
      <c r="E79" s="1259" t="str">
        <f>IF(Prop2021DUOSTariffs!E79="","",Prop2021DUOSTariffs!E79)</f>
        <v>SAC</v>
      </c>
      <c r="F79" s="1259" t="str">
        <f>IF(Prop2021DUOSTariffs!F79="","",Prop2021DUOSTariffs!F79)</f>
        <v>SACS Res</v>
      </c>
      <c r="G79" s="1259" t="str">
        <f>IF(Prop2021DUOSTariffs!G79="","",Prop2021DUOSTariffs!G79)</f>
        <v>Mt Isa</v>
      </c>
      <c r="H79" s="1259" t="str">
        <f>IF(Prop2021DUOSTariffs!H79="","",Prop2021DUOSTariffs!H79)</f>
        <v>MRIB</v>
      </c>
      <c r="I79" s="1259" t="s">
        <v>935</v>
      </c>
      <c r="J79" s="1256"/>
      <c r="K79" s="1233">
        <v>0.1335341443782054</v>
      </c>
      <c r="L79" s="1135"/>
      <c r="M79" s="1135"/>
      <c r="N79" s="1135"/>
      <c r="O79" s="1135"/>
      <c r="P79" s="1135"/>
      <c r="Q79" s="1135"/>
      <c r="R79" s="1135"/>
      <c r="S79" s="1135"/>
      <c r="T79" s="1135"/>
      <c r="U79" s="1135"/>
      <c r="V79" s="1135"/>
      <c r="W79" s="1135"/>
      <c r="X79" s="1135"/>
      <c r="Y79" s="1135"/>
      <c r="Z79" s="1135"/>
      <c r="AA79" s="1135"/>
      <c r="AB79" s="1135"/>
      <c r="AC79" s="1135"/>
      <c r="AD79" s="1135"/>
      <c r="AE79" s="1135"/>
      <c r="AF79" s="1005"/>
      <c r="AG79" s="1005"/>
      <c r="AH79" s="1224">
        <v>7.4122808686789441E-3</v>
      </c>
      <c r="AI79" s="1241"/>
      <c r="AJ79" s="1241"/>
      <c r="AK79" s="1241"/>
      <c r="AL79" s="1241"/>
      <c r="AM79" s="1241"/>
      <c r="AN79" s="1241"/>
      <c r="AO79" s="1241"/>
      <c r="AP79" s="1241"/>
      <c r="AQ79" s="1241"/>
      <c r="AR79" s="1241"/>
      <c r="AS79" s="1241"/>
      <c r="AT79" s="1256"/>
      <c r="AU79" s="1484">
        <v>0.14489953366876271</v>
      </c>
      <c r="AV79" s="1241"/>
      <c r="AW79" s="1241"/>
      <c r="AX79" s="1241"/>
      <c r="AY79" s="1241"/>
      <c r="AZ79" s="1241"/>
      <c r="BA79" s="1241"/>
      <c r="BB79" s="1241"/>
      <c r="BC79" s="1241"/>
      <c r="BD79" s="1241"/>
      <c r="BE79" s="1241"/>
      <c r="BF79" s="1241"/>
      <c r="BG79" s="1241"/>
      <c r="BH79" s="1241"/>
      <c r="BI79" s="1241"/>
      <c r="BJ79" s="1241"/>
      <c r="BK79" s="1241"/>
      <c r="BL79" s="1241"/>
      <c r="BM79" s="1241"/>
      <c r="BN79" s="1241"/>
      <c r="BO79" s="1241"/>
      <c r="BP79" s="1241"/>
      <c r="BQ79" s="1241"/>
      <c r="BR79" s="1484">
        <v>8.2170735145811833E-3</v>
      </c>
      <c r="BS79" s="1241"/>
      <c r="BT79" s="1241"/>
      <c r="BU79" s="1241"/>
      <c r="BV79" s="1241"/>
      <c r="BW79" s="1241"/>
      <c r="BX79" s="1241"/>
      <c r="BY79" s="1241"/>
      <c r="BZ79" s="1241"/>
      <c r="CA79" s="1241"/>
      <c r="CB79" s="1241"/>
      <c r="CC79" s="1241"/>
      <c r="CD79" s="1256"/>
      <c r="CE79" s="1256"/>
      <c r="CF79" s="1265">
        <v>8874.9</v>
      </c>
      <c r="CG79" s="1030"/>
      <c r="CH79" s="1030"/>
      <c r="CI79" s="1030"/>
      <c r="CJ79" s="1030"/>
      <c r="CK79" s="1030"/>
      <c r="CL79" s="1135"/>
      <c r="CM79" s="1135"/>
      <c r="CN79" s="1135"/>
      <c r="CO79" s="1135"/>
      <c r="CP79" s="1135"/>
      <c r="CQ79" s="1135"/>
      <c r="CR79" s="1135"/>
      <c r="CS79" s="1135"/>
      <c r="CT79" s="1135"/>
      <c r="CU79" s="1135"/>
      <c r="CV79" s="1135"/>
      <c r="CW79" s="1135"/>
      <c r="CX79" s="1135"/>
      <c r="CY79" s="1135"/>
      <c r="CZ79" s="1135"/>
      <c r="DA79" s="1008"/>
      <c r="DB79" s="1008"/>
      <c r="DC79" s="1265">
        <v>62510826.890000001</v>
      </c>
      <c r="DD79" s="1008"/>
      <c r="DE79" s="1008"/>
      <c r="DF79" s="1008"/>
      <c r="DG79" s="1008"/>
      <c r="DH79" s="1008"/>
      <c r="DI79" s="1008"/>
      <c r="DJ79" s="1008"/>
      <c r="DK79" s="1008"/>
      <c r="DL79" s="1008"/>
      <c r="DM79" s="1008"/>
      <c r="DN79" s="1008"/>
      <c r="DO79" s="1256"/>
      <c r="DP79" s="1155">
        <f t="shared" si="245"/>
        <v>432562.29494887928</v>
      </c>
      <c r="DQ79" s="1155">
        <f t="shared" si="246"/>
        <v>0</v>
      </c>
      <c r="DR79" s="1155">
        <f t="shared" si="247"/>
        <v>0</v>
      </c>
      <c r="DS79" s="1155">
        <f t="shared" si="248"/>
        <v>0</v>
      </c>
      <c r="DT79" s="1155">
        <f t="shared" si="249"/>
        <v>0</v>
      </c>
      <c r="DU79" s="1155">
        <f t="shared" si="250"/>
        <v>0</v>
      </c>
      <c r="DV79" s="1155">
        <f t="shared" si="251"/>
        <v>0</v>
      </c>
      <c r="DW79" s="1155">
        <f t="shared" si="252"/>
        <v>0</v>
      </c>
      <c r="DX79" s="1155">
        <f t="shared" si="253"/>
        <v>0</v>
      </c>
      <c r="DY79" s="1155">
        <f t="shared" si="254"/>
        <v>0</v>
      </c>
      <c r="DZ79" s="1155">
        <f t="shared" si="255"/>
        <v>0</v>
      </c>
      <c r="EA79" s="1155">
        <f t="shared" si="256"/>
        <v>0</v>
      </c>
      <c r="EB79" s="1155">
        <f t="shared" si="257"/>
        <v>0</v>
      </c>
      <c r="EC79" s="1155">
        <f t="shared" si="258"/>
        <v>0</v>
      </c>
      <c r="ED79" s="1155">
        <f t="shared" si="259"/>
        <v>0</v>
      </c>
      <c r="EE79" s="1155">
        <f t="shared" si="260"/>
        <v>0</v>
      </c>
      <c r="EF79" s="1155">
        <f t="shared" si="261"/>
        <v>0</v>
      </c>
      <c r="EG79" s="1155">
        <f t="shared" si="262"/>
        <v>0</v>
      </c>
      <c r="EH79" s="1155">
        <f t="shared" si="263"/>
        <v>0</v>
      </c>
      <c r="EI79" s="1155">
        <f t="shared" si="264"/>
        <v>0</v>
      </c>
      <c r="EJ79" s="1155">
        <f t="shared" si="265"/>
        <v>0</v>
      </c>
      <c r="EK79" s="1155">
        <f t="shared" si="266"/>
        <v>0</v>
      </c>
      <c r="EL79" s="1155">
        <f t="shared" si="267"/>
        <v>0</v>
      </c>
      <c r="EM79" s="1155">
        <f t="shared" si="268"/>
        <v>463347.80624204833</v>
      </c>
      <c r="EN79" s="1155">
        <f t="shared" si="269"/>
        <v>0</v>
      </c>
      <c r="EO79" s="1155">
        <f t="shared" si="270"/>
        <v>0</v>
      </c>
      <c r="EP79" s="1155">
        <f t="shared" si="271"/>
        <v>0</v>
      </c>
      <c r="EQ79" s="1155">
        <f t="shared" si="272"/>
        <v>0</v>
      </c>
      <c r="ER79" s="1155">
        <f t="shared" si="273"/>
        <v>0</v>
      </c>
      <c r="ES79" s="1155">
        <f t="shared" si="274"/>
        <v>0</v>
      </c>
      <c r="ET79" s="1155">
        <f t="shared" si="275"/>
        <v>0</v>
      </c>
      <c r="EU79" s="1155">
        <f t="shared" si="276"/>
        <v>0</v>
      </c>
      <c r="EV79" s="1155">
        <f t="shared" si="277"/>
        <v>0</v>
      </c>
      <c r="EW79" s="1155">
        <f t="shared" si="278"/>
        <v>0</v>
      </c>
      <c r="EX79" s="1155">
        <f t="shared" si="279"/>
        <v>0</v>
      </c>
      <c r="EY79" s="1175">
        <f t="shared" si="280"/>
        <v>895910.10119092767</v>
      </c>
      <c r="EZ79" s="1256"/>
      <c r="FA79" s="1155">
        <f t="shared" si="281"/>
        <v>469378.6380452693</v>
      </c>
      <c r="FB79" s="1155">
        <f t="shared" si="282"/>
        <v>0</v>
      </c>
      <c r="FC79" s="1155">
        <f t="shared" si="283"/>
        <v>0</v>
      </c>
      <c r="FD79" s="1155">
        <f t="shared" si="284"/>
        <v>0</v>
      </c>
      <c r="FE79" s="1155">
        <f t="shared" si="285"/>
        <v>0</v>
      </c>
      <c r="FF79" s="1155">
        <f t="shared" si="286"/>
        <v>0</v>
      </c>
      <c r="FG79" s="1155">
        <f t="shared" si="287"/>
        <v>0</v>
      </c>
      <c r="FH79" s="1155">
        <f t="shared" si="288"/>
        <v>0</v>
      </c>
      <c r="FI79" s="1155">
        <f t="shared" si="289"/>
        <v>0</v>
      </c>
      <c r="FJ79" s="1155">
        <f t="shared" si="290"/>
        <v>0</v>
      </c>
      <c r="FK79" s="1155">
        <f t="shared" si="291"/>
        <v>0</v>
      </c>
      <c r="FL79" s="1155">
        <f t="shared" si="292"/>
        <v>0</v>
      </c>
      <c r="FM79" s="1155">
        <f t="shared" si="293"/>
        <v>0</v>
      </c>
      <c r="FN79" s="1155">
        <f t="shared" si="294"/>
        <v>0</v>
      </c>
      <c r="FO79" s="1155">
        <f t="shared" si="295"/>
        <v>0</v>
      </c>
      <c r="FP79" s="1155">
        <f t="shared" si="296"/>
        <v>0</v>
      </c>
      <c r="FQ79" s="1155">
        <f t="shared" si="297"/>
        <v>0</v>
      </c>
      <c r="FR79" s="1155">
        <f t="shared" si="298"/>
        <v>0</v>
      </c>
      <c r="FS79" s="1155">
        <f t="shared" si="299"/>
        <v>0</v>
      </c>
      <c r="FT79" s="1155">
        <f t="shared" si="300"/>
        <v>0</v>
      </c>
      <c r="FU79" s="1155">
        <f t="shared" si="301"/>
        <v>0</v>
      </c>
      <c r="FV79" s="1155">
        <f t="shared" si="302"/>
        <v>0</v>
      </c>
      <c r="FW79" s="1155">
        <f t="shared" si="303"/>
        <v>0</v>
      </c>
      <c r="FX79" s="1155">
        <f t="shared" si="304"/>
        <v>513656.06001238822</v>
      </c>
      <c r="FY79" s="1155">
        <f t="shared" si="305"/>
        <v>0</v>
      </c>
      <c r="FZ79" s="1155">
        <f t="shared" si="306"/>
        <v>0</v>
      </c>
      <c r="GA79" s="1155">
        <f t="shared" si="307"/>
        <v>0</v>
      </c>
      <c r="GB79" s="1155">
        <f t="shared" si="308"/>
        <v>0</v>
      </c>
      <c r="GC79" s="1155">
        <f t="shared" si="309"/>
        <v>0</v>
      </c>
      <c r="GD79" s="1155">
        <f t="shared" si="310"/>
        <v>0</v>
      </c>
      <c r="GE79" s="1155">
        <f t="shared" si="311"/>
        <v>0</v>
      </c>
      <c r="GF79" s="1155">
        <f t="shared" si="312"/>
        <v>0</v>
      </c>
      <c r="GG79" s="1155">
        <f t="shared" si="313"/>
        <v>0</v>
      </c>
      <c r="GH79" s="1155">
        <f t="shared" si="314"/>
        <v>0</v>
      </c>
      <c r="GI79" s="1155">
        <f t="shared" si="315"/>
        <v>0</v>
      </c>
      <c r="GJ79" s="1175">
        <f t="shared" si="316"/>
        <v>983034.69805765757</v>
      </c>
    </row>
    <row r="80" spans="1:192" s="1101" customFormat="1">
      <c r="B80" s="1259" t="str">
        <f>IF(Prop2021DUOSTariffs!B80="","",Prop2021DUOSTariffs!B80)</f>
        <v/>
      </c>
      <c r="C80" s="1259" t="str">
        <f>IF(Prop2021DUOSTariffs!C80="","",Prop2021DUOSTariffs!C80)</f>
        <v>East SAC&lt;100MWhpa Residential TOU Energy</v>
      </c>
      <c r="D80" s="1259" t="str">
        <f>IF(Prop2021DUOSTariffs!D80="","",Prop2021DUOSTariffs!D80)</f>
        <v>East SAC&lt;100MWhpa Residential TOU Energy</v>
      </c>
      <c r="E80" s="1259" t="str">
        <f>IF(Prop2021DUOSTariffs!E80="","",Prop2021DUOSTariffs!E80)</f>
        <v>SAC</v>
      </c>
      <c r="F80" s="1259" t="str">
        <f>IF(Prop2021DUOSTariffs!F80="","",Prop2021DUOSTariffs!F80)</f>
        <v>SACS Res</v>
      </c>
      <c r="G80" s="1259" t="str">
        <f>IF(Prop2021DUOSTariffs!G80="","",Prop2021DUOSTariffs!G80)</f>
        <v>East</v>
      </c>
      <c r="H80" s="1259" t="str">
        <f>IF(Prop2021DUOSTariffs!H80="","",Prop2021DUOSTariffs!H80)</f>
        <v>ERTOUE</v>
      </c>
      <c r="I80" s="1259" t="s">
        <v>935</v>
      </c>
      <c r="J80" s="1256"/>
      <c r="K80" s="1233">
        <v>0.1335341443782054</v>
      </c>
      <c r="L80" s="1135"/>
      <c r="M80" s="1135"/>
      <c r="N80" s="1135"/>
      <c r="O80" s="1135"/>
      <c r="P80" s="1135"/>
      <c r="Q80" s="1135"/>
      <c r="R80" s="1135"/>
      <c r="S80" s="1135"/>
      <c r="T80" s="1135"/>
      <c r="U80" s="1135"/>
      <c r="V80" s="1135"/>
      <c r="W80" s="1135"/>
      <c r="X80" s="1135"/>
      <c r="Y80" s="1135"/>
      <c r="Z80" s="1135"/>
      <c r="AA80" s="1135"/>
      <c r="AB80" s="1135"/>
      <c r="AC80" s="1135"/>
      <c r="AD80" s="1135"/>
      <c r="AE80" s="1135"/>
      <c r="AF80" s="1005"/>
      <c r="AG80" s="1005"/>
      <c r="AH80" s="1224">
        <v>7.4122808686789441E-3</v>
      </c>
      <c r="AI80" s="1241"/>
      <c r="AJ80" s="1241"/>
      <c r="AK80" s="1241"/>
      <c r="AL80" s="1241"/>
      <c r="AM80" s="1241"/>
      <c r="AN80" s="1241"/>
      <c r="AO80" s="1241"/>
      <c r="AP80" s="1241"/>
      <c r="AQ80" s="1241"/>
      <c r="AR80" s="1241"/>
      <c r="AS80" s="1241"/>
      <c r="AT80" s="1256"/>
      <c r="AU80" s="1484">
        <v>0.14489953366876271</v>
      </c>
      <c r="AV80" s="1241"/>
      <c r="AW80" s="1241"/>
      <c r="AX80" s="1241"/>
      <c r="AY80" s="1241"/>
      <c r="AZ80" s="1241"/>
      <c r="BA80" s="1241"/>
      <c r="BB80" s="1241"/>
      <c r="BC80" s="1241"/>
      <c r="BD80" s="1241"/>
      <c r="BE80" s="1241"/>
      <c r="BF80" s="1241"/>
      <c r="BG80" s="1241"/>
      <c r="BH80" s="1241"/>
      <c r="BI80" s="1241"/>
      <c r="BJ80" s="1241"/>
      <c r="BK80" s="1241"/>
      <c r="BL80" s="1241"/>
      <c r="BM80" s="1241"/>
      <c r="BN80" s="1241"/>
      <c r="BO80" s="1241"/>
      <c r="BP80" s="1241"/>
      <c r="BQ80" s="1241"/>
      <c r="BR80" s="1484">
        <v>8.2170735145811833E-3</v>
      </c>
      <c r="BS80" s="1241"/>
      <c r="BT80" s="1241"/>
      <c r="BU80" s="1241"/>
      <c r="BV80" s="1241"/>
      <c r="BW80" s="1241"/>
      <c r="BX80" s="1241"/>
      <c r="BY80" s="1241"/>
      <c r="BZ80" s="1241"/>
      <c r="CA80" s="1241"/>
      <c r="CB80" s="1241"/>
      <c r="CC80" s="1241"/>
      <c r="CD80" s="1256"/>
      <c r="CE80" s="1256"/>
      <c r="CF80" s="1265">
        <v>313.58999999999992</v>
      </c>
      <c r="CG80" s="1030"/>
      <c r="CH80" s="1030"/>
      <c r="CI80" s="1030"/>
      <c r="CJ80" s="1030"/>
      <c r="CK80" s="1030"/>
      <c r="CL80" s="1135"/>
      <c r="CM80" s="1135"/>
      <c r="CN80" s="1135"/>
      <c r="CO80" s="1135"/>
      <c r="CP80" s="1135"/>
      <c r="CQ80" s="1135"/>
      <c r="CR80" s="1135"/>
      <c r="CS80" s="1135"/>
      <c r="CT80" s="1135"/>
      <c r="CU80" s="1135"/>
      <c r="CV80" s="1135"/>
      <c r="CW80" s="1135"/>
      <c r="CX80" s="1135"/>
      <c r="CY80" s="1135"/>
      <c r="CZ80" s="1135"/>
      <c r="DA80" s="1008"/>
      <c r="DB80" s="1008"/>
      <c r="DC80" s="1265">
        <v>2281063.8499999996</v>
      </c>
      <c r="DD80" s="1008"/>
      <c r="DE80" s="1008"/>
      <c r="DF80" s="1008"/>
      <c r="DG80" s="1008"/>
      <c r="DH80" s="1008"/>
      <c r="DI80" s="1008"/>
      <c r="DJ80" s="1008"/>
      <c r="DK80" s="1008"/>
      <c r="DL80" s="1008"/>
      <c r="DM80" s="1008"/>
      <c r="DN80" s="1008"/>
      <c r="DO80" s="1256"/>
      <c r="DP80" s="1155">
        <f t="shared" si="245"/>
        <v>15284.36490247992</v>
      </c>
      <c r="DQ80" s="1155">
        <f t="shared" si="246"/>
        <v>0</v>
      </c>
      <c r="DR80" s="1155">
        <f t="shared" si="247"/>
        <v>0</v>
      </c>
      <c r="DS80" s="1155">
        <f t="shared" si="248"/>
        <v>0</v>
      </c>
      <c r="DT80" s="1155">
        <f t="shared" si="249"/>
        <v>0</v>
      </c>
      <c r="DU80" s="1155">
        <f t="shared" si="250"/>
        <v>0</v>
      </c>
      <c r="DV80" s="1155">
        <f t="shared" si="251"/>
        <v>0</v>
      </c>
      <c r="DW80" s="1155">
        <f t="shared" si="252"/>
        <v>0</v>
      </c>
      <c r="DX80" s="1155">
        <f t="shared" si="253"/>
        <v>0</v>
      </c>
      <c r="DY80" s="1155">
        <f t="shared" si="254"/>
        <v>0</v>
      </c>
      <c r="DZ80" s="1155">
        <f t="shared" si="255"/>
        <v>0</v>
      </c>
      <c r="EA80" s="1155">
        <f t="shared" si="256"/>
        <v>0</v>
      </c>
      <c r="EB80" s="1155">
        <f t="shared" si="257"/>
        <v>0</v>
      </c>
      <c r="EC80" s="1155">
        <f t="shared" si="258"/>
        <v>0</v>
      </c>
      <c r="ED80" s="1155">
        <f t="shared" si="259"/>
        <v>0</v>
      </c>
      <c r="EE80" s="1155">
        <f t="shared" si="260"/>
        <v>0</v>
      </c>
      <c r="EF80" s="1155">
        <f t="shared" si="261"/>
        <v>0</v>
      </c>
      <c r="EG80" s="1155">
        <f t="shared" si="262"/>
        <v>0</v>
      </c>
      <c r="EH80" s="1155">
        <f t="shared" si="263"/>
        <v>0</v>
      </c>
      <c r="EI80" s="1155">
        <f t="shared" si="264"/>
        <v>0</v>
      </c>
      <c r="EJ80" s="1155">
        <f t="shared" si="265"/>
        <v>0</v>
      </c>
      <c r="EK80" s="1155">
        <f t="shared" si="266"/>
        <v>0</v>
      </c>
      <c r="EL80" s="1155">
        <f t="shared" si="267"/>
        <v>0</v>
      </c>
      <c r="EM80" s="1155">
        <f t="shared" si="268"/>
        <v>16907.885935590133</v>
      </c>
      <c r="EN80" s="1155">
        <f t="shared" si="269"/>
        <v>0</v>
      </c>
      <c r="EO80" s="1155">
        <f t="shared" si="270"/>
        <v>0</v>
      </c>
      <c r="EP80" s="1155">
        <f t="shared" si="271"/>
        <v>0</v>
      </c>
      <c r="EQ80" s="1155">
        <f t="shared" si="272"/>
        <v>0</v>
      </c>
      <c r="ER80" s="1155">
        <f t="shared" si="273"/>
        <v>0</v>
      </c>
      <c r="ES80" s="1155">
        <f t="shared" si="274"/>
        <v>0</v>
      </c>
      <c r="ET80" s="1155">
        <f t="shared" si="275"/>
        <v>0</v>
      </c>
      <c r="EU80" s="1155">
        <f t="shared" si="276"/>
        <v>0</v>
      </c>
      <c r="EV80" s="1155">
        <f t="shared" si="277"/>
        <v>0</v>
      </c>
      <c r="EW80" s="1155">
        <f t="shared" si="278"/>
        <v>0</v>
      </c>
      <c r="EX80" s="1155">
        <f t="shared" si="279"/>
        <v>0</v>
      </c>
      <c r="EY80" s="1175">
        <f t="shared" si="280"/>
        <v>32192.250838070053</v>
      </c>
      <c r="EZ80" s="1256"/>
      <c r="FA80" s="1155">
        <f t="shared" si="281"/>
        <v>16585.251338563357</v>
      </c>
      <c r="FB80" s="1155">
        <f t="shared" si="282"/>
        <v>0</v>
      </c>
      <c r="FC80" s="1155">
        <f t="shared" si="283"/>
        <v>0</v>
      </c>
      <c r="FD80" s="1155">
        <f t="shared" si="284"/>
        <v>0</v>
      </c>
      <c r="FE80" s="1155">
        <f t="shared" si="285"/>
        <v>0</v>
      </c>
      <c r="FF80" s="1155">
        <f t="shared" si="286"/>
        <v>0</v>
      </c>
      <c r="FG80" s="1155">
        <f t="shared" si="287"/>
        <v>0</v>
      </c>
      <c r="FH80" s="1155">
        <f t="shared" si="288"/>
        <v>0</v>
      </c>
      <c r="FI80" s="1155">
        <f t="shared" si="289"/>
        <v>0</v>
      </c>
      <c r="FJ80" s="1155">
        <f t="shared" si="290"/>
        <v>0</v>
      </c>
      <c r="FK80" s="1155">
        <f t="shared" si="291"/>
        <v>0</v>
      </c>
      <c r="FL80" s="1155">
        <f t="shared" si="292"/>
        <v>0</v>
      </c>
      <c r="FM80" s="1155">
        <f t="shared" si="293"/>
        <v>0</v>
      </c>
      <c r="FN80" s="1155">
        <f t="shared" si="294"/>
        <v>0</v>
      </c>
      <c r="FO80" s="1155">
        <f t="shared" si="295"/>
        <v>0</v>
      </c>
      <c r="FP80" s="1155">
        <f t="shared" si="296"/>
        <v>0</v>
      </c>
      <c r="FQ80" s="1155">
        <f t="shared" si="297"/>
        <v>0</v>
      </c>
      <c r="FR80" s="1155">
        <f t="shared" si="298"/>
        <v>0</v>
      </c>
      <c r="FS80" s="1155">
        <f t="shared" si="299"/>
        <v>0</v>
      </c>
      <c r="FT80" s="1155">
        <f t="shared" si="300"/>
        <v>0</v>
      </c>
      <c r="FU80" s="1155">
        <f t="shared" si="301"/>
        <v>0</v>
      </c>
      <c r="FV80" s="1155">
        <f t="shared" si="302"/>
        <v>0</v>
      </c>
      <c r="FW80" s="1155">
        <f t="shared" si="303"/>
        <v>0</v>
      </c>
      <c r="FX80" s="1155">
        <f t="shared" si="304"/>
        <v>18743.669346903582</v>
      </c>
      <c r="FY80" s="1155">
        <f t="shared" si="305"/>
        <v>0</v>
      </c>
      <c r="FZ80" s="1155">
        <f t="shared" si="306"/>
        <v>0</v>
      </c>
      <c r="GA80" s="1155">
        <f t="shared" si="307"/>
        <v>0</v>
      </c>
      <c r="GB80" s="1155">
        <f t="shared" si="308"/>
        <v>0</v>
      </c>
      <c r="GC80" s="1155">
        <f t="shared" si="309"/>
        <v>0</v>
      </c>
      <c r="GD80" s="1155">
        <f t="shared" si="310"/>
        <v>0</v>
      </c>
      <c r="GE80" s="1155">
        <f t="shared" si="311"/>
        <v>0</v>
      </c>
      <c r="GF80" s="1155">
        <f t="shared" si="312"/>
        <v>0</v>
      </c>
      <c r="GG80" s="1155">
        <f t="shared" si="313"/>
        <v>0</v>
      </c>
      <c r="GH80" s="1155">
        <f t="shared" si="314"/>
        <v>0</v>
      </c>
      <c r="GI80" s="1155">
        <f t="shared" si="315"/>
        <v>0</v>
      </c>
      <c r="GJ80" s="1175">
        <f t="shared" si="316"/>
        <v>35328.920685466939</v>
      </c>
    </row>
    <row r="81" spans="1:192" s="1101" customFormat="1">
      <c r="B81" s="1259" t="str">
        <f>IF(Prop2021DUOSTariffs!B81="","",Prop2021DUOSTariffs!B81)</f>
        <v/>
      </c>
      <c r="C81" s="1259" t="str">
        <f>IF(Prop2021DUOSTariffs!C81="","",Prop2021DUOSTariffs!C81)</f>
        <v>West SAC&lt;100MWhpa Residential TOU Energy</v>
      </c>
      <c r="D81" s="1259" t="str">
        <f>IF(Prop2021DUOSTariffs!D81="","",Prop2021DUOSTariffs!D81)</f>
        <v>West SAC&lt;100MWhpa Residential TOU Energy</v>
      </c>
      <c r="E81" s="1259" t="str">
        <f>IF(Prop2021DUOSTariffs!E81="","",Prop2021DUOSTariffs!E81)</f>
        <v>SAC</v>
      </c>
      <c r="F81" s="1259" t="str">
        <f>IF(Prop2021DUOSTariffs!F81="","",Prop2021DUOSTariffs!F81)</f>
        <v>SACS Res</v>
      </c>
      <c r="G81" s="1259" t="str">
        <f>IF(Prop2021DUOSTariffs!G81="","",Prop2021DUOSTariffs!G81)</f>
        <v>West</v>
      </c>
      <c r="H81" s="1259" t="str">
        <f>IF(Prop2021DUOSTariffs!H81="","",Prop2021DUOSTariffs!H81)</f>
        <v>WRTOUE</v>
      </c>
      <c r="I81" s="1259" t="s">
        <v>935</v>
      </c>
      <c r="J81" s="1256"/>
      <c r="K81" s="1233">
        <v>0.1335341443782054</v>
      </c>
      <c r="L81" s="1135"/>
      <c r="M81" s="1135"/>
      <c r="N81" s="1135"/>
      <c r="O81" s="1135"/>
      <c r="P81" s="1135"/>
      <c r="Q81" s="1135"/>
      <c r="R81" s="1135"/>
      <c r="S81" s="1135"/>
      <c r="T81" s="1135"/>
      <c r="U81" s="1135"/>
      <c r="V81" s="1135"/>
      <c r="W81" s="1135"/>
      <c r="X81" s="1135"/>
      <c r="Y81" s="1135"/>
      <c r="Z81" s="1135"/>
      <c r="AA81" s="1135"/>
      <c r="AB81" s="1135"/>
      <c r="AC81" s="1135"/>
      <c r="AD81" s="1135"/>
      <c r="AE81" s="1135"/>
      <c r="AF81" s="1005"/>
      <c r="AG81" s="1005"/>
      <c r="AH81" s="1224">
        <v>7.4122808686789441E-3</v>
      </c>
      <c r="AI81" s="1241"/>
      <c r="AJ81" s="1241"/>
      <c r="AK81" s="1241"/>
      <c r="AL81" s="1241"/>
      <c r="AM81" s="1241"/>
      <c r="AN81" s="1241"/>
      <c r="AO81" s="1241"/>
      <c r="AP81" s="1241"/>
      <c r="AQ81" s="1241"/>
      <c r="AR81" s="1241"/>
      <c r="AS81" s="1241"/>
      <c r="AT81" s="1256"/>
      <c r="AU81" s="1484">
        <v>0.14489953366876271</v>
      </c>
      <c r="AV81" s="1241"/>
      <c r="AW81" s="1241"/>
      <c r="AX81" s="1241"/>
      <c r="AY81" s="1241"/>
      <c r="AZ81" s="1241"/>
      <c r="BA81" s="1241"/>
      <c r="BB81" s="1241"/>
      <c r="BC81" s="1241"/>
      <c r="BD81" s="1241"/>
      <c r="BE81" s="1241"/>
      <c r="BF81" s="1241"/>
      <c r="BG81" s="1241"/>
      <c r="BH81" s="1241"/>
      <c r="BI81" s="1241"/>
      <c r="BJ81" s="1241"/>
      <c r="BK81" s="1241"/>
      <c r="BL81" s="1241"/>
      <c r="BM81" s="1241"/>
      <c r="BN81" s="1241"/>
      <c r="BO81" s="1241"/>
      <c r="BP81" s="1241"/>
      <c r="BQ81" s="1241"/>
      <c r="BR81" s="1484">
        <v>8.2170735145811833E-3</v>
      </c>
      <c r="BS81" s="1241"/>
      <c r="BT81" s="1241"/>
      <c r="BU81" s="1241"/>
      <c r="BV81" s="1241"/>
      <c r="BW81" s="1241"/>
      <c r="BX81" s="1241"/>
      <c r="BY81" s="1241"/>
      <c r="BZ81" s="1241"/>
      <c r="CA81" s="1241"/>
      <c r="CB81" s="1241"/>
      <c r="CC81" s="1241"/>
      <c r="CD81" s="1256"/>
      <c r="CE81" s="1256"/>
      <c r="CF81" s="1265">
        <v>21.55</v>
      </c>
      <c r="CG81" s="1030"/>
      <c r="CH81" s="1030"/>
      <c r="CI81" s="1030"/>
      <c r="CJ81" s="1030"/>
      <c r="CK81" s="1030"/>
      <c r="CL81" s="1135"/>
      <c r="CM81" s="1135"/>
      <c r="CN81" s="1135"/>
      <c r="CO81" s="1135"/>
      <c r="CP81" s="1135"/>
      <c r="CQ81" s="1135"/>
      <c r="CR81" s="1135"/>
      <c r="CS81" s="1135"/>
      <c r="CT81" s="1135"/>
      <c r="CU81" s="1135"/>
      <c r="CV81" s="1135"/>
      <c r="CW81" s="1135"/>
      <c r="CX81" s="1135"/>
      <c r="CY81" s="1135"/>
      <c r="CZ81" s="1135"/>
      <c r="DA81" s="1008"/>
      <c r="DB81" s="1008"/>
      <c r="DC81" s="1265">
        <v>220499.97999999998</v>
      </c>
      <c r="DD81" s="1008"/>
      <c r="DE81" s="1008"/>
      <c r="DF81" s="1008"/>
      <c r="DG81" s="1008"/>
      <c r="DH81" s="1008"/>
      <c r="DI81" s="1008"/>
      <c r="DJ81" s="1008"/>
      <c r="DK81" s="1008"/>
      <c r="DL81" s="1008"/>
      <c r="DM81" s="1008"/>
      <c r="DN81" s="1008"/>
      <c r="DO81" s="1256"/>
      <c r="DP81" s="1155">
        <f t="shared" si="245"/>
        <v>1050.3461961428693</v>
      </c>
      <c r="DQ81" s="1155">
        <f t="shared" si="246"/>
        <v>0</v>
      </c>
      <c r="DR81" s="1155">
        <f t="shared" si="247"/>
        <v>0</v>
      </c>
      <c r="DS81" s="1155">
        <f t="shared" si="248"/>
        <v>0</v>
      </c>
      <c r="DT81" s="1155">
        <f t="shared" si="249"/>
        <v>0</v>
      </c>
      <c r="DU81" s="1155">
        <f t="shared" si="250"/>
        <v>0</v>
      </c>
      <c r="DV81" s="1155">
        <f t="shared" si="251"/>
        <v>0</v>
      </c>
      <c r="DW81" s="1155">
        <f t="shared" si="252"/>
        <v>0</v>
      </c>
      <c r="DX81" s="1155">
        <f t="shared" si="253"/>
        <v>0</v>
      </c>
      <c r="DY81" s="1155">
        <f t="shared" si="254"/>
        <v>0</v>
      </c>
      <c r="DZ81" s="1155">
        <f t="shared" si="255"/>
        <v>0</v>
      </c>
      <c r="EA81" s="1155">
        <f t="shared" si="256"/>
        <v>0</v>
      </c>
      <c r="EB81" s="1155">
        <f t="shared" si="257"/>
        <v>0</v>
      </c>
      <c r="EC81" s="1155">
        <f t="shared" si="258"/>
        <v>0</v>
      </c>
      <c r="ED81" s="1155">
        <f t="shared" si="259"/>
        <v>0</v>
      </c>
      <c r="EE81" s="1155">
        <f t="shared" si="260"/>
        <v>0</v>
      </c>
      <c r="EF81" s="1155">
        <f t="shared" si="261"/>
        <v>0</v>
      </c>
      <c r="EG81" s="1155">
        <f t="shared" si="262"/>
        <v>0</v>
      </c>
      <c r="EH81" s="1155">
        <f t="shared" si="263"/>
        <v>0</v>
      </c>
      <c r="EI81" s="1155">
        <f t="shared" si="264"/>
        <v>0</v>
      </c>
      <c r="EJ81" s="1155">
        <f t="shared" si="265"/>
        <v>0</v>
      </c>
      <c r="EK81" s="1155">
        <f t="shared" si="266"/>
        <v>0</v>
      </c>
      <c r="EL81" s="1155">
        <f t="shared" si="267"/>
        <v>0</v>
      </c>
      <c r="EM81" s="1155">
        <f t="shared" si="268"/>
        <v>1634.4077832980897</v>
      </c>
      <c r="EN81" s="1155">
        <f t="shared" si="269"/>
        <v>0</v>
      </c>
      <c r="EO81" s="1155">
        <f t="shared" si="270"/>
        <v>0</v>
      </c>
      <c r="EP81" s="1155">
        <f t="shared" si="271"/>
        <v>0</v>
      </c>
      <c r="EQ81" s="1155">
        <f t="shared" si="272"/>
        <v>0</v>
      </c>
      <c r="ER81" s="1155">
        <f t="shared" si="273"/>
        <v>0</v>
      </c>
      <c r="ES81" s="1155">
        <f t="shared" si="274"/>
        <v>0</v>
      </c>
      <c r="ET81" s="1155">
        <f t="shared" si="275"/>
        <v>0</v>
      </c>
      <c r="EU81" s="1155">
        <f t="shared" si="276"/>
        <v>0</v>
      </c>
      <c r="EV81" s="1155">
        <f t="shared" si="277"/>
        <v>0</v>
      </c>
      <c r="EW81" s="1155">
        <f t="shared" si="278"/>
        <v>0</v>
      </c>
      <c r="EX81" s="1155">
        <f t="shared" si="279"/>
        <v>0</v>
      </c>
      <c r="EY81" s="1175">
        <f t="shared" si="280"/>
        <v>2684.753979440959</v>
      </c>
      <c r="EZ81" s="1256"/>
      <c r="FA81" s="1155">
        <f t="shared" si="281"/>
        <v>1139.7435069550704</v>
      </c>
      <c r="FB81" s="1155">
        <f t="shared" si="282"/>
        <v>0</v>
      </c>
      <c r="FC81" s="1155">
        <f t="shared" si="283"/>
        <v>0</v>
      </c>
      <c r="FD81" s="1155">
        <f t="shared" si="284"/>
        <v>0</v>
      </c>
      <c r="FE81" s="1155">
        <f t="shared" si="285"/>
        <v>0</v>
      </c>
      <c r="FF81" s="1155">
        <f t="shared" si="286"/>
        <v>0</v>
      </c>
      <c r="FG81" s="1155">
        <f t="shared" si="287"/>
        <v>0</v>
      </c>
      <c r="FH81" s="1155">
        <f t="shared" si="288"/>
        <v>0</v>
      </c>
      <c r="FI81" s="1155">
        <f t="shared" si="289"/>
        <v>0</v>
      </c>
      <c r="FJ81" s="1155">
        <f t="shared" si="290"/>
        <v>0</v>
      </c>
      <c r="FK81" s="1155">
        <f t="shared" si="291"/>
        <v>0</v>
      </c>
      <c r="FL81" s="1155">
        <f t="shared" si="292"/>
        <v>0</v>
      </c>
      <c r="FM81" s="1155">
        <f t="shared" si="293"/>
        <v>0</v>
      </c>
      <c r="FN81" s="1155">
        <f t="shared" si="294"/>
        <v>0</v>
      </c>
      <c r="FO81" s="1155">
        <f t="shared" si="295"/>
        <v>0</v>
      </c>
      <c r="FP81" s="1155">
        <f t="shared" si="296"/>
        <v>0</v>
      </c>
      <c r="FQ81" s="1155">
        <f t="shared" si="297"/>
        <v>0</v>
      </c>
      <c r="FR81" s="1155">
        <f t="shared" si="298"/>
        <v>0</v>
      </c>
      <c r="FS81" s="1155">
        <f t="shared" si="299"/>
        <v>0</v>
      </c>
      <c r="FT81" s="1155">
        <f t="shared" si="300"/>
        <v>0</v>
      </c>
      <c r="FU81" s="1155">
        <f t="shared" si="301"/>
        <v>0</v>
      </c>
      <c r="FV81" s="1155">
        <f t="shared" si="302"/>
        <v>0</v>
      </c>
      <c r="FW81" s="1155">
        <f t="shared" si="303"/>
        <v>0</v>
      </c>
      <c r="FX81" s="1155">
        <f t="shared" si="304"/>
        <v>1811.8645456236804</v>
      </c>
      <c r="FY81" s="1155">
        <f t="shared" si="305"/>
        <v>0</v>
      </c>
      <c r="FZ81" s="1155">
        <f t="shared" si="306"/>
        <v>0</v>
      </c>
      <c r="GA81" s="1155">
        <f t="shared" si="307"/>
        <v>0</v>
      </c>
      <c r="GB81" s="1155">
        <f t="shared" si="308"/>
        <v>0</v>
      </c>
      <c r="GC81" s="1155">
        <f t="shared" si="309"/>
        <v>0</v>
      </c>
      <c r="GD81" s="1155">
        <f t="shared" si="310"/>
        <v>0</v>
      </c>
      <c r="GE81" s="1155">
        <f t="shared" si="311"/>
        <v>0</v>
      </c>
      <c r="GF81" s="1155">
        <f t="shared" si="312"/>
        <v>0</v>
      </c>
      <c r="GG81" s="1155">
        <f t="shared" si="313"/>
        <v>0</v>
      </c>
      <c r="GH81" s="1155">
        <f t="shared" si="314"/>
        <v>0</v>
      </c>
      <c r="GI81" s="1155">
        <f t="shared" si="315"/>
        <v>0</v>
      </c>
      <c r="GJ81" s="1175">
        <f t="shared" si="316"/>
        <v>2951.6080525787511</v>
      </c>
    </row>
    <row r="82" spans="1:192" s="1101" customFormat="1">
      <c r="B82" s="1259" t="str">
        <f>IF(Prop2021DUOSTariffs!B82="","",Prop2021DUOSTariffs!B82)</f>
        <v/>
      </c>
      <c r="C82" s="1259" t="str">
        <f>IF(Prop2021DUOSTariffs!C82="","",Prop2021DUOSTariffs!C82)</f>
        <v>MtIsa SAC&lt;100MWhpa Residential TOU Energy</v>
      </c>
      <c r="D82" s="1259" t="str">
        <f>IF(Prop2021DUOSTariffs!D82="","",Prop2021DUOSTariffs!D82)</f>
        <v>MtIsa SAC&lt;100MWhpa Residential TOU Energy</v>
      </c>
      <c r="E82" s="1259" t="str">
        <f>IF(Prop2021DUOSTariffs!E82="","",Prop2021DUOSTariffs!E82)</f>
        <v>SAC</v>
      </c>
      <c r="F82" s="1259" t="str">
        <f>IF(Prop2021DUOSTariffs!F82="","",Prop2021DUOSTariffs!F82)</f>
        <v>SACS Res</v>
      </c>
      <c r="G82" s="1259" t="str">
        <f>IF(Prop2021DUOSTariffs!G82="","",Prop2021DUOSTariffs!G82)</f>
        <v>Mt Isa</v>
      </c>
      <c r="H82" s="1259" t="str">
        <f>IF(Prop2021DUOSTariffs!H82="","",Prop2021DUOSTariffs!H82)</f>
        <v>MRTOUE</v>
      </c>
      <c r="I82" s="1259" t="s">
        <v>935</v>
      </c>
      <c r="J82" s="1256"/>
      <c r="K82" s="1233">
        <v>0.1335341443782054</v>
      </c>
      <c r="L82" s="1135"/>
      <c r="M82" s="1135"/>
      <c r="N82" s="1135"/>
      <c r="O82" s="1135"/>
      <c r="P82" s="1135"/>
      <c r="Q82" s="1135"/>
      <c r="R82" s="1135"/>
      <c r="S82" s="1135"/>
      <c r="T82" s="1135"/>
      <c r="U82" s="1135"/>
      <c r="V82" s="1135"/>
      <c r="W82" s="1135"/>
      <c r="X82" s="1135"/>
      <c r="Y82" s="1135"/>
      <c r="Z82" s="1135"/>
      <c r="AA82" s="1135"/>
      <c r="AB82" s="1135"/>
      <c r="AC82" s="1135"/>
      <c r="AD82" s="1135"/>
      <c r="AE82" s="1135"/>
      <c r="AF82" s="1005"/>
      <c r="AG82" s="1005"/>
      <c r="AH82" s="1224">
        <v>7.4122808686789441E-3</v>
      </c>
      <c r="AI82" s="1241"/>
      <c r="AJ82" s="1241"/>
      <c r="AK82" s="1241"/>
      <c r="AL82" s="1241"/>
      <c r="AM82" s="1241"/>
      <c r="AN82" s="1241"/>
      <c r="AO82" s="1241"/>
      <c r="AP82" s="1241"/>
      <c r="AQ82" s="1241"/>
      <c r="AR82" s="1241"/>
      <c r="AS82" s="1241"/>
      <c r="AT82" s="1256"/>
      <c r="AU82" s="1484">
        <v>0.14489953366876271</v>
      </c>
      <c r="AV82" s="1241"/>
      <c r="AW82" s="1241"/>
      <c r="AX82" s="1241"/>
      <c r="AY82" s="1241"/>
      <c r="AZ82" s="1241"/>
      <c r="BA82" s="1241"/>
      <c r="BB82" s="1241"/>
      <c r="BC82" s="1241"/>
      <c r="BD82" s="1241"/>
      <c r="BE82" s="1241"/>
      <c r="BF82" s="1241"/>
      <c r="BG82" s="1241"/>
      <c r="BH82" s="1241"/>
      <c r="BI82" s="1241"/>
      <c r="BJ82" s="1241"/>
      <c r="BK82" s="1241"/>
      <c r="BL82" s="1241"/>
      <c r="BM82" s="1241"/>
      <c r="BN82" s="1241"/>
      <c r="BO82" s="1241"/>
      <c r="BP82" s="1241"/>
      <c r="BQ82" s="1241"/>
      <c r="BR82" s="1484">
        <v>8.2170735145811833E-3</v>
      </c>
      <c r="BS82" s="1241"/>
      <c r="BT82" s="1241"/>
      <c r="BU82" s="1241"/>
      <c r="BV82" s="1241"/>
      <c r="BW82" s="1241"/>
      <c r="BX82" s="1241"/>
      <c r="BY82" s="1241"/>
      <c r="BZ82" s="1241"/>
      <c r="CA82" s="1241"/>
      <c r="CB82" s="1241"/>
      <c r="CC82" s="1241"/>
      <c r="CD82" s="1256"/>
      <c r="CE82" s="1256"/>
      <c r="CF82" s="1265">
        <v>0</v>
      </c>
      <c r="CG82" s="1135"/>
      <c r="CH82" s="1135"/>
      <c r="CI82" s="1135"/>
      <c r="CJ82" s="1135"/>
      <c r="CK82" s="1135"/>
      <c r="CL82" s="1135"/>
      <c r="CM82" s="1135"/>
      <c r="CN82" s="1135"/>
      <c r="CO82" s="1135"/>
      <c r="CP82" s="1135"/>
      <c r="CQ82" s="1135"/>
      <c r="CR82" s="1135"/>
      <c r="CS82" s="1135"/>
      <c r="CT82" s="1135"/>
      <c r="CU82" s="1135"/>
      <c r="CV82" s="1135"/>
      <c r="CW82" s="1135"/>
      <c r="CX82" s="1135"/>
      <c r="CY82" s="1135"/>
      <c r="CZ82" s="1135"/>
      <c r="DA82" s="1008"/>
      <c r="DB82" s="1008"/>
      <c r="DC82" s="1265">
        <v>0</v>
      </c>
      <c r="DD82" s="1008"/>
      <c r="DE82" s="1008"/>
      <c r="DF82" s="1008"/>
      <c r="DG82" s="1008"/>
      <c r="DH82" s="1008"/>
      <c r="DI82" s="1008"/>
      <c r="DJ82" s="1008"/>
      <c r="DK82" s="1008"/>
      <c r="DL82" s="1008"/>
      <c r="DM82" s="1008"/>
      <c r="DN82" s="1008"/>
      <c r="DO82" s="1256"/>
      <c r="DP82" s="1155">
        <f t="shared" si="245"/>
        <v>0</v>
      </c>
      <c r="DQ82" s="1155">
        <f t="shared" si="246"/>
        <v>0</v>
      </c>
      <c r="DR82" s="1155">
        <f t="shared" si="247"/>
        <v>0</v>
      </c>
      <c r="DS82" s="1155">
        <f t="shared" si="248"/>
        <v>0</v>
      </c>
      <c r="DT82" s="1155">
        <f t="shared" si="249"/>
        <v>0</v>
      </c>
      <c r="DU82" s="1155">
        <f t="shared" si="250"/>
        <v>0</v>
      </c>
      <c r="DV82" s="1155">
        <f t="shared" si="251"/>
        <v>0</v>
      </c>
      <c r="DW82" s="1155">
        <f t="shared" si="252"/>
        <v>0</v>
      </c>
      <c r="DX82" s="1155">
        <f t="shared" si="253"/>
        <v>0</v>
      </c>
      <c r="DY82" s="1155">
        <f t="shared" si="254"/>
        <v>0</v>
      </c>
      <c r="DZ82" s="1155">
        <f t="shared" si="255"/>
        <v>0</v>
      </c>
      <c r="EA82" s="1155">
        <f t="shared" si="256"/>
        <v>0</v>
      </c>
      <c r="EB82" s="1155">
        <f t="shared" si="257"/>
        <v>0</v>
      </c>
      <c r="EC82" s="1155">
        <f t="shared" si="258"/>
        <v>0</v>
      </c>
      <c r="ED82" s="1155">
        <f t="shared" si="259"/>
        <v>0</v>
      </c>
      <c r="EE82" s="1155">
        <f t="shared" si="260"/>
        <v>0</v>
      </c>
      <c r="EF82" s="1155">
        <f t="shared" si="261"/>
        <v>0</v>
      </c>
      <c r="EG82" s="1155">
        <f t="shared" si="262"/>
        <v>0</v>
      </c>
      <c r="EH82" s="1155">
        <f t="shared" si="263"/>
        <v>0</v>
      </c>
      <c r="EI82" s="1155">
        <f t="shared" si="264"/>
        <v>0</v>
      </c>
      <c r="EJ82" s="1155">
        <f t="shared" si="265"/>
        <v>0</v>
      </c>
      <c r="EK82" s="1155">
        <f t="shared" si="266"/>
        <v>0</v>
      </c>
      <c r="EL82" s="1155">
        <f t="shared" si="267"/>
        <v>0</v>
      </c>
      <c r="EM82" s="1155">
        <f t="shared" si="268"/>
        <v>0</v>
      </c>
      <c r="EN82" s="1155">
        <f t="shared" si="269"/>
        <v>0</v>
      </c>
      <c r="EO82" s="1155">
        <f t="shared" si="270"/>
        <v>0</v>
      </c>
      <c r="EP82" s="1155">
        <f t="shared" si="271"/>
        <v>0</v>
      </c>
      <c r="EQ82" s="1155">
        <f t="shared" si="272"/>
        <v>0</v>
      </c>
      <c r="ER82" s="1155">
        <f t="shared" si="273"/>
        <v>0</v>
      </c>
      <c r="ES82" s="1155">
        <f t="shared" si="274"/>
        <v>0</v>
      </c>
      <c r="ET82" s="1155">
        <f t="shared" si="275"/>
        <v>0</v>
      </c>
      <c r="EU82" s="1155">
        <f t="shared" si="276"/>
        <v>0</v>
      </c>
      <c r="EV82" s="1155">
        <f t="shared" si="277"/>
        <v>0</v>
      </c>
      <c r="EW82" s="1155">
        <f t="shared" si="278"/>
        <v>0</v>
      </c>
      <c r="EX82" s="1155">
        <f t="shared" si="279"/>
        <v>0</v>
      </c>
      <c r="EY82" s="1175">
        <f t="shared" si="280"/>
        <v>0</v>
      </c>
      <c r="EZ82" s="1256"/>
      <c r="FA82" s="1155">
        <f t="shared" si="281"/>
        <v>0</v>
      </c>
      <c r="FB82" s="1155">
        <f t="shared" si="282"/>
        <v>0</v>
      </c>
      <c r="FC82" s="1155">
        <f t="shared" si="283"/>
        <v>0</v>
      </c>
      <c r="FD82" s="1155">
        <f t="shared" si="284"/>
        <v>0</v>
      </c>
      <c r="FE82" s="1155">
        <f t="shared" si="285"/>
        <v>0</v>
      </c>
      <c r="FF82" s="1155">
        <f t="shared" si="286"/>
        <v>0</v>
      </c>
      <c r="FG82" s="1155">
        <f t="shared" si="287"/>
        <v>0</v>
      </c>
      <c r="FH82" s="1155">
        <f t="shared" si="288"/>
        <v>0</v>
      </c>
      <c r="FI82" s="1155">
        <f t="shared" si="289"/>
        <v>0</v>
      </c>
      <c r="FJ82" s="1155">
        <f t="shared" si="290"/>
        <v>0</v>
      </c>
      <c r="FK82" s="1155">
        <f t="shared" si="291"/>
        <v>0</v>
      </c>
      <c r="FL82" s="1155">
        <f t="shared" si="292"/>
        <v>0</v>
      </c>
      <c r="FM82" s="1155">
        <f t="shared" si="293"/>
        <v>0</v>
      </c>
      <c r="FN82" s="1155">
        <f t="shared" si="294"/>
        <v>0</v>
      </c>
      <c r="FO82" s="1155">
        <f t="shared" si="295"/>
        <v>0</v>
      </c>
      <c r="FP82" s="1155">
        <f t="shared" si="296"/>
        <v>0</v>
      </c>
      <c r="FQ82" s="1155">
        <f t="shared" si="297"/>
        <v>0</v>
      </c>
      <c r="FR82" s="1155">
        <f t="shared" si="298"/>
        <v>0</v>
      </c>
      <c r="FS82" s="1155">
        <f t="shared" si="299"/>
        <v>0</v>
      </c>
      <c r="FT82" s="1155">
        <f t="shared" si="300"/>
        <v>0</v>
      </c>
      <c r="FU82" s="1155">
        <f t="shared" si="301"/>
        <v>0</v>
      </c>
      <c r="FV82" s="1155">
        <f t="shared" si="302"/>
        <v>0</v>
      </c>
      <c r="FW82" s="1155">
        <f t="shared" si="303"/>
        <v>0</v>
      </c>
      <c r="FX82" s="1155">
        <f t="shared" si="304"/>
        <v>0</v>
      </c>
      <c r="FY82" s="1155">
        <f t="shared" si="305"/>
        <v>0</v>
      </c>
      <c r="FZ82" s="1155">
        <f t="shared" si="306"/>
        <v>0</v>
      </c>
      <c r="GA82" s="1155">
        <f t="shared" si="307"/>
        <v>0</v>
      </c>
      <c r="GB82" s="1155">
        <f t="shared" si="308"/>
        <v>0</v>
      </c>
      <c r="GC82" s="1155">
        <f t="shared" si="309"/>
        <v>0</v>
      </c>
      <c r="GD82" s="1155">
        <f t="shared" si="310"/>
        <v>0</v>
      </c>
      <c r="GE82" s="1155">
        <f t="shared" si="311"/>
        <v>0</v>
      </c>
      <c r="GF82" s="1155">
        <f t="shared" si="312"/>
        <v>0</v>
      </c>
      <c r="GG82" s="1155">
        <f t="shared" si="313"/>
        <v>0</v>
      </c>
      <c r="GH82" s="1155">
        <f t="shared" si="314"/>
        <v>0</v>
      </c>
      <c r="GI82" s="1155">
        <f t="shared" si="315"/>
        <v>0</v>
      </c>
      <c r="GJ82" s="1175">
        <f t="shared" si="316"/>
        <v>0</v>
      </c>
    </row>
    <row r="83" spans="1:192" s="1101" customFormat="1">
      <c r="B83" s="1259" t="str">
        <f>IF(Prop2021DUOSTariffs!B83="","",Prop2021DUOSTariffs!B83)</f>
        <v/>
      </c>
      <c r="C83" s="1259" t="str">
        <f>IF(Prop2021DUOSTariffs!C83="","",Prop2021DUOSTariffs!C83)</f>
        <v>East SAC&lt;100MWhpa Residential TOU Transitional Demand</v>
      </c>
      <c r="D83" s="1259" t="str">
        <f>IF(Prop2021DUOSTariffs!D83="","",Prop2021DUOSTariffs!D83)</f>
        <v>East SAC&lt;100MWhpa Residential TOU Transitional Demand</v>
      </c>
      <c r="E83" s="1259" t="str">
        <f>IF(Prop2021DUOSTariffs!E83="","",Prop2021DUOSTariffs!E83)</f>
        <v>SAC</v>
      </c>
      <c r="F83" s="1259" t="str">
        <f>IF(Prop2021DUOSTariffs!F83="","",Prop2021DUOSTariffs!F83)</f>
        <v>SACS Res</v>
      </c>
      <c r="G83" s="1259" t="str">
        <f>IF(Prop2021DUOSTariffs!G83="","",Prop2021DUOSTariffs!G83)</f>
        <v>East</v>
      </c>
      <c r="H83" s="1259" t="str">
        <f>IF(Prop2021DUOSTariffs!H83="","",Prop2021DUOSTariffs!H83)</f>
        <v>ERTDEM</v>
      </c>
      <c r="I83" s="1259" t="s">
        <v>935</v>
      </c>
      <c r="J83" s="1256"/>
      <c r="K83" s="1233">
        <v>0.1335341443782054</v>
      </c>
      <c r="L83" s="1135"/>
      <c r="M83" s="1135"/>
      <c r="N83" s="1135"/>
      <c r="O83" s="1135"/>
      <c r="P83" s="1135"/>
      <c r="Q83" s="1135"/>
      <c r="R83" s="1135"/>
      <c r="S83" s="1135"/>
      <c r="T83" s="1135"/>
      <c r="U83" s="1135"/>
      <c r="V83" s="1135"/>
      <c r="W83" s="1135"/>
      <c r="X83" s="1135"/>
      <c r="Y83" s="1135"/>
      <c r="Z83" s="1135"/>
      <c r="AA83" s="1135"/>
      <c r="AB83" s="1135"/>
      <c r="AC83" s="1135"/>
      <c r="AD83" s="1135"/>
      <c r="AE83" s="1135"/>
      <c r="AF83" s="1005"/>
      <c r="AG83" s="1005"/>
      <c r="AH83" s="1224">
        <v>7.4122808686789441E-3</v>
      </c>
      <c r="AI83" s="1241"/>
      <c r="AJ83" s="1241"/>
      <c r="AK83" s="1241"/>
      <c r="AL83" s="1241"/>
      <c r="AM83" s="1241"/>
      <c r="AN83" s="1241"/>
      <c r="AO83" s="1241"/>
      <c r="AP83" s="1241"/>
      <c r="AQ83" s="1241"/>
      <c r="AR83" s="1241"/>
      <c r="AS83" s="1241"/>
      <c r="AT83" s="1256"/>
      <c r="AU83" s="1484">
        <v>0.14489953366876271</v>
      </c>
      <c r="AV83" s="1241"/>
      <c r="AW83" s="1241"/>
      <c r="AX83" s="1241"/>
      <c r="AY83" s="1241"/>
      <c r="AZ83" s="1241"/>
      <c r="BA83" s="1241"/>
      <c r="BB83" s="1241"/>
      <c r="BC83" s="1241"/>
      <c r="BD83" s="1241"/>
      <c r="BE83" s="1241"/>
      <c r="BF83" s="1241"/>
      <c r="BG83" s="1241"/>
      <c r="BH83" s="1241"/>
      <c r="BI83" s="1241"/>
      <c r="BJ83" s="1241"/>
      <c r="BK83" s="1241"/>
      <c r="BL83" s="1241"/>
      <c r="BM83" s="1241"/>
      <c r="BN83" s="1241"/>
      <c r="BO83" s="1241"/>
      <c r="BP83" s="1241"/>
      <c r="BQ83" s="1241"/>
      <c r="BR83" s="1484">
        <v>8.2170735145811833E-3</v>
      </c>
      <c r="BS83" s="1241"/>
      <c r="BT83" s="1241"/>
      <c r="BU83" s="1241"/>
      <c r="BV83" s="1241"/>
      <c r="BW83" s="1241"/>
      <c r="BX83" s="1241"/>
      <c r="BY83" s="1241"/>
      <c r="BZ83" s="1241"/>
      <c r="CA83" s="1241"/>
      <c r="CB83" s="1241"/>
      <c r="CC83" s="1241"/>
      <c r="CD83" s="1256"/>
      <c r="CE83" s="1256"/>
      <c r="CF83" s="1265">
        <v>120985.30999999998</v>
      </c>
      <c r="CG83" s="1135"/>
      <c r="CH83" s="1135"/>
      <c r="CI83" s="1135"/>
      <c r="CJ83" s="1135"/>
      <c r="CK83" s="1135"/>
      <c r="CL83" s="1135"/>
      <c r="CM83" s="1135"/>
      <c r="CN83" s="1135"/>
      <c r="CO83" s="1135"/>
      <c r="CP83" s="1135"/>
      <c r="CQ83" s="1135"/>
      <c r="CR83" s="1135"/>
      <c r="CS83" s="1135"/>
      <c r="CT83" s="1135"/>
      <c r="CU83" s="1135"/>
      <c r="CV83" s="1135"/>
      <c r="CW83" s="1135"/>
      <c r="CX83" s="1135"/>
      <c r="CY83" s="1135"/>
      <c r="CZ83" s="1135"/>
      <c r="DA83" s="1008"/>
      <c r="DB83" s="1008"/>
      <c r="DC83" s="1265">
        <v>446932674.98000002</v>
      </c>
      <c r="DD83" s="1008"/>
      <c r="DE83" s="1008"/>
      <c r="DF83" s="1008"/>
      <c r="DG83" s="1008"/>
      <c r="DH83" s="1008"/>
      <c r="DI83" s="1008"/>
      <c r="DJ83" s="1008"/>
      <c r="DK83" s="1008"/>
      <c r="DL83" s="1008"/>
      <c r="DM83" s="1008"/>
      <c r="DN83" s="1008"/>
      <c r="DO83" s="1256"/>
      <c r="DP83" s="1155">
        <f t="shared" si="245"/>
        <v>5896819.4964114064</v>
      </c>
      <c r="DQ83" s="1155">
        <f t="shared" si="246"/>
        <v>0</v>
      </c>
      <c r="DR83" s="1155">
        <f t="shared" si="247"/>
        <v>0</v>
      </c>
      <c r="DS83" s="1155">
        <f t="shared" si="248"/>
        <v>0</v>
      </c>
      <c r="DT83" s="1155">
        <f t="shared" si="249"/>
        <v>0</v>
      </c>
      <c r="DU83" s="1155">
        <f t="shared" si="250"/>
        <v>0</v>
      </c>
      <c r="DV83" s="1155">
        <f t="shared" si="251"/>
        <v>0</v>
      </c>
      <c r="DW83" s="1155">
        <f t="shared" si="252"/>
        <v>0</v>
      </c>
      <c r="DX83" s="1155">
        <f t="shared" si="253"/>
        <v>0</v>
      </c>
      <c r="DY83" s="1155">
        <f t="shared" si="254"/>
        <v>0</v>
      </c>
      <c r="DZ83" s="1155">
        <f t="shared" si="255"/>
        <v>0</v>
      </c>
      <c r="EA83" s="1155">
        <f t="shared" si="256"/>
        <v>0</v>
      </c>
      <c r="EB83" s="1155">
        <f t="shared" si="257"/>
        <v>0</v>
      </c>
      <c r="EC83" s="1155">
        <f t="shared" si="258"/>
        <v>0</v>
      </c>
      <c r="ED83" s="1155">
        <f t="shared" si="259"/>
        <v>0</v>
      </c>
      <c r="EE83" s="1155">
        <f t="shared" si="260"/>
        <v>0</v>
      </c>
      <c r="EF83" s="1155">
        <f t="shared" si="261"/>
        <v>0</v>
      </c>
      <c r="EG83" s="1155">
        <f t="shared" si="262"/>
        <v>0</v>
      </c>
      <c r="EH83" s="1155">
        <f t="shared" si="263"/>
        <v>0</v>
      </c>
      <c r="EI83" s="1155">
        <f t="shared" si="264"/>
        <v>0</v>
      </c>
      <c r="EJ83" s="1155">
        <f t="shared" si="265"/>
        <v>0</v>
      </c>
      <c r="EK83" s="1155">
        <f t="shared" si="266"/>
        <v>0</v>
      </c>
      <c r="EL83" s="1155">
        <f t="shared" si="267"/>
        <v>0</v>
      </c>
      <c r="EM83" s="1155">
        <f t="shared" si="268"/>
        <v>3312790.5163417589</v>
      </c>
      <c r="EN83" s="1155">
        <f t="shared" si="269"/>
        <v>0</v>
      </c>
      <c r="EO83" s="1155">
        <f t="shared" si="270"/>
        <v>0</v>
      </c>
      <c r="EP83" s="1155">
        <f t="shared" si="271"/>
        <v>0</v>
      </c>
      <c r="EQ83" s="1155">
        <f t="shared" si="272"/>
        <v>0</v>
      </c>
      <c r="ER83" s="1155">
        <f t="shared" si="273"/>
        <v>0</v>
      </c>
      <c r="ES83" s="1155">
        <f t="shared" si="274"/>
        <v>0</v>
      </c>
      <c r="ET83" s="1155">
        <f t="shared" si="275"/>
        <v>0</v>
      </c>
      <c r="EU83" s="1155">
        <f t="shared" si="276"/>
        <v>0</v>
      </c>
      <c r="EV83" s="1155">
        <f t="shared" si="277"/>
        <v>0</v>
      </c>
      <c r="EW83" s="1155">
        <f t="shared" si="278"/>
        <v>0</v>
      </c>
      <c r="EX83" s="1155">
        <f t="shared" si="279"/>
        <v>0</v>
      </c>
      <c r="EY83" s="1175">
        <f t="shared" si="280"/>
        <v>9209610.0127531663</v>
      </c>
      <c r="EZ83" s="1256"/>
      <c r="FA83" s="1155">
        <f t="shared" si="281"/>
        <v>6398710.9749163026</v>
      </c>
      <c r="FB83" s="1155">
        <f t="shared" si="282"/>
        <v>0</v>
      </c>
      <c r="FC83" s="1155">
        <f t="shared" si="283"/>
        <v>0</v>
      </c>
      <c r="FD83" s="1155">
        <f t="shared" si="284"/>
        <v>0</v>
      </c>
      <c r="FE83" s="1155">
        <f t="shared" si="285"/>
        <v>0</v>
      </c>
      <c r="FF83" s="1155">
        <f t="shared" si="286"/>
        <v>0</v>
      </c>
      <c r="FG83" s="1155">
        <f t="shared" si="287"/>
        <v>0</v>
      </c>
      <c r="FH83" s="1155">
        <f t="shared" si="288"/>
        <v>0</v>
      </c>
      <c r="FI83" s="1155">
        <f t="shared" si="289"/>
        <v>0</v>
      </c>
      <c r="FJ83" s="1155">
        <f t="shared" si="290"/>
        <v>0</v>
      </c>
      <c r="FK83" s="1155">
        <f t="shared" si="291"/>
        <v>0</v>
      </c>
      <c r="FL83" s="1155">
        <f t="shared" si="292"/>
        <v>0</v>
      </c>
      <c r="FM83" s="1155">
        <f t="shared" si="293"/>
        <v>0</v>
      </c>
      <c r="FN83" s="1155">
        <f t="shared" si="294"/>
        <v>0</v>
      </c>
      <c r="FO83" s="1155">
        <f t="shared" si="295"/>
        <v>0</v>
      </c>
      <c r="FP83" s="1155">
        <f t="shared" si="296"/>
        <v>0</v>
      </c>
      <c r="FQ83" s="1155">
        <f t="shared" si="297"/>
        <v>0</v>
      </c>
      <c r="FR83" s="1155">
        <f t="shared" si="298"/>
        <v>0</v>
      </c>
      <c r="FS83" s="1155">
        <f t="shared" si="299"/>
        <v>0</v>
      </c>
      <c r="FT83" s="1155">
        <f t="shared" si="300"/>
        <v>0</v>
      </c>
      <c r="FU83" s="1155">
        <f t="shared" si="301"/>
        <v>0</v>
      </c>
      <c r="FV83" s="1155">
        <f t="shared" si="302"/>
        <v>0</v>
      </c>
      <c r="FW83" s="1155">
        <f t="shared" si="303"/>
        <v>0</v>
      </c>
      <c r="FX83" s="1155">
        <f t="shared" si="304"/>
        <v>3672478.6463790783</v>
      </c>
      <c r="FY83" s="1155">
        <f t="shared" si="305"/>
        <v>0</v>
      </c>
      <c r="FZ83" s="1155">
        <f t="shared" si="306"/>
        <v>0</v>
      </c>
      <c r="GA83" s="1155">
        <f t="shared" si="307"/>
        <v>0</v>
      </c>
      <c r="GB83" s="1155">
        <f t="shared" si="308"/>
        <v>0</v>
      </c>
      <c r="GC83" s="1155">
        <f t="shared" si="309"/>
        <v>0</v>
      </c>
      <c r="GD83" s="1155">
        <f t="shared" si="310"/>
        <v>0</v>
      </c>
      <c r="GE83" s="1155">
        <f t="shared" si="311"/>
        <v>0</v>
      </c>
      <c r="GF83" s="1155">
        <f t="shared" si="312"/>
        <v>0</v>
      </c>
      <c r="GG83" s="1155">
        <f t="shared" si="313"/>
        <v>0</v>
      </c>
      <c r="GH83" s="1155">
        <f t="shared" si="314"/>
        <v>0</v>
      </c>
      <c r="GI83" s="1155">
        <f t="shared" si="315"/>
        <v>0</v>
      </c>
      <c r="GJ83" s="1175">
        <f t="shared" si="316"/>
        <v>10071189.621295381</v>
      </c>
    </row>
    <row r="84" spans="1:192" s="1101" customFormat="1">
      <c r="B84" s="1259" t="str">
        <f>IF(Prop2021DUOSTariffs!B84="","",Prop2021DUOSTariffs!B84)</f>
        <v/>
      </c>
      <c r="C84" s="1259" t="str">
        <f>IF(Prop2021DUOSTariffs!C84="","",Prop2021DUOSTariffs!C84)</f>
        <v>West SAC&lt;100MWhpa Residential TOU Transitional Demand</v>
      </c>
      <c r="D84" s="1259" t="str">
        <f>IF(Prop2021DUOSTariffs!D84="","",Prop2021DUOSTariffs!D84)</f>
        <v>West SAC&lt;100MWhpa Residential TOU Transitional Demand</v>
      </c>
      <c r="E84" s="1259" t="str">
        <f>IF(Prop2021DUOSTariffs!E84="","",Prop2021DUOSTariffs!E84)</f>
        <v>SAC</v>
      </c>
      <c r="F84" s="1259" t="str">
        <f>IF(Prop2021DUOSTariffs!F84="","",Prop2021DUOSTariffs!F84)</f>
        <v>SACS Res</v>
      </c>
      <c r="G84" s="1259" t="str">
        <f>IF(Prop2021DUOSTariffs!G84="","",Prop2021DUOSTariffs!G84)</f>
        <v>West</v>
      </c>
      <c r="H84" s="1259" t="str">
        <f>IF(Prop2021DUOSTariffs!H84="","",Prop2021DUOSTariffs!H84)</f>
        <v>WRTDEM</v>
      </c>
      <c r="I84" s="1259" t="s">
        <v>935</v>
      </c>
      <c r="J84" s="1256"/>
      <c r="K84" s="1233">
        <v>0.1335341443782054</v>
      </c>
      <c r="L84" s="1135"/>
      <c r="M84" s="1135"/>
      <c r="N84" s="1135"/>
      <c r="O84" s="1135"/>
      <c r="P84" s="1135"/>
      <c r="Q84" s="1135"/>
      <c r="R84" s="1135"/>
      <c r="S84" s="1135"/>
      <c r="T84" s="1135"/>
      <c r="U84" s="1135"/>
      <c r="V84" s="1135"/>
      <c r="W84" s="1135"/>
      <c r="X84" s="1135"/>
      <c r="Y84" s="1135"/>
      <c r="Z84" s="1135"/>
      <c r="AA84" s="1135"/>
      <c r="AB84" s="1135"/>
      <c r="AC84" s="1135"/>
      <c r="AD84" s="1135"/>
      <c r="AE84" s="1135"/>
      <c r="AF84" s="1005"/>
      <c r="AG84" s="1005"/>
      <c r="AH84" s="1224">
        <v>7.4122808686789441E-3</v>
      </c>
      <c r="AI84" s="1241"/>
      <c r="AJ84" s="1241"/>
      <c r="AK84" s="1241"/>
      <c r="AL84" s="1241"/>
      <c r="AM84" s="1241"/>
      <c r="AN84" s="1241"/>
      <c r="AO84" s="1241"/>
      <c r="AP84" s="1241"/>
      <c r="AQ84" s="1241"/>
      <c r="AR84" s="1241"/>
      <c r="AS84" s="1241"/>
      <c r="AT84" s="1256"/>
      <c r="AU84" s="1484">
        <v>0.14489953366876271</v>
      </c>
      <c r="AV84" s="1241"/>
      <c r="AW84" s="1241"/>
      <c r="AX84" s="1241"/>
      <c r="AY84" s="1241"/>
      <c r="AZ84" s="1241"/>
      <c r="BA84" s="1241"/>
      <c r="BB84" s="1241"/>
      <c r="BC84" s="1241"/>
      <c r="BD84" s="1241"/>
      <c r="BE84" s="1241"/>
      <c r="BF84" s="1241"/>
      <c r="BG84" s="1241"/>
      <c r="BH84" s="1241"/>
      <c r="BI84" s="1241"/>
      <c r="BJ84" s="1241"/>
      <c r="BK84" s="1241"/>
      <c r="BL84" s="1241"/>
      <c r="BM84" s="1241"/>
      <c r="BN84" s="1241"/>
      <c r="BO84" s="1241"/>
      <c r="BP84" s="1241"/>
      <c r="BQ84" s="1241"/>
      <c r="BR84" s="1484">
        <v>8.2170735145811833E-3</v>
      </c>
      <c r="BS84" s="1241"/>
      <c r="BT84" s="1241"/>
      <c r="BU84" s="1241"/>
      <c r="BV84" s="1241"/>
      <c r="BW84" s="1241"/>
      <c r="BX84" s="1241"/>
      <c r="BY84" s="1241"/>
      <c r="BZ84" s="1241"/>
      <c r="CA84" s="1241"/>
      <c r="CB84" s="1241"/>
      <c r="CC84" s="1241"/>
      <c r="CD84" s="1256"/>
      <c r="CE84" s="1256"/>
      <c r="CF84" s="1265">
        <v>5034.0599999999995</v>
      </c>
      <c r="CG84" s="1135"/>
      <c r="CH84" s="1135"/>
      <c r="CI84" s="1135"/>
      <c r="CJ84" s="1135"/>
      <c r="CK84" s="1135"/>
      <c r="CL84" s="1135"/>
      <c r="CM84" s="1135"/>
      <c r="CN84" s="1135"/>
      <c r="CO84" s="1135"/>
      <c r="CP84" s="1135"/>
      <c r="CQ84" s="1135"/>
      <c r="CR84" s="1135"/>
      <c r="CS84" s="1135"/>
      <c r="CT84" s="1135"/>
      <c r="CU84" s="1135"/>
      <c r="CV84" s="1135"/>
      <c r="CW84" s="1135"/>
      <c r="CX84" s="1135"/>
      <c r="CY84" s="1135"/>
      <c r="CZ84" s="1135"/>
      <c r="DA84" s="1008"/>
      <c r="DB84" s="1008"/>
      <c r="DC84" s="1265">
        <v>23179401.140000001</v>
      </c>
      <c r="DD84" s="1008"/>
      <c r="DE84" s="1008"/>
      <c r="DF84" s="1008"/>
      <c r="DG84" s="1008"/>
      <c r="DH84" s="1008"/>
      <c r="DI84" s="1008"/>
      <c r="DJ84" s="1008"/>
      <c r="DK84" s="1008"/>
      <c r="DL84" s="1008"/>
      <c r="DM84" s="1008"/>
      <c r="DN84" s="1008"/>
      <c r="DO84" s="1256"/>
      <c r="DP84" s="1155">
        <f t="shared" si="245"/>
        <v>245359.89661972027</v>
      </c>
      <c r="DQ84" s="1155">
        <f t="shared" si="246"/>
        <v>0</v>
      </c>
      <c r="DR84" s="1155">
        <f t="shared" si="247"/>
        <v>0</v>
      </c>
      <c r="DS84" s="1155">
        <f t="shared" si="248"/>
        <v>0</v>
      </c>
      <c r="DT84" s="1155">
        <f t="shared" si="249"/>
        <v>0</v>
      </c>
      <c r="DU84" s="1155">
        <f t="shared" si="250"/>
        <v>0</v>
      </c>
      <c r="DV84" s="1155">
        <f t="shared" si="251"/>
        <v>0</v>
      </c>
      <c r="DW84" s="1155">
        <f t="shared" si="252"/>
        <v>0</v>
      </c>
      <c r="DX84" s="1155">
        <f t="shared" si="253"/>
        <v>0</v>
      </c>
      <c r="DY84" s="1155">
        <f t="shared" si="254"/>
        <v>0</v>
      </c>
      <c r="DZ84" s="1155">
        <f t="shared" si="255"/>
        <v>0</v>
      </c>
      <c r="EA84" s="1155">
        <f t="shared" si="256"/>
        <v>0</v>
      </c>
      <c r="EB84" s="1155">
        <f t="shared" si="257"/>
        <v>0</v>
      </c>
      <c r="EC84" s="1155">
        <f t="shared" si="258"/>
        <v>0</v>
      </c>
      <c r="ED84" s="1155">
        <f t="shared" si="259"/>
        <v>0</v>
      </c>
      <c r="EE84" s="1155">
        <f t="shared" si="260"/>
        <v>0</v>
      </c>
      <c r="EF84" s="1155">
        <f t="shared" si="261"/>
        <v>0</v>
      </c>
      <c r="EG84" s="1155">
        <f t="shared" si="262"/>
        <v>0</v>
      </c>
      <c r="EH84" s="1155">
        <f t="shared" si="263"/>
        <v>0</v>
      </c>
      <c r="EI84" s="1155">
        <f t="shared" si="264"/>
        <v>0</v>
      </c>
      <c r="EJ84" s="1155">
        <f t="shared" si="265"/>
        <v>0</v>
      </c>
      <c r="EK84" s="1155">
        <f t="shared" si="266"/>
        <v>0</v>
      </c>
      <c r="EL84" s="1155">
        <f t="shared" si="267"/>
        <v>0</v>
      </c>
      <c r="EM84" s="1155">
        <f t="shared" si="268"/>
        <v>171812.23161745691</v>
      </c>
      <c r="EN84" s="1155">
        <f t="shared" si="269"/>
        <v>0</v>
      </c>
      <c r="EO84" s="1155">
        <f t="shared" si="270"/>
        <v>0</v>
      </c>
      <c r="EP84" s="1155">
        <f t="shared" si="271"/>
        <v>0</v>
      </c>
      <c r="EQ84" s="1155">
        <f t="shared" si="272"/>
        <v>0</v>
      </c>
      <c r="ER84" s="1155">
        <f t="shared" si="273"/>
        <v>0</v>
      </c>
      <c r="ES84" s="1155">
        <f t="shared" si="274"/>
        <v>0</v>
      </c>
      <c r="ET84" s="1155">
        <f t="shared" si="275"/>
        <v>0</v>
      </c>
      <c r="EU84" s="1155">
        <f t="shared" si="276"/>
        <v>0</v>
      </c>
      <c r="EV84" s="1155">
        <f t="shared" si="277"/>
        <v>0</v>
      </c>
      <c r="EW84" s="1155">
        <f t="shared" si="278"/>
        <v>0</v>
      </c>
      <c r="EX84" s="1155">
        <f t="shared" si="279"/>
        <v>0</v>
      </c>
      <c r="EY84" s="1175">
        <f t="shared" si="280"/>
        <v>417172.12823717715</v>
      </c>
      <c r="EZ84" s="1256"/>
      <c r="FA84" s="1155">
        <f t="shared" si="281"/>
        <v>266243.02545810863</v>
      </c>
      <c r="FB84" s="1155">
        <f t="shared" si="282"/>
        <v>0</v>
      </c>
      <c r="FC84" s="1155">
        <f t="shared" si="283"/>
        <v>0</v>
      </c>
      <c r="FD84" s="1155">
        <f t="shared" si="284"/>
        <v>0</v>
      </c>
      <c r="FE84" s="1155">
        <f t="shared" si="285"/>
        <v>0</v>
      </c>
      <c r="FF84" s="1155">
        <f t="shared" si="286"/>
        <v>0</v>
      </c>
      <c r="FG84" s="1155">
        <f t="shared" si="287"/>
        <v>0</v>
      </c>
      <c r="FH84" s="1155">
        <f t="shared" si="288"/>
        <v>0</v>
      </c>
      <c r="FI84" s="1155">
        <f t="shared" si="289"/>
        <v>0</v>
      </c>
      <c r="FJ84" s="1155">
        <f t="shared" si="290"/>
        <v>0</v>
      </c>
      <c r="FK84" s="1155">
        <f t="shared" si="291"/>
        <v>0</v>
      </c>
      <c r="FL84" s="1155">
        <f t="shared" si="292"/>
        <v>0</v>
      </c>
      <c r="FM84" s="1155">
        <f t="shared" si="293"/>
        <v>0</v>
      </c>
      <c r="FN84" s="1155">
        <f t="shared" si="294"/>
        <v>0</v>
      </c>
      <c r="FO84" s="1155">
        <f t="shared" si="295"/>
        <v>0</v>
      </c>
      <c r="FP84" s="1155">
        <f t="shared" si="296"/>
        <v>0</v>
      </c>
      <c r="FQ84" s="1155">
        <f t="shared" si="297"/>
        <v>0</v>
      </c>
      <c r="FR84" s="1155">
        <f t="shared" si="298"/>
        <v>0</v>
      </c>
      <c r="FS84" s="1155">
        <f t="shared" si="299"/>
        <v>0</v>
      </c>
      <c r="FT84" s="1155">
        <f t="shared" si="300"/>
        <v>0</v>
      </c>
      <c r="FU84" s="1155">
        <f t="shared" si="301"/>
        <v>0</v>
      </c>
      <c r="FV84" s="1155">
        <f t="shared" si="302"/>
        <v>0</v>
      </c>
      <c r="FW84" s="1155">
        <f t="shared" si="303"/>
        <v>0</v>
      </c>
      <c r="FX84" s="1155">
        <f t="shared" si="304"/>
        <v>190466.84319134688</v>
      </c>
      <c r="FY84" s="1155">
        <f t="shared" si="305"/>
        <v>0</v>
      </c>
      <c r="FZ84" s="1155">
        <f t="shared" si="306"/>
        <v>0</v>
      </c>
      <c r="GA84" s="1155">
        <f t="shared" si="307"/>
        <v>0</v>
      </c>
      <c r="GB84" s="1155">
        <f t="shared" si="308"/>
        <v>0</v>
      </c>
      <c r="GC84" s="1155">
        <f t="shared" si="309"/>
        <v>0</v>
      </c>
      <c r="GD84" s="1155">
        <f t="shared" si="310"/>
        <v>0</v>
      </c>
      <c r="GE84" s="1155">
        <f t="shared" si="311"/>
        <v>0</v>
      </c>
      <c r="GF84" s="1155">
        <f t="shared" si="312"/>
        <v>0</v>
      </c>
      <c r="GG84" s="1155">
        <f t="shared" si="313"/>
        <v>0</v>
      </c>
      <c r="GH84" s="1155">
        <f t="shared" si="314"/>
        <v>0</v>
      </c>
      <c r="GI84" s="1155">
        <f t="shared" si="315"/>
        <v>0</v>
      </c>
      <c r="GJ84" s="1175">
        <f t="shared" si="316"/>
        <v>456709.86864945549</v>
      </c>
    </row>
    <row r="85" spans="1:192" s="1101" customFormat="1">
      <c r="B85" s="1259" t="str">
        <f>IF(Prop2021DUOSTariffs!B85="","",Prop2021DUOSTariffs!B85)</f>
        <v/>
      </c>
      <c r="C85" s="1259" t="str">
        <f>IF(Prop2021DUOSTariffs!C85="","",Prop2021DUOSTariffs!C85)</f>
        <v>MtIsa SAC&lt;100MWhpa Residential TOU Transitional Demand</v>
      </c>
      <c r="D85" s="1259" t="str">
        <f>IF(Prop2021DUOSTariffs!D85="","",Prop2021DUOSTariffs!D85)</f>
        <v>MtIsa SAC&lt;100MWhpa Residential TOU Transitional Demand</v>
      </c>
      <c r="E85" s="1259" t="str">
        <f>IF(Prop2021DUOSTariffs!E85="","",Prop2021DUOSTariffs!E85)</f>
        <v>SAC</v>
      </c>
      <c r="F85" s="1259" t="str">
        <f>IF(Prop2021DUOSTariffs!F85="","",Prop2021DUOSTariffs!F85)</f>
        <v>SACS Res</v>
      </c>
      <c r="G85" s="1259" t="str">
        <f>IF(Prop2021DUOSTariffs!G85="","",Prop2021DUOSTariffs!G85)</f>
        <v>Mt Isa</v>
      </c>
      <c r="H85" s="1259" t="str">
        <f>IF(Prop2021DUOSTariffs!H85="","",Prop2021DUOSTariffs!H85)</f>
        <v>MRTDEM</v>
      </c>
      <c r="I85" s="1259" t="s">
        <v>935</v>
      </c>
      <c r="J85" s="1256"/>
      <c r="K85" s="1233">
        <v>0.1335341443782054</v>
      </c>
      <c r="L85" s="1135"/>
      <c r="M85" s="1135"/>
      <c r="N85" s="1135"/>
      <c r="O85" s="1135"/>
      <c r="P85" s="1135"/>
      <c r="Q85" s="1135"/>
      <c r="R85" s="1135"/>
      <c r="S85" s="1135"/>
      <c r="T85" s="1135"/>
      <c r="U85" s="1135"/>
      <c r="V85" s="1135"/>
      <c r="W85" s="1135"/>
      <c r="X85" s="1135"/>
      <c r="Y85" s="1135"/>
      <c r="Z85" s="1135"/>
      <c r="AA85" s="1135"/>
      <c r="AB85" s="1135"/>
      <c r="AC85" s="1135"/>
      <c r="AD85" s="1135"/>
      <c r="AE85" s="1135"/>
      <c r="AF85" s="1005"/>
      <c r="AG85" s="1005"/>
      <c r="AH85" s="1224">
        <v>7.4122808686789441E-3</v>
      </c>
      <c r="AI85" s="1241"/>
      <c r="AJ85" s="1241"/>
      <c r="AK85" s="1241"/>
      <c r="AL85" s="1241"/>
      <c r="AM85" s="1241"/>
      <c r="AN85" s="1241"/>
      <c r="AO85" s="1241"/>
      <c r="AP85" s="1241"/>
      <c r="AQ85" s="1241"/>
      <c r="AR85" s="1241"/>
      <c r="AS85" s="1241"/>
      <c r="AT85" s="1256"/>
      <c r="AU85" s="1484">
        <v>0.14489953366876271</v>
      </c>
      <c r="AV85" s="1241"/>
      <c r="AW85" s="1241"/>
      <c r="AX85" s="1241"/>
      <c r="AY85" s="1241"/>
      <c r="AZ85" s="1241"/>
      <c r="BA85" s="1241"/>
      <c r="BB85" s="1241"/>
      <c r="BC85" s="1241"/>
      <c r="BD85" s="1241"/>
      <c r="BE85" s="1241"/>
      <c r="BF85" s="1241"/>
      <c r="BG85" s="1241"/>
      <c r="BH85" s="1241"/>
      <c r="BI85" s="1241"/>
      <c r="BJ85" s="1241"/>
      <c r="BK85" s="1241"/>
      <c r="BL85" s="1241"/>
      <c r="BM85" s="1241"/>
      <c r="BN85" s="1241"/>
      <c r="BO85" s="1241"/>
      <c r="BP85" s="1241"/>
      <c r="BQ85" s="1241"/>
      <c r="BR85" s="1484">
        <v>8.2170735145811833E-3</v>
      </c>
      <c r="BS85" s="1241"/>
      <c r="BT85" s="1241"/>
      <c r="BU85" s="1241"/>
      <c r="BV85" s="1241"/>
      <c r="BW85" s="1241"/>
      <c r="BX85" s="1241"/>
      <c r="BY85" s="1241"/>
      <c r="BZ85" s="1241"/>
      <c r="CA85" s="1241"/>
      <c r="CB85" s="1241"/>
      <c r="CC85" s="1241"/>
      <c r="CD85" s="1256"/>
      <c r="CE85" s="1256"/>
      <c r="CF85" s="1265">
        <v>153</v>
      </c>
      <c r="CG85" s="1135"/>
      <c r="CH85" s="1135"/>
      <c r="CI85" s="1135"/>
      <c r="CJ85" s="1135"/>
      <c r="CK85" s="1135"/>
      <c r="CL85" s="1135"/>
      <c r="CM85" s="1135"/>
      <c r="CN85" s="1135"/>
      <c r="CO85" s="1135"/>
      <c r="CP85" s="1135"/>
      <c r="CQ85" s="1135"/>
      <c r="CR85" s="1135"/>
      <c r="CS85" s="1135"/>
      <c r="CT85" s="1135"/>
      <c r="CU85" s="1135"/>
      <c r="CV85" s="1135"/>
      <c r="CW85" s="1135"/>
      <c r="CX85" s="1135"/>
      <c r="CY85" s="1135"/>
      <c r="CZ85" s="1135"/>
      <c r="DA85" s="1008"/>
      <c r="DB85" s="1008"/>
      <c r="DC85" s="1265">
        <v>574362</v>
      </c>
      <c r="DD85" s="1008"/>
      <c r="DE85" s="1008"/>
      <c r="DF85" s="1008"/>
      <c r="DG85" s="1008"/>
      <c r="DH85" s="1008"/>
      <c r="DI85" s="1008"/>
      <c r="DJ85" s="1008"/>
      <c r="DK85" s="1008"/>
      <c r="DL85" s="1008"/>
      <c r="DM85" s="1008"/>
      <c r="DN85" s="1008"/>
      <c r="DO85" s="1256"/>
      <c r="DP85" s="1155">
        <f t="shared" si="245"/>
        <v>7457.2142928008816</v>
      </c>
      <c r="DQ85" s="1155">
        <f t="shared" si="246"/>
        <v>0</v>
      </c>
      <c r="DR85" s="1155">
        <f t="shared" si="247"/>
        <v>0</v>
      </c>
      <c r="DS85" s="1155">
        <f t="shared" si="248"/>
        <v>0</v>
      </c>
      <c r="DT85" s="1155">
        <f t="shared" si="249"/>
        <v>0</v>
      </c>
      <c r="DU85" s="1155">
        <f t="shared" si="250"/>
        <v>0</v>
      </c>
      <c r="DV85" s="1155">
        <f t="shared" si="251"/>
        <v>0</v>
      </c>
      <c r="DW85" s="1155">
        <f t="shared" si="252"/>
        <v>0</v>
      </c>
      <c r="DX85" s="1155">
        <f t="shared" si="253"/>
        <v>0</v>
      </c>
      <c r="DY85" s="1155">
        <f t="shared" si="254"/>
        <v>0</v>
      </c>
      <c r="DZ85" s="1155">
        <f t="shared" si="255"/>
        <v>0</v>
      </c>
      <c r="EA85" s="1155">
        <f t="shared" si="256"/>
        <v>0</v>
      </c>
      <c r="EB85" s="1155">
        <f t="shared" si="257"/>
        <v>0</v>
      </c>
      <c r="EC85" s="1155">
        <f t="shared" si="258"/>
        <v>0</v>
      </c>
      <c r="ED85" s="1155">
        <f t="shared" si="259"/>
        <v>0</v>
      </c>
      <c r="EE85" s="1155">
        <f t="shared" si="260"/>
        <v>0</v>
      </c>
      <c r="EF85" s="1155">
        <f t="shared" si="261"/>
        <v>0</v>
      </c>
      <c r="EG85" s="1155">
        <f t="shared" si="262"/>
        <v>0</v>
      </c>
      <c r="EH85" s="1155">
        <f t="shared" si="263"/>
        <v>0</v>
      </c>
      <c r="EI85" s="1155">
        <f t="shared" si="264"/>
        <v>0</v>
      </c>
      <c r="EJ85" s="1155">
        <f t="shared" si="265"/>
        <v>0</v>
      </c>
      <c r="EK85" s="1155">
        <f t="shared" si="266"/>
        <v>0</v>
      </c>
      <c r="EL85" s="1155">
        <f t="shared" si="267"/>
        <v>0</v>
      </c>
      <c r="EM85" s="1155">
        <f t="shared" si="268"/>
        <v>4257.3324642961761</v>
      </c>
      <c r="EN85" s="1155">
        <f t="shared" si="269"/>
        <v>0</v>
      </c>
      <c r="EO85" s="1155">
        <f t="shared" si="270"/>
        <v>0</v>
      </c>
      <c r="EP85" s="1155">
        <f t="shared" si="271"/>
        <v>0</v>
      </c>
      <c r="EQ85" s="1155">
        <f t="shared" si="272"/>
        <v>0</v>
      </c>
      <c r="ER85" s="1155">
        <f t="shared" si="273"/>
        <v>0</v>
      </c>
      <c r="ES85" s="1155">
        <f t="shared" si="274"/>
        <v>0</v>
      </c>
      <c r="ET85" s="1155">
        <f t="shared" si="275"/>
        <v>0</v>
      </c>
      <c r="EU85" s="1155">
        <f t="shared" si="276"/>
        <v>0</v>
      </c>
      <c r="EV85" s="1155">
        <f t="shared" si="277"/>
        <v>0</v>
      </c>
      <c r="EW85" s="1155">
        <f t="shared" si="278"/>
        <v>0</v>
      </c>
      <c r="EX85" s="1155">
        <f t="shared" si="279"/>
        <v>0</v>
      </c>
      <c r="EY85" s="1175">
        <f t="shared" si="280"/>
        <v>11714.546757097058</v>
      </c>
      <c r="EZ85" s="1256"/>
      <c r="FA85" s="1155">
        <f t="shared" si="281"/>
        <v>8091.9144577320531</v>
      </c>
      <c r="FB85" s="1155">
        <f t="shared" si="282"/>
        <v>0</v>
      </c>
      <c r="FC85" s="1155">
        <f t="shared" si="283"/>
        <v>0</v>
      </c>
      <c r="FD85" s="1155">
        <f t="shared" si="284"/>
        <v>0</v>
      </c>
      <c r="FE85" s="1155">
        <f t="shared" si="285"/>
        <v>0</v>
      </c>
      <c r="FF85" s="1155">
        <f t="shared" si="286"/>
        <v>0</v>
      </c>
      <c r="FG85" s="1155">
        <f t="shared" si="287"/>
        <v>0</v>
      </c>
      <c r="FH85" s="1155">
        <f t="shared" si="288"/>
        <v>0</v>
      </c>
      <c r="FI85" s="1155">
        <f t="shared" si="289"/>
        <v>0</v>
      </c>
      <c r="FJ85" s="1155">
        <f t="shared" si="290"/>
        <v>0</v>
      </c>
      <c r="FK85" s="1155">
        <f t="shared" si="291"/>
        <v>0</v>
      </c>
      <c r="FL85" s="1155">
        <f t="shared" si="292"/>
        <v>0</v>
      </c>
      <c r="FM85" s="1155">
        <f t="shared" si="293"/>
        <v>0</v>
      </c>
      <c r="FN85" s="1155">
        <f t="shared" si="294"/>
        <v>0</v>
      </c>
      <c r="FO85" s="1155">
        <f t="shared" si="295"/>
        <v>0</v>
      </c>
      <c r="FP85" s="1155">
        <f t="shared" si="296"/>
        <v>0</v>
      </c>
      <c r="FQ85" s="1155">
        <f t="shared" si="297"/>
        <v>0</v>
      </c>
      <c r="FR85" s="1155">
        <f t="shared" si="298"/>
        <v>0</v>
      </c>
      <c r="FS85" s="1155">
        <f t="shared" si="299"/>
        <v>0</v>
      </c>
      <c r="FT85" s="1155">
        <f t="shared" si="300"/>
        <v>0</v>
      </c>
      <c r="FU85" s="1155">
        <f t="shared" si="301"/>
        <v>0</v>
      </c>
      <c r="FV85" s="1155">
        <f t="shared" si="302"/>
        <v>0</v>
      </c>
      <c r="FW85" s="1155">
        <f t="shared" si="303"/>
        <v>0</v>
      </c>
      <c r="FX85" s="1155">
        <f t="shared" si="304"/>
        <v>4719.5747779818776</v>
      </c>
      <c r="FY85" s="1155">
        <f t="shared" si="305"/>
        <v>0</v>
      </c>
      <c r="FZ85" s="1155">
        <f t="shared" si="306"/>
        <v>0</v>
      </c>
      <c r="GA85" s="1155">
        <f t="shared" si="307"/>
        <v>0</v>
      </c>
      <c r="GB85" s="1155">
        <f t="shared" si="308"/>
        <v>0</v>
      </c>
      <c r="GC85" s="1155">
        <f t="shared" si="309"/>
        <v>0</v>
      </c>
      <c r="GD85" s="1155">
        <f t="shared" si="310"/>
        <v>0</v>
      </c>
      <c r="GE85" s="1155">
        <f t="shared" si="311"/>
        <v>0</v>
      </c>
      <c r="GF85" s="1155">
        <f t="shared" si="312"/>
        <v>0</v>
      </c>
      <c r="GG85" s="1155">
        <f t="shared" si="313"/>
        <v>0</v>
      </c>
      <c r="GH85" s="1155">
        <f t="shared" si="314"/>
        <v>0</v>
      </c>
      <c r="GI85" s="1155">
        <f t="shared" si="315"/>
        <v>0</v>
      </c>
      <c r="GJ85" s="1175">
        <f t="shared" si="316"/>
        <v>12811.489235713931</v>
      </c>
    </row>
    <row r="86" spans="1:192" s="1101" customFormat="1">
      <c r="B86" s="1259" t="str">
        <f>IF(Prop2021DUOSTariffs!B86="","",Prop2021DUOSTariffs!B86)</f>
        <v/>
      </c>
      <c r="C86" s="1259" t="str">
        <f>IF(Prop2021DUOSTariffs!C86="","",Prop2021DUOSTariffs!C86)</f>
        <v>East SAC&lt;100MWhpa Residential TOU Demand</v>
      </c>
      <c r="D86" s="1259" t="str">
        <f>IF(Prop2021DUOSTariffs!D86="","",Prop2021DUOSTariffs!D86)</f>
        <v>East SAC&lt;100MWhpa Residential TOU Demand</v>
      </c>
      <c r="E86" s="1259" t="str">
        <f>IF(Prop2021DUOSTariffs!E86="","",Prop2021DUOSTariffs!E86)</f>
        <v>SAC</v>
      </c>
      <c r="F86" s="1259" t="str">
        <f>IF(Prop2021DUOSTariffs!F86="","",Prop2021DUOSTariffs!F86)</f>
        <v>SACS Res</v>
      </c>
      <c r="G86" s="1259" t="str">
        <f>IF(Prop2021DUOSTariffs!G86="","",Prop2021DUOSTariffs!G86)</f>
        <v>East</v>
      </c>
      <c r="H86" s="1259" t="str">
        <f>IF(Prop2021DUOSTariffs!H86="","",Prop2021DUOSTariffs!H86)</f>
        <v>ERDEM</v>
      </c>
      <c r="I86" s="1259" t="s">
        <v>935</v>
      </c>
      <c r="J86" s="1256"/>
      <c r="K86" s="1233">
        <v>0.1335341443782054</v>
      </c>
      <c r="L86" s="1135"/>
      <c r="M86" s="1135"/>
      <c r="N86" s="1135"/>
      <c r="O86" s="1135"/>
      <c r="P86" s="1135"/>
      <c r="Q86" s="1135"/>
      <c r="R86" s="1135"/>
      <c r="S86" s="1135"/>
      <c r="T86" s="1135"/>
      <c r="U86" s="1135"/>
      <c r="V86" s="1135"/>
      <c r="W86" s="1135"/>
      <c r="X86" s="1135"/>
      <c r="Y86" s="1135"/>
      <c r="Z86" s="1135"/>
      <c r="AA86" s="1135"/>
      <c r="AB86" s="1135"/>
      <c r="AC86" s="1135"/>
      <c r="AD86" s="1135"/>
      <c r="AE86" s="1135"/>
      <c r="AF86" s="1005"/>
      <c r="AG86" s="1005"/>
      <c r="AH86" s="1224">
        <v>7.4122808686789441E-3</v>
      </c>
      <c r="AI86" s="1241"/>
      <c r="AJ86" s="1241"/>
      <c r="AK86" s="1241"/>
      <c r="AL86" s="1241"/>
      <c r="AM86" s="1241"/>
      <c r="AN86" s="1241"/>
      <c r="AO86" s="1241"/>
      <c r="AP86" s="1241"/>
      <c r="AQ86" s="1241"/>
      <c r="AR86" s="1241"/>
      <c r="AS86" s="1241"/>
      <c r="AT86" s="1256"/>
      <c r="AU86" s="1484">
        <v>0.14489953366876271</v>
      </c>
      <c r="AV86" s="1241"/>
      <c r="AW86" s="1241"/>
      <c r="AX86" s="1241"/>
      <c r="AY86" s="1241"/>
      <c r="AZ86" s="1241"/>
      <c r="BA86" s="1241"/>
      <c r="BB86" s="1241"/>
      <c r="BC86" s="1241"/>
      <c r="BD86" s="1241"/>
      <c r="BE86" s="1241"/>
      <c r="BF86" s="1241"/>
      <c r="BG86" s="1241"/>
      <c r="BH86" s="1241"/>
      <c r="BI86" s="1241"/>
      <c r="BJ86" s="1241"/>
      <c r="BK86" s="1241"/>
      <c r="BL86" s="1241"/>
      <c r="BM86" s="1241"/>
      <c r="BN86" s="1241"/>
      <c r="BO86" s="1241"/>
      <c r="BP86" s="1241"/>
      <c r="BQ86" s="1241"/>
      <c r="BR86" s="1484">
        <v>8.2170735145811833E-3</v>
      </c>
      <c r="BS86" s="1241"/>
      <c r="BT86" s="1241"/>
      <c r="BU86" s="1241"/>
      <c r="BV86" s="1241"/>
      <c r="BW86" s="1241"/>
      <c r="BX86" s="1241"/>
      <c r="BY86" s="1241"/>
      <c r="BZ86" s="1241"/>
      <c r="CA86" s="1241"/>
      <c r="CB86" s="1241"/>
      <c r="CC86" s="1241"/>
      <c r="CD86" s="1256"/>
      <c r="CE86" s="1256"/>
      <c r="CF86" s="1265">
        <v>267.07999999999993</v>
      </c>
      <c r="CG86" s="1135"/>
      <c r="CH86" s="1135"/>
      <c r="CI86" s="1135"/>
      <c r="CJ86" s="1135"/>
      <c r="CK86" s="1135"/>
      <c r="CL86" s="1135"/>
      <c r="CM86" s="1135"/>
      <c r="CN86" s="1135"/>
      <c r="CO86" s="1135"/>
      <c r="CP86" s="1135"/>
      <c r="CQ86" s="1135"/>
      <c r="CR86" s="1135"/>
      <c r="CS86" s="1135"/>
      <c r="CT86" s="1135"/>
      <c r="CU86" s="1135"/>
      <c r="CV86" s="1135"/>
      <c r="CW86" s="1135"/>
      <c r="CX86" s="1135"/>
      <c r="CY86" s="1135"/>
      <c r="CZ86" s="1135"/>
      <c r="DA86" s="1008"/>
      <c r="DB86" s="1008"/>
      <c r="DC86" s="1265">
        <v>1922398.0899999999</v>
      </c>
      <c r="DD86" s="1008"/>
      <c r="DE86" s="1008"/>
      <c r="DF86" s="1008"/>
      <c r="DG86" s="1008"/>
      <c r="DH86" s="1008"/>
      <c r="DI86" s="1008"/>
      <c r="DJ86" s="1008"/>
      <c r="DK86" s="1008"/>
      <c r="DL86" s="1008"/>
      <c r="DM86" s="1008"/>
      <c r="DN86" s="1008"/>
      <c r="DO86" s="1256"/>
      <c r="DP86" s="1155">
        <f t="shared" si="245"/>
        <v>13017.469237393847</v>
      </c>
      <c r="DQ86" s="1155">
        <f t="shared" si="246"/>
        <v>0</v>
      </c>
      <c r="DR86" s="1155">
        <f t="shared" si="247"/>
        <v>0</v>
      </c>
      <c r="DS86" s="1155">
        <f t="shared" si="248"/>
        <v>0</v>
      </c>
      <c r="DT86" s="1155">
        <f t="shared" si="249"/>
        <v>0</v>
      </c>
      <c r="DU86" s="1155">
        <f t="shared" si="250"/>
        <v>0</v>
      </c>
      <c r="DV86" s="1155">
        <f t="shared" si="251"/>
        <v>0</v>
      </c>
      <c r="DW86" s="1155">
        <f t="shared" si="252"/>
        <v>0</v>
      </c>
      <c r="DX86" s="1155">
        <f t="shared" si="253"/>
        <v>0</v>
      </c>
      <c r="DY86" s="1155">
        <f t="shared" si="254"/>
        <v>0</v>
      </c>
      <c r="DZ86" s="1155">
        <f t="shared" si="255"/>
        <v>0</v>
      </c>
      <c r="EA86" s="1155">
        <f t="shared" si="256"/>
        <v>0</v>
      </c>
      <c r="EB86" s="1155">
        <f t="shared" si="257"/>
        <v>0</v>
      </c>
      <c r="EC86" s="1155">
        <f t="shared" si="258"/>
        <v>0</v>
      </c>
      <c r="ED86" s="1155">
        <f t="shared" si="259"/>
        <v>0</v>
      </c>
      <c r="EE86" s="1155">
        <f t="shared" si="260"/>
        <v>0</v>
      </c>
      <c r="EF86" s="1155">
        <f t="shared" si="261"/>
        <v>0</v>
      </c>
      <c r="EG86" s="1155">
        <f t="shared" si="262"/>
        <v>0</v>
      </c>
      <c r="EH86" s="1155">
        <f t="shared" si="263"/>
        <v>0</v>
      </c>
      <c r="EI86" s="1155">
        <f t="shared" si="264"/>
        <v>0</v>
      </c>
      <c r="EJ86" s="1155">
        <f t="shared" si="265"/>
        <v>0</v>
      </c>
      <c r="EK86" s="1155">
        <f t="shared" si="266"/>
        <v>0</v>
      </c>
      <c r="EL86" s="1155">
        <f t="shared" si="267"/>
        <v>0</v>
      </c>
      <c r="EM86" s="1155">
        <f t="shared" si="268"/>
        <v>14249.354584491943</v>
      </c>
      <c r="EN86" s="1155">
        <f t="shared" si="269"/>
        <v>0</v>
      </c>
      <c r="EO86" s="1155">
        <f t="shared" si="270"/>
        <v>0</v>
      </c>
      <c r="EP86" s="1155">
        <f t="shared" si="271"/>
        <v>0</v>
      </c>
      <c r="EQ86" s="1155">
        <f t="shared" si="272"/>
        <v>0</v>
      </c>
      <c r="ER86" s="1155">
        <f t="shared" si="273"/>
        <v>0</v>
      </c>
      <c r="ES86" s="1155">
        <f t="shared" si="274"/>
        <v>0</v>
      </c>
      <c r="ET86" s="1155">
        <f t="shared" si="275"/>
        <v>0</v>
      </c>
      <c r="EU86" s="1155">
        <f t="shared" si="276"/>
        <v>0</v>
      </c>
      <c r="EV86" s="1155">
        <f t="shared" si="277"/>
        <v>0</v>
      </c>
      <c r="EW86" s="1155">
        <f t="shared" si="278"/>
        <v>0</v>
      </c>
      <c r="EX86" s="1155">
        <f t="shared" si="279"/>
        <v>0</v>
      </c>
      <c r="EY86" s="1175">
        <f t="shared" si="280"/>
        <v>27266.823821885788</v>
      </c>
      <c r="EZ86" s="1256"/>
      <c r="FA86" s="1155">
        <f t="shared" si="281"/>
        <v>14125.415120072394</v>
      </c>
      <c r="FB86" s="1155">
        <f t="shared" si="282"/>
        <v>0</v>
      </c>
      <c r="FC86" s="1155">
        <f t="shared" si="283"/>
        <v>0</v>
      </c>
      <c r="FD86" s="1155">
        <f t="shared" si="284"/>
        <v>0</v>
      </c>
      <c r="FE86" s="1155">
        <f t="shared" si="285"/>
        <v>0</v>
      </c>
      <c r="FF86" s="1155">
        <f t="shared" si="286"/>
        <v>0</v>
      </c>
      <c r="FG86" s="1155">
        <f t="shared" si="287"/>
        <v>0</v>
      </c>
      <c r="FH86" s="1155">
        <f t="shared" si="288"/>
        <v>0</v>
      </c>
      <c r="FI86" s="1155">
        <f t="shared" si="289"/>
        <v>0</v>
      </c>
      <c r="FJ86" s="1155">
        <f t="shared" si="290"/>
        <v>0</v>
      </c>
      <c r="FK86" s="1155">
        <f t="shared" si="291"/>
        <v>0</v>
      </c>
      <c r="FL86" s="1155">
        <f t="shared" si="292"/>
        <v>0</v>
      </c>
      <c r="FM86" s="1155">
        <f t="shared" si="293"/>
        <v>0</v>
      </c>
      <c r="FN86" s="1155">
        <f t="shared" si="294"/>
        <v>0</v>
      </c>
      <c r="FO86" s="1155">
        <f t="shared" si="295"/>
        <v>0</v>
      </c>
      <c r="FP86" s="1155">
        <f t="shared" si="296"/>
        <v>0</v>
      </c>
      <c r="FQ86" s="1155">
        <f t="shared" si="297"/>
        <v>0</v>
      </c>
      <c r="FR86" s="1155">
        <f t="shared" si="298"/>
        <v>0</v>
      </c>
      <c r="FS86" s="1155">
        <f t="shared" si="299"/>
        <v>0</v>
      </c>
      <c r="FT86" s="1155">
        <f t="shared" si="300"/>
        <v>0</v>
      </c>
      <c r="FU86" s="1155">
        <f t="shared" si="301"/>
        <v>0</v>
      </c>
      <c r="FV86" s="1155">
        <f t="shared" si="302"/>
        <v>0</v>
      </c>
      <c r="FW86" s="1155">
        <f t="shared" si="303"/>
        <v>0</v>
      </c>
      <c r="FX86" s="1155">
        <f t="shared" si="304"/>
        <v>15796.486429820452</v>
      </c>
      <c r="FY86" s="1155">
        <f t="shared" si="305"/>
        <v>0</v>
      </c>
      <c r="FZ86" s="1155">
        <f t="shared" si="306"/>
        <v>0</v>
      </c>
      <c r="GA86" s="1155">
        <f t="shared" si="307"/>
        <v>0</v>
      </c>
      <c r="GB86" s="1155">
        <f t="shared" si="308"/>
        <v>0</v>
      </c>
      <c r="GC86" s="1155">
        <f t="shared" si="309"/>
        <v>0</v>
      </c>
      <c r="GD86" s="1155">
        <f t="shared" si="310"/>
        <v>0</v>
      </c>
      <c r="GE86" s="1155">
        <f t="shared" si="311"/>
        <v>0</v>
      </c>
      <c r="GF86" s="1155">
        <f t="shared" si="312"/>
        <v>0</v>
      </c>
      <c r="GG86" s="1155">
        <f t="shared" si="313"/>
        <v>0</v>
      </c>
      <c r="GH86" s="1155">
        <f t="shared" si="314"/>
        <v>0</v>
      </c>
      <c r="GI86" s="1155">
        <f t="shared" si="315"/>
        <v>0</v>
      </c>
      <c r="GJ86" s="1175">
        <f t="shared" si="316"/>
        <v>29921.901549892846</v>
      </c>
    </row>
    <row r="87" spans="1:192" s="1101" customFormat="1">
      <c r="B87" s="1259" t="str">
        <f>IF(Prop2021DUOSTariffs!B87="","",Prop2021DUOSTariffs!B87)</f>
        <v/>
      </c>
      <c r="C87" s="1259" t="str">
        <f>IF(Prop2021DUOSTariffs!C87="","",Prop2021DUOSTariffs!C87)</f>
        <v>West SAC&lt;100MWhpa Residential TOU Demand</v>
      </c>
      <c r="D87" s="1259" t="str">
        <f>IF(Prop2021DUOSTariffs!D87="","",Prop2021DUOSTariffs!D87)</f>
        <v>West SAC&lt;100MWhpa Residential TOU Demand</v>
      </c>
      <c r="E87" s="1259" t="str">
        <f>IF(Prop2021DUOSTariffs!E87="","",Prop2021DUOSTariffs!E87)</f>
        <v>SAC</v>
      </c>
      <c r="F87" s="1259" t="str">
        <f>IF(Prop2021DUOSTariffs!F87="","",Prop2021DUOSTariffs!F87)</f>
        <v>SACS Res</v>
      </c>
      <c r="G87" s="1259" t="str">
        <f>IF(Prop2021DUOSTariffs!G87="","",Prop2021DUOSTariffs!G87)</f>
        <v>West</v>
      </c>
      <c r="H87" s="1259" t="str">
        <f>IF(Prop2021DUOSTariffs!H87="","",Prop2021DUOSTariffs!H87)</f>
        <v>WRDEM</v>
      </c>
      <c r="I87" s="1259" t="s">
        <v>935</v>
      </c>
      <c r="J87" s="1256"/>
      <c r="K87" s="1233">
        <v>0.1335341443782054</v>
      </c>
      <c r="L87" s="1135"/>
      <c r="M87" s="1135"/>
      <c r="N87" s="1135"/>
      <c r="O87" s="1135"/>
      <c r="P87" s="1135"/>
      <c r="Q87" s="1135"/>
      <c r="R87" s="1135"/>
      <c r="S87" s="1135"/>
      <c r="T87" s="1135"/>
      <c r="U87" s="1135"/>
      <c r="V87" s="1135"/>
      <c r="W87" s="1135"/>
      <c r="X87" s="1135"/>
      <c r="Y87" s="1135"/>
      <c r="Z87" s="1135"/>
      <c r="AA87" s="1135"/>
      <c r="AB87" s="1135"/>
      <c r="AC87" s="1135"/>
      <c r="AD87" s="1135"/>
      <c r="AE87" s="1135"/>
      <c r="AF87" s="1005"/>
      <c r="AG87" s="1005"/>
      <c r="AH87" s="1224">
        <v>7.4122808686789441E-3</v>
      </c>
      <c r="AI87" s="1241"/>
      <c r="AJ87" s="1241"/>
      <c r="AK87" s="1241"/>
      <c r="AL87" s="1241"/>
      <c r="AM87" s="1241"/>
      <c r="AN87" s="1241"/>
      <c r="AO87" s="1241"/>
      <c r="AP87" s="1241"/>
      <c r="AQ87" s="1241"/>
      <c r="AR87" s="1241"/>
      <c r="AS87" s="1241"/>
      <c r="AT87" s="1256"/>
      <c r="AU87" s="1484">
        <v>0.14489953366876271</v>
      </c>
      <c r="AV87" s="1241"/>
      <c r="AW87" s="1241"/>
      <c r="AX87" s="1241"/>
      <c r="AY87" s="1241"/>
      <c r="AZ87" s="1241"/>
      <c r="BA87" s="1241"/>
      <c r="BB87" s="1241"/>
      <c r="BC87" s="1241"/>
      <c r="BD87" s="1241"/>
      <c r="BE87" s="1241"/>
      <c r="BF87" s="1241"/>
      <c r="BG87" s="1241"/>
      <c r="BH87" s="1241"/>
      <c r="BI87" s="1241"/>
      <c r="BJ87" s="1241"/>
      <c r="BK87" s="1241"/>
      <c r="BL87" s="1241"/>
      <c r="BM87" s="1241"/>
      <c r="BN87" s="1241"/>
      <c r="BO87" s="1241"/>
      <c r="BP87" s="1241"/>
      <c r="BQ87" s="1241"/>
      <c r="BR87" s="1484">
        <v>8.2170735145811833E-3</v>
      </c>
      <c r="BS87" s="1241"/>
      <c r="BT87" s="1241"/>
      <c r="BU87" s="1241"/>
      <c r="BV87" s="1241"/>
      <c r="BW87" s="1241"/>
      <c r="BX87" s="1241"/>
      <c r="BY87" s="1241"/>
      <c r="BZ87" s="1241"/>
      <c r="CA87" s="1241"/>
      <c r="CB87" s="1241"/>
      <c r="CC87" s="1241"/>
      <c r="CD87" s="1256"/>
      <c r="CE87" s="1256"/>
      <c r="CF87" s="1265">
        <v>73.819999999999979</v>
      </c>
      <c r="CG87" s="1135"/>
      <c r="CH87" s="1135"/>
      <c r="CI87" s="1135"/>
      <c r="CJ87" s="1135"/>
      <c r="CK87" s="1135"/>
      <c r="CL87" s="1135"/>
      <c r="CM87" s="1135"/>
      <c r="CN87" s="1135"/>
      <c r="CO87" s="1135"/>
      <c r="CP87" s="1135"/>
      <c r="CQ87" s="1135"/>
      <c r="CR87" s="1135"/>
      <c r="CS87" s="1135"/>
      <c r="CT87" s="1135"/>
      <c r="CU87" s="1135"/>
      <c r="CV87" s="1135"/>
      <c r="CW87" s="1135"/>
      <c r="CX87" s="1135"/>
      <c r="CY87" s="1135"/>
      <c r="CZ87" s="1135"/>
      <c r="DA87" s="1008"/>
      <c r="DB87" s="1008"/>
      <c r="DC87" s="1265">
        <v>717563.23</v>
      </c>
      <c r="DD87" s="1008"/>
      <c r="DE87" s="1008"/>
      <c r="DF87" s="1008"/>
      <c r="DG87" s="1008"/>
      <c r="DH87" s="1008"/>
      <c r="DI87" s="1008"/>
      <c r="DJ87" s="1008"/>
      <c r="DK87" s="1008"/>
      <c r="DL87" s="1008"/>
      <c r="DM87" s="1008"/>
      <c r="DN87" s="1008"/>
      <c r="DO87" s="1256"/>
      <c r="DP87" s="1155">
        <f t="shared" si="245"/>
        <v>3597.9840463696787</v>
      </c>
      <c r="DQ87" s="1155">
        <f t="shared" si="246"/>
        <v>0</v>
      </c>
      <c r="DR87" s="1155">
        <f t="shared" si="247"/>
        <v>0</v>
      </c>
      <c r="DS87" s="1155">
        <f t="shared" si="248"/>
        <v>0</v>
      </c>
      <c r="DT87" s="1155">
        <f t="shared" si="249"/>
        <v>0</v>
      </c>
      <c r="DU87" s="1155">
        <f t="shared" si="250"/>
        <v>0</v>
      </c>
      <c r="DV87" s="1155">
        <f t="shared" si="251"/>
        <v>0</v>
      </c>
      <c r="DW87" s="1155">
        <f t="shared" si="252"/>
        <v>0</v>
      </c>
      <c r="DX87" s="1155">
        <f t="shared" si="253"/>
        <v>0</v>
      </c>
      <c r="DY87" s="1155">
        <f t="shared" si="254"/>
        <v>0</v>
      </c>
      <c r="DZ87" s="1155">
        <f t="shared" si="255"/>
        <v>0</v>
      </c>
      <c r="EA87" s="1155">
        <f t="shared" si="256"/>
        <v>0</v>
      </c>
      <c r="EB87" s="1155">
        <f t="shared" si="257"/>
        <v>0</v>
      </c>
      <c r="EC87" s="1155">
        <f t="shared" si="258"/>
        <v>0</v>
      </c>
      <c r="ED87" s="1155">
        <f t="shared" si="259"/>
        <v>0</v>
      </c>
      <c r="EE87" s="1155">
        <f t="shared" si="260"/>
        <v>0</v>
      </c>
      <c r="EF87" s="1155">
        <f t="shared" si="261"/>
        <v>0</v>
      </c>
      <c r="EG87" s="1155">
        <f t="shared" si="262"/>
        <v>0</v>
      </c>
      <c r="EH87" s="1155">
        <f t="shared" si="263"/>
        <v>0</v>
      </c>
      <c r="EI87" s="1155">
        <f t="shared" si="264"/>
        <v>0</v>
      </c>
      <c r="EJ87" s="1155">
        <f t="shared" si="265"/>
        <v>0</v>
      </c>
      <c r="EK87" s="1155">
        <f t="shared" si="266"/>
        <v>0</v>
      </c>
      <c r="EL87" s="1155">
        <f t="shared" si="267"/>
        <v>0</v>
      </c>
      <c r="EM87" s="1155">
        <f t="shared" si="268"/>
        <v>5318.7802017964686</v>
      </c>
      <c r="EN87" s="1155">
        <f t="shared" si="269"/>
        <v>0</v>
      </c>
      <c r="EO87" s="1155">
        <f t="shared" si="270"/>
        <v>0</v>
      </c>
      <c r="EP87" s="1155">
        <f t="shared" si="271"/>
        <v>0</v>
      </c>
      <c r="EQ87" s="1155">
        <f t="shared" si="272"/>
        <v>0</v>
      </c>
      <c r="ER87" s="1155">
        <f t="shared" si="273"/>
        <v>0</v>
      </c>
      <c r="ES87" s="1155">
        <f t="shared" si="274"/>
        <v>0</v>
      </c>
      <c r="ET87" s="1155">
        <f t="shared" si="275"/>
        <v>0</v>
      </c>
      <c r="EU87" s="1155">
        <f t="shared" si="276"/>
        <v>0</v>
      </c>
      <c r="EV87" s="1155">
        <f t="shared" si="277"/>
        <v>0</v>
      </c>
      <c r="EW87" s="1155">
        <f t="shared" si="278"/>
        <v>0</v>
      </c>
      <c r="EX87" s="1155">
        <f t="shared" si="279"/>
        <v>0</v>
      </c>
      <c r="EY87" s="1175">
        <f t="shared" si="280"/>
        <v>8916.7642481661478</v>
      </c>
      <c r="EZ87" s="1256"/>
      <c r="FA87" s="1155">
        <f t="shared" si="281"/>
        <v>3904.2165050312419</v>
      </c>
      <c r="FB87" s="1155">
        <f t="shared" si="282"/>
        <v>0</v>
      </c>
      <c r="FC87" s="1155">
        <f t="shared" si="283"/>
        <v>0</v>
      </c>
      <c r="FD87" s="1155">
        <f t="shared" si="284"/>
        <v>0</v>
      </c>
      <c r="FE87" s="1155">
        <f t="shared" si="285"/>
        <v>0</v>
      </c>
      <c r="FF87" s="1155">
        <f t="shared" si="286"/>
        <v>0</v>
      </c>
      <c r="FG87" s="1155">
        <f t="shared" si="287"/>
        <v>0</v>
      </c>
      <c r="FH87" s="1155">
        <f t="shared" si="288"/>
        <v>0</v>
      </c>
      <c r="FI87" s="1155">
        <f t="shared" si="289"/>
        <v>0</v>
      </c>
      <c r="FJ87" s="1155">
        <f t="shared" si="290"/>
        <v>0</v>
      </c>
      <c r="FK87" s="1155">
        <f t="shared" si="291"/>
        <v>0</v>
      </c>
      <c r="FL87" s="1155">
        <f t="shared" si="292"/>
        <v>0</v>
      </c>
      <c r="FM87" s="1155">
        <f t="shared" si="293"/>
        <v>0</v>
      </c>
      <c r="FN87" s="1155">
        <f t="shared" si="294"/>
        <v>0</v>
      </c>
      <c r="FO87" s="1155">
        <f t="shared" si="295"/>
        <v>0</v>
      </c>
      <c r="FP87" s="1155">
        <f t="shared" si="296"/>
        <v>0</v>
      </c>
      <c r="FQ87" s="1155">
        <f t="shared" si="297"/>
        <v>0</v>
      </c>
      <c r="FR87" s="1155">
        <f t="shared" si="298"/>
        <v>0</v>
      </c>
      <c r="FS87" s="1155">
        <f t="shared" si="299"/>
        <v>0</v>
      </c>
      <c r="FT87" s="1155">
        <f t="shared" si="300"/>
        <v>0</v>
      </c>
      <c r="FU87" s="1155">
        <f t="shared" si="301"/>
        <v>0</v>
      </c>
      <c r="FV87" s="1155">
        <f t="shared" si="302"/>
        <v>0</v>
      </c>
      <c r="FW87" s="1155">
        <f t="shared" si="303"/>
        <v>0</v>
      </c>
      <c r="FX87" s="1155">
        <f t="shared" si="304"/>
        <v>5896.2698122703259</v>
      </c>
      <c r="FY87" s="1155">
        <f t="shared" si="305"/>
        <v>0</v>
      </c>
      <c r="FZ87" s="1155">
        <f t="shared" si="306"/>
        <v>0</v>
      </c>
      <c r="GA87" s="1155">
        <f t="shared" si="307"/>
        <v>0</v>
      </c>
      <c r="GB87" s="1155">
        <f t="shared" si="308"/>
        <v>0</v>
      </c>
      <c r="GC87" s="1155">
        <f t="shared" si="309"/>
        <v>0</v>
      </c>
      <c r="GD87" s="1155">
        <f t="shared" si="310"/>
        <v>0</v>
      </c>
      <c r="GE87" s="1155">
        <f t="shared" si="311"/>
        <v>0</v>
      </c>
      <c r="GF87" s="1155">
        <f t="shared" si="312"/>
        <v>0</v>
      </c>
      <c r="GG87" s="1155">
        <f t="shared" si="313"/>
        <v>0</v>
      </c>
      <c r="GH87" s="1155">
        <f t="shared" si="314"/>
        <v>0</v>
      </c>
      <c r="GI87" s="1155">
        <f t="shared" si="315"/>
        <v>0</v>
      </c>
      <c r="GJ87" s="1175">
        <f t="shared" si="316"/>
        <v>9800.4863173015674</v>
      </c>
    </row>
    <row r="88" spans="1:192" s="1101" customFormat="1">
      <c r="B88" s="1259" t="str">
        <f>IF(Prop2021DUOSTariffs!B88="","",Prop2021DUOSTariffs!B88)</f>
        <v/>
      </c>
      <c r="C88" s="1259" t="str">
        <f>IF(Prop2021DUOSTariffs!C88="","",Prop2021DUOSTariffs!C88)</f>
        <v>MtIsa SAC&lt;100MWhpa Residential TOU Demand</v>
      </c>
      <c r="D88" s="1259" t="str">
        <f>IF(Prop2021DUOSTariffs!D88="","",Prop2021DUOSTariffs!D88)</f>
        <v>MtIsa SAC&lt;100MWhpa Residential TOU Demand</v>
      </c>
      <c r="E88" s="1259" t="str">
        <f>IF(Prop2021DUOSTariffs!E88="","",Prop2021DUOSTariffs!E88)</f>
        <v>SAC</v>
      </c>
      <c r="F88" s="1259" t="str">
        <f>IF(Prop2021DUOSTariffs!F88="","",Prop2021DUOSTariffs!F88)</f>
        <v>SACS Res</v>
      </c>
      <c r="G88" s="1259" t="str">
        <f>IF(Prop2021DUOSTariffs!G88="","",Prop2021DUOSTariffs!G88)</f>
        <v>Mt Isa</v>
      </c>
      <c r="H88" s="1259" t="str">
        <f>IF(Prop2021DUOSTariffs!H88="","",Prop2021DUOSTariffs!H88)</f>
        <v>MRDEM</v>
      </c>
      <c r="I88" s="1259" t="s">
        <v>935</v>
      </c>
      <c r="J88" s="1256"/>
      <c r="K88" s="1233">
        <v>0.1335341443782054</v>
      </c>
      <c r="L88" s="1135"/>
      <c r="M88" s="1135"/>
      <c r="N88" s="1135"/>
      <c r="O88" s="1135"/>
      <c r="P88" s="1135"/>
      <c r="Q88" s="1135"/>
      <c r="R88" s="1135"/>
      <c r="S88" s="1135"/>
      <c r="T88" s="1135"/>
      <c r="U88" s="1135"/>
      <c r="V88" s="1135"/>
      <c r="W88" s="1135"/>
      <c r="X88" s="1135"/>
      <c r="Y88" s="1135"/>
      <c r="Z88" s="1135"/>
      <c r="AA88" s="1135"/>
      <c r="AB88" s="1135"/>
      <c r="AC88" s="1135"/>
      <c r="AD88" s="1135"/>
      <c r="AE88" s="1135"/>
      <c r="AF88" s="1005"/>
      <c r="AG88" s="1005"/>
      <c r="AH88" s="1224">
        <v>7.4122808686789441E-3</v>
      </c>
      <c r="AI88" s="1241"/>
      <c r="AJ88" s="1241"/>
      <c r="AK88" s="1241"/>
      <c r="AL88" s="1241"/>
      <c r="AM88" s="1241"/>
      <c r="AN88" s="1241"/>
      <c r="AO88" s="1241"/>
      <c r="AP88" s="1241"/>
      <c r="AQ88" s="1241"/>
      <c r="AR88" s="1241"/>
      <c r="AS88" s="1241"/>
      <c r="AT88" s="1256"/>
      <c r="AU88" s="1484">
        <v>0.14489953366876271</v>
      </c>
      <c r="AV88" s="1241"/>
      <c r="AW88" s="1241"/>
      <c r="AX88" s="1241"/>
      <c r="AY88" s="1241"/>
      <c r="AZ88" s="1241"/>
      <c r="BA88" s="1241"/>
      <c r="BB88" s="1241"/>
      <c r="BC88" s="1241"/>
      <c r="BD88" s="1241"/>
      <c r="BE88" s="1241"/>
      <c r="BF88" s="1241"/>
      <c r="BG88" s="1241"/>
      <c r="BH88" s="1241"/>
      <c r="BI88" s="1241"/>
      <c r="BJ88" s="1241"/>
      <c r="BK88" s="1241"/>
      <c r="BL88" s="1241"/>
      <c r="BM88" s="1241"/>
      <c r="BN88" s="1241"/>
      <c r="BO88" s="1241"/>
      <c r="BP88" s="1241"/>
      <c r="BQ88" s="1241"/>
      <c r="BR88" s="1484">
        <v>8.2170735145811833E-3</v>
      </c>
      <c r="BS88" s="1241"/>
      <c r="BT88" s="1241"/>
      <c r="BU88" s="1241"/>
      <c r="BV88" s="1241"/>
      <c r="BW88" s="1241"/>
      <c r="BX88" s="1241"/>
      <c r="BY88" s="1241"/>
      <c r="BZ88" s="1241"/>
      <c r="CA88" s="1241"/>
      <c r="CB88" s="1241"/>
      <c r="CC88" s="1241"/>
      <c r="CD88" s="1256"/>
      <c r="CE88" s="1256"/>
      <c r="CF88" s="1265">
        <v>0</v>
      </c>
      <c r="CG88" s="1135"/>
      <c r="CH88" s="1135"/>
      <c r="CI88" s="1135"/>
      <c r="CJ88" s="1135"/>
      <c r="CK88" s="1135"/>
      <c r="CL88" s="1135"/>
      <c r="CM88" s="1135"/>
      <c r="CN88" s="1135"/>
      <c r="CO88" s="1135"/>
      <c r="CP88" s="1135"/>
      <c r="CQ88" s="1135"/>
      <c r="CR88" s="1135"/>
      <c r="CS88" s="1135"/>
      <c r="CT88" s="1135"/>
      <c r="CU88" s="1135"/>
      <c r="CV88" s="1135"/>
      <c r="CW88" s="1135"/>
      <c r="CX88" s="1135"/>
      <c r="CY88" s="1135"/>
      <c r="CZ88" s="1135"/>
      <c r="DA88" s="1008"/>
      <c r="DB88" s="1008"/>
      <c r="DC88" s="1265">
        <v>0</v>
      </c>
      <c r="DD88" s="1008"/>
      <c r="DE88" s="1008"/>
      <c r="DF88" s="1008"/>
      <c r="DG88" s="1008"/>
      <c r="DH88" s="1008"/>
      <c r="DI88" s="1008"/>
      <c r="DJ88" s="1008"/>
      <c r="DK88" s="1008"/>
      <c r="DL88" s="1008"/>
      <c r="DM88" s="1008"/>
      <c r="DN88" s="1008"/>
      <c r="DO88" s="1256"/>
      <c r="DP88" s="1155">
        <f t="shared" si="245"/>
        <v>0</v>
      </c>
      <c r="DQ88" s="1155">
        <f t="shared" si="246"/>
        <v>0</v>
      </c>
      <c r="DR88" s="1155">
        <f t="shared" si="247"/>
        <v>0</v>
      </c>
      <c r="DS88" s="1155">
        <f t="shared" si="248"/>
        <v>0</v>
      </c>
      <c r="DT88" s="1155">
        <f t="shared" si="249"/>
        <v>0</v>
      </c>
      <c r="DU88" s="1155">
        <f t="shared" si="250"/>
        <v>0</v>
      </c>
      <c r="DV88" s="1155">
        <f t="shared" si="251"/>
        <v>0</v>
      </c>
      <c r="DW88" s="1155">
        <f t="shared" si="252"/>
        <v>0</v>
      </c>
      <c r="DX88" s="1155">
        <f t="shared" si="253"/>
        <v>0</v>
      </c>
      <c r="DY88" s="1155">
        <f t="shared" si="254"/>
        <v>0</v>
      </c>
      <c r="DZ88" s="1155">
        <f t="shared" si="255"/>
        <v>0</v>
      </c>
      <c r="EA88" s="1155">
        <f t="shared" si="256"/>
        <v>0</v>
      </c>
      <c r="EB88" s="1155">
        <f t="shared" si="257"/>
        <v>0</v>
      </c>
      <c r="EC88" s="1155">
        <f t="shared" si="258"/>
        <v>0</v>
      </c>
      <c r="ED88" s="1155">
        <f t="shared" si="259"/>
        <v>0</v>
      </c>
      <c r="EE88" s="1155">
        <f t="shared" si="260"/>
        <v>0</v>
      </c>
      <c r="EF88" s="1155">
        <f t="shared" si="261"/>
        <v>0</v>
      </c>
      <c r="EG88" s="1155">
        <f t="shared" si="262"/>
        <v>0</v>
      </c>
      <c r="EH88" s="1155">
        <f t="shared" si="263"/>
        <v>0</v>
      </c>
      <c r="EI88" s="1155">
        <f t="shared" si="264"/>
        <v>0</v>
      </c>
      <c r="EJ88" s="1155">
        <f t="shared" si="265"/>
        <v>0</v>
      </c>
      <c r="EK88" s="1155">
        <f t="shared" si="266"/>
        <v>0</v>
      </c>
      <c r="EL88" s="1155">
        <f t="shared" si="267"/>
        <v>0</v>
      </c>
      <c r="EM88" s="1155">
        <f t="shared" si="268"/>
        <v>0</v>
      </c>
      <c r="EN88" s="1155">
        <f t="shared" si="269"/>
        <v>0</v>
      </c>
      <c r="EO88" s="1155">
        <f t="shared" si="270"/>
        <v>0</v>
      </c>
      <c r="EP88" s="1155">
        <f t="shared" si="271"/>
        <v>0</v>
      </c>
      <c r="EQ88" s="1155">
        <f t="shared" si="272"/>
        <v>0</v>
      </c>
      <c r="ER88" s="1155">
        <f t="shared" si="273"/>
        <v>0</v>
      </c>
      <c r="ES88" s="1155">
        <f t="shared" si="274"/>
        <v>0</v>
      </c>
      <c r="ET88" s="1155">
        <f t="shared" si="275"/>
        <v>0</v>
      </c>
      <c r="EU88" s="1155">
        <f t="shared" si="276"/>
        <v>0</v>
      </c>
      <c r="EV88" s="1155">
        <f t="shared" si="277"/>
        <v>0</v>
      </c>
      <c r="EW88" s="1155">
        <f t="shared" si="278"/>
        <v>0</v>
      </c>
      <c r="EX88" s="1155">
        <f t="shared" si="279"/>
        <v>0</v>
      </c>
      <c r="EY88" s="1175">
        <f t="shared" si="280"/>
        <v>0</v>
      </c>
      <c r="EZ88" s="1256"/>
      <c r="FA88" s="1155">
        <f t="shared" si="281"/>
        <v>0</v>
      </c>
      <c r="FB88" s="1155">
        <f t="shared" si="282"/>
        <v>0</v>
      </c>
      <c r="FC88" s="1155">
        <f t="shared" si="283"/>
        <v>0</v>
      </c>
      <c r="FD88" s="1155">
        <f t="shared" si="284"/>
        <v>0</v>
      </c>
      <c r="FE88" s="1155">
        <f t="shared" si="285"/>
        <v>0</v>
      </c>
      <c r="FF88" s="1155">
        <f t="shared" si="286"/>
        <v>0</v>
      </c>
      <c r="FG88" s="1155">
        <f t="shared" si="287"/>
        <v>0</v>
      </c>
      <c r="FH88" s="1155">
        <f t="shared" si="288"/>
        <v>0</v>
      </c>
      <c r="FI88" s="1155">
        <f t="shared" si="289"/>
        <v>0</v>
      </c>
      <c r="FJ88" s="1155">
        <f t="shared" si="290"/>
        <v>0</v>
      </c>
      <c r="FK88" s="1155">
        <f t="shared" si="291"/>
        <v>0</v>
      </c>
      <c r="FL88" s="1155">
        <f t="shared" si="292"/>
        <v>0</v>
      </c>
      <c r="FM88" s="1155">
        <f t="shared" si="293"/>
        <v>0</v>
      </c>
      <c r="FN88" s="1155">
        <f t="shared" si="294"/>
        <v>0</v>
      </c>
      <c r="FO88" s="1155">
        <f t="shared" si="295"/>
        <v>0</v>
      </c>
      <c r="FP88" s="1155">
        <f t="shared" si="296"/>
        <v>0</v>
      </c>
      <c r="FQ88" s="1155">
        <f t="shared" si="297"/>
        <v>0</v>
      </c>
      <c r="FR88" s="1155">
        <f t="shared" si="298"/>
        <v>0</v>
      </c>
      <c r="FS88" s="1155">
        <f t="shared" si="299"/>
        <v>0</v>
      </c>
      <c r="FT88" s="1155">
        <f t="shared" si="300"/>
        <v>0</v>
      </c>
      <c r="FU88" s="1155">
        <f t="shared" si="301"/>
        <v>0</v>
      </c>
      <c r="FV88" s="1155">
        <f t="shared" si="302"/>
        <v>0</v>
      </c>
      <c r="FW88" s="1155">
        <f t="shared" si="303"/>
        <v>0</v>
      </c>
      <c r="FX88" s="1155">
        <f t="shared" si="304"/>
        <v>0</v>
      </c>
      <c r="FY88" s="1155">
        <f t="shared" si="305"/>
        <v>0</v>
      </c>
      <c r="FZ88" s="1155">
        <f t="shared" si="306"/>
        <v>0</v>
      </c>
      <c r="GA88" s="1155">
        <f t="shared" si="307"/>
        <v>0</v>
      </c>
      <c r="GB88" s="1155">
        <f t="shared" si="308"/>
        <v>0</v>
      </c>
      <c r="GC88" s="1155">
        <f t="shared" si="309"/>
        <v>0</v>
      </c>
      <c r="GD88" s="1155">
        <f t="shared" si="310"/>
        <v>0</v>
      </c>
      <c r="GE88" s="1155">
        <f t="shared" si="311"/>
        <v>0</v>
      </c>
      <c r="GF88" s="1155">
        <f t="shared" si="312"/>
        <v>0</v>
      </c>
      <c r="GG88" s="1155">
        <f t="shared" si="313"/>
        <v>0</v>
      </c>
      <c r="GH88" s="1155">
        <f t="shared" si="314"/>
        <v>0</v>
      </c>
      <c r="GI88" s="1155">
        <f t="shared" si="315"/>
        <v>0</v>
      </c>
      <c r="GJ88" s="1175">
        <f t="shared" si="316"/>
        <v>0</v>
      </c>
    </row>
    <row r="89" spans="1:192" ht="6" customHeight="1">
      <c r="A89" s="1205"/>
      <c r="B89" s="1184" t="s">
        <v>742</v>
      </c>
      <c r="C89" s="1184"/>
      <c r="D89" s="1184"/>
      <c r="E89" s="1184"/>
      <c r="F89" s="1184"/>
      <c r="G89" s="1184"/>
      <c r="H89" s="1184"/>
      <c r="I89" s="1184"/>
      <c r="J89" s="1207"/>
      <c r="K89" s="1184"/>
      <c r="L89" s="1184"/>
      <c r="M89" s="1184"/>
      <c r="N89" s="1184"/>
      <c r="O89" s="1184"/>
      <c r="P89" s="1184"/>
      <c r="Q89" s="1184"/>
      <c r="R89" s="1184"/>
      <c r="S89" s="1184"/>
      <c r="T89" s="1184"/>
      <c r="U89" s="1184"/>
      <c r="V89" s="1184"/>
      <c r="W89" s="1184"/>
      <c r="X89" s="1184"/>
      <c r="Y89" s="1184"/>
      <c r="Z89" s="1184"/>
      <c r="AA89" s="1184"/>
      <c r="AB89" s="1184"/>
      <c r="AC89" s="1184"/>
      <c r="AD89" s="1184"/>
      <c r="AE89" s="1184"/>
      <c r="AF89" s="1184"/>
      <c r="AG89" s="1184"/>
      <c r="AH89" s="1263"/>
      <c r="AI89" s="1263"/>
      <c r="AJ89" s="1263"/>
      <c r="AK89" s="1263"/>
      <c r="AL89" s="1263"/>
      <c r="AM89" s="1263"/>
      <c r="AN89" s="1263"/>
      <c r="AO89" s="1263"/>
      <c r="AP89" s="1263"/>
      <c r="AQ89" s="1263"/>
      <c r="AR89" s="1263"/>
      <c r="AS89" s="1263"/>
      <c r="AT89" s="1207"/>
      <c r="AU89" s="1263"/>
      <c r="AV89" s="1263"/>
      <c r="AW89" s="1263"/>
      <c r="AX89" s="1263"/>
      <c r="AY89" s="1263"/>
      <c r="AZ89" s="1263"/>
      <c r="BA89" s="1263"/>
      <c r="BB89" s="1263"/>
      <c r="BC89" s="1263"/>
      <c r="BD89" s="1263"/>
      <c r="BE89" s="1263"/>
      <c r="BF89" s="1263"/>
      <c r="BG89" s="1263"/>
      <c r="BH89" s="1263"/>
      <c r="BI89" s="1263"/>
      <c r="BJ89" s="1263"/>
      <c r="BK89" s="1263"/>
      <c r="BL89" s="1263"/>
      <c r="BM89" s="1263"/>
      <c r="BN89" s="1263"/>
      <c r="BO89" s="1263"/>
      <c r="BP89" s="1263"/>
      <c r="BQ89" s="1263"/>
      <c r="BR89" s="1263"/>
      <c r="BS89" s="1263"/>
      <c r="BT89" s="1263"/>
      <c r="BU89" s="1263"/>
      <c r="BV89" s="1263"/>
      <c r="BW89" s="1263"/>
      <c r="BX89" s="1263"/>
      <c r="BY89" s="1263"/>
      <c r="BZ89" s="1263"/>
      <c r="CA89" s="1263"/>
      <c r="CB89" s="1263"/>
      <c r="CC89" s="1263"/>
      <c r="CD89" s="1207"/>
      <c r="CE89" s="1207"/>
      <c r="CF89" s="1184"/>
      <c r="CG89" s="1184"/>
      <c r="CH89" s="1184"/>
      <c r="CI89" s="1184"/>
      <c r="CJ89" s="1184"/>
      <c r="CK89" s="1184"/>
      <c r="CL89" s="1184"/>
      <c r="CM89" s="1184"/>
      <c r="CN89" s="1184"/>
      <c r="CO89" s="1184"/>
      <c r="CP89" s="1184"/>
      <c r="CQ89" s="1184"/>
      <c r="CR89" s="1184"/>
      <c r="CS89" s="1184"/>
      <c r="CT89" s="1184"/>
      <c r="CU89" s="1184"/>
      <c r="CV89" s="1184"/>
      <c r="CW89" s="1184"/>
      <c r="CX89" s="1184"/>
      <c r="CY89" s="1184"/>
      <c r="CZ89" s="1184"/>
      <c r="DA89" s="1184"/>
      <c r="DB89" s="1184"/>
      <c r="DC89" s="1607"/>
      <c r="DD89" s="1184"/>
      <c r="DE89" s="1184"/>
      <c r="DF89" s="1184"/>
      <c r="DG89" s="1184"/>
      <c r="DH89" s="1184"/>
      <c r="DI89" s="1184"/>
      <c r="DJ89" s="1184"/>
      <c r="DK89" s="1184"/>
      <c r="DL89" s="1184"/>
      <c r="DM89" s="1184"/>
      <c r="DN89" s="1184"/>
      <c r="DO89" s="1207"/>
      <c r="DP89" s="1252"/>
      <c r="DQ89" s="1252"/>
      <c r="DR89" s="1252"/>
      <c r="DS89" s="1252"/>
      <c r="DT89" s="1252"/>
      <c r="DU89" s="1252"/>
      <c r="DV89" s="1252"/>
      <c r="DW89" s="1252"/>
      <c r="DX89" s="1252"/>
      <c r="DY89" s="1252"/>
      <c r="DZ89" s="1252"/>
      <c r="EA89" s="1252"/>
      <c r="EB89" s="1252"/>
      <c r="EC89" s="1252"/>
      <c r="ED89" s="1252"/>
      <c r="EE89" s="1252"/>
      <c r="EF89" s="1252"/>
      <c r="EG89" s="1252"/>
      <c r="EH89" s="1252"/>
      <c r="EI89" s="1252"/>
      <c r="EJ89" s="1252"/>
      <c r="EK89" s="1252"/>
      <c r="EL89" s="1252"/>
      <c r="EM89" s="1252"/>
      <c r="EN89" s="1252"/>
      <c r="EO89" s="1252"/>
      <c r="EP89" s="1252"/>
      <c r="EQ89" s="1252"/>
      <c r="ER89" s="1252"/>
      <c r="ES89" s="1252"/>
      <c r="ET89" s="1252"/>
      <c r="EU89" s="1252"/>
      <c r="EV89" s="1252"/>
      <c r="EW89" s="1252"/>
      <c r="EX89" s="1252"/>
      <c r="EY89" s="1252"/>
      <c r="EZ89" s="1207"/>
      <c r="FA89" s="1252"/>
      <c r="FB89" s="1252"/>
      <c r="FC89" s="1252"/>
      <c r="FD89" s="1252"/>
      <c r="FE89" s="1252"/>
      <c r="FF89" s="1252"/>
      <c r="FG89" s="1252"/>
      <c r="FH89" s="1252"/>
      <c r="FI89" s="1252"/>
      <c r="FJ89" s="1252"/>
      <c r="FK89" s="1252"/>
      <c r="FL89" s="1252"/>
      <c r="FM89" s="1252"/>
      <c r="FN89" s="1252"/>
      <c r="FO89" s="1252"/>
      <c r="FP89" s="1252"/>
      <c r="FQ89" s="1252"/>
      <c r="FR89" s="1252"/>
      <c r="FS89" s="1252"/>
      <c r="FT89" s="1252"/>
      <c r="FU89" s="1252"/>
      <c r="FV89" s="1252"/>
      <c r="FW89" s="1252"/>
      <c r="FX89" s="1252"/>
      <c r="FY89" s="1252"/>
      <c r="FZ89" s="1252"/>
      <c r="GA89" s="1252"/>
      <c r="GB89" s="1252"/>
      <c r="GC89" s="1252"/>
      <c r="GD89" s="1252"/>
      <c r="GE89" s="1252"/>
      <c r="GF89" s="1252"/>
      <c r="GG89" s="1252"/>
      <c r="GH89" s="1252"/>
      <c r="GI89" s="1252"/>
      <c r="GJ89" s="1252"/>
    </row>
    <row r="90" spans="1:192" s="1101" customFormat="1">
      <c r="B90" s="1259" t="str">
        <f>IF(Prop2021DUOSTariffs!B90="","",Prop2021DUOSTariffs!B90)</f>
        <v/>
      </c>
      <c r="C90" s="1259" t="str">
        <f>IF(Prop2021DUOSTariffs!C90="","",Prop2021DUOSTariffs!C90)</f>
        <v>East SAC&lt;100MWhpa Volume Night Controlled</v>
      </c>
      <c r="D90" s="1259" t="str">
        <f>IF(Prop2021DUOSTariffs!D90="","",Prop2021DUOSTariffs!D90)</f>
        <v>East SAC&lt;100MWhpa Volume Night Controlled</v>
      </c>
      <c r="E90" s="1259" t="str">
        <f>IF(Prop2021DUOSTariffs!E90="","",Prop2021DUOSTariffs!E90)</f>
        <v>SAC</v>
      </c>
      <c r="F90" s="1259" t="str">
        <f>IF(Prop2021DUOSTariffs!F90="","",Prop2021DUOSTariffs!F90)</f>
        <v>SACS CL</v>
      </c>
      <c r="G90" s="1259" t="str">
        <f>IF(Prop2021DUOSTariffs!G90="","",Prop2021DUOSTariffs!G90)</f>
        <v>East</v>
      </c>
      <c r="H90" s="1259" t="str">
        <f>IF(Prop2021DUOSTariffs!H90="","",Prop2021DUOSTariffs!H90)</f>
        <v>EVN</v>
      </c>
      <c r="I90" s="1259" t="s">
        <v>935</v>
      </c>
      <c r="J90" s="1256"/>
      <c r="K90" s="1135"/>
      <c r="L90" s="1135"/>
      <c r="M90" s="1135"/>
      <c r="N90" s="1135"/>
      <c r="O90" s="1135"/>
      <c r="P90" s="1135"/>
      <c r="Q90" s="1135"/>
      <c r="R90" s="1135"/>
      <c r="S90" s="1135"/>
      <c r="T90" s="1135"/>
      <c r="U90" s="1135"/>
      <c r="V90" s="1135"/>
      <c r="W90" s="1135"/>
      <c r="X90" s="1135"/>
      <c r="Y90" s="1135"/>
      <c r="Z90" s="1135"/>
      <c r="AA90" s="1135"/>
      <c r="AB90" s="1135"/>
      <c r="AC90" s="1135"/>
      <c r="AD90" s="1135"/>
      <c r="AE90" s="1135"/>
      <c r="AF90" s="1005"/>
      <c r="AG90" s="1005"/>
      <c r="AH90" s="1224">
        <v>7.4122808686789441E-3</v>
      </c>
      <c r="AI90" s="1241"/>
      <c r="AJ90" s="1241"/>
      <c r="AK90" s="1241"/>
      <c r="AL90" s="1241"/>
      <c r="AM90" s="1241"/>
      <c r="AN90" s="1241"/>
      <c r="AO90" s="1241"/>
      <c r="AP90" s="1241"/>
      <c r="AQ90" s="1241"/>
      <c r="AR90" s="1241"/>
      <c r="AS90" s="1241"/>
      <c r="AT90" s="1256"/>
      <c r="AU90" s="1241"/>
      <c r="AV90" s="1241"/>
      <c r="AW90" s="1241"/>
      <c r="AX90" s="1241"/>
      <c r="AY90" s="1241"/>
      <c r="AZ90" s="1241"/>
      <c r="BA90" s="1241"/>
      <c r="BB90" s="1241"/>
      <c r="BC90" s="1241"/>
      <c r="BD90" s="1241"/>
      <c r="BE90" s="1241"/>
      <c r="BF90" s="1241"/>
      <c r="BG90" s="1241"/>
      <c r="BH90" s="1241"/>
      <c r="BI90" s="1241"/>
      <c r="BJ90" s="1241"/>
      <c r="BK90" s="1241"/>
      <c r="BL90" s="1241"/>
      <c r="BM90" s="1241"/>
      <c r="BN90" s="1241"/>
      <c r="BO90" s="1241"/>
      <c r="BP90" s="1241"/>
      <c r="BQ90" s="1241"/>
      <c r="BR90" s="1484">
        <v>8.2170735145811833E-3</v>
      </c>
      <c r="BS90" s="1241"/>
      <c r="BT90" s="1241"/>
      <c r="BU90" s="1241"/>
      <c r="BV90" s="1241"/>
      <c r="BW90" s="1241"/>
      <c r="BX90" s="1241"/>
      <c r="BY90" s="1241"/>
      <c r="BZ90" s="1241"/>
      <c r="CA90" s="1241"/>
      <c r="CB90" s="1241"/>
      <c r="CC90" s="1241"/>
      <c r="CD90" s="1256"/>
      <c r="CE90" s="1256"/>
      <c r="CF90" s="1265">
        <v>0</v>
      </c>
      <c r="CG90" s="1135"/>
      <c r="CH90" s="1135"/>
      <c r="CI90" s="1135"/>
      <c r="CJ90" s="1135"/>
      <c r="CK90" s="1135"/>
      <c r="CL90" s="1135"/>
      <c r="CM90" s="1135"/>
      <c r="CN90" s="1135"/>
      <c r="CO90" s="1135"/>
      <c r="CP90" s="1135"/>
      <c r="CQ90" s="1135"/>
      <c r="CR90" s="1135"/>
      <c r="CS90" s="1135"/>
      <c r="CT90" s="1135"/>
      <c r="CU90" s="1135"/>
      <c r="CV90" s="1135"/>
      <c r="CW90" s="1135"/>
      <c r="CX90" s="1135"/>
      <c r="CY90" s="1135"/>
      <c r="CZ90" s="1135"/>
      <c r="DA90" s="1008"/>
      <c r="DB90" s="1008"/>
      <c r="DC90" s="1265">
        <v>152565173.53999999</v>
      </c>
      <c r="DD90" s="1008"/>
      <c r="DE90" s="1008"/>
      <c r="DF90" s="1008"/>
      <c r="DG90" s="1008"/>
      <c r="DH90" s="1008"/>
      <c r="DI90" s="1008"/>
      <c r="DJ90" s="1008"/>
      <c r="DK90" s="1008"/>
      <c r="DL90" s="1008"/>
      <c r="DM90" s="1008"/>
      <c r="DN90" s="1008"/>
      <c r="DO90" s="1256"/>
      <c r="DP90" s="1155">
        <f t="shared" ref="DP90:DP98" si="317">K90*CF90*DP$107</f>
        <v>0</v>
      </c>
      <c r="DQ90" s="1155">
        <f t="shared" ref="DQ90:DQ98" si="318">L90*CG90*DQ$107</f>
        <v>0</v>
      </c>
      <c r="DR90" s="1155">
        <f t="shared" ref="DR90:DR98" si="319">M90*CH90*DR$107</f>
        <v>0</v>
      </c>
      <c r="DS90" s="1155">
        <f t="shared" ref="DS90:DS98" si="320">N90*CI90*DS$107</f>
        <v>0</v>
      </c>
      <c r="DT90" s="1155">
        <f t="shared" ref="DT90:DT98" si="321">O90*CJ90*DT$107</f>
        <v>0</v>
      </c>
      <c r="DU90" s="1155">
        <f t="shared" ref="DU90:DU98" si="322">P90*CK90*DU$107</f>
        <v>0</v>
      </c>
      <c r="DV90" s="1155">
        <f t="shared" ref="DV90:DV98" si="323">Q90*CL90*DV$107</f>
        <v>0</v>
      </c>
      <c r="DW90" s="1155">
        <f t="shared" ref="DW90:DW98" si="324">R90*CM90*DW$107</f>
        <v>0</v>
      </c>
      <c r="DX90" s="1155">
        <f t="shared" ref="DX90:DX98" si="325">S90*CN90*DX$107</f>
        <v>0</v>
      </c>
      <c r="DY90" s="1155">
        <f t="shared" ref="DY90:DY98" si="326">T90*CO90*DY$107</f>
        <v>0</v>
      </c>
      <c r="DZ90" s="1155">
        <f t="shared" ref="DZ90:DZ98" si="327">U90*CP90*DZ$107</f>
        <v>0</v>
      </c>
      <c r="EA90" s="1155">
        <f t="shared" ref="EA90:EA98" si="328">V90*CQ90*EA$107</f>
        <v>0</v>
      </c>
      <c r="EB90" s="1155">
        <f t="shared" ref="EB90:EB98" si="329">W90*CR90*EB$107</f>
        <v>0</v>
      </c>
      <c r="EC90" s="1155">
        <f t="shared" ref="EC90:EC98" si="330">X90*CS90*EC$107</f>
        <v>0</v>
      </c>
      <c r="ED90" s="1155">
        <f t="shared" ref="ED90:ED98" si="331">Y90*CT90*ED$107</f>
        <v>0</v>
      </c>
      <c r="EE90" s="1155">
        <f t="shared" ref="EE90:EE98" si="332">Z90*CU90*EE$107</f>
        <v>0</v>
      </c>
      <c r="EF90" s="1155">
        <f t="shared" ref="EF90:EF98" si="333">AA90*CV90*EF$107</f>
        <v>0</v>
      </c>
      <c r="EG90" s="1155">
        <f t="shared" ref="EG90:EG98" si="334">AB90*CW90*EG$107</f>
        <v>0</v>
      </c>
      <c r="EH90" s="1155">
        <f t="shared" ref="EH90:EH98" si="335">AC90*CX90*EH$107</f>
        <v>0</v>
      </c>
      <c r="EI90" s="1155">
        <f t="shared" ref="EI90:EI98" si="336">AD90*CY90*EI$107</f>
        <v>0</v>
      </c>
      <c r="EJ90" s="1155">
        <f t="shared" ref="EJ90:EJ98" si="337">AE90*CZ90*EJ$107</f>
        <v>0</v>
      </c>
      <c r="EK90" s="1155">
        <f t="shared" ref="EK90:EK98" si="338">AF90*DA90*EK$107</f>
        <v>0</v>
      </c>
      <c r="EL90" s="1155">
        <f t="shared" ref="EL90:EL98" si="339">AG90*DB90*EL$107</f>
        <v>0</v>
      </c>
      <c r="EM90" s="1155">
        <f t="shared" ref="EM90:EM98" si="340">AH90*DC90*EM$107</f>
        <v>1130855.917057225</v>
      </c>
      <c r="EN90" s="1155">
        <f t="shared" ref="EN90:EN98" si="341">AI90*DD90*EN$107</f>
        <v>0</v>
      </c>
      <c r="EO90" s="1155">
        <f t="shared" ref="EO90:EO98" si="342">AJ90*DE90*EO$107</f>
        <v>0</v>
      </c>
      <c r="EP90" s="1155">
        <f t="shared" ref="EP90:EP98" si="343">AK90*DF90*EP$107</f>
        <v>0</v>
      </c>
      <c r="EQ90" s="1155">
        <f t="shared" ref="EQ90:EQ98" si="344">AL90*DG90*EQ$107</f>
        <v>0</v>
      </c>
      <c r="ER90" s="1155">
        <f t="shared" ref="ER90:ER98" si="345">AM90*DH90*ER$107</f>
        <v>0</v>
      </c>
      <c r="ES90" s="1155">
        <f t="shared" ref="ES90:ES98" si="346">AN90*DI90*ES$107</f>
        <v>0</v>
      </c>
      <c r="ET90" s="1155">
        <f t="shared" ref="ET90:ET98" si="347">AO90*DJ90*ET$107</f>
        <v>0</v>
      </c>
      <c r="EU90" s="1155">
        <f t="shared" ref="EU90:EU98" si="348">AP90*DK90*EU$107</f>
        <v>0</v>
      </c>
      <c r="EV90" s="1155">
        <f t="shared" ref="EV90:EV98" si="349">AQ90*DL90*EV$107</f>
        <v>0</v>
      </c>
      <c r="EW90" s="1155">
        <f t="shared" ref="EW90:EW98" si="350">AR90*DM90*EW$107</f>
        <v>0</v>
      </c>
      <c r="EX90" s="1155">
        <f t="shared" ref="EX90:EX98" si="351">AS90*DN90*EX$107</f>
        <v>0</v>
      </c>
      <c r="EY90" s="1175">
        <f t="shared" si="280"/>
        <v>1130855.917057225</v>
      </c>
      <c r="EZ90" s="1256"/>
      <c r="FA90" s="1155">
        <f t="shared" ref="FA90:FA98" si="352">AU90*CF90*FA$107</f>
        <v>0</v>
      </c>
      <c r="FB90" s="1155">
        <f t="shared" ref="FB90:FB98" si="353">AV90*CG90*FB$107</f>
        <v>0</v>
      </c>
      <c r="FC90" s="1155">
        <f t="shared" ref="FC90:FC98" si="354">AW90*CH90*FC$107</f>
        <v>0</v>
      </c>
      <c r="FD90" s="1155">
        <f t="shared" ref="FD90:FD98" si="355">AX90*CI90*FD$107</f>
        <v>0</v>
      </c>
      <c r="FE90" s="1155">
        <f t="shared" ref="FE90:FE98" si="356">AY90*CJ90*FE$107</f>
        <v>0</v>
      </c>
      <c r="FF90" s="1155">
        <f t="shared" ref="FF90:FF98" si="357">AZ90*CK90*FF$107</f>
        <v>0</v>
      </c>
      <c r="FG90" s="1155">
        <f t="shared" ref="FG90:FG98" si="358">BA90*CL90*FG$107</f>
        <v>0</v>
      </c>
      <c r="FH90" s="1155">
        <f t="shared" ref="FH90:FH98" si="359">BB90*CM90*FH$107</f>
        <v>0</v>
      </c>
      <c r="FI90" s="1155">
        <f t="shared" ref="FI90:FI98" si="360">BC90*CN90*FI$107</f>
        <v>0</v>
      </c>
      <c r="FJ90" s="1155">
        <f t="shared" ref="FJ90:FJ98" si="361">BD90*CO90*FJ$107</f>
        <v>0</v>
      </c>
      <c r="FK90" s="1155">
        <f t="shared" ref="FK90:FK98" si="362">BE90*CP90*FK$107</f>
        <v>0</v>
      </c>
      <c r="FL90" s="1155">
        <f t="shared" ref="FL90:FL98" si="363">BF90*CQ90*FL$107</f>
        <v>0</v>
      </c>
      <c r="FM90" s="1155">
        <f t="shared" ref="FM90:FM98" si="364">BG90*CR90*FM$107</f>
        <v>0</v>
      </c>
      <c r="FN90" s="1155">
        <f t="shared" ref="FN90:FN98" si="365">BH90*CS90*FN$107</f>
        <v>0</v>
      </c>
      <c r="FO90" s="1155">
        <f t="shared" ref="FO90:FO98" si="366">BI90*CT90*FO$107</f>
        <v>0</v>
      </c>
      <c r="FP90" s="1155">
        <f t="shared" ref="FP90:FP98" si="367">BJ90*CU90*FP$107</f>
        <v>0</v>
      </c>
      <c r="FQ90" s="1155">
        <f t="shared" ref="FQ90:FQ98" si="368">BK90*CV90*FQ$107</f>
        <v>0</v>
      </c>
      <c r="FR90" s="1155">
        <f t="shared" ref="FR90:FR98" si="369">BL90*CW90*FR$107</f>
        <v>0</v>
      </c>
      <c r="FS90" s="1155">
        <f t="shared" ref="FS90:FS98" si="370">BM90*CX90*FS$107</f>
        <v>0</v>
      </c>
      <c r="FT90" s="1155">
        <f t="shared" ref="FT90:FT98" si="371">BN90*CY90*FT$107</f>
        <v>0</v>
      </c>
      <c r="FU90" s="1155">
        <f t="shared" ref="FU90:FU98" si="372">BO90*CZ90*FU$107</f>
        <v>0</v>
      </c>
      <c r="FV90" s="1155">
        <f t="shared" ref="FV90:FV98" si="373">BP90*DA90*FV$107</f>
        <v>0</v>
      </c>
      <c r="FW90" s="1155">
        <f t="shared" ref="FW90:FW98" si="374">BQ90*DB90*FW$107</f>
        <v>0</v>
      </c>
      <c r="FX90" s="1155">
        <f t="shared" ref="FX90:FX98" si="375">BR90*DC90*FX$107</f>
        <v>1253639.2467430159</v>
      </c>
      <c r="FY90" s="1155">
        <f t="shared" ref="FY90:FY98" si="376">BS90*DD90*FY$107</f>
        <v>0</v>
      </c>
      <c r="FZ90" s="1155">
        <f t="shared" ref="FZ90:FZ98" si="377">BT90*DE90*FZ$107</f>
        <v>0</v>
      </c>
      <c r="GA90" s="1155">
        <f t="shared" ref="GA90:GA98" si="378">BU90*DF90*GA$107</f>
        <v>0</v>
      </c>
      <c r="GB90" s="1155">
        <f t="shared" ref="GB90:GB98" si="379">BV90*DG90*GB$107</f>
        <v>0</v>
      </c>
      <c r="GC90" s="1155">
        <f t="shared" ref="GC90:GC98" si="380">BW90*DH90*GC$107</f>
        <v>0</v>
      </c>
      <c r="GD90" s="1155">
        <f t="shared" ref="GD90:GD98" si="381">BX90*DI90*GD$107</f>
        <v>0</v>
      </c>
      <c r="GE90" s="1155">
        <f t="shared" ref="GE90:GE98" si="382">BY90*DJ90*GE$107</f>
        <v>0</v>
      </c>
      <c r="GF90" s="1155">
        <f t="shared" ref="GF90:GF98" si="383">BZ90*DK90*GF$107</f>
        <v>0</v>
      </c>
      <c r="GG90" s="1155">
        <f t="shared" ref="GG90:GG98" si="384">CA90*DL90*GG$107</f>
        <v>0</v>
      </c>
      <c r="GH90" s="1155">
        <f t="shared" ref="GH90:GH98" si="385">CB90*DM90*GH$107</f>
        <v>0</v>
      </c>
      <c r="GI90" s="1155">
        <f t="shared" ref="GI90:GI98" si="386">CC90*DN90*GI$107</f>
        <v>0</v>
      </c>
      <c r="GJ90" s="1175">
        <f t="shared" ref="GJ90:GJ98" si="387">SUM(FA90:GI90)</f>
        <v>1253639.2467430159</v>
      </c>
    </row>
    <row r="91" spans="1:192" s="1101" customFormat="1">
      <c r="B91" s="1259" t="str">
        <f>IF(Prop2021DUOSTariffs!B91="","",Prop2021DUOSTariffs!B91)</f>
        <v/>
      </c>
      <c r="C91" s="1259" t="str">
        <f>IF(Prop2021DUOSTariffs!C91="","",Prop2021DUOSTariffs!C91)</f>
        <v>West SAC&lt;100MWhpa VolumeNightControlled</v>
      </c>
      <c r="D91" s="1259" t="str">
        <f>IF(Prop2021DUOSTariffs!D91="","",Prop2021DUOSTariffs!D91)</f>
        <v>West SAC&lt;100MWhpa VolumeNightControlled</v>
      </c>
      <c r="E91" s="1259" t="str">
        <f>IF(Prop2021DUOSTariffs!E91="","",Prop2021DUOSTariffs!E91)</f>
        <v>SAC</v>
      </c>
      <c r="F91" s="1259" t="str">
        <f>IF(Prop2021DUOSTariffs!F91="","",Prop2021DUOSTariffs!F91)</f>
        <v>SACS CL</v>
      </c>
      <c r="G91" s="1259" t="str">
        <f>IF(Prop2021DUOSTariffs!G91="","",Prop2021DUOSTariffs!G91)</f>
        <v>West</v>
      </c>
      <c r="H91" s="1259" t="str">
        <f>IF(Prop2021DUOSTariffs!H91="","",Prop2021DUOSTariffs!H91)</f>
        <v>WVN</v>
      </c>
      <c r="I91" s="1259" t="s">
        <v>935</v>
      </c>
      <c r="J91" s="1256"/>
      <c r="K91" s="1135"/>
      <c r="L91" s="1135"/>
      <c r="M91" s="1135"/>
      <c r="N91" s="1135"/>
      <c r="O91" s="1135"/>
      <c r="P91" s="1135"/>
      <c r="Q91" s="1135"/>
      <c r="R91" s="1135"/>
      <c r="S91" s="1135"/>
      <c r="T91" s="1135"/>
      <c r="U91" s="1135"/>
      <c r="V91" s="1135"/>
      <c r="W91" s="1135"/>
      <c r="X91" s="1135"/>
      <c r="Y91" s="1135"/>
      <c r="Z91" s="1135"/>
      <c r="AA91" s="1135"/>
      <c r="AB91" s="1135"/>
      <c r="AC91" s="1135"/>
      <c r="AD91" s="1135"/>
      <c r="AE91" s="1135"/>
      <c r="AF91" s="1005"/>
      <c r="AG91" s="1005"/>
      <c r="AH91" s="1224">
        <v>7.4122808686789441E-3</v>
      </c>
      <c r="AI91" s="1241"/>
      <c r="AJ91" s="1241"/>
      <c r="AK91" s="1241"/>
      <c r="AL91" s="1241"/>
      <c r="AM91" s="1241"/>
      <c r="AN91" s="1241"/>
      <c r="AO91" s="1241"/>
      <c r="AP91" s="1241"/>
      <c r="AQ91" s="1241"/>
      <c r="AR91" s="1241"/>
      <c r="AS91" s="1241"/>
      <c r="AT91" s="1256"/>
      <c r="AU91" s="1241"/>
      <c r="AV91" s="1241"/>
      <c r="AW91" s="1241"/>
      <c r="AX91" s="1241"/>
      <c r="AY91" s="1241"/>
      <c r="AZ91" s="1241"/>
      <c r="BA91" s="1241"/>
      <c r="BB91" s="1241"/>
      <c r="BC91" s="1241"/>
      <c r="BD91" s="1241"/>
      <c r="BE91" s="1241"/>
      <c r="BF91" s="1241"/>
      <c r="BG91" s="1241"/>
      <c r="BH91" s="1241"/>
      <c r="BI91" s="1241"/>
      <c r="BJ91" s="1241"/>
      <c r="BK91" s="1241"/>
      <c r="BL91" s="1241"/>
      <c r="BM91" s="1241"/>
      <c r="BN91" s="1241"/>
      <c r="BO91" s="1241"/>
      <c r="BP91" s="1241"/>
      <c r="BQ91" s="1241"/>
      <c r="BR91" s="1484">
        <v>8.2170735145811833E-3</v>
      </c>
      <c r="BS91" s="1241"/>
      <c r="BT91" s="1241"/>
      <c r="BU91" s="1241"/>
      <c r="BV91" s="1241"/>
      <c r="BW91" s="1241"/>
      <c r="BX91" s="1241"/>
      <c r="BY91" s="1241"/>
      <c r="BZ91" s="1241"/>
      <c r="CA91" s="1241"/>
      <c r="CB91" s="1241"/>
      <c r="CC91" s="1241"/>
      <c r="CD91" s="1256"/>
      <c r="CE91" s="1256"/>
      <c r="CF91" s="1265">
        <v>0</v>
      </c>
      <c r="CG91" s="1135"/>
      <c r="CH91" s="1135"/>
      <c r="CI91" s="1135"/>
      <c r="CJ91" s="1135"/>
      <c r="CK91" s="1135"/>
      <c r="CL91" s="1135"/>
      <c r="CM91" s="1135"/>
      <c r="CN91" s="1135"/>
      <c r="CO91" s="1135"/>
      <c r="CP91" s="1135"/>
      <c r="CQ91" s="1135"/>
      <c r="CR91" s="1135"/>
      <c r="CS91" s="1135"/>
      <c r="CT91" s="1135"/>
      <c r="CU91" s="1135"/>
      <c r="CV91" s="1135"/>
      <c r="CW91" s="1135"/>
      <c r="CX91" s="1135"/>
      <c r="CY91" s="1135"/>
      <c r="CZ91" s="1135"/>
      <c r="DA91" s="1008"/>
      <c r="DB91" s="1008"/>
      <c r="DC91" s="1265">
        <v>7384153.8900000015</v>
      </c>
      <c r="DD91" s="1008"/>
      <c r="DE91" s="1008"/>
      <c r="DF91" s="1008"/>
      <c r="DG91" s="1008"/>
      <c r="DH91" s="1008"/>
      <c r="DI91" s="1008"/>
      <c r="DJ91" s="1008"/>
      <c r="DK91" s="1008"/>
      <c r="DL91" s="1008"/>
      <c r="DM91" s="1008"/>
      <c r="DN91" s="1008"/>
      <c r="DO91" s="1256"/>
      <c r="DP91" s="1155">
        <f t="shared" si="317"/>
        <v>0</v>
      </c>
      <c r="DQ91" s="1155">
        <f t="shared" si="318"/>
        <v>0</v>
      </c>
      <c r="DR91" s="1155">
        <f t="shared" si="319"/>
        <v>0</v>
      </c>
      <c r="DS91" s="1155">
        <f t="shared" si="320"/>
        <v>0</v>
      </c>
      <c r="DT91" s="1155">
        <f t="shared" si="321"/>
        <v>0</v>
      </c>
      <c r="DU91" s="1155">
        <f t="shared" si="322"/>
        <v>0</v>
      </c>
      <c r="DV91" s="1155">
        <f t="shared" si="323"/>
        <v>0</v>
      </c>
      <c r="DW91" s="1155">
        <f t="shared" si="324"/>
        <v>0</v>
      </c>
      <c r="DX91" s="1155">
        <f t="shared" si="325"/>
        <v>0</v>
      </c>
      <c r="DY91" s="1155">
        <f t="shared" si="326"/>
        <v>0</v>
      </c>
      <c r="DZ91" s="1155">
        <f t="shared" si="327"/>
        <v>0</v>
      </c>
      <c r="EA91" s="1155">
        <f t="shared" si="328"/>
        <v>0</v>
      </c>
      <c r="EB91" s="1155">
        <f t="shared" si="329"/>
        <v>0</v>
      </c>
      <c r="EC91" s="1155">
        <f t="shared" si="330"/>
        <v>0</v>
      </c>
      <c r="ED91" s="1155">
        <f t="shared" si="331"/>
        <v>0</v>
      </c>
      <c r="EE91" s="1155">
        <f t="shared" si="332"/>
        <v>0</v>
      </c>
      <c r="EF91" s="1155">
        <f t="shared" si="333"/>
        <v>0</v>
      </c>
      <c r="EG91" s="1155">
        <f t="shared" si="334"/>
        <v>0</v>
      </c>
      <c r="EH91" s="1155">
        <f t="shared" si="335"/>
        <v>0</v>
      </c>
      <c r="EI91" s="1155">
        <f t="shared" si="336"/>
        <v>0</v>
      </c>
      <c r="EJ91" s="1155">
        <f t="shared" si="337"/>
        <v>0</v>
      </c>
      <c r="EK91" s="1155">
        <f t="shared" si="338"/>
        <v>0</v>
      </c>
      <c r="EL91" s="1155">
        <f t="shared" si="339"/>
        <v>0</v>
      </c>
      <c r="EM91" s="1155">
        <f t="shared" si="340"/>
        <v>54733.422610228219</v>
      </c>
      <c r="EN91" s="1155">
        <f t="shared" si="341"/>
        <v>0</v>
      </c>
      <c r="EO91" s="1155">
        <f t="shared" si="342"/>
        <v>0</v>
      </c>
      <c r="EP91" s="1155">
        <f t="shared" si="343"/>
        <v>0</v>
      </c>
      <c r="EQ91" s="1155">
        <f t="shared" si="344"/>
        <v>0</v>
      </c>
      <c r="ER91" s="1155">
        <f t="shared" si="345"/>
        <v>0</v>
      </c>
      <c r="ES91" s="1155">
        <f t="shared" si="346"/>
        <v>0</v>
      </c>
      <c r="ET91" s="1155">
        <f t="shared" si="347"/>
        <v>0</v>
      </c>
      <c r="EU91" s="1155">
        <f t="shared" si="348"/>
        <v>0</v>
      </c>
      <c r="EV91" s="1155">
        <f t="shared" si="349"/>
        <v>0</v>
      </c>
      <c r="EW91" s="1155">
        <f t="shared" si="350"/>
        <v>0</v>
      </c>
      <c r="EX91" s="1155">
        <f t="shared" si="351"/>
        <v>0</v>
      </c>
      <c r="EY91" s="1175">
        <f t="shared" si="280"/>
        <v>54733.422610228219</v>
      </c>
      <c r="EZ91" s="1256"/>
      <c r="FA91" s="1155">
        <f t="shared" si="352"/>
        <v>0</v>
      </c>
      <c r="FB91" s="1155">
        <f t="shared" si="353"/>
        <v>0</v>
      </c>
      <c r="FC91" s="1155">
        <f t="shared" si="354"/>
        <v>0</v>
      </c>
      <c r="FD91" s="1155">
        <f t="shared" si="355"/>
        <v>0</v>
      </c>
      <c r="FE91" s="1155">
        <f t="shared" si="356"/>
        <v>0</v>
      </c>
      <c r="FF91" s="1155">
        <f t="shared" si="357"/>
        <v>0</v>
      </c>
      <c r="FG91" s="1155">
        <f t="shared" si="358"/>
        <v>0</v>
      </c>
      <c r="FH91" s="1155">
        <f t="shared" si="359"/>
        <v>0</v>
      </c>
      <c r="FI91" s="1155">
        <f t="shared" si="360"/>
        <v>0</v>
      </c>
      <c r="FJ91" s="1155">
        <f t="shared" si="361"/>
        <v>0</v>
      </c>
      <c r="FK91" s="1155">
        <f t="shared" si="362"/>
        <v>0</v>
      </c>
      <c r="FL91" s="1155">
        <f t="shared" si="363"/>
        <v>0</v>
      </c>
      <c r="FM91" s="1155">
        <f t="shared" si="364"/>
        <v>0</v>
      </c>
      <c r="FN91" s="1155">
        <f t="shared" si="365"/>
        <v>0</v>
      </c>
      <c r="FO91" s="1155">
        <f t="shared" si="366"/>
        <v>0</v>
      </c>
      <c r="FP91" s="1155">
        <f t="shared" si="367"/>
        <v>0</v>
      </c>
      <c r="FQ91" s="1155">
        <f t="shared" si="368"/>
        <v>0</v>
      </c>
      <c r="FR91" s="1155">
        <f t="shared" si="369"/>
        <v>0</v>
      </c>
      <c r="FS91" s="1155">
        <f t="shared" si="370"/>
        <v>0</v>
      </c>
      <c r="FT91" s="1155">
        <f t="shared" si="371"/>
        <v>0</v>
      </c>
      <c r="FU91" s="1155">
        <f t="shared" si="372"/>
        <v>0</v>
      </c>
      <c r="FV91" s="1155">
        <f t="shared" si="373"/>
        <v>0</v>
      </c>
      <c r="FW91" s="1155">
        <f t="shared" si="374"/>
        <v>0</v>
      </c>
      <c r="FX91" s="1155">
        <f t="shared" si="375"/>
        <v>60676.13535711063</v>
      </c>
      <c r="FY91" s="1155">
        <f t="shared" si="376"/>
        <v>0</v>
      </c>
      <c r="FZ91" s="1155">
        <f t="shared" si="377"/>
        <v>0</v>
      </c>
      <c r="GA91" s="1155">
        <f t="shared" si="378"/>
        <v>0</v>
      </c>
      <c r="GB91" s="1155">
        <f t="shared" si="379"/>
        <v>0</v>
      </c>
      <c r="GC91" s="1155">
        <f t="shared" si="380"/>
        <v>0</v>
      </c>
      <c r="GD91" s="1155">
        <f t="shared" si="381"/>
        <v>0</v>
      </c>
      <c r="GE91" s="1155">
        <f t="shared" si="382"/>
        <v>0</v>
      </c>
      <c r="GF91" s="1155">
        <f t="shared" si="383"/>
        <v>0</v>
      </c>
      <c r="GG91" s="1155">
        <f t="shared" si="384"/>
        <v>0</v>
      </c>
      <c r="GH91" s="1155">
        <f t="shared" si="385"/>
        <v>0</v>
      </c>
      <c r="GI91" s="1155">
        <f t="shared" si="386"/>
        <v>0</v>
      </c>
      <c r="GJ91" s="1175">
        <f t="shared" si="387"/>
        <v>60676.13535711063</v>
      </c>
    </row>
    <row r="92" spans="1:192" s="1101" customFormat="1">
      <c r="B92" s="1259" t="str">
        <f>IF(Prop2021DUOSTariffs!B92="","",Prop2021DUOSTariffs!B92)</f>
        <v/>
      </c>
      <c r="C92" s="1259" t="str">
        <f>IF(Prop2021DUOSTariffs!C92="","",Prop2021DUOSTariffs!C92)</f>
        <v>MtIsa SAC&lt;100MWhpa VolumeNightControlled</v>
      </c>
      <c r="D92" s="1259" t="str">
        <f>IF(Prop2021DUOSTariffs!D92="","",Prop2021DUOSTariffs!D92)</f>
        <v>MtIsa SAC&lt;100MWhpa VolumeNightControlled</v>
      </c>
      <c r="E92" s="1259" t="str">
        <f>IF(Prop2021DUOSTariffs!E92="","",Prop2021DUOSTariffs!E92)</f>
        <v>SAC</v>
      </c>
      <c r="F92" s="1259" t="str">
        <f>IF(Prop2021DUOSTariffs!F92="","",Prop2021DUOSTariffs!F92)</f>
        <v>SACS CL</v>
      </c>
      <c r="G92" s="1259" t="str">
        <f>IF(Prop2021DUOSTariffs!G92="","",Prop2021DUOSTariffs!G92)</f>
        <v>Mt Isa</v>
      </c>
      <c r="H92" s="1259" t="str">
        <f>IF(Prop2021DUOSTariffs!H92="","",Prop2021DUOSTariffs!H92)</f>
        <v>MVN</v>
      </c>
      <c r="I92" s="1259" t="s">
        <v>935</v>
      </c>
      <c r="J92" s="1256"/>
      <c r="K92" s="1135"/>
      <c r="L92" s="1135"/>
      <c r="M92" s="1135"/>
      <c r="N92" s="1135"/>
      <c r="O92" s="1135"/>
      <c r="P92" s="1135"/>
      <c r="Q92" s="1135"/>
      <c r="R92" s="1135"/>
      <c r="S92" s="1135"/>
      <c r="T92" s="1135"/>
      <c r="U92" s="1135"/>
      <c r="V92" s="1135"/>
      <c r="W92" s="1135"/>
      <c r="X92" s="1135"/>
      <c r="Y92" s="1135"/>
      <c r="Z92" s="1135"/>
      <c r="AA92" s="1135"/>
      <c r="AB92" s="1135"/>
      <c r="AC92" s="1135"/>
      <c r="AD92" s="1135"/>
      <c r="AE92" s="1135"/>
      <c r="AF92" s="1005"/>
      <c r="AG92" s="1005"/>
      <c r="AH92" s="1224">
        <v>7.4122808686789441E-3</v>
      </c>
      <c r="AI92" s="1241"/>
      <c r="AJ92" s="1241"/>
      <c r="AK92" s="1241"/>
      <c r="AL92" s="1241"/>
      <c r="AM92" s="1241"/>
      <c r="AN92" s="1241"/>
      <c r="AO92" s="1241"/>
      <c r="AP92" s="1241"/>
      <c r="AQ92" s="1241"/>
      <c r="AR92" s="1241"/>
      <c r="AS92" s="1241"/>
      <c r="AT92" s="1256"/>
      <c r="AU92" s="1241"/>
      <c r="AV92" s="1241"/>
      <c r="AW92" s="1241"/>
      <c r="AX92" s="1241"/>
      <c r="AY92" s="1241"/>
      <c r="AZ92" s="1241"/>
      <c r="BA92" s="1241"/>
      <c r="BB92" s="1241"/>
      <c r="BC92" s="1241"/>
      <c r="BD92" s="1241"/>
      <c r="BE92" s="1241"/>
      <c r="BF92" s="1241"/>
      <c r="BG92" s="1241"/>
      <c r="BH92" s="1241"/>
      <c r="BI92" s="1241"/>
      <c r="BJ92" s="1241"/>
      <c r="BK92" s="1241"/>
      <c r="BL92" s="1241"/>
      <c r="BM92" s="1241"/>
      <c r="BN92" s="1241"/>
      <c r="BO92" s="1241"/>
      <c r="BP92" s="1241"/>
      <c r="BQ92" s="1241"/>
      <c r="BR92" s="1484">
        <v>8.2170735145811833E-3</v>
      </c>
      <c r="BS92" s="1241"/>
      <c r="BT92" s="1241"/>
      <c r="BU92" s="1241"/>
      <c r="BV92" s="1241"/>
      <c r="BW92" s="1241"/>
      <c r="BX92" s="1241"/>
      <c r="BY92" s="1241"/>
      <c r="BZ92" s="1241"/>
      <c r="CA92" s="1241"/>
      <c r="CB92" s="1241"/>
      <c r="CC92" s="1241"/>
      <c r="CD92" s="1256"/>
      <c r="CE92" s="1256"/>
      <c r="CF92" s="1265">
        <v>0</v>
      </c>
      <c r="CG92" s="1135"/>
      <c r="CH92" s="1135"/>
      <c r="CI92" s="1135"/>
      <c r="CJ92" s="1135"/>
      <c r="CK92" s="1135"/>
      <c r="CL92" s="1135"/>
      <c r="CM92" s="1135"/>
      <c r="CN92" s="1135"/>
      <c r="CO92" s="1135"/>
      <c r="CP92" s="1135"/>
      <c r="CQ92" s="1135"/>
      <c r="CR92" s="1135"/>
      <c r="CS92" s="1135"/>
      <c r="CT92" s="1135"/>
      <c r="CU92" s="1135"/>
      <c r="CV92" s="1135"/>
      <c r="CW92" s="1135"/>
      <c r="CX92" s="1135"/>
      <c r="CY92" s="1135"/>
      <c r="CZ92" s="1135"/>
      <c r="DA92" s="1008"/>
      <c r="DB92" s="1008"/>
      <c r="DC92" s="1265">
        <v>592639.99</v>
      </c>
      <c r="DD92" s="1008"/>
      <c r="DE92" s="1008"/>
      <c r="DF92" s="1008"/>
      <c r="DG92" s="1008"/>
      <c r="DH92" s="1008"/>
      <c r="DI92" s="1008"/>
      <c r="DJ92" s="1008"/>
      <c r="DK92" s="1008"/>
      <c r="DL92" s="1008"/>
      <c r="DM92" s="1008"/>
      <c r="DN92" s="1008"/>
      <c r="DO92" s="1256"/>
      <c r="DP92" s="1155">
        <f t="shared" si="317"/>
        <v>0</v>
      </c>
      <c r="DQ92" s="1155">
        <f t="shared" si="318"/>
        <v>0</v>
      </c>
      <c r="DR92" s="1155">
        <f t="shared" si="319"/>
        <v>0</v>
      </c>
      <c r="DS92" s="1155">
        <f t="shared" si="320"/>
        <v>0</v>
      </c>
      <c r="DT92" s="1155">
        <f t="shared" si="321"/>
        <v>0</v>
      </c>
      <c r="DU92" s="1155">
        <f t="shared" si="322"/>
        <v>0</v>
      </c>
      <c r="DV92" s="1155">
        <f t="shared" si="323"/>
        <v>0</v>
      </c>
      <c r="DW92" s="1155">
        <f t="shared" si="324"/>
        <v>0</v>
      </c>
      <c r="DX92" s="1155">
        <f t="shared" si="325"/>
        <v>0</v>
      </c>
      <c r="DY92" s="1155">
        <f t="shared" si="326"/>
        <v>0</v>
      </c>
      <c r="DZ92" s="1155">
        <f t="shared" si="327"/>
        <v>0</v>
      </c>
      <c r="EA92" s="1155">
        <f t="shared" si="328"/>
        <v>0</v>
      </c>
      <c r="EB92" s="1155">
        <f t="shared" si="329"/>
        <v>0</v>
      </c>
      <c r="EC92" s="1155">
        <f t="shared" si="330"/>
        <v>0</v>
      </c>
      <c r="ED92" s="1155">
        <f t="shared" si="331"/>
        <v>0</v>
      </c>
      <c r="EE92" s="1155">
        <f t="shared" si="332"/>
        <v>0</v>
      </c>
      <c r="EF92" s="1155">
        <f t="shared" si="333"/>
        <v>0</v>
      </c>
      <c r="EG92" s="1155">
        <f t="shared" si="334"/>
        <v>0</v>
      </c>
      <c r="EH92" s="1155">
        <f t="shared" si="335"/>
        <v>0</v>
      </c>
      <c r="EI92" s="1155">
        <f t="shared" si="336"/>
        <v>0</v>
      </c>
      <c r="EJ92" s="1155">
        <f t="shared" si="337"/>
        <v>0</v>
      </c>
      <c r="EK92" s="1155">
        <f t="shared" si="338"/>
        <v>0</v>
      </c>
      <c r="EL92" s="1155">
        <f t="shared" si="339"/>
        <v>0</v>
      </c>
      <c r="EM92" s="1155">
        <f t="shared" si="340"/>
        <v>4392.8140598910804</v>
      </c>
      <c r="EN92" s="1155">
        <f t="shared" si="341"/>
        <v>0</v>
      </c>
      <c r="EO92" s="1155">
        <f t="shared" si="342"/>
        <v>0</v>
      </c>
      <c r="EP92" s="1155">
        <f t="shared" si="343"/>
        <v>0</v>
      </c>
      <c r="EQ92" s="1155">
        <f t="shared" si="344"/>
        <v>0</v>
      </c>
      <c r="ER92" s="1155">
        <f t="shared" si="345"/>
        <v>0</v>
      </c>
      <c r="ES92" s="1155">
        <f t="shared" si="346"/>
        <v>0</v>
      </c>
      <c r="ET92" s="1155">
        <f t="shared" si="347"/>
        <v>0</v>
      </c>
      <c r="EU92" s="1155">
        <f t="shared" si="348"/>
        <v>0</v>
      </c>
      <c r="EV92" s="1155">
        <f t="shared" si="349"/>
        <v>0</v>
      </c>
      <c r="EW92" s="1155">
        <f t="shared" si="350"/>
        <v>0</v>
      </c>
      <c r="EX92" s="1155">
        <f t="shared" si="351"/>
        <v>0</v>
      </c>
      <c r="EY92" s="1175">
        <f t="shared" si="280"/>
        <v>4392.8140598910804</v>
      </c>
      <c r="EZ92" s="1256"/>
      <c r="FA92" s="1155">
        <f t="shared" si="352"/>
        <v>0</v>
      </c>
      <c r="FB92" s="1155">
        <f t="shared" si="353"/>
        <v>0</v>
      </c>
      <c r="FC92" s="1155">
        <f t="shared" si="354"/>
        <v>0</v>
      </c>
      <c r="FD92" s="1155">
        <f t="shared" si="355"/>
        <v>0</v>
      </c>
      <c r="FE92" s="1155">
        <f t="shared" si="356"/>
        <v>0</v>
      </c>
      <c r="FF92" s="1155">
        <f t="shared" si="357"/>
        <v>0</v>
      </c>
      <c r="FG92" s="1155">
        <f t="shared" si="358"/>
        <v>0</v>
      </c>
      <c r="FH92" s="1155">
        <f t="shared" si="359"/>
        <v>0</v>
      </c>
      <c r="FI92" s="1155">
        <f t="shared" si="360"/>
        <v>0</v>
      </c>
      <c r="FJ92" s="1155">
        <f t="shared" si="361"/>
        <v>0</v>
      </c>
      <c r="FK92" s="1155">
        <f t="shared" si="362"/>
        <v>0</v>
      </c>
      <c r="FL92" s="1155">
        <f t="shared" si="363"/>
        <v>0</v>
      </c>
      <c r="FM92" s="1155">
        <f t="shared" si="364"/>
        <v>0</v>
      </c>
      <c r="FN92" s="1155">
        <f t="shared" si="365"/>
        <v>0</v>
      </c>
      <c r="FO92" s="1155">
        <f t="shared" si="366"/>
        <v>0</v>
      </c>
      <c r="FP92" s="1155">
        <f t="shared" si="367"/>
        <v>0</v>
      </c>
      <c r="FQ92" s="1155">
        <f t="shared" si="368"/>
        <v>0</v>
      </c>
      <c r="FR92" s="1155">
        <f t="shared" si="369"/>
        <v>0</v>
      </c>
      <c r="FS92" s="1155">
        <f t="shared" si="370"/>
        <v>0</v>
      </c>
      <c r="FT92" s="1155">
        <f t="shared" si="371"/>
        <v>0</v>
      </c>
      <c r="FU92" s="1155">
        <f t="shared" si="372"/>
        <v>0</v>
      </c>
      <c r="FV92" s="1155">
        <f t="shared" si="373"/>
        <v>0</v>
      </c>
      <c r="FW92" s="1155">
        <f t="shared" si="374"/>
        <v>0</v>
      </c>
      <c r="FX92" s="1155">
        <f t="shared" si="375"/>
        <v>4869.7663655106571</v>
      </c>
      <c r="FY92" s="1155">
        <f t="shared" si="376"/>
        <v>0</v>
      </c>
      <c r="FZ92" s="1155">
        <f t="shared" si="377"/>
        <v>0</v>
      </c>
      <c r="GA92" s="1155">
        <f t="shared" si="378"/>
        <v>0</v>
      </c>
      <c r="GB92" s="1155">
        <f t="shared" si="379"/>
        <v>0</v>
      </c>
      <c r="GC92" s="1155">
        <f t="shared" si="380"/>
        <v>0</v>
      </c>
      <c r="GD92" s="1155">
        <f t="shared" si="381"/>
        <v>0</v>
      </c>
      <c r="GE92" s="1155">
        <f t="shared" si="382"/>
        <v>0</v>
      </c>
      <c r="GF92" s="1155">
        <f t="shared" si="383"/>
        <v>0</v>
      </c>
      <c r="GG92" s="1155">
        <f t="shared" si="384"/>
        <v>0</v>
      </c>
      <c r="GH92" s="1155">
        <f t="shared" si="385"/>
        <v>0</v>
      </c>
      <c r="GI92" s="1155">
        <f t="shared" si="386"/>
        <v>0</v>
      </c>
      <c r="GJ92" s="1175">
        <f t="shared" si="387"/>
        <v>4869.7663655106571</v>
      </c>
    </row>
    <row r="93" spans="1:192" s="1101" customFormat="1">
      <c r="B93" s="1259" t="str">
        <f>IF(Prop2021DUOSTariffs!B93="","",Prop2021DUOSTariffs!B93)</f>
        <v/>
      </c>
      <c r="C93" s="1259" t="str">
        <f>IF(Prop2021DUOSTariffs!C93="","",Prop2021DUOSTariffs!C93)</f>
        <v>East SAC&lt;100MWhpa VolumeControlled</v>
      </c>
      <c r="D93" s="1259" t="str">
        <f>IF(Prop2021DUOSTariffs!D93="","",Prop2021DUOSTariffs!D93)</f>
        <v>East SAC&lt;100MWhpa VolumeControlled</v>
      </c>
      <c r="E93" s="1259" t="str">
        <f>IF(Prop2021DUOSTariffs!E93="","",Prop2021DUOSTariffs!E93)</f>
        <v>SAC</v>
      </c>
      <c r="F93" s="1259" t="str">
        <f>IF(Prop2021DUOSTariffs!F93="","",Prop2021DUOSTariffs!F93)</f>
        <v>SACS CL</v>
      </c>
      <c r="G93" s="1259" t="str">
        <f>IF(Prop2021DUOSTariffs!G93="","",Prop2021DUOSTariffs!G93)</f>
        <v>East</v>
      </c>
      <c r="H93" s="1259" t="str">
        <f>IF(Prop2021DUOSTariffs!H93="","",Prop2021DUOSTariffs!H93)</f>
        <v>EVC</v>
      </c>
      <c r="I93" s="1259" t="s">
        <v>935</v>
      </c>
      <c r="J93" s="1256"/>
      <c r="K93" s="1135"/>
      <c r="L93" s="1135"/>
      <c r="M93" s="1135"/>
      <c r="N93" s="1135"/>
      <c r="O93" s="1135"/>
      <c r="P93" s="1135"/>
      <c r="Q93" s="1135"/>
      <c r="R93" s="1135"/>
      <c r="S93" s="1135"/>
      <c r="T93" s="1135"/>
      <c r="U93" s="1135"/>
      <c r="V93" s="1135"/>
      <c r="W93" s="1135"/>
      <c r="X93" s="1135"/>
      <c r="Y93" s="1135"/>
      <c r="Z93" s="1135"/>
      <c r="AA93" s="1135"/>
      <c r="AB93" s="1135"/>
      <c r="AC93" s="1135"/>
      <c r="AD93" s="1135"/>
      <c r="AE93" s="1135"/>
      <c r="AF93" s="1005"/>
      <c r="AG93" s="1005"/>
      <c r="AH93" s="1224">
        <v>7.4122808686789441E-3</v>
      </c>
      <c r="AI93" s="1241"/>
      <c r="AJ93" s="1241"/>
      <c r="AK93" s="1241"/>
      <c r="AL93" s="1241"/>
      <c r="AM93" s="1241"/>
      <c r="AN93" s="1241"/>
      <c r="AO93" s="1241"/>
      <c r="AP93" s="1241"/>
      <c r="AQ93" s="1241"/>
      <c r="AR93" s="1241"/>
      <c r="AS93" s="1241"/>
      <c r="AT93" s="1256"/>
      <c r="AU93" s="1241"/>
      <c r="AV93" s="1241"/>
      <c r="AW93" s="1241"/>
      <c r="AX93" s="1241"/>
      <c r="AY93" s="1241"/>
      <c r="AZ93" s="1241"/>
      <c r="BA93" s="1241"/>
      <c r="BB93" s="1241"/>
      <c r="BC93" s="1241"/>
      <c r="BD93" s="1241"/>
      <c r="BE93" s="1241"/>
      <c r="BF93" s="1241"/>
      <c r="BG93" s="1241"/>
      <c r="BH93" s="1241"/>
      <c r="BI93" s="1241"/>
      <c r="BJ93" s="1241"/>
      <c r="BK93" s="1241"/>
      <c r="BL93" s="1241"/>
      <c r="BM93" s="1241"/>
      <c r="BN93" s="1241"/>
      <c r="BO93" s="1241"/>
      <c r="BP93" s="1241"/>
      <c r="BQ93" s="1241"/>
      <c r="BR93" s="1484">
        <v>8.2170735145811833E-3</v>
      </c>
      <c r="BS93" s="1241"/>
      <c r="BT93" s="1241"/>
      <c r="BU93" s="1241"/>
      <c r="BV93" s="1241"/>
      <c r="BW93" s="1241"/>
      <c r="BX93" s="1241"/>
      <c r="BY93" s="1241"/>
      <c r="BZ93" s="1241"/>
      <c r="CA93" s="1241"/>
      <c r="CB93" s="1241"/>
      <c r="CC93" s="1241"/>
      <c r="CD93" s="1256"/>
      <c r="CE93" s="1256"/>
      <c r="CF93" s="1265">
        <v>0</v>
      </c>
      <c r="CG93" s="1135"/>
      <c r="CH93" s="1135"/>
      <c r="CI93" s="1135"/>
      <c r="CJ93" s="1135"/>
      <c r="CK93" s="1135"/>
      <c r="CL93" s="1135"/>
      <c r="CM93" s="1135"/>
      <c r="CN93" s="1135"/>
      <c r="CO93" s="1135"/>
      <c r="CP93" s="1135"/>
      <c r="CQ93" s="1135"/>
      <c r="CR93" s="1135"/>
      <c r="CS93" s="1135"/>
      <c r="CT93" s="1135"/>
      <c r="CU93" s="1135"/>
      <c r="CV93" s="1135"/>
      <c r="CW93" s="1135"/>
      <c r="CX93" s="1135"/>
      <c r="CY93" s="1135"/>
      <c r="CZ93" s="1135"/>
      <c r="DA93" s="1008"/>
      <c r="DB93" s="1008"/>
      <c r="DC93" s="1265">
        <v>553857114.12</v>
      </c>
      <c r="DD93" s="1008"/>
      <c r="DE93" s="1008"/>
      <c r="DF93" s="1008"/>
      <c r="DG93" s="1008"/>
      <c r="DH93" s="1008"/>
      <c r="DI93" s="1008"/>
      <c r="DJ93" s="1008"/>
      <c r="DK93" s="1008"/>
      <c r="DL93" s="1008"/>
      <c r="DM93" s="1008"/>
      <c r="DN93" s="1008"/>
      <c r="DO93" s="1256"/>
      <c r="DP93" s="1155">
        <f t="shared" si="317"/>
        <v>0</v>
      </c>
      <c r="DQ93" s="1155">
        <f t="shared" si="318"/>
        <v>0</v>
      </c>
      <c r="DR93" s="1155">
        <f t="shared" si="319"/>
        <v>0</v>
      </c>
      <c r="DS93" s="1155">
        <f t="shared" si="320"/>
        <v>0</v>
      </c>
      <c r="DT93" s="1155">
        <f t="shared" si="321"/>
        <v>0</v>
      </c>
      <c r="DU93" s="1155">
        <f t="shared" si="322"/>
        <v>0</v>
      </c>
      <c r="DV93" s="1155">
        <f t="shared" si="323"/>
        <v>0</v>
      </c>
      <c r="DW93" s="1155">
        <f t="shared" si="324"/>
        <v>0</v>
      </c>
      <c r="DX93" s="1155">
        <f t="shared" si="325"/>
        <v>0</v>
      </c>
      <c r="DY93" s="1155">
        <f t="shared" si="326"/>
        <v>0</v>
      </c>
      <c r="DZ93" s="1155">
        <f t="shared" si="327"/>
        <v>0</v>
      </c>
      <c r="EA93" s="1155">
        <f t="shared" si="328"/>
        <v>0</v>
      </c>
      <c r="EB93" s="1155">
        <f t="shared" si="329"/>
        <v>0</v>
      </c>
      <c r="EC93" s="1155">
        <f t="shared" si="330"/>
        <v>0</v>
      </c>
      <c r="ED93" s="1155">
        <f t="shared" si="331"/>
        <v>0</v>
      </c>
      <c r="EE93" s="1155">
        <f t="shared" si="332"/>
        <v>0</v>
      </c>
      <c r="EF93" s="1155">
        <f t="shared" si="333"/>
        <v>0</v>
      </c>
      <c r="EG93" s="1155">
        <f t="shared" si="334"/>
        <v>0</v>
      </c>
      <c r="EH93" s="1155">
        <f t="shared" si="335"/>
        <v>0</v>
      </c>
      <c r="EI93" s="1155">
        <f t="shared" si="336"/>
        <v>0</v>
      </c>
      <c r="EJ93" s="1155">
        <f t="shared" si="337"/>
        <v>0</v>
      </c>
      <c r="EK93" s="1155">
        <f t="shared" si="338"/>
        <v>0</v>
      </c>
      <c r="EL93" s="1155">
        <f t="shared" si="339"/>
        <v>0</v>
      </c>
      <c r="EM93" s="1155">
        <f t="shared" si="340"/>
        <v>4105344.4909734069</v>
      </c>
      <c r="EN93" s="1155">
        <f t="shared" si="341"/>
        <v>0</v>
      </c>
      <c r="EO93" s="1155">
        <f t="shared" si="342"/>
        <v>0</v>
      </c>
      <c r="EP93" s="1155">
        <f t="shared" si="343"/>
        <v>0</v>
      </c>
      <c r="EQ93" s="1155">
        <f t="shared" si="344"/>
        <v>0</v>
      </c>
      <c r="ER93" s="1155">
        <f t="shared" si="345"/>
        <v>0</v>
      </c>
      <c r="ES93" s="1155">
        <f t="shared" si="346"/>
        <v>0</v>
      </c>
      <c r="ET93" s="1155">
        <f t="shared" si="347"/>
        <v>0</v>
      </c>
      <c r="EU93" s="1155">
        <f t="shared" si="348"/>
        <v>0</v>
      </c>
      <c r="EV93" s="1155">
        <f t="shared" si="349"/>
        <v>0</v>
      </c>
      <c r="EW93" s="1155">
        <f t="shared" si="350"/>
        <v>0</v>
      </c>
      <c r="EX93" s="1155">
        <f t="shared" si="351"/>
        <v>0</v>
      </c>
      <c r="EY93" s="1175">
        <f t="shared" si="280"/>
        <v>4105344.4909734069</v>
      </c>
      <c r="EZ93" s="1256"/>
      <c r="FA93" s="1155">
        <f t="shared" si="352"/>
        <v>0</v>
      </c>
      <c r="FB93" s="1155">
        <f t="shared" si="353"/>
        <v>0</v>
      </c>
      <c r="FC93" s="1155">
        <f t="shared" si="354"/>
        <v>0</v>
      </c>
      <c r="FD93" s="1155">
        <f t="shared" si="355"/>
        <v>0</v>
      </c>
      <c r="FE93" s="1155">
        <f t="shared" si="356"/>
        <v>0</v>
      </c>
      <c r="FF93" s="1155">
        <f t="shared" si="357"/>
        <v>0</v>
      </c>
      <c r="FG93" s="1155">
        <f t="shared" si="358"/>
        <v>0</v>
      </c>
      <c r="FH93" s="1155">
        <f t="shared" si="359"/>
        <v>0</v>
      </c>
      <c r="FI93" s="1155">
        <f t="shared" si="360"/>
        <v>0</v>
      </c>
      <c r="FJ93" s="1155">
        <f t="shared" si="361"/>
        <v>0</v>
      </c>
      <c r="FK93" s="1155">
        <f t="shared" si="362"/>
        <v>0</v>
      </c>
      <c r="FL93" s="1155">
        <f t="shared" si="363"/>
        <v>0</v>
      </c>
      <c r="FM93" s="1155">
        <f t="shared" si="364"/>
        <v>0</v>
      </c>
      <c r="FN93" s="1155">
        <f t="shared" si="365"/>
        <v>0</v>
      </c>
      <c r="FO93" s="1155">
        <f t="shared" si="366"/>
        <v>0</v>
      </c>
      <c r="FP93" s="1155">
        <f t="shared" si="367"/>
        <v>0</v>
      </c>
      <c r="FQ93" s="1155">
        <f t="shared" si="368"/>
        <v>0</v>
      </c>
      <c r="FR93" s="1155">
        <f t="shared" si="369"/>
        <v>0</v>
      </c>
      <c r="FS93" s="1155">
        <f t="shared" si="370"/>
        <v>0</v>
      </c>
      <c r="FT93" s="1155">
        <f t="shared" si="371"/>
        <v>0</v>
      </c>
      <c r="FU93" s="1155">
        <f t="shared" si="372"/>
        <v>0</v>
      </c>
      <c r="FV93" s="1155">
        <f t="shared" si="373"/>
        <v>0</v>
      </c>
      <c r="FW93" s="1155">
        <f t="shared" si="374"/>
        <v>0</v>
      </c>
      <c r="FX93" s="1155">
        <f t="shared" si="375"/>
        <v>4551084.6232978199</v>
      </c>
      <c r="FY93" s="1155">
        <f t="shared" si="376"/>
        <v>0</v>
      </c>
      <c r="FZ93" s="1155">
        <f t="shared" si="377"/>
        <v>0</v>
      </c>
      <c r="GA93" s="1155">
        <f t="shared" si="378"/>
        <v>0</v>
      </c>
      <c r="GB93" s="1155">
        <f t="shared" si="379"/>
        <v>0</v>
      </c>
      <c r="GC93" s="1155">
        <f t="shared" si="380"/>
        <v>0</v>
      </c>
      <c r="GD93" s="1155">
        <f t="shared" si="381"/>
        <v>0</v>
      </c>
      <c r="GE93" s="1155">
        <f t="shared" si="382"/>
        <v>0</v>
      </c>
      <c r="GF93" s="1155">
        <f t="shared" si="383"/>
        <v>0</v>
      </c>
      <c r="GG93" s="1155">
        <f t="shared" si="384"/>
        <v>0</v>
      </c>
      <c r="GH93" s="1155">
        <f t="shared" si="385"/>
        <v>0</v>
      </c>
      <c r="GI93" s="1155">
        <f t="shared" si="386"/>
        <v>0</v>
      </c>
      <c r="GJ93" s="1175">
        <f t="shared" si="387"/>
        <v>4551084.6232978199</v>
      </c>
    </row>
    <row r="94" spans="1:192" s="1101" customFormat="1">
      <c r="B94" s="1259" t="str">
        <f>IF(Prop2021DUOSTariffs!B94="","",Prop2021DUOSTariffs!B94)</f>
        <v/>
      </c>
      <c r="C94" s="1259" t="str">
        <f>IF(Prop2021DUOSTariffs!C94="","",Prop2021DUOSTariffs!C94)</f>
        <v>West SAC&lt;100MWhpa VolumeControlled</v>
      </c>
      <c r="D94" s="1259" t="str">
        <f>IF(Prop2021DUOSTariffs!D94="","",Prop2021DUOSTariffs!D94)</f>
        <v>West SAC&lt;100MWhpa VolumeControlled</v>
      </c>
      <c r="E94" s="1259" t="str">
        <f>IF(Prop2021DUOSTariffs!E94="","",Prop2021DUOSTariffs!E94)</f>
        <v>SAC</v>
      </c>
      <c r="F94" s="1259" t="str">
        <f>IF(Prop2021DUOSTariffs!F94="","",Prop2021DUOSTariffs!F94)</f>
        <v>SACS CL</v>
      </c>
      <c r="G94" s="1259" t="str">
        <f>IF(Prop2021DUOSTariffs!G94="","",Prop2021DUOSTariffs!G94)</f>
        <v>West</v>
      </c>
      <c r="H94" s="1259" t="str">
        <f>IF(Prop2021DUOSTariffs!H94="","",Prop2021DUOSTariffs!H94)</f>
        <v>WVC</v>
      </c>
      <c r="I94" s="1259" t="s">
        <v>935</v>
      </c>
      <c r="J94" s="1256"/>
      <c r="K94" s="1135"/>
      <c r="L94" s="1135"/>
      <c r="M94" s="1135"/>
      <c r="N94" s="1135"/>
      <c r="O94" s="1135"/>
      <c r="P94" s="1135"/>
      <c r="Q94" s="1135"/>
      <c r="R94" s="1135"/>
      <c r="S94" s="1135"/>
      <c r="T94" s="1135"/>
      <c r="U94" s="1135"/>
      <c r="V94" s="1135"/>
      <c r="W94" s="1135"/>
      <c r="X94" s="1135"/>
      <c r="Y94" s="1135"/>
      <c r="Z94" s="1135"/>
      <c r="AA94" s="1135"/>
      <c r="AB94" s="1135"/>
      <c r="AC94" s="1135"/>
      <c r="AD94" s="1135"/>
      <c r="AE94" s="1135"/>
      <c r="AF94" s="1005"/>
      <c r="AG94" s="1005"/>
      <c r="AH94" s="1224">
        <v>7.4122808686789441E-3</v>
      </c>
      <c r="AI94" s="1241"/>
      <c r="AJ94" s="1241"/>
      <c r="AK94" s="1241"/>
      <c r="AL94" s="1241"/>
      <c r="AM94" s="1241"/>
      <c r="AN94" s="1241"/>
      <c r="AO94" s="1241"/>
      <c r="AP94" s="1241"/>
      <c r="AQ94" s="1241"/>
      <c r="AR94" s="1241"/>
      <c r="AS94" s="1241"/>
      <c r="AT94" s="1256"/>
      <c r="AU94" s="1241"/>
      <c r="AV94" s="1241"/>
      <c r="AW94" s="1241"/>
      <c r="AX94" s="1241"/>
      <c r="AY94" s="1241"/>
      <c r="AZ94" s="1241"/>
      <c r="BA94" s="1241"/>
      <c r="BB94" s="1241"/>
      <c r="BC94" s="1241"/>
      <c r="BD94" s="1241"/>
      <c r="BE94" s="1241"/>
      <c r="BF94" s="1241"/>
      <c r="BG94" s="1241"/>
      <c r="BH94" s="1241"/>
      <c r="BI94" s="1241"/>
      <c r="BJ94" s="1241"/>
      <c r="BK94" s="1241"/>
      <c r="BL94" s="1241"/>
      <c r="BM94" s="1241"/>
      <c r="BN94" s="1241"/>
      <c r="BO94" s="1241"/>
      <c r="BP94" s="1241"/>
      <c r="BQ94" s="1241"/>
      <c r="BR94" s="1484">
        <v>8.2170735145811833E-3</v>
      </c>
      <c r="BS94" s="1241"/>
      <c r="BT94" s="1241"/>
      <c r="BU94" s="1241"/>
      <c r="BV94" s="1241"/>
      <c r="BW94" s="1241"/>
      <c r="BX94" s="1241"/>
      <c r="BY94" s="1241"/>
      <c r="BZ94" s="1241"/>
      <c r="CA94" s="1241"/>
      <c r="CB94" s="1241"/>
      <c r="CC94" s="1241"/>
      <c r="CD94" s="1256"/>
      <c r="CE94" s="1256"/>
      <c r="CF94" s="1265">
        <v>0</v>
      </c>
      <c r="CG94" s="1135"/>
      <c r="CH94" s="1135"/>
      <c r="CI94" s="1135"/>
      <c r="CJ94" s="1135"/>
      <c r="CK94" s="1135"/>
      <c r="CL94" s="1135"/>
      <c r="CM94" s="1135"/>
      <c r="CN94" s="1135"/>
      <c r="CO94" s="1135"/>
      <c r="CP94" s="1135"/>
      <c r="CQ94" s="1135"/>
      <c r="CR94" s="1135"/>
      <c r="CS94" s="1135"/>
      <c r="CT94" s="1135"/>
      <c r="CU94" s="1135"/>
      <c r="CV94" s="1135"/>
      <c r="CW94" s="1135"/>
      <c r="CX94" s="1135"/>
      <c r="CY94" s="1135"/>
      <c r="CZ94" s="1135"/>
      <c r="DA94" s="1008"/>
      <c r="DB94" s="1008"/>
      <c r="DC94" s="1265">
        <v>32397974.020000007</v>
      </c>
      <c r="DD94" s="1008"/>
      <c r="DE94" s="1008"/>
      <c r="DF94" s="1008"/>
      <c r="DG94" s="1008"/>
      <c r="DH94" s="1008"/>
      <c r="DI94" s="1008"/>
      <c r="DJ94" s="1008"/>
      <c r="DK94" s="1008"/>
      <c r="DL94" s="1008"/>
      <c r="DM94" s="1008"/>
      <c r="DN94" s="1008"/>
      <c r="DO94" s="1256"/>
      <c r="DP94" s="1155">
        <f t="shared" si="317"/>
        <v>0</v>
      </c>
      <c r="DQ94" s="1155">
        <f t="shared" si="318"/>
        <v>0</v>
      </c>
      <c r="DR94" s="1155">
        <f t="shared" si="319"/>
        <v>0</v>
      </c>
      <c r="DS94" s="1155">
        <f t="shared" si="320"/>
        <v>0</v>
      </c>
      <c r="DT94" s="1155">
        <f t="shared" si="321"/>
        <v>0</v>
      </c>
      <c r="DU94" s="1155">
        <f t="shared" si="322"/>
        <v>0</v>
      </c>
      <c r="DV94" s="1155">
        <f t="shared" si="323"/>
        <v>0</v>
      </c>
      <c r="DW94" s="1155">
        <f t="shared" si="324"/>
        <v>0</v>
      </c>
      <c r="DX94" s="1155">
        <f t="shared" si="325"/>
        <v>0</v>
      </c>
      <c r="DY94" s="1155">
        <f t="shared" si="326"/>
        <v>0</v>
      </c>
      <c r="DZ94" s="1155">
        <f t="shared" si="327"/>
        <v>0</v>
      </c>
      <c r="EA94" s="1155">
        <f t="shared" si="328"/>
        <v>0</v>
      </c>
      <c r="EB94" s="1155">
        <f t="shared" si="329"/>
        <v>0</v>
      </c>
      <c r="EC94" s="1155">
        <f t="shared" si="330"/>
        <v>0</v>
      </c>
      <c r="ED94" s="1155">
        <f t="shared" si="331"/>
        <v>0</v>
      </c>
      <c r="EE94" s="1155">
        <f t="shared" si="332"/>
        <v>0</v>
      </c>
      <c r="EF94" s="1155">
        <f t="shared" si="333"/>
        <v>0</v>
      </c>
      <c r="EG94" s="1155">
        <f t="shared" si="334"/>
        <v>0</v>
      </c>
      <c r="EH94" s="1155">
        <f t="shared" si="335"/>
        <v>0</v>
      </c>
      <c r="EI94" s="1155">
        <f t="shared" si="336"/>
        <v>0</v>
      </c>
      <c r="EJ94" s="1155">
        <f t="shared" si="337"/>
        <v>0</v>
      </c>
      <c r="EK94" s="1155">
        <f t="shared" si="338"/>
        <v>0</v>
      </c>
      <c r="EL94" s="1155">
        <f t="shared" si="339"/>
        <v>0</v>
      </c>
      <c r="EM94" s="1155">
        <f t="shared" si="340"/>
        <v>240142.88301240353</v>
      </c>
      <c r="EN94" s="1155">
        <f t="shared" si="341"/>
        <v>0</v>
      </c>
      <c r="EO94" s="1155">
        <f t="shared" si="342"/>
        <v>0</v>
      </c>
      <c r="EP94" s="1155">
        <f t="shared" si="343"/>
        <v>0</v>
      </c>
      <c r="EQ94" s="1155">
        <f t="shared" si="344"/>
        <v>0</v>
      </c>
      <c r="ER94" s="1155">
        <f t="shared" si="345"/>
        <v>0</v>
      </c>
      <c r="ES94" s="1155">
        <f t="shared" si="346"/>
        <v>0</v>
      </c>
      <c r="ET94" s="1155">
        <f t="shared" si="347"/>
        <v>0</v>
      </c>
      <c r="EU94" s="1155">
        <f t="shared" si="348"/>
        <v>0</v>
      </c>
      <c r="EV94" s="1155">
        <f t="shared" si="349"/>
        <v>0</v>
      </c>
      <c r="EW94" s="1155">
        <f t="shared" si="350"/>
        <v>0</v>
      </c>
      <c r="EX94" s="1155">
        <f t="shared" si="351"/>
        <v>0</v>
      </c>
      <c r="EY94" s="1175">
        <f t="shared" si="280"/>
        <v>240142.88301240353</v>
      </c>
      <c r="EZ94" s="1256"/>
      <c r="FA94" s="1155">
        <f t="shared" si="352"/>
        <v>0</v>
      </c>
      <c r="FB94" s="1155">
        <f t="shared" si="353"/>
        <v>0</v>
      </c>
      <c r="FC94" s="1155">
        <f t="shared" si="354"/>
        <v>0</v>
      </c>
      <c r="FD94" s="1155">
        <f t="shared" si="355"/>
        <v>0</v>
      </c>
      <c r="FE94" s="1155">
        <f t="shared" si="356"/>
        <v>0</v>
      </c>
      <c r="FF94" s="1155">
        <f t="shared" si="357"/>
        <v>0</v>
      </c>
      <c r="FG94" s="1155">
        <f t="shared" si="358"/>
        <v>0</v>
      </c>
      <c r="FH94" s="1155">
        <f t="shared" si="359"/>
        <v>0</v>
      </c>
      <c r="FI94" s="1155">
        <f t="shared" si="360"/>
        <v>0</v>
      </c>
      <c r="FJ94" s="1155">
        <f t="shared" si="361"/>
        <v>0</v>
      </c>
      <c r="FK94" s="1155">
        <f t="shared" si="362"/>
        <v>0</v>
      </c>
      <c r="FL94" s="1155">
        <f t="shared" si="363"/>
        <v>0</v>
      </c>
      <c r="FM94" s="1155">
        <f t="shared" si="364"/>
        <v>0</v>
      </c>
      <c r="FN94" s="1155">
        <f t="shared" si="365"/>
        <v>0</v>
      </c>
      <c r="FO94" s="1155">
        <f t="shared" si="366"/>
        <v>0</v>
      </c>
      <c r="FP94" s="1155">
        <f t="shared" si="367"/>
        <v>0</v>
      </c>
      <c r="FQ94" s="1155">
        <f t="shared" si="368"/>
        <v>0</v>
      </c>
      <c r="FR94" s="1155">
        <f t="shared" si="369"/>
        <v>0</v>
      </c>
      <c r="FS94" s="1155">
        <f t="shared" si="370"/>
        <v>0</v>
      </c>
      <c r="FT94" s="1155">
        <f t="shared" si="371"/>
        <v>0</v>
      </c>
      <c r="FU94" s="1155">
        <f t="shared" si="372"/>
        <v>0</v>
      </c>
      <c r="FV94" s="1155">
        <f t="shared" si="373"/>
        <v>0</v>
      </c>
      <c r="FW94" s="1155">
        <f t="shared" si="374"/>
        <v>0</v>
      </c>
      <c r="FX94" s="1155">
        <f t="shared" si="375"/>
        <v>266216.53424583131</v>
      </c>
      <c r="FY94" s="1155">
        <f t="shared" si="376"/>
        <v>0</v>
      </c>
      <c r="FZ94" s="1155">
        <f t="shared" si="377"/>
        <v>0</v>
      </c>
      <c r="GA94" s="1155">
        <f t="shared" si="378"/>
        <v>0</v>
      </c>
      <c r="GB94" s="1155">
        <f t="shared" si="379"/>
        <v>0</v>
      </c>
      <c r="GC94" s="1155">
        <f t="shared" si="380"/>
        <v>0</v>
      </c>
      <c r="GD94" s="1155">
        <f t="shared" si="381"/>
        <v>0</v>
      </c>
      <c r="GE94" s="1155">
        <f t="shared" si="382"/>
        <v>0</v>
      </c>
      <c r="GF94" s="1155">
        <f t="shared" si="383"/>
        <v>0</v>
      </c>
      <c r="GG94" s="1155">
        <f t="shared" si="384"/>
        <v>0</v>
      </c>
      <c r="GH94" s="1155">
        <f t="shared" si="385"/>
        <v>0</v>
      </c>
      <c r="GI94" s="1155">
        <f t="shared" si="386"/>
        <v>0</v>
      </c>
      <c r="GJ94" s="1175">
        <f t="shared" si="387"/>
        <v>266216.53424583131</v>
      </c>
    </row>
    <row r="95" spans="1:192" s="1101" customFormat="1">
      <c r="B95" s="1259" t="str">
        <f>IF(Prop2021DUOSTariffs!B95="","",Prop2021DUOSTariffs!B95)</f>
        <v/>
      </c>
      <c r="C95" s="1259" t="str">
        <f>IF(Prop2021DUOSTariffs!C95="","",Prop2021DUOSTariffs!C95)</f>
        <v>MtIsa SAC&lt;100MWhpa VolumeControlled</v>
      </c>
      <c r="D95" s="1259" t="str">
        <f>IF(Prop2021DUOSTariffs!D95="","",Prop2021DUOSTariffs!D95)</f>
        <v>MtIsa SAC&lt;100MWhpa VolumeControlled</v>
      </c>
      <c r="E95" s="1259" t="str">
        <f>IF(Prop2021DUOSTariffs!E95="","",Prop2021DUOSTariffs!E95)</f>
        <v>SAC</v>
      </c>
      <c r="F95" s="1259" t="str">
        <f>IF(Prop2021DUOSTariffs!F95="","",Prop2021DUOSTariffs!F95)</f>
        <v>SACS CL</v>
      </c>
      <c r="G95" s="1259" t="str">
        <f>IF(Prop2021DUOSTariffs!G95="","",Prop2021DUOSTariffs!G95)</f>
        <v>Mt Isa</v>
      </c>
      <c r="H95" s="1259" t="str">
        <f>IF(Prop2021DUOSTariffs!H95="","",Prop2021DUOSTariffs!H95)</f>
        <v>MVC</v>
      </c>
      <c r="I95" s="1259" t="s">
        <v>935</v>
      </c>
      <c r="J95" s="1256"/>
      <c r="K95" s="1135"/>
      <c r="L95" s="1135"/>
      <c r="M95" s="1135"/>
      <c r="N95" s="1135"/>
      <c r="O95" s="1135"/>
      <c r="P95" s="1135"/>
      <c r="Q95" s="1135"/>
      <c r="R95" s="1135"/>
      <c r="S95" s="1135"/>
      <c r="T95" s="1135"/>
      <c r="U95" s="1135"/>
      <c r="V95" s="1135"/>
      <c r="W95" s="1135"/>
      <c r="X95" s="1135"/>
      <c r="Y95" s="1135"/>
      <c r="Z95" s="1135"/>
      <c r="AA95" s="1135"/>
      <c r="AB95" s="1135"/>
      <c r="AC95" s="1135"/>
      <c r="AD95" s="1135"/>
      <c r="AE95" s="1135"/>
      <c r="AF95" s="1005"/>
      <c r="AG95" s="1005"/>
      <c r="AH95" s="1224">
        <v>7.4122808686789441E-3</v>
      </c>
      <c r="AI95" s="1241"/>
      <c r="AJ95" s="1241"/>
      <c r="AK95" s="1241"/>
      <c r="AL95" s="1241"/>
      <c r="AM95" s="1241"/>
      <c r="AN95" s="1241"/>
      <c r="AO95" s="1241"/>
      <c r="AP95" s="1241"/>
      <c r="AQ95" s="1241"/>
      <c r="AR95" s="1241"/>
      <c r="AS95" s="1241"/>
      <c r="AT95" s="1256"/>
      <c r="AU95" s="1241"/>
      <c r="AV95" s="1241"/>
      <c r="AW95" s="1241"/>
      <c r="AX95" s="1241"/>
      <c r="AY95" s="1241"/>
      <c r="AZ95" s="1241"/>
      <c r="BA95" s="1241"/>
      <c r="BB95" s="1241"/>
      <c r="BC95" s="1241"/>
      <c r="BD95" s="1241"/>
      <c r="BE95" s="1241"/>
      <c r="BF95" s="1241"/>
      <c r="BG95" s="1241"/>
      <c r="BH95" s="1241"/>
      <c r="BI95" s="1241"/>
      <c r="BJ95" s="1241"/>
      <c r="BK95" s="1241"/>
      <c r="BL95" s="1241"/>
      <c r="BM95" s="1241"/>
      <c r="BN95" s="1241"/>
      <c r="BO95" s="1241"/>
      <c r="BP95" s="1241"/>
      <c r="BQ95" s="1241"/>
      <c r="BR95" s="1484">
        <v>8.2170735145811833E-3</v>
      </c>
      <c r="BS95" s="1241"/>
      <c r="BT95" s="1241"/>
      <c r="BU95" s="1241"/>
      <c r="BV95" s="1241"/>
      <c r="BW95" s="1241"/>
      <c r="BX95" s="1241"/>
      <c r="BY95" s="1241"/>
      <c r="BZ95" s="1241"/>
      <c r="CA95" s="1241"/>
      <c r="CB95" s="1241"/>
      <c r="CC95" s="1241"/>
      <c r="CD95" s="1256"/>
      <c r="CE95" s="1256"/>
      <c r="CF95" s="1265">
        <v>0</v>
      </c>
      <c r="CG95" s="1135"/>
      <c r="CH95" s="1135"/>
      <c r="CI95" s="1135"/>
      <c r="CJ95" s="1135"/>
      <c r="CK95" s="1135"/>
      <c r="CL95" s="1135"/>
      <c r="CM95" s="1135"/>
      <c r="CN95" s="1135"/>
      <c r="CO95" s="1135"/>
      <c r="CP95" s="1135"/>
      <c r="CQ95" s="1135"/>
      <c r="CR95" s="1135"/>
      <c r="CS95" s="1135"/>
      <c r="CT95" s="1135"/>
      <c r="CU95" s="1135"/>
      <c r="CV95" s="1135"/>
      <c r="CW95" s="1135"/>
      <c r="CX95" s="1135"/>
      <c r="CY95" s="1135"/>
      <c r="CZ95" s="1135"/>
      <c r="DA95" s="1008"/>
      <c r="DB95" s="1008"/>
      <c r="DC95" s="1265">
        <v>9378894.2300000004</v>
      </c>
      <c r="DD95" s="1008"/>
      <c r="DE95" s="1008"/>
      <c r="DF95" s="1008"/>
      <c r="DG95" s="1008"/>
      <c r="DH95" s="1008"/>
      <c r="DI95" s="1008"/>
      <c r="DJ95" s="1008"/>
      <c r="DK95" s="1008"/>
      <c r="DL95" s="1008"/>
      <c r="DM95" s="1008"/>
      <c r="DN95" s="1008"/>
      <c r="DO95" s="1256"/>
      <c r="DP95" s="1155">
        <f t="shared" si="317"/>
        <v>0</v>
      </c>
      <c r="DQ95" s="1155">
        <f t="shared" si="318"/>
        <v>0</v>
      </c>
      <c r="DR95" s="1155">
        <f t="shared" si="319"/>
        <v>0</v>
      </c>
      <c r="DS95" s="1155">
        <f t="shared" si="320"/>
        <v>0</v>
      </c>
      <c r="DT95" s="1155">
        <f t="shared" si="321"/>
        <v>0</v>
      </c>
      <c r="DU95" s="1155">
        <f t="shared" si="322"/>
        <v>0</v>
      </c>
      <c r="DV95" s="1155">
        <f t="shared" si="323"/>
        <v>0</v>
      </c>
      <c r="DW95" s="1155">
        <f t="shared" si="324"/>
        <v>0</v>
      </c>
      <c r="DX95" s="1155">
        <f t="shared" si="325"/>
        <v>0</v>
      </c>
      <c r="DY95" s="1155">
        <f t="shared" si="326"/>
        <v>0</v>
      </c>
      <c r="DZ95" s="1155">
        <f t="shared" si="327"/>
        <v>0</v>
      </c>
      <c r="EA95" s="1155">
        <f t="shared" si="328"/>
        <v>0</v>
      </c>
      <c r="EB95" s="1155">
        <f t="shared" si="329"/>
        <v>0</v>
      </c>
      <c r="EC95" s="1155">
        <f t="shared" si="330"/>
        <v>0</v>
      </c>
      <c r="ED95" s="1155">
        <f t="shared" si="331"/>
        <v>0</v>
      </c>
      <c r="EE95" s="1155">
        <f t="shared" si="332"/>
        <v>0</v>
      </c>
      <c r="EF95" s="1155">
        <f t="shared" si="333"/>
        <v>0</v>
      </c>
      <c r="EG95" s="1155">
        <f t="shared" si="334"/>
        <v>0</v>
      </c>
      <c r="EH95" s="1155">
        <f t="shared" si="335"/>
        <v>0</v>
      </c>
      <c r="EI95" s="1155">
        <f t="shared" si="336"/>
        <v>0</v>
      </c>
      <c r="EJ95" s="1155">
        <f t="shared" si="337"/>
        <v>0</v>
      </c>
      <c r="EK95" s="1155">
        <f t="shared" si="338"/>
        <v>0</v>
      </c>
      <c r="EL95" s="1155">
        <f t="shared" si="339"/>
        <v>0</v>
      </c>
      <c r="EM95" s="1155">
        <f t="shared" si="340"/>
        <v>69518.998270392345</v>
      </c>
      <c r="EN95" s="1155">
        <f t="shared" si="341"/>
        <v>0</v>
      </c>
      <c r="EO95" s="1155">
        <f t="shared" si="342"/>
        <v>0</v>
      </c>
      <c r="EP95" s="1155">
        <f t="shared" si="343"/>
        <v>0</v>
      </c>
      <c r="EQ95" s="1155">
        <f t="shared" si="344"/>
        <v>0</v>
      </c>
      <c r="ER95" s="1155">
        <f t="shared" si="345"/>
        <v>0</v>
      </c>
      <c r="ES95" s="1155">
        <f t="shared" si="346"/>
        <v>0</v>
      </c>
      <c r="ET95" s="1155">
        <f t="shared" si="347"/>
        <v>0</v>
      </c>
      <c r="EU95" s="1155">
        <f t="shared" si="348"/>
        <v>0</v>
      </c>
      <c r="EV95" s="1155">
        <f t="shared" si="349"/>
        <v>0</v>
      </c>
      <c r="EW95" s="1155">
        <f t="shared" si="350"/>
        <v>0</v>
      </c>
      <c r="EX95" s="1155">
        <f t="shared" si="351"/>
        <v>0</v>
      </c>
      <c r="EY95" s="1175">
        <f t="shared" si="280"/>
        <v>69518.998270392345</v>
      </c>
      <c r="EZ95" s="1256"/>
      <c r="FA95" s="1155">
        <f t="shared" si="352"/>
        <v>0</v>
      </c>
      <c r="FB95" s="1155">
        <f t="shared" si="353"/>
        <v>0</v>
      </c>
      <c r="FC95" s="1155">
        <f t="shared" si="354"/>
        <v>0</v>
      </c>
      <c r="FD95" s="1155">
        <f t="shared" si="355"/>
        <v>0</v>
      </c>
      <c r="FE95" s="1155">
        <f t="shared" si="356"/>
        <v>0</v>
      </c>
      <c r="FF95" s="1155">
        <f t="shared" si="357"/>
        <v>0</v>
      </c>
      <c r="FG95" s="1155">
        <f t="shared" si="358"/>
        <v>0</v>
      </c>
      <c r="FH95" s="1155">
        <f t="shared" si="359"/>
        <v>0</v>
      </c>
      <c r="FI95" s="1155">
        <f t="shared" si="360"/>
        <v>0</v>
      </c>
      <c r="FJ95" s="1155">
        <f t="shared" si="361"/>
        <v>0</v>
      </c>
      <c r="FK95" s="1155">
        <f t="shared" si="362"/>
        <v>0</v>
      </c>
      <c r="FL95" s="1155">
        <f t="shared" si="363"/>
        <v>0</v>
      </c>
      <c r="FM95" s="1155">
        <f t="shared" si="364"/>
        <v>0</v>
      </c>
      <c r="FN95" s="1155">
        <f t="shared" si="365"/>
        <v>0</v>
      </c>
      <c r="FO95" s="1155">
        <f t="shared" si="366"/>
        <v>0</v>
      </c>
      <c r="FP95" s="1155">
        <f t="shared" si="367"/>
        <v>0</v>
      </c>
      <c r="FQ95" s="1155">
        <f t="shared" si="368"/>
        <v>0</v>
      </c>
      <c r="FR95" s="1155">
        <f t="shared" si="369"/>
        <v>0</v>
      </c>
      <c r="FS95" s="1155">
        <f t="shared" si="370"/>
        <v>0</v>
      </c>
      <c r="FT95" s="1155">
        <f t="shared" si="371"/>
        <v>0</v>
      </c>
      <c r="FU95" s="1155">
        <f t="shared" si="372"/>
        <v>0</v>
      </c>
      <c r="FV95" s="1155">
        <f t="shared" si="373"/>
        <v>0</v>
      </c>
      <c r="FW95" s="1155">
        <f t="shared" si="374"/>
        <v>0</v>
      </c>
      <c r="FX95" s="1155">
        <f t="shared" si="375"/>
        <v>77067.063373391284</v>
      </c>
      <c r="FY95" s="1155">
        <f t="shared" si="376"/>
        <v>0</v>
      </c>
      <c r="FZ95" s="1155">
        <f t="shared" si="377"/>
        <v>0</v>
      </c>
      <c r="GA95" s="1155">
        <f t="shared" si="378"/>
        <v>0</v>
      </c>
      <c r="GB95" s="1155">
        <f t="shared" si="379"/>
        <v>0</v>
      </c>
      <c r="GC95" s="1155">
        <f t="shared" si="380"/>
        <v>0</v>
      </c>
      <c r="GD95" s="1155">
        <f t="shared" si="381"/>
        <v>0</v>
      </c>
      <c r="GE95" s="1155">
        <f t="shared" si="382"/>
        <v>0</v>
      </c>
      <c r="GF95" s="1155">
        <f t="shared" si="383"/>
        <v>0</v>
      </c>
      <c r="GG95" s="1155">
        <f t="shared" si="384"/>
        <v>0</v>
      </c>
      <c r="GH95" s="1155">
        <f t="shared" si="385"/>
        <v>0</v>
      </c>
      <c r="GI95" s="1155">
        <f t="shared" si="386"/>
        <v>0</v>
      </c>
      <c r="GJ95" s="1175">
        <f t="shared" si="387"/>
        <v>77067.063373391284</v>
      </c>
    </row>
    <row r="96" spans="1:192" s="1101" customFormat="1">
      <c r="B96" s="1259" t="str">
        <f>IF(Prop2021DUOSTariffs!B96="","",Prop2021DUOSTariffs!B96)</f>
        <v/>
      </c>
      <c r="C96" s="1259" t="str">
        <f>IF(Prop2021DUOSTariffs!C96="","",Prop2021DUOSTariffs!C96)</f>
        <v>East SAC&lt;100MWhpa VolumeUnmetered</v>
      </c>
      <c r="D96" s="1259" t="str">
        <f>IF(Prop2021DUOSTariffs!D96="","",Prop2021DUOSTariffs!D96)</f>
        <v>East SAC&lt;100MWhpa VolumeUnmetered</v>
      </c>
      <c r="E96" s="1259" t="str">
        <f>IF(Prop2021DUOSTariffs!E96="","",Prop2021DUOSTariffs!E96)</f>
        <v>SAC</v>
      </c>
      <c r="F96" s="1259" t="str">
        <f>IF(Prop2021DUOSTariffs!F96="","",Prop2021DUOSTariffs!F96)</f>
        <v>SACS Unm</v>
      </c>
      <c r="G96" s="1259" t="str">
        <f>IF(Prop2021DUOSTariffs!G96="","",Prop2021DUOSTariffs!G96)</f>
        <v>East</v>
      </c>
      <c r="H96" s="1259" t="str">
        <f>IF(Prop2021DUOSTariffs!H96="","",Prop2021DUOSTariffs!H96)</f>
        <v>EVU</v>
      </c>
      <c r="I96" s="1259" t="s">
        <v>935</v>
      </c>
      <c r="J96" s="1256"/>
      <c r="K96" s="1135"/>
      <c r="L96" s="1135"/>
      <c r="M96" s="1135"/>
      <c r="N96" s="1135"/>
      <c r="O96" s="1135"/>
      <c r="P96" s="1135"/>
      <c r="Q96" s="1135"/>
      <c r="R96" s="1135"/>
      <c r="S96" s="1135"/>
      <c r="T96" s="1135"/>
      <c r="U96" s="1135"/>
      <c r="V96" s="1135"/>
      <c r="W96" s="1135"/>
      <c r="X96" s="1135"/>
      <c r="Y96" s="1135"/>
      <c r="Z96" s="1135"/>
      <c r="AA96" s="1135"/>
      <c r="AB96" s="1135"/>
      <c r="AC96" s="1135"/>
      <c r="AD96" s="1135"/>
      <c r="AE96" s="1135"/>
      <c r="AF96" s="1005"/>
      <c r="AG96" s="1005"/>
      <c r="AH96" s="1241"/>
      <c r="AI96" s="1241"/>
      <c r="AJ96" s="1241"/>
      <c r="AK96" s="1241"/>
      <c r="AL96" s="1241"/>
      <c r="AM96" s="1241"/>
      <c r="AN96" s="1241"/>
      <c r="AO96" s="1241"/>
      <c r="AP96" s="1241"/>
      <c r="AQ96" s="1241"/>
      <c r="AR96" s="1241"/>
      <c r="AS96" s="1241"/>
      <c r="AT96" s="1256"/>
      <c r="AU96" s="1241"/>
      <c r="AV96" s="1241"/>
      <c r="AW96" s="1241"/>
      <c r="AX96" s="1241"/>
      <c r="AY96" s="1241"/>
      <c r="AZ96" s="1241"/>
      <c r="BA96" s="1241"/>
      <c r="BB96" s="1241"/>
      <c r="BC96" s="1241"/>
      <c r="BD96" s="1241"/>
      <c r="BE96" s="1241"/>
      <c r="BF96" s="1241"/>
      <c r="BG96" s="1241"/>
      <c r="BH96" s="1241"/>
      <c r="BI96" s="1241"/>
      <c r="BJ96" s="1241"/>
      <c r="BK96" s="1241"/>
      <c r="BL96" s="1241"/>
      <c r="BM96" s="1241"/>
      <c r="BN96" s="1241"/>
      <c r="BO96" s="1241"/>
      <c r="BP96" s="1241"/>
      <c r="BQ96" s="1241"/>
      <c r="BR96" s="1241"/>
      <c r="BS96" s="1241"/>
      <c r="BT96" s="1241"/>
      <c r="BU96" s="1241"/>
      <c r="BV96" s="1241"/>
      <c r="BW96" s="1241"/>
      <c r="BX96" s="1241"/>
      <c r="BY96" s="1241"/>
      <c r="BZ96" s="1241"/>
      <c r="CA96" s="1241"/>
      <c r="CB96" s="1241"/>
      <c r="CC96" s="1241"/>
      <c r="CD96" s="1256"/>
      <c r="CE96" s="1256"/>
      <c r="CF96" s="1265">
        <v>0</v>
      </c>
      <c r="CG96" s="1135"/>
      <c r="CH96" s="1135"/>
      <c r="CI96" s="1135"/>
      <c r="CJ96" s="1135"/>
      <c r="CK96" s="1135"/>
      <c r="CL96" s="1135"/>
      <c r="CM96" s="1135"/>
      <c r="CN96" s="1135"/>
      <c r="CO96" s="1135"/>
      <c r="CP96" s="1135"/>
      <c r="CQ96" s="1135"/>
      <c r="CR96" s="1135"/>
      <c r="CS96" s="1135"/>
      <c r="CT96" s="1135"/>
      <c r="CU96" s="1135"/>
      <c r="CV96" s="1135"/>
      <c r="CW96" s="1135"/>
      <c r="CX96" s="1135"/>
      <c r="CY96" s="1135"/>
      <c r="CZ96" s="1135"/>
      <c r="DA96" s="1008"/>
      <c r="DB96" s="1008"/>
      <c r="DC96" s="1265">
        <v>121679878.94</v>
      </c>
      <c r="DD96" s="1008"/>
      <c r="DE96" s="1008"/>
      <c r="DF96" s="1008"/>
      <c r="DG96" s="1008"/>
      <c r="DH96" s="1008"/>
      <c r="DI96" s="1008"/>
      <c r="DJ96" s="1008"/>
      <c r="DK96" s="1008"/>
      <c r="DL96" s="1008"/>
      <c r="DM96" s="1008"/>
      <c r="DN96" s="1008"/>
      <c r="DO96" s="1256"/>
      <c r="DP96" s="1155">
        <f t="shared" si="317"/>
        <v>0</v>
      </c>
      <c r="DQ96" s="1155">
        <f t="shared" si="318"/>
        <v>0</v>
      </c>
      <c r="DR96" s="1155">
        <f t="shared" si="319"/>
        <v>0</v>
      </c>
      <c r="DS96" s="1155">
        <f t="shared" si="320"/>
        <v>0</v>
      </c>
      <c r="DT96" s="1155">
        <f t="shared" si="321"/>
        <v>0</v>
      </c>
      <c r="DU96" s="1155">
        <f t="shared" si="322"/>
        <v>0</v>
      </c>
      <c r="DV96" s="1155">
        <f t="shared" si="323"/>
        <v>0</v>
      </c>
      <c r="DW96" s="1155">
        <f t="shared" si="324"/>
        <v>0</v>
      </c>
      <c r="DX96" s="1155">
        <f t="shared" si="325"/>
        <v>0</v>
      </c>
      <c r="DY96" s="1155">
        <f t="shared" si="326"/>
        <v>0</v>
      </c>
      <c r="DZ96" s="1155">
        <f t="shared" si="327"/>
        <v>0</v>
      </c>
      <c r="EA96" s="1155">
        <f t="shared" si="328"/>
        <v>0</v>
      </c>
      <c r="EB96" s="1155">
        <f t="shared" si="329"/>
        <v>0</v>
      </c>
      <c r="EC96" s="1155">
        <f t="shared" si="330"/>
        <v>0</v>
      </c>
      <c r="ED96" s="1155">
        <f t="shared" si="331"/>
        <v>0</v>
      </c>
      <c r="EE96" s="1155">
        <f t="shared" si="332"/>
        <v>0</v>
      </c>
      <c r="EF96" s="1155">
        <f t="shared" si="333"/>
        <v>0</v>
      </c>
      <c r="EG96" s="1155">
        <f t="shared" si="334"/>
        <v>0</v>
      </c>
      <c r="EH96" s="1155">
        <f t="shared" si="335"/>
        <v>0</v>
      </c>
      <c r="EI96" s="1155">
        <f t="shared" si="336"/>
        <v>0</v>
      </c>
      <c r="EJ96" s="1155">
        <f t="shared" si="337"/>
        <v>0</v>
      </c>
      <c r="EK96" s="1155">
        <f t="shared" si="338"/>
        <v>0</v>
      </c>
      <c r="EL96" s="1155">
        <f t="shared" si="339"/>
        <v>0</v>
      </c>
      <c r="EM96" s="1155">
        <f t="shared" si="340"/>
        <v>0</v>
      </c>
      <c r="EN96" s="1155">
        <f t="shared" si="341"/>
        <v>0</v>
      </c>
      <c r="EO96" s="1155">
        <f t="shared" si="342"/>
        <v>0</v>
      </c>
      <c r="EP96" s="1155">
        <f t="shared" si="343"/>
        <v>0</v>
      </c>
      <c r="EQ96" s="1155">
        <f t="shared" si="344"/>
        <v>0</v>
      </c>
      <c r="ER96" s="1155">
        <f t="shared" si="345"/>
        <v>0</v>
      </c>
      <c r="ES96" s="1155">
        <f t="shared" si="346"/>
        <v>0</v>
      </c>
      <c r="ET96" s="1155">
        <f t="shared" si="347"/>
        <v>0</v>
      </c>
      <c r="EU96" s="1155">
        <f t="shared" si="348"/>
        <v>0</v>
      </c>
      <c r="EV96" s="1155">
        <f t="shared" si="349"/>
        <v>0</v>
      </c>
      <c r="EW96" s="1155">
        <f t="shared" si="350"/>
        <v>0</v>
      </c>
      <c r="EX96" s="1155">
        <f t="shared" si="351"/>
        <v>0</v>
      </c>
      <c r="EY96" s="1175">
        <f t="shared" si="280"/>
        <v>0</v>
      </c>
      <c r="EZ96" s="1256"/>
      <c r="FA96" s="1155">
        <f t="shared" si="352"/>
        <v>0</v>
      </c>
      <c r="FB96" s="1155">
        <f t="shared" si="353"/>
        <v>0</v>
      </c>
      <c r="FC96" s="1155">
        <f t="shared" si="354"/>
        <v>0</v>
      </c>
      <c r="FD96" s="1155">
        <f t="shared" si="355"/>
        <v>0</v>
      </c>
      <c r="FE96" s="1155">
        <f t="shared" si="356"/>
        <v>0</v>
      </c>
      <c r="FF96" s="1155">
        <f t="shared" si="357"/>
        <v>0</v>
      </c>
      <c r="FG96" s="1155">
        <f t="shared" si="358"/>
        <v>0</v>
      </c>
      <c r="FH96" s="1155">
        <f t="shared" si="359"/>
        <v>0</v>
      </c>
      <c r="FI96" s="1155">
        <f t="shared" si="360"/>
        <v>0</v>
      </c>
      <c r="FJ96" s="1155">
        <f t="shared" si="361"/>
        <v>0</v>
      </c>
      <c r="FK96" s="1155">
        <f t="shared" si="362"/>
        <v>0</v>
      </c>
      <c r="FL96" s="1155">
        <f t="shared" si="363"/>
        <v>0</v>
      </c>
      <c r="FM96" s="1155">
        <f t="shared" si="364"/>
        <v>0</v>
      </c>
      <c r="FN96" s="1155">
        <f t="shared" si="365"/>
        <v>0</v>
      </c>
      <c r="FO96" s="1155">
        <f t="shared" si="366"/>
        <v>0</v>
      </c>
      <c r="FP96" s="1155">
        <f t="shared" si="367"/>
        <v>0</v>
      </c>
      <c r="FQ96" s="1155">
        <f t="shared" si="368"/>
        <v>0</v>
      </c>
      <c r="FR96" s="1155">
        <f t="shared" si="369"/>
        <v>0</v>
      </c>
      <c r="FS96" s="1155">
        <f t="shared" si="370"/>
        <v>0</v>
      </c>
      <c r="FT96" s="1155">
        <f t="shared" si="371"/>
        <v>0</v>
      </c>
      <c r="FU96" s="1155">
        <f t="shared" si="372"/>
        <v>0</v>
      </c>
      <c r="FV96" s="1155">
        <f t="shared" si="373"/>
        <v>0</v>
      </c>
      <c r="FW96" s="1155">
        <f t="shared" si="374"/>
        <v>0</v>
      </c>
      <c r="FX96" s="1155">
        <f t="shared" si="375"/>
        <v>0</v>
      </c>
      <c r="FY96" s="1155">
        <f t="shared" si="376"/>
        <v>0</v>
      </c>
      <c r="FZ96" s="1155">
        <f t="shared" si="377"/>
        <v>0</v>
      </c>
      <c r="GA96" s="1155">
        <f t="shared" si="378"/>
        <v>0</v>
      </c>
      <c r="GB96" s="1155">
        <f t="shared" si="379"/>
        <v>0</v>
      </c>
      <c r="GC96" s="1155">
        <f t="shared" si="380"/>
        <v>0</v>
      </c>
      <c r="GD96" s="1155">
        <f t="shared" si="381"/>
        <v>0</v>
      </c>
      <c r="GE96" s="1155">
        <f t="shared" si="382"/>
        <v>0</v>
      </c>
      <c r="GF96" s="1155">
        <f t="shared" si="383"/>
        <v>0</v>
      </c>
      <c r="GG96" s="1155">
        <f t="shared" si="384"/>
        <v>0</v>
      </c>
      <c r="GH96" s="1155">
        <f t="shared" si="385"/>
        <v>0</v>
      </c>
      <c r="GI96" s="1155">
        <f t="shared" si="386"/>
        <v>0</v>
      </c>
      <c r="GJ96" s="1175">
        <f t="shared" si="387"/>
        <v>0</v>
      </c>
    </row>
    <row r="97" spans="2:192" s="1101" customFormat="1">
      <c r="B97" s="1259" t="str">
        <f>IF(Prop2021DUOSTariffs!B97="","",Prop2021DUOSTariffs!B97)</f>
        <v/>
      </c>
      <c r="C97" s="1259" t="str">
        <f>IF(Prop2021DUOSTariffs!C97="","",Prop2021DUOSTariffs!C97)</f>
        <v>West SAC&lt;100MWhpa VolumeUnmetered</v>
      </c>
      <c r="D97" s="1259" t="str">
        <f>IF(Prop2021DUOSTariffs!D97="","",Prop2021DUOSTariffs!D97)</f>
        <v>West SAC&lt;100MWhpa VolumeUnmetered</v>
      </c>
      <c r="E97" s="1259" t="str">
        <f>IF(Prop2021DUOSTariffs!E97="","",Prop2021DUOSTariffs!E97)</f>
        <v>SAC</v>
      </c>
      <c r="F97" s="1259" t="str">
        <f>IF(Prop2021DUOSTariffs!F97="","",Prop2021DUOSTariffs!F97)</f>
        <v>SACS Unm</v>
      </c>
      <c r="G97" s="1259" t="str">
        <f>IF(Prop2021DUOSTariffs!G97="","",Prop2021DUOSTariffs!G97)</f>
        <v>West</v>
      </c>
      <c r="H97" s="1259" t="str">
        <f>IF(Prop2021DUOSTariffs!H97="","",Prop2021DUOSTariffs!H97)</f>
        <v>WVU</v>
      </c>
      <c r="I97" s="1259" t="s">
        <v>935</v>
      </c>
      <c r="J97" s="1256"/>
      <c r="K97" s="1135"/>
      <c r="L97" s="1135"/>
      <c r="M97" s="1135"/>
      <c r="N97" s="1135"/>
      <c r="O97" s="1135"/>
      <c r="P97" s="1135"/>
      <c r="Q97" s="1135"/>
      <c r="R97" s="1135"/>
      <c r="S97" s="1135"/>
      <c r="T97" s="1135"/>
      <c r="U97" s="1135"/>
      <c r="V97" s="1135"/>
      <c r="W97" s="1135"/>
      <c r="X97" s="1135"/>
      <c r="Y97" s="1135"/>
      <c r="Z97" s="1135"/>
      <c r="AA97" s="1135"/>
      <c r="AB97" s="1135"/>
      <c r="AC97" s="1135"/>
      <c r="AD97" s="1135"/>
      <c r="AE97" s="1135"/>
      <c r="AF97" s="1005"/>
      <c r="AG97" s="1005"/>
      <c r="AH97" s="1241"/>
      <c r="AI97" s="1241"/>
      <c r="AJ97" s="1241"/>
      <c r="AK97" s="1241"/>
      <c r="AL97" s="1241"/>
      <c r="AM97" s="1241"/>
      <c r="AN97" s="1241"/>
      <c r="AO97" s="1241"/>
      <c r="AP97" s="1241"/>
      <c r="AQ97" s="1241"/>
      <c r="AR97" s="1241"/>
      <c r="AS97" s="1241"/>
      <c r="AT97" s="1256"/>
      <c r="AU97" s="1241"/>
      <c r="AV97" s="1241"/>
      <c r="AW97" s="1241"/>
      <c r="AX97" s="1241"/>
      <c r="AY97" s="1241"/>
      <c r="AZ97" s="1241"/>
      <c r="BA97" s="1241"/>
      <c r="BB97" s="1241"/>
      <c r="BC97" s="1241"/>
      <c r="BD97" s="1241"/>
      <c r="BE97" s="1241"/>
      <c r="BF97" s="1241"/>
      <c r="BG97" s="1241"/>
      <c r="BH97" s="1241"/>
      <c r="BI97" s="1241"/>
      <c r="BJ97" s="1241"/>
      <c r="BK97" s="1241"/>
      <c r="BL97" s="1241"/>
      <c r="BM97" s="1241"/>
      <c r="BN97" s="1241"/>
      <c r="BO97" s="1241"/>
      <c r="BP97" s="1241"/>
      <c r="BQ97" s="1241"/>
      <c r="BR97" s="1241"/>
      <c r="BS97" s="1241"/>
      <c r="BT97" s="1241"/>
      <c r="BU97" s="1241"/>
      <c r="BV97" s="1241"/>
      <c r="BW97" s="1241"/>
      <c r="BX97" s="1241"/>
      <c r="BY97" s="1241"/>
      <c r="BZ97" s="1241"/>
      <c r="CA97" s="1241"/>
      <c r="CB97" s="1241"/>
      <c r="CC97" s="1241"/>
      <c r="CD97" s="1256"/>
      <c r="CE97" s="1256"/>
      <c r="CF97" s="1265">
        <v>0</v>
      </c>
      <c r="CG97" s="1135"/>
      <c r="CH97" s="1135"/>
      <c r="CI97" s="1135"/>
      <c r="CJ97" s="1135"/>
      <c r="CK97" s="1135"/>
      <c r="CL97" s="1135"/>
      <c r="CM97" s="1135"/>
      <c r="CN97" s="1135"/>
      <c r="CO97" s="1135"/>
      <c r="CP97" s="1135"/>
      <c r="CQ97" s="1135"/>
      <c r="CR97" s="1135"/>
      <c r="CS97" s="1135"/>
      <c r="CT97" s="1135"/>
      <c r="CU97" s="1135"/>
      <c r="CV97" s="1135"/>
      <c r="CW97" s="1135"/>
      <c r="CX97" s="1135"/>
      <c r="CY97" s="1135"/>
      <c r="CZ97" s="1135"/>
      <c r="DA97" s="1008"/>
      <c r="DB97" s="1008"/>
      <c r="DC97" s="1265">
        <v>9308348.5600000005</v>
      </c>
      <c r="DD97" s="1008"/>
      <c r="DE97" s="1008"/>
      <c r="DF97" s="1008"/>
      <c r="DG97" s="1008"/>
      <c r="DH97" s="1008"/>
      <c r="DI97" s="1008"/>
      <c r="DJ97" s="1008"/>
      <c r="DK97" s="1008"/>
      <c r="DL97" s="1008"/>
      <c r="DM97" s="1008"/>
      <c r="DN97" s="1008"/>
      <c r="DO97" s="1256"/>
      <c r="DP97" s="1155">
        <f t="shared" si="317"/>
        <v>0</v>
      </c>
      <c r="DQ97" s="1155">
        <f t="shared" si="318"/>
        <v>0</v>
      </c>
      <c r="DR97" s="1155">
        <f t="shared" si="319"/>
        <v>0</v>
      </c>
      <c r="DS97" s="1155">
        <f t="shared" si="320"/>
        <v>0</v>
      </c>
      <c r="DT97" s="1155">
        <f t="shared" si="321"/>
        <v>0</v>
      </c>
      <c r="DU97" s="1155">
        <f t="shared" si="322"/>
        <v>0</v>
      </c>
      <c r="DV97" s="1155">
        <f t="shared" si="323"/>
        <v>0</v>
      </c>
      <c r="DW97" s="1155">
        <f t="shared" si="324"/>
        <v>0</v>
      </c>
      <c r="DX97" s="1155">
        <f t="shared" si="325"/>
        <v>0</v>
      </c>
      <c r="DY97" s="1155">
        <f t="shared" si="326"/>
        <v>0</v>
      </c>
      <c r="DZ97" s="1155">
        <f t="shared" si="327"/>
        <v>0</v>
      </c>
      <c r="EA97" s="1155">
        <f t="shared" si="328"/>
        <v>0</v>
      </c>
      <c r="EB97" s="1155">
        <f t="shared" si="329"/>
        <v>0</v>
      </c>
      <c r="EC97" s="1155">
        <f t="shared" si="330"/>
        <v>0</v>
      </c>
      <c r="ED97" s="1155">
        <f t="shared" si="331"/>
        <v>0</v>
      </c>
      <c r="EE97" s="1155">
        <f t="shared" si="332"/>
        <v>0</v>
      </c>
      <c r="EF97" s="1155">
        <f t="shared" si="333"/>
        <v>0</v>
      </c>
      <c r="EG97" s="1155">
        <f t="shared" si="334"/>
        <v>0</v>
      </c>
      <c r="EH97" s="1155">
        <f t="shared" si="335"/>
        <v>0</v>
      </c>
      <c r="EI97" s="1155">
        <f t="shared" si="336"/>
        <v>0</v>
      </c>
      <c r="EJ97" s="1155">
        <f t="shared" si="337"/>
        <v>0</v>
      </c>
      <c r="EK97" s="1155">
        <f t="shared" si="338"/>
        <v>0</v>
      </c>
      <c r="EL97" s="1155">
        <f t="shared" si="339"/>
        <v>0</v>
      </c>
      <c r="EM97" s="1155">
        <f t="shared" si="340"/>
        <v>0</v>
      </c>
      <c r="EN97" s="1155">
        <f t="shared" si="341"/>
        <v>0</v>
      </c>
      <c r="EO97" s="1155">
        <f t="shared" si="342"/>
        <v>0</v>
      </c>
      <c r="EP97" s="1155">
        <f t="shared" si="343"/>
        <v>0</v>
      </c>
      <c r="EQ97" s="1155">
        <f t="shared" si="344"/>
        <v>0</v>
      </c>
      <c r="ER97" s="1155">
        <f t="shared" si="345"/>
        <v>0</v>
      </c>
      <c r="ES97" s="1155">
        <f t="shared" si="346"/>
        <v>0</v>
      </c>
      <c r="ET97" s="1155">
        <f t="shared" si="347"/>
        <v>0</v>
      </c>
      <c r="EU97" s="1155">
        <f t="shared" si="348"/>
        <v>0</v>
      </c>
      <c r="EV97" s="1155">
        <f t="shared" si="349"/>
        <v>0</v>
      </c>
      <c r="EW97" s="1155">
        <f t="shared" si="350"/>
        <v>0</v>
      </c>
      <c r="EX97" s="1155">
        <f t="shared" si="351"/>
        <v>0</v>
      </c>
      <c r="EY97" s="1175">
        <f t="shared" si="280"/>
        <v>0</v>
      </c>
      <c r="EZ97" s="1256"/>
      <c r="FA97" s="1155">
        <f t="shared" si="352"/>
        <v>0</v>
      </c>
      <c r="FB97" s="1155">
        <f t="shared" si="353"/>
        <v>0</v>
      </c>
      <c r="FC97" s="1155">
        <f t="shared" si="354"/>
        <v>0</v>
      </c>
      <c r="FD97" s="1155">
        <f t="shared" si="355"/>
        <v>0</v>
      </c>
      <c r="FE97" s="1155">
        <f t="shared" si="356"/>
        <v>0</v>
      </c>
      <c r="FF97" s="1155">
        <f t="shared" si="357"/>
        <v>0</v>
      </c>
      <c r="FG97" s="1155">
        <f t="shared" si="358"/>
        <v>0</v>
      </c>
      <c r="FH97" s="1155">
        <f t="shared" si="359"/>
        <v>0</v>
      </c>
      <c r="FI97" s="1155">
        <f t="shared" si="360"/>
        <v>0</v>
      </c>
      <c r="FJ97" s="1155">
        <f t="shared" si="361"/>
        <v>0</v>
      </c>
      <c r="FK97" s="1155">
        <f t="shared" si="362"/>
        <v>0</v>
      </c>
      <c r="FL97" s="1155">
        <f t="shared" si="363"/>
        <v>0</v>
      </c>
      <c r="FM97" s="1155">
        <f t="shared" si="364"/>
        <v>0</v>
      </c>
      <c r="FN97" s="1155">
        <f t="shared" si="365"/>
        <v>0</v>
      </c>
      <c r="FO97" s="1155">
        <f t="shared" si="366"/>
        <v>0</v>
      </c>
      <c r="FP97" s="1155">
        <f t="shared" si="367"/>
        <v>0</v>
      </c>
      <c r="FQ97" s="1155">
        <f t="shared" si="368"/>
        <v>0</v>
      </c>
      <c r="FR97" s="1155">
        <f t="shared" si="369"/>
        <v>0</v>
      </c>
      <c r="FS97" s="1155">
        <f t="shared" si="370"/>
        <v>0</v>
      </c>
      <c r="FT97" s="1155">
        <f t="shared" si="371"/>
        <v>0</v>
      </c>
      <c r="FU97" s="1155">
        <f t="shared" si="372"/>
        <v>0</v>
      </c>
      <c r="FV97" s="1155">
        <f t="shared" si="373"/>
        <v>0</v>
      </c>
      <c r="FW97" s="1155">
        <f t="shared" si="374"/>
        <v>0</v>
      </c>
      <c r="FX97" s="1155">
        <f t="shared" si="375"/>
        <v>0</v>
      </c>
      <c r="FY97" s="1155">
        <f t="shared" si="376"/>
        <v>0</v>
      </c>
      <c r="FZ97" s="1155">
        <f t="shared" si="377"/>
        <v>0</v>
      </c>
      <c r="GA97" s="1155">
        <f t="shared" si="378"/>
        <v>0</v>
      </c>
      <c r="GB97" s="1155">
        <f t="shared" si="379"/>
        <v>0</v>
      </c>
      <c r="GC97" s="1155">
        <f t="shared" si="380"/>
        <v>0</v>
      </c>
      <c r="GD97" s="1155">
        <f t="shared" si="381"/>
        <v>0</v>
      </c>
      <c r="GE97" s="1155">
        <f t="shared" si="382"/>
        <v>0</v>
      </c>
      <c r="GF97" s="1155">
        <f t="shared" si="383"/>
        <v>0</v>
      </c>
      <c r="GG97" s="1155">
        <f t="shared" si="384"/>
        <v>0</v>
      </c>
      <c r="GH97" s="1155">
        <f t="shared" si="385"/>
        <v>0</v>
      </c>
      <c r="GI97" s="1155">
        <f t="shared" si="386"/>
        <v>0</v>
      </c>
      <c r="GJ97" s="1175">
        <f t="shared" si="387"/>
        <v>0</v>
      </c>
    </row>
    <row r="98" spans="2:192" s="1101" customFormat="1">
      <c r="B98" s="1260" t="str">
        <f>IF(Prop2021DUOSTariffs!B98="","",Prop2021DUOSTariffs!B98)</f>
        <v/>
      </c>
      <c r="C98" s="1260" t="str">
        <f>IF(Prop2021DUOSTariffs!C98="","",Prop2021DUOSTariffs!C98)</f>
        <v>MtIsa SAC&lt;100MWhpa VolumeUnmetered</v>
      </c>
      <c r="D98" s="1260" t="str">
        <f>IF(Prop2021DUOSTariffs!D98="","",Prop2021DUOSTariffs!D98)</f>
        <v>MtIsa SAC&lt;100MWhpa VolumeUnmetered</v>
      </c>
      <c r="E98" s="1260" t="str">
        <f>IF(Prop2021DUOSTariffs!E98="","",Prop2021DUOSTariffs!E98)</f>
        <v>SAC</v>
      </c>
      <c r="F98" s="1260" t="str">
        <f>IF(Prop2021DUOSTariffs!F98="","",Prop2021DUOSTariffs!F98)</f>
        <v>SACS Unm</v>
      </c>
      <c r="G98" s="1260" t="str">
        <f>IF(Prop2021DUOSTariffs!G98="","",Prop2021DUOSTariffs!G98)</f>
        <v>Mt Isa</v>
      </c>
      <c r="H98" s="1260" t="str">
        <f>IF(Prop2021DUOSTariffs!H98="","",Prop2021DUOSTariffs!H98)</f>
        <v>MVU</v>
      </c>
      <c r="I98" s="1260" t="s">
        <v>935</v>
      </c>
      <c r="J98" s="1261"/>
      <c r="K98" s="1141"/>
      <c r="L98" s="1141"/>
      <c r="M98" s="1141"/>
      <c r="N98" s="1141"/>
      <c r="O98" s="1141"/>
      <c r="P98" s="1141"/>
      <c r="Q98" s="1141"/>
      <c r="R98" s="1141"/>
      <c r="S98" s="1141"/>
      <c r="T98" s="1141"/>
      <c r="U98" s="1141"/>
      <c r="V98" s="1141"/>
      <c r="W98" s="1141"/>
      <c r="X98" s="1141"/>
      <c r="Y98" s="1141"/>
      <c r="Z98" s="1141"/>
      <c r="AA98" s="1141"/>
      <c r="AB98" s="1141"/>
      <c r="AC98" s="1141"/>
      <c r="AD98" s="1141"/>
      <c r="AE98" s="1141"/>
      <c r="AF98" s="1017"/>
      <c r="AG98" s="1017"/>
      <c r="AH98" s="1264"/>
      <c r="AI98" s="1264"/>
      <c r="AJ98" s="1264"/>
      <c r="AK98" s="1264"/>
      <c r="AL98" s="1264"/>
      <c r="AM98" s="1264"/>
      <c r="AN98" s="1264"/>
      <c r="AO98" s="1264"/>
      <c r="AP98" s="1264"/>
      <c r="AQ98" s="1264"/>
      <c r="AR98" s="1264"/>
      <c r="AS98" s="1264"/>
      <c r="AT98" s="1261"/>
      <c r="AU98" s="1264"/>
      <c r="AV98" s="1264"/>
      <c r="AW98" s="1264"/>
      <c r="AX98" s="1264"/>
      <c r="AY98" s="1264"/>
      <c r="AZ98" s="1264"/>
      <c r="BA98" s="1264"/>
      <c r="BB98" s="1264"/>
      <c r="BC98" s="1264"/>
      <c r="BD98" s="1264"/>
      <c r="BE98" s="1264"/>
      <c r="BF98" s="1264"/>
      <c r="BG98" s="1264"/>
      <c r="BH98" s="1264"/>
      <c r="BI98" s="1264"/>
      <c r="BJ98" s="1264"/>
      <c r="BK98" s="1264"/>
      <c r="BL98" s="1264"/>
      <c r="BM98" s="1264"/>
      <c r="BN98" s="1264"/>
      <c r="BO98" s="1264"/>
      <c r="BP98" s="1264"/>
      <c r="BQ98" s="1264"/>
      <c r="BR98" s="1264"/>
      <c r="BS98" s="1264"/>
      <c r="BT98" s="1264"/>
      <c r="BU98" s="1264"/>
      <c r="BV98" s="1264"/>
      <c r="BW98" s="1264"/>
      <c r="BX98" s="1264"/>
      <c r="BY98" s="1264"/>
      <c r="BZ98" s="1264"/>
      <c r="CA98" s="1264"/>
      <c r="CB98" s="1264"/>
      <c r="CC98" s="1264"/>
      <c r="CD98" s="1261"/>
      <c r="CE98" s="1256"/>
      <c r="CF98" s="1265">
        <v>0</v>
      </c>
      <c r="CG98" s="1141"/>
      <c r="CH98" s="1141"/>
      <c r="CI98" s="1141"/>
      <c r="CJ98" s="1141"/>
      <c r="CK98" s="1141"/>
      <c r="CL98" s="1141"/>
      <c r="CM98" s="1141"/>
      <c r="CN98" s="1141"/>
      <c r="CO98" s="1141"/>
      <c r="CP98" s="1141"/>
      <c r="CQ98" s="1141"/>
      <c r="CR98" s="1141"/>
      <c r="CS98" s="1141"/>
      <c r="CT98" s="1141"/>
      <c r="CU98" s="1141"/>
      <c r="CV98" s="1141"/>
      <c r="CW98" s="1141"/>
      <c r="CX98" s="1141"/>
      <c r="CY98" s="1141"/>
      <c r="CZ98" s="1141"/>
      <c r="DA98" s="1018"/>
      <c r="DB98" s="1018"/>
      <c r="DC98" s="1265">
        <v>2746366</v>
      </c>
      <c r="DD98" s="1018"/>
      <c r="DE98" s="1018"/>
      <c r="DF98" s="1018"/>
      <c r="DG98" s="1018"/>
      <c r="DH98" s="1018"/>
      <c r="DI98" s="1018"/>
      <c r="DJ98" s="1018"/>
      <c r="DK98" s="1018"/>
      <c r="DL98" s="1018"/>
      <c r="DM98" s="1018"/>
      <c r="DN98" s="1018"/>
      <c r="DO98" s="1261"/>
      <c r="DP98" s="1155">
        <f t="shared" si="317"/>
        <v>0</v>
      </c>
      <c r="DQ98" s="1155">
        <f t="shared" si="318"/>
        <v>0</v>
      </c>
      <c r="DR98" s="1155">
        <f t="shared" si="319"/>
        <v>0</v>
      </c>
      <c r="DS98" s="1155">
        <f t="shared" si="320"/>
        <v>0</v>
      </c>
      <c r="DT98" s="1155">
        <f t="shared" si="321"/>
        <v>0</v>
      </c>
      <c r="DU98" s="1155">
        <f t="shared" si="322"/>
        <v>0</v>
      </c>
      <c r="DV98" s="1155">
        <f t="shared" si="323"/>
        <v>0</v>
      </c>
      <c r="DW98" s="1155">
        <f t="shared" si="324"/>
        <v>0</v>
      </c>
      <c r="DX98" s="1155">
        <f t="shared" si="325"/>
        <v>0</v>
      </c>
      <c r="DY98" s="1155">
        <f t="shared" si="326"/>
        <v>0</v>
      </c>
      <c r="DZ98" s="1155">
        <f t="shared" si="327"/>
        <v>0</v>
      </c>
      <c r="EA98" s="1155">
        <f t="shared" si="328"/>
        <v>0</v>
      </c>
      <c r="EB98" s="1155">
        <f t="shared" si="329"/>
        <v>0</v>
      </c>
      <c r="EC98" s="1155">
        <f t="shared" si="330"/>
        <v>0</v>
      </c>
      <c r="ED98" s="1155">
        <f t="shared" si="331"/>
        <v>0</v>
      </c>
      <c r="EE98" s="1155">
        <f t="shared" si="332"/>
        <v>0</v>
      </c>
      <c r="EF98" s="1155">
        <f t="shared" si="333"/>
        <v>0</v>
      </c>
      <c r="EG98" s="1155">
        <f t="shared" si="334"/>
        <v>0</v>
      </c>
      <c r="EH98" s="1155">
        <f t="shared" si="335"/>
        <v>0</v>
      </c>
      <c r="EI98" s="1155">
        <f t="shared" si="336"/>
        <v>0</v>
      </c>
      <c r="EJ98" s="1155">
        <f t="shared" si="337"/>
        <v>0</v>
      </c>
      <c r="EK98" s="1155">
        <f t="shared" si="338"/>
        <v>0</v>
      </c>
      <c r="EL98" s="1155">
        <f t="shared" si="339"/>
        <v>0</v>
      </c>
      <c r="EM98" s="1155">
        <f t="shared" si="340"/>
        <v>0</v>
      </c>
      <c r="EN98" s="1155">
        <f t="shared" si="341"/>
        <v>0</v>
      </c>
      <c r="EO98" s="1155">
        <f t="shared" si="342"/>
        <v>0</v>
      </c>
      <c r="EP98" s="1155">
        <f t="shared" si="343"/>
        <v>0</v>
      </c>
      <c r="EQ98" s="1155">
        <f t="shared" si="344"/>
        <v>0</v>
      </c>
      <c r="ER98" s="1155">
        <f t="shared" si="345"/>
        <v>0</v>
      </c>
      <c r="ES98" s="1155">
        <f t="shared" si="346"/>
        <v>0</v>
      </c>
      <c r="ET98" s="1155">
        <f t="shared" si="347"/>
        <v>0</v>
      </c>
      <c r="EU98" s="1155">
        <f t="shared" si="348"/>
        <v>0</v>
      </c>
      <c r="EV98" s="1155">
        <f t="shared" si="349"/>
        <v>0</v>
      </c>
      <c r="EW98" s="1155">
        <f t="shared" si="350"/>
        <v>0</v>
      </c>
      <c r="EX98" s="1155">
        <f t="shared" si="351"/>
        <v>0</v>
      </c>
      <c r="EY98" s="1175">
        <f t="shared" si="280"/>
        <v>0</v>
      </c>
      <c r="EZ98" s="1261"/>
      <c r="FA98" s="1155">
        <f t="shared" si="352"/>
        <v>0</v>
      </c>
      <c r="FB98" s="1155">
        <f t="shared" si="353"/>
        <v>0</v>
      </c>
      <c r="FC98" s="1155">
        <f t="shared" si="354"/>
        <v>0</v>
      </c>
      <c r="FD98" s="1155">
        <f t="shared" si="355"/>
        <v>0</v>
      </c>
      <c r="FE98" s="1155">
        <f t="shared" si="356"/>
        <v>0</v>
      </c>
      <c r="FF98" s="1155">
        <f t="shared" si="357"/>
        <v>0</v>
      </c>
      <c r="FG98" s="1155">
        <f t="shared" si="358"/>
        <v>0</v>
      </c>
      <c r="FH98" s="1155">
        <f t="shared" si="359"/>
        <v>0</v>
      </c>
      <c r="FI98" s="1155">
        <f t="shared" si="360"/>
        <v>0</v>
      </c>
      <c r="FJ98" s="1155">
        <f t="shared" si="361"/>
        <v>0</v>
      </c>
      <c r="FK98" s="1155">
        <f t="shared" si="362"/>
        <v>0</v>
      </c>
      <c r="FL98" s="1155">
        <f t="shared" si="363"/>
        <v>0</v>
      </c>
      <c r="FM98" s="1155">
        <f t="shared" si="364"/>
        <v>0</v>
      </c>
      <c r="FN98" s="1155">
        <f t="shared" si="365"/>
        <v>0</v>
      </c>
      <c r="FO98" s="1155">
        <f t="shared" si="366"/>
        <v>0</v>
      </c>
      <c r="FP98" s="1155">
        <f t="shared" si="367"/>
        <v>0</v>
      </c>
      <c r="FQ98" s="1155">
        <f t="shared" si="368"/>
        <v>0</v>
      </c>
      <c r="FR98" s="1155">
        <f t="shared" si="369"/>
        <v>0</v>
      </c>
      <c r="FS98" s="1155">
        <f t="shared" si="370"/>
        <v>0</v>
      </c>
      <c r="FT98" s="1155">
        <f t="shared" si="371"/>
        <v>0</v>
      </c>
      <c r="FU98" s="1155">
        <f t="shared" si="372"/>
        <v>0</v>
      </c>
      <c r="FV98" s="1155">
        <f t="shared" si="373"/>
        <v>0</v>
      </c>
      <c r="FW98" s="1155">
        <f t="shared" si="374"/>
        <v>0</v>
      </c>
      <c r="FX98" s="1155">
        <f t="shared" si="375"/>
        <v>0</v>
      </c>
      <c r="FY98" s="1155">
        <f t="shared" si="376"/>
        <v>0</v>
      </c>
      <c r="FZ98" s="1155">
        <f t="shared" si="377"/>
        <v>0</v>
      </c>
      <c r="GA98" s="1155">
        <f t="shared" si="378"/>
        <v>0</v>
      </c>
      <c r="GB98" s="1155">
        <f t="shared" si="379"/>
        <v>0</v>
      </c>
      <c r="GC98" s="1155">
        <f t="shared" si="380"/>
        <v>0</v>
      </c>
      <c r="GD98" s="1155">
        <f t="shared" si="381"/>
        <v>0</v>
      </c>
      <c r="GE98" s="1155">
        <f t="shared" si="382"/>
        <v>0</v>
      </c>
      <c r="GF98" s="1155">
        <f t="shared" si="383"/>
        <v>0</v>
      </c>
      <c r="GG98" s="1155">
        <f t="shared" si="384"/>
        <v>0</v>
      </c>
      <c r="GH98" s="1155">
        <f t="shared" si="385"/>
        <v>0</v>
      </c>
      <c r="GI98" s="1155">
        <f t="shared" si="386"/>
        <v>0</v>
      </c>
      <c r="GJ98" s="1175">
        <f t="shared" si="387"/>
        <v>0</v>
      </c>
    </row>
    <row r="99" spans="2:192" s="1101" customFormat="1" ht="6" customHeight="1">
      <c r="B99" s="1248"/>
      <c r="C99" s="1248"/>
      <c r="D99" s="1248"/>
      <c r="E99" s="1248"/>
      <c r="F99" s="1248"/>
      <c r="G99" s="1248"/>
      <c r="H99" s="1248"/>
      <c r="I99" s="1248"/>
      <c r="J99" s="1248"/>
      <c r="K99" s="1249"/>
      <c r="L99" s="1249"/>
      <c r="M99" s="1249"/>
      <c r="N99" s="1249"/>
      <c r="O99" s="1249"/>
      <c r="P99" s="1249"/>
      <c r="Q99" s="1249"/>
      <c r="R99" s="1249"/>
      <c r="S99" s="1249"/>
      <c r="T99" s="1249"/>
      <c r="U99" s="1249"/>
      <c r="V99" s="1249"/>
      <c r="W99" s="1249"/>
      <c r="X99" s="1249"/>
      <c r="Y99" s="1249"/>
      <c r="Z99" s="1249"/>
      <c r="AA99" s="1249"/>
      <c r="AB99" s="1249"/>
      <c r="AC99" s="1249"/>
      <c r="AD99" s="1249"/>
      <c r="AE99" s="1249"/>
      <c r="AF99" s="1250"/>
      <c r="AG99" s="1250"/>
      <c r="AH99" s="1250"/>
      <c r="AI99" s="1250"/>
      <c r="AJ99" s="1250"/>
      <c r="AK99" s="1250"/>
      <c r="AL99" s="1250"/>
      <c r="AM99" s="1250"/>
      <c r="AN99" s="1250"/>
      <c r="AO99" s="1250"/>
      <c r="AP99" s="1250"/>
      <c r="AQ99" s="1250"/>
      <c r="AR99" s="1250"/>
      <c r="AS99" s="1250"/>
      <c r="AT99" s="1248"/>
      <c r="AU99" s="1250"/>
      <c r="AV99" s="1250"/>
      <c r="AW99" s="1250"/>
      <c r="AX99" s="1250"/>
      <c r="AY99" s="1250"/>
      <c r="AZ99" s="1250"/>
      <c r="BA99" s="1250"/>
      <c r="BB99" s="1250"/>
      <c r="BC99" s="1250"/>
      <c r="BD99" s="1250"/>
      <c r="BE99" s="1250"/>
      <c r="BF99" s="1250"/>
      <c r="BG99" s="1250"/>
      <c r="BH99" s="1250"/>
      <c r="BI99" s="1250"/>
      <c r="BJ99" s="1250"/>
      <c r="BK99" s="1250"/>
      <c r="BL99" s="1250"/>
      <c r="BM99" s="1250"/>
      <c r="BN99" s="1250"/>
      <c r="BO99" s="1250"/>
      <c r="BP99" s="1250"/>
      <c r="BQ99" s="1250"/>
      <c r="BR99" s="1250"/>
      <c r="BS99" s="1250"/>
      <c r="BT99" s="1250"/>
      <c r="BU99" s="1250"/>
      <c r="BV99" s="1250"/>
      <c r="BW99" s="1250"/>
      <c r="BX99" s="1250"/>
      <c r="BY99" s="1250"/>
      <c r="BZ99" s="1250"/>
      <c r="CA99" s="1250"/>
      <c r="CB99" s="1250"/>
      <c r="CC99" s="1250"/>
      <c r="CD99" s="1248"/>
      <c r="CE99" s="1248"/>
      <c r="CF99" s="1249"/>
      <c r="CG99" s="1249"/>
      <c r="CH99" s="1249"/>
      <c r="CI99" s="1249"/>
      <c r="CJ99" s="1249"/>
      <c r="CK99" s="1249"/>
      <c r="CL99" s="1249"/>
      <c r="CM99" s="1249"/>
      <c r="CN99" s="1249"/>
      <c r="CO99" s="1249"/>
      <c r="CP99" s="1249"/>
      <c r="CQ99" s="1249"/>
      <c r="CR99" s="1249"/>
      <c r="CS99" s="1249"/>
      <c r="CT99" s="1249"/>
      <c r="CU99" s="1249"/>
      <c r="CV99" s="1249"/>
      <c r="CW99" s="1249"/>
      <c r="CX99" s="1249"/>
      <c r="CY99" s="1249"/>
      <c r="CZ99" s="1249"/>
      <c r="DA99" s="1251"/>
      <c r="DB99" s="1251"/>
      <c r="DC99" s="1251"/>
      <c r="DD99" s="1251"/>
      <c r="DE99" s="1251"/>
      <c r="DF99" s="1251"/>
      <c r="DG99" s="1251"/>
      <c r="DH99" s="1251"/>
      <c r="DI99" s="1251"/>
      <c r="DJ99" s="1251"/>
      <c r="DK99" s="1251"/>
      <c r="DL99" s="1251"/>
      <c r="DM99" s="1251"/>
      <c r="DN99" s="1251"/>
      <c r="DO99" s="1248"/>
      <c r="DP99" s="1253"/>
      <c r="DQ99" s="1253"/>
      <c r="DR99" s="1253"/>
      <c r="DS99" s="1253"/>
      <c r="DT99" s="1253"/>
      <c r="DU99" s="1253"/>
      <c r="DV99" s="1254"/>
      <c r="DW99" s="1254"/>
      <c r="DX99" s="1254"/>
      <c r="DY99" s="1254"/>
      <c r="DZ99" s="1254"/>
      <c r="EA99" s="1253"/>
      <c r="EB99" s="1254"/>
      <c r="EC99" s="1254"/>
      <c r="ED99" s="1254"/>
      <c r="EE99" s="1254"/>
      <c r="EF99" s="1254"/>
      <c r="EG99" s="1254"/>
      <c r="EH99" s="1254"/>
      <c r="EI99" s="1254"/>
      <c r="EJ99" s="1254"/>
      <c r="EK99" s="1254"/>
      <c r="EL99" s="1254"/>
      <c r="EM99" s="1254"/>
      <c r="EN99" s="1254"/>
      <c r="EO99" s="1254"/>
      <c r="EP99" s="1254"/>
      <c r="EQ99" s="1254"/>
      <c r="ER99" s="1254"/>
      <c r="ES99" s="1254"/>
      <c r="ET99" s="1254"/>
      <c r="EU99" s="1254"/>
      <c r="EV99" s="1254"/>
      <c r="EW99" s="1254"/>
      <c r="EX99" s="1254"/>
      <c r="EY99" s="1156"/>
      <c r="EZ99" s="1248"/>
      <c r="FA99" s="1253"/>
      <c r="FB99" s="1253"/>
      <c r="FC99" s="1253"/>
      <c r="FD99" s="1253"/>
      <c r="FE99" s="1253"/>
      <c r="FF99" s="1253"/>
      <c r="FG99" s="1254"/>
      <c r="FH99" s="1254"/>
      <c r="FI99" s="1254"/>
      <c r="FJ99" s="1254"/>
      <c r="FK99" s="1254"/>
      <c r="FL99" s="1253"/>
      <c r="FM99" s="1254"/>
      <c r="FN99" s="1254"/>
      <c r="FO99" s="1254"/>
      <c r="FP99" s="1254"/>
      <c r="FQ99" s="1254"/>
      <c r="FR99" s="1254"/>
      <c r="FS99" s="1254"/>
      <c r="FT99" s="1254"/>
      <c r="FU99" s="1254"/>
      <c r="FV99" s="1254"/>
      <c r="FW99" s="1254"/>
      <c r="FX99" s="1254"/>
      <c r="FY99" s="1254"/>
      <c r="FZ99" s="1254"/>
      <c r="GA99" s="1254"/>
      <c r="GB99" s="1254"/>
      <c r="GC99" s="1254"/>
      <c r="GD99" s="1254"/>
      <c r="GE99" s="1254"/>
      <c r="GF99" s="1254"/>
      <c r="GG99" s="1254"/>
      <c r="GH99" s="1254"/>
      <c r="GI99" s="1254"/>
      <c r="GJ99" s="1156"/>
    </row>
    <row r="100" spans="2:192" s="1101" customFormat="1" ht="18" customHeight="1">
      <c r="DC100" s="1142">
        <f>SUM(DC8:DF98)</f>
        <v>9312989012.6361847</v>
      </c>
      <c r="DP100" s="1255">
        <f t="shared" ref="DP100:EY100" si="388">SUM(DP8:DP98)</f>
        <v>40822422.792566732</v>
      </c>
      <c r="DQ100" s="1255">
        <f t="shared" si="388"/>
        <v>0</v>
      </c>
      <c r="DR100" s="1255">
        <f t="shared" si="388"/>
        <v>0</v>
      </c>
      <c r="DS100" s="1255">
        <f t="shared" si="388"/>
        <v>0</v>
      </c>
      <c r="DT100" s="1255">
        <f t="shared" si="388"/>
        <v>0</v>
      </c>
      <c r="DU100" s="1255">
        <f t="shared" si="388"/>
        <v>0</v>
      </c>
      <c r="DV100" s="1255">
        <f t="shared" si="388"/>
        <v>0</v>
      </c>
      <c r="DW100" s="1255">
        <f t="shared" si="388"/>
        <v>0</v>
      </c>
      <c r="DX100" s="1255">
        <f t="shared" si="388"/>
        <v>0</v>
      </c>
      <c r="DY100" s="1255">
        <f t="shared" si="388"/>
        <v>0</v>
      </c>
      <c r="DZ100" s="1255">
        <f t="shared" si="388"/>
        <v>0</v>
      </c>
      <c r="EA100" s="1255">
        <f t="shared" si="388"/>
        <v>0</v>
      </c>
      <c r="EB100" s="1255">
        <f t="shared" si="388"/>
        <v>0</v>
      </c>
      <c r="EC100" s="1255">
        <f t="shared" si="388"/>
        <v>0</v>
      </c>
      <c r="ED100" s="1255">
        <f t="shared" si="388"/>
        <v>0</v>
      </c>
      <c r="EE100" s="1255">
        <f t="shared" si="388"/>
        <v>0</v>
      </c>
      <c r="EF100" s="1255">
        <f t="shared" si="388"/>
        <v>0</v>
      </c>
      <c r="EG100" s="1255">
        <f t="shared" si="388"/>
        <v>0</v>
      </c>
      <c r="EH100" s="1255">
        <f t="shared" si="388"/>
        <v>0</v>
      </c>
      <c r="EI100" s="1255">
        <f t="shared" si="388"/>
        <v>0</v>
      </c>
      <c r="EJ100" s="1255">
        <f t="shared" si="388"/>
        <v>0</v>
      </c>
      <c r="EK100" s="1255">
        <f t="shared" si="388"/>
        <v>0</v>
      </c>
      <c r="EL100" s="1255">
        <f t="shared" si="388"/>
        <v>0</v>
      </c>
      <c r="EM100" s="1255">
        <f t="shared" si="388"/>
        <v>41222802.213307999</v>
      </c>
      <c r="EN100" s="1255">
        <f t="shared" si="388"/>
        <v>0</v>
      </c>
      <c r="EO100" s="1255">
        <f t="shared" si="388"/>
        <v>0</v>
      </c>
      <c r="EP100" s="1255">
        <f t="shared" si="388"/>
        <v>0</v>
      </c>
      <c r="EQ100" s="1255">
        <f t="shared" si="388"/>
        <v>0</v>
      </c>
      <c r="ER100" s="1255">
        <f t="shared" si="388"/>
        <v>0</v>
      </c>
      <c r="ES100" s="1255">
        <f t="shared" si="388"/>
        <v>0</v>
      </c>
      <c r="ET100" s="1255">
        <f t="shared" si="388"/>
        <v>0</v>
      </c>
      <c r="EU100" s="1255">
        <f t="shared" si="388"/>
        <v>0</v>
      </c>
      <c r="EV100" s="1255">
        <f t="shared" si="388"/>
        <v>0</v>
      </c>
      <c r="EW100" s="1255">
        <f t="shared" si="388"/>
        <v>0</v>
      </c>
      <c r="EX100" s="1255">
        <f t="shared" si="388"/>
        <v>0</v>
      </c>
      <c r="EY100" s="1255">
        <f t="shared" si="388"/>
        <v>82045225.005874738</v>
      </c>
      <c r="FA100" s="1255">
        <f t="shared" ref="FA100:GJ100" si="389">SUM(FA8:FA98)</f>
        <v>44290767.74815353</v>
      </c>
      <c r="FB100" s="1255">
        <f t="shared" si="389"/>
        <v>0</v>
      </c>
      <c r="FC100" s="1255">
        <f t="shared" si="389"/>
        <v>0</v>
      </c>
      <c r="FD100" s="1255">
        <f t="shared" si="389"/>
        <v>0</v>
      </c>
      <c r="FE100" s="1255">
        <f t="shared" si="389"/>
        <v>0</v>
      </c>
      <c r="FF100" s="1255">
        <f t="shared" si="389"/>
        <v>0</v>
      </c>
      <c r="FG100" s="1255">
        <f t="shared" si="389"/>
        <v>0</v>
      </c>
      <c r="FH100" s="1255">
        <f t="shared" si="389"/>
        <v>0</v>
      </c>
      <c r="FI100" s="1255">
        <f t="shared" si="389"/>
        <v>0</v>
      </c>
      <c r="FJ100" s="1255">
        <f t="shared" si="389"/>
        <v>0</v>
      </c>
      <c r="FK100" s="1255">
        <f t="shared" si="389"/>
        <v>0</v>
      </c>
      <c r="FL100" s="1255">
        <f t="shared" si="389"/>
        <v>0</v>
      </c>
      <c r="FM100" s="1255">
        <f t="shared" si="389"/>
        <v>0</v>
      </c>
      <c r="FN100" s="1255">
        <f t="shared" si="389"/>
        <v>0</v>
      </c>
      <c r="FO100" s="1255">
        <f t="shared" si="389"/>
        <v>0</v>
      </c>
      <c r="FP100" s="1255">
        <f t="shared" si="389"/>
        <v>0</v>
      </c>
      <c r="FQ100" s="1255">
        <f t="shared" si="389"/>
        <v>0</v>
      </c>
      <c r="FR100" s="1255">
        <f t="shared" si="389"/>
        <v>0</v>
      </c>
      <c r="FS100" s="1255">
        <f t="shared" si="389"/>
        <v>0</v>
      </c>
      <c r="FT100" s="1255">
        <f t="shared" si="389"/>
        <v>0</v>
      </c>
      <c r="FU100" s="1255">
        <f t="shared" si="389"/>
        <v>0</v>
      </c>
      <c r="FV100" s="1255">
        <f t="shared" si="389"/>
        <v>0</v>
      </c>
      <c r="FW100" s="1255">
        <f t="shared" si="389"/>
        <v>0</v>
      </c>
      <c r="FX100" s="1255">
        <f t="shared" si="389"/>
        <v>45510471.816361621</v>
      </c>
      <c r="FY100" s="1255">
        <f t="shared" si="389"/>
        <v>0</v>
      </c>
      <c r="FZ100" s="1255">
        <f t="shared" si="389"/>
        <v>0</v>
      </c>
      <c r="GA100" s="1255">
        <f t="shared" si="389"/>
        <v>0</v>
      </c>
      <c r="GB100" s="1255">
        <f t="shared" si="389"/>
        <v>0</v>
      </c>
      <c r="GC100" s="1255">
        <f t="shared" si="389"/>
        <v>0</v>
      </c>
      <c r="GD100" s="1255">
        <f t="shared" si="389"/>
        <v>0</v>
      </c>
      <c r="GE100" s="1255">
        <f t="shared" si="389"/>
        <v>0</v>
      </c>
      <c r="GF100" s="1255">
        <f t="shared" si="389"/>
        <v>0</v>
      </c>
      <c r="GG100" s="1255">
        <f t="shared" si="389"/>
        <v>0</v>
      </c>
      <c r="GH100" s="1255">
        <f t="shared" si="389"/>
        <v>0</v>
      </c>
      <c r="GI100" s="1255">
        <f t="shared" si="389"/>
        <v>0</v>
      </c>
      <c r="GJ100" s="1255">
        <f t="shared" si="389"/>
        <v>89801239.564515188</v>
      </c>
    </row>
    <row r="101" spans="2:192" ht="18" customHeight="1">
      <c r="C101" s="1101"/>
    </row>
    <row r="102" spans="2:192">
      <c r="C102" s="1101"/>
    </row>
    <row r="103" spans="2:192">
      <c r="C103" s="1101"/>
      <c r="J103" s="1015"/>
      <c r="K103" s="1015">
        <f t="shared" ref="K103:AS103" si="390">COUNTA(K8:K98)</f>
        <v>72</v>
      </c>
      <c r="L103" s="1015">
        <f t="shared" si="390"/>
        <v>0</v>
      </c>
      <c r="M103" s="1015">
        <f t="shared" si="390"/>
        <v>0</v>
      </c>
      <c r="N103" s="1015">
        <f t="shared" si="390"/>
        <v>0</v>
      </c>
      <c r="O103" s="1015">
        <f t="shared" si="390"/>
        <v>0</v>
      </c>
      <c r="P103" s="1015">
        <f t="shared" si="390"/>
        <v>0</v>
      </c>
      <c r="Q103" s="1015">
        <f t="shared" si="390"/>
        <v>0</v>
      </c>
      <c r="R103" s="1015">
        <f t="shared" si="390"/>
        <v>0</v>
      </c>
      <c r="S103" s="1015">
        <f t="shared" si="390"/>
        <v>0</v>
      </c>
      <c r="T103" s="1015">
        <f t="shared" si="390"/>
        <v>0</v>
      </c>
      <c r="U103" s="1015">
        <f t="shared" si="390"/>
        <v>0</v>
      </c>
      <c r="V103" s="1015">
        <f t="shared" si="390"/>
        <v>0</v>
      </c>
      <c r="W103" s="1015">
        <f t="shared" si="390"/>
        <v>0</v>
      </c>
      <c r="X103" s="1015">
        <f t="shared" si="390"/>
        <v>0</v>
      </c>
      <c r="Y103" s="1015">
        <f t="shared" si="390"/>
        <v>0</v>
      </c>
      <c r="Z103" s="1015">
        <f t="shared" si="390"/>
        <v>0</v>
      </c>
      <c r="AA103" s="1015">
        <f t="shared" si="390"/>
        <v>0</v>
      </c>
      <c r="AB103" s="1015">
        <f t="shared" si="390"/>
        <v>0</v>
      </c>
      <c r="AC103" s="1015">
        <f t="shared" si="390"/>
        <v>0</v>
      </c>
      <c r="AD103" s="1015">
        <f t="shared" si="390"/>
        <v>0</v>
      </c>
      <c r="AE103" s="1015">
        <f t="shared" si="390"/>
        <v>0</v>
      </c>
      <c r="AF103" s="1015">
        <f t="shared" si="390"/>
        <v>0</v>
      </c>
      <c r="AG103" s="1015">
        <f t="shared" si="390"/>
        <v>0</v>
      </c>
      <c r="AH103" s="1015">
        <f t="shared" si="390"/>
        <v>81</v>
      </c>
      <c r="AI103" s="1015">
        <f t="shared" si="390"/>
        <v>0</v>
      </c>
      <c r="AJ103" s="1015">
        <f t="shared" si="390"/>
        <v>0</v>
      </c>
      <c r="AK103" s="1015">
        <f t="shared" si="390"/>
        <v>0</v>
      </c>
      <c r="AL103" s="1015">
        <f t="shared" si="390"/>
        <v>0</v>
      </c>
      <c r="AM103" s="1015">
        <f t="shared" si="390"/>
        <v>0</v>
      </c>
      <c r="AN103" s="1015">
        <f t="shared" si="390"/>
        <v>0</v>
      </c>
      <c r="AO103" s="1015">
        <f t="shared" si="390"/>
        <v>0</v>
      </c>
      <c r="AP103" s="1015">
        <f t="shared" si="390"/>
        <v>0</v>
      </c>
      <c r="AQ103" s="1015">
        <f t="shared" si="390"/>
        <v>0</v>
      </c>
      <c r="AR103" s="1015">
        <f t="shared" si="390"/>
        <v>0</v>
      </c>
      <c r="AS103" s="1015">
        <f t="shared" si="390"/>
        <v>0</v>
      </c>
      <c r="AT103" s="1015"/>
      <c r="AU103" s="1015"/>
      <c r="AV103" s="1015"/>
      <c r="AW103" s="1015"/>
      <c r="AX103" s="1015"/>
      <c r="AY103" s="1015"/>
      <c r="AZ103" s="1015"/>
      <c r="BA103" s="1015"/>
      <c r="BB103" s="1015"/>
      <c r="BC103" s="1015"/>
      <c r="BD103" s="1015"/>
      <c r="BE103" s="1015"/>
      <c r="BF103" s="1015"/>
      <c r="BG103" s="1015"/>
      <c r="BH103" s="1015"/>
      <c r="BI103" s="1015"/>
      <c r="BJ103" s="1015"/>
      <c r="BK103" s="1015"/>
      <c r="BL103" s="1015"/>
      <c r="BM103" s="1015"/>
      <c r="BN103" s="1015"/>
      <c r="BO103" s="1015"/>
      <c r="BP103" s="1015"/>
      <c r="BQ103" s="1015"/>
      <c r="BR103" s="1015"/>
      <c r="BS103" s="1015"/>
      <c r="BT103" s="1015"/>
      <c r="BU103" s="1015"/>
      <c r="BV103" s="1015"/>
      <c r="BW103" s="1015"/>
      <c r="BX103" s="1015"/>
      <c r="BY103" s="1015"/>
      <c r="BZ103" s="1015"/>
      <c r="CA103" s="1015"/>
      <c r="CB103" s="1015"/>
      <c r="CC103" s="1015"/>
      <c r="CD103" s="1015"/>
      <c r="CE103" s="1015"/>
      <c r="CF103" s="1015">
        <f t="shared" ref="CF103:DN103" si="391">COUNTA(CF8:CF98)</f>
        <v>84</v>
      </c>
      <c r="CG103" s="1015">
        <f t="shared" si="391"/>
        <v>0</v>
      </c>
      <c r="CH103" s="1015">
        <f t="shared" si="391"/>
        <v>0</v>
      </c>
      <c r="CI103" s="1015">
        <f t="shared" si="391"/>
        <v>0</v>
      </c>
      <c r="CJ103" s="1015">
        <f t="shared" si="391"/>
        <v>0</v>
      </c>
      <c r="CK103" s="1015">
        <f t="shared" si="391"/>
        <v>0</v>
      </c>
      <c r="CL103" s="1015">
        <f t="shared" si="391"/>
        <v>0</v>
      </c>
      <c r="CM103" s="1015">
        <f t="shared" si="391"/>
        <v>0</v>
      </c>
      <c r="CN103" s="1015">
        <f t="shared" si="391"/>
        <v>0</v>
      </c>
      <c r="CO103" s="1015">
        <f t="shared" si="391"/>
        <v>0</v>
      </c>
      <c r="CP103" s="1015">
        <f t="shared" si="391"/>
        <v>0</v>
      </c>
      <c r="CQ103" s="1015">
        <f t="shared" si="391"/>
        <v>0</v>
      </c>
      <c r="CR103" s="1015">
        <f t="shared" si="391"/>
        <v>0</v>
      </c>
      <c r="CS103" s="1015">
        <f t="shared" si="391"/>
        <v>0</v>
      </c>
      <c r="CT103" s="1015">
        <f t="shared" si="391"/>
        <v>0</v>
      </c>
      <c r="CU103" s="1015">
        <f t="shared" si="391"/>
        <v>0</v>
      </c>
      <c r="CV103" s="1015">
        <f t="shared" si="391"/>
        <v>0</v>
      </c>
      <c r="CW103" s="1015">
        <f t="shared" si="391"/>
        <v>0</v>
      </c>
      <c r="CX103" s="1015">
        <f t="shared" si="391"/>
        <v>0</v>
      </c>
      <c r="CY103" s="1015">
        <f t="shared" si="391"/>
        <v>0</v>
      </c>
      <c r="CZ103" s="1015">
        <f t="shared" si="391"/>
        <v>0</v>
      </c>
      <c r="DA103" s="1015">
        <f t="shared" si="391"/>
        <v>0</v>
      </c>
      <c r="DB103" s="1015">
        <f t="shared" si="391"/>
        <v>0</v>
      </c>
      <c r="DC103" s="1015">
        <f t="shared" si="391"/>
        <v>84</v>
      </c>
      <c r="DD103" s="1015">
        <f t="shared" si="391"/>
        <v>0</v>
      </c>
      <c r="DE103" s="1015">
        <f t="shared" si="391"/>
        <v>0</v>
      </c>
      <c r="DF103" s="1015">
        <f t="shared" si="391"/>
        <v>0</v>
      </c>
      <c r="DG103" s="1015">
        <f t="shared" si="391"/>
        <v>0</v>
      </c>
      <c r="DH103" s="1015">
        <f t="shared" si="391"/>
        <v>0</v>
      </c>
      <c r="DI103" s="1015">
        <f t="shared" si="391"/>
        <v>0</v>
      </c>
      <c r="DJ103" s="1015">
        <f t="shared" si="391"/>
        <v>0</v>
      </c>
      <c r="DK103" s="1015">
        <f t="shared" si="391"/>
        <v>0</v>
      </c>
      <c r="DL103" s="1015">
        <f t="shared" si="391"/>
        <v>0</v>
      </c>
      <c r="DM103" s="1015">
        <f t="shared" si="391"/>
        <v>0</v>
      </c>
      <c r="DN103" s="1015">
        <f t="shared" si="391"/>
        <v>0</v>
      </c>
    </row>
    <row r="107" spans="2:192">
      <c r="DP107" s="1102">
        <f>Prop2021DUOSTariffs!DQ107</f>
        <v>365</v>
      </c>
      <c r="DQ107" s="1102">
        <f>Prop2021DUOSTariffs!DR107</f>
        <v>365</v>
      </c>
      <c r="DR107" s="1102">
        <f>Prop2021DUOSTariffs!DS107</f>
        <v>365</v>
      </c>
      <c r="DS107" s="1102">
        <f>Prop2021DUOSTariffs!DT107</f>
        <v>365</v>
      </c>
      <c r="DT107" s="1102">
        <f>Prop2021DUOSTariffs!DU107</f>
        <v>365</v>
      </c>
      <c r="DU107" s="1102">
        <f>Prop2021DUOSTariffs!DV107</f>
        <v>365</v>
      </c>
      <c r="DV107" s="1102">
        <f>Prop2021DUOSTariffs!DW107</f>
        <v>365</v>
      </c>
      <c r="DW107" s="1102">
        <f>Prop2021DUOSTariffs!DX107</f>
        <v>12</v>
      </c>
      <c r="DX107" s="1102">
        <f>Prop2021DUOSTariffs!DY107</f>
        <v>9</v>
      </c>
      <c r="DY107" s="1102">
        <f>Prop2021DUOSTariffs!DZ107</f>
        <v>9</v>
      </c>
      <c r="DZ107" s="1102">
        <f>Prop2021DUOSTariffs!EA107</f>
        <v>9</v>
      </c>
      <c r="EA107" s="1102">
        <f>Prop2021DUOSTariffs!EB107</f>
        <v>1</v>
      </c>
      <c r="EB107" s="1102">
        <f>Prop2021DUOSTariffs!EC107</f>
        <v>1</v>
      </c>
      <c r="EC107" s="1102">
        <f>Prop2021DUOSTariffs!ED107</f>
        <v>1</v>
      </c>
      <c r="ED107" s="1102">
        <f>Prop2021DUOSTariffs!EE107</f>
        <v>1</v>
      </c>
      <c r="EE107" s="1102">
        <f>Prop2021DUOSTariffs!EF107</f>
        <v>1</v>
      </c>
      <c r="EF107" s="1102">
        <f>Prop2021DUOSTariffs!EG107</f>
        <v>1</v>
      </c>
      <c r="EG107" s="1102">
        <f>Prop2021DUOSTariffs!EH107</f>
        <v>1</v>
      </c>
      <c r="EH107" s="1102">
        <f>Prop2021DUOSTariffs!EI107</f>
        <v>1</v>
      </c>
      <c r="EI107" s="1102">
        <f>Prop2021DUOSTariffs!EJ107</f>
        <v>1</v>
      </c>
      <c r="EJ107" s="1102">
        <f>Prop2021DUOSTariffs!EK107</f>
        <v>1</v>
      </c>
      <c r="EK107" s="1102">
        <f>Prop2021DUOSTariffs!EL107</f>
        <v>1</v>
      </c>
      <c r="EL107" s="1102">
        <f>Prop2021DUOSTariffs!EM107</f>
        <v>1</v>
      </c>
      <c r="EM107" s="1102">
        <f>Prop2021DUOSTariffs!EN107</f>
        <v>1</v>
      </c>
      <c r="EN107" s="1102">
        <f>Prop2021DUOSTariffs!EO107</f>
        <v>1</v>
      </c>
      <c r="EO107" s="1102">
        <f>Prop2021DUOSTariffs!EP107</f>
        <v>1</v>
      </c>
      <c r="EP107" s="1102">
        <f>Prop2021DUOSTariffs!EQ107</f>
        <v>1</v>
      </c>
      <c r="EQ107" s="1102">
        <f>Prop2021DUOSTariffs!ER107</f>
        <v>1</v>
      </c>
      <c r="ER107" s="1102">
        <f>Prop2021DUOSTariffs!ES107</f>
        <v>1</v>
      </c>
      <c r="ES107" s="1102">
        <f>Prop2021DUOSTariffs!ET107</f>
        <v>1</v>
      </c>
      <c r="ET107" s="1102">
        <f>Prop2021DUOSTariffs!EU107</f>
        <v>1</v>
      </c>
      <c r="EU107" s="1102">
        <f>Prop2021DUOSTariffs!EV107</f>
        <v>1</v>
      </c>
      <c r="EV107" s="1102">
        <f>Prop2021DUOSTariffs!EW107</f>
        <v>1</v>
      </c>
      <c r="EW107" s="1102">
        <f>Prop2021DUOSTariffs!EX107</f>
        <v>1</v>
      </c>
      <c r="EX107" s="1102">
        <f>Prop2021DUOSTariffs!EY107</f>
        <v>1</v>
      </c>
      <c r="FA107" s="1102">
        <f>Prop2021DUOSTariffs!FB107</f>
        <v>365</v>
      </c>
      <c r="FB107" s="1102">
        <f>Prop2021DUOSTariffs!FC107</f>
        <v>365</v>
      </c>
      <c r="FC107" s="1102">
        <f>Prop2021DUOSTariffs!FD107</f>
        <v>365</v>
      </c>
      <c r="FD107" s="1102">
        <f>Prop2021DUOSTariffs!FE107</f>
        <v>365</v>
      </c>
      <c r="FE107" s="1102">
        <f>Prop2021DUOSTariffs!FF107</f>
        <v>365</v>
      </c>
      <c r="FF107" s="1102">
        <f>Prop2021DUOSTariffs!FG107</f>
        <v>365</v>
      </c>
      <c r="FG107" s="1102">
        <f>Prop2021DUOSTariffs!FH107</f>
        <v>365</v>
      </c>
      <c r="FH107" s="1102">
        <f>Prop2021DUOSTariffs!FI107</f>
        <v>12</v>
      </c>
      <c r="FI107" s="1102">
        <f>Prop2021DUOSTariffs!FJ107</f>
        <v>9</v>
      </c>
      <c r="FJ107" s="1102">
        <f>Prop2021DUOSTariffs!FK107</f>
        <v>9</v>
      </c>
      <c r="FK107" s="1102">
        <f>Prop2021DUOSTariffs!FL107</f>
        <v>9</v>
      </c>
      <c r="FL107" s="1102">
        <f>Prop2021DUOSTariffs!FM107</f>
        <v>1</v>
      </c>
      <c r="FM107" s="1102">
        <f>Prop2021DUOSTariffs!FN107</f>
        <v>1</v>
      </c>
      <c r="FN107" s="1102">
        <f>Prop2021DUOSTariffs!FO107</f>
        <v>1</v>
      </c>
      <c r="FO107" s="1102">
        <f>Prop2021DUOSTariffs!FP107</f>
        <v>1</v>
      </c>
      <c r="FP107" s="1102">
        <f>Prop2021DUOSTariffs!FQ107</f>
        <v>1</v>
      </c>
      <c r="FQ107" s="1102">
        <f>Prop2021DUOSTariffs!FR107</f>
        <v>1</v>
      </c>
      <c r="FR107" s="1102">
        <f>Prop2021DUOSTariffs!FS107</f>
        <v>1</v>
      </c>
      <c r="FS107" s="1102">
        <f>Prop2021DUOSTariffs!FT107</f>
        <v>1</v>
      </c>
      <c r="FT107" s="1102">
        <f>Prop2021DUOSTariffs!FU107</f>
        <v>1</v>
      </c>
      <c r="FU107" s="1102">
        <f>Prop2021DUOSTariffs!FV107</f>
        <v>1</v>
      </c>
      <c r="FV107" s="1102">
        <f>Prop2021DUOSTariffs!FW107</f>
        <v>1</v>
      </c>
      <c r="FW107" s="1102">
        <f>Prop2021DUOSTariffs!FX107</f>
        <v>1</v>
      </c>
      <c r="FX107" s="1102">
        <f>Prop2021DUOSTariffs!FY107</f>
        <v>1</v>
      </c>
      <c r="FY107" s="1102">
        <f>Prop2021DUOSTariffs!FZ107</f>
        <v>1</v>
      </c>
      <c r="FZ107" s="1102">
        <f>Prop2021DUOSTariffs!GA107</f>
        <v>1</v>
      </c>
      <c r="GA107" s="1102">
        <f>Prop2021DUOSTariffs!GB107</f>
        <v>1</v>
      </c>
      <c r="GB107" s="1102">
        <f>Prop2021DUOSTariffs!GC107</f>
        <v>1</v>
      </c>
      <c r="GC107" s="1102">
        <f>Prop2021DUOSTariffs!GD107</f>
        <v>1</v>
      </c>
      <c r="GD107" s="1102">
        <f>Prop2021DUOSTariffs!GE107</f>
        <v>1</v>
      </c>
      <c r="GE107" s="1102">
        <f>Prop2021DUOSTariffs!GF107</f>
        <v>1</v>
      </c>
      <c r="GF107" s="1102">
        <f>Prop2021DUOSTariffs!GG107</f>
        <v>1</v>
      </c>
      <c r="GG107" s="1102">
        <f>Prop2021DUOSTariffs!GH107</f>
        <v>1</v>
      </c>
      <c r="GH107" s="1102">
        <f>Prop2021DUOSTariffs!GI107</f>
        <v>1</v>
      </c>
      <c r="GI107" s="1102">
        <f>Prop2021DUOSTariffs!GJ107</f>
        <v>1</v>
      </c>
    </row>
    <row r="110" spans="2:192" ht="13.8">
      <c r="J110" s="1015"/>
      <c r="K110" s="1232" t="e">
        <f>#REF!</f>
        <v>#REF!</v>
      </c>
      <c r="AH110" s="1232" t="e">
        <f>#REF!</f>
        <v>#REF!</v>
      </c>
      <c r="AT110" s="1015"/>
    </row>
    <row r="111" spans="2:192" ht="13.8">
      <c r="K111" s="1232">
        <f>Prop2021DUOSTariffs!$L$111</f>
        <v>0</v>
      </c>
      <c r="L111" s="1015">
        <f t="shared" ref="L111:AS111" si="392">$K111</f>
        <v>0</v>
      </c>
      <c r="M111" s="1015">
        <f t="shared" si="392"/>
        <v>0</v>
      </c>
      <c r="N111" s="1015">
        <f t="shared" si="392"/>
        <v>0</v>
      </c>
      <c r="O111" s="1015">
        <f t="shared" si="392"/>
        <v>0</v>
      </c>
      <c r="P111" s="1015">
        <f t="shared" si="392"/>
        <v>0</v>
      </c>
      <c r="Q111" s="1015">
        <f t="shared" si="392"/>
        <v>0</v>
      </c>
      <c r="R111" s="1015">
        <f t="shared" si="392"/>
        <v>0</v>
      </c>
      <c r="S111" s="1015">
        <f t="shared" si="392"/>
        <v>0</v>
      </c>
      <c r="T111" s="1015">
        <f t="shared" si="392"/>
        <v>0</v>
      </c>
      <c r="U111" s="1015">
        <f t="shared" si="392"/>
        <v>0</v>
      </c>
      <c r="V111" s="1015">
        <f t="shared" si="392"/>
        <v>0</v>
      </c>
      <c r="W111" s="1015">
        <f t="shared" si="392"/>
        <v>0</v>
      </c>
      <c r="X111" s="1015">
        <f t="shared" si="392"/>
        <v>0</v>
      </c>
      <c r="Y111" s="1015">
        <f t="shared" si="392"/>
        <v>0</v>
      </c>
      <c r="Z111" s="1015">
        <f t="shared" si="392"/>
        <v>0</v>
      </c>
      <c r="AA111" s="1015">
        <f t="shared" si="392"/>
        <v>0</v>
      </c>
      <c r="AB111" s="1015">
        <f t="shared" si="392"/>
        <v>0</v>
      </c>
      <c r="AC111" s="1015">
        <f t="shared" si="392"/>
        <v>0</v>
      </c>
      <c r="AD111" s="1015">
        <f t="shared" si="392"/>
        <v>0</v>
      </c>
      <c r="AE111" s="1015">
        <f t="shared" si="392"/>
        <v>0</v>
      </c>
      <c r="AF111" s="1015">
        <f t="shared" si="392"/>
        <v>0</v>
      </c>
      <c r="AG111" s="1015">
        <f t="shared" si="392"/>
        <v>0</v>
      </c>
      <c r="AH111" s="1015">
        <f t="shared" si="392"/>
        <v>0</v>
      </c>
      <c r="AI111" s="1015">
        <f t="shared" si="392"/>
        <v>0</v>
      </c>
      <c r="AJ111" s="1015">
        <f t="shared" si="392"/>
        <v>0</v>
      </c>
      <c r="AK111" s="1015">
        <f t="shared" si="392"/>
        <v>0</v>
      </c>
      <c r="AL111" s="1015">
        <f t="shared" si="392"/>
        <v>0</v>
      </c>
      <c r="AM111" s="1015">
        <f t="shared" si="392"/>
        <v>0</v>
      </c>
      <c r="AN111" s="1015">
        <f t="shared" si="392"/>
        <v>0</v>
      </c>
      <c r="AO111" s="1015">
        <f t="shared" si="392"/>
        <v>0</v>
      </c>
      <c r="AP111" s="1015">
        <f t="shared" si="392"/>
        <v>0</v>
      </c>
      <c r="AQ111" s="1015">
        <f t="shared" si="392"/>
        <v>0</v>
      </c>
      <c r="AR111" s="1015">
        <f t="shared" si="392"/>
        <v>0</v>
      </c>
      <c r="AS111" s="1015">
        <f t="shared" si="392"/>
        <v>0</v>
      </c>
      <c r="AU111" s="1015"/>
      <c r="AV111" s="1015"/>
      <c r="AW111" s="1015"/>
      <c r="AX111" s="1015"/>
      <c r="AY111" s="1015"/>
      <c r="AZ111" s="1015"/>
      <c r="BA111" s="1015"/>
      <c r="BB111" s="1015"/>
      <c r="BC111" s="1015"/>
      <c r="BD111" s="1015"/>
      <c r="BE111" s="1015"/>
      <c r="BF111" s="1015"/>
      <c r="BG111" s="1015"/>
      <c r="BH111" s="1015"/>
      <c r="BI111" s="1015"/>
      <c r="BJ111" s="1015"/>
      <c r="BK111" s="1015"/>
      <c r="BL111" s="1015"/>
      <c r="BM111" s="1015"/>
      <c r="BN111" s="1015"/>
      <c r="BO111" s="1015"/>
      <c r="BP111" s="1015"/>
      <c r="BQ111" s="1015"/>
      <c r="BR111" s="1015"/>
      <c r="BS111" s="1015"/>
      <c r="BT111" s="1015"/>
      <c r="BU111" s="1015"/>
      <c r="BV111" s="1015"/>
      <c r="BW111" s="1015"/>
      <c r="BX111" s="1015"/>
      <c r="BY111" s="1015"/>
      <c r="BZ111" s="1015"/>
      <c r="CA111" s="1015"/>
      <c r="CB111" s="1015"/>
      <c r="CC111" s="1015"/>
      <c r="CD111" s="1015"/>
      <c r="CE111" s="1015"/>
      <c r="CF111" s="1015">
        <f t="shared" ref="CF111:DN111" si="393">$K111</f>
        <v>0</v>
      </c>
      <c r="CG111" s="1015">
        <f t="shared" si="393"/>
        <v>0</v>
      </c>
      <c r="CH111" s="1015">
        <f t="shared" si="393"/>
        <v>0</v>
      </c>
      <c r="CI111" s="1015">
        <f t="shared" si="393"/>
        <v>0</v>
      </c>
      <c r="CJ111" s="1015">
        <f t="shared" si="393"/>
        <v>0</v>
      </c>
      <c r="CK111" s="1015">
        <f t="shared" si="393"/>
        <v>0</v>
      </c>
      <c r="CL111" s="1015">
        <f t="shared" si="393"/>
        <v>0</v>
      </c>
      <c r="CM111" s="1015">
        <f t="shared" si="393"/>
        <v>0</v>
      </c>
      <c r="CN111" s="1015">
        <f t="shared" si="393"/>
        <v>0</v>
      </c>
      <c r="CO111" s="1015">
        <f t="shared" si="393"/>
        <v>0</v>
      </c>
      <c r="CP111" s="1015">
        <f t="shared" si="393"/>
        <v>0</v>
      </c>
      <c r="CQ111" s="1015">
        <f t="shared" si="393"/>
        <v>0</v>
      </c>
      <c r="CR111" s="1015">
        <f t="shared" si="393"/>
        <v>0</v>
      </c>
      <c r="CS111" s="1015">
        <f t="shared" si="393"/>
        <v>0</v>
      </c>
      <c r="CT111" s="1015">
        <f t="shared" si="393"/>
        <v>0</v>
      </c>
      <c r="CU111" s="1015">
        <f t="shared" si="393"/>
        <v>0</v>
      </c>
      <c r="CV111" s="1015">
        <f t="shared" si="393"/>
        <v>0</v>
      </c>
      <c r="CW111" s="1015">
        <f t="shared" si="393"/>
        <v>0</v>
      </c>
      <c r="CX111" s="1015">
        <f t="shared" si="393"/>
        <v>0</v>
      </c>
      <c r="CY111" s="1015">
        <f t="shared" si="393"/>
        <v>0</v>
      </c>
      <c r="CZ111" s="1015">
        <f t="shared" si="393"/>
        <v>0</v>
      </c>
      <c r="DA111" s="1015">
        <f t="shared" si="393"/>
        <v>0</v>
      </c>
      <c r="DB111" s="1015">
        <f t="shared" si="393"/>
        <v>0</v>
      </c>
      <c r="DC111" s="1015">
        <f t="shared" si="393"/>
        <v>0</v>
      </c>
      <c r="DD111" s="1015">
        <f t="shared" si="393"/>
        <v>0</v>
      </c>
      <c r="DE111" s="1015">
        <f t="shared" si="393"/>
        <v>0</v>
      </c>
      <c r="DF111" s="1015">
        <f t="shared" si="393"/>
        <v>0</v>
      </c>
      <c r="DG111" s="1015">
        <f t="shared" si="393"/>
        <v>0</v>
      </c>
      <c r="DH111" s="1015">
        <f t="shared" si="393"/>
        <v>0</v>
      </c>
      <c r="DI111" s="1015">
        <f t="shared" si="393"/>
        <v>0</v>
      </c>
      <c r="DJ111" s="1015">
        <f t="shared" si="393"/>
        <v>0</v>
      </c>
      <c r="DK111" s="1015">
        <f t="shared" si="393"/>
        <v>0</v>
      </c>
      <c r="DL111" s="1015">
        <f t="shared" si="393"/>
        <v>0</v>
      </c>
      <c r="DM111" s="1015">
        <f t="shared" si="393"/>
        <v>0</v>
      </c>
      <c r="DN111" s="1015">
        <f t="shared" si="393"/>
        <v>0</v>
      </c>
    </row>
  </sheetData>
  <autoFilter ref="B5:I98" xr:uid="{8885E2C6-8B77-4F97-9EB6-58EEEF921092}"/>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130" max="1048575" man="1"/>
    <brk id="170"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FFFF00"/>
    <pageSetUpPr autoPageBreaks="0"/>
  </sheetPr>
  <dimension ref="B1:DR1048392"/>
  <sheetViews>
    <sheetView zoomScale="89" zoomScaleNormal="89" workbookViewId="0">
      <pane ySplit="7" topLeftCell="A8" activePane="bottomLeft" state="frozen"/>
      <selection pane="bottomLeft" activeCell="L11" sqref="L11"/>
    </sheetView>
  </sheetViews>
  <sheetFormatPr defaultColWidth="9.109375" defaultRowHeight="13.2"/>
  <cols>
    <col min="1" max="1" width="1.88671875" style="1116" customWidth="1"/>
    <col min="2" max="2" width="14" style="1116" customWidth="1"/>
    <col min="3" max="3" width="45" style="1116" customWidth="1"/>
    <col min="4" max="4" width="25.6640625" style="1116" customWidth="1"/>
    <col min="5" max="5" width="11.33203125" style="1116" bestFit="1" customWidth="1"/>
    <col min="6" max="7" width="11.33203125" style="1116" customWidth="1"/>
    <col min="8" max="8" width="14.6640625" style="1116" customWidth="1"/>
    <col min="9" max="9" width="11.33203125" style="1116" customWidth="1"/>
    <col min="10" max="15" width="13.6640625" style="1116" customWidth="1"/>
    <col min="16" max="16" width="11.5546875" style="1116" customWidth="1"/>
    <col min="17" max="18" width="13.6640625" style="1116" customWidth="1"/>
    <col min="19" max="20" width="11.5546875" style="1116" customWidth="1"/>
    <col min="21" max="21" width="14.33203125" style="1116" customWidth="1"/>
    <col min="22" max="23" width="11.5546875" style="1116" customWidth="1"/>
    <col min="24" max="24" width="13.6640625" style="1116" customWidth="1"/>
    <col min="25" max="28" width="11.5546875" style="1116" customWidth="1"/>
    <col min="29" max="29" width="12.44140625" style="1116" customWidth="1"/>
    <col min="30" max="44" width="11.5546875" style="1116" customWidth="1"/>
    <col min="45" max="45" width="1.88671875" style="1116" customWidth="1"/>
    <col min="46" max="52" width="13.6640625" style="1116" customWidth="1"/>
    <col min="53" max="55" width="11.5546875" style="1116" customWidth="1"/>
    <col min="56" max="56" width="13.6640625" style="1116" customWidth="1"/>
    <col min="57" max="57" width="11.5546875" style="1116" customWidth="1"/>
    <col min="58" max="58" width="13.6640625" style="1116" customWidth="1"/>
    <col min="59" max="64" width="11.5546875" style="1116" customWidth="1"/>
    <col min="65" max="65" width="13.6640625" style="1116" customWidth="1"/>
    <col min="66" max="67" width="11.5546875" style="1116" customWidth="1"/>
    <col min="68" max="68" width="13.6640625" style="1116" customWidth="1"/>
    <col min="69" max="80" width="11.5546875" style="1116" customWidth="1"/>
    <col min="81" max="81" width="1.88671875" style="1116" customWidth="1"/>
    <col min="82" max="116" width="11.5546875" style="1116" customWidth="1"/>
    <col min="117" max="117" width="17.109375" style="1116" customWidth="1"/>
    <col min="118" max="118" width="60.109375" style="1116" customWidth="1"/>
    <col min="119" max="16384" width="9.109375" style="1116"/>
  </cols>
  <sheetData>
    <row r="1" spans="2:122" ht="13.8">
      <c r="C1" s="1117" t="str">
        <f>"Tariff Approval - "&amp;'Model update'!$B$3</f>
        <v>Tariff Approval - Ergon Energy</v>
      </c>
      <c r="D1" s="1117"/>
      <c r="E1" s="1117"/>
      <c r="F1" s="1117"/>
      <c r="G1" s="1117"/>
      <c r="H1" s="1117"/>
      <c r="I1" s="1117"/>
      <c r="J1" s="1118"/>
      <c r="K1" s="1118"/>
      <c r="L1" s="1118"/>
      <c r="M1" s="1118"/>
      <c r="N1" s="1118"/>
      <c r="O1" s="1118"/>
      <c r="Q1" s="1118"/>
      <c r="AS1" s="1594"/>
      <c r="CC1" s="1594"/>
    </row>
    <row r="2" spans="2:122" ht="13.8" thickBot="1">
      <c r="J2" s="1118"/>
      <c r="K2" s="1118"/>
      <c r="L2" s="1118"/>
      <c r="M2" s="1118"/>
      <c r="N2" s="1118"/>
      <c r="O2" s="1118"/>
      <c r="Q2" s="1118"/>
      <c r="AS2" s="1594"/>
      <c r="CC2" s="1594"/>
    </row>
    <row r="3" spans="2:122">
      <c r="C3" s="1119" t="str">
        <f>"COMPARISON OF "&amp;'Model update'!$B$6&amp;" PROPOSED AND INDICATIVE DUOS PRICES"</f>
        <v>COMPARISON OF 2021-22 PROPOSED AND INDICATIVE DUOS PRICES</v>
      </c>
      <c r="D3" s="1119"/>
      <c r="E3" s="1119"/>
      <c r="F3" s="1119"/>
      <c r="G3" s="1119"/>
      <c r="H3" s="1119"/>
      <c r="I3" s="1119"/>
      <c r="AS3" s="1594"/>
      <c r="CC3" s="1594"/>
      <c r="DM3" s="1120" t="s">
        <v>159</v>
      </c>
    </row>
    <row r="4" spans="2:122" ht="34.5" customHeight="1" thickBot="1">
      <c r="J4" s="1121" t="str">
        <f>"Proposed prices (Pt) for "&amp;'Model update'!$B$6</f>
        <v>Proposed prices (Pt) for 2021-22</v>
      </c>
      <c r="K4" s="1121"/>
      <c r="L4" s="1121"/>
      <c r="M4" s="1121"/>
      <c r="N4" s="1121"/>
      <c r="O4" s="1121"/>
      <c r="P4" s="1122"/>
      <c r="Q4" s="1122"/>
      <c r="R4" s="1122"/>
      <c r="S4" s="1693"/>
      <c r="T4" s="1693"/>
      <c r="U4" s="1693"/>
      <c r="V4" s="1693"/>
      <c r="W4" s="1694"/>
      <c r="X4" s="1694"/>
      <c r="Y4" s="1694"/>
      <c r="Z4" s="1694"/>
      <c r="AA4" s="1693"/>
      <c r="AB4" s="1693"/>
      <c r="AC4" s="1693"/>
      <c r="AD4" s="1693"/>
      <c r="AE4" s="1693"/>
      <c r="AF4" s="1693"/>
      <c r="AG4" s="1693"/>
      <c r="AH4" s="1693"/>
      <c r="AI4" s="1693"/>
      <c r="AJ4" s="1693"/>
      <c r="AK4" s="1693"/>
      <c r="AL4" s="1693"/>
      <c r="AM4" s="1693"/>
      <c r="AN4" s="1693"/>
      <c r="AO4" s="1693"/>
      <c r="AP4" s="1693"/>
      <c r="AQ4" s="1693"/>
      <c r="AR4" s="1693"/>
      <c r="AS4" s="1594"/>
      <c r="AT4" s="1121" t="str">
        <f>"Indicative tariffs for "&amp;'Model update'!$B$6</f>
        <v>Indicative tariffs for 2021-22</v>
      </c>
      <c r="AU4" s="1121"/>
      <c r="AV4" s="1121"/>
      <c r="AW4" s="1121"/>
      <c r="AX4" s="1121"/>
      <c r="AY4" s="1121"/>
      <c r="AZ4" s="1121"/>
      <c r="BA4" s="1121"/>
      <c r="BB4" s="1121"/>
      <c r="BC4" s="1122"/>
      <c r="BD4" s="1122"/>
      <c r="BE4" s="1122"/>
      <c r="BF4" s="1122"/>
      <c r="BG4" s="1122"/>
      <c r="BH4" s="1122"/>
      <c r="BI4" s="1122"/>
      <c r="BJ4" s="1122"/>
      <c r="BK4" s="1122"/>
      <c r="BL4" s="1122"/>
      <c r="BM4" s="1122"/>
      <c r="BN4" s="1122"/>
      <c r="BO4" s="1122"/>
      <c r="BP4" s="1122"/>
      <c r="BQ4" s="1122"/>
      <c r="BR4" s="1122"/>
      <c r="BS4" s="1122"/>
      <c r="BT4" s="1122"/>
      <c r="BU4" s="1122"/>
      <c r="BV4" s="1122"/>
      <c r="BW4" s="1122"/>
      <c r="BX4" s="1122"/>
      <c r="BY4" s="1122"/>
      <c r="BZ4" s="1122"/>
      <c r="CA4" s="1122"/>
      <c r="CB4" s="1122"/>
      <c r="CC4" s="1594"/>
      <c r="CD4" s="1121" t="str">
        <f>"Percentage difference between proposed "&amp;'Model update'!$B$6&amp;" tariffs and indicative tariffs in the Indicative Pricing Schedule"</f>
        <v>Percentage difference between proposed 2021-22 tariffs and indicative tariffs in the Indicative Pricing Schedule</v>
      </c>
      <c r="CE4" s="1121"/>
      <c r="CF4" s="1121"/>
      <c r="CG4" s="1121"/>
      <c r="CH4" s="1122"/>
      <c r="CI4" s="1122"/>
      <c r="CJ4" s="1122"/>
      <c r="CK4" s="1122"/>
      <c r="DM4" s="1123">
        <v>0.15</v>
      </c>
      <c r="DN4" s="1124"/>
    </row>
    <row r="5" spans="2:122" ht="66">
      <c r="B5" s="1125" t="str">
        <f>Prop2021DUOSTariffs!B5</f>
        <v>NMIs</v>
      </c>
      <c r="C5" s="1125" t="str">
        <f>Prop2021DUOSTariffs!C5</f>
        <v>Proposed tariff</v>
      </c>
      <c r="D5" s="1126" t="str">
        <f>Prop2021DUOSTariffs!D5</f>
        <v>Existing tariff</v>
      </c>
      <c r="E5" s="1127" t="str">
        <f>Prop2021DUOSTariffs!E5</f>
        <v>Tariff class</v>
      </c>
      <c r="F5" s="1127" t="str">
        <f>Prop2021DUOSTariffs!F5</f>
        <v>Customer class in year t</v>
      </c>
      <c r="G5" s="1127" t="str">
        <f>Prop2021DUOSTariffs!G5</f>
        <v>Region</v>
      </c>
      <c r="H5" s="1127" t="str">
        <f>Prop2021DUOSTariffs!H5</f>
        <v>Tariff Class/tariff/zone description</v>
      </c>
      <c r="I5" s="1127" t="str">
        <f>Prop2021DUOSTariffs!I5</f>
        <v>Category</v>
      </c>
      <c r="J5" s="1128" t="str">
        <f>Prop2021DUOSTariffs!L5</f>
        <v>Fixed Charge</v>
      </c>
      <c r="K5" s="1129" t="str">
        <f>Prop2021DUOSTariffs!M5</f>
        <v>Band1 Charge</v>
      </c>
      <c r="L5" s="1129" t="str">
        <f>Prop2021DUOSTariffs!N5</f>
        <v>Band2 Charge</v>
      </c>
      <c r="M5" s="1129" t="str">
        <f>Prop2021DUOSTariffs!O5</f>
        <v>Band3 Charge</v>
      </c>
      <c r="N5" s="1129" t="str">
        <f>Prop2021DUOSTariffs!P5</f>
        <v>Band4 Charge</v>
      </c>
      <c r="O5" s="1129" t="str">
        <f>Prop2021DUOSTariffs!Q5</f>
        <v>Band5 Charge</v>
      </c>
      <c r="P5" s="1129" t="str">
        <f>Prop2021DUOSTariffs!R5</f>
        <v>Connection Unit Charge</v>
      </c>
      <c r="Q5" s="1129" t="str">
        <f>Prop2021DUOSTariffs!S5</f>
        <v>Capacity Charge</v>
      </c>
      <c r="R5" s="1129" t="str">
        <f>Prop2021DUOSTariffs!T5</f>
        <v>Non Summer Capacity Charge</v>
      </c>
      <c r="S5" s="1129" t="str">
        <f>Prop2021DUOSTariffs!U5</f>
        <v>Minimum Capacity Charge</v>
      </c>
      <c r="T5" s="1129" t="str">
        <f>Prop2021DUOSTariffs!V5</f>
        <v>Remaining Capacity Charge</v>
      </c>
      <c r="U5" s="1129" t="str">
        <f>Prop2021DUOSTariffs!W5</f>
        <v>Demand Charge kVA</v>
      </c>
      <c r="V5" s="1129" t="str">
        <f>Prop2021DUOSTariffs!X5</f>
        <v>Peak Demand Charge kVA</v>
      </c>
      <c r="W5" s="1129" t="str">
        <f>Prop2021DUOSTariffs!Y5</f>
        <v>Excess Demand Charge</v>
      </c>
      <c r="X5" s="1129" t="str">
        <f>Prop2021DUOSTariffs!Z5</f>
        <v>Summer Demand Charge kVA</v>
      </c>
      <c r="Y5" s="1129" t="str">
        <f>Prop2021DUOSTariffs!AA5</f>
        <v>Demand Charge kW</v>
      </c>
      <c r="Z5" s="1129" t="str">
        <f>Prop2021DUOSTariffs!AB5</f>
        <v>Peak Demand Charge kW</v>
      </c>
      <c r="AA5" s="1129" t="str">
        <f>Prop2021DUOSTariffs!AC5</f>
        <v>Off Peak Demand Charge kW</v>
      </c>
      <c r="AB5" s="1129" t="str">
        <f>Prop2021DUOSTariffs!AD5</f>
        <v>Non Summer Demand Charge kW</v>
      </c>
      <c r="AC5" s="1129" t="str">
        <f>Prop2021DUOSTariffs!AE5</f>
        <v>Summer Demand Charge kW</v>
      </c>
      <c r="AD5" s="1129" t="str">
        <f>Prop2021DUOSTariffs!AF5</f>
        <v xml:space="preserve"> Location
</v>
      </c>
      <c r="AE5" s="1129" t="str">
        <f>Prop2021DUOSTariffs!AG5</f>
        <v>General Charge</v>
      </c>
      <c r="AF5" s="1129" t="str">
        <f>Prop2021DUOSTariffs!AH5</f>
        <v>Common</v>
      </c>
      <c r="AG5" s="1129" t="str">
        <f>Prop2021DUOSTariffs!AI5</f>
        <v>Volume Charge</v>
      </c>
      <c r="AH5" s="1129" t="str">
        <f>Prop2021DUOSTariffs!AJ5</f>
        <v>Volume Block 1 Charge</v>
      </c>
      <c r="AI5" s="1129" t="str">
        <f>Prop2021DUOSTariffs!AK5</f>
        <v>Volume Block 2 Charge</v>
      </c>
      <c r="AJ5" s="1129" t="str">
        <f>Prop2021DUOSTariffs!AL5</f>
        <v>Volume Block 3 Charge</v>
      </c>
      <c r="AK5" s="1129" t="str">
        <f>Prop2021DUOSTariffs!AM5</f>
        <v>Volume Evening Charge</v>
      </c>
      <c r="AL5" s="1129" t="str">
        <f>Prop2021DUOSTariffs!AN5</f>
        <v>Volume Overnight Charge</v>
      </c>
      <c r="AM5" s="1129" t="str">
        <f>Prop2021DUOSTariffs!AO5</f>
        <v>Volume Day Charge</v>
      </c>
      <c r="AN5" s="1129" t="str">
        <f>Prop2021DUOSTariffs!AP5</f>
        <v>Volume Off Peak Charge</v>
      </c>
      <c r="AO5" s="1129" t="str">
        <f>Prop2021DUOSTariffs!AQ5</f>
        <v>Volume Peak Charge</v>
      </c>
      <c r="AP5" s="1129" t="str">
        <f>Prop2021DUOSTariffs!AR5</f>
        <v>Volume Peak Charge (over 10,000)</v>
      </c>
      <c r="AQ5" s="1129" t="str">
        <f>Prop2021DUOSTariffs!AS5</f>
        <v>Volume Non Summer Charge</v>
      </c>
      <c r="AR5" s="1588" t="str">
        <f>Prop2021DUOSTariffs!AT5</f>
        <v>Volume Summer No Charge</v>
      </c>
      <c r="AS5" s="1594"/>
      <c r="AT5" s="1129" t="str">
        <f>J5</f>
        <v>Fixed Charge</v>
      </c>
      <c r="AU5" s="1128" t="str">
        <f t="shared" ref="AU5:BX7" si="0">K5</f>
        <v>Band1 Charge</v>
      </c>
      <c r="AV5" s="1128" t="str">
        <f t="shared" si="0"/>
        <v>Band2 Charge</v>
      </c>
      <c r="AW5" s="1128" t="str">
        <f t="shared" si="0"/>
        <v>Band3 Charge</v>
      </c>
      <c r="AX5" s="1128" t="str">
        <f t="shared" si="0"/>
        <v>Band4 Charge</v>
      </c>
      <c r="AY5" s="1128" t="str">
        <f t="shared" si="0"/>
        <v>Band5 Charge</v>
      </c>
      <c r="AZ5" s="1128" t="str">
        <f t="shared" si="0"/>
        <v>Connection Unit Charge</v>
      </c>
      <c r="BA5" s="1128" t="str">
        <f t="shared" si="0"/>
        <v>Capacity Charge</v>
      </c>
      <c r="BB5" s="1128" t="str">
        <f t="shared" si="0"/>
        <v>Non Summer Capacity Charge</v>
      </c>
      <c r="BC5" s="1128" t="str">
        <f t="shared" si="0"/>
        <v>Minimum Capacity Charge</v>
      </c>
      <c r="BD5" s="1128" t="str">
        <f t="shared" si="0"/>
        <v>Remaining Capacity Charge</v>
      </c>
      <c r="BE5" s="1128" t="str">
        <f t="shared" si="0"/>
        <v>Demand Charge kVA</v>
      </c>
      <c r="BF5" s="1128" t="str">
        <f t="shared" si="0"/>
        <v>Peak Demand Charge kVA</v>
      </c>
      <c r="BG5" s="1128" t="str">
        <f t="shared" si="0"/>
        <v>Excess Demand Charge</v>
      </c>
      <c r="BH5" s="1128" t="str">
        <f t="shared" si="0"/>
        <v>Summer Demand Charge kVA</v>
      </c>
      <c r="BI5" s="1128" t="str">
        <f t="shared" si="0"/>
        <v>Demand Charge kW</v>
      </c>
      <c r="BJ5" s="1128" t="str">
        <f t="shared" si="0"/>
        <v>Peak Demand Charge kW</v>
      </c>
      <c r="BK5" s="1128" t="str">
        <f t="shared" si="0"/>
        <v>Off Peak Demand Charge kW</v>
      </c>
      <c r="BL5" s="1128" t="str">
        <f t="shared" si="0"/>
        <v>Non Summer Demand Charge kW</v>
      </c>
      <c r="BM5" s="1128" t="str">
        <f t="shared" si="0"/>
        <v>Summer Demand Charge kW</v>
      </c>
      <c r="BN5" s="1128" t="str">
        <f t="shared" si="0"/>
        <v xml:space="preserve"> Location
</v>
      </c>
      <c r="BO5" s="1128" t="str">
        <f t="shared" si="0"/>
        <v>General Charge</v>
      </c>
      <c r="BP5" s="1128" t="str">
        <f t="shared" si="0"/>
        <v>Common</v>
      </c>
      <c r="BQ5" s="1128" t="str">
        <f t="shared" si="0"/>
        <v>Volume Charge</v>
      </c>
      <c r="BR5" s="1128" t="str">
        <f t="shared" si="0"/>
        <v>Volume Block 1 Charge</v>
      </c>
      <c r="BS5" s="1128" t="str">
        <f t="shared" si="0"/>
        <v>Volume Block 2 Charge</v>
      </c>
      <c r="BT5" s="1128" t="str">
        <f t="shared" si="0"/>
        <v>Volume Block 3 Charge</v>
      </c>
      <c r="BU5" s="1128" t="str">
        <f t="shared" si="0"/>
        <v>Volume Evening Charge</v>
      </c>
      <c r="BV5" s="1128" t="str">
        <f t="shared" si="0"/>
        <v>Volume Overnight Charge</v>
      </c>
      <c r="BW5" s="1128" t="str">
        <f t="shared" si="0"/>
        <v>Volume Day Charge</v>
      </c>
      <c r="BX5" s="1128" t="str">
        <f t="shared" si="0"/>
        <v>Volume Off Peak Charge</v>
      </c>
      <c r="BY5" s="1128" t="str">
        <f t="shared" ref="BY5:BY7" si="1">AO5</f>
        <v>Volume Peak Charge</v>
      </c>
      <c r="BZ5" s="1128" t="str">
        <f t="shared" ref="BZ5:BZ7" si="2">AP5</f>
        <v>Volume Peak Charge (over 10,000)</v>
      </c>
      <c r="CA5" s="1128" t="str">
        <f t="shared" ref="CA5:CA7" si="3">AQ5</f>
        <v>Volume Non Summer Charge</v>
      </c>
      <c r="CB5" s="1128" t="str">
        <f t="shared" ref="CB5:CB7" si="4">AR5</f>
        <v>Volume Summer No Charge</v>
      </c>
      <c r="CC5" s="1594"/>
      <c r="CD5" s="1128" t="str">
        <f t="shared" ref="CD5:DL5" si="5">AT5</f>
        <v>Fixed Charge</v>
      </c>
      <c r="CE5" s="1128" t="str">
        <f t="shared" si="5"/>
        <v>Band1 Charge</v>
      </c>
      <c r="CF5" s="1128" t="str">
        <f t="shared" si="5"/>
        <v>Band2 Charge</v>
      </c>
      <c r="CG5" s="1128" t="str">
        <f t="shared" si="5"/>
        <v>Band3 Charge</v>
      </c>
      <c r="CH5" s="1128" t="str">
        <f t="shared" si="5"/>
        <v>Band4 Charge</v>
      </c>
      <c r="CI5" s="1128" t="str">
        <f t="shared" si="5"/>
        <v>Band5 Charge</v>
      </c>
      <c r="CJ5" s="1128" t="str">
        <f t="shared" si="5"/>
        <v>Connection Unit Charge</v>
      </c>
      <c r="CK5" s="1128" t="str">
        <f t="shared" si="5"/>
        <v>Capacity Charge</v>
      </c>
      <c r="CL5" s="1128" t="str">
        <f t="shared" si="5"/>
        <v>Non Summer Capacity Charge</v>
      </c>
      <c r="CM5" s="1128" t="str">
        <f t="shared" si="5"/>
        <v>Minimum Capacity Charge</v>
      </c>
      <c r="CN5" s="1128" t="str">
        <f t="shared" si="5"/>
        <v>Remaining Capacity Charge</v>
      </c>
      <c r="CO5" s="1128" t="str">
        <f t="shared" si="5"/>
        <v>Demand Charge kVA</v>
      </c>
      <c r="CP5" s="1128" t="str">
        <f t="shared" si="5"/>
        <v>Peak Demand Charge kVA</v>
      </c>
      <c r="CQ5" s="1128" t="str">
        <f t="shared" si="5"/>
        <v>Excess Demand Charge</v>
      </c>
      <c r="CR5" s="1128" t="str">
        <f t="shared" si="5"/>
        <v>Summer Demand Charge kVA</v>
      </c>
      <c r="CS5" s="1128" t="str">
        <f t="shared" si="5"/>
        <v>Demand Charge kW</v>
      </c>
      <c r="CT5" s="1128" t="str">
        <f t="shared" si="5"/>
        <v>Peak Demand Charge kW</v>
      </c>
      <c r="CU5" s="1128" t="str">
        <f t="shared" si="5"/>
        <v>Off Peak Demand Charge kW</v>
      </c>
      <c r="CV5" s="1128" t="str">
        <f t="shared" si="5"/>
        <v>Non Summer Demand Charge kW</v>
      </c>
      <c r="CW5" s="1128" t="str">
        <f t="shared" si="5"/>
        <v>Summer Demand Charge kW</v>
      </c>
      <c r="CX5" s="1128" t="str">
        <f t="shared" si="5"/>
        <v xml:space="preserve"> Location
</v>
      </c>
      <c r="CY5" s="1128" t="str">
        <f t="shared" si="5"/>
        <v>General Charge</v>
      </c>
      <c r="CZ5" s="1128" t="str">
        <f t="shared" si="5"/>
        <v>Common</v>
      </c>
      <c r="DA5" s="1128" t="str">
        <f t="shared" si="5"/>
        <v>Volume Charge</v>
      </c>
      <c r="DB5" s="1128" t="str">
        <f t="shared" si="5"/>
        <v>Volume Block 1 Charge</v>
      </c>
      <c r="DC5" s="1128" t="str">
        <f t="shared" si="5"/>
        <v>Volume Block 2 Charge</v>
      </c>
      <c r="DD5" s="1128" t="str">
        <f t="shared" si="5"/>
        <v>Volume Block 3 Charge</v>
      </c>
      <c r="DE5" s="1128" t="str">
        <f t="shared" si="5"/>
        <v>Volume Evening Charge</v>
      </c>
      <c r="DF5" s="1128" t="str">
        <f t="shared" si="5"/>
        <v>Volume Overnight Charge</v>
      </c>
      <c r="DG5" s="1128" t="str">
        <f t="shared" si="5"/>
        <v>Volume Day Charge</v>
      </c>
      <c r="DH5" s="1128" t="str">
        <f t="shared" si="5"/>
        <v>Volume Off Peak Charge</v>
      </c>
      <c r="DI5" s="1128" t="str">
        <f t="shared" si="5"/>
        <v>Volume Peak Charge</v>
      </c>
      <c r="DJ5" s="1128" t="str">
        <f t="shared" si="5"/>
        <v>Volume Peak Charge (over 10,000)</v>
      </c>
      <c r="DK5" s="1128" t="str">
        <f t="shared" si="5"/>
        <v>Volume Non Summer Charge</v>
      </c>
      <c r="DL5" s="1128" t="str">
        <f t="shared" si="5"/>
        <v>Volume Summer No Charge</v>
      </c>
      <c r="DM5" s="1130" t="s">
        <v>160</v>
      </c>
      <c r="DN5" s="1131" t="s">
        <v>233</v>
      </c>
    </row>
    <row r="6" spans="2:122">
      <c r="B6" s="1576"/>
      <c r="C6" s="1576"/>
      <c r="D6" s="1577"/>
      <c r="E6" s="1578"/>
      <c r="F6" s="1578"/>
      <c r="G6" s="1578"/>
      <c r="H6" s="1578"/>
      <c r="I6" s="1599"/>
      <c r="J6" s="1133" t="s">
        <v>753</v>
      </c>
      <c r="K6" s="1133" t="s">
        <v>753</v>
      </c>
      <c r="L6" s="1133" t="s">
        <v>753</v>
      </c>
      <c r="M6" s="1133" t="s">
        <v>753</v>
      </c>
      <c r="N6" s="1133" t="s">
        <v>753</v>
      </c>
      <c r="O6" s="1133" t="s">
        <v>753</v>
      </c>
      <c r="P6" s="1133" t="s">
        <v>753</v>
      </c>
      <c r="Q6" s="1133" t="s">
        <v>753</v>
      </c>
      <c r="R6" s="1133" t="s">
        <v>753</v>
      </c>
      <c r="S6" s="1133" t="s">
        <v>753</v>
      </c>
      <c r="T6" s="1133" t="s">
        <v>753</v>
      </c>
      <c r="U6" s="1133" t="s">
        <v>753</v>
      </c>
      <c r="V6" s="1133" t="s">
        <v>753</v>
      </c>
      <c r="W6" s="1133" t="s">
        <v>753</v>
      </c>
      <c r="X6" s="1133" t="s">
        <v>753</v>
      </c>
      <c r="Y6" s="1133" t="s">
        <v>753</v>
      </c>
      <c r="Z6" s="1133" t="s">
        <v>753</v>
      </c>
      <c r="AA6" s="1133" t="s">
        <v>753</v>
      </c>
      <c r="AB6" s="1133" t="s">
        <v>753</v>
      </c>
      <c r="AC6" s="1133" t="s">
        <v>753</v>
      </c>
      <c r="AD6" s="1133" t="s">
        <v>753</v>
      </c>
      <c r="AE6" s="1133" t="s">
        <v>753</v>
      </c>
      <c r="AF6" s="1133" t="s">
        <v>753</v>
      </c>
      <c r="AG6" s="1133" t="s">
        <v>753</v>
      </c>
      <c r="AH6" s="1133" t="s">
        <v>753</v>
      </c>
      <c r="AI6" s="1133" t="s">
        <v>753</v>
      </c>
      <c r="AJ6" s="1133" t="s">
        <v>753</v>
      </c>
      <c r="AK6" s="1133" t="s">
        <v>753</v>
      </c>
      <c r="AL6" s="1133" t="s">
        <v>753</v>
      </c>
      <c r="AM6" s="1133" t="s">
        <v>753</v>
      </c>
      <c r="AN6" s="1133" t="s">
        <v>753</v>
      </c>
      <c r="AO6" s="1133" t="s">
        <v>753</v>
      </c>
      <c r="AP6" s="1133" t="s">
        <v>753</v>
      </c>
      <c r="AQ6" s="1133" t="s">
        <v>753</v>
      </c>
      <c r="AR6" s="1133" t="s">
        <v>753</v>
      </c>
      <c r="AS6" s="1594"/>
      <c r="AT6" s="1133" t="s">
        <v>753</v>
      </c>
      <c r="AU6" s="1133" t="s">
        <v>753</v>
      </c>
      <c r="AV6" s="1133" t="s">
        <v>753</v>
      </c>
      <c r="AW6" s="1133" t="s">
        <v>753</v>
      </c>
      <c r="AX6" s="1133" t="s">
        <v>753</v>
      </c>
      <c r="AY6" s="1133" t="s">
        <v>753</v>
      </c>
      <c r="AZ6" s="1133" t="s">
        <v>753</v>
      </c>
      <c r="BA6" s="1133" t="s">
        <v>753</v>
      </c>
      <c r="BB6" s="1133" t="s">
        <v>753</v>
      </c>
      <c r="BC6" s="1133" t="s">
        <v>753</v>
      </c>
      <c r="BD6" s="1133" t="s">
        <v>753</v>
      </c>
      <c r="BE6" s="1133" t="s">
        <v>753</v>
      </c>
      <c r="BF6" s="1133" t="s">
        <v>753</v>
      </c>
      <c r="BG6" s="1133" t="s">
        <v>753</v>
      </c>
      <c r="BH6" s="1133" t="s">
        <v>753</v>
      </c>
      <c r="BI6" s="1133" t="s">
        <v>753</v>
      </c>
      <c r="BJ6" s="1133" t="s">
        <v>753</v>
      </c>
      <c r="BK6" s="1133" t="s">
        <v>753</v>
      </c>
      <c r="BL6" s="1133" t="s">
        <v>753</v>
      </c>
      <c r="BM6" s="1133" t="s">
        <v>753</v>
      </c>
      <c r="BN6" s="1133" t="s">
        <v>753</v>
      </c>
      <c r="BO6" s="1133" t="s">
        <v>753</v>
      </c>
      <c r="BP6" s="1133" t="s">
        <v>753</v>
      </c>
      <c r="BQ6" s="1133" t="s">
        <v>753</v>
      </c>
      <c r="BR6" s="1133" t="s">
        <v>753</v>
      </c>
      <c r="BS6" s="1133" t="s">
        <v>753</v>
      </c>
      <c r="BT6" s="1133" t="s">
        <v>753</v>
      </c>
      <c r="BU6" s="1133" t="s">
        <v>753</v>
      </c>
      <c r="BV6" s="1133" t="s">
        <v>753</v>
      </c>
      <c r="BW6" s="1133" t="s">
        <v>753</v>
      </c>
      <c r="BX6" s="1133" t="s">
        <v>753</v>
      </c>
      <c r="BY6" s="1133" t="s">
        <v>753</v>
      </c>
      <c r="BZ6" s="1133" t="s">
        <v>753</v>
      </c>
      <c r="CA6" s="1133" t="s">
        <v>753</v>
      </c>
      <c r="CB6" s="1133" t="s">
        <v>753</v>
      </c>
      <c r="CC6" s="1594"/>
      <c r="CD6" s="1132"/>
      <c r="CE6" s="1133"/>
      <c r="CF6" s="1133"/>
      <c r="CG6" s="1133"/>
      <c r="CH6" s="1133"/>
      <c r="CI6" s="1133"/>
      <c r="CJ6" s="1133"/>
      <c r="CK6" s="1133"/>
      <c r="CL6" s="1133"/>
      <c r="CM6" s="1133"/>
      <c r="CN6" s="1133"/>
      <c r="CO6" s="1133"/>
      <c r="CP6" s="1133"/>
      <c r="CQ6" s="1133"/>
      <c r="CR6" s="1133"/>
      <c r="CS6" s="1133"/>
      <c r="CT6" s="1133"/>
      <c r="CU6" s="1133"/>
      <c r="CV6" s="1133"/>
      <c r="CW6" s="1133"/>
      <c r="CX6" s="1133"/>
      <c r="CY6" s="1575"/>
      <c r="CZ6" s="1575"/>
      <c r="DA6" s="1575"/>
      <c r="DB6" s="1575"/>
      <c r="DC6" s="1575"/>
      <c r="DD6" s="1575"/>
      <c r="DE6" s="1575"/>
      <c r="DF6" s="1575"/>
      <c r="DG6" s="1575"/>
      <c r="DH6" s="1575"/>
      <c r="DI6" s="1575"/>
      <c r="DJ6" s="1575"/>
      <c r="DK6" s="1575"/>
      <c r="DL6" s="1575"/>
      <c r="DM6" s="1134"/>
      <c r="DN6" s="1131"/>
    </row>
    <row r="7" spans="2:122">
      <c r="B7" s="1573"/>
      <c r="C7" s="1573"/>
      <c r="D7" s="1574"/>
      <c r="E7" s="1574"/>
      <c r="F7" s="1574"/>
      <c r="G7" s="1574"/>
      <c r="H7" s="1573"/>
      <c r="I7" s="1573"/>
      <c r="J7" s="1580" t="str">
        <f>Prop2021DUOSTariffs!L7</f>
        <v>$/customer/day</v>
      </c>
      <c r="K7" s="1581" t="str">
        <f>Prop2021DUOSTariffs!M7</f>
        <v>$/customer/day</v>
      </c>
      <c r="L7" s="1581" t="str">
        <f>Prop2021DUOSTariffs!N7</f>
        <v>$/customer/day</v>
      </c>
      <c r="M7" s="1581" t="str">
        <f>Prop2021DUOSTariffs!O7</f>
        <v>$/customer/day</v>
      </c>
      <c r="N7" s="1581" t="str">
        <f>Prop2021DUOSTariffs!P7</f>
        <v>$/customer/day</v>
      </c>
      <c r="O7" s="1581" t="str">
        <f>Prop2021DUOSTariffs!Q7</f>
        <v>$/customer/day</v>
      </c>
      <c r="P7" s="1582" t="str">
        <f>Prop2021DUOSTariffs!R7</f>
        <v>$/customer/day</v>
      </c>
      <c r="Q7" s="1582" t="str">
        <f>Prop2021DUOSTariffs!S7</f>
        <v>$/kVA/month</v>
      </c>
      <c r="R7" s="1582" t="str">
        <f>Prop2021DUOSTariffs!T7</f>
        <v>$/kVA/month</v>
      </c>
      <c r="S7" s="1582" t="str">
        <f>Prop2021DUOSTariffs!U7</f>
        <v xml:space="preserve">
$/kW/Mth</v>
      </c>
      <c r="T7" s="1582" t="str">
        <f>Prop2021DUOSTariffs!V7</f>
        <v xml:space="preserve">
$/kW/Mth</v>
      </c>
      <c r="U7" s="1582" t="str">
        <f>Prop2021DUOSTariffs!W7</f>
        <v>$/kVA/month</v>
      </c>
      <c r="V7" s="1582" t="str">
        <f>Prop2021DUOSTariffs!X7</f>
        <v>$/kVA/month</v>
      </c>
      <c r="W7" s="1582" t="str">
        <f>Prop2021DUOSTariffs!Y7</f>
        <v>$/kVA/month</v>
      </c>
      <c r="X7" s="1582" t="str">
        <f>Prop2021DUOSTariffs!Z7</f>
        <v>$/kVA/month</v>
      </c>
      <c r="Y7" s="1582" t="str">
        <f>Prop2021DUOSTariffs!AA7</f>
        <v xml:space="preserve">
$/kW/Mth</v>
      </c>
      <c r="Z7" s="1582" t="str">
        <f>Prop2021DUOSTariffs!AB7</f>
        <v xml:space="preserve">
$/kW/Mth</v>
      </c>
      <c r="AA7" s="1582" t="str">
        <f>Prop2021DUOSTariffs!AC7</f>
        <v xml:space="preserve">
$/kW/Mth</v>
      </c>
      <c r="AB7" s="1581" t="str">
        <f>Prop2021DUOSTariffs!AD7</f>
        <v xml:space="preserve">
$/kW/Mth</v>
      </c>
      <c r="AC7" s="1582" t="str">
        <f>Prop2021DUOSTariffs!AE7</f>
        <v xml:space="preserve">
$/kW/Mth</v>
      </c>
      <c r="AD7" s="1582" t="str">
        <f>Prop2021DUOSTariffs!AF7</f>
        <v xml:space="preserve">$/kW/Mth </v>
      </c>
      <c r="AE7" s="1583" t="str">
        <f>Prop2021DUOSTariffs!AG7</f>
        <v>$/kWh</v>
      </c>
      <c r="AF7" s="1583" t="str">
        <f>Prop2021DUOSTariffs!AH7</f>
        <v>$/kWh</v>
      </c>
      <c r="AG7" s="1583" t="str">
        <f>Prop2021DUOSTariffs!AI7</f>
        <v>$/kWh</v>
      </c>
      <c r="AH7" s="1583" t="str">
        <f>Prop2021DUOSTariffs!AJ7</f>
        <v>$/kWh</v>
      </c>
      <c r="AI7" s="1583" t="str">
        <f>Prop2021DUOSTariffs!AK7</f>
        <v>$/kWh</v>
      </c>
      <c r="AJ7" s="1583" t="str">
        <f>Prop2021DUOSTariffs!AL7</f>
        <v>$/kWh</v>
      </c>
      <c r="AK7" s="1583" t="str">
        <f>Prop2021DUOSTariffs!AM7</f>
        <v>$/kWh</v>
      </c>
      <c r="AL7" s="1583" t="str">
        <f>Prop2021DUOSTariffs!AN7</f>
        <v>$/kWh</v>
      </c>
      <c r="AM7" s="1583" t="str">
        <f>Prop2021DUOSTariffs!AO7</f>
        <v>$/kWh</v>
      </c>
      <c r="AN7" s="1583" t="str">
        <f>Prop2021DUOSTariffs!AP7</f>
        <v xml:space="preserve">
$/kW/Mth</v>
      </c>
      <c r="AO7" s="1583" t="str">
        <f>Prop2021DUOSTariffs!AQ7</f>
        <v xml:space="preserve">
$/kW/Mth</v>
      </c>
      <c r="AP7" s="1583" t="str">
        <f>Prop2021DUOSTariffs!AR7</f>
        <v xml:space="preserve">
$/kW/Mth</v>
      </c>
      <c r="AQ7" s="1583" t="str">
        <f>Prop2021DUOSTariffs!AS7</f>
        <v>$/kWh</v>
      </c>
      <c r="AR7" s="1583" t="str">
        <f>Prop2021DUOSTariffs!AT7</f>
        <v>$/kWh</v>
      </c>
      <c r="AS7" s="1594"/>
      <c r="AT7" s="1585" t="str">
        <f>J7</f>
        <v>$/customer/day</v>
      </c>
      <c r="AU7" s="1584" t="str">
        <f t="shared" si="0"/>
        <v>$/customer/day</v>
      </c>
      <c r="AV7" s="1584" t="str">
        <f t="shared" si="0"/>
        <v>$/customer/day</v>
      </c>
      <c r="AW7" s="1584" t="str">
        <f t="shared" si="0"/>
        <v>$/customer/day</v>
      </c>
      <c r="AX7" s="1584" t="str">
        <f t="shared" si="0"/>
        <v>$/customer/day</v>
      </c>
      <c r="AY7" s="1584" t="str">
        <f t="shared" si="0"/>
        <v>$/customer/day</v>
      </c>
      <c r="AZ7" s="1584" t="str">
        <f t="shared" si="0"/>
        <v>$/customer/day</v>
      </c>
      <c r="BA7" s="1584" t="str">
        <f t="shared" si="0"/>
        <v>$/kVA/month</v>
      </c>
      <c r="BB7" s="1584" t="str">
        <f t="shared" si="0"/>
        <v>$/kVA/month</v>
      </c>
      <c r="BC7" s="1584" t="str">
        <f t="shared" si="0"/>
        <v xml:space="preserve">
$/kW/Mth</v>
      </c>
      <c r="BD7" s="1584" t="str">
        <f t="shared" si="0"/>
        <v xml:space="preserve">
$/kW/Mth</v>
      </c>
      <c r="BE7" s="1584" t="str">
        <f t="shared" si="0"/>
        <v>$/kVA/month</v>
      </c>
      <c r="BF7" s="1584" t="str">
        <f t="shared" si="0"/>
        <v>$/kVA/month</v>
      </c>
      <c r="BG7" s="1584" t="str">
        <f t="shared" si="0"/>
        <v>$/kVA/month</v>
      </c>
      <c r="BH7" s="1584" t="str">
        <f t="shared" si="0"/>
        <v>$/kVA/month</v>
      </c>
      <c r="BI7" s="1584" t="str">
        <f t="shared" si="0"/>
        <v xml:space="preserve">
$/kW/Mth</v>
      </c>
      <c r="BJ7" s="1584" t="str">
        <f t="shared" si="0"/>
        <v xml:space="preserve">
$/kW/Mth</v>
      </c>
      <c r="BK7" s="1584" t="str">
        <f t="shared" si="0"/>
        <v xml:space="preserve">
$/kW/Mth</v>
      </c>
      <c r="BL7" s="1584" t="str">
        <f t="shared" si="0"/>
        <v xml:space="preserve">
$/kW/Mth</v>
      </c>
      <c r="BM7" s="1584" t="str">
        <f t="shared" si="0"/>
        <v xml:space="preserve">
$/kW/Mth</v>
      </c>
      <c r="BN7" s="1584" t="str">
        <f t="shared" si="0"/>
        <v xml:space="preserve">$/kW/Mth </v>
      </c>
      <c r="BO7" s="1584" t="str">
        <f t="shared" si="0"/>
        <v>$/kWh</v>
      </c>
      <c r="BP7" s="1584" t="str">
        <f t="shared" si="0"/>
        <v>$/kWh</v>
      </c>
      <c r="BQ7" s="1584" t="str">
        <f t="shared" si="0"/>
        <v>$/kWh</v>
      </c>
      <c r="BR7" s="1584" t="str">
        <f t="shared" si="0"/>
        <v>$/kWh</v>
      </c>
      <c r="BS7" s="1584" t="str">
        <f t="shared" si="0"/>
        <v>$/kWh</v>
      </c>
      <c r="BT7" s="1584" t="str">
        <f t="shared" si="0"/>
        <v>$/kWh</v>
      </c>
      <c r="BU7" s="1584" t="str">
        <f t="shared" si="0"/>
        <v>$/kWh</v>
      </c>
      <c r="BV7" s="1584" t="str">
        <f t="shared" si="0"/>
        <v>$/kWh</v>
      </c>
      <c r="BW7" s="1584" t="str">
        <f t="shared" si="0"/>
        <v>$/kWh</v>
      </c>
      <c r="BX7" s="1584" t="str">
        <f t="shared" si="0"/>
        <v xml:space="preserve">
$/kW/Mth</v>
      </c>
      <c r="BY7" s="1584" t="str">
        <f t="shared" si="1"/>
        <v xml:space="preserve">
$/kW/Mth</v>
      </c>
      <c r="BZ7" s="1584" t="str">
        <f t="shared" si="2"/>
        <v xml:space="preserve">
$/kW/Mth</v>
      </c>
      <c r="CA7" s="1584" t="str">
        <f t="shared" si="3"/>
        <v>$/kWh</v>
      </c>
      <c r="CB7" s="1584" t="str">
        <f t="shared" si="4"/>
        <v>$/kWh</v>
      </c>
      <c r="CC7" s="1594"/>
      <c r="CD7" s="1584"/>
      <c r="CE7" s="1585"/>
      <c r="CF7" s="1585"/>
      <c r="CG7" s="1585"/>
      <c r="CH7" s="1586"/>
      <c r="CI7" s="1586"/>
      <c r="CJ7" s="1586"/>
      <c r="CK7" s="1586"/>
      <c r="CL7" s="1586"/>
      <c r="CM7" s="1586"/>
      <c r="CN7" s="1586"/>
      <c r="CO7" s="1586"/>
      <c r="CP7" s="1586"/>
      <c r="CQ7" s="1586"/>
      <c r="CR7" s="1586"/>
      <c r="CS7" s="1586"/>
      <c r="CT7" s="1586"/>
      <c r="CU7" s="1586"/>
      <c r="CV7" s="1586"/>
      <c r="CW7" s="1586"/>
      <c r="CX7" s="1586"/>
      <c r="CY7" s="1587"/>
      <c r="CZ7" s="1587"/>
      <c r="DA7" s="1587"/>
      <c r="DB7" s="1587"/>
      <c r="DC7" s="1587"/>
      <c r="DD7" s="1587"/>
      <c r="DE7" s="1587"/>
      <c r="DF7" s="1587"/>
      <c r="DG7" s="1587"/>
      <c r="DH7" s="1587"/>
      <c r="DI7" s="1587"/>
      <c r="DJ7" s="1587"/>
      <c r="DK7" s="1587"/>
      <c r="DL7" s="1587"/>
      <c r="DM7" s="1131"/>
      <c r="DN7" s="1131"/>
    </row>
    <row r="8" spans="2:122">
      <c r="B8" s="1111"/>
      <c r="C8" s="1111"/>
      <c r="D8" s="1111"/>
      <c r="E8" s="1111" t="s">
        <v>743</v>
      </c>
      <c r="F8" s="1111" t="s">
        <v>743</v>
      </c>
      <c r="G8" s="1111"/>
      <c r="H8" s="1111" t="s">
        <v>1908</v>
      </c>
      <c r="I8" s="1111" t="s">
        <v>744</v>
      </c>
      <c r="J8" s="1774" t="s">
        <v>232</v>
      </c>
      <c r="K8" s="1773">
        <v>0</v>
      </c>
      <c r="L8" s="1773">
        <v>0</v>
      </c>
      <c r="M8" s="1773">
        <v>0</v>
      </c>
      <c r="N8" s="1773">
        <v>0</v>
      </c>
      <c r="O8" s="1773">
        <v>0</v>
      </c>
      <c r="P8" s="1773">
        <v>0</v>
      </c>
      <c r="Q8" s="1774" t="s">
        <v>232</v>
      </c>
      <c r="R8" s="1773">
        <v>0</v>
      </c>
      <c r="S8" s="1773">
        <v>0</v>
      </c>
      <c r="T8" s="1773">
        <v>0</v>
      </c>
      <c r="U8" s="1774" t="s">
        <v>232</v>
      </c>
      <c r="V8" s="1773">
        <v>0</v>
      </c>
      <c r="W8" s="1773">
        <v>0</v>
      </c>
      <c r="X8" s="1773">
        <v>0</v>
      </c>
      <c r="Y8" s="1773">
        <v>0</v>
      </c>
      <c r="Z8" s="1773">
        <v>0</v>
      </c>
      <c r="AA8" s="1773">
        <v>0</v>
      </c>
      <c r="AB8" s="1773">
        <v>0</v>
      </c>
      <c r="AC8" s="1773">
        <v>0</v>
      </c>
      <c r="AD8" s="1773">
        <v>0</v>
      </c>
      <c r="AE8" s="1775">
        <v>0</v>
      </c>
      <c r="AF8" s="1775">
        <v>0</v>
      </c>
      <c r="AG8" s="1776" t="s">
        <v>232</v>
      </c>
      <c r="AH8" s="1775">
        <v>0</v>
      </c>
      <c r="AI8" s="1775">
        <v>0</v>
      </c>
      <c r="AJ8" s="1775">
        <v>0</v>
      </c>
      <c r="AK8" s="1775">
        <v>0</v>
      </c>
      <c r="AL8" s="1775">
        <v>0</v>
      </c>
      <c r="AM8" s="1775">
        <v>0</v>
      </c>
      <c r="AN8" s="1775">
        <v>0</v>
      </c>
      <c r="AO8" s="1775">
        <v>0</v>
      </c>
      <c r="AP8" s="1775">
        <v>0</v>
      </c>
      <c r="AQ8" s="1775">
        <v>0</v>
      </c>
      <c r="AR8" s="1775">
        <v>0</v>
      </c>
      <c r="AS8" s="1594"/>
      <c r="AT8" s="1139" t="s">
        <v>232</v>
      </c>
      <c r="AU8" s="1135">
        <v>0</v>
      </c>
      <c r="AV8" s="1135">
        <v>0</v>
      </c>
      <c r="AW8" s="1135">
        <v>0</v>
      </c>
      <c r="AX8" s="1135">
        <v>0</v>
      </c>
      <c r="AY8" s="1135">
        <v>0</v>
      </c>
      <c r="AZ8" s="1135">
        <v>0</v>
      </c>
      <c r="BA8" s="1137" t="s">
        <v>232</v>
      </c>
      <c r="BB8" s="1135">
        <v>0</v>
      </c>
      <c r="BC8" s="1135">
        <v>0</v>
      </c>
      <c r="BD8" s="1135">
        <v>0</v>
      </c>
      <c r="BE8" s="1137" t="s">
        <v>232</v>
      </c>
      <c r="BF8" s="1135">
        <v>0</v>
      </c>
      <c r="BG8" s="1135">
        <v>0</v>
      </c>
      <c r="BH8" s="1135">
        <v>0</v>
      </c>
      <c r="BI8" s="1135">
        <v>0</v>
      </c>
      <c r="BJ8" s="1135">
        <v>0</v>
      </c>
      <c r="BK8" s="1135">
        <v>0</v>
      </c>
      <c r="BL8" s="1135">
        <v>0</v>
      </c>
      <c r="BM8" s="1135">
        <v>0</v>
      </c>
      <c r="BN8" s="1135">
        <v>0</v>
      </c>
      <c r="BO8" s="1005">
        <v>0</v>
      </c>
      <c r="BP8" s="1005">
        <v>0</v>
      </c>
      <c r="BQ8" s="1598" t="s">
        <v>232</v>
      </c>
      <c r="BR8" s="1005">
        <v>0</v>
      </c>
      <c r="BS8" s="1005">
        <v>0</v>
      </c>
      <c r="BT8" s="1005">
        <v>0</v>
      </c>
      <c r="BU8" s="1005">
        <v>0</v>
      </c>
      <c r="BV8" s="1016">
        <v>0</v>
      </c>
      <c r="BW8" s="1016">
        <v>0</v>
      </c>
      <c r="BX8" s="1016">
        <v>0</v>
      </c>
      <c r="BY8" s="1016">
        <v>0</v>
      </c>
      <c r="BZ8" s="1016">
        <v>0</v>
      </c>
      <c r="CA8" s="1016">
        <v>0</v>
      </c>
      <c r="CB8" s="1016">
        <v>0</v>
      </c>
      <c r="CC8" s="1594"/>
      <c r="CD8" s="1136">
        <f t="shared" ref="CD8" si="6">IFERROR(J8/AT8-1,0)</f>
        <v>0</v>
      </c>
      <c r="CE8" s="1136">
        <f t="shared" ref="CE8" si="7">IFERROR(K8/AU8-1,0)</f>
        <v>0</v>
      </c>
      <c r="CF8" s="1136">
        <f t="shared" ref="CF8" si="8">IFERROR(L8/AV8-1,0)</f>
        <v>0</v>
      </c>
      <c r="CG8" s="1136">
        <f t="shared" ref="CG8" si="9">IFERROR(M8/AW8-1,0)</f>
        <v>0</v>
      </c>
      <c r="CH8" s="1136">
        <f t="shared" ref="CH8" si="10">IFERROR(N8/AX8-1,0)</f>
        <v>0</v>
      </c>
      <c r="CI8" s="1136">
        <f t="shared" ref="CI8" si="11">IFERROR(O8/AY8-1,0)</f>
        <v>0</v>
      </c>
      <c r="CJ8" s="1136">
        <f t="shared" ref="CJ8" si="12">IFERROR(P8/AZ8-1,0)</f>
        <v>0</v>
      </c>
      <c r="CK8" s="1136">
        <f t="shared" ref="CK8" si="13">IFERROR(Q8/BA8-1,0)</f>
        <v>0</v>
      </c>
      <c r="CL8" s="1136">
        <f t="shared" ref="CL8" si="14">IFERROR(R8/BB8-1,0)</f>
        <v>0</v>
      </c>
      <c r="CM8" s="1136">
        <f t="shared" ref="CM8" si="15">IFERROR(S8/BC8-1,0)</f>
        <v>0</v>
      </c>
      <c r="CN8" s="1136">
        <f t="shared" ref="CN8" si="16">IFERROR(T8/BD8-1,0)</f>
        <v>0</v>
      </c>
      <c r="CO8" s="1136">
        <f t="shared" ref="CO8" si="17">IFERROR(U8/BE8-1,0)</f>
        <v>0</v>
      </c>
      <c r="CP8" s="1136">
        <f t="shared" ref="CP8" si="18">IFERROR(V8/BF8-1,0)</f>
        <v>0</v>
      </c>
      <c r="CQ8" s="1136">
        <f t="shared" ref="CQ8" si="19">IFERROR(W8/BG8-1,0)</f>
        <v>0</v>
      </c>
      <c r="CR8" s="1136">
        <f t="shared" ref="CR8" si="20">IFERROR(X8/BH8-1,0)</f>
        <v>0</v>
      </c>
      <c r="CS8" s="1136">
        <f t="shared" ref="CS8" si="21">IFERROR(Y8/BI8-1,0)</f>
        <v>0</v>
      </c>
      <c r="CT8" s="1136">
        <f t="shared" ref="CT8" si="22">IFERROR(Z8/BJ8-1,0)</f>
        <v>0</v>
      </c>
      <c r="CU8" s="1136">
        <f t="shared" ref="CU8" si="23">IFERROR(AA8/BK8-1,0)</f>
        <v>0</v>
      </c>
      <c r="CV8" s="1136">
        <f t="shared" ref="CV8" si="24">IFERROR(AB8/BL8-1,0)</f>
        <v>0</v>
      </c>
      <c r="CW8" s="1136">
        <f t="shared" ref="CW8" si="25">IFERROR(AC8/BM8-1,0)</f>
        <v>0</v>
      </c>
      <c r="CX8" s="1136">
        <f t="shared" ref="CX8" si="26">IFERROR(AD8/BN8-1,0)</f>
        <v>0</v>
      </c>
      <c r="CY8" s="1136">
        <f t="shared" ref="CY8" si="27">IFERROR(AE8/BO8-1,0)</f>
        <v>0</v>
      </c>
      <c r="CZ8" s="1136">
        <f t="shared" ref="CZ8" si="28">IFERROR(AF8/BP8-1,0)</f>
        <v>0</v>
      </c>
      <c r="DA8" s="1136">
        <f t="shared" ref="DA8" si="29">IFERROR(AG8/BQ8-1,0)</f>
        <v>0</v>
      </c>
      <c r="DB8" s="1136">
        <f t="shared" ref="DB8" si="30">IFERROR(AH8/BR8-1,0)</f>
        <v>0</v>
      </c>
      <c r="DC8" s="1136">
        <f t="shared" ref="DC8" si="31">IFERROR(AI8/BS8-1,0)</f>
        <v>0</v>
      </c>
      <c r="DD8" s="1136">
        <f t="shared" ref="DD8" si="32">IFERROR(AJ8/BT8-1,0)</f>
        <v>0</v>
      </c>
      <c r="DE8" s="1136">
        <f t="shared" ref="DE8" si="33">IFERROR(AK8/BU8-1,0)</f>
        <v>0</v>
      </c>
      <c r="DF8" s="1136">
        <f t="shared" ref="DF8" si="34">IFERROR(AL8/BV8-1,0)</f>
        <v>0</v>
      </c>
      <c r="DG8" s="1136">
        <f t="shared" ref="DG8" si="35">IFERROR(AM8/BW8-1,0)</f>
        <v>0</v>
      </c>
      <c r="DH8" s="1136">
        <f t="shared" ref="DH8" si="36">IFERROR(AN8/BX8-1,0)</f>
        <v>0</v>
      </c>
      <c r="DI8" s="1136">
        <f t="shared" ref="DI8" si="37">IFERROR(AO8/BY8-1,0)</f>
        <v>0</v>
      </c>
      <c r="DJ8" s="1136">
        <f t="shared" ref="DJ8" si="38">IFERROR(AP8/BZ8-1,0)</f>
        <v>0</v>
      </c>
      <c r="DK8" s="1136">
        <f t="shared" ref="DK8" si="39">IFERROR(AQ8/CA8-1,0)</f>
        <v>0</v>
      </c>
      <c r="DL8" s="1136">
        <f t="shared" ref="DL8" si="40">IFERROR(AR8/CB8-1,0)</f>
        <v>0</v>
      </c>
      <c r="DM8" s="1131" t="str">
        <f t="array" ref="DM8">IF(MAX(ABS(CD8:DL8))&gt;$DM$4,"EXPLAIN","")</f>
        <v/>
      </c>
      <c r="DN8" s="1131" t="str">
        <f t="shared" ref="DN8:DN23" si="41">IF(DM8="EXPLAIN","Refer to Ergon Energy Pricing Proposal","")</f>
        <v/>
      </c>
    </row>
    <row r="9" spans="2:122" ht="6" customHeight="1">
      <c r="B9" s="1302" t="str">
        <f>IF(Prop2021DUOSTariffs!B9="","",Prop2021DUOSTariffs!B9)</f>
        <v/>
      </c>
      <c r="C9" s="1568" t="str">
        <f>IF(Prop2021DUOSTariffs!C9="","",Prop2021DUOSTariffs!C9)</f>
        <v/>
      </c>
      <c r="D9" s="1568" t="str">
        <f>IF(Prop2021DUOSTariffs!D9="","",Prop2021DUOSTariffs!D9)</f>
        <v/>
      </c>
      <c r="E9" s="1568" t="str">
        <f>IF(Prop2021DUOSTariffs!E9="","",Prop2021DUOSTariffs!E9)</f>
        <v/>
      </c>
      <c r="F9" s="1568" t="str">
        <f>IF(Prop2021DUOSTariffs!F9="","",Prop2021DUOSTariffs!F9)</f>
        <v/>
      </c>
      <c r="G9" s="1568" t="str">
        <f>IF(Prop2021DUOSTariffs!G9="","",Prop2021DUOSTariffs!G9)</f>
        <v/>
      </c>
      <c r="H9" s="1568" t="str">
        <f>IF(Prop2021DUOSTariffs!H9="","",Prop2021DUOSTariffs!H9)</f>
        <v/>
      </c>
      <c r="I9" s="1568" t="str">
        <f>IF(Prop2021DUOSTariffs!I9="","",Prop2021DUOSTariffs!I9)</f>
        <v/>
      </c>
      <c r="J9" s="1777">
        <v>0</v>
      </c>
      <c r="K9" s="1777">
        <v>0</v>
      </c>
      <c r="L9" s="1777">
        <v>0</v>
      </c>
      <c r="M9" s="1777">
        <v>0</v>
      </c>
      <c r="N9" s="1777">
        <v>0</v>
      </c>
      <c r="O9" s="1777">
        <v>0</v>
      </c>
      <c r="P9" s="1777">
        <v>0</v>
      </c>
      <c r="Q9" s="1777">
        <v>0</v>
      </c>
      <c r="R9" s="1777">
        <v>0</v>
      </c>
      <c r="S9" s="1777">
        <v>0</v>
      </c>
      <c r="T9" s="1777">
        <v>0</v>
      </c>
      <c r="U9" s="1777">
        <v>0</v>
      </c>
      <c r="V9" s="1777">
        <v>0</v>
      </c>
      <c r="W9" s="1777">
        <v>0</v>
      </c>
      <c r="X9" s="1777">
        <v>0</v>
      </c>
      <c r="Y9" s="1777">
        <v>0</v>
      </c>
      <c r="Z9" s="1777">
        <v>0</v>
      </c>
      <c r="AA9" s="1777">
        <v>0</v>
      </c>
      <c r="AB9" s="1777">
        <v>0</v>
      </c>
      <c r="AC9" s="1777">
        <v>0</v>
      </c>
      <c r="AD9" s="1777">
        <v>0</v>
      </c>
      <c r="AE9" s="1778">
        <v>0</v>
      </c>
      <c r="AF9" s="1778">
        <v>0</v>
      </c>
      <c r="AG9" s="1778">
        <v>0</v>
      </c>
      <c r="AH9" s="1778">
        <v>0</v>
      </c>
      <c r="AI9" s="1778">
        <v>0</v>
      </c>
      <c r="AJ9" s="1778">
        <v>0</v>
      </c>
      <c r="AK9" s="1778">
        <v>0</v>
      </c>
      <c r="AL9" s="1778">
        <v>0</v>
      </c>
      <c r="AM9" s="1778">
        <v>0</v>
      </c>
      <c r="AN9" s="1778">
        <v>0</v>
      </c>
      <c r="AO9" s="1778">
        <v>0</v>
      </c>
      <c r="AP9" s="1778">
        <v>0</v>
      </c>
      <c r="AQ9" s="1778">
        <v>0</v>
      </c>
      <c r="AR9" s="1778">
        <v>0</v>
      </c>
      <c r="AS9" s="1594"/>
      <c r="AT9" s="1590"/>
      <c r="AU9" s="1569"/>
      <c r="AV9" s="1569"/>
      <c r="AW9" s="1569"/>
      <c r="AX9" s="1569"/>
      <c r="AY9" s="1569"/>
      <c r="AZ9" s="1569"/>
      <c r="BA9" s="1569"/>
      <c r="BB9" s="1569"/>
      <c r="BC9" s="1569"/>
      <c r="BD9" s="1569"/>
      <c r="BE9" s="1569"/>
      <c r="BF9" s="1569"/>
      <c r="BG9" s="1569"/>
      <c r="BH9" s="1569"/>
      <c r="BI9" s="1569"/>
      <c r="BJ9" s="1569"/>
      <c r="BK9" s="1569"/>
      <c r="BL9" s="1569"/>
      <c r="BM9" s="1569"/>
      <c r="BN9" s="1569"/>
      <c r="BO9" s="1570"/>
      <c r="BP9" s="1570"/>
      <c r="BQ9" s="1570"/>
      <c r="BR9" s="1570"/>
      <c r="BS9" s="1570"/>
      <c r="BT9" s="1570"/>
      <c r="BU9" s="1570"/>
      <c r="BV9" s="1595"/>
      <c r="BW9" s="1595"/>
      <c r="BX9" s="1595"/>
      <c r="BY9" s="1595"/>
      <c r="BZ9" s="1595"/>
      <c r="CA9" s="1595"/>
      <c r="CB9" s="1595"/>
      <c r="CC9" s="1594"/>
      <c r="CD9" s="1571"/>
      <c r="CE9" s="1571"/>
      <c r="CF9" s="1571"/>
      <c r="CG9" s="1571"/>
      <c r="CH9" s="1571"/>
      <c r="CI9" s="1571"/>
      <c r="CJ9" s="1571"/>
      <c r="CK9" s="1571"/>
      <c r="CL9" s="1571"/>
      <c r="CM9" s="1571"/>
      <c r="CN9" s="1571"/>
      <c r="CO9" s="1571"/>
      <c r="CP9" s="1571"/>
      <c r="CQ9" s="1571"/>
      <c r="CR9" s="1571"/>
      <c r="CS9" s="1571"/>
      <c r="CT9" s="1571"/>
      <c r="CU9" s="1571"/>
      <c r="CV9" s="1571"/>
      <c r="CW9" s="1571"/>
      <c r="CX9" s="1571"/>
      <c r="CY9" s="1571"/>
      <c r="CZ9" s="1571"/>
      <c r="DA9" s="1571"/>
      <c r="DB9" s="1571"/>
      <c r="DC9" s="1571"/>
      <c r="DD9" s="1571"/>
      <c r="DE9" s="1571"/>
      <c r="DF9" s="1571"/>
      <c r="DG9" s="1571"/>
      <c r="DH9" s="1571"/>
      <c r="DI9" s="1571"/>
      <c r="DJ9" s="1571"/>
      <c r="DK9" s="1571"/>
      <c r="DL9" s="1571"/>
      <c r="DM9" s="1572"/>
      <c r="DN9" s="1572"/>
    </row>
    <row r="10" spans="2:122">
      <c r="B10" s="1111" t="str">
        <f>IF(Prop2021DUOSTariffs!B10="","",Prop2021DUOSTariffs!B10)</f>
        <v/>
      </c>
      <c r="C10" s="1111" t="str">
        <f>IF(Prop2021DUOSTariffs!C10="","",Prop2021DUOSTariffs!C10)</f>
        <v>East CAC66kV Anytime</v>
      </c>
      <c r="D10" s="1111" t="str">
        <f>IF(Prop2021DUOSTariffs!D10="","",Prop2021DUOSTariffs!D10)</f>
        <v>East CAC66kV Anytime</v>
      </c>
      <c r="E10" s="1111" t="str">
        <f>IF(Prop2021DUOSTariffs!E10="","",Prop2021DUOSTariffs!E10)</f>
        <v>CAC</v>
      </c>
      <c r="F10" s="1111" t="str">
        <f>IF(Prop2021DUOSTariffs!F10="","",Prop2021DUOSTariffs!F10)</f>
        <v>CAC</v>
      </c>
      <c r="G10" s="1111" t="str">
        <f>IF(Prop2021DUOSTariffs!G10="","",Prop2021DUOSTariffs!G10)</f>
        <v>East</v>
      </c>
      <c r="H10" s="1111" t="str">
        <f>IF(Prop2021DUOSTariffs!H10="","",Prop2021DUOSTariffs!H10)</f>
        <v>EC66</v>
      </c>
      <c r="I10" s="1111" t="str">
        <f>IF(Prop2021DUOSTariffs!I10="","",Prop2021DUOSTariffs!I10)</f>
        <v>DUOS</v>
      </c>
      <c r="J10" s="1774">
        <v>109.746</v>
      </c>
      <c r="K10" s="1773">
        <v>0</v>
      </c>
      <c r="L10" s="1773">
        <v>0</v>
      </c>
      <c r="M10" s="1773">
        <v>0</v>
      </c>
      <c r="N10" s="1773">
        <v>0</v>
      </c>
      <c r="O10" s="1773">
        <v>0</v>
      </c>
      <c r="P10" s="1774">
        <v>5.5268387722844636</v>
      </c>
      <c r="Q10" s="1774">
        <v>2.5656019999999997</v>
      </c>
      <c r="R10" s="1773">
        <v>0</v>
      </c>
      <c r="S10" s="1773">
        <v>0</v>
      </c>
      <c r="T10" s="1773">
        <v>0</v>
      </c>
      <c r="U10" s="1774">
        <v>3.0136537693631666</v>
      </c>
      <c r="V10" s="1773">
        <v>0</v>
      </c>
      <c r="W10" s="1773">
        <v>0</v>
      </c>
      <c r="X10" s="1773">
        <v>0</v>
      </c>
      <c r="Y10" s="1773">
        <v>0</v>
      </c>
      <c r="Z10" s="1773">
        <v>0</v>
      </c>
      <c r="AA10" s="1773">
        <v>0</v>
      </c>
      <c r="AB10" s="1773">
        <v>0</v>
      </c>
      <c r="AC10" s="1773">
        <v>0</v>
      </c>
      <c r="AD10" s="1773">
        <v>0</v>
      </c>
      <c r="AE10" s="1775">
        <v>0</v>
      </c>
      <c r="AF10" s="1775">
        <v>0</v>
      </c>
      <c r="AG10" s="1776">
        <v>3.9433916961679593E-3</v>
      </c>
      <c r="AH10" s="1775">
        <v>0</v>
      </c>
      <c r="AI10" s="1775">
        <v>0</v>
      </c>
      <c r="AJ10" s="1775">
        <v>0</v>
      </c>
      <c r="AK10" s="1775">
        <v>0</v>
      </c>
      <c r="AL10" s="1775">
        <v>0</v>
      </c>
      <c r="AM10" s="1775">
        <v>0</v>
      </c>
      <c r="AN10" s="1775">
        <v>0</v>
      </c>
      <c r="AO10" s="1775">
        <v>0</v>
      </c>
      <c r="AP10" s="1775">
        <v>0</v>
      </c>
      <c r="AQ10" s="1775">
        <v>0</v>
      </c>
      <c r="AR10" s="1775">
        <v>0</v>
      </c>
      <c r="AS10" s="1594"/>
      <c r="AT10" s="1233">
        <v>110.19788360307436</v>
      </c>
      <c r="AU10" s="1135"/>
      <c r="AV10" s="1135"/>
      <c r="AW10" s="1135"/>
      <c r="AX10" s="1135"/>
      <c r="AY10" s="1135"/>
      <c r="AZ10" s="1233">
        <v>5.5903031708585296</v>
      </c>
      <c r="BA10" s="1233">
        <v>2.56074</v>
      </c>
      <c r="BB10" s="1135"/>
      <c r="BC10" s="1135"/>
      <c r="BD10" s="1135"/>
      <c r="BE10" s="1233">
        <v>3.00888</v>
      </c>
      <c r="BF10" s="1135"/>
      <c r="BG10" s="1135"/>
      <c r="BH10" s="1135"/>
      <c r="BI10" s="1135"/>
      <c r="BJ10" s="1135"/>
      <c r="BK10" s="1135"/>
      <c r="BL10" s="1135"/>
      <c r="BM10" s="1135"/>
      <c r="BN10" s="1135"/>
      <c r="BO10" s="1005"/>
      <c r="BP10" s="1005"/>
      <c r="BQ10" s="1596">
        <v>3.1142341810338858E-3</v>
      </c>
      <c r="BR10" s="1005"/>
      <c r="BS10" s="1005"/>
      <c r="BT10" s="1005"/>
      <c r="BU10" s="1005"/>
      <c r="BV10" s="1016"/>
      <c r="BW10" s="1016"/>
      <c r="BX10" s="1016"/>
      <c r="BY10" s="1016"/>
      <c r="BZ10" s="1016"/>
      <c r="CA10" s="1016"/>
      <c r="CB10" s="1016"/>
      <c r="CC10" s="1594"/>
      <c r="CD10" s="1136">
        <f t="shared" ref="CD10:CD23" si="42">IFERROR(J10/AT10-1,0)</f>
        <v>-4.1006559137017895E-3</v>
      </c>
      <c r="CE10" s="1136">
        <f t="shared" ref="CE10:CE23" si="43">IFERROR(K10/AU10-1,0)</f>
        <v>0</v>
      </c>
      <c r="CF10" s="1136">
        <f t="shared" ref="CF10:CF23" si="44">IFERROR(L10/AV10-1,0)</f>
        <v>0</v>
      </c>
      <c r="CG10" s="1136">
        <f t="shared" ref="CG10:CG23" si="45">IFERROR(M10/AW10-1,0)</f>
        <v>0</v>
      </c>
      <c r="CH10" s="1136">
        <f t="shared" ref="CH10:CH23" si="46">IFERROR(N10/AX10-1,0)</f>
        <v>0</v>
      </c>
      <c r="CI10" s="1136">
        <f t="shared" ref="CI10:CI23" si="47">IFERROR(O10/AY10-1,0)</f>
        <v>0</v>
      </c>
      <c r="CJ10" s="1136">
        <f t="shared" ref="CJ10:CJ23" si="48">IFERROR(P10/AZ10-1,0)</f>
        <v>-1.1352586189761094E-2</v>
      </c>
      <c r="CK10" s="1136">
        <f t="shared" ref="CK10:CK23" si="49">IFERROR(Q10/BA10-1,0)</f>
        <v>1.8986699157272913E-3</v>
      </c>
      <c r="CL10" s="1136">
        <f t="shared" ref="CL10:CL23" si="50">IFERROR(R10/BB10-1,0)</f>
        <v>0</v>
      </c>
      <c r="CM10" s="1136">
        <f t="shared" ref="CM10:CM23" si="51">IFERROR(S10/BC10-1,0)</f>
        <v>0</v>
      </c>
      <c r="CN10" s="1136">
        <f t="shared" ref="CN10:CN23" si="52">IFERROR(T10/BD10-1,0)</f>
        <v>0</v>
      </c>
      <c r="CO10" s="1136">
        <f t="shared" ref="CO10:CO23" si="53">IFERROR(U10/BE10-1,0)</f>
        <v>1.586560236090051E-3</v>
      </c>
      <c r="CP10" s="1136">
        <f t="shared" ref="CP10:CP23" si="54">IFERROR(V10/BF10-1,0)</f>
        <v>0</v>
      </c>
      <c r="CQ10" s="1136">
        <f t="shared" ref="CQ10:CQ23" si="55">IFERROR(W10/BG10-1,0)</f>
        <v>0</v>
      </c>
      <c r="CR10" s="1136">
        <f t="shared" ref="CR10:CR23" si="56">IFERROR(X10/BH10-1,0)</f>
        <v>0</v>
      </c>
      <c r="CS10" s="1136">
        <f t="shared" ref="CS10:CS23" si="57">IFERROR(Y10/BI10-1,0)</f>
        <v>0</v>
      </c>
      <c r="CT10" s="1136">
        <f t="shared" ref="CT10:CT23" si="58">IFERROR(Z10/BJ10-1,0)</f>
        <v>0</v>
      </c>
      <c r="CU10" s="1136">
        <f t="shared" ref="CU10:CU23" si="59">IFERROR(AA10/BK10-1,0)</f>
        <v>0</v>
      </c>
      <c r="CV10" s="1136">
        <f t="shared" ref="CV10:CV23" si="60">IFERROR(AB10/BL10-1,0)</f>
        <v>0</v>
      </c>
      <c r="CW10" s="1136">
        <f t="shared" ref="CW10:CW23" si="61">IFERROR(AC10/BM10-1,0)</f>
        <v>0</v>
      </c>
      <c r="CX10" s="1136">
        <f t="shared" ref="CX10:CX23" si="62">IFERROR(AD10/BN10-1,0)</f>
        <v>0</v>
      </c>
      <c r="CY10" s="1136">
        <f t="shared" ref="CY10:CY23" si="63">IFERROR(AE10/BO10-1,0)</f>
        <v>0</v>
      </c>
      <c r="CZ10" s="1136">
        <f t="shared" ref="CZ10:CZ23" si="64">IFERROR(AF10/BP10-1,0)</f>
        <v>0</v>
      </c>
      <c r="DA10" s="1136">
        <f t="shared" ref="DA10:DA23" si="65">IFERROR(AG10/BQ10-1,0)</f>
        <v>0.26624764450398652</v>
      </c>
      <c r="DB10" s="1136">
        <f t="shared" ref="DB10:DB23" si="66">IFERROR(AH10/BR10-1,0)</f>
        <v>0</v>
      </c>
      <c r="DC10" s="1136">
        <f t="shared" ref="DC10:DC23" si="67">IFERROR(AI10/BS10-1,0)</f>
        <v>0</v>
      </c>
      <c r="DD10" s="1136">
        <f t="shared" ref="DD10:DD23" si="68">IFERROR(AJ10/BT10-1,0)</f>
        <v>0</v>
      </c>
      <c r="DE10" s="1136">
        <f t="shared" ref="DE10:DE23" si="69">IFERROR(AK10/BU10-1,0)</f>
        <v>0</v>
      </c>
      <c r="DF10" s="1136">
        <f t="shared" ref="DF10:DF23" si="70">IFERROR(AL10/BV10-1,0)</f>
        <v>0</v>
      </c>
      <c r="DG10" s="1136">
        <f t="shared" ref="DG10:DG23" si="71">IFERROR(AM10/BW10-1,0)</f>
        <v>0</v>
      </c>
      <c r="DH10" s="1136">
        <f t="shared" ref="DH10:DH23" si="72">IFERROR(AN10/BX10-1,0)</f>
        <v>0</v>
      </c>
      <c r="DI10" s="1136">
        <f t="shared" ref="DI10:DI23" si="73">IFERROR(AO10/BY10-1,0)</f>
        <v>0</v>
      </c>
      <c r="DJ10" s="1136">
        <f t="shared" ref="DJ10:DJ23" si="74">IFERROR(AP10/BZ10-1,0)</f>
        <v>0</v>
      </c>
      <c r="DK10" s="1136">
        <f t="shared" ref="DK10:DK23" si="75">IFERROR(AQ10/CA10-1,0)</f>
        <v>0</v>
      </c>
      <c r="DL10" s="1136">
        <f t="shared" ref="DL10:DL23" si="76">IFERROR(AR10/CB10-1,0)</f>
        <v>0</v>
      </c>
      <c r="DM10" s="1131" t="str">
        <f t="array" ref="DM10">IF(MAX(ABS(CD10:DL10))&gt;$DM$4,"EXPLAIN","")</f>
        <v>EXPLAIN</v>
      </c>
      <c r="DN10" s="1131" t="str">
        <f t="shared" si="41"/>
        <v>Refer to Ergon Energy Pricing Proposal</v>
      </c>
      <c r="DP10" s="1140">
        <f t="shared" ref="DP10:DP23" si="77">COUNTIFS(J10:AR10,"&lt;&gt;"&amp;0)</f>
        <v>5</v>
      </c>
      <c r="DQ10" s="1140">
        <f t="shared" ref="DQ10:DQ23" si="78">COUNTA(AT10:CB10)</f>
        <v>5</v>
      </c>
      <c r="DR10" s="1140" t="str">
        <f t="shared" ref="DR10:DR23" si="79">IF(DP10=DQ10,"ok","xxxx")</f>
        <v>ok</v>
      </c>
    </row>
    <row r="11" spans="2:122">
      <c r="B11" s="1111" t="str">
        <f>IF(Prop2021DUOSTariffs!B11="","",Prop2021DUOSTariffs!B11)</f>
        <v/>
      </c>
      <c r="C11" s="1111" t="str">
        <f>IF(Prop2021DUOSTariffs!C11="","",Prop2021DUOSTariffs!C11)</f>
        <v>East CAC33kV Anytime</v>
      </c>
      <c r="D11" s="1111" t="str">
        <f>IF(Prop2021DUOSTariffs!D11="","",Prop2021DUOSTariffs!D11)</f>
        <v>East CAC33kV Anytime</v>
      </c>
      <c r="E11" s="1111" t="str">
        <f>IF(Prop2021DUOSTariffs!E11="","",Prop2021DUOSTariffs!E11)</f>
        <v>CAC</v>
      </c>
      <c r="F11" s="1111" t="str">
        <f>IF(Prop2021DUOSTariffs!F11="","",Prop2021DUOSTariffs!F11)</f>
        <v>CAC</v>
      </c>
      <c r="G11" s="1111" t="str">
        <f>IF(Prop2021DUOSTariffs!G11="","",Prop2021DUOSTariffs!G11)</f>
        <v>East</v>
      </c>
      <c r="H11" s="1111" t="str">
        <f>IF(Prop2021DUOSTariffs!H11="","",Prop2021DUOSTariffs!H11)</f>
        <v>EC33</v>
      </c>
      <c r="I11" s="1111" t="str">
        <f>IF(Prop2021DUOSTariffs!I11="","",Prop2021DUOSTariffs!I11)</f>
        <v>DUOS</v>
      </c>
      <c r="J11" s="1774">
        <v>44.44</v>
      </c>
      <c r="K11" s="1773">
        <v>0</v>
      </c>
      <c r="L11" s="1773">
        <v>0</v>
      </c>
      <c r="M11" s="1773">
        <v>0</v>
      </c>
      <c r="N11" s="1773">
        <v>0</v>
      </c>
      <c r="O11" s="1773">
        <v>0</v>
      </c>
      <c r="P11" s="1774">
        <v>5.5268387722844636</v>
      </c>
      <c r="Q11" s="1774">
        <v>3.2827199999999999</v>
      </c>
      <c r="R11" s="1773">
        <v>0</v>
      </c>
      <c r="S11" s="1773">
        <v>0</v>
      </c>
      <c r="T11" s="1773">
        <v>0</v>
      </c>
      <c r="U11" s="1774">
        <v>3.1221876799972401</v>
      </c>
      <c r="V11" s="1773">
        <v>0</v>
      </c>
      <c r="W11" s="1773">
        <v>0</v>
      </c>
      <c r="X11" s="1773">
        <v>0</v>
      </c>
      <c r="Y11" s="1773">
        <v>0</v>
      </c>
      <c r="Z11" s="1773">
        <v>0</v>
      </c>
      <c r="AA11" s="1773">
        <v>0</v>
      </c>
      <c r="AB11" s="1773">
        <v>0</v>
      </c>
      <c r="AC11" s="1773">
        <v>0</v>
      </c>
      <c r="AD11" s="1773">
        <v>0</v>
      </c>
      <c r="AE11" s="1775">
        <v>0</v>
      </c>
      <c r="AF11" s="1775">
        <v>0</v>
      </c>
      <c r="AG11" s="1776">
        <v>3.9433916961679593E-3</v>
      </c>
      <c r="AH11" s="1775">
        <v>0</v>
      </c>
      <c r="AI11" s="1775">
        <v>0</v>
      </c>
      <c r="AJ11" s="1775">
        <v>0</v>
      </c>
      <c r="AK11" s="1775">
        <v>0</v>
      </c>
      <c r="AL11" s="1775">
        <v>0</v>
      </c>
      <c r="AM11" s="1775">
        <v>0</v>
      </c>
      <c r="AN11" s="1775">
        <v>0</v>
      </c>
      <c r="AO11" s="1775">
        <v>0</v>
      </c>
      <c r="AP11" s="1775">
        <v>0</v>
      </c>
      <c r="AQ11" s="1775">
        <v>0</v>
      </c>
      <c r="AR11" s="1775">
        <v>0</v>
      </c>
      <c r="AS11" s="1594"/>
      <c r="AT11" s="1233">
        <v>44.622983501181132</v>
      </c>
      <c r="AU11" s="1135"/>
      <c r="AV11" s="1135"/>
      <c r="AW11" s="1135"/>
      <c r="AX11" s="1135"/>
      <c r="AY11" s="1135"/>
      <c r="AZ11" s="1233">
        <v>5.5903031708585296</v>
      </c>
      <c r="BA11" s="1233">
        <v>3.2760000000000002</v>
      </c>
      <c r="BB11" s="1135"/>
      <c r="BC11" s="1135"/>
      <c r="BD11" s="1135"/>
      <c r="BE11" s="1233">
        <v>3.1172400000000007</v>
      </c>
      <c r="BF11" s="1135"/>
      <c r="BG11" s="1135"/>
      <c r="BH11" s="1135"/>
      <c r="BI11" s="1135"/>
      <c r="BJ11" s="1135"/>
      <c r="BK11" s="1135"/>
      <c r="BL11" s="1135"/>
      <c r="BM11" s="1135"/>
      <c r="BN11" s="1135"/>
      <c r="BO11" s="1005"/>
      <c r="BP11" s="1005"/>
      <c r="BQ11" s="1596">
        <v>3.1142341810338858E-3</v>
      </c>
      <c r="BR11" s="1005"/>
      <c r="BS11" s="1005"/>
      <c r="BT11" s="1005"/>
      <c r="BU11" s="1005"/>
      <c r="BV11" s="1016"/>
      <c r="BW11" s="1016"/>
      <c r="BX11" s="1016"/>
      <c r="BY11" s="1016"/>
      <c r="BZ11" s="1016"/>
      <c r="CA11" s="1016"/>
      <c r="CB11" s="1016"/>
      <c r="CC11" s="1594"/>
      <c r="CD11" s="1136">
        <f t="shared" si="42"/>
        <v>-4.1006559137017895E-3</v>
      </c>
      <c r="CE11" s="1136">
        <f t="shared" si="43"/>
        <v>0</v>
      </c>
      <c r="CF11" s="1136">
        <f t="shared" si="44"/>
        <v>0</v>
      </c>
      <c r="CG11" s="1136">
        <f t="shared" si="45"/>
        <v>0</v>
      </c>
      <c r="CH11" s="1136">
        <f t="shared" si="46"/>
        <v>0</v>
      </c>
      <c r="CI11" s="1136">
        <f t="shared" si="47"/>
        <v>0</v>
      </c>
      <c r="CJ11" s="1136">
        <f t="shared" si="48"/>
        <v>-1.1352586189761094E-2</v>
      </c>
      <c r="CK11" s="1136">
        <f t="shared" si="49"/>
        <v>2.0512820512819108E-3</v>
      </c>
      <c r="CL11" s="1136">
        <f t="shared" si="50"/>
        <v>0</v>
      </c>
      <c r="CM11" s="1136">
        <f t="shared" si="51"/>
        <v>0</v>
      </c>
      <c r="CN11" s="1136">
        <f t="shared" si="52"/>
        <v>0</v>
      </c>
      <c r="CO11" s="1136">
        <f t="shared" si="53"/>
        <v>1.5871989315032753E-3</v>
      </c>
      <c r="CP11" s="1136">
        <f t="shared" si="54"/>
        <v>0</v>
      </c>
      <c r="CQ11" s="1136">
        <f t="shared" si="55"/>
        <v>0</v>
      </c>
      <c r="CR11" s="1136">
        <f t="shared" si="56"/>
        <v>0</v>
      </c>
      <c r="CS11" s="1136">
        <f t="shared" si="57"/>
        <v>0</v>
      </c>
      <c r="CT11" s="1136">
        <f t="shared" si="58"/>
        <v>0</v>
      </c>
      <c r="CU11" s="1136">
        <f t="shared" si="59"/>
        <v>0</v>
      </c>
      <c r="CV11" s="1136">
        <f t="shared" si="60"/>
        <v>0</v>
      </c>
      <c r="CW11" s="1136">
        <f t="shared" si="61"/>
        <v>0</v>
      </c>
      <c r="CX11" s="1136">
        <f t="shared" si="62"/>
        <v>0</v>
      </c>
      <c r="CY11" s="1136">
        <f t="shared" si="63"/>
        <v>0</v>
      </c>
      <c r="CZ11" s="1136">
        <f t="shared" si="64"/>
        <v>0</v>
      </c>
      <c r="DA11" s="1136">
        <f t="shared" si="65"/>
        <v>0.26624764450398652</v>
      </c>
      <c r="DB11" s="1136">
        <f t="shared" si="66"/>
        <v>0</v>
      </c>
      <c r="DC11" s="1136">
        <f t="shared" si="67"/>
        <v>0</v>
      </c>
      <c r="DD11" s="1136">
        <f t="shared" si="68"/>
        <v>0</v>
      </c>
      <c r="DE11" s="1136">
        <f t="shared" si="69"/>
        <v>0</v>
      </c>
      <c r="DF11" s="1136">
        <f t="shared" si="70"/>
        <v>0</v>
      </c>
      <c r="DG11" s="1136">
        <f t="shared" si="71"/>
        <v>0</v>
      </c>
      <c r="DH11" s="1136">
        <f t="shared" si="72"/>
        <v>0</v>
      </c>
      <c r="DI11" s="1136">
        <f t="shared" si="73"/>
        <v>0</v>
      </c>
      <c r="DJ11" s="1136">
        <f t="shared" si="74"/>
        <v>0</v>
      </c>
      <c r="DK11" s="1136">
        <f t="shared" si="75"/>
        <v>0</v>
      </c>
      <c r="DL11" s="1136">
        <f t="shared" si="76"/>
        <v>0</v>
      </c>
      <c r="DM11" s="1131" t="str">
        <f t="array" ref="DM11">IF(MAX(ABS(CD11:DL11))&gt;$DM$4,"EXPLAIN","")</f>
        <v>EXPLAIN</v>
      </c>
      <c r="DN11" s="1131" t="str">
        <f t="shared" si="41"/>
        <v>Refer to Ergon Energy Pricing Proposal</v>
      </c>
      <c r="DP11" s="1140">
        <f t="shared" si="77"/>
        <v>5</v>
      </c>
      <c r="DQ11" s="1140">
        <f t="shared" si="78"/>
        <v>5</v>
      </c>
      <c r="DR11" s="1140" t="str">
        <f t="shared" si="79"/>
        <v>ok</v>
      </c>
    </row>
    <row r="12" spans="2:122">
      <c r="B12" s="1111" t="str">
        <f>IF(Prop2021DUOSTariffs!B12="","",Prop2021DUOSTariffs!B12)</f>
        <v/>
      </c>
      <c r="C12" s="1111" t="str">
        <f>IF(Prop2021DUOSTariffs!C12="","",Prop2021DUOSTariffs!C12)</f>
        <v>East CAC22/11kVBus Anytime</v>
      </c>
      <c r="D12" s="1111" t="str">
        <f>IF(Prop2021DUOSTariffs!D12="","",Prop2021DUOSTariffs!D12)</f>
        <v>East CAC22/11kVBus Anytime</v>
      </c>
      <c r="E12" s="1111" t="str">
        <f>IF(Prop2021DUOSTariffs!E12="","",Prop2021DUOSTariffs!E12)</f>
        <v>CAC</v>
      </c>
      <c r="F12" s="1111" t="str">
        <f>IF(Prop2021DUOSTariffs!F12="","",Prop2021DUOSTariffs!F12)</f>
        <v>CAC</v>
      </c>
      <c r="G12" s="1111" t="str">
        <f>IF(Prop2021DUOSTariffs!G12="","",Prop2021DUOSTariffs!G12)</f>
        <v>East</v>
      </c>
      <c r="H12" s="1111" t="str">
        <f>IF(Prop2021DUOSTariffs!H12="","",Prop2021DUOSTariffs!H12)</f>
        <v>EC22B</v>
      </c>
      <c r="I12" s="1111" t="str">
        <f>IF(Prop2021DUOSTariffs!I12="","",Prop2021DUOSTariffs!I12)</f>
        <v>DUOS</v>
      </c>
      <c r="J12" s="1774">
        <v>33.128</v>
      </c>
      <c r="K12" s="1773">
        <v>0</v>
      </c>
      <c r="L12" s="1773">
        <v>0</v>
      </c>
      <c r="M12" s="1773">
        <v>0</v>
      </c>
      <c r="N12" s="1773">
        <v>0</v>
      </c>
      <c r="O12" s="1773">
        <v>0</v>
      </c>
      <c r="P12" s="1774">
        <v>5.5268387722844636</v>
      </c>
      <c r="Q12" s="1774">
        <v>3.8884599999999998</v>
      </c>
      <c r="R12" s="1773">
        <v>0</v>
      </c>
      <c r="S12" s="1773">
        <v>0</v>
      </c>
      <c r="T12" s="1773">
        <v>0</v>
      </c>
      <c r="U12" s="1774">
        <v>3.7864778313253016</v>
      </c>
      <c r="V12" s="1773">
        <v>0</v>
      </c>
      <c r="W12" s="1773">
        <v>0</v>
      </c>
      <c r="X12" s="1773">
        <v>0</v>
      </c>
      <c r="Y12" s="1773">
        <v>0</v>
      </c>
      <c r="Z12" s="1773">
        <v>0</v>
      </c>
      <c r="AA12" s="1773">
        <v>0</v>
      </c>
      <c r="AB12" s="1773">
        <v>0</v>
      </c>
      <c r="AC12" s="1773">
        <v>0</v>
      </c>
      <c r="AD12" s="1773">
        <v>0</v>
      </c>
      <c r="AE12" s="1775">
        <v>0</v>
      </c>
      <c r="AF12" s="1775">
        <v>0</v>
      </c>
      <c r="AG12" s="1776">
        <v>3.9433916961679593E-3</v>
      </c>
      <c r="AH12" s="1775">
        <v>0</v>
      </c>
      <c r="AI12" s="1775">
        <v>0</v>
      </c>
      <c r="AJ12" s="1775">
        <v>0</v>
      </c>
      <c r="AK12" s="1775">
        <v>0</v>
      </c>
      <c r="AL12" s="1775">
        <v>0</v>
      </c>
      <c r="AM12" s="1775">
        <v>0</v>
      </c>
      <c r="AN12" s="1775">
        <v>0</v>
      </c>
      <c r="AO12" s="1775">
        <v>0</v>
      </c>
      <c r="AP12" s="1775">
        <v>0</v>
      </c>
      <c r="AQ12" s="1775">
        <v>0</v>
      </c>
      <c r="AR12" s="1775">
        <v>0</v>
      </c>
      <c r="AS12" s="1594"/>
      <c r="AT12" s="1233">
        <v>33.264405882698668</v>
      </c>
      <c r="AU12" s="1135"/>
      <c r="AV12" s="1135"/>
      <c r="AW12" s="1135"/>
      <c r="AX12" s="1135"/>
      <c r="AY12" s="1135"/>
      <c r="AZ12" s="1233">
        <v>5.5903031708585296</v>
      </c>
      <c r="BA12" s="1233">
        <v>3.8805000000000001</v>
      </c>
      <c r="BB12" s="1135"/>
      <c r="BC12" s="1135"/>
      <c r="BD12" s="1135"/>
      <c r="BE12" s="1233">
        <v>3.77874</v>
      </c>
      <c r="BF12" s="1135"/>
      <c r="BG12" s="1135"/>
      <c r="BH12" s="1135"/>
      <c r="BI12" s="1135"/>
      <c r="BJ12" s="1135"/>
      <c r="BK12" s="1135"/>
      <c r="BL12" s="1135"/>
      <c r="BM12" s="1135"/>
      <c r="BN12" s="1135"/>
      <c r="BO12" s="1005"/>
      <c r="BP12" s="1005"/>
      <c r="BQ12" s="1596">
        <v>3.1142341810338858E-3</v>
      </c>
      <c r="BR12" s="1005"/>
      <c r="BS12" s="1005"/>
      <c r="BT12" s="1005"/>
      <c r="BU12" s="1005"/>
      <c r="BV12" s="1016"/>
      <c r="BW12" s="1016"/>
      <c r="BX12" s="1016"/>
      <c r="BY12" s="1016"/>
      <c r="BZ12" s="1016"/>
      <c r="CA12" s="1016"/>
      <c r="CB12" s="1016"/>
      <c r="CC12" s="1594"/>
      <c r="CD12" s="1136">
        <f t="shared" si="42"/>
        <v>-4.1006559137019005E-3</v>
      </c>
      <c r="CE12" s="1136">
        <f t="shared" si="43"/>
        <v>0</v>
      </c>
      <c r="CF12" s="1136">
        <f t="shared" si="44"/>
        <v>0</v>
      </c>
      <c r="CG12" s="1136">
        <f t="shared" si="45"/>
        <v>0</v>
      </c>
      <c r="CH12" s="1136">
        <f t="shared" si="46"/>
        <v>0</v>
      </c>
      <c r="CI12" s="1136">
        <f t="shared" si="47"/>
        <v>0</v>
      </c>
      <c r="CJ12" s="1136">
        <f t="shared" si="48"/>
        <v>-1.1352586189761094E-2</v>
      </c>
      <c r="CK12" s="1136">
        <f t="shared" si="49"/>
        <v>2.0512820512819108E-3</v>
      </c>
      <c r="CL12" s="1136">
        <f t="shared" si="50"/>
        <v>0</v>
      </c>
      <c r="CM12" s="1136">
        <f t="shared" si="51"/>
        <v>0</v>
      </c>
      <c r="CN12" s="1136">
        <f t="shared" si="52"/>
        <v>0</v>
      </c>
      <c r="CO12" s="1136">
        <f t="shared" si="53"/>
        <v>2.0477279001205329E-3</v>
      </c>
      <c r="CP12" s="1136">
        <f t="shared" si="54"/>
        <v>0</v>
      </c>
      <c r="CQ12" s="1136">
        <f t="shared" si="55"/>
        <v>0</v>
      </c>
      <c r="CR12" s="1136">
        <f t="shared" si="56"/>
        <v>0</v>
      </c>
      <c r="CS12" s="1136">
        <f t="shared" si="57"/>
        <v>0</v>
      </c>
      <c r="CT12" s="1136">
        <f t="shared" si="58"/>
        <v>0</v>
      </c>
      <c r="CU12" s="1136">
        <f t="shared" si="59"/>
        <v>0</v>
      </c>
      <c r="CV12" s="1136">
        <f t="shared" si="60"/>
        <v>0</v>
      </c>
      <c r="CW12" s="1136">
        <f t="shared" si="61"/>
        <v>0</v>
      </c>
      <c r="CX12" s="1136">
        <f t="shared" si="62"/>
        <v>0</v>
      </c>
      <c r="CY12" s="1136">
        <f t="shared" si="63"/>
        <v>0</v>
      </c>
      <c r="CZ12" s="1136">
        <f t="shared" si="64"/>
        <v>0</v>
      </c>
      <c r="DA12" s="1136">
        <f t="shared" si="65"/>
        <v>0.26624764450398652</v>
      </c>
      <c r="DB12" s="1136">
        <f t="shared" si="66"/>
        <v>0</v>
      </c>
      <c r="DC12" s="1136">
        <f t="shared" si="67"/>
        <v>0</v>
      </c>
      <c r="DD12" s="1136">
        <f t="shared" si="68"/>
        <v>0</v>
      </c>
      <c r="DE12" s="1136">
        <f t="shared" si="69"/>
        <v>0</v>
      </c>
      <c r="DF12" s="1136">
        <f t="shared" si="70"/>
        <v>0</v>
      </c>
      <c r="DG12" s="1136">
        <f t="shared" si="71"/>
        <v>0</v>
      </c>
      <c r="DH12" s="1136">
        <f t="shared" si="72"/>
        <v>0</v>
      </c>
      <c r="DI12" s="1136">
        <f t="shared" si="73"/>
        <v>0</v>
      </c>
      <c r="DJ12" s="1136">
        <f t="shared" si="74"/>
        <v>0</v>
      </c>
      <c r="DK12" s="1136">
        <f t="shared" si="75"/>
        <v>0</v>
      </c>
      <c r="DL12" s="1136">
        <f t="shared" si="76"/>
        <v>0</v>
      </c>
      <c r="DM12" s="1131" t="str">
        <f t="array" ref="DM12">IF(MAX(ABS(CD12:DL12))&gt;$DM$4,"EXPLAIN","")</f>
        <v>EXPLAIN</v>
      </c>
      <c r="DN12" s="1131" t="str">
        <f t="shared" si="41"/>
        <v>Refer to Ergon Energy Pricing Proposal</v>
      </c>
      <c r="DP12" s="1140">
        <f t="shared" si="77"/>
        <v>5</v>
      </c>
      <c r="DQ12" s="1140">
        <f t="shared" si="78"/>
        <v>5</v>
      </c>
      <c r="DR12" s="1140" t="str">
        <f t="shared" si="79"/>
        <v>ok</v>
      </c>
    </row>
    <row r="13" spans="2:122">
      <c r="B13" s="1111" t="str">
        <f>IF(Prop2021DUOSTariffs!B13="","",Prop2021DUOSTariffs!B13)</f>
        <v/>
      </c>
      <c r="C13" s="1111" t="str">
        <f>IF(Prop2021DUOSTariffs!C13="","",Prop2021DUOSTariffs!C13)</f>
        <v>East CAC22/11kVLine Anytime</v>
      </c>
      <c r="D13" s="1111" t="str">
        <f>IF(Prop2021DUOSTariffs!D13="","",Prop2021DUOSTariffs!D13)</f>
        <v>East CAC22/11kVLine Anytime</v>
      </c>
      <c r="E13" s="1111" t="str">
        <f>IF(Prop2021DUOSTariffs!E13="","",Prop2021DUOSTariffs!E13)</f>
        <v>CAC</v>
      </c>
      <c r="F13" s="1111" t="str">
        <f>IF(Prop2021DUOSTariffs!F13="","",Prop2021DUOSTariffs!F13)</f>
        <v>CAC</v>
      </c>
      <c r="G13" s="1111" t="str">
        <f>IF(Prop2021DUOSTariffs!G13="","",Prop2021DUOSTariffs!G13)</f>
        <v>East</v>
      </c>
      <c r="H13" s="1111" t="str">
        <f>IF(Prop2021DUOSTariffs!H13="","",Prop2021DUOSTariffs!H13)</f>
        <v>EC22L</v>
      </c>
      <c r="I13" s="1111" t="str">
        <f>IF(Prop2021DUOSTariffs!I13="","",Prop2021DUOSTariffs!I13)</f>
        <v>DUOS</v>
      </c>
      <c r="J13" s="1774">
        <v>26.664000000000001</v>
      </c>
      <c r="K13" s="1773">
        <v>0</v>
      </c>
      <c r="L13" s="1773">
        <v>0</v>
      </c>
      <c r="M13" s="1773">
        <v>0</v>
      </c>
      <c r="N13" s="1773">
        <v>0</v>
      </c>
      <c r="O13" s="1773">
        <v>0</v>
      </c>
      <c r="P13" s="1774">
        <v>5.5268387722844636</v>
      </c>
      <c r="Q13" s="1774">
        <v>8.1677199999999992</v>
      </c>
      <c r="R13" s="1773">
        <v>0</v>
      </c>
      <c r="S13" s="1773">
        <v>0</v>
      </c>
      <c r="T13" s="1773">
        <v>0</v>
      </c>
      <c r="U13" s="1774">
        <v>7.6356870980490728</v>
      </c>
      <c r="V13" s="1773">
        <v>0</v>
      </c>
      <c r="W13" s="1773">
        <v>0</v>
      </c>
      <c r="X13" s="1773">
        <v>0</v>
      </c>
      <c r="Y13" s="1773">
        <v>0</v>
      </c>
      <c r="Z13" s="1773">
        <v>0</v>
      </c>
      <c r="AA13" s="1773">
        <v>0</v>
      </c>
      <c r="AB13" s="1773">
        <v>0</v>
      </c>
      <c r="AC13" s="1773">
        <v>0</v>
      </c>
      <c r="AD13" s="1773">
        <v>0</v>
      </c>
      <c r="AE13" s="1775">
        <v>0</v>
      </c>
      <c r="AF13" s="1775">
        <v>0</v>
      </c>
      <c r="AG13" s="1776">
        <v>3.9433916961679593E-3</v>
      </c>
      <c r="AH13" s="1775">
        <v>0</v>
      </c>
      <c r="AI13" s="1775">
        <v>0</v>
      </c>
      <c r="AJ13" s="1775">
        <v>0</v>
      </c>
      <c r="AK13" s="1775">
        <v>0</v>
      </c>
      <c r="AL13" s="1775">
        <v>0</v>
      </c>
      <c r="AM13" s="1775">
        <v>0</v>
      </c>
      <c r="AN13" s="1775">
        <v>0</v>
      </c>
      <c r="AO13" s="1775">
        <v>0</v>
      </c>
      <c r="AP13" s="1775">
        <v>0</v>
      </c>
      <c r="AQ13" s="1775">
        <v>0</v>
      </c>
      <c r="AR13" s="1775">
        <v>0</v>
      </c>
      <c r="AS13" s="1594"/>
      <c r="AT13" s="1233">
        <v>26.773790100708684</v>
      </c>
      <c r="AU13" s="1135"/>
      <c r="AV13" s="1135"/>
      <c r="AW13" s="1135"/>
      <c r="AX13" s="1135"/>
      <c r="AY13" s="1135"/>
      <c r="AZ13" s="1233">
        <v>5.5903031708585296</v>
      </c>
      <c r="BA13" s="1233">
        <v>8.1509999999999998</v>
      </c>
      <c r="BB13" s="1135"/>
      <c r="BC13" s="1135"/>
      <c r="BD13" s="1135"/>
      <c r="BE13" s="1233">
        <v>7.6230000000000002</v>
      </c>
      <c r="BF13" s="1135"/>
      <c r="BG13" s="1135"/>
      <c r="BH13" s="1135"/>
      <c r="BI13" s="1135"/>
      <c r="BJ13" s="1135"/>
      <c r="BK13" s="1135"/>
      <c r="BL13" s="1135"/>
      <c r="BM13" s="1135"/>
      <c r="BN13" s="1135"/>
      <c r="BO13" s="1005"/>
      <c r="BP13" s="1005"/>
      <c r="BQ13" s="1596">
        <v>3.1142341810338862E-3</v>
      </c>
      <c r="BR13" s="1005"/>
      <c r="BS13" s="1005"/>
      <c r="BT13" s="1005"/>
      <c r="BU13" s="1005"/>
      <c r="BV13" s="1016"/>
      <c r="BW13" s="1016"/>
      <c r="BX13" s="1016"/>
      <c r="BY13" s="1016"/>
      <c r="BZ13" s="1016"/>
      <c r="CA13" s="1016"/>
      <c r="CB13" s="1016"/>
      <c r="CC13" s="1594"/>
      <c r="CD13" s="1136">
        <f t="shared" si="42"/>
        <v>-4.1006559137017895E-3</v>
      </c>
      <c r="CE13" s="1136">
        <f t="shared" si="43"/>
        <v>0</v>
      </c>
      <c r="CF13" s="1136">
        <f t="shared" si="44"/>
        <v>0</v>
      </c>
      <c r="CG13" s="1136">
        <f t="shared" si="45"/>
        <v>0</v>
      </c>
      <c r="CH13" s="1136">
        <f t="shared" si="46"/>
        <v>0</v>
      </c>
      <c r="CI13" s="1136">
        <f t="shared" si="47"/>
        <v>0</v>
      </c>
      <c r="CJ13" s="1136">
        <f t="shared" si="48"/>
        <v>-1.1352586189761094E-2</v>
      </c>
      <c r="CK13" s="1136">
        <f t="shared" si="49"/>
        <v>2.0512820512819108E-3</v>
      </c>
      <c r="CL13" s="1136">
        <f t="shared" si="50"/>
        <v>0</v>
      </c>
      <c r="CM13" s="1136">
        <f t="shared" si="51"/>
        <v>0</v>
      </c>
      <c r="CN13" s="1136">
        <f t="shared" si="52"/>
        <v>0</v>
      </c>
      <c r="CO13" s="1136">
        <f t="shared" si="53"/>
        <v>1.6643182538464973E-3</v>
      </c>
      <c r="CP13" s="1136">
        <f t="shared" si="54"/>
        <v>0</v>
      </c>
      <c r="CQ13" s="1136">
        <f t="shared" si="55"/>
        <v>0</v>
      </c>
      <c r="CR13" s="1136">
        <f t="shared" si="56"/>
        <v>0</v>
      </c>
      <c r="CS13" s="1136">
        <f t="shared" si="57"/>
        <v>0</v>
      </c>
      <c r="CT13" s="1136">
        <f t="shared" si="58"/>
        <v>0</v>
      </c>
      <c r="CU13" s="1136">
        <f t="shared" si="59"/>
        <v>0</v>
      </c>
      <c r="CV13" s="1136">
        <f t="shared" si="60"/>
        <v>0</v>
      </c>
      <c r="CW13" s="1136">
        <f t="shared" si="61"/>
        <v>0</v>
      </c>
      <c r="CX13" s="1136">
        <f t="shared" si="62"/>
        <v>0</v>
      </c>
      <c r="CY13" s="1136">
        <f t="shared" si="63"/>
        <v>0</v>
      </c>
      <c r="CZ13" s="1136">
        <f t="shared" si="64"/>
        <v>0</v>
      </c>
      <c r="DA13" s="1136">
        <f t="shared" si="65"/>
        <v>0.2662476445039863</v>
      </c>
      <c r="DB13" s="1136">
        <f t="shared" si="66"/>
        <v>0</v>
      </c>
      <c r="DC13" s="1136">
        <f t="shared" si="67"/>
        <v>0</v>
      </c>
      <c r="DD13" s="1136">
        <f t="shared" si="68"/>
        <v>0</v>
      </c>
      <c r="DE13" s="1136">
        <f t="shared" si="69"/>
        <v>0</v>
      </c>
      <c r="DF13" s="1136">
        <f t="shared" si="70"/>
        <v>0</v>
      </c>
      <c r="DG13" s="1136">
        <f t="shared" si="71"/>
        <v>0</v>
      </c>
      <c r="DH13" s="1136">
        <f t="shared" si="72"/>
        <v>0</v>
      </c>
      <c r="DI13" s="1136">
        <f t="shared" si="73"/>
        <v>0</v>
      </c>
      <c r="DJ13" s="1136">
        <f t="shared" si="74"/>
        <v>0</v>
      </c>
      <c r="DK13" s="1136">
        <f t="shared" si="75"/>
        <v>0</v>
      </c>
      <c r="DL13" s="1136">
        <f t="shared" si="76"/>
        <v>0</v>
      </c>
      <c r="DM13" s="1131" t="str">
        <f t="array" ref="DM13">IF(MAX(ABS(CD13:DL13))&gt;$DM$4,"EXPLAIN","")</f>
        <v>EXPLAIN</v>
      </c>
      <c r="DN13" s="1131" t="str">
        <f t="shared" si="41"/>
        <v>Refer to Ergon Energy Pricing Proposal</v>
      </c>
      <c r="DP13" s="1140">
        <f t="shared" si="77"/>
        <v>5</v>
      </c>
      <c r="DQ13" s="1140">
        <f t="shared" si="78"/>
        <v>5</v>
      </c>
      <c r="DR13" s="1140" t="str">
        <f t="shared" si="79"/>
        <v>ok</v>
      </c>
    </row>
    <row r="14" spans="2:122">
      <c r="B14" s="1111" t="str">
        <f>IF(Prop2021DUOSTariffs!B14="","",Prop2021DUOSTariffs!B14)</f>
        <v/>
      </c>
      <c r="C14" s="1111" t="str">
        <f>IF(Prop2021DUOSTariffs!C14="","",Prop2021DUOSTariffs!C14)</f>
        <v>East CACHigherVoltage STOUD</v>
      </c>
      <c r="D14" s="1111" t="str">
        <f>IF(Prop2021DUOSTariffs!D14="","",Prop2021DUOSTariffs!D14)</f>
        <v>East CACHigherVoltage STOUD</v>
      </c>
      <c r="E14" s="1111" t="str">
        <f>IF(Prop2021DUOSTariffs!E14="","",Prop2021DUOSTariffs!E14)</f>
        <v>CAC</v>
      </c>
      <c r="F14" s="1111" t="str">
        <f>IF(Prop2021DUOSTariffs!F14="","",Prop2021DUOSTariffs!F14)</f>
        <v>CAC</v>
      </c>
      <c r="G14" s="1111" t="str">
        <f>IF(Prop2021DUOSTariffs!G14="","",Prop2021DUOSTariffs!G14)</f>
        <v>East</v>
      </c>
      <c r="H14" s="1111" t="str">
        <f>IF(Prop2021DUOSTariffs!H14="","",Prop2021DUOSTariffs!H14)</f>
        <v>EC66TOU</v>
      </c>
      <c r="I14" s="1111" t="str">
        <f>IF(Prop2021DUOSTariffs!I14="","",Prop2021DUOSTariffs!I14)</f>
        <v>DUOS</v>
      </c>
      <c r="J14" s="1773">
        <v>0</v>
      </c>
      <c r="K14" s="1773">
        <v>0</v>
      </c>
      <c r="L14" s="1773">
        <v>0</v>
      </c>
      <c r="M14" s="1773">
        <v>0</v>
      </c>
      <c r="N14" s="1773">
        <v>0</v>
      </c>
      <c r="O14" s="1773">
        <v>0</v>
      </c>
      <c r="P14" s="1774">
        <v>5.5268387722844636</v>
      </c>
      <c r="Q14" s="1773">
        <v>0</v>
      </c>
      <c r="R14" s="1774">
        <v>4.9321799999999998</v>
      </c>
      <c r="S14" s="1773">
        <v>0</v>
      </c>
      <c r="T14" s="1773">
        <v>0</v>
      </c>
      <c r="U14" s="1773">
        <v>0</v>
      </c>
      <c r="V14" s="1773">
        <v>0</v>
      </c>
      <c r="W14" s="1773">
        <v>0</v>
      </c>
      <c r="X14" s="1774">
        <v>11.728068846815834</v>
      </c>
      <c r="Y14" s="1773">
        <v>0</v>
      </c>
      <c r="Z14" s="1773">
        <v>0</v>
      </c>
      <c r="AA14" s="1773">
        <v>0</v>
      </c>
      <c r="AB14" s="1773">
        <v>0</v>
      </c>
      <c r="AC14" s="1773">
        <v>0</v>
      </c>
      <c r="AD14" s="1773">
        <v>0</v>
      </c>
      <c r="AE14" s="1775">
        <v>0</v>
      </c>
      <c r="AF14" s="1775">
        <v>0</v>
      </c>
      <c r="AG14" s="1775">
        <v>0</v>
      </c>
      <c r="AH14" s="1775">
        <v>0</v>
      </c>
      <c r="AI14" s="1775">
        <v>0</v>
      </c>
      <c r="AJ14" s="1775">
        <v>0</v>
      </c>
      <c r="AK14" s="1775">
        <v>0</v>
      </c>
      <c r="AL14" s="1775">
        <v>0</v>
      </c>
      <c r="AM14" s="1775">
        <v>0</v>
      </c>
      <c r="AN14" s="1775">
        <v>0</v>
      </c>
      <c r="AO14" s="1775">
        <v>0</v>
      </c>
      <c r="AP14" s="1775">
        <v>0</v>
      </c>
      <c r="AQ14" s="1776">
        <v>3.2560000000000002E-3</v>
      </c>
      <c r="AR14" s="1775">
        <v>0</v>
      </c>
      <c r="AS14" s="1594"/>
      <c r="AT14" s="1591"/>
      <c r="AU14" s="1135"/>
      <c r="AV14" s="1135"/>
      <c r="AW14" s="1135"/>
      <c r="AX14" s="1135"/>
      <c r="AY14" s="1135"/>
      <c r="AZ14" s="1233">
        <v>5.59</v>
      </c>
      <c r="BA14" s="1135"/>
      <c r="BB14" s="1233">
        <v>5.032</v>
      </c>
      <c r="BC14" s="1135"/>
      <c r="BD14" s="1135"/>
      <c r="BE14" s="1135"/>
      <c r="BF14" s="1135"/>
      <c r="BG14" s="1135"/>
      <c r="BH14" s="1233">
        <v>11.407999999999999</v>
      </c>
      <c r="BI14" s="1135"/>
      <c r="BJ14" s="1135"/>
      <c r="BK14" s="1135"/>
      <c r="BL14" s="1135"/>
      <c r="BM14" s="1135"/>
      <c r="BN14" s="1135"/>
      <c r="BO14" s="1005"/>
      <c r="BP14" s="1005"/>
      <c r="BQ14" s="1005"/>
      <c r="BR14" s="1005"/>
      <c r="BS14" s="1005"/>
      <c r="BT14" s="1005"/>
      <c r="BU14" s="1005"/>
      <c r="BV14" s="1016"/>
      <c r="BW14" s="1016"/>
      <c r="BX14" s="1016"/>
      <c r="BY14" s="1016"/>
      <c r="BZ14" s="1016"/>
      <c r="CA14" s="1596">
        <v>2.99E-3</v>
      </c>
      <c r="CB14" s="1016">
        <v>0</v>
      </c>
      <c r="CC14" s="1594"/>
      <c r="CD14" s="1136">
        <f t="shared" si="42"/>
        <v>0</v>
      </c>
      <c r="CE14" s="1136">
        <f t="shared" si="43"/>
        <v>0</v>
      </c>
      <c r="CF14" s="1136">
        <f t="shared" si="44"/>
        <v>0</v>
      </c>
      <c r="CG14" s="1136">
        <f t="shared" si="45"/>
        <v>0</v>
      </c>
      <c r="CH14" s="1136">
        <f t="shared" si="46"/>
        <v>0</v>
      </c>
      <c r="CI14" s="1136">
        <f t="shared" si="47"/>
        <v>0</v>
      </c>
      <c r="CJ14" s="1136">
        <f t="shared" si="48"/>
        <v>-1.129896739097247E-2</v>
      </c>
      <c r="CK14" s="1136">
        <f t="shared" si="49"/>
        <v>0</v>
      </c>
      <c r="CL14" s="1136">
        <f t="shared" si="50"/>
        <v>-1.9837042925278214E-2</v>
      </c>
      <c r="CM14" s="1136">
        <f t="shared" si="51"/>
        <v>0</v>
      </c>
      <c r="CN14" s="1136">
        <f t="shared" si="52"/>
        <v>0</v>
      </c>
      <c r="CO14" s="1136">
        <f t="shared" si="53"/>
        <v>0</v>
      </c>
      <c r="CP14" s="1136">
        <f t="shared" si="54"/>
        <v>0</v>
      </c>
      <c r="CQ14" s="1136">
        <f t="shared" si="55"/>
        <v>0</v>
      </c>
      <c r="CR14" s="1136">
        <f t="shared" si="56"/>
        <v>2.8056525842902635E-2</v>
      </c>
      <c r="CS14" s="1136">
        <f t="shared" si="57"/>
        <v>0</v>
      </c>
      <c r="CT14" s="1136">
        <f t="shared" si="58"/>
        <v>0</v>
      </c>
      <c r="CU14" s="1136">
        <f t="shared" si="59"/>
        <v>0</v>
      </c>
      <c r="CV14" s="1136">
        <f t="shared" si="60"/>
        <v>0</v>
      </c>
      <c r="CW14" s="1136">
        <f t="shared" si="61"/>
        <v>0</v>
      </c>
      <c r="CX14" s="1136">
        <f t="shared" si="62"/>
        <v>0</v>
      </c>
      <c r="CY14" s="1136">
        <f t="shared" si="63"/>
        <v>0</v>
      </c>
      <c r="CZ14" s="1136">
        <f t="shared" si="64"/>
        <v>0</v>
      </c>
      <c r="DA14" s="1136">
        <f t="shared" si="65"/>
        <v>0</v>
      </c>
      <c r="DB14" s="1136">
        <f t="shared" si="66"/>
        <v>0</v>
      </c>
      <c r="DC14" s="1136">
        <f t="shared" si="67"/>
        <v>0</v>
      </c>
      <c r="DD14" s="1136">
        <f t="shared" si="68"/>
        <v>0</v>
      </c>
      <c r="DE14" s="1136">
        <f t="shared" si="69"/>
        <v>0</v>
      </c>
      <c r="DF14" s="1136">
        <f t="shared" si="70"/>
        <v>0</v>
      </c>
      <c r="DG14" s="1136">
        <f t="shared" si="71"/>
        <v>0</v>
      </c>
      <c r="DH14" s="1136">
        <f t="shared" si="72"/>
        <v>0</v>
      </c>
      <c r="DI14" s="1136">
        <f t="shared" si="73"/>
        <v>0</v>
      </c>
      <c r="DJ14" s="1136">
        <f t="shared" si="74"/>
        <v>0</v>
      </c>
      <c r="DK14" s="1136">
        <f t="shared" si="75"/>
        <v>8.8963210702341255E-2</v>
      </c>
      <c r="DL14" s="1136">
        <f t="shared" si="76"/>
        <v>0</v>
      </c>
      <c r="DM14" s="1131" t="str">
        <f t="array" ref="DM14">IF(MAX(ABS(CD14:DL14))&gt;$DM$4,"EXPLAIN","")</f>
        <v/>
      </c>
      <c r="DN14" s="1131" t="str">
        <f t="shared" si="41"/>
        <v/>
      </c>
      <c r="DP14" s="1140">
        <f t="shared" si="77"/>
        <v>4</v>
      </c>
      <c r="DQ14" s="1140">
        <f t="shared" si="78"/>
        <v>5</v>
      </c>
      <c r="DR14" s="1140" t="str">
        <f t="shared" si="79"/>
        <v>xxxx</v>
      </c>
    </row>
    <row r="15" spans="2:122">
      <c r="B15" s="1111" t="str">
        <f>IF(Prop2021DUOSTariffs!B15="","",Prop2021DUOSTariffs!B15)</f>
        <v/>
      </c>
      <c r="C15" s="1111" t="str">
        <f>IF(Prop2021DUOSTariffs!C15="","",Prop2021DUOSTariffs!C15)</f>
        <v>East CAC22/11kVBus STOUD</v>
      </c>
      <c r="D15" s="1111" t="str">
        <f>IF(Prop2021DUOSTariffs!D15="","",Prop2021DUOSTariffs!D15)</f>
        <v>East CAC22/11kVBus STOUD</v>
      </c>
      <c r="E15" s="1111" t="str">
        <f>IF(Prop2021DUOSTariffs!E15="","",Prop2021DUOSTariffs!E15)</f>
        <v>CAC</v>
      </c>
      <c r="F15" s="1111" t="str">
        <f>IF(Prop2021DUOSTariffs!F15="","",Prop2021DUOSTariffs!F15)</f>
        <v>CAC</v>
      </c>
      <c r="G15" s="1111" t="str">
        <f>IF(Prop2021DUOSTariffs!G15="","",Prop2021DUOSTariffs!G15)</f>
        <v>East</v>
      </c>
      <c r="H15" s="1111" t="str">
        <f>IF(Prop2021DUOSTariffs!H15="","",Prop2021DUOSTariffs!H15)</f>
        <v>EC22BTOU</v>
      </c>
      <c r="I15" s="1111" t="str">
        <f>IF(Prop2021DUOSTariffs!I15="","",Prop2021DUOSTariffs!I15)</f>
        <v>DUOS</v>
      </c>
      <c r="J15" s="1773">
        <v>0</v>
      </c>
      <c r="K15" s="1773">
        <v>0</v>
      </c>
      <c r="L15" s="1773">
        <v>0</v>
      </c>
      <c r="M15" s="1773">
        <v>0</v>
      </c>
      <c r="N15" s="1773">
        <v>0</v>
      </c>
      <c r="O15" s="1773">
        <v>0</v>
      </c>
      <c r="P15" s="1774">
        <v>5.5268387722844636</v>
      </c>
      <c r="Q15" s="1773">
        <v>0</v>
      </c>
      <c r="R15" s="1774">
        <v>3.2877900000000002</v>
      </c>
      <c r="S15" s="1773">
        <v>0</v>
      </c>
      <c r="T15" s="1773">
        <v>0</v>
      </c>
      <c r="U15" s="1773">
        <v>0</v>
      </c>
      <c r="V15" s="1773">
        <v>0</v>
      </c>
      <c r="W15" s="1773">
        <v>0</v>
      </c>
      <c r="X15" s="1774">
        <v>44.225349397590364</v>
      </c>
      <c r="Y15" s="1773">
        <v>0</v>
      </c>
      <c r="Z15" s="1773">
        <v>0</v>
      </c>
      <c r="AA15" s="1773">
        <v>0</v>
      </c>
      <c r="AB15" s="1773">
        <v>0</v>
      </c>
      <c r="AC15" s="1773">
        <v>0</v>
      </c>
      <c r="AD15" s="1773">
        <v>0</v>
      </c>
      <c r="AE15" s="1775">
        <v>0</v>
      </c>
      <c r="AF15" s="1775">
        <v>0</v>
      </c>
      <c r="AG15" s="1775">
        <v>0</v>
      </c>
      <c r="AH15" s="1775">
        <v>0</v>
      </c>
      <c r="AI15" s="1775">
        <v>0</v>
      </c>
      <c r="AJ15" s="1775">
        <v>0</v>
      </c>
      <c r="AK15" s="1775">
        <v>0</v>
      </c>
      <c r="AL15" s="1775">
        <v>0</v>
      </c>
      <c r="AM15" s="1775">
        <v>0</v>
      </c>
      <c r="AN15" s="1775">
        <v>0</v>
      </c>
      <c r="AO15" s="1775">
        <v>0</v>
      </c>
      <c r="AP15" s="1775">
        <v>0</v>
      </c>
      <c r="AQ15" s="1776">
        <v>3.2560000000000002E-3</v>
      </c>
      <c r="AR15" s="1775">
        <v>0</v>
      </c>
      <c r="AS15" s="1594"/>
      <c r="AT15" s="1591"/>
      <c r="AU15" s="1135"/>
      <c r="AV15" s="1135"/>
      <c r="AW15" s="1135"/>
      <c r="AX15" s="1135"/>
      <c r="AY15" s="1135"/>
      <c r="AZ15" s="1233">
        <v>5.59</v>
      </c>
      <c r="BA15" s="1135"/>
      <c r="BB15" s="1233">
        <v>3.3540000000000001</v>
      </c>
      <c r="BC15" s="1135"/>
      <c r="BD15" s="1135"/>
      <c r="BE15" s="1135"/>
      <c r="BF15" s="1135"/>
      <c r="BG15" s="1135"/>
      <c r="BH15" s="1233">
        <v>42.975000000000001</v>
      </c>
      <c r="BI15" s="1135"/>
      <c r="BJ15" s="1135"/>
      <c r="BK15" s="1135"/>
      <c r="BL15" s="1135"/>
      <c r="BM15" s="1135"/>
      <c r="BN15" s="1135"/>
      <c r="BO15" s="1005"/>
      <c r="BP15" s="1005"/>
      <c r="BQ15" s="1005"/>
      <c r="BR15" s="1005"/>
      <c r="BS15" s="1005"/>
      <c r="BT15" s="1005"/>
      <c r="BU15" s="1005"/>
      <c r="BV15" s="1016"/>
      <c r="BW15" s="1016"/>
      <c r="BX15" s="1016"/>
      <c r="BY15" s="1016"/>
      <c r="BZ15" s="1016"/>
      <c r="CA15" s="1596">
        <v>2.99E-3</v>
      </c>
      <c r="CB15" s="1016">
        <v>0</v>
      </c>
      <c r="CC15" s="1594"/>
      <c r="CD15" s="1136">
        <f t="shared" si="42"/>
        <v>0</v>
      </c>
      <c r="CE15" s="1136">
        <f t="shared" si="43"/>
        <v>0</v>
      </c>
      <c r="CF15" s="1136">
        <f t="shared" si="44"/>
        <v>0</v>
      </c>
      <c r="CG15" s="1136">
        <f t="shared" si="45"/>
        <v>0</v>
      </c>
      <c r="CH15" s="1136">
        <f t="shared" si="46"/>
        <v>0</v>
      </c>
      <c r="CI15" s="1136">
        <f t="shared" si="47"/>
        <v>0</v>
      </c>
      <c r="CJ15" s="1136">
        <f t="shared" si="48"/>
        <v>-1.129896739097247E-2</v>
      </c>
      <c r="CK15" s="1136">
        <f t="shared" si="49"/>
        <v>0</v>
      </c>
      <c r="CL15" s="1136">
        <f t="shared" si="50"/>
        <v>-1.9740608228980272E-2</v>
      </c>
      <c r="CM15" s="1136">
        <f t="shared" si="51"/>
        <v>0</v>
      </c>
      <c r="CN15" s="1136">
        <f t="shared" si="52"/>
        <v>0</v>
      </c>
      <c r="CO15" s="1136">
        <f t="shared" si="53"/>
        <v>0</v>
      </c>
      <c r="CP15" s="1136">
        <f t="shared" si="54"/>
        <v>0</v>
      </c>
      <c r="CQ15" s="1136">
        <f t="shared" si="55"/>
        <v>0</v>
      </c>
      <c r="CR15" s="1136">
        <f t="shared" si="56"/>
        <v>2.9094808553586038E-2</v>
      </c>
      <c r="CS15" s="1136">
        <f t="shared" si="57"/>
        <v>0</v>
      </c>
      <c r="CT15" s="1136">
        <f t="shared" si="58"/>
        <v>0</v>
      </c>
      <c r="CU15" s="1136">
        <f t="shared" si="59"/>
        <v>0</v>
      </c>
      <c r="CV15" s="1136">
        <f t="shared" si="60"/>
        <v>0</v>
      </c>
      <c r="CW15" s="1136">
        <f t="shared" si="61"/>
        <v>0</v>
      </c>
      <c r="CX15" s="1136">
        <f t="shared" si="62"/>
        <v>0</v>
      </c>
      <c r="CY15" s="1136">
        <f t="shared" si="63"/>
        <v>0</v>
      </c>
      <c r="CZ15" s="1136">
        <f t="shared" si="64"/>
        <v>0</v>
      </c>
      <c r="DA15" s="1136">
        <f t="shared" si="65"/>
        <v>0</v>
      </c>
      <c r="DB15" s="1136">
        <f t="shared" si="66"/>
        <v>0</v>
      </c>
      <c r="DC15" s="1136">
        <f t="shared" si="67"/>
        <v>0</v>
      </c>
      <c r="DD15" s="1136">
        <f t="shared" si="68"/>
        <v>0</v>
      </c>
      <c r="DE15" s="1136">
        <f t="shared" si="69"/>
        <v>0</v>
      </c>
      <c r="DF15" s="1136">
        <f t="shared" si="70"/>
        <v>0</v>
      </c>
      <c r="DG15" s="1136">
        <f t="shared" si="71"/>
        <v>0</v>
      </c>
      <c r="DH15" s="1136">
        <f t="shared" si="72"/>
        <v>0</v>
      </c>
      <c r="DI15" s="1136">
        <f t="shared" si="73"/>
        <v>0</v>
      </c>
      <c r="DJ15" s="1136">
        <f t="shared" si="74"/>
        <v>0</v>
      </c>
      <c r="DK15" s="1136">
        <f t="shared" si="75"/>
        <v>8.8963210702341255E-2</v>
      </c>
      <c r="DL15" s="1136">
        <f t="shared" si="76"/>
        <v>0</v>
      </c>
      <c r="DM15" s="1131" t="str">
        <f t="array" ref="DM15">IF(MAX(ABS(CD15:DL15))&gt;$DM$4,"EXPLAIN","")</f>
        <v/>
      </c>
      <c r="DN15" s="1131" t="str">
        <f t="shared" si="41"/>
        <v/>
      </c>
      <c r="DP15" s="1140">
        <f t="shared" si="77"/>
        <v>4</v>
      </c>
      <c r="DQ15" s="1140">
        <f t="shared" si="78"/>
        <v>5</v>
      </c>
      <c r="DR15" s="1140" t="str">
        <f t="shared" si="79"/>
        <v>xxxx</v>
      </c>
    </row>
    <row r="16" spans="2:122">
      <c r="B16" s="1111" t="str">
        <f>IF(Prop2021DUOSTariffs!B16="","",Prop2021DUOSTariffs!B16)</f>
        <v/>
      </c>
      <c r="C16" s="1111" t="str">
        <f>IF(Prop2021DUOSTariffs!C16="","",Prop2021DUOSTariffs!C16)</f>
        <v>East CAC22/11kVLine STOUD</v>
      </c>
      <c r="D16" s="1111" t="str">
        <f>IF(Prop2021DUOSTariffs!D16="","",Prop2021DUOSTariffs!D16)</f>
        <v>East CAC22/11kVLine STOUD</v>
      </c>
      <c r="E16" s="1111" t="str">
        <f>IF(Prop2021DUOSTariffs!E16="","",Prop2021DUOSTariffs!E16)</f>
        <v>CAC</v>
      </c>
      <c r="F16" s="1111" t="str">
        <f>IF(Prop2021DUOSTariffs!F16="","",Prop2021DUOSTariffs!F16)</f>
        <v>CAC</v>
      </c>
      <c r="G16" s="1111" t="str">
        <f>IF(Prop2021DUOSTariffs!G16="","",Prop2021DUOSTariffs!G16)</f>
        <v>East</v>
      </c>
      <c r="H16" s="1111" t="str">
        <f>IF(Prop2021DUOSTariffs!H16="","",Prop2021DUOSTariffs!H16)</f>
        <v>EC22LTOU</v>
      </c>
      <c r="I16" s="1111" t="str">
        <f>IF(Prop2021DUOSTariffs!I16="","",Prop2021DUOSTariffs!I16)</f>
        <v>DUOS</v>
      </c>
      <c r="J16" s="1773">
        <v>0</v>
      </c>
      <c r="K16" s="1773">
        <v>0</v>
      </c>
      <c r="L16" s="1773">
        <v>0</v>
      </c>
      <c r="M16" s="1773">
        <v>0</v>
      </c>
      <c r="N16" s="1773">
        <v>0</v>
      </c>
      <c r="O16" s="1773">
        <v>0</v>
      </c>
      <c r="P16" s="1774">
        <v>5.5268387722844636</v>
      </c>
      <c r="Q16" s="1773">
        <v>0</v>
      </c>
      <c r="R16" s="1774">
        <v>6.5755800000000004</v>
      </c>
      <c r="S16" s="1773">
        <v>0</v>
      </c>
      <c r="T16" s="1773">
        <v>0</v>
      </c>
      <c r="U16" s="1773">
        <v>0</v>
      </c>
      <c r="V16" s="1773">
        <v>0</v>
      </c>
      <c r="W16" s="1773">
        <v>0</v>
      </c>
      <c r="X16" s="1774">
        <v>72.183903614457833</v>
      </c>
      <c r="Y16" s="1773">
        <v>0</v>
      </c>
      <c r="Z16" s="1773">
        <v>0</v>
      </c>
      <c r="AA16" s="1773">
        <v>0</v>
      </c>
      <c r="AB16" s="1773">
        <v>0</v>
      </c>
      <c r="AC16" s="1773">
        <v>0</v>
      </c>
      <c r="AD16" s="1773">
        <v>0</v>
      </c>
      <c r="AE16" s="1775">
        <v>0</v>
      </c>
      <c r="AF16" s="1775">
        <v>0</v>
      </c>
      <c r="AG16" s="1775">
        <v>0</v>
      </c>
      <c r="AH16" s="1775">
        <v>0</v>
      </c>
      <c r="AI16" s="1775">
        <v>0</v>
      </c>
      <c r="AJ16" s="1775">
        <v>0</v>
      </c>
      <c r="AK16" s="1775">
        <v>0</v>
      </c>
      <c r="AL16" s="1775">
        <v>0</v>
      </c>
      <c r="AM16" s="1775">
        <v>0</v>
      </c>
      <c r="AN16" s="1775">
        <v>0</v>
      </c>
      <c r="AO16" s="1775">
        <v>0</v>
      </c>
      <c r="AP16" s="1775">
        <v>0</v>
      </c>
      <c r="AQ16" s="1776">
        <v>3.2560000000000002E-3</v>
      </c>
      <c r="AR16" s="1775">
        <v>0</v>
      </c>
      <c r="AS16" s="1594"/>
      <c r="AT16" s="1591"/>
      <c r="AU16" s="1135"/>
      <c r="AV16" s="1135"/>
      <c r="AW16" s="1135"/>
      <c r="AX16" s="1135"/>
      <c r="AY16" s="1135"/>
      <c r="AZ16" s="1233">
        <v>5.59</v>
      </c>
      <c r="BA16" s="1135"/>
      <c r="BB16" s="1233">
        <v>6.7080000000000002</v>
      </c>
      <c r="BC16" s="1135"/>
      <c r="BD16" s="1135"/>
      <c r="BE16" s="1135"/>
      <c r="BF16" s="1135"/>
      <c r="BG16" s="1135"/>
      <c r="BH16" s="1233">
        <v>75.02</v>
      </c>
      <c r="BI16" s="1135"/>
      <c r="BJ16" s="1135"/>
      <c r="BK16" s="1135"/>
      <c r="BL16" s="1135"/>
      <c r="BM16" s="1135"/>
      <c r="BN16" s="1135"/>
      <c r="BO16" s="1005"/>
      <c r="BP16" s="1005"/>
      <c r="BQ16" s="1005"/>
      <c r="BR16" s="1005"/>
      <c r="BS16" s="1005"/>
      <c r="BT16" s="1005"/>
      <c r="BU16" s="1005"/>
      <c r="BV16" s="1016"/>
      <c r="BW16" s="1016"/>
      <c r="BX16" s="1016"/>
      <c r="BY16" s="1016"/>
      <c r="BZ16" s="1016"/>
      <c r="CA16" s="1596">
        <v>2.99E-3</v>
      </c>
      <c r="CB16" s="1016">
        <v>0</v>
      </c>
      <c r="CC16" s="1594"/>
      <c r="CD16" s="1136">
        <f t="shared" si="42"/>
        <v>0</v>
      </c>
      <c r="CE16" s="1136">
        <f t="shared" si="43"/>
        <v>0</v>
      </c>
      <c r="CF16" s="1136">
        <f t="shared" si="44"/>
        <v>0</v>
      </c>
      <c r="CG16" s="1136">
        <f t="shared" si="45"/>
        <v>0</v>
      </c>
      <c r="CH16" s="1136">
        <f t="shared" si="46"/>
        <v>0</v>
      </c>
      <c r="CI16" s="1136">
        <f t="shared" si="47"/>
        <v>0</v>
      </c>
      <c r="CJ16" s="1136">
        <f t="shared" si="48"/>
        <v>-1.129896739097247E-2</v>
      </c>
      <c r="CK16" s="1136">
        <f t="shared" si="49"/>
        <v>0</v>
      </c>
      <c r="CL16" s="1136">
        <f t="shared" si="50"/>
        <v>-1.9740608228980272E-2</v>
      </c>
      <c r="CM16" s="1136">
        <f t="shared" si="51"/>
        <v>0</v>
      </c>
      <c r="CN16" s="1136">
        <f t="shared" si="52"/>
        <v>0</v>
      </c>
      <c r="CO16" s="1136">
        <f t="shared" si="53"/>
        <v>0</v>
      </c>
      <c r="CP16" s="1136">
        <f t="shared" si="54"/>
        <v>0</v>
      </c>
      <c r="CQ16" s="1136">
        <f t="shared" si="55"/>
        <v>0</v>
      </c>
      <c r="CR16" s="1136">
        <f t="shared" si="56"/>
        <v>-3.7804537263958493E-2</v>
      </c>
      <c r="CS16" s="1136">
        <f t="shared" si="57"/>
        <v>0</v>
      </c>
      <c r="CT16" s="1136">
        <f t="shared" si="58"/>
        <v>0</v>
      </c>
      <c r="CU16" s="1136">
        <f t="shared" si="59"/>
        <v>0</v>
      </c>
      <c r="CV16" s="1136">
        <f t="shared" si="60"/>
        <v>0</v>
      </c>
      <c r="CW16" s="1136">
        <f t="shared" si="61"/>
        <v>0</v>
      </c>
      <c r="CX16" s="1136">
        <f t="shared" si="62"/>
        <v>0</v>
      </c>
      <c r="CY16" s="1136">
        <f t="shared" si="63"/>
        <v>0</v>
      </c>
      <c r="CZ16" s="1136">
        <f t="shared" si="64"/>
        <v>0</v>
      </c>
      <c r="DA16" s="1136">
        <f t="shared" si="65"/>
        <v>0</v>
      </c>
      <c r="DB16" s="1136">
        <f t="shared" si="66"/>
        <v>0</v>
      </c>
      <c r="DC16" s="1136">
        <f t="shared" si="67"/>
        <v>0</v>
      </c>
      <c r="DD16" s="1136">
        <f t="shared" si="68"/>
        <v>0</v>
      </c>
      <c r="DE16" s="1136">
        <f t="shared" si="69"/>
        <v>0</v>
      </c>
      <c r="DF16" s="1136">
        <f t="shared" si="70"/>
        <v>0</v>
      </c>
      <c r="DG16" s="1136">
        <f t="shared" si="71"/>
        <v>0</v>
      </c>
      <c r="DH16" s="1136">
        <f t="shared" si="72"/>
        <v>0</v>
      </c>
      <c r="DI16" s="1136">
        <f t="shared" si="73"/>
        <v>0</v>
      </c>
      <c r="DJ16" s="1136">
        <f t="shared" si="74"/>
        <v>0</v>
      </c>
      <c r="DK16" s="1136">
        <f t="shared" si="75"/>
        <v>8.8963210702341255E-2</v>
      </c>
      <c r="DL16" s="1136">
        <f t="shared" si="76"/>
        <v>0</v>
      </c>
      <c r="DM16" s="1131" t="str">
        <f t="array" ref="DM16">IF(MAX(ABS(CD16:DL16))&gt;$DM$4,"EXPLAIN","")</f>
        <v/>
      </c>
      <c r="DN16" s="1131" t="str">
        <f t="shared" si="41"/>
        <v/>
      </c>
      <c r="DP16" s="1140">
        <f t="shared" si="77"/>
        <v>4</v>
      </c>
      <c r="DQ16" s="1140">
        <f t="shared" si="78"/>
        <v>5</v>
      </c>
      <c r="DR16" s="1140" t="str">
        <f t="shared" si="79"/>
        <v>xxxx</v>
      </c>
    </row>
    <row r="17" spans="2:122">
      <c r="B17" s="1111" t="str">
        <f>IF(Prop2021DUOSTariffs!B17="","",Prop2021DUOSTariffs!B17)</f>
        <v/>
      </c>
      <c r="C17" s="1111" t="str">
        <f>IF(Prop2021DUOSTariffs!C17="","",Prop2021DUOSTariffs!C17)</f>
        <v>West CAC66kV Anytime</v>
      </c>
      <c r="D17" s="1111" t="str">
        <f>IF(Prop2021DUOSTariffs!D17="","",Prop2021DUOSTariffs!D17)</f>
        <v>West CAC66kV Anytime</v>
      </c>
      <c r="E17" s="1111" t="str">
        <f>IF(Prop2021DUOSTariffs!E17="","",Prop2021DUOSTariffs!E17)</f>
        <v>CAC</v>
      </c>
      <c r="F17" s="1111" t="str">
        <f>IF(Prop2021DUOSTariffs!F17="","",Prop2021DUOSTariffs!F17)</f>
        <v>CAC</v>
      </c>
      <c r="G17" s="1111" t="str">
        <f>IF(Prop2021DUOSTariffs!G17="","",Prop2021DUOSTariffs!G17)</f>
        <v>West</v>
      </c>
      <c r="H17" s="1111" t="str">
        <f>IF(Prop2021DUOSTariffs!H17="","",Prop2021DUOSTariffs!H17)</f>
        <v>WC66</v>
      </c>
      <c r="I17" s="1111" t="str">
        <f>IF(Prop2021DUOSTariffs!I17="","",Prop2021DUOSTariffs!I17)</f>
        <v>DUOS</v>
      </c>
      <c r="J17" s="1774">
        <v>109.746</v>
      </c>
      <c r="K17" s="1773">
        <v>0</v>
      </c>
      <c r="L17" s="1773">
        <v>0</v>
      </c>
      <c r="M17" s="1773">
        <v>0</v>
      </c>
      <c r="N17" s="1773">
        <v>0</v>
      </c>
      <c r="O17" s="1773">
        <v>0</v>
      </c>
      <c r="P17" s="1774">
        <v>5.5268387722844636</v>
      </c>
      <c r="Q17" s="1774">
        <v>8.3843099999999993</v>
      </c>
      <c r="R17" s="1773">
        <v>0</v>
      </c>
      <c r="S17" s="1773">
        <v>0</v>
      </c>
      <c r="T17" s="1773">
        <v>0</v>
      </c>
      <c r="U17" s="1774">
        <v>7.1198299741483435</v>
      </c>
      <c r="V17" s="1773">
        <v>0</v>
      </c>
      <c r="W17" s="1773">
        <v>0</v>
      </c>
      <c r="X17" s="1773">
        <v>0</v>
      </c>
      <c r="Y17" s="1773">
        <v>0</v>
      </c>
      <c r="Z17" s="1773">
        <v>0</v>
      </c>
      <c r="AA17" s="1773">
        <v>0</v>
      </c>
      <c r="AB17" s="1773">
        <v>0</v>
      </c>
      <c r="AC17" s="1773">
        <v>0</v>
      </c>
      <c r="AD17" s="1773">
        <v>0</v>
      </c>
      <c r="AE17" s="1775">
        <v>0</v>
      </c>
      <c r="AF17" s="1775">
        <v>0</v>
      </c>
      <c r="AG17" s="1776">
        <v>9.2694566638878741E-3</v>
      </c>
      <c r="AH17" s="1775">
        <v>0</v>
      </c>
      <c r="AI17" s="1775">
        <v>0</v>
      </c>
      <c r="AJ17" s="1775">
        <v>0</v>
      </c>
      <c r="AK17" s="1775">
        <v>0</v>
      </c>
      <c r="AL17" s="1775">
        <v>0</v>
      </c>
      <c r="AM17" s="1775">
        <v>0</v>
      </c>
      <c r="AN17" s="1775">
        <v>0</v>
      </c>
      <c r="AO17" s="1775">
        <v>0</v>
      </c>
      <c r="AP17" s="1775">
        <v>0</v>
      </c>
      <c r="AQ17" s="1775">
        <v>0</v>
      </c>
      <c r="AR17" s="1775">
        <v>0</v>
      </c>
      <c r="AS17" s="1594"/>
      <c r="AT17" s="1233">
        <v>110.19788360307436</v>
      </c>
      <c r="AU17" s="1135"/>
      <c r="AV17" s="1135"/>
      <c r="AW17" s="1135"/>
      <c r="AX17" s="1135"/>
      <c r="AY17" s="1135"/>
      <c r="AZ17" s="1233">
        <v>5.5903031708585296</v>
      </c>
      <c r="BA17" s="1233">
        <v>8.3417680000000001</v>
      </c>
      <c r="BB17" s="1135"/>
      <c r="BC17" s="1135"/>
      <c r="BD17" s="1135"/>
      <c r="BE17" s="1233">
        <v>7.1076600000000001</v>
      </c>
      <c r="BF17" s="1135"/>
      <c r="BG17" s="1135"/>
      <c r="BH17" s="1135"/>
      <c r="BI17" s="1135"/>
      <c r="BJ17" s="1135"/>
      <c r="BK17" s="1135"/>
      <c r="BL17" s="1135"/>
      <c r="BM17" s="1135"/>
      <c r="BN17" s="1135"/>
      <c r="BO17" s="1005"/>
      <c r="BP17" s="1005"/>
      <c r="BQ17" s="1596">
        <v>8.50104976835909E-3</v>
      </c>
      <c r="BR17" s="1005"/>
      <c r="BS17" s="1005"/>
      <c r="BT17" s="1005"/>
      <c r="BU17" s="1005"/>
      <c r="BV17" s="1016"/>
      <c r="BW17" s="1016"/>
      <c r="BX17" s="1016"/>
      <c r="BY17" s="1016"/>
      <c r="BZ17" s="1016"/>
      <c r="CA17" s="1016"/>
      <c r="CB17" s="1016"/>
      <c r="CC17" s="1594"/>
      <c r="CD17" s="1136">
        <f t="shared" si="42"/>
        <v>-4.1006559137017895E-3</v>
      </c>
      <c r="CE17" s="1136">
        <f t="shared" si="43"/>
        <v>0</v>
      </c>
      <c r="CF17" s="1136">
        <f t="shared" si="44"/>
        <v>0</v>
      </c>
      <c r="CG17" s="1136">
        <f t="shared" si="45"/>
        <v>0</v>
      </c>
      <c r="CH17" s="1136">
        <f t="shared" si="46"/>
        <v>0</v>
      </c>
      <c r="CI17" s="1136">
        <f t="shared" si="47"/>
        <v>0</v>
      </c>
      <c r="CJ17" s="1136">
        <f t="shared" si="48"/>
        <v>-1.1352586189761094E-2</v>
      </c>
      <c r="CK17" s="1136">
        <f t="shared" si="49"/>
        <v>5.0998781073747779E-3</v>
      </c>
      <c r="CL17" s="1136">
        <f t="shared" si="50"/>
        <v>0</v>
      </c>
      <c r="CM17" s="1136">
        <f t="shared" si="51"/>
        <v>0</v>
      </c>
      <c r="CN17" s="1136">
        <f t="shared" si="52"/>
        <v>0</v>
      </c>
      <c r="CO17" s="1136">
        <f t="shared" si="53"/>
        <v>1.7122335829715674E-3</v>
      </c>
      <c r="CP17" s="1136">
        <f t="shared" si="54"/>
        <v>0</v>
      </c>
      <c r="CQ17" s="1136">
        <f t="shared" si="55"/>
        <v>0</v>
      </c>
      <c r="CR17" s="1136">
        <f t="shared" si="56"/>
        <v>0</v>
      </c>
      <c r="CS17" s="1136">
        <f t="shared" si="57"/>
        <v>0</v>
      </c>
      <c r="CT17" s="1136">
        <f t="shared" si="58"/>
        <v>0</v>
      </c>
      <c r="CU17" s="1136">
        <f t="shared" si="59"/>
        <v>0</v>
      </c>
      <c r="CV17" s="1136">
        <f t="shared" si="60"/>
        <v>0</v>
      </c>
      <c r="CW17" s="1136">
        <f t="shared" si="61"/>
        <v>0</v>
      </c>
      <c r="CX17" s="1136">
        <f t="shared" si="62"/>
        <v>0</v>
      </c>
      <c r="CY17" s="1136">
        <f t="shared" si="63"/>
        <v>0</v>
      </c>
      <c r="CZ17" s="1136">
        <f t="shared" si="64"/>
        <v>0</v>
      </c>
      <c r="DA17" s="1136">
        <f t="shared" si="65"/>
        <v>9.0389647921930161E-2</v>
      </c>
      <c r="DB17" s="1136">
        <f t="shared" si="66"/>
        <v>0</v>
      </c>
      <c r="DC17" s="1136">
        <f t="shared" si="67"/>
        <v>0</v>
      </c>
      <c r="DD17" s="1136">
        <f t="shared" si="68"/>
        <v>0</v>
      </c>
      <c r="DE17" s="1136">
        <f t="shared" si="69"/>
        <v>0</v>
      </c>
      <c r="DF17" s="1136">
        <f t="shared" si="70"/>
        <v>0</v>
      </c>
      <c r="DG17" s="1136">
        <f t="shared" si="71"/>
        <v>0</v>
      </c>
      <c r="DH17" s="1136">
        <f t="shared" si="72"/>
        <v>0</v>
      </c>
      <c r="DI17" s="1136">
        <f t="shared" si="73"/>
        <v>0</v>
      </c>
      <c r="DJ17" s="1136">
        <f t="shared" si="74"/>
        <v>0</v>
      </c>
      <c r="DK17" s="1136">
        <f t="shared" si="75"/>
        <v>0</v>
      </c>
      <c r="DL17" s="1136">
        <f t="shared" si="76"/>
        <v>0</v>
      </c>
      <c r="DM17" s="1131" t="str">
        <f t="array" ref="DM17">IF(MAX(ABS(CD17:DL17))&gt;$DM$4,"EXPLAIN","")</f>
        <v/>
      </c>
      <c r="DN17" s="1131" t="str">
        <f t="shared" si="41"/>
        <v/>
      </c>
      <c r="DP17" s="1140">
        <f t="shared" si="77"/>
        <v>5</v>
      </c>
      <c r="DQ17" s="1140">
        <f t="shared" si="78"/>
        <v>5</v>
      </c>
      <c r="DR17" s="1140" t="str">
        <f t="shared" si="79"/>
        <v>ok</v>
      </c>
    </row>
    <row r="18" spans="2:122">
      <c r="B18" s="1111" t="str">
        <f>IF(Prop2021DUOSTariffs!B18="","",Prop2021DUOSTariffs!B18)</f>
        <v/>
      </c>
      <c r="C18" s="1111" t="str">
        <f>IF(Prop2021DUOSTariffs!C18="","",Prop2021DUOSTariffs!C18)</f>
        <v>West CAC33kV Anytime</v>
      </c>
      <c r="D18" s="1111" t="str">
        <f>IF(Prop2021DUOSTariffs!D18="","",Prop2021DUOSTariffs!D18)</f>
        <v>West CAC33kV Anytime</v>
      </c>
      <c r="E18" s="1111" t="str">
        <f>IF(Prop2021DUOSTariffs!E18="","",Prop2021DUOSTariffs!E18)</f>
        <v>CAC</v>
      </c>
      <c r="F18" s="1111" t="str">
        <f>IF(Prop2021DUOSTariffs!F18="","",Prop2021DUOSTariffs!F18)</f>
        <v>CAC</v>
      </c>
      <c r="G18" s="1111" t="str">
        <f>IF(Prop2021DUOSTariffs!G18="","",Prop2021DUOSTariffs!G18)</f>
        <v>West</v>
      </c>
      <c r="H18" s="1111" t="str">
        <f>IF(Prop2021DUOSTariffs!H18="","",Prop2021DUOSTariffs!H18)</f>
        <v>WC33</v>
      </c>
      <c r="I18" s="1111" t="str">
        <f>IF(Prop2021DUOSTariffs!I18="","",Prop2021DUOSTariffs!I18)</f>
        <v>DUOS</v>
      </c>
      <c r="J18" s="1774">
        <v>44.44</v>
      </c>
      <c r="K18" s="1773">
        <v>0</v>
      </c>
      <c r="L18" s="1773">
        <v>0</v>
      </c>
      <c r="M18" s="1773">
        <v>0</v>
      </c>
      <c r="N18" s="1773">
        <v>0</v>
      </c>
      <c r="O18" s="1773">
        <v>0</v>
      </c>
      <c r="P18" s="1774">
        <v>5.5268387722844636</v>
      </c>
      <c r="Q18" s="1774">
        <v>14.053139999999999</v>
      </c>
      <c r="R18" s="1773">
        <v>0</v>
      </c>
      <c r="S18" s="1773">
        <v>0</v>
      </c>
      <c r="T18" s="1773">
        <v>0</v>
      </c>
      <c r="U18" s="1774">
        <v>18.444879518072288</v>
      </c>
      <c r="V18" s="1773">
        <v>0</v>
      </c>
      <c r="W18" s="1773">
        <v>0</v>
      </c>
      <c r="X18" s="1773">
        <v>0</v>
      </c>
      <c r="Y18" s="1773">
        <v>0</v>
      </c>
      <c r="Z18" s="1773">
        <v>0</v>
      </c>
      <c r="AA18" s="1773">
        <v>0</v>
      </c>
      <c r="AB18" s="1773">
        <v>0</v>
      </c>
      <c r="AC18" s="1773">
        <v>0</v>
      </c>
      <c r="AD18" s="1773">
        <v>0</v>
      </c>
      <c r="AE18" s="1775">
        <v>0</v>
      </c>
      <c r="AF18" s="1775">
        <v>0</v>
      </c>
      <c r="AG18" s="1776">
        <v>9.2694566638878741E-3</v>
      </c>
      <c r="AH18" s="1775">
        <v>0</v>
      </c>
      <c r="AI18" s="1775">
        <v>0</v>
      </c>
      <c r="AJ18" s="1775">
        <v>0</v>
      </c>
      <c r="AK18" s="1775">
        <v>0</v>
      </c>
      <c r="AL18" s="1775">
        <v>0</v>
      </c>
      <c r="AM18" s="1775">
        <v>0</v>
      </c>
      <c r="AN18" s="1775">
        <v>0</v>
      </c>
      <c r="AO18" s="1775">
        <v>0</v>
      </c>
      <c r="AP18" s="1775">
        <v>0</v>
      </c>
      <c r="AQ18" s="1775">
        <v>0</v>
      </c>
      <c r="AR18" s="1775">
        <v>0</v>
      </c>
      <c r="AS18" s="1594"/>
      <c r="AT18" s="1233">
        <v>44.622983501181132</v>
      </c>
      <c r="AU18" s="1135"/>
      <c r="AV18" s="1135"/>
      <c r="AW18" s="1135"/>
      <c r="AX18" s="1135"/>
      <c r="AY18" s="1135"/>
      <c r="AZ18" s="1233">
        <v>5.5903031708585296</v>
      </c>
      <c r="BA18" s="1233">
        <v>14.122304</v>
      </c>
      <c r="BB18" s="1135"/>
      <c r="BC18" s="1135"/>
      <c r="BD18" s="1135"/>
      <c r="BE18" s="1233">
        <v>18.16704</v>
      </c>
      <c r="BF18" s="1135"/>
      <c r="BG18" s="1135"/>
      <c r="BH18" s="1135"/>
      <c r="BI18" s="1135"/>
      <c r="BJ18" s="1135"/>
      <c r="BK18" s="1135"/>
      <c r="BL18" s="1135"/>
      <c r="BM18" s="1135"/>
      <c r="BN18" s="1135"/>
      <c r="BO18" s="1005"/>
      <c r="BP18" s="1005"/>
      <c r="BQ18" s="1596">
        <v>8.50104976835909E-3</v>
      </c>
      <c r="BR18" s="1005"/>
      <c r="BS18" s="1005"/>
      <c r="BT18" s="1005"/>
      <c r="BU18" s="1005"/>
      <c r="BV18" s="1016"/>
      <c r="BW18" s="1016"/>
      <c r="BX18" s="1016"/>
      <c r="BY18" s="1016"/>
      <c r="BZ18" s="1016"/>
      <c r="CA18" s="1016"/>
      <c r="CB18" s="1016"/>
      <c r="CC18" s="1594"/>
      <c r="CD18" s="1136">
        <f t="shared" si="42"/>
        <v>-4.1006559137017895E-3</v>
      </c>
      <c r="CE18" s="1136">
        <f t="shared" si="43"/>
        <v>0</v>
      </c>
      <c r="CF18" s="1136">
        <f t="shared" si="44"/>
        <v>0</v>
      </c>
      <c r="CG18" s="1136">
        <f t="shared" si="45"/>
        <v>0</v>
      </c>
      <c r="CH18" s="1136">
        <f t="shared" si="46"/>
        <v>0</v>
      </c>
      <c r="CI18" s="1136">
        <f t="shared" si="47"/>
        <v>0</v>
      </c>
      <c r="CJ18" s="1136">
        <f t="shared" si="48"/>
        <v>-1.1352586189761094E-2</v>
      </c>
      <c r="CK18" s="1136">
        <f t="shared" si="49"/>
        <v>-4.897501144289218E-3</v>
      </c>
      <c r="CL18" s="1136">
        <f t="shared" si="50"/>
        <v>0</v>
      </c>
      <c r="CM18" s="1136">
        <f t="shared" si="51"/>
        <v>0</v>
      </c>
      <c r="CN18" s="1136">
        <f t="shared" si="52"/>
        <v>0</v>
      </c>
      <c r="CO18" s="1136">
        <f t="shared" si="53"/>
        <v>1.5293604135417027E-2</v>
      </c>
      <c r="CP18" s="1136">
        <f t="shared" si="54"/>
        <v>0</v>
      </c>
      <c r="CQ18" s="1136">
        <f t="shared" si="55"/>
        <v>0</v>
      </c>
      <c r="CR18" s="1136">
        <f t="shared" si="56"/>
        <v>0</v>
      </c>
      <c r="CS18" s="1136">
        <f t="shared" si="57"/>
        <v>0</v>
      </c>
      <c r="CT18" s="1136">
        <f t="shared" si="58"/>
        <v>0</v>
      </c>
      <c r="CU18" s="1136">
        <f t="shared" si="59"/>
        <v>0</v>
      </c>
      <c r="CV18" s="1136">
        <f t="shared" si="60"/>
        <v>0</v>
      </c>
      <c r="CW18" s="1136">
        <f t="shared" si="61"/>
        <v>0</v>
      </c>
      <c r="CX18" s="1136">
        <f t="shared" si="62"/>
        <v>0</v>
      </c>
      <c r="CY18" s="1136">
        <f t="shared" si="63"/>
        <v>0</v>
      </c>
      <c r="CZ18" s="1136">
        <f t="shared" si="64"/>
        <v>0</v>
      </c>
      <c r="DA18" s="1136">
        <f t="shared" si="65"/>
        <v>9.0389647921930161E-2</v>
      </c>
      <c r="DB18" s="1136">
        <f t="shared" si="66"/>
        <v>0</v>
      </c>
      <c r="DC18" s="1136">
        <f t="shared" si="67"/>
        <v>0</v>
      </c>
      <c r="DD18" s="1136">
        <f t="shared" si="68"/>
        <v>0</v>
      </c>
      <c r="DE18" s="1136">
        <f t="shared" si="69"/>
        <v>0</v>
      </c>
      <c r="DF18" s="1136">
        <f t="shared" si="70"/>
        <v>0</v>
      </c>
      <c r="DG18" s="1136">
        <f t="shared" si="71"/>
        <v>0</v>
      </c>
      <c r="DH18" s="1136">
        <f t="shared" si="72"/>
        <v>0</v>
      </c>
      <c r="DI18" s="1136">
        <f t="shared" si="73"/>
        <v>0</v>
      </c>
      <c r="DJ18" s="1136">
        <f t="shared" si="74"/>
        <v>0</v>
      </c>
      <c r="DK18" s="1136">
        <f t="shared" si="75"/>
        <v>0</v>
      </c>
      <c r="DL18" s="1136">
        <f t="shared" si="76"/>
        <v>0</v>
      </c>
      <c r="DM18" s="1131" t="str">
        <f t="array" ref="DM18">IF(MAX(ABS(CD18:DL18))&gt;$DM$4,"EXPLAIN","")</f>
        <v/>
      </c>
      <c r="DN18" s="1131" t="str">
        <f t="shared" si="41"/>
        <v/>
      </c>
      <c r="DP18" s="1140">
        <f t="shared" si="77"/>
        <v>5</v>
      </c>
      <c r="DQ18" s="1140">
        <f t="shared" si="78"/>
        <v>5</v>
      </c>
      <c r="DR18" s="1140" t="str">
        <f t="shared" si="79"/>
        <v>ok</v>
      </c>
    </row>
    <row r="19" spans="2:122">
      <c r="B19" s="1111" t="str">
        <f>IF(Prop2021DUOSTariffs!B19="","",Prop2021DUOSTariffs!B19)</f>
        <v/>
      </c>
      <c r="C19" s="1111" t="str">
        <f>IF(Prop2021DUOSTariffs!C19="","",Prop2021DUOSTariffs!C19)</f>
        <v>West CAC22/11kVBus Anytime</v>
      </c>
      <c r="D19" s="1111" t="str">
        <f>IF(Prop2021DUOSTariffs!D19="","",Prop2021DUOSTariffs!D19)</f>
        <v>West CAC22/11kVBus Anytime</v>
      </c>
      <c r="E19" s="1111" t="str">
        <f>IF(Prop2021DUOSTariffs!E19="","",Prop2021DUOSTariffs!E19)</f>
        <v>CAC</v>
      </c>
      <c r="F19" s="1111" t="str">
        <f>IF(Prop2021DUOSTariffs!F19="","",Prop2021DUOSTariffs!F19)</f>
        <v>CAC</v>
      </c>
      <c r="G19" s="1111" t="str">
        <f>IF(Prop2021DUOSTariffs!G19="","",Prop2021DUOSTariffs!G19)</f>
        <v>West</v>
      </c>
      <c r="H19" s="1111" t="str">
        <f>IF(Prop2021DUOSTariffs!H19="","",Prop2021DUOSTariffs!H19)</f>
        <v>WC22B</v>
      </c>
      <c r="I19" s="1111" t="str">
        <f>IF(Prop2021DUOSTariffs!I19="","",Prop2021DUOSTariffs!I19)</f>
        <v>DUOS</v>
      </c>
      <c r="J19" s="1774">
        <v>0</v>
      </c>
      <c r="K19" s="1773">
        <v>0</v>
      </c>
      <c r="L19" s="1773">
        <v>0</v>
      </c>
      <c r="M19" s="1773">
        <v>0</v>
      </c>
      <c r="N19" s="1773">
        <v>0</v>
      </c>
      <c r="O19" s="1773">
        <v>0</v>
      </c>
      <c r="P19" s="1774">
        <v>5.5268387722844636</v>
      </c>
      <c r="Q19" s="1774">
        <v>0</v>
      </c>
      <c r="R19" s="1773">
        <v>0</v>
      </c>
      <c r="S19" s="1773">
        <v>0</v>
      </c>
      <c r="T19" s="1773">
        <v>0</v>
      </c>
      <c r="U19" s="1774">
        <v>31.317211703958694</v>
      </c>
      <c r="V19" s="1773">
        <v>0</v>
      </c>
      <c r="W19" s="1773">
        <v>0</v>
      </c>
      <c r="X19" s="1773">
        <v>0</v>
      </c>
      <c r="Y19" s="1773">
        <v>0</v>
      </c>
      <c r="Z19" s="1773">
        <v>0</v>
      </c>
      <c r="AA19" s="1773">
        <v>0</v>
      </c>
      <c r="AB19" s="1773">
        <v>0</v>
      </c>
      <c r="AC19" s="1773">
        <v>0</v>
      </c>
      <c r="AD19" s="1773">
        <v>0</v>
      </c>
      <c r="AE19" s="1775">
        <v>0</v>
      </c>
      <c r="AF19" s="1775">
        <v>0</v>
      </c>
      <c r="AG19" s="1776">
        <v>9.2694566638878741E-3</v>
      </c>
      <c r="AH19" s="1775">
        <v>0</v>
      </c>
      <c r="AI19" s="1775">
        <v>0</v>
      </c>
      <c r="AJ19" s="1775">
        <v>0</v>
      </c>
      <c r="AK19" s="1775">
        <v>0</v>
      </c>
      <c r="AL19" s="1775">
        <v>0</v>
      </c>
      <c r="AM19" s="1775">
        <v>0</v>
      </c>
      <c r="AN19" s="1775">
        <v>0</v>
      </c>
      <c r="AO19" s="1775">
        <v>0</v>
      </c>
      <c r="AP19" s="1775">
        <v>0</v>
      </c>
      <c r="AQ19" s="1775">
        <v>0</v>
      </c>
      <c r="AR19" s="1775">
        <v>0</v>
      </c>
      <c r="AS19" s="1594"/>
      <c r="AT19" s="1233">
        <v>0</v>
      </c>
      <c r="AU19" s="1135"/>
      <c r="AV19" s="1135"/>
      <c r="AW19" s="1135"/>
      <c r="AX19" s="1135"/>
      <c r="AY19" s="1135"/>
      <c r="AZ19" s="1233">
        <v>5.5903031708585296</v>
      </c>
      <c r="BA19" s="1233">
        <v>0</v>
      </c>
      <c r="BB19" s="1135"/>
      <c r="BC19" s="1135"/>
      <c r="BD19" s="1135"/>
      <c r="BE19" s="1233">
        <v>0</v>
      </c>
      <c r="BF19" s="1135"/>
      <c r="BG19" s="1135"/>
      <c r="BH19" s="1135"/>
      <c r="BI19" s="1135"/>
      <c r="BJ19" s="1135"/>
      <c r="BK19" s="1135"/>
      <c r="BL19" s="1135"/>
      <c r="BM19" s="1135"/>
      <c r="BN19" s="1135"/>
      <c r="BO19" s="1005"/>
      <c r="BP19" s="1005"/>
      <c r="BQ19" s="1596">
        <v>0</v>
      </c>
      <c r="BR19" s="1005"/>
      <c r="BS19" s="1005"/>
      <c r="BT19" s="1005"/>
      <c r="BU19" s="1005"/>
      <c r="BV19" s="1016"/>
      <c r="BW19" s="1016"/>
      <c r="BX19" s="1016"/>
      <c r="BY19" s="1016"/>
      <c r="BZ19" s="1016"/>
      <c r="CA19" s="1016"/>
      <c r="CB19" s="1016"/>
      <c r="CC19" s="1594"/>
      <c r="CD19" s="1136">
        <f t="shared" si="42"/>
        <v>0</v>
      </c>
      <c r="CE19" s="1136">
        <f t="shared" si="43"/>
        <v>0</v>
      </c>
      <c r="CF19" s="1136">
        <f t="shared" si="44"/>
        <v>0</v>
      </c>
      <c r="CG19" s="1136">
        <f t="shared" si="45"/>
        <v>0</v>
      </c>
      <c r="CH19" s="1136">
        <f t="shared" si="46"/>
        <v>0</v>
      </c>
      <c r="CI19" s="1136">
        <f t="shared" si="47"/>
        <v>0</v>
      </c>
      <c r="CJ19" s="1136">
        <f t="shared" si="48"/>
        <v>-1.1352586189761094E-2</v>
      </c>
      <c r="CK19" s="1136">
        <f t="shared" si="49"/>
        <v>0</v>
      </c>
      <c r="CL19" s="1136">
        <f t="shared" si="50"/>
        <v>0</v>
      </c>
      <c r="CM19" s="1136">
        <f t="shared" si="51"/>
        <v>0</v>
      </c>
      <c r="CN19" s="1136">
        <f t="shared" si="52"/>
        <v>0</v>
      </c>
      <c r="CO19" s="1136">
        <f t="shared" si="53"/>
        <v>0</v>
      </c>
      <c r="CP19" s="1136">
        <f t="shared" si="54"/>
        <v>0</v>
      </c>
      <c r="CQ19" s="1136">
        <f t="shared" si="55"/>
        <v>0</v>
      </c>
      <c r="CR19" s="1136">
        <f t="shared" si="56"/>
        <v>0</v>
      </c>
      <c r="CS19" s="1136">
        <f t="shared" si="57"/>
        <v>0</v>
      </c>
      <c r="CT19" s="1136">
        <f t="shared" si="58"/>
        <v>0</v>
      </c>
      <c r="CU19" s="1136">
        <f t="shared" si="59"/>
        <v>0</v>
      </c>
      <c r="CV19" s="1136">
        <f t="shared" si="60"/>
        <v>0</v>
      </c>
      <c r="CW19" s="1136">
        <f t="shared" si="61"/>
        <v>0</v>
      </c>
      <c r="CX19" s="1136">
        <f t="shared" si="62"/>
        <v>0</v>
      </c>
      <c r="CY19" s="1136">
        <f t="shared" si="63"/>
        <v>0</v>
      </c>
      <c r="CZ19" s="1136">
        <f t="shared" si="64"/>
        <v>0</v>
      </c>
      <c r="DA19" s="1136">
        <f t="shared" si="65"/>
        <v>0</v>
      </c>
      <c r="DB19" s="1136">
        <f t="shared" si="66"/>
        <v>0</v>
      </c>
      <c r="DC19" s="1136">
        <f t="shared" si="67"/>
        <v>0</v>
      </c>
      <c r="DD19" s="1136">
        <f t="shared" si="68"/>
        <v>0</v>
      </c>
      <c r="DE19" s="1136">
        <f t="shared" si="69"/>
        <v>0</v>
      </c>
      <c r="DF19" s="1136">
        <f t="shared" si="70"/>
        <v>0</v>
      </c>
      <c r="DG19" s="1136">
        <f t="shared" si="71"/>
        <v>0</v>
      </c>
      <c r="DH19" s="1136">
        <f t="shared" si="72"/>
        <v>0</v>
      </c>
      <c r="DI19" s="1136">
        <f t="shared" si="73"/>
        <v>0</v>
      </c>
      <c r="DJ19" s="1136">
        <f t="shared" si="74"/>
        <v>0</v>
      </c>
      <c r="DK19" s="1136">
        <f t="shared" si="75"/>
        <v>0</v>
      </c>
      <c r="DL19" s="1136">
        <f t="shared" si="76"/>
        <v>0</v>
      </c>
      <c r="DM19" s="1131" t="str">
        <f t="array" ref="DM19">IF(MAX(ABS(CD19:DL19))&gt;$DM$4,"EXPLAIN","")</f>
        <v/>
      </c>
      <c r="DN19" s="1131" t="str">
        <f t="shared" si="41"/>
        <v/>
      </c>
      <c r="DP19" s="1140">
        <f t="shared" si="77"/>
        <v>3</v>
      </c>
      <c r="DQ19" s="1140">
        <f t="shared" si="78"/>
        <v>5</v>
      </c>
      <c r="DR19" s="1140" t="str">
        <f t="shared" si="79"/>
        <v>xxxx</v>
      </c>
    </row>
    <row r="20" spans="2:122">
      <c r="B20" s="1111" t="str">
        <f>IF(Prop2021DUOSTariffs!B20="","",Prop2021DUOSTariffs!B20)</f>
        <v/>
      </c>
      <c r="C20" s="1111" t="str">
        <f>IF(Prop2021DUOSTariffs!C20="","",Prop2021DUOSTariffs!C20)</f>
        <v>West CAC22/11kVLine Anytime</v>
      </c>
      <c r="D20" s="1111" t="str">
        <f>IF(Prop2021DUOSTariffs!D20="","",Prop2021DUOSTariffs!D20)</f>
        <v>West CAC22/11kVLine Anytime</v>
      </c>
      <c r="E20" s="1111" t="str">
        <f>IF(Prop2021DUOSTariffs!E20="","",Prop2021DUOSTariffs!E20)</f>
        <v>CAC</v>
      </c>
      <c r="F20" s="1111" t="str">
        <f>IF(Prop2021DUOSTariffs!F20="","",Prop2021DUOSTariffs!F20)</f>
        <v>CAC</v>
      </c>
      <c r="G20" s="1111" t="str">
        <f>IF(Prop2021DUOSTariffs!G20="","",Prop2021DUOSTariffs!G20)</f>
        <v>West</v>
      </c>
      <c r="H20" s="1111" t="str">
        <f>IF(Prop2021DUOSTariffs!H20="","",Prop2021DUOSTariffs!H20)</f>
        <v>WC22L</v>
      </c>
      <c r="I20" s="1111" t="str">
        <f>IF(Prop2021DUOSTariffs!I20="","",Prop2021DUOSTariffs!I20)</f>
        <v>DUOS</v>
      </c>
      <c r="J20" s="1774">
        <v>26.664000000000001</v>
      </c>
      <c r="K20" s="1773">
        <v>0</v>
      </c>
      <c r="L20" s="1773">
        <v>0</v>
      </c>
      <c r="M20" s="1773">
        <v>0</v>
      </c>
      <c r="N20" s="1773">
        <v>0</v>
      </c>
      <c r="O20" s="1773">
        <v>0</v>
      </c>
      <c r="P20" s="1774">
        <v>5.5268387722844636</v>
      </c>
      <c r="Q20" s="1774">
        <v>18.627839999999999</v>
      </c>
      <c r="R20" s="1773">
        <v>0</v>
      </c>
      <c r="S20" s="1773">
        <v>0</v>
      </c>
      <c r="T20" s="1773">
        <v>0</v>
      </c>
      <c r="U20" s="1774">
        <v>31.317211703958694</v>
      </c>
      <c r="V20" s="1773">
        <v>0</v>
      </c>
      <c r="W20" s="1773">
        <v>0</v>
      </c>
      <c r="X20" s="1773">
        <v>0</v>
      </c>
      <c r="Y20" s="1773">
        <v>0</v>
      </c>
      <c r="Z20" s="1773">
        <v>0</v>
      </c>
      <c r="AA20" s="1773">
        <v>0</v>
      </c>
      <c r="AB20" s="1773">
        <v>0</v>
      </c>
      <c r="AC20" s="1773">
        <v>0</v>
      </c>
      <c r="AD20" s="1773">
        <v>0</v>
      </c>
      <c r="AE20" s="1775">
        <v>0</v>
      </c>
      <c r="AF20" s="1775">
        <v>0</v>
      </c>
      <c r="AG20" s="1776">
        <v>9.2694566638878741E-3</v>
      </c>
      <c r="AH20" s="1775">
        <v>0</v>
      </c>
      <c r="AI20" s="1775">
        <v>0</v>
      </c>
      <c r="AJ20" s="1775">
        <v>0</v>
      </c>
      <c r="AK20" s="1775">
        <v>0</v>
      </c>
      <c r="AL20" s="1775">
        <v>0</v>
      </c>
      <c r="AM20" s="1775">
        <v>0</v>
      </c>
      <c r="AN20" s="1775">
        <v>0</v>
      </c>
      <c r="AO20" s="1775">
        <v>0</v>
      </c>
      <c r="AP20" s="1775">
        <v>0</v>
      </c>
      <c r="AQ20" s="1775">
        <v>0</v>
      </c>
      <c r="AR20" s="1775">
        <v>0</v>
      </c>
      <c r="AS20" s="1594"/>
      <c r="AT20" s="1233">
        <v>26.773790100708684</v>
      </c>
      <c r="AU20" s="1135"/>
      <c r="AV20" s="1135"/>
      <c r="AW20" s="1135"/>
      <c r="AX20" s="1135"/>
      <c r="AY20" s="1135"/>
      <c r="AZ20" s="1233">
        <v>5.5903031708585296</v>
      </c>
      <c r="BA20" s="1233">
        <v>19.098239999999997</v>
      </c>
      <c r="BB20" s="1135"/>
      <c r="BC20" s="1135"/>
      <c r="BD20" s="1135"/>
      <c r="BE20" s="1233">
        <v>30.552147239263807</v>
      </c>
      <c r="BF20" s="1135"/>
      <c r="BG20" s="1135"/>
      <c r="BH20" s="1135"/>
      <c r="BI20" s="1135"/>
      <c r="BJ20" s="1135"/>
      <c r="BK20" s="1135"/>
      <c r="BL20" s="1135"/>
      <c r="BM20" s="1135"/>
      <c r="BN20" s="1135"/>
      <c r="BO20" s="1005"/>
      <c r="BP20" s="1005"/>
      <c r="BQ20" s="1596">
        <v>8.5010497683590883E-3</v>
      </c>
      <c r="BR20" s="1005"/>
      <c r="BS20" s="1005"/>
      <c r="BT20" s="1005"/>
      <c r="BU20" s="1005"/>
      <c r="BV20" s="1016"/>
      <c r="BW20" s="1016"/>
      <c r="BX20" s="1016"/>
      <c r="BY20" s="1016"/>
      <c r="BZ20" s="1016"/>
      <c r="CA20" s="1016"/>
      <c r="CB20" s="1016"/>
      <c r="CC20" s="1594"/>
      <c r="CD20" s="1136">
        <f t="shared" si="42"/>
        <v>-4.1006559137017895E-3</v>
      </c>
      <c r="CE20" s="1136">
        <f t="shared" si="43"/>
        <v>0</v>
      </c>
      <c r="CF20" s="1136">
        <f t="shared" si="44"/>
        <v>0</v>
      </c>
      <c r="CG20" s="1136">
        <f t="shared" si="45"/>
        <v>0</v>
      </c>
      <c r="CH20" s="1136">
        <f t="shared" si="46"/>
        <v>0</v>
      </c>
      <c r="CI20" s="1136">
        <f t="shared" si="47"/>
        <v>0</v>
      </c>
      <c r="CJ20" s="1136">
        <f t="shared" si="48"/>
        <v>-1.1352586189761094E-2</v>
      </c>
      <c r="CK20" s="1136">
        <f t="shared" si="49"/>
        <v>-2.4630541871921041E-2</v>
      </c>
      <c r="CL20" s="1136">
        <f t="shared" si="50"/>
        <v>0</v>
      </c>
      <c r="CM20" s="1136">
        <f t="shared" si="51"/>
        <v>0</v>
      </c>
      <c r="CN20" s="1136">
        <f t="shared" si="52"/>
        <v>0</v>
      </c>
      <c r="CO20" s="1136">
        <f t="shared" si="53"/>
        <v>2.5041266615515312E-2</v>
      </c>
      <c r="CP20" s="1136">
        <f t="shared" si="54"/>
        <v>0</v>
      </c>
      <c r="CQ20" s="1136">
        <f t="shared" si="55"/>
        <v>0</v>
      </c>
      <c r="CR20" s="1136">
        <f t="shared" si="56"/>
        <v>0</v>
      </c>
      <c r="CS20" s="1136">
        <f t="shared" si="57"/>
        <v>0</v>
      </c>
      <c r="CT20" s="1136">
        <f t="shared" si="58"/>
        <v>0</v>
      </c>
      <c r="CU20" s="1136">
        <f t="shared" si="59"/>
        <v>0</v>
      </c>
      <c r="CV20" s="1136">
        <f t="shared" si="60"/>
        <v>0</v>
      </c>
      <c r="CW20" s="1136">
        <f t="shared" si="61"/>
        <v>0</v>
      </c>
      <c r="CX20" s="1136">
        <f t="shared" si="62"/>
        <v>0</v>
      </c>
      <c r="CY20" s="1136">
        <f t="shared" si="63"/>
        <v>0</v>
      </c>
      <c r="CZ20" s="1136">
        <f t="shared" si="64"/>
        <v>0</v>
      </c>
      <c r="DA20" s="1136">
        <f t="shared" si="65"/>
        <v>9.0389647921930383E-2</v>
      </c>
      <c r="DB20" s="1136">
        <f t="shared" si="66"/>
        <v>0</v>
      </c>
      <c r="DC20" s="1136">
        <f t="shared" si="67"/>
        <v>0</v>
      </c>
      <c r="DD20" s="1136">
        <f t="shared" si="68"/>
        <v>0</v>
      </c>
      <c r="DE20" s="1136">
        <f t="shared" si="69"/>
        <v>0</v>
      </c>
      <c r="DF20" s="1136">
        <f t="shared" si="70"/>
        <v>0</v>
      </c>
      <c r="DG20" s="1136">
        <f t="shared" si="71"/>
        <v>0</v>
      </c>
      <c r="DH20" s="1136">
        <f t="shared" si="72"/>
        <v>0</v>
      </c>
      <c r="DI20" s="1136">
        <f t="shared" si="73"/>
        <v>0</v>
      </c>
      <c r="DJ20" s="1136">
        <f t="shared" si="74"/>
        <v>0</v>
      </c>
      <c r="DK20" s="1136">
        <f t="shared" si="75"/>
        <v>0</v>
      </c>
      <c r="DL20" s="1136">
        <f t="shared" si="76"/>
        <v>0</v>
      </c>
      <c r="DM20" s="1131" t="str">
        <f t="array" ref="DM20">IF(MAX(ABS(CD20:DL20))&gt;$DM$4,"EXPLAIN","")</f>
        <v/>
      </c>
      <c r="DN20" s="1131" t="str">
        <f t="shared" si="41"/>
        <v/>
      </c>
      <c r="DP20" s="1140">
        <f t="shared" si="77"/>
        <v>5</v>
      </c>
      <c r="DQ20" s="1140">
        <f t="shared" si="78"/>
        <v>5</v>
      </c>
      <c r="DR20" s="1140" t="str">
        <f t="shared" si="79"/>
        <v>ok</v>
      </c>
    </row>
    <row r="21" spans="2:122">
      <c r="B21" s="1111" t="str">
        <f>IF(Prop2021DUOSTariffs!B21="","",Prop2021DUOSTariffs!B21)</f>
        <v/>
      </c>
      <c r="C21" s="1111" t="str">
        <f>IF(Prop2021DUOSTariffs!C21="","",Prop2021DUOSTariffs!C21)</f>
        <v>West CACHigherVoltage STOUD</v>
      </c>
      <c r="D21" s="1111" t="str">
        <f>IF(Prop2021DUOSTariffs!D21="","",Prop2021DUOSTariffs!D21)</f>
        <v>West CACHigherVoltage STOUD</v>
      </c>
      <c r="E21" s="1111" t="str">
        <f>IF(Prop2021DUOSTariffs!E21="","",Prop2021DUOSTariffs!E21)</f>
        <v>CAC</v>
      </c>
      <c r="F21" s="1111" t="str">
        <f>IF(Prop2021DUOSTariffs!F21="","",Prop2021DUOSTariffs!F21)</f>
        <v>CAC</v>
      </c>
      <c r="G21" s="1111" t="str">
        <f>IF(Prop2021DUOSTariffs!G21="","",Prop2021DUOSTariffs!G21)</f>
        <v>West</v>
      </c>
      <c r="H21" s="1111" t="str">
        <f>IF(Prop2021DUOSTariffs!H21="","",Prop2021DUOSTariffs!H21)</f>
        <v>WC66TOU</v>
      </c>
      <c r="I21" s="1111" t="str">
        <f>IF(Prop2021DUOSTariffs!I21="","",Prop2021DUOSTariffs!I21)</f>
        <v>DUOS</v>
      </c>
      <c r="J21" s="1773">
        <v>0</v>
      </c>
      <c r="K21" s="1773">
        <v>0</v>
      </c>
      <c r="L21" s="1773">
        <v>0</v>
      </c>
      <c r="M21" s="1773">
        <v>0</v>
      </c>
      <c r="N21" s="1773">
        <v>0</v>
      </c>
      <c r="O21" s="1773">
        <v>0</v>
      </c>
      <c r="P21" s="1774">
        <v>5.5268387722844636</v>
      </c>
      <c r="Q21" s="1773">
        <v>0</v>
      </c>
      <c r="R21" s="1774">
        <v>17.352719999999998</v>
      </c>
      <c r="S21" s="1773">
        <v>0</v>
      </c>
      <c r="T21" s="1773">
        <v>0</v>
      </c>
      <c r="U21" s="1773">
        <v>0</v>
      </c>
      <c r="V21" s="1773">
        <v>0</v>
      </c>
      <c r="W21" s="1773">
        <v>0</v>
      </c>
      <c r="X21" s="1774">
        <v>29.511807228915661</v>
      </c>
      <c r="Y21" s="1773">
        <v>0</v>
      </c>
      <c r="Z21" s="1773">
        <v>0</v>
      </c>
      <c r="AA21" s="1773">
        <v>0</v>
      </c>
      <c r="AB21" s="1773">
        <v>0</v>
      </c>
      <c r="AC21" s="1773">
        <v>0</v>
      </c>
      <c r="AD21" s="1773">
        <v>0</v>
      </c>
      <c r="AE21" s="1775">
        <v>0</v>
      </c>
      <c r="AF21" s="1775">
        <v>0</v>
      </c>
      <c r="AG21" s="1775">
        <v>0</v>
      </c>
      <c r="AH21" s="1775">
        <v>0</v>
      </c>
      <c r="AI21" s="1775">
        <v>0</v>
      </c>
      <c r="AJ21" s="1775">
        <v>0</v>
      </c>
      <c r="AK21" s="1775">
        <v>0</v>
      </c>
      <c r="AL21" s="1775">
        <v>0</v>
      </c>
      <c r="AM21" s="1775">
        <v>0</v>
      </c>
      <c r="AN21" s="1775">
        <v>0</v>
      </c>
      <c r="AO21" s="1775">
        <v>0</v>
      </c>
      <c r="AP21" s="1775">
        <v>0</v>
      </c>
      <c r="AQ21" s="1776">
        <v>2.6290000000000004E-2</v>
      </c>
      <c r="AR21" s="1775">
        <v>0</v>
      </c>
      <c r="AS21" s="1594"/>
      <c r="AT21" s="1591"/>
      <c r="AU21" s="1135"/>
      <c r="AV21" s="1135"/>
      <c r="AW21" s="1135"/>
      <c r="AX21" s="1135"/>
      <c r="AY21" s="1135"/>
      <c r="AZ21" s="1233">
        <v>5.59</v>
      </c>
      <c r="BA21" s="1135"/>
      <c r="BB21" s="1233">
        <v>17.702999999999999</v>
      </c>
      <c r="BC21" s="1135"/>
      <c r="BD21" s="1135"/>
      <c r="BE21" s="1135"/>
      <c r="BF21" s="1135"/>
      <c r="BG21" s="1135"/>
      <c r="BH21" s="1233">
        <v>28.457000000000001</v>
      </c>
      <c r="BI21" s="1135"/>
      <c r="BJ21" s="1135"/>
      <c r="BK21" s="1135"/>
      <c r="BL21" s="1135"/>
      <c r="BM21" s="1135"/>
      <c r="BN21" s="1135"/>
      <c r="BO21" s="1005"/>
      <c r="BP21" s="1005"/>
      <c r="BQ21" s="1005"/>
      <c r="BR21" s="1005"/>
      <c r="BS21" s="1005"/>
      <c r="BT21" s="1005"/>
      <c r="BU21" s="1005"/>
      <c r="BV21" s="1016"/>
      <c r="BW21" s="1016"/>
      <c r="BX21" s="1016"/>
      <c r="BY21" s="1016"/>
      <c r="BZ21" s="1016"/>
      <c r="CA21" s="1596">
        <v>2.4129999999999999E-2</v>
      </c>
      <c r="CB21" s="1016">
        <v>0</v>
      </c>
      <c r="CC21" s="1594"/>
      <c r="CD21" s="1136">
        <f t="shared" si="42"/>
        <v>0</v>
      </c>
      <c r="CE21" s="1136">
        <f t="shared" si="43"/>
        <v>0</v>
      </c>
      <c r="CF21" s="1136">
        <f t="shared" si="44"/>
        <v>0</v>
      </c>
      <c r="CG21" s="1136">
        <f t="shared" si="45"/>
        <v>0</v>
      </c>
      <c r="CH21" s="1136">
        <f t="shared" si="46"/>
        <v>0</v>
      </c>
      <c r="CI21" s="1136">
        <f t="shared" si="47"/>
        <v>0</v>
      </c>
      <c r="CJ21" s="1136">
        <f t="shared" si="48"/>
        <v>-1.129896739097247E-2</v>
      </c>
      <c r="CK21" s="1136">
        <f t="shared" si="49"/>
        <v>0</v>
      </c>
      <c r="CL21" s="1136">
        <f t="shared" si="50"/>
        <v>-1.9786476868327463E-2</v>
      </c>
      <c r="CM21" s="1136">
        <f t="shared" si="51"/>
        <v>0</v>
      </c>
      <c r="CN21" s="1136">
        <f t="shared" si="52"/>
        <v>0</v>
      </c>
      <c r="CO21" s="1136">
        <f t="shared" si="53"/>
        <v>0</v>
      </c>
      <c r="CP21" s="1136">
        <f t="shared" si="54"/>
        <v>0</v>
      </c>
      <c r="CQ21" s="1136">
        <f t="shared" si="55"/>
        <v>0</v>
      </c>
      <c r="CR21" s="1136">
        <f t="shared" si="56"/>
        <v>3.7066705166238778E-2</v>
      </c>
      <c r="CS21" s="1136">
        <f t="shared" si="57"/>
        <v>0</v>
      </c>
      <c r="CT21" s="1136">
        <f t="shared" si="58"/>
        <v>0</v>
      </c>
      <c r="CU21" s="1136">
        <f t="shared" si="59"/>
        <v>0</v>
      </c>
      <c r="CV21" s="1136">
        <f t="shared" si="60"/>
        <v>0</v>
      </c>
      <c r="CW21" s="1136">
        <f t="shared" si="61"/>
        <v>0</v>
      </c>
      <c r="CX21" s="1136">
        <f t="shared" si="62"/>
        <v>0</v>
      </c>
      <c r="CY21" s="1136">
        <f t="shared" si="63"/>
        <v>0</v>
      </c>
      <c r="CZ21" s="1136">
        <f t="shared" si="64"/>
        <v>0</v>
      </c>
      <c r="DA21" s="1136">
        <f t="shared" si="65"/>
        <v>0</v>
      </c>
      <c r="DB21" s="1136">
        <f t="shared" si="66"/>
        <v>0</v>
      </c>
      <c r="DC21" s="1136">
        <f t="shared" si="67"/>
        <v>0</v>
      </c>
      <c r="DD21" s="1136">
        <f t="shared" si="68"/>
        <v>0</v>
      </c>
      <c r="DE21" s="1136">
        <f t="shared" si="69"/>
        <v>0</v>
      </c>
      <c r="DF21" s="1136">
        <f t="shared" si="70"/>
        <v>0</v>
      </c>
      <c r="DG21" s="1136">
        <f t="shared" si="71"/>
        <v>0</v>
      </c>
      <c r="DH21" s="1136">
        <f t="shared" si="72"/>
        <v>0</v>
      </c>
      <c r="DI21" s="1136">
        <f t="shared" si="73"/>
        <v>0</v>
      </c>
      <c r="DJ21" s="1136">
        <f t="shared" si="74"/>
        <v>0</v>
      </c>
      <c r="DK21" s="1136">
        <f t="shared" si="75"/>
        <v>8.9515126398673983E-2</v>
      </c>
      <c r="DL21" s="1136">
        <f t="shared" si="76"/>
        <v>0</v>
      </c>
      <c r="DM21" s="1131" t="str">
        <f t="array" ref="DM21">IF(MAX(ABS(CD21:DL21))&gt;$DM$4,"EXPLAIN","")</f>
        <v/>
      </c>
      <c r="DN21" s="1131" t="str">
        <f t="shared" si="41"/>
        <v/>
      </c>
      <c r="DP21" s="1140">
        <f t="shared" si="77"/>
        <v>4</v>
      </c>
      <c r="DQ21" s="1140">
        <f t="shared" si="78"/>
        <v>5</v>
      </c>
      <c r="DR21" s="1140" t="str">
        <f t="shared" si="79"/>
        <v>xxxx</v>
      </c>
    </row>
    <row r="22" spans="2:122">
      <c r="B22" s="1111" t="str">
        <f>IF(Prop2021DUOSTariffs!B22="","",Prop2021DUOSTariffs!B22)</f>
        <v/>
      </c>
      <c r="C22" s="1111" t="str">
        <f>IF(Prop2021DUOSTariffs!C22="","",Prop2021DUOSTariffs!C22)</f>
        <v>West CAC22/11kVBus STOUD</v>
      </c>
      <c r="D22" s="1111" t="str">
        <f>IF(Prop2021DUOSTariffs!D22="","",Prop2021DUOSTariffs!D22)</f>
        <v>West CAC22/11kVBus STOUD</v>
      </c>
      <c r="E22" s="1111" t="str">
        <f>IF(Prop2021DUOSTariffs!E22="","",Prop2021DUOSTariffs!E22)</f>
        <v>CAC</v>
      </c>
      <c r="F22" s="1111" t="str">
        <f>IF(Prop2021DUOSTariffs!F22="","",Prop2021DUOSTariffs!F22)</f>
        <v>CAC</v>
      </c>
      <c r="G22" s="1111" t="str">
        <f>IF(Prop2021DUOSTariffs!G22="","",Prop2021DUOSTariffs!G22)</f>
        <v>West</v>
      </c>
      <c r="H22" s="1111" t="str">
        <f>IF(Prop2021DUOSTariffs!H22="","",Prop2021DUOSTariffs!H22)</f>
        <v>WC22BTOU</v>
      </c>
      <c r="I22" s="1111" t="str">
        <f>IF(Prop2021DUOSTariffs!I22="","",Prop2021DUOSTariffs!I22)</f>
        <v>DUOS</v>
      </c>
      <c r="J22" s="1773">
        <v>0</v>
      </c>
      <c r="K22" s="1773">
        <v>0</v>
      </c>
      <c r="L22" s="1773">
        <v>0</v>
      </c>
      <c r="M22" s="1773">
        <v>0</v>
      </c>
      <c r="N22" s="1773">
        <v>0</v>
      </c>
      <c r="O22" s="1773">
        <v>0</v>
      </c>
      <c r="P22" s="1774">
        <v>5.5268387722844636</v>
      </c>
      <c r="Q22" s="1773">
        <v>0</v>
      </c>
      <c r="R22" s="1774">
        <v>0</v>
      </c>
      <c r="S22" s="1773">
        <v>0</v>
      </c>
      <c r="T22" s="1773">
        <v>0</v>
      </c>
      <c r="U22" s="1773">
        <v>0</v>
      </c>
      <c r="V22" s="1773">
        <v>0</v>
      </c>
      <c r="W22" s="1773">
        <v>0</v>
      </c>
      <c r="X22" s="1774">
        <v>125.26884681583478</v>
      </c>
      <c r="Y22" s="1773">
        <v>0</v>
      </c>
      <c r="Z22" s="1773">
        <v>0</v>
      </c>
      <c r="AA22" s="1773">
        <v>0</v>
      </c>
      <c r="AB22" s="1773">
        <v>0</v>
      </c>
      <c r="AC22" s="1773">
        <v>0</v>
      </c>
      <c r="AD22" s="1773">
        <v>0</v>
      </c>
      <c r="AE22" s="1775">
        <v>0</v>
      </c>
      <c r="AF22" s="1775">
        <v>0</v>
      </c>
      <c r="AG22" s="1775">
        <v>0</v>
      </c>
      <c r="AH22" s="1775">
        <v>0</v>
      </c>
      <c r="AI22" s="1775">
        <v>0</v>
      </c>
      <c r="AJ22" s="1775">
        <v>0</v>
      </c>
      <c r="AK22" s="1775">
        <v>0</v>
      </c>
      <c r="AL22" s="1775">
        <v>0</v>
      </c>
      <c r="AM22" s="1775">
        <v>0</v>
      </c>
      <c r="AN22" s="1775">
        <v>0</v>
      </c>
      <c r="AO22" s="1775">
        <v>0</v>
      </c>
      <c r="AP22" s="1775">
        <v>0</v>
      </c>
      <c r="AQ22" s="1776">
        <v>2.6290000000000004E-2</v>
      </c>
      <c r="AR22" s="1775">
        <v>0</v>
      </c>
      <c r="AS22" s="1594"/>
      <c r="AT22" s="1591"/>
      <c r="AU22" s="1135"/>
      <c r="AV22" s="1135"/>
      <c r="AW22" s="1135"/>
      <c r="AX22" s="1135"/>
      <c r="AY22" s="1135"/>
      <c r="AZ22" s="1233">
        <v>0</v>
      </c>
      <c r="BA22" s="1135"/>
      <c r="BB22" s="1233">
        <v>0</v>
      </c>
      <c r="BC22" s="1135"/>
      <c r="BD22" s="1135"/>
      <c r="BE22" s="1135"/>
      <c r="BF22" s="1135"/>
      <c r="BG22" s="1135"/>
      <c r="BH22" s="1233">
        <v>0</v>
      </c>
      <c r="BI22" s="1135"/>
      <c r="BJ22" s="1135"/>
      <c r="BK22" s="1135"/>
      <c r="BL22" s="1135"/>
      <c r="BM22" s="1135"/>
      <c r="BN22" s="1135"/>
      <c r="BO22" s="1005"/>
      <c r="BP22" s="1005"/>
      <c r="BQ22" s="1005"/>
      <c r="BR22" s="1005"/>
      <c r="BS22" s="1005"/>
      <c r="BT22" s="1005"/>
      <c r="BU22" s="1005"/>
      <c r="BV22" s="1016"/>
      <c r="BW22" s="1016"/>
      <c r="BX22" s="1016"/>
      <c r="BY22" s="1016"/>
      <c r="BZ22" s="1016"/>
      <c r="CA22" s="1596">
        <v>0</v>
      </c>
      <c r="CB22" s="1016">
        <v>0</v>
      </c>
      <c r="CC22" s="1594"/>
      <c r="CD22" s="1136">
        <f t="shared" si="42"/>
        <v>0</v>
      </c>
      <c r="CE22" s="1136">
        <f t="shared" si="43"/>
        <v>0</v>
      </c>
      <c r="CF22" s="1136">
        <f t="shared" si="44"/>
        <v>0</v>
      </c>
      <c r="CG22" s="1136">
        <f t="shared" si="45"/>
        <v>0</v>
      </c>
      <c r="CH22" s="1136">
        <f t="shared" si="46"/>
        <v>0</v>
      </c>
      <c r="CI22" s="1136">
        <f t="shared" si="47"/>
        <v>0</v>
      </c>
      <c r="CJ22" s="1136">
        <f t="shared" si="48"/>
        <v>0</v>
      </c>
      <c r="CK22" s="1136">
        <f t="shared" si="49"/>
        <v>0</v>
      </c>
      <c r="CL22" s="1136">
        <f t="shared" si="50"/>
        <v>0</v>
      </c>
      <c r="CM22" s="1136">
        <f t="shared" si="51"/>
        <v>0</v>
      </c>
      <c r="CN22" s="1136">
        <f t="shared" si="52"/>
        <v>0</v>
      </c>
      <c r="CO22" s="1136">
        <f t="shared" si="53"/>
        <v>0</v>
      </c>
      <c r="CP22" s="1136">
        <f t="shared" si="54"/>
        <v>0</v>
      </c>
      <c r="CQ22" s="1136">
        <f t="shared" si="55"/>
        <v>0</v>
      </c>
      <c r="CR22" s="1136">
        <f t="shared" si="56"/>
        <v>0</v>
      </c>
      <c r="CS22" s="1136">
        <f t="shared" si="57"/>
        <v>0</v>
      </c>
      <c r="CT22" s="1136">
        <f t="shared" si="58"/>
        <v>0</v>
      </c>
      <c r="CU22" s="1136">
        <f t="shared" si="59"/>
        <v>0</v>
      </c>
      <c r="CV22" s="1136">
        <f t="shared" si="60"/>
        <v>0</v>
      </c>
      <c r="CW22" s="1136">
        <f t="shared" si="61"/>
        <v>0</v>
      </c>
      <c r="CX22" s="1136">
        <f t="shared" si="62"/>
        <v>0</v>
      </c>
      <c r="CY22" s="1136">
        <f t="shared" si="63"/>
        <v>0</v>
      </c>
      <c r="CZ22" s="1136">
        <f t="shared" si="64"/>
        <v>0</v>
      </c>
      <c r="DA22" s="1136">
        <f t="shared" si="65"/>
        <v>0</v>
      </c>
      <c r="DB22" s="1136">
        <f t="shared" si="66"/>
        <v>0</v>
      </c>
      <c r="DC22" s="1136">
        <f t="shared" si="67"/>
        <v>0</v>
      </c>
      <c r="DD22" s="1136">
        <f t="shared" si="68"/>
        <v>0</v>
      </c>
      <c r="DE22" s="1136">
        <f t="shared" si="69"/>
        <v>0</v>
      </c>
      <c r="DF22" s="1136">
        <f t="shared" si="70"/>
        <v>0</v>
      </c>
      <c r="DG22" s="1136">
        <f t="shared" si="71"/>
        <v>0</v>
      </c>
      <c r="DH22" s="1136">
        <f t="shared" si="72"/>
        <v>0</v>
      </c>
      <c r="DI22" s="1136">
        <f t="shared" si="73"/>
        <v>0</v>
      </c>
      <c r="DJ22" s="1136">
        <f t="shared" si="74"/>
        <v>0</v>
      </c>
      <c r="DK22" s="1136">
        <f t="shared" si="75"/>
        <v>0</v>
      </c>
      <c r="DL22" s="1136">
        <f t="shared" si="76"/>
        <v>0</v>
      </c>
      <c r="DM22" s="1131" t="str">
        <f t="array" ref="DM22">IF(MAX(ABS(CD22:DL22))&gt;$DM$4,"EXPLAIN","")</f>
        <v/>
      </c>
      <c r="DN22" s="1131" t="str">
        <f t="shared" si="41"/>
        <v/>
      </c>
      <c r="DP22" s="1140">
        <f t="shared" si="77"/>
        <v>3</v>
      </c>
      <c r="DQ22" s="1140">
        <f t="shared" si="78"/>
        <v>5</v>
      </c>
      <c r="DR22" s="1140" t="str">
        <f t="shared" si="79"/>
        <v>xxxx</v>
      </c>
    </row>
    <row r="23" spans="2:122">
      <c r="B23" s="1111" t="str">
        <f>IF(Prop2021DUOSTariffs!B23="","",Prop2021DUOSTariffs!B23)</f>
        <v/>
      </c>
      <c r="C23" s="1111" t="str">
        <f>IF(Prop2021DUOSTariffs!C23="","",Prop2021DUOSTariffs!C23)</f>
        <v>West CAC22/11kVLine STOUD</v>
      </c>
      <c r="D23" s="1111" t="str">
        <f>IF(Prop2021DUOSTariffs!D23="","",Prop2021DUOSTariffs!D23)</f>
        <v>West CAC22/11kVLine STOUD</v>
      </c>
      <c r="E23" s="1111" t="str">
        <f>IF(Prop2021DUOSTariffs!E23="","",Prop2021DUOSTariffs!E23)</f>
        <v>CAC</v>
      </c>
      <c r="F23" s="1111" t="str">
        <f>IF(Prop2021DUOSTariffs!F23="","",Prop2021DUOSTariffs!F23)</f>
        <v>CAC</v>
      </c>
      <c r="G23" s="1111" t="str">
        <f>IF(Prop2021DUOSTariffs!G23="","",Prop2021DUOSTariffs!G23)</f>
        <v>West</v>
      </c>
      <c r="H23" s="1111" t="str">
        <f>IF(Prop2021DUOSTariffs!H23="","",Prop2021DUOSTariffs!H23)</f>
        <v>WC22LTOU</v>
      </c>
      <c r="I23" s="1111" t="str">
        <f>IF(Prop2021DUOSTariffs!I23="","",Prop2021DUOSTariffs!I23)</f>
        <v>DUOS</v>
      </c>
      <c r="J23" s="1773">
        <v>0</v>
      </c>
      <c r="K23" s="1773">
        <v>0</v>
      </c>
      <c r="L23" s="1773">
        <v>0</v>
      </c>
      <c r="M23" s="1773">
        <v>0</v>
      </c>
      <c r="N23" s="1773">
        <v>0</v>
      </c>
      <c r="O23" s="1773">
        <v>0</v>
      </c>
      <c r="P23" s="1774">
        <v>5.5268387722844636</v>
      </c>
      <c r="Q23" s="1773">
        <v>0</v>
      </c>
      <c r="R23" s="1774">
        <v>27.124019999999998</v>
      </c>
      <c r="S23" s="1773">
        <v>0</v>
      </c>
      <c r="T23" s="1773">
        <v>0</v>
      </c>
      <c r="U23" s="1773">
        <v>0</v>
      </c>
      <c r="V23" s="1773">
        <v>0</v>
      </c>
      <c r="W23" s="1773">
        <v>0</v>
      </c>
      <c r="X23" s="1774">
        <v>175.37638554216869</v>
      </c>
      <c r="Y23" s="1773">
        <v>0</v>
      </c>
      <c r="Z23" s="1773">
        <v>0</v>
      </c>
      <c r="AA23" s="1773">
        <v>0</v>
      </c>
      <c r="AB23" s="1773">
        <v>0</v>
      </c>
      <c r="AC23" s="1773">
        <v>0</v>
      </c>
      <c r="AD23" s="1773">
        <v>0</v>
      </c>
      <c r="AE23" s="1775">
        <v>0</v>
      </c>
      <c r="AF23" s="1775">
        <v>0</v>
      </c>
      <c r="AG23" s="1775">
        <v>0</v>
      </c>
      <c r="AH23" s="1775">
        <v>0</v>
      </c>
      <c r="AI23" s="1775">
        <v>0</v>
      </c>
      <c r="AJ23" s="1775">
        <v>0</v>
      </c>
      <c r="AK23" s="1775">
        <v>0</v>
      </c>
      <c r="AL23" s="1775">
        <v>0</v>
      </c>
      <c r="AM23" s="1775">
        <v>0</v>
      </c>
      <c r="AN23" s="1775">
        <v>0</v>
      </c>
      <c r="AO23" s="1775">
        <v>0</v>
      </c>
      <c r="AP23" s="1775">
        <v>0</v>
      </c>
      <c r="AQ23" s="1776">
        <v>2.6290000000000004E-2</v>
      </c>
      <c r="AR23" s="1775">
        <v>0</v>
      </c>
      <c r="AS23" s="1594"/>
      <c r="AT23" s="1591"/>
      <c r="AU23" s="1135"/>
      <c r="AV23" s="1135"/>
      <c r="AW23" s="1135"/>
      <c r="AX23" s="1135"/>
      <c r="AY23" s="1135"/>
      <c r="AZ23" s="1233">
        <v>5.6230000000000002</v>
      </c>
      <c r="BA23" s="1135"/>
      <c r="BB23" s="1233">
        <v>27.672000000000001</v>
      </c>
      <c r="BC23" s="1135"/>
      <c r="BD23" s="1135"/>
      <c r="BE23" s="1135"/>
      <c r="BF23" s="1135"/>
      <c r="BG23" s="1135"/>
      <c r="BH23" s="1233">
        <v>186.17500000000001</v>
      </c>
      <c r="BI23" s="1135"/>
      <c r="BJ23" s="1135"/>
      <c r="BK23" s="1135"/>
      <c r="BL23" s="1135"/>
      <c r="BM23" s="1135"/>
      <c r="BN23" s="1135"/>
      <c r="BO23" s="1005"/>
      <c r="BP23" s="1005"/>
      <c r="BQ23" s="1005"/>
      <c r="BR23" s="1005"/>
      <c r="BS23" s="1005"/>
      <c r="BT23" s="1005"/>
      <c r="BU23" s="1005"/>
      <c r="BV23" s="1016"/>
      <c r="BW23" s="1016"/>
      <c r="BX23" s="1016"/>
      <c r="BY23" s="1016"/>
      <c r="BZ23" s="1016"/>
      <c r="CA23" s="1596">
        <v>2.4129999999999999E-2</v>
      </c>
      <c r="CB23" s="1016">
        <v>0</v>
      </c>
      <c r="CC23" s="1594"/>
      <c r="CD23" s="1136">
        <f t="shared" si="42"/>
        <v>0</v>
      </c>
      <c r="CE23" s="1136">
        <f t="shared" si="43"/>
        <v>0</v>
      </c>
      <c r="CF23" s="1136">
        <f t="shared" si="44"/>
        <v>0</v>
      </c>
      <c r="CG23" s="1136">
        <f t="shared" si="45"/>
        <v>0</v>
      </c>
      <c r="CH23" s="1136">
        <f t="shared" si="46"/>
        <v>0</v>
      </c>
      <c r="CI23" s="1136">
        <f t="shared" si="47"/>
        <v>0</v>
      </c>
      <c r="CJ23" s="1136">
        <f t="shared" si="48"/>
        <v>-1.7101409872939066E-2</v>
      </c>
      <c r="CK23" s="1136">
        <f t="shared" si="49"/>
        <v>0</v>
      </c>
      <c r="CL23" s="1136">
        <f t="shared" si="50"/>
        <v>-1.9802688638334898E-2</v>
      </c>
      <c r="CM23" s="1136">
        <f t="shared" si="51"/>
        <v>0</v>
      </c>
      <c r="CN23" s="1136">
        <f t="shared" si="52"/>
        <v>0</v>
      </c>
      <c r="CO23" s="1136">
        <f t="shared" si="53"/>
        <v>0</v>
      </c>
      <c r="CP23" s="1136">
        <f t="shared" si="54"/>
        <v>0</v>
      </c>
      <c r="CQ23" s="1136">
        <f t="shared" si="55"/>
        <v>0</v>
      </c>
      <c r="CR23" s="1136">
        <f t="shared" si="56"/>
        <v>-5.8002494737914967E-2</v>
      </c>
      <c r="CS23" s="1136">
        <f t="shared" si="57"/>
        <v>0</v>
      </c>
      <c r="CT23" s="1136">
        <f t="shared" si="58"/>
        <v>0</v>
      </c>
      <c r="CU23" s="1136">
        <f t="shared" si="59"/>
        <v>0</v>
      </c>
      <c r="CV23" s="1136">
        <f t="shared" si="60"/>
        <v>0</v>
      </c>
      <c r="CW23" s="1136">
        <f t="shared" si="61"/>
        <v>0</v>
      </c>
      <c r="CX23" s="1136">
        <f t="shared" si="62"/>
        <v>0</v>
      </c>
      <c r="CY23" s="1136">
        <f t="shared" si="63"/>
        <v>0</v>
      </c>
      <c r="CZ23" s="1136">
        <f t="shared" si="64"/>
        <v>0</v>
      </c>
      <c r="DA23" s="1136">
        <f t="shared" si="65"/>
        <v>0</v>
      </c>
      <c r="DB23" s="1136">
        <f t="shared" si="66"/>
        <v>0</v>
      </c>
      <c r="DC23" s="1136">
        <f t="shared" si="67"/>
        <v>0</v>
      </c>
      <c r="DD23" s="1136">
        <f t="shared" si="68"/>
        <v>0</v>
      </c>
      <c r="DE23" s="1136">
        <f t="shared" si="69"/>
        <v>0</v>
      </c>
      <c r="DF23" s="1136">
        <f t="shared" si="70"/>
        <v>0</v>
      </c>
      <c r="DG23" s="1136">
        <f t="shared" si="71"/>
        <v>0</v>
      </c>
      <c r="DH23" s="1136">
        <f t="shared" si="72"/>
        <v>0</v>
      </c>
      <c r="DI23" s="1136">
        <f t="shared" si="73"/>
        <v>0</v>
      </c>
      <c r="DJ23" s="1136">
        <f t="shared" si="74"/>
        <v>0</v>
      </c>
      <c r="DK23" s="1136">
        <f t="shared" si="75"/>
        <v>8.9515126398673983E-2</v>
      </c>
      <c r="DL23" s="1136">
        <f t="shared" si="76"/>
        <v>0</v>
      </c>
      <c r="DM23" s="1131" t="str">
        <f t="array" ref="DM23">IF(MAX(ABS(CD23:DL23))&gt;$DM$4,"EXPLAIN","")</f>
        <v/>
      </c>
      <c r="DN23" s="1131" t="str">
        <f t="shared" si="41"/>
        <v/>
      </c>
      <c r="DP23" s="1140">
        <f t="shared" si="77"/>
        <v>4</v>
      </c>
      <c r="DQ23" s="1140">
        <f t="shared" si="78"/>
        <v>5</v>
      </c>
      <c r="DR23" s="1140" t="str">
        <f t="shared" si="79"/>
        <v>xxxx</v>
      </c>
    </row>
    <row r="24" spans="2:122" ht="6" customHeight="1">
      <c r="B24" s="1568" t="str">
        <f>IF(Prop2021DUOSTariffs!B24="","",Prop2021DUOSTariffs!B24)</f>
        <v>-</v>
      </c>
      <c r="C24" s="1568" t="str">
        <f>IF(Prop2021DUOSTariffs!C24="","",Prop2021DUOSTariffs!C24)</f>
        <v/>
      </c>
      <c r="D24" s="1568" t="str">
        <f>IF(Prop2021DUOSTariffs!D24="","",Prop2021DUOSTariffs!D24)</f>
        <v/>
      </c>
      <c r="E24" s="1568" t="str">
        <f>IF(Prop2021DUOSTariffs!E24="","",Prop2021DUOSTariffs!E24)</f>
        <v/>
      </c>
      <c r="F24" s="1568" t="str">
        <f>IF(Prop2021DUOSTariffs!F24="","",Prop2021DUOSTariffs!F24)</f>
        <v/>
      </c>
      <c r="G24" s="1568" t="str">
        <f>IF(Prop2021DUOSTariffs!G24="","",Prop2021DUOSTariffs!G24)</f>
        <v/>
      </c>
      <c r="H24" s="1568" t="str">
        <f>IF(Prop2021DUOSTariffs!H24="","",Prop2021DUOSTariffs!H24)</f>
        <v/>
      </c>
      <c r="I24" s="1568" t="str">
        <f>IF(Prop2021DUOSTariffs!I24="","",Prop2021DUOSTariffs!I24)</f>
        <v/>
      </c>
      <c r="J24" s="1777">
        <v>0</v>
      </c>
      <c r="K24" s="1777">
        <v>0</v>
      </c>
      <c r="L24" s="1777">
        <v>0</v>
      </c>
      <c r="M24" s="1777">
        <v>0</v>
      </c>
      <c r="N24" s="1777">
        <v>0</v>
      </c>
      <c r="O24" s="1777">
        <v>0</v>
      </c>
      <c r="P24" s="1777">
        <v>0</v>
      </c>
      <c r="Q24" s="1777">
        <v>0</v>
      </c>
      <c r="R24" s="1777">
        <v>0</v>
      </c>
      <c r="S24" s="1777">
        <v>0</v>
      </c>
      <c r="T24" s="1777">
        <v>0</v>
      </c>
      <c r="U24" s="1777">
        <v>0</v>
      </c>
      <c r="V24" s="1777">
        <v>0</v>
      </c>
      <c r="W24" s="1777">
        <v>0</v>
      </c>
      <c r="X24" s="1777">
        <v>0</v>
      </c>
      <c r="Y24" s="1777">
        <v>0</v>
      </c>
      <c r="Z24" s="1777">
        <v>0</v>
      </c>
      <c r="AA24" s="1777">
        <v>0</v>
      </c>
      <c r="AB24" s="1777">
        <v>0</v>
      </c>
      <c r="AC24" s="1777">
        <v>0</v>
      </c>
      <c r="AD24" s="1777">
        <v>0</v>
      </c>
      <c r="AE24" s="1778">
        <v>0</v>
      </c>
      <c r="AF24" s="1778">
        <v>0</v>
      </c>
      <c r="AG24" s="1778">
        <v>0</v>
      </c>
      <c r="AH24" s="1778">
        <v>0</v>
      </c>
      <c r="AI24" s="1778">
        <v>0</v>
      </c>
      <c r="AJ24" s="1778">
        <v>0</v>
      </c>
      <c r="AK24" s="1778">
        <v>0</v>
      </c>
      <c r="AL24" s="1778">
        <v>0</v>
      </c>
      <c r="AM24" s="1778">
        <v>0</v>
      </c>
      <c r="AN24" s="1778">
        <v>0</v>
      </c>
      <c r="AO24" s="1778">
        <v>0</v>
      </c>
      <c r="AP24" s="1778">
        <v>0</v>
      </c>
      <c r="AQ24" s="1778">
        <v>0</v>
      </c>
      <c r="AR24" s="1778">
        <v>0</v>
      </c>
      <c r="AS24" s="1594"/>
      <c r="AT24" s="1590"/>
      <c r="AU24" s="1569"/>
      <c r="AV24" s="1569"/>
      <c r="AW24" s="1569"/>
      <c r="AX24" s="1569"/>
      <c r="AY24" s="1569"/>
      <c r="AZ24" s="1569"/>
      <c r="BA24" s="1569"/>
      <c r="BB24" s="1569"/>
      <c r="BC24" s="1569"/>
      <c r="BD24" s="1569"/>
      <c r="BE24" s="1569"/>
      <c r="BF24" s="1569"/>
      <c r="BG24" s="1569"/>
      <c r="BH24" s="1569"/>
      <c r="BI24" s="1569"/>
      <c r="BJ24" s="1569"/>
      <c r="BK24" s="1569"/>
      <c r="BL24" s="1569"/>
      <c r="BM24" s="1569"/>
      <c r="BN24" s="1569"/>
      <c r="BO24" s="1570"/>
      <c r="BP24" s="1570"/>
      <c r="BQ24" s="1570"/>
      <c r="BR24" s="1570"/>
      <c r="BS24" s="1570"/>
      <c r="BT24" s="1570"/>
      <c r="BU24" s="1570"/>
      <c r="BV24" s="1595"/>
      <c r="BW24" s="1595"/>
      <c r="BX24" s="1595"/>
      <c r="BY24" s="1595"/>
      <c r="BZ24" s="1595"/>
      <c r="CA24" s="1595"/>
      <c r="CB24" s="1595"/>
      <c r="CC24" s="1594"/>
      <c r="CD24" s="1571"/>
      <c r="CE24" s="1571"/>
      <c r="CF24" s="1571"/>
      <c r="CG24" s="1571"/>
      <c r="CH24" s="1571"/>
      <c r="CI24" s="1571"/>
      <c r="CJ24" s="1571"/>
      <c r="CK24" s="1571"/>
      <c r="CL24" s="1571"/>
      <c r="CM24" s="1571"/>
      <c r="CN24" s="1571"/>
      <c r="CO24" s="1571"/>
      <c r="CP24" s="1571"/>
      <c r="CQ24" s="1571"/>
      <c r="CR24" s="1571"/>
      <c r="CS24" s="1571"/>
      <c r="CT24" s="1571"/>
      <c r="CU24" s="1571"/>
      <c r="CV24" s="1571"/>
      <c r="CW24" s="1571"/>
      <c r="CX24" s="1571"/>
      <c r="CY24" s="1571"/>
      <c r="CZ24" s="1571"/>
      <c r="DA24" s="1571"/>
      <c r="DB24" s="1571"/>
      <c r="DC24" s="1571"/>
      <c r="DD24" s="1571"/>
      <c r="DE24" s="1571"/>
      <c r="DF24" s="1571"/>
      <c r="DG24" s="1571"/>
      <c r="DH24" s="1571"/>
      <c r="DI24" s="1571"/>
      <c r="DJ24" s="1571"/>
      <c r="DK24" s="1571"/>
      <c r="DL24" s="1571"/>
      <c r="DM24" s="1572"/>
      <c r="DN24" s="1572"/>
    </row>
    <row r="25" spans="2:122">
      <c r="B25" s="1111" t="str">
        <f>IF(Prop2021DUOSTariffs!B25="","",Prop2021DUOSTariffs!B25)</f>
        <v/>
      </c>
      <c r="C25" s="1111" t="str">
        <f>IF(Prop2021DUOSTariffs!C25="","",Prop2021DUOSTariffs!C25)</f>
        <v>East SAC&gt;100MWhpa DemandLarge</v>
      </c>
      <c r="D25" s="1111" t="str">
        <f>IF(Prop2021DUOSTariffs!D25="","",Prop2021DUOSTariffs!D25)</f>
        <v>East SAC&gt;100MWhpa DemandLarge</v>
      </c>
      <c r="E25" s="1111" t="str">
        <f>IF(Prop2021DUOSTariffs!E25="","",Prop2021DUOSTariffs!E25)</f>
        <v>SAC</v>
      </c>
      <c r="F25" s="1111" t="str">
        <f>IF(Prop2021DUOSTariffs!F25="","",Prop2021DUOSTariffs!F25)</f>
        <v>SACL</v>
      </c>
      <c r="G25" s="1111" t="str">
        <f>IF(Prop2021DUOSTariffs!G25="","",Prop2021DUOSTariffs!G25)</f>
        <v>East</v>
      </c>
      <c r="H25" s="1111" t="str">
        <f>IF(Prop2021DUOSTariffs!H25="","",Prop2021DUOSTariffs!H25)</f>
        <v>EDLT</v>
      </c>
      <c r="I25" s="1111" t="str">
        <f>IF(Prop2021DUOSTariffs!I25="","",Prop2021DUOSTariffs!I25)</f>
        <v>DUOS</v>
      </c>
      <c r="J25" s="1774">
        <v>299.28095999999999</v>
      </c>
      <c r="K25" s="1773">
        <v>0</v>
      </c>
      <c r="L25" s="1773">
        <v>0</v>
      </c>
      <c r="M25" s="1773">
        <v>0</v>
      </c>
      <c r="N25" s="1773">
        <v>0</v>
      </c>
      <c r="O25" s="1773">
        <v>0</v>
      </c>
      <c r="P25" s="1773">
        <v>0</v>
      </c>
      <c r="Q25" s="1773">
        <v>0</v>
      </c>
      <c r="R25" s="1773">
        <v>0</v>
      </c>
      <c r="S25" s="1773">
        <v>0</v>
      </c>
      <c r="T25" s="1773">
        <v>0</v>
      </c>
      <c r="U25" s="1773">
        <v>13.866588098106714</v>
      </c>
      <c r="V25" s="1773">
        <v>0</v>
      </c>
      <c r="W25" s="1773">
        <v>0</v>
      </c>
      <c r="X25" s="1773">
        <v>0</v>
      </c>
      <c r="Y25" s="1774">
        <v>15.407320109007459</v>
      </c>
      <c r="Z25" s="1773">
        <v>0</v>
      </c>
      <c r="AA25" s="1773">
        <v>0</v>
      </c>
      <c r="AB25" s="1773">
        <v>0</v>
      </c>
      <c r="AC25" s="1773">
        <v>0</v>
      </c>
      <c r="AD25" s="1773">
        <v>0</v>
      </c>
      <c r="AE25" s="1775">
        <v>0</v>
      </c>
      <c r="AF25" s="1775">
        <v>0</v>
      </c>
      <c r="AG25" s="1776">
        <v>3.481491826166801E-3</v>
      </c>
      <c r="AH25" s="1775">
        <v>0</v>
      </c>
      <c r="AI25" s="1775">
        <v>0</v>
      </c>
      <c r="AJ25" s="1775">
        <v>0</v>
      </c>
      <c r="AK25" s="1775">
        <v>0</v>
      </c>
      <c r="AL25" s="1775">
        <v>0</v>
      </c>
      <c r="AM25" s="1775">
        <v>0</v>
      </c>
      <c r="AN25" s="1775">
        <v>0</v>
      </c>
      <c r="AO25" s="1775">
        <v>0</v>
      </c>
      <c r="AP25" s="1775">
        <v>0</v>
      </c>
      <c r="AQ25" s="1775">
        <v>0</v>
      </c>
      <c r="AR25" s="1775">
        <v>0</v>
      </c>
      <c r="AS25" s="1594"/>
      <c r="AT25" s="1233">
        <v>300.51344996653455</v>
      </c>
      <c r="AU25" s="1135"/>
      <c r="AV25" s="1135"/>
      <c r="AW25" s="1135"/>
      <c r="AX25" s="1135"/>
      <c r="AY25" s="1135"/>
      <c r="AZ25" s="1135"/>
      <c r="BA25" s="1135"/>
      <c r="BB25" s="1135"/>
      <c r="BC25" s="1135"/>
      <c r="BD25" s="1135"/>
      <c r="BE25" s="1135"/>
      <c r="BF25" s="1135"/>
      <c r="BG25" s="1135"/>
      <c r="BH25" s="1135"/>
      <c r="BI25" s="1233">
        <v>14.43088</v>
      </c>
      <c r="BJ25" s="1135"/>
      <c r="BK25" s="1135"/>
      <c r="BL25" s="1135"/>
      <c r="BM25" s="1135"/>
      <c r="BN25" s="1135"/>
      <c r="BO25" s="1005"/>
      <c r="BP25" s="1005"/>
      <c r="BQ25" s="1596">
        <v>2.1601485518839276E-3</v>
      </c>
      <c r="BR25" s="1005"/>
      <c r="BS25" s="1005"/>
      <c r="BT25" s="1005"/>
      <c r="BU25" s="1005"/>
      <c r="BV25" s="1016"/>
      <c r="BW25" s="1016"/>
      <c r="BX25" s="1016"/>
      <c r="BY25" s="1016"/>
      <c r="BZ25" s="1016"/>
      <c r="CA25" s="1016"/>
      <c r="CB25" s="1016"/>
      <c r="CC25" s="1594"/>
      <c r="CD25" s="1136">
        <f t="shared" ref="CD25:CD45" si="80">IFERROR(J25/AT25-1,0)</f>
        <v>-4.1012805472494529E-3</v>
      </c>
      <c r="CE25" s="1136">
        <f t="shared" ref="CE25:CE45" si="81">IFERROR(K25/AU25-1,0)</f>
        <v>0</v>
      </c>
      <c r="CF25" s="1136">
        <f t="shared" ref="CF25:CF45" si="82">IFERROR(L25/AV25-1,0)</f>
        <v>0</v>
      </c>
      <c r="CG25" s="1136">
        <f t="shared" ref="CG25:CG45" si="83">IFERROR(M25/AW25-1,0)</f>
        <v>0</v>
      </c>
      <c r="CH25" s="1136">
        <f t="shared" ref="CH25:CH45" si="84">IFERROR(N25/AX25-1,0)</f>
        <v>0</v>
      </c>
      <c r="CI25" s="1136">
        <f t="shared" ref="CI25:CI45" si="85">IFERROR(O25/AY25-1,0)</f>
        <v>0</v>
      </c>
      <c r="CJ25" s="1136">
        <f t="shared" ref="CJ25:CJ45" si="86">IFERROR(P25/AZ25-1,0)</f>
        <v>0</v>
      </c>
      <c r="CK25" s="1136">
        <f t="shared" ref="CK25:CK45" si="87">IFERROR(Q25/BA25-1,0)</f>
        <v>0</v>
      </c>
      <c r="CL25" s="1136">
        <f t="shared" ref="CL25:CL45" si="88">IFERROR(R25/BB25-1,0)</f>
        <v>0</v>
      </c>
      <c r="CM25" s="1136">
        <f t="shared" ref="CM25:CM45" si="89">IFERROR(S25/BC25-1,0)</f>
        <v>0</v>
      </c>
      <c r="CN25" s="1136">
        <f t="shared" ref="CN25:CN45" si="90">IFERROR(T25/BD25-1,0)</f>
        <v>0</v>
      </c>
      <c r="CO25" s="1136">
        <f t="shared" ref="CO25:CO45" si="91">IFERROR(U25/BE25-1,0)</f>
        <v>0</v>
      </c>
      <c r="CP25" s="1136">
        <f t="shared" ref="CP25:CP45" si="92">IFERROR(V25/BF25-1,0)</f>
        <v>0</v>
      </c>
      <c r="CQ25" s="1136">
        <f t="shared" ref="CQ25:CQ45" si="93">IFERROR(W25/BG25-1,0)</f>
        <v>0</v>
      </c>
      <c r="CR25" s="1136">
        <f t="shared" ref="CR25:CR45" si="94">IFERROR(X25/BH25-1,0)</f>
        <v>0</v>
      </c>
      <c r="CS25" s="1136">
        <f t="shared" ref="CS25:CS45" si="95">IFERROR(Y25/BI25-1,0)</f>
        <v>6.7663240842378292E-2</v>
      </c>
      <c r="CT25" s="1136">
        <f t="shared" ref="CT25:CT45" si="96">IFERROR(Z25/BJ25-1,0)</f>
        <v>0</v>
      </c>
      <c r="CU25" s="1136">
        <f t="shared" ref="CU25:CU45" si="97">IFERROR(AA25/BK25-1,0)</f>
        <v>0</v>
      </c>
      <c r="CV25" s="1136">
        <f t="shared" ref="CV25:CV45" si="98">IFERROR(AB25/BL25-1,0)</f>
        <v>0</v>
      </c>
      <c r="CW25" s="1136">
        <f t="shared" ref="CW25:CW45" si="99">IFERROR(AC25/BM25-1,0)</f>
        <v>0</v>
      </c>
      <c r="CX25" s="1136">
        <f t="shared" ref="CX25:CX45" si="100">IFERROR(AD25/BN25-1,0)</f>
        <v>0</v>
      </c>
      <c r="CY25" s="1136">
        <f t="shared" ref="CY25:CY45" si="101">IFERROR(AE25/BO25-1,0)</f>
        <v>0</v>
      </c>
      <c r="CZ25" s="1136">
        <f t="shared" ref="CZ25:CZ45" si="102">IFERROR(AF25/BP25-1,0)</f>
        <v>0</v>
      </c>
      <c r="DA25" s="1136">
        <f t="shared" ref="DA25:DA45" si="103">IFERROR(AG25/BQ25-1,0)</f>
        <v>0.6116909289087975</v>
      </c>
      <c r="DB25" s="1136">
        <f t="shared" ref="DB25:DB45" si="104">IFERROR(AH25/BR25-1,0)</f>
        <v>0</v>
      </c>
      <c r="DC25" s="1136">
        <f t="shared" ref="DC25:DC45" si="105">IFERROR(AI25/BS25-1,0)</f>
        <v>0</v>
      </c>
      <c r="DD25" s="1136">
        <f t="shared" ref="DD25:DD45" si="106">IFERROR(AJ25/BT25-1,0)</f>
        <v>0</v>
      </c>
      <c r="DE25" s="1136">
        <f t="shared" ref="DE25:DE45" si="107">IFERROR(AK25/BU25-1,0)</f>
        <v>0</v>
      </c>
      <c r="DF25" s="1136">
        <f t="shared" ref="DF25:DF45" si="108">IFERROR(AL25/BV25-1,0)</f>
        <v>0</v>
      </c>
      <c r="DG25" s="1136">
        <f t="shared" ref="DG25:DG45" si="109">IFERROR(AM25/BW25-1,0)</f>
        <v>0</v>
      </c>
      <c r="DH25" s="1136">
        <f t="shared" ref="DH25:DH45" si="110">IFERROR(AN25/BX25-1,0)</f>
        <v>0</v>
      </c>
      <c r="DI25" s="1136">
        <f t="shared" ref="DI25:DI45" si="111">IFERROR(AO25/BY25-1,0)</f>
        <v>0</v>
      </c>
      <c r="DJ25" s="1136">
        <f t="shared" ref="DJ25:DJ45" si="112">IFERROR(AP25/BZ25-1,0)</f>
        <v>0</v>
      </c>
      <c r="DK25" s="1136">
        <f t="shared" ref="DK25:DK45" si="113">IFERROR(AQ25/CA25-1,0)</f>
        <v>0</v>
      </c>
      <c r="DL25" s="1136">
        <f t="shared" ref="DL25:DL45" si="114">IFERROR(AR25/CB25-1,0)</f>
        <v>0</v>
      </c>
      <c r="DM25" s="1131" t="str">
        <f t="array" ref="DM25">IF(MAX(ABS(CD25:DL25))&gt;$DM$4,"EXPLAIN","")</f>
        <v>EXPLAIN</v>
      </c>
      <c r="DN25" s="1131" t="str">
        <f t="shared" ref="DN25:DN80" si="115">IF(DM25="EXPLAIN","Refer to Ergon Energy Pricing Proposal","")</f>
        <v>Refer to Ergon Energy Pricing Proposal</v>
      </c>
      <c r="DP25" s="1140">
        <f t="shared" ref="DP25:DP45" si="116">COUNTIFS(J25:AR25,"&lt;&gt;"&amp;0)</f>
        <v>4</v>
      </c>
      <c r="DQ25" s="1140">
        <f t="shared" ref="DQ25:DQ45" si="117">COUNTA(AT25:CB25)</f>
        <v>3</v>
      </c>
      <c r="DR25" s="1140" t="str">
        <f t="shared" ref="DR25:DR45" si="118">IF(DP25=DQ25,"ok","xxxx")</f>
        <v>xxxx</v>
      </c>
    </row>
    <row r="26" spans="2:122">
      <c r="B26" s="1111" t="str">
        <f>IF(Prop2021DUOSTariffs!B26="","",Prop2021DUOSTariffs!B26)</f>
        <v/>
      </c>
      <c r="C26" s="1111" t="str">
        <f>IF(Prop2021DUOSTariffs!C26="","",Prop2021DUOSTariffs!C26)</f>
        <v>East SAC&gt;100MWhpa DemandMedium</v>
      </c>
      <c r="D26" s="1111" t="str">
        <f>IF(Prop2021DUOSTariffs!D26="","",Prop2021DUOSTariffs!D26)</f>
        <v>East SAC&gt;100MWhpa DemandMedium</v>
      </c>
      <c r="E26" s="1111" t="str">
        <f>IF(Prop2021DUOSTariffs!E26="","",Prop2021DUOSTariffs!E26)</f>
        <v>SAC</v>
      </c>
      <c r="F26" s="1111" t="str">
        <f>IF(Prop2021DUOSTariffs!F26="","",Prop2021DUOSTariffs!F26)</f>
        <v>SACL</v>
      </c>
      <c r="G26" s="1111" t="str">
        <f>IF(Prop2021DUOSTariffs!G26="","",Prop2021DUOSTariffs!G26)</f>
        <v>East</v>
      </c>
      <c r="H26" s="1111" t="str">
        <f>IF(Prop2021DUOSTariffs!H26="","",Prop2021DUOSTariffs!H26)</f>
        <v>EDMT</v>
      </c>
      <c r="I26" s="1111" t="str">
        <f>IF(Prop2021DUOSTariffs!I26="","",Prop2021DUOSTariffs!I26)</f>
        <v>DUOS</v>
      </c>
      <c r="J26" s="1774">
        <v>113.2824</v>
      </c>
      <c r="K26" s="1773">
        <v>0</v>
      </c>
      <c r="L26" s="1773">
        <v>0</v>
      </c>
      <c r="M26" s="1773">
        <v>0</v>
      </c>
      <c r="N26" s="1773">
        <v>0</v>
      </c>
      <c r="O26" s="1773">
        <v>0</v>
      </c>
      <c r="P26" s="1773">
        <v>0</v>
      </c>
      <c r="Q26" s="1773">
        <v>0</v>
      </c>
      <c r="R26" s="1773">
        <v>0</v>
      </c>
      <c r="S26" s="1773">
        <v>0</v>
      </c>
      <c r="T26" s="1773">
        <v>0</v>
      </c>
      <c r="U26" s="1773">
        <v>17.09579354561102</v>
      </c>
      <c r="V26" s="1773">
        <v>0</v>
      </c>
      <c r="W26" s="1773">
        <v>0</v>
      </c>
      <c r="X26" s="1773">
        <v>0</v>
      </c>
      <c r="Y26" s="1774">
        <v>18.995326161790022</v>
      </c>
      <c r="Z26" s="1773">
        <v>0</v>
      </c>
      <c r="AA26" s="1773">
        <v>0</v>
      </c>
      <c r="AB26" s="1773">
        <v>0</v>
      </c>
      <c r="AC26" s="1773">
        <v>0</v>
      </c>
      <c r="AD26" s="1773">
        <v>0</v>
      </c>
      <c r="AE26" s="1775">
        <v>0</v>
      </c>
      <c r="AF26" s="1775">
        <v>0</v>
      </c>
      <c r="AG26" s="1776">
        <v>3.481491826166801E-3</v>
      </c>
      <c r="AH26" s="1775">
        <v>0</v>
      </c>
      <c r="AI26" s="1775">
        <v>0</v>
      </c>
      <c r="AJ26" s="1775">
        <v>0</v>
      </c>
      <c r="AK26" s="1775">
        <v>0</v>
      </c>
      <c r="AL26" s="1775">
        <v>0</v>
      </c>
      <c r="AM26" s="1775">
        <v>0</v>
      </c>
      <c r="AN26" s="1775">
        <v>0</v>
      </c>
      <c r="AO26" s="1775">
        <v>0</v>
      </c>
      <c r="AP26" s="1775">
        <v>0</v>
      </c>
      <c r="AQ26" s="1775">
        <v>0</v>
      </c>
      <c r="AR26" s="1775">
        <v>0</v>
      </c>
      <c r="AS26" s="1594"/>
      <c r="AT26" s="1233">
        <v>113.74891621735294</v>
      </c>
      <c r="AU26" s="1135"/>
      <c r="AV26" s="1135"/>
      <c r="AW26" s="1135"/>
      <c r="AX26" s="1135"/>
      <c r="AY26" s="1135"/>
      <c r="AZ26" s="1135"/>
      <c r="BA26" s="1135"/>
      <c r="BB26" s="1135"/>
      <c r="BC26" s="1135"/>
      <c r="BD26" s="1135"/>
      <c r="BE26" s="1135"/>
      <c r="BF26" s="1135"/>
      <c r="BG26" s="1135"/>
      <c r="BH26" s="1135"/>
      <c r="BI26" s="1233">
        <v>17.775639999999999</v>
      </c>
      <c r="BJ26" s="1135"/>
      <c r="BK26" s="1135"/>
      <c r="BL26" s="1135"/>
      <c r="BM26" s="1135"/>
      <c r="BN26" s="1135"/>
      <c r="BO26" s="1005"/>
      <c r="BP26" s="1005"/>
      <c r="BQ26" s="1596">
        <v>2.1601485518839276E-3</v>
      </c>
      <c r="BR26" s="1005"/>
      <c r="BS26" s="1005"/>
      <c r="BT26" s="1005"/>
      <c r="BU26" s="1005"/>
      <c r="BV26" s="1016"/>
      <c r="BW26" s="1016"/>
      <c r="BX26" s="1016"/>
      <c r="BY26" s="1016"/>
      <c r="BZ26" s="1016"/>
      <c r="CA26" s="1016"/>
      <c r="CB26" s="1016"/>
      <c r="CC26" s="1594"/>
      <c r="CD26" s="1136">
        <f t="shared" si="80"/>
        <v>-4.1012805472495639E-3</v>
      </c>
      <c r="CE26" s="1136">
        <f t="shared" si="81"/>
        <v>0</v>
      </c>
      <c r="CF26" s="1136">
        <f t="shared" si="82"/>
        <v>0</v>
      </c>
      <c r="CG26" s="1136">
        <f t="shared" si="83"/>
        <v>0</v>
      </c>
      <c r="CH26" s="1136">
        <f t="shared" si="84"/>
        <v>0</v>
      </c>
      <c r="CI26" s="1136">
        <f t="shared" si="85"/>
        <v>0</v>
      </c>
      <c r="CJ26" s="1136">
        <f t="shared" si="86"/>
        <v>0</v>
      </c>
      <c r="CK26" s="1136">
        <f t="shared" si="87"/>
        <v>0</v>
      </c>
      <c r="CL26" s="1136">
        <f t="shared" si="88"/>
        <v>0</v>
      </c>
      <c r="CM26" s="1136">
        <f t="shared" si="89"/>
        <v>0</v>
      </c>
      <c r="CN26" s="1136">
        <f t="shared" si="90"/>
        <v>0</v>
      </c>
      <c r="CO26" s="1136">
        <f t="shared" si="91"/>
        <v>0</v>
      </c>
      <c r="CP26" s="1136">
        <f t="shared" si="92"/>
        <v>0</v>
      </c>
      <c r="CQ26" s="1136">
        <f t="shared" si="93"/>
        <v>0</v>
      </c>
      <c r="CR26" s="1136">
        <f t="shared" si="94"/>
        <v>0</v>
      </c>
      <c r="CS26" s="1136">
        <f t="shared" si="95"/>
        <v>6.8615597626303426E-2</v>
      </c>
      <c r="CT26" s="1136">
        <f t="shared" si="96"/>
        <v>0</v>
      </c>
      <c r="CU26" s="1136">
        <f t="shared" si="97"/>
        <v>0</v>
      </c>
      <c r="CV26" s="1136">
        <f t="shared" si="98"/>
        <v>0</v>
      </c>
      <c r="CW26" s="1136">
        <f t="shared" si="99"/>
        <v>0</v>
      </c>
      <c r="CX26" s="1136">
        <f t="shared" si="100"/>
        <v>0</v>
      </c>
      <c r="CY26" s="1136">
        <f t="shared" si="101"/>
        <v>0</v>
      </c>
      <c r="CZ26" s="1136">
        <f t="shared" si="102"/>
        <v>0</v>
      </c>
      <c r="DA26" s="1136">
        <f t="shared" si="103"/>
        <v>0.6116909289087975</v>
      </c>
      <c r="DB26" s="1136">
        <f t="shared" si="104"/>
        <v>0</v>
      </c>
      <c r="DC26" s="1136">
        <f t="shared" si="105"/>
        <v>0</v>
      </c>
      <c r="DD26" s="1136">
        <f t="shared" si="106"/>
        <v>0</v>
      </c>
      <c r="DE26" s="1136">
        <f t="shared" si="107"/>
        <v>0</v>
      </c>
      <c r="DF26" s="1136">
        <f t="shared" si="108"/>
        <v>0</v>
      </c>
      <c r="DG26" s="1136">
        <f t="shared" si="109"/>
        <v>0</v>
      </c>
      <c r="DH26" s="1136">
        <f t="shared" si="110"/>
        <v>0</v>
      </c>
      <c r="DI26" s="1136">
        <f t="shared" si="111"/>
        <v>0</v>
      </c>
      <c r="DJ26" s="1136">
        <f t="shared" si="112"/>
        <v>0</v>
      </c>
      <c r="DK26" s="1136">
        <f t="shared" si="113"/>
        <v>0</v>
      </c>
      <c r="DL26" s="1136">
        <f t="shared" si="114"/>
        <v>0</v>
      </c>
      <c r="DM26" s="1131" t="str">
        <f t="array" ref="DM26">IF(MAX(ABS(CD26:DL26))&gt;$DM$4,"EXPLAIN","")</f>
        <v>EXPLAIN</v>
      </c>
      <c r="DN26" s="1131" t="str">
        <f t="shared" si="115"/>
        <v>Refer to Ergon Energy Pricing Proposal</v>
      </c>
      <c r="DP26" s="1140">
        <f t="shared" si="116"/>
        <v>4</v>
      </c>
      <c r="DQ26" s="1140">
        <f t="shared" si="117"/>
        <v>3</v>
      </c>
      <c r="DR26" s="1140" t="str">
        <f t="shared" si="118"/>
        <v>xxxx</v>
      </c>
    </row>
    <row r="27" spans="2:122">
      <c r="B27" s="1111" t="str">
        <f>IF(Prop2021DUOSTariffs!B27="","",Prop2021DUOSTariffs!B27)</f>
        <v/>
      </c>
      <c r="C27" s="1111" t="str">
        <f>IF(Prop2021DUOSTariffs!C27="","",Prop2021DUOSTariffs!C27)</f>
        <v>East SAC&gt;100MWhpa DemandSmall</v>
      </c>
      <c r="D27" s="1111" t="str">
        <f>IF(Prop2021DUOSTariffs!D27="","",Prop2021DUOSTariffs!D27)</f>
        <v>East SAC&gt;100MWhpa DemandSmall</v>
      </c>
      <c r="E27" s="1111" t="str">
        <f>IF(Prop2021DUOSTariffs!E27="","",Prop2021DUOSTariffs!E27)</f>
        <v>SAC</v>
      </c>
      <c r="F27" s="1111" t="str">
        <f>IF(Prop2021DUOSTariffs!F27="","",Prop2021DUOSTariffs!F27)</f>
        <v>SACL</v>
      </c>
      <c r="G27" s="1111" t="str">
        <f>IF(Prop2021DUOSTariffs!G27="","",Prop2021DUOSTariffs!G27)</f>
        <v>East</v>
      </c>
      <c r="H27" s="1111" t="str">
        <f>IF(Prop2021DUOSTariffs!H27="","",Prop2021DUOSTariffs!H27)</f>
        <v>EDST</v>
      </c>
      <c r="I27" s="1111" t="str">
        <f>IF(Prop2021DUOSTariffs!I27="","",Prop2021DUOSTariffs!I27)</f>
        <v>DUOS</v>
      </c>
      <c r="J27" s="1774">
        <v>31.940480000000001</v>
      </c>
      <c r="K27" s="1773">
        <v>0</v>
      </c>
      <c r="L27" s="1773">
        <v>0</v>
      </c>
      <c r="M27" s="1773">
        <v>0</v>
      </c>
      <c r="N27" s="1773">
        <v>0</v>
      </c>
      <c r="O27" s="1773">
        <v>0</v>
      </c>
      <c r="P27" s="1773">
        <v>0</v>
      </c>
      <c r="Q27" s="1773">
        <v>0</v>
      </c>
      <c r="R27" s="1773">
        <v>0</v>
      </c>
      <c r="S27" s="1773">
        <v>0</v>
      </c>
      <c r="T27" s="1773">
        <v>0</v>
      </c>
      <c r="U27" s="1773">
        <v>21.274765301204823</v>
      </c>
      <c r="V27" s="1773">
        <v>0</v>
      </c>
      <c r="W27" s="1773">
        <v>0</v>
      </c>
      <c r="X27" s="1773">
        <v>0</v>
      </c>
      <c r="Y27" s="1774">
        <v>23.638628112449805</v>
      </c>
      <c r="Z27" s="1773">
        <v>0</v>
      </c>
      <c r="AA27" s="1773">
        <v>0</v>
      </c>
      <c r="AB27" s="1773">
        <v>0</v>
      </c>
      <c r="AC27" s="1773">
        <v>0</v>
      </c>
      <c r="AD27" s="1773">
        <v>0</v>
      </c>
      <c r="AE27" s="1775">
        <v>0</v>
      </c>
      <c r="AF27" s="1775">
        <v>0</v>
      </c>
      <c r="AG27" s="1776">
        <v>3.481491826166801E-3</v>
      </c>
      <c r="AH27" s="1775">
        <v>0</v>
      </c>
      <c r="AI27" s="1775">
        <v>0</v>
      </c>
      <c r="AJ27" s="1775">
        <v>0</v>
      </c>
      <c r="AK27" s="1775">
        <v>0</v>
      </c>
      <c r="AL27" s="1775">
        <v>0</v>
      </c>
      <c r="AM27" s="1775">
        <v>0</v>
      </c>
      <c r="AN27" s="1775">
        <v>0</v>
      </c>
      <c r="AO27" s="1775">
        <v>0</v>
      </c>
      <c r="AP27" s="1775">
        <v>0</v>
      </c>
      <c r="AQ27" s="1775">
        <v>0</v>
      </c>
      <c r="AR27" s="1775">
        <v>0</v>
      </c>
      <c r="AS27" s="1594"/>
      <c r="AT27" s="1233">
        <v>32.072016336712828</v>
      </c>
      <c r="AU27" s="1135"/>
      <c r="AV27" s="1135"/>
      <c r="AW27" s="1135"/>
      <c r="AX27" s="1135"/>
      <c r="AY27" s="1135"/>
      <c r="AZ27" s="1135"/>
      <c r="BA27" s="1135"/>
      <c r="BB27" s="1135"/>
      <c r="BC27" s="1135"/>
      <c r="BD27" s="1135"/>
      <c r="BE27" s="1135"/>
      <c r="BF27" s="1135"/>
      <c r="BG27" s="1135"/>
      <c r="BH27" s="1135"/>
      <c r="BI27" s="1233">
        <v>22.589812499999997</v>
      </c>
      <c r="BJ27" s="1135"/>
      <c r="BK27" s="1135"/>
      <c r="BL27" s="1135"/>
      <c r="BM27" s="1135"/>
      <c r="BN27" s="1135"/>
      <c r="BO27" s="1005"/>
      <c r="BP27" s="1005"/>
      <c r="BQ27" s="1596">
        <v>2.1601485518839276E-3</v>
      </c>
      <c r="BR27" s="1005"/>
      <c r="BS27" s="1005"/>
      <c r="BT27" s="1005"/>
      <c r="BU27" s="1005"/>
      <c r="BV27" s="1016"/>
      <c r="BW27" s="1016"/>
      <c r="BX27" s="1016"/>
      <c r="BY27" s="1016"/>
      <c r="BZ27" s="1016"/>
      <c r="CA27" s="1016"/>
      <c r="CB27" s="1016"/>
      <c r="CC27" s="1594"/>
      <c r="CD27" s="1136">
        <f t="shared" si="80"/>
        <v>-4.1012805472494529E-3</v>
      </c>
      <c r="CE27" s="1136">
        <f t="shared" si="81"/>
        <v>0</v>
      </c>
      <c r="CF27" s="1136">
        <f t="shared" si="82"/>
        <v>0</v>
      </c>
      <c r="CG27" s="1136">
        <f t="shared" si="83"/>
        <v>0</v>
      </c>
      <c r="CH27" s="1136">
        <f t="shared" si="84"/>
        <v>0</v>
      </c>
      <c r="CI27" s="1136">
        <f t="shared" si="85"/>
        <v>0</v>
      </c>
      <c r="CJ27" s="1136">
        <f t="shared" si="86"/>
        <v>0</v>
      </c>
      <c r="CK27" s="1136">
        <f t="shared" si="87"/>
        <v>0</v>
      </c>
      <c r="CL27" s="1136">
        <f t="shared" si="88"/>
        <v>0</v>
      </c>
      <c r="CM27" s="1136">
        <f t="shared" si="89"/>
        <v>0</v>
      </c>
      <c r="CN27" s="1136">
        <f t="shared" si="90"/>
        <v>0</v>
      </c>
      <c r="CO27" s="1136">
        <f t="shared" si="91"/>
        <v>0</v>
      </c>
      <c r="CP27" s="1136">
        <f t="shared" si="92"/>
        <v>0</v>
      </c>
      <c r="CQ27" s="1136">
        <f t="shared" si="93"/>
        <v>0</v>
      </c>
      <c r="CR27" s="1136">
        <f t="shared" si="94"/>
        <v>0</v>
      </c>
      <c r="CS27" s="1136">
        <f t="shared" si="95"/>
        <v>4.6428699328505241E-2</v>
      </c>
      <c r="CT27" s="1136">
        <f t="shared" si="96"/>
        <v>0</v>
      </c>
      <c r="CU27" s="1136">
        <f t="shared" si="97"/>
        <v>0</v>
      </c>
      <c r="CV27" s="1136">
        <f t="shared" si="98"/>
        <v>0</v>
      </c>
      <c r="CW27" s="1136">
        <f t="shared" si="99"/>
        <v>0</v>
      </c>
      <c r="CX27" s="1136">
        <f t="shared" si="100"/>
        <v>0</v>
      </c>
      <c r="CY27" s="1136">
        <f t="shared" si="101"/>
        <v>0</v>
      </c>
      <c r="CZ27" s="1136">
        <f t="shared" si="102"/>
        <v>0</v>
      </c>
      <c r="DA27" s="1136">
        <f t="shared" si="103"/>
        <v>0.6116909289087975</v>
      </c>
      <c r="DB27" s="1136">
        <f t="shared" si="104"/>
        <v>0</v>
      </c>
      <c r="DC27" s="1136">
        <f t="shared" si="105"/>
        <v>0</v>
      </c>
      <c r="DD27" s="1136">
        <f t="shared" si="106"/>
        <v>0</v>
      </c>
      <c r="DE27" s="1136">
        <f t="shared" si="107"/>
        <v>0</v>
      </c>
      <c r="DF27" s="1136">
        <f t="shared" si="108"/>
        <v>0</v>
      </c>
      <c r="DG27" s="1136">
        <f t="shared" si="109"/>
        <v>0</v>
      </c>
      <c r="DH27" s="1136">
        <f t="shared" si="110"/>
        <v>0</v>
      </c>
      <c r="DI27" s="1136">
        <f t="shared" si="111"/>
        <v>0</v>
      </c>
      <c r="DJ27" s="1136">
        <f t="shared" si="112"/>
        <v>0</v>
      </c>
      <c r="DK27" s="1136">
        <f t="shared" si="113"/>
        <v>0</v>
      </c>
      <c r="DL27" s="1136">
        <f t="shared" si="114"/>
        <v>0</v>
      </c>
      <c r="DM27" s="1131" t="str">
        <f t="array" ref="DM27">IF(MAX(ABS(CD27:DL27))&gt;$DM$4,"EXPLAIN","")</f>
        <v>EXPLAIN</v>
      </c>
      <c r="DN27" s="1131" t="str">
        <f t="shared" si="115"/>
        <v>Refer to Ergon Energy Pricing Proposal</v>
      </c>
      <c r="DP27" s="1140">
        <f t="shared" si="116"/>
        <v>4</v>
      </c>
      <c r="DQ27" s="1140">
        <f t="shared" si="117"/>
        <v>3</v>
      </c>
      <c r="DR27" s="1140" t="str">
        <f t="shared" si="118"/>
        <v>xxxx</v>
      </c>
    </row>
    <row r="28" spans="2:122">
      <c r="B28" s="1111" t="str">
        <f>IF(Prop2021DUOSTariffs!B28="","",Prop2021DUOSTariffs!B28)</f>
        <v/>
      </c>
      <c r="C28" s="1111" t="str">
        <f>IF(Prop2021DUOSTariffs!C28="","",Prop2021DUOSTariffs!C28)</f>
        <v>West SAC&gt;100MWhpa DemandLarge</v>
      </c>
      <c r="D28" s="1111" t="str">
        <f>IF(Prop2021DUOSTariffs!D28="","",Prop2021DUOSTariffs!D28)</f>
        <v>West SAC&gt;100MWhpa DemandLarge</v>
      </c>
      <c r="E28" s="1111" t="str">
        <f>IF(Prop2021DUOSTariffs!E28="","",Prop2021DUOSTariffs!E28)</f>
        <v>SAC</v>
      </c>
      <c r="F28" s="1111" t="str">
        <f>IF(Prop2021DUOSTariffs!F28="","",Prop2021DUOSTariffs!F28)</f>
        <v>SACL</v>
      </c>
      <c r="G28" s="1111" t="str">
        <f>IF(Prop2021DUOSTariffs!G28="","",Prop2021DUOSTariffs!G28)</f>
        <v>West</v>
      </c>
      <c r="H28" s="1111" t="str">
        <f>IF(Prop2021DUOSTariffs!H28="","",Prop2021DUOSTariffs!H28)</f>
        <v>WDLT</v>
      </c>
      <c r="I28" s="1111" t="str">
        <f>IF(Prop2021DUOSTariffs!I28="","",Prop2021DUOSTariffs!I28)</f>
        <v>DUOS</v>
      </c>
      <c r="J28" s="1774">
        <v>882.64560000000006</v>
      </c>
      <c r="K28" s="1773">
        <v>0</v>
      </c>
      <c r="L28" s="1773">
        <v>0</v>
      </c>
      <c r="M28" s="1773">
        <v>0</v>
      </c>
      <c r="N28" s="1773">
        <v>0</v>
      </c>
      <c r="O28" s="1773">
        <v>0</v>
      </c>
      <c r="P28" s="1773">
        <v>0</v>
      </c>
      <c r="Q28" s="1773">
        <v>0</v>
      </c>
      <c r="R28" s="1773">
        <v>0</v>
      </c>
      <c r="S28" s="1773">
        <v>0</v>
      </c>
      <c r="T28" s="1773">
        <v>0</v>
      </c>
      <c r="U28" s="1773">
        <v>52.422289156626512</v>
      </c>
      <c r="V28" s="1773">
        <v>0</v>
      </c>
      <c r="W28" s="1773">
        <v>0</v>
      </c>
      <c r="X28" s="1773">
        <v>0</v>
      </c>
      <c r="Y28" s="1774">
        <v>58.246987951807235</v>
      </c>
      <c r="Z28" s="1773">
        <v>0</v>
      </c>
      <c r="AA28" s="1773">
        <v>0</v>
      </c>
      <c r="AB28" s="1773">
        <v>0</v>
      </c>
      <c r="AC28" s="1773">
        <v>0</v>
      </c>
      <c r="AD28" s="1773">
        <v>0</v>
      </c>
      <c r="AE28" s="1775">
        <v>0</v>
      </c>
      <c r="AF28" s="1775">
        <v>0</v>
      </c>
      <c r="AG28" s="1776">
        <v>5.2655267410076341E-3</v>
      </c>
      <c r="AH28" s="1775">
        <v>0</v>
      </c>
      <c r="AI28" s="1775">
        <v>0</v>
      </c>
      <c r="AJ28" s="1775">
        <v>0</v>
      </c>
      <c r="AK28" s="1775">
        <v>0</v>
      </c>
      <c r="AL28" s="1775">
        <v>0</v>
      </c>
      <c r="AM28" s="1775">
        <v>0</v>
      </c>
      <c r="AN28" s="1775">
        <v>0</v>
      </c>
      <c r="AO28" s="1775">
        <v>0</v>
      </c>
      <c r="AP28" s="1775">
        <v>0</v>
      </c>
      <c r="AQ28" s="1775">
        <v>0</v>
      </c>
      <c r="AR28" s="1775">
        <v>0</v>
      </c>
      <c r="AS28" s="1594"/>
      <c r="AT28" s="1233">
        <v>886.27992903218092</v>
      </c>
      <c r="AU28" s="1135"/>
      <c r="AV28" s="1135"/>
      <c r="AW28" s="1135"/>
      <c r="AX28" s="1135"/>
      <c r="AY28" s="1135"/>
      <c r="AZ28" s="1135"/>
      <c r="BA28" s="1135"/>
      <c r="BB28" s="1135"/>
      <c r="BC28" s="1135"/>
      <c r="BD28" s="1135"/>
      <c r="BE28" s="1135"/>
      <c r="BF28" s="1135"/>
      <c r="BG28" s="1135"/>
      <c r="BH28" s="1135"/>
      <c r="BI28" s="1233">
        <v>55.86</v>
      </c>
      <c r="BJ28" s="1135"/>
      <c r="BK28" s="1135"/>
      <c r="BL28" s="1135"/>
      <c r="BM28" s="1135"/>
      <c r="BN28" s="1135"/>
      <c r="BO28" s="1005"/>
      <c r="BP28" s="1005"/>
      <c r="BQ28" s="1596">
        <v>1.6562778798792255E-3</v>
      </c>
      <c r="BR28" s="1005"/>
      <c r="BS28" s="1005"/>
      <c r="BT28" s="1005"/>
      <c r="BU28" s="1005"/>
      <c r="BV28" s="1016"/>
      <c r="BW28" s="1016"/>
      <c r="BX28" s="1016"/>
      <c r="BY28" s="1016"/>
      <c r="BZ28" s="1016"/>
      <c r="CA28" s="1016"/>
      <c r="CB28" s="1016"/>
      <c r="CC28" s="1594"/>
      <c r="CD28" s="1136">
        <f t="shared" si="80"/>
        <v>-4.1006559137015675E-3</v>
      </c>
      <c r="CE28" s="1136">
        <f t="shared" si="81"/>
        <v>0</v>
      </c>
      <c r="CF28" s="1136">
        <f t="shared" si="82"/>
        <v>0</v>
      </c>
      <c r="CG28" s="1136">
        <f t="shared" si="83"/>
        <v>0</v>
      </c>
      <c r="CH28" s="1136">
        <f t="shared" si="84"/>
        <v>0</v>
      </c>
      <c r="CI28" s="1136">
        <f t="shared" si="85"/>
        <v>0</v>
      </c>
      <c r="CJ28" s="1136">
        <f t="shared" si="86"/>
        <v>0</v>
      </c>
      <c r="CK28" s="1136">
        <f t="shared" si="87"/>
        <v>0</v>
      </c>
      <c r="CL28" s="1136">
        <f t="shared" si="88"/>
        <v>0</v>
      </c>
      <c r="CM28" s="1136">
        <f t="shared" si="89"/>
        <v>0</v>
      </c>
      <c r="CN28" s="1136">
        <f t="shared" si="90"/>
        <v>0</v>
      </c>
      <c r="CO28" s="1136">
        <f t="shared" si="91"/>
        <v>0</v>
      </c>
      <c r="CP28" s="1136">
        <f t="shared" si="92"/>
        <v>0</v>
      </c>
      <c r="CQ28" s="1136">
        <f t="shared" si="93"/>
        <v>0</v>
      </c>
      <c r="CR28" s="1136">
        <f t="shared" si="94"/>
        <v>0</v>
      </c>
      <c r="CS28" s="1136">
        <f t="shared" si="95"/>
        <v>4.2731613888421727E-2</v>
      </c>
      <c r="CT28" s="1136">
        <f t="shared" si="96"/>
        <v>0</v>
      </c>
      <c r="CU28" s="1136">
        <f t="shared" si="97"/>
        <v>0</v>
      </c>
      <c r="CV28" s="1136">
        <f t="shared" si="98"/>
        <v>0</v>
      </c>
      <c r="CW28" s="1136">
        <f t="shared" si="99"/>
        <v>0</v>
      </c>
      <c r="CX28" s="1136">
        <f t="shared" si="100"/>
        <v>0</v>
      </c>
      <c r="CY28" s="1136">
        <f t="shared" si="101"/>
        <v>0</v>
      </c>
      <c r="CZ28" s="1136">
        <f t="shared" si="102"/>
        <v>0</v>
      </c>
      <c r="DA28" s="1136">
        <f t="shared" si="103"/>
        <v>2.1791324420704044</v>
      </c>
      <c r="DB28" s="1136">
        <f t="shared" si="104"/>
        <v>0</v>
      </c>
      <c r="DC28" s="1136">
        <f t="shared" si="105"/>
        <v>0</v>
      </c>
      <c r="DD28" s="1136">
        <f t="shared" si="106"/>
        <v>0</v>
      </c>
      <c r="DE28" s="1136">
        <f t="shared" si="107"/>
        <v>0</v>
      </c>
      <c r="DF28" s="1136">
        <f t="shared" si="108"/>
        <v>0</v>
      </c>
      <c r="DG28" s="1136">
        <f t="shared" si="109"/>
        <v>0</v>
      </c>
      <c r="DH28" s="1136">
        <f t="shared" si="110"/>
        <v>0</v>
      </c>
      <c r="DI28" s="1136">
        <f t="shared" si="111"/>
        <v>0</v>
      </c>
      <c r="DJ28" s="1136">
        <f t="shared" si="112"/>
        <v>0</v>
      </c>
      <c r="DK28" s="1136">
        <f t="shared" si="113"/>
        <v>0</v>
      </c>
      <c r="DL28" s="1136">
        <f t="shared" si="114"/>
        <v>0</v>
      </c>
      <c r="DM28" s="1131" t="str">
        <f t="array" ref="DM28">IF(MAX(ABS(CD28:DL28))&gt;$DM$4,"EXPLAIN","")</f>
        <v>EXPLAIN</v>
      </c>
      <c r="DN28" s="1131" t="str">
        <f t="shared" si="115"/>
        <v>Refer to Ergon Energy Pricing Proposal</v>
      </c>
      <c r="DP28" s="1140">
        <f t="shared" si="116"/>
        <v>4</v>
      </c>
      <c r="DQ28" s="1140">
        <f t="shared" si="117"/>
        <v>3</v>
      </c>
      <c r="DR28" s="1140" t="str">
        <f t="shared" si="118"/>
        <v>xxxx</v>
      </c>
    </row>
    <row r="29" spans="2:122">
      <c r="B29" s="1111" t="str">
        <f>IF(Prop2021DUOSTariffs!B29="","",Prop2021DUOSTariffs!B29)</f>
        <v/>
      </c>
      <c r="C29" s="1111" t="str">
        <f>IF(Prop2021DUOSTariffs!C29="","",Prop2021DUOSTariffs!C29)</f>
        <v>West SAC&gt;100MWhpa DemandMedium</v>
      </c>
      <c r="D29" s="1111" t="str">
        <f>IF(Prop2021DUOSTariffs!D29="","",Prop2021DUOSTariffs!D29)</f>
        <v>West SAC&gt;100MWhpa DemandMedium</v>
      </c>
      <c r="E29" s="1111" t="str">
        <f>IF(Prop2021DUOSTariffs!E29="","",Prop2021DUOSTariffs!E29)</f>
        <v>SAC</v>
      </c>
      <c r="F29" s="1111" t="str">
        <f>IF(Prop2021DUOSTariffs!F29="","",Prop2021DUOSTariffs!F29)</f>
        <v>SACL</v>
      </c>
      <c r="G29" s="1111" t="str">
        <f>IF(Prop2021DUOSTariffs!G29="","",Prop2021DUOSTariffs!G29)</f>
        <v>West</v>
      </c>
      <c r="H29" s="1111" t="str">
        <f>IF(Prop2021DUOSTariffs!H29="","",Prop2021DUOSTariffs!H29)</f>
        <v>WDMT</v>
      </c>
      <c r="I29" s="1111" t="str">
        <f>IF(Prop2021DUOSTariffs!I29="","",Prop2021DUOSTariffs!I29)</f>
        <v>DUOS</v>
      </c>
      <c r="J29" s="1774">
        <v>275.90479999999997</v>
      </c>
      <c r="K29" s="1773">
        <v>0</v>
      </c>
      <c r="L29" s="1773">
        <v>0</v>
      </c>
      <c r="M29" s="1773">
        <v>0</v>
      </c>
      <c r="N29" s="1773">
        <v>0</v>
      </c>
      <c r="O29" s="1773">
        <v>0</v>
      </c>
      <c r="P29" s="1773">
        <v>0</v>
      </c>
      <c r="Q29" s="1773">
        <v>0</v>
      </c>
      <c r="R29" s="1773">
        <v>0</v>
      </c>
      <c r="S29" s="1773">
        <v>0</v>
      </c>
      <c r="T29" s="1773">
        <v>0</v>
      </c>
      <c r="U29" s="1773">
        <v>61.408967297762487</v>
      </c>
      <c r="V29" s="1773">
        <v>0</v>
      </c>
      <c r="W29" s="1773">
        <v>0</v>
      </c>
      <c r="X29" s="1773">
        <v>0</v>
      </c>
      <c r="Y29" s="1774">
        <v>68.23218588640276</v>
      </c>
      <c r="Z29" s="1773">
        <v>0</v>
      </c>
      <c r="AA29" s="1773">
        <v>0</v>
      </c>
      <c r="AB29" s="1773">
        <v>0</v>
      </c>
      <c r="AC29" s="1773">
        <v>0</v>
      </c>
      <c r="AD29" s="1773">
        <v>0</v>
      </c>
      <c r="AE29" s="1775">
        <v>0</v>
      </c>
      <c r="AF29" s="1775">
        <v>0</v>
      </c>
      <c r="AG29" s="1776">
        <v>5.2655267410076341E-3</v>
      </c>
      <c r="AH29" s="1775">
        <v>0</v>
      </c>
      <c r="AI29" s="1775">
        <v>0</v>
      </c>
      <c r="AJ29" s="1775">
        <v>0</v>
      </c>
      <c r="AK29" s="1775">
        <v>0</v>
      </c>
      <c r="AL29" s="1775">
        <v>0</v>
      </c>
      <c r="AM29" s="1775">
        <v>0</v>
      </c>
      <c r="AN29" s="1775">
        <v>0</v>
      </c>
      <c r="AO29" s="1775">
        <v>0</v>
      </c>
      <c r="AP29" s="1775">
        <v>0</v>
      </c>
      <c r="AQ29" s="1775">
        <v>0</v>
      </c>
      <c r="AR29" s="1775">
        <v>0</v>
      </c>
      <c r="AS29" s="1594"/>
      <c r="AT29" s="1233">
        <v>277.04084919659488</v>
      </c>
      <c r="AU29" s="1135"/>
      <c r="AV29" s="1135"/>
      <c r="AW29" s="1135"/>
      <c r="AX29" s="1135"/>
      <c r="AY29" s="1135"/>
      <c r="AZ29" s="1135"/>
      <c r="BA29" s="1135"/>
      <c r="BB29" s="1135"/>
      <c r="BC29" s="1135"/>
      <c r="BD29" s="1135"/>
      <c r="BE29" s="1135"/>
      <c r="BF29" s="1135"/>
      <c r="BG29" s="1135"/>
      <c r="BH29" s="1135"/>
      <c r="BI29" s="1233">
        <v>65.429919999999996</v>
      </c>
      <c r="BJ29" s="1135"/>
      <c r="BK29" s="1135"/>
      <c r="BL29" s="1135"/>
      <c r="BM29" s="1135"/>
      <c r="BN29" s="1135"/>
      <c r="BO29" s="1005"/>
      <c r="BP29" s="1005"/>
      <c r="BQ29" s="1596">
        <v>1.6562778798792255E-3</v>
      </c>
      <c r="BR29" s="1005"/>
      <c r="BS29" s="1005"/>
      <c r="BT29" s="1005"/>
      <c r="BU29" s="1005"/>
      <c r="BV29" s="1016"/>
      <c r="BW29" s="1016"/>
      <c r="BX29" s="1016"/>
      <c r="BY29" s="1016"/>
      <c r="BZ29" s="1016"/>
      <c r="CA29" s="1016"/>
      <c r="CB29" s="1016"/>
      <c r="CC29" s="1594"/>
      <c r="CD29" s="1136">
        <f t="shared" si="80"/>
        <v>-4.1006559137015675E-3</v>
      </c>
      <c r="CE29" s="1136">
        <f t="shared" si="81"/>
        <v>0</v>
      </c>
      <c r="CF29" s="1136">
        <f t="shared" si="82"/>
        <v>0</v>
      </c>
      <c r="CG29" s="1136">
        <f t="shared" si="83"/>
        <v>0</v>
      </c>
      <c r="CH29" s="1136">
        <f t="shared" si="84"/>
        <v>0</v>
      </c>
      <c r="CI29" s="1136">
        <f t="shared" si="85"/>
        <v>0</v>
      </c>
      <c r="CJ29" s="1136">
        <f t="shared" si="86"/>
        <v>0</v>
      </c>
      <c r="CK29" s="1136">
        <f t="shared" si="87"/>
        <v>0</v>
      </c>
      <c r="CL29" s="1136">
        <f t="shared" si="88"/>
        <v>0</v>
      </c>
      <c r="CM29" s="1136">
        <f t="shared" si="89"/>
        <v>0</v>
      </c>
      <c r="CN29" s="1136">
        <f t="shared" si="90"/>
        <v>0</v>
      </c>
      <c r="CO29" s="1136">
        <f t="shared" si="91"/>
        <v>0</v>
      </c>
      <c r="CP29" s="1136">
        <f t="shared" si="92"/>
        <v>0</v>
      </c>
      <c r="CQ29" s="1136">
        <f t="shared" si="93"/>
        <v>0</v>
      </c>
      <c r="CR29" s="1136">
        <f t="shared" si="94"/>
        <v>0</v>
      </c>
      <c r="CS29" s="1136">
        <f t="shared" si="95"/>
        <v>4.2828508523359954E-2</v>
      </c>
      <c r="CT29" s="1136">
        <f t="shared" si="96"/>
        <v>0</v>
      </c>
      <c r="CU29" s="1136">
        <f t="shared" si="97"/>
        <v>0</v>
      </c>
      <c r="CV29" s="1136">
        <f t="shared" si="98"/>
        <v>0</v>
      </c>
      <c r="CW29" s="1136">
        <f t="shared" si="99"/>
        <v>0</v>
      </c>
      <c r="CX29" s="1136">
        <f t="shared" si="100"/>
        <v>0</v>
      </c>
      <c r="CY29" s="1136">
        <f t="shared" si="101"/>
        <v>0</v>
      </c>
      <c r="CZ29" s="1136">
        <f t="shared" si="102"/>
        <v>0</v>
      </c>
      <c r="DA29" s="1136">
        <f t="shared" si="103"/>
        <v>2.1791324420704044</v>
      </c>
      <c r="DB29" s="1136">
        <f t="shared" si="104"/>
        <v>0</v>
      </c>
      <c r="DC29" s="1136">
        <f t="shared" si="105"/>
        <v>0</v>
      </c>
      <c r="DD29" s="1136">
        <f t="shared" si="106"/>
        <v>0</v>
      </c>
      <c r="DE29" s="1136">
        <f t="shared" si="107"/>
        <v>0</v>
      </c>
      <c r="DF29" s="1136">
        <f t="shared" si="108"/>
        <v>0</v>
      </c>
      <c r="DG29" s="1136">
        <f t="shared" si="109"/>
        <v>0</v>
      </c>
      <c r="DH29" s="1136">
        <f t="shared" si="110"/>
        <v>0</v>
      </c>
      <c r="DI29" s="1136">
        <f t="shared" si="111"/>
        <v>0</v>
      </c>
      <c r="DJ29" s="1136">
        <f t="shared" si="112"/>
        <v>0</v>
      </c>
      <c r="DK29" s="1136">
        <f t="shared" si="113"/>
        <v>0</v>
      </c>
      <c r="DL29" s="1136">
        <f t="shared" si="114"/>
        <v>0</v>
      </c>
      <c r="DM29" s="1131" t="str">
        <f t="array" ref="DM29">IF(MAX(ABS(CD29:DL29))&gt;$DM$4,"EXPLAIN","")</f>
        <v>EXPLAIN</v>
      </c>
      <c r="DN29" s="1131" t="str">
        <f t="shared" si="115"/>
        <v>Refer to Ergon Energy Pricing Proposal</v>
      </c>
      <c r="DP29" s="1140">
        <f t="shared" si="116"/>
        <v>4</v>
      </c>
      <c r="DQ29" s="1140">
        <f t="shared" si="117"/>
        <v>3</v>
      </c>
      <c r="DR29" s="1140" t="str">
        <f t="shared" si="118"/>
        <v>xxxx</v>
      </c>
    </row>
    <row r="30" spans="2:122">
      <c r="B30" s="1111" t="str">
        <f>IF(Prop2021DUOSTariffs!B30="","",Prop2021DUOSTariffs!B30)</f>
        <v/>
      </c>
      <c r="C30" s="1111" t="str">
        <f>IF(Prop2021DUOSTariffs!C30="","",Prop2021DUOSTariffs!C30)</f>
        <v>West SAC&gt;100MWhpa DemandSmall</v>
      </c>
      <c r="D30" s="1111" t="str">
        <f>IF(Prop2021DUOSTariffs!D30="","",Prop2021DUOSTariffs!D30)</f>
        <v>West SAC&gt;100MWhpa DemandSmall</v>
      </c>
      <c r="E30" s="1111" t="str">
        <f>IF(Prop2021DUOSTariffs!E30="","",Prop2021DUOSTariffs!E30)</f>
        <v>SAC</v>
      </c>
      <c r="F30" s="1111" t="str">
        <f>IF(Prop2021DUOSTariffs!F30="","",Prop2021DUOSTariffs!F30)</f>
        <v>SACL</v>
      </c>
      <c r="G30" s="1111" t="str">
        <f>IF(Prop2021DUOSTariffs!G30="","",Prop2021DUOSTariffs!G30)</f>
        <v>West</v>
      </c>
      <c r="H30" s="1111" t="str">
        <f>IF(Prop2021DUOSTariffs!H30="","",Prop2021DUOSTariffs!H30)</f>
        <v>WDST</v>
      </c>
      <c r="I30" s="1111" t="str">
        <f>IF(Prop2021DUOSTariffs!I30="","",Prop2021DUOSTariffs!I30)</f>
        <v>DUOS</v>
      </c>
      <c r="J30" s="1774">
        <v>71.612800000000007</v>
      </c>
      <c r="K30" s="1773">
        <v>0</v>
      </c>
      <c r="L30" s="1773">
        <v>0</v>
      </c>
      <c r="M30" s="1773">
        <v>0</v>
      </c>
      <c r="N30" s="1773">
        <v>0</v>
      </c>
      <c r="O30" s="1773">
        <v>0</v>
      </c>
      <c r="P30" s="1773">
        <v>0</v>
      </c>
      <c r="Q30" s="1773">
        <v>0</v>
      </c>
      <c r="R30" s="1773">
        <v>0</v>
      </c>
      <c r="S30" s="1773">
        <v>0</v>
      </c>
      <c r="T30" s="1773">
        <v>0</v>
      </c>
      <c r="U30" s="1773">
        <v>58.66303786574872</v>
      </c>
      <c r="V30" s="1773">
        <v>0</v>
      </c>
      <c r="W30" s="1773">
        <v>0</v>
      </c>
      <c r="X30" s="1773">
        <v>0</v>
      </c>
      <c r="Y30" s="1774">
        <v>65.18115318416524</v>
      </c>
      <c r="Z30" s="1773">
        <v>0</v>
      </c>
      <c r="AA30" s="1773">
        <v>0</v>
      </c>
      <c r="AB30" s="1773">
        <v>0</v>
      </c>
      <c r="AC30" s="1773">
        <v>0</v>
      </c>
      <c r="AD30" s="1773">
        <v>0</v>
      </c>
      <c r="AE30" s="1775">
        <v>0</v>
      </c>
      <c r="AF30" s="1775">
        <v>0</v>
      </c>
      <c r="AG30" s="1776">
        <v>5.2655267410076341E-3</v>
      </c>
      <c r="AH30" s="1775">
        <v>0</v>
      </c>
      <c r="AI30" s="1775">
        <v>0</v>
      </c>
      <c r="AJ30" s="1775">
        <v>0</v>
      </c>
      <c r="AK30" s="1775">
        <v>0</v>
      </c>
      <c r="AL30" s="1775">
        <v>0</v>
      </c>
      <c r="AM30" s="1775">
        <v>0</v>
      </c>
      <c r="AN30" s="1775">
        <v>0</v>
      </c>
      <c r="AO30" s="1775">
        <v>0</v>
      </c>
      <c r="AP30" s="1775">
        <v>0</v>
      </c>
      <c r="AQ30" s="1775">
        <v>0</v>
      </c>
      <c r="AR30" s="1775">
        <v>0</v>
      </c>
      <c r="AS30" s="1594"/>
      <c r="AT30" s="1233">
        <v>71.907668606511791</v>
      </c>
      <c r="AU30" s="1135"/>
      <c r="AV30" s="1135"/>
      <c r="AW30" s="1135"/>
      <c r="AX30" s="1135"/>
      <c r="AY30" s="1135"/>
      <c r="AZ30" s="1135"/>
      <c r="BA30" s="1135"/>
      <c r="BB30" s="1135"/>
      <c r="BC30" s="1135"/>
      <c r="BD30" s="1135"/>
      <c r="BE30" s="1135"/>
      <c r="BF30" s="1135"/>
      <c r="BG30" s="1135"/>
      <c r="BH30" s="1135"/>
      <c r="BI30" s="1233">
        <v>62.419274999999992</v>
      </c>
      <c r="BJ30" s="1135"/>
      <c r="BK30" s="1135"/>
      <c r="BL30" s="1135"/>
      <c r="BM30" s="1135"/>
      <c r="BN30" s="1135"/>
      <c r="BO30" s="1005"/>
      <c r="BP30" s="1005"/>
      <c r="BQ30" s="1596">
        <v>1.6562778798792255E-3</v>
      </c>
      <c r="BR30" s="1005"/>
      <c r="BS30" s="1005"/>
      <c r="BT30" s="1005"/>
      <c r="BU30" s="1005"/>
      <c r="BV30" s="1016"/>
      <c r="BW30" s="1016"/>
      <c r="BX30" s="1016"/>
      <c r="BY30" s="1016"/>
      <c r="BZ30" s="1016"/>
      <c r="CA30" s="1016"/>
      <c r="CB30" s="1016"/>
      <c r="CC30" s="1594"/>
      <c r="CD30" s="1136">
        <f t="shared" si="80"/>
        <v>-4.1006559137015675E-3</v>
      </c>
      <c r="CE30" s="1136">
        <f t="shared" si="81"/>
        <v>0</v>
      </c>
      <c r="CF30" s="1136">
        <f t="shared" si="82"/>
        <v>0</v>
      </c>
      <c r="CG30" s="1136">
        <f t="shared" si="83"/>
        <v>0</v>
      </c>
      <c r="CH30" s="1136">
        <f t="shared" si="84"/>
        <v>0</v>
      </c>
      <c r="CI30" s="1136">
        <f t="shared" si="85"/>
        <v>0</v>
      </c>
      <c r="CJ30" s="1136">
        <f t="shared" si="86"/>
        <v>0</v>
      </c>
      <c r="CK30" s="1136">
        <f t="shared" si="87"/>
        <v>0</v>
      </c>
      <c r="CL30" s="1136">
        <f t="shared" si="88"/>
        <v>0</v>
      </c>
      <c r="CM30" s="1136">
        <f t="shared" si="89"/>
        <v>0</v>
      </c>
      <c r="CN30" s="1136">
        <f t="shared" si="90"/>
        <v>0</v>
      </c>
      <c r="CO30" s="1136">
        <f t="shared" si="91"/>
        <v>0</v>
      </c>
      <c r="CP30" s="1136">
        <f t="shared" si="92"/>
        <v>0</v>
      </c>
      <c r="CQ30" s="1136">
        <f t="shared" si="93"/>
        <v>0</v>
      </c>
      <c r="CR30" s="1136">
        <f t="shared" si="94"/>
        <v>0</v>
      </c>
      <c r="CS30" s="1136">
        <f t="shared" si="95"/>
        <v>4.4247200630978867E-2</v>
      </c>
      <c r="CT30" s="1136">
        <f t="shared" si="96"/>
        <v>0</v>
      </c>
      <c r="CU30" s="1136">
        <f t="shared" si="97"/>
        <v>0</v>
      </c>
      <c r="CV30" s="1136">
        <f t="shared" si="98"/>
        <v>0</v>
      </c>
      <c r="CW30" s="1136">
        <f t="shared" si="99"/>
        <v>0</v>
      </c>
      <c r="CX30" s="1136">
        <f t="shared" si="100"/>
        <v>0</v>
      </c>
      <c r="CY30" s="1136">
        <f t="shared" si="101"/>
        <v>0</v>
      </c>
      <c r="CZ30" s="1136">
        <f t="shared" si="102"/>
        <v>0</v>
      </c>
      <c r="DA30" s="1136">
        <f t="shared" si="103"/>
        <v>2.1791324420704044</v>
      </c>
      <c r="DB30" s="1136">
        <f t="shared" si="104"/>
        <v>0</v>
      </c>
      <c r="DC30" s="1136">
        <f t="shared" si="105"/>
        <v>0</v>
      </c>
      <c r="DD30" s="1136">
        <f t="shared" si="106"/>
        <v>0</v>
      </c>
      <c r="DE30" s="1136">
        <f t="shared" si="107"/>
        <v>0</v>
      </c>
      <c r="DF30" s="1136">
        <f t="shared" si="108"/>
        <v>0</v>
      </c>
      <c r="DG30" s="1136">
        <f t="shared" si="109"/>
        <v>0</v>
      </c>
      <c r="DH30" s="1136">
        <f t="shared" si="110"/>
        <v>0</v>
      </c>
      <c r="DI30" s="1136">
        <f t="shared" si="111"/>
        <v>0</v>
      </c>
      <c r="DJ30" s="1136">
        <f t="shared" si="112"/>
        <v>0</v>
      </c>
      <c r="DK30" s="1136">
        <f t="shared" si="113"/>
        <v>0</v>
      </c>
      <c r="DL30" s="1136">
        <f t="shared" si="114"/>
        <v>0</v>
      </c>
      <c r="DM30" s="1131" t="str">
        <f t="array" ref="DM30">IF(MAX(ABS(CD30:DL30))&gt;$DM$4,"EXPLAIN","")</f>
        <v>EXPLAIN</v>
      </c>
      <c r="DN30" s="1131" t="str">
        <f t="shared" si="115"/>
        <v>Refer to Ergon Energy Pricing Proposal</v>
      </c>
      <c r="DP30" s="1140">
        <f t="shared" si="116"/>
        <v>4</v>
      </c>
      <c r="DQ30" s="1140">
        <f t="shared" si="117"/>
        <v>3</v>
      </c>
      <c r="DR30" s="1140" t="str">
        <f t="shared" si="118"/>
        <v>xxxx</v>
      </c>
    </row>
    <row r="31" spans="2:122">
      <c r="B31" s="1111" t="str">
        <f>IF(Prop2021DUOSTariffs!B31="","",Prop2021DUOSTariffs!B31)</f>
        <v/>
      </c>
      <c r="C31" s="1111" t="str">
        <f>IF(Prop2021DUOSTariffs!C31="","",Prop2021DUOSTariffs!C31)</f>
        <v>MtIsa SAC&gt;100MWhpa DemandLarge</v>
      </c>
      <c r="D31" s="1111" t="str">
        <f>IF(Prop2021DUOSTariffs!D31="","",Prop2021DUOSTariffs!D31)</f>
        <v>MtIsa SAC&gt;100MWhpa DemandLarge</v>
      </c>
      <c r="E31" s="1111" t="str">
        <f>IF(Prop2021DUOSTariffs!E31="","",Prop2021DUOSTariffs!E31)</f>
        <v>SAC</v>
      </c>
      <c r="F31" s="1111" t="str">
        <f>IF(Prop2021DUOSTariffs!F31="","",Prop2021DUOSTariffs!F31)</f>
        <v>SACL</v>
      </c>
      <c r="G31" s="1111" t="str">
        <f>IF(Prop2021DUOSTariffs!G31="","",Prop2021DUOSTariffs!G31)</f>
        <v>Mt Isa</v>
      </c>
      <c r="H31" s="1111" t="str">
        <f>IF(Prop2021DUOSTariffs!H31="","",Prop2021DUOSTariffs!H31)</f>
        <v>MDLT</v>
      </c>
      <c r="I31" s="1111" t="str">
        <f>IF(Prop2021DUOSTariffs!I31="","",Prop2021DUOSTariffs!I31)</f>
        <v>DUOS</v>
      </c>
      <c r="J31" s="1774">
        <v>209.20425</v>
      </c>
      <c r="K31" s="1773">
        <v>0</v>
      </c>
      <c r="L31" s="1773">
        <v>0</v>
      </c>
      <c r="M31" s="1773">
        <v>0</v>
      </c>
      <c r="N31" s="1773">
        <v>0</v>
      </c>
      <c r="O31" s="1773">
        <v>0</v>
      </c>
      <c r="P31" s="1773">
        <v>0</v>
      </c>
      <c r="Q31" s="1773">
        <v>0</v>
      </c>
      <c r="R31" s="1773">
        <v>0</v>
      </c>
      <c r="S31" s="1773">
        <v>0</v>
      </c>
      <c r="T31" s="1773">
        <v>0</v>
      </c>
      <c r="U31" s="1773">
        <v>9.4143424279724304</v>
      </c>
      <c r="V31" s="1773">
        <v>0</v>
      </c>
      <c r="W31" s="1773">
        <v>0</v>
      </c>
      <c r="X31" s="1773">
        <v>0</v>
      </c>
      <c r="Y31" s="1774">
        <v>10.460380475524921</v>
      </c>
      <c r="Z31" s="1773">
        <v>0</v>
      </c>
      <c r="AA31" s="1773">
        <v>0</v>
      </c>
      <c r="AB31" s="1773">
        <v>0</v>
      </c>
      <c r="AC31" s="1773">
        <v>0</v>
      </c>
      <c r="AD31" s="1773">
        <v>0</v>
      </c>
      <c r="AE31" s="1775">
        <v>0</v>
      </c>
      <c r="AF31" s="1775">
        <v>0</v>
      </c>
      <c r="AG31" s="1776">
        <v>2.5175116444294322E-3</v>
      </c>
      <c r="AH31" s="1775">
        <v>0</v>
      </c>
      <c r="AI31" s="1775">
        <v>0</v>
      </c>
      <c r="AJ31" s="1775">
        <v>0</v>
      </c>
      <c r="AK31" s="1775">
        <v>0</v>
      </c>
      <c r="AL31" s="1775">
        <v>0</v>
      </c>
      <c r="AM31" s="1775">
        <v>0</v>
      </c>
      <c r="AN31" s="1775">
        <v>0</v>
      </c>
      <c r="AO31" s="1775">
        <v>0</v>
      </c>
      <c r="AP31" s="1775">
        <v>0</v>
      </c>
      <c r="AQ31" s="1775">
        <v>0</v>
      </c>
      <c r="AR31" s="1775">
        <v>0</v>
      </c>
      <c r="AS31" s="1594"/>
      <c r="AT31" s="1233">
        <v>210.06565697855481</v>
      </c>
      <c r="AU31" s="1135"/>
      <c r="AV31" s="1135"/>
      <c r="AW31" s="1135"/>
      <c r="AX31" s="1135"/>
      <c r="AY31" s="1135"/>
      <c r="AZ31" s="1135"/>
      <c r="BA31" s="1135"/>
      <c r="BB31" s="1135"/>
      <c r="BC31" s="1135"/>
      <c r="BD31" s="1135"/>
      <c r="BE31" s="1135"/>
      <c r="BF31" s="1135"/>
      <c r="BG31" s="1135"/>
      <c r="BH31" s="1135"/>
      <c r="BI31" s="1233">
        <v>10.4427238446</v>
      </c>
      <c r="BJ31" s="1135"/>
      <c r="BK31" s="1135"/>
      <c r="BL31" s="1135"/>
      <c r="BM31" s="1135"/>
      <c r="BN31" s="1135"/>
      <c r="BO31" s="1005"/>
      <c r="BP31" s="1005"/>
      <c r="BQ31" s="1596">
        <v>1.7572195096282979E-3</v>
      </c>
      <c r="BR31" s="1005"/>
      <c r="BS31" s="1005"/>
      <c r="BT31" s="1005"/>
      <c r="BU31" s="1005"/>
      <c r="BV31" s="1016"/>
      <c r="BW31" s="1016"/>
      <c r="BX31" s="1016"/>
      <c r="BY31" s="1016"/>
      <c r="BZ31" s="1016"/>
      <c r="CA31" s="1016"/>
      <c r="CB31" s="1016"/>
      <c r="CC31" s="1594"/>
      <c r="CD31" s="1136">
        <f t="shared" si="80"/>
        <v>-4.1006559137020115E-3</v>
      </c>
      <c r="CE31" s="1136">
        <f t="shared" si="81"/>
        <v>0</v>
      </c>
      <c r="CF31" s="1136">
        <f t="shared" si="82"/>
        <v>0</v>
      </c>
      <c r="CG31" s="1136">
        <f t="shared" si="83"/>
        <v>0</v>
      </c>
      <c r="CH31" s="1136">
        <f t="shared" si="84"/>
        <v>0</v>
      </c>
      <c r="CI31" s="1136">
        <f t="shared" si="85"/>
        <v>0</v>
      </c>
      <c r="CJ31" s="1136">
        <f t="shared" si="86"/>
        <v>0</v>
      </c>
      <c r="CK31" s="1136">
        <f t="shared" si="87"/>
        <v>0</v>
      </c>
      <c r="CL31" s="1136">
        <f t="shared" si="88"/>
        <v>0</v>
      </c>
      <c r="CM31" s="1136">
        <f t="shared" si="89"/>
        <v>0</v>
      </c>
      <c r="CN31" s="1136">
        <f t="shared" si="90"/>
        <v>0</v>
      </c>
      <c r="CO31" s="1136">
        <f t="shared" si="91"/>
        <v>0</v>
      </c>
      <c r="CP31" s="1136">
        <f t="shared" si="92"/>
        <v>0</v>
      </c>
      <c r="CQ31" s="1136">
        <f t="shared" si="93"/>
        <v>0</v>
      </c>
      <c r="CR31" s="1136">
        <f t="shared" si="94"/>
        <v>0</v>
      </c>
      <c r="CS31" s="1136">
        <f t="shared" si="95"/>
        <v>1.6908070334591407E-3</v>
      </c>
      <c r="CT31" s="1136">
        <f t="shared" si="96"/>
        <v>0</v>
      </c>
      <c r="CU31" s="1136">
        <f t="shared" si="97"/>
        <v>0</v>
      </c>
      <c r="CV31" s="1136">
        <f t="shared" si="98"/>
        <v>0</v>
      </c>
      <c r="CW31" s="1136">
        <f t="shared" si="99"/>
        <v>0</v>
      </c>
      <c r="CX31" s="1136">
        <f t="shared" si="100"/>
        <v>0</v>
      </c>
      <c r="CY31" s="1136">
        <f t="shared" si="101"/>
        <v>0</v>
      </c>
      <c r="CZ31" s="1136">
        <f t="shared" si="102"/>
        <v>0</v>
      </c>
      <c r="DA31" s="1136">
        <f t="shared" si="103"/>
        <v>0.43266770635955321</v>
      </c>
      <c r="DB31" s="1136">
        <f t="shared" si="104"/>
        <v>0</v>
      </c>
      <c r="DC31" s="1136">
        <f t="shared" si="105"/>
        <v>0</v>
      </c>
      <c r="DD31" s="1136">
        <f t="shared" si="106"/>
        <v>0</v>
      </c>
      <c r="DE31" s="1136">
        <f t="shared" si="107"/>
        <v>0</v>
      </c>
      <c r="DF31" s="1136">
        <f t="shared" si="108"/>
        <v>0</v>
      </c>
      <c r="DG31" s="1136">
        <f t="shared" si="109"/>
        <v>0</v>
      </c>
      <c r="DH31" s="1136">
        <f t="shared" si="110"/>
        <v>0</v>
      </c>
      <c r="DI31" s="1136">
        <f t="shared" si="111"/>
        <v>0</v>
      </c>
      <c r="DJ31" s="1136">
        <f t="shared" si="112"/>
        <v>0</v>
      </c>
      <c r="DK31" s="1136">
        <f t="shared" si="113"/>
        <v>0</v>
      </c>
      <c r="DL31" s="1136">
        <f t="shared" si="114"/>
        <v>0</v>
      </c>
      <c r="DM31" s="1131" t="str">
        <f t="array" ref="DM31">IF(MAX(ABS(CD31:DL31))&gt;$DM$4,"EXPLAIN","")</f>
        <v>EXPLAIN</v>
      </c>
      <c r="DN31" s="1131" t="str">
        <f t="shared" si="115"/>
        <v>Refer to Ergon Energy Pricing Proposal</v>
      </c>
      <c r="DP31" s="1140">
        <f t="shared" si="116"/>
        <v>4</v>
      </c>
      <c r="DQ31" s="1140">
        <f t="shared" si="117"/>
        <v>3</v>
      </c>
      <c r="DR31" s="1140" t="str">
        <f t="shared" si="118"/>
        <v>xxxx</v>
      </c>
    </row>
    <row r="32" spans="2:122">
      <c r="B32" s="1111" t="str">
        <f>IF(Prop2021DUOSTariffs!B32="","",Prop2021DUOSTariffs!B32)</f>
        <v/>
      </c>
      <c r="C32" s="1111" t="str">
        <f>IF(Prop2021DUOSTariffs!C32="","",Prop2021DUOSTariffs!C32)</f>
        <v>MtIsa SAC&gt;100MWhpa DemandMedium</v>
      </c>
      <c r="D32" s="1111" t="str">
        <f>IF(Prop2021DUOSTariffs!D32="","",Prop2021DUOSTariffs!D32)</f>
        <v>MtIsa SAC&gt;100MWhpa DemandMedium</v>
      </c>
      <c r="E32" s="1111" t="str">
        <f>IF(Prop2021DUOSTariffs!E32="","",Prop2021DUOSTariffs!E32)</f>
        <v>SAC</v>
      </c>
      <c r="F32" s="1111" t="str">
        <f>IF(Prop2021DUOSTariffs!F32="","",Prop2021DUOSTariffs!F32)</f>
        <v>SACL</v>
      </c>
      <c r="G32" s="1111" t="str">
        <f>IF(Prop2021DUOSTariffs!G32="","",Prop2021DUOSTariffs!G32)</f>
        <v>Mt Isa</v>
      </c>
      <c r="H32" s="1111" t="str">
        <f>IF(Prop2021DUOSTariffs!H32="","",Prop2021DUOSTariffs!H32)</f>
        <v>MDMT</v>
      </c>
      <c r="I32" s="1111" t="str">
        <f>IF(Prop2021DUOSTariffs!I32="","",Prop2021DUOSTariffs!I32)</f>
        <v>DUOS</v>
      </c>
      <c r="J32" s="1774">
        <v>72.678799999999995</v>
      </c>
      <c r="K32" s="1773">
        <v>0</v>
      </c>
      <c r="L32" s="1773">
        <v>0</v>
      </c>
      <c r="M32" s="1773">
        <v>0</v>
      </c>
      <c r="N32" s="1773">
        <v>0</v>
      </c>
      <c r="O32" s="1773">
        <v>0</v>
      </c>
      <c r="P32" s="1773">
        <v>0</v>
      </c>
      <c r="Q32" s="1773">
        <v>0</v>
      </c>
      <c r="R32" s="1773">
        <v>0</v>
      </c>
      <c r="S32" s="1773">
        <v>0</v>
      </c>
      <c r="T32" s="1773">
        <v>0</v>
      </c>
      <c r="U32" s="1773">
        <v>12.078268682368542</v>
      </c>
      <c r="V32" s="1773">
        <v>0</v>
      </c>
      <c r="W32" s="1773">
        <v>0</v>
      </c>
      <c r="X32" s="1773">
        <v>0</v>
      </c>
      <c r="Y32" s="1774">
        <v>13.420298535965046</v>
      </c>
      <c r="Z32" s="1773">
        <v>0</v>
      </c>
      <c r="AA32" s="1773">
        <v>0</v>
      </c>
      <c r="AB32" s="1773">
        <v>0</v>
      </c>
      <c r="AC32" s="1773">
        <v>0</v>
      </c>
      <c r="AD32" s="1773">
        <v>0</v>
      </c>
      <c r="AE32" s="1775">
        <v>0</v>
      </c>
      <c r="AF32" s="1775">
        <v>0</v>
      </c>
      <c r="AG32" s="1776">
        <v>2.5175116444294322E-3</v>
      </c>
      <c r="AH32" s="1775">
        <v>0</v>
      </c>
      <c r="AI32" s="1775">
        <v>0</v>
      </c>
      <c r="AJ32" s="1775">
        <v>0</v>
      </c>
      <c r="AK32" s="1775">
        <v>0</v>
      </c>
      <c r="AL32" s="1775">
        <v>0</v>
      </c>
      <c r="AM32" s="1775">
        <v>0</v>
      </c>
      <c r="AN32" s="1775">
        <v>0</v>
      </c>
      <c r="AO32" s="1775">
        <v>0</v>
      </c>
      <c r="AP32" s="1775">
        <v>0</v>
      </c>
      <c r="AQ32" s="1775">
        <v>0</v>
      </c>
      <c r="AR32" s="1775">
        <v>0</v>
      </c>
      <c r="AS32" s="1594"/>
      <c r="AT32" s="1233">
        <v>72.97805790471746</v>
      </c>
      <c r="AU32" s="1135"/>
      <c r="AV32" s="1135"/>
      <c r="AW32" s="1135"/>
      <c r="AX32" s="1135"/>
      <c r="AY32" s="1135"/>
      <c r="AZ32" s="1135"/>
      <c r="BA32" s="1135"/>
      <c r="BB32" s="1135"/>
      <c r="BC32" s="1135"/>
      <c r="BD32" s="1135"/>
      <c r="BE32" s="1135"/>
      <c r="BF32" s="1135"/>
      <c r="BG32" s="1135"/>
      <c r="BH32" s="1135"/>
      <c r="BI32" s="1233">
        <v>13.3975215</v>
      </c>
      <c r="BJ32" s="1135"/>
      <c r="BK32" s="1135"/>
      <c r="BL32" s="1135"/>
      <c r="BM32" s="1135"/>
      <c r="BN32" s="1135"/>
      <c r="BO32" s="1005"/>
      <c r="BP32" s="1005"/>
      <c r="BQ32" s="1596">
        <v>1.7572195096282979E-3</v>
      </c>
      <c r="BR32" s="1005"/>
      <c r="BS32" s="1005"/>
      <c r="BT32" s="1005"/>
      <c r="BU32" s="1005"/>
      <c r="BV32" s="1016"/>
      <c r="BW32" s="1016"/>
      <c r="BX32" s="1016"/>
      <c r="BY32" s="1016"/>
      <c r="BZ32" s="1016"/>
      <c r="CA32" s="1016"/>
      <c r="CB32" s="1016"/>
      <c r="CC32" s="1594"/>
      <c r="CD32" s="1136">
        <f t="shared" si="80"/>
        <v>-4.1006559137020115E-3</v>
      </c>
      <c r="CE32" s="1136">
        <f t="shared" si="81"/>
        <v>0</v>
      </c>
      <c r="CF32" s="1136">
        <f t="shared" si="82"/>
        <v>0</v>
      </c>
      <c r="CG32" s="1136">
        <f t="shared" si="83"/>
        <v>0</v>
      </c>
      <c r="CH32" s="1136">
        <f t="shared" si="84"/>
        <v>0</v>
      </c>
      <c r="CI32" s="1136">
        <f t="shared" si="85"/>
        <v>0</v>
      </c>
      <c r="CJ32" s="1136">
        <f t="shared" si="86"/>
        <v>0</v>
      </c>
      <c r="CK32" s="1136">
        <f t="shared" si="87"/>
        <v>0</v>
      </c>
      <c r="CL32" s="1136">
        <f t="shared" si="88"/>
        <v>0</v>
      </c>
      <c r="CM32" s="1136">
        <f t="shared" si="89"/>
        <v>0</v>
      </c>
      <c r="CN32" s="1136">
        <f t="shared" si="90"/>
        <v>0</v>
      </c>
      <c r="CO32" s="1136">
        <f t="shared" si="91"/>
        <v>0</v>
      </c>
      <c r="CP32" s="1136">
        <f t="shared" si="92"/>
        <v>0</v>
      </c>
      <c r="CQ32" s="1136">
        <f t="shared" si="93"/>
        <v>0</v>
      </c>
      <c r="CR32" s="1136">
        <f t="shared" si="94"/>
        <v>0</v>
      </c>
      <c r="CS32" s="1136">
        <f t="shared" si="95"/>
        <v>1.7000932571777927E-3</v>
      </c>
      <c r="CT32" s="1136">
        <f t="shared" si="96"/>
        <v>0</v>
      </c>
      <c r="CU32" s="1136">
        <f t="shared" si="97"/>
        <v>0</v>
      </c>
      <c r="CV32" s="1136">
        <f t="shared" si="98"/>
        <v>0</v>
      </c>
      <c r="CW32" s="1136">
        <f t="shared" si="99"/>
        <v>0</v>
      </c>
      <c r="CX32" s="1136">
        <f t="shared" si="100"/>
        <v>0</v>
      </c>
      <c r="CY32" s="1136">
        <f t="shared" si="101"/>
        <v>0</v>
      </c>
      <c r="CZ32" s="1136">
        <f t="shared" si="102"/>
        <v>0</v>
      </c>
      <c r="DA32" s="1136">
        <f t="shared" si="103"/>
        <v>0.43266770635955321</v>
      </c>
      <c r="DB32" s="1136">
        <f t="shared" si="104"/>
        <v>0</v>
      </c>
      <c r="DC32" s="1136">
        <f t="shared" si="105"/>
        <v>0</v>
      </c>
      <c r="DD32" s="1136">
        <f t="shared" si="106"/>
        <v>0</v>
      </c>
      <c r="DE32" s="1136">
        <f t="shared" si="107"/>
        <v>0</v>
      </c>
      <c r="DF32" s="1136">
        <f t="shared" si="108"/>
        <v>0</v>
      </c>
      <c r="DG32" s="1136">
        <f t="shared" si="109"/>
        <v>0</v>
      </c>
      <c r="DH32" s="1136">
        <f t="shared" si="110"/>
        <v>0</v>
      </c>
      <c r="DI32" s="1136">
        <f t="shared" si="111"/>
        <v>0</v>
      </c>
      <c r="DJ32" s="1136">
        <f t="shared" si="112"/>
        <v>0</v>
      </c>
      <c r="DK32" s="1136">
        <f t="shared" si="113"/>
        <v>0</v>
      </c>
      <c r="DL32" s="1136">
        <f t="shared" si="114"/>
        <v>0</v>
      </c>
      <c r="DM32" s="1131" t="str">
        <f t="array" ref="DM32">IF(MAX(ABS(CD32:DL32))&gt;$DM$4,"EXPLAIN","")</f>
        <v>EXPLAIN</v>
      </c>
      <c r="DN32" s="1131" t="str">
        <f t="shared" si="115"/>
        <v>Refer to Ergon Energy Pricing Proposal</v>
      </c>
      <c r="DP32" s="1140">
        <f t="shared" si="116"/>
        <v>4</v>
      </c>
      <c r="DQ32" s="1140">
        <f t="shared" si="117"/>
        <v>3</v>
      </c>
      <c r="DR32" s="1140" t="str">
        <f t="shared" si="118"/>
        <v>xxxx</v>
      </c>
    </row>
    <row r="33" spans="2:122">
      <c r="B33" s="1111" t="str">
        <f>IF(Prop2021DUOSTariffs!B33="","",Prop2021DUOSTariffs!B33)</f>
        <v/>
      </c>
      <c r="C33" s="1111" t="str">
        <f>IF(Prop2021DUOSTariffs!C33="","",Prop2021DUOSTariffs!C33)</f>
        <v>MtIsa SAC&gt;100MWhpa DemandSmall</v>
      </c>
      <c r="D33" s="1111" t="str">
        <f>IF(Prop2021DUOSTariffs!D33="","",Prop2021DUOSTariffs!D33)</f>
        <v>MtIsa SAC&gt;100MWhpa DemandSmall</v>
      </c>
      <c r="E33" s="1111" t="str">
        <f>IF(Prop2021DUOSTariffs!E33="","",Prop2021DUOSTariffs!E33)</f>
        <v>SAC</v>
      </c>
      <c r="F33" s="1111" t="str">
        <f>IF(Prop2021DUOSTariffs!F33="","",Prop2021DUOSTariffs!F33)</f>
        <v>SACL</v>
      </c>
      <c r="G33" s="1111" t="str">
        <f>IF(Prop2021DUOSTariffs!G33="","",Prop2021DUOSTariffs!G33)</f>
        <v>Mt Isa</v>
      </c>
      <c r="H33" s="1111" t="str">
        <f>IF(Prop2021DUOSTariffs!H33="","",Prop2021DUOSTariffs!H33)</f>
        <v>MDST</v>
      </c>
      <c r="I33" s="1111" t="str">
        <f>IF(Prop2021DUOSTariffs!I33="","",Prop2021DUOSTariffs!I33)</f>
        <v>DUOS</v>
      </c>
      <c r="J33" s="1774">
        <v>21.37595</v>
      </c>
      <c r="K33" s="1773">
        <v>0</v>
      </c>
      <c r="L33" s="1773">
        <v>0</v>
      </c>
      <c r="M33" s="1773">
        <v>0</v>
      </c>
      <c r="N33" s="1773">
        <v>0</v>
      </c>
      <c r="O33" s="1773">
        <v>0</v>
      </c>
      <c r="P33" s="1773">
        <v>0</v>
      </c>
      <c r="Q33" s="1773">
        <v>0</v>
      </c>
      <c r="R33" s="1773">
        <v>0</v>
      </c>
      <c r="S33" s="1773">
        <v>0</v>
      </c>
      <c r="T33" s="1773">
        <v>0</v>
      </c>
      <c r="U33" s="1773">
        <v>13.288980343841954</v>
      </c>
      <c r="V33" s="1773">
        <v>0</v>
      </c>
      <c r="W33" s="1773">
        <v>0</v>
      </c>
      <c r="X33" s="1773">
        <v>0</v>
      </c>
      <c r="Y33" s="1774">
        <v>14.765533715379949</v>
      </c>
      <c r="Z33" s="1773">
        <v>0</v>
      </c>
      <c r="AA33" s="1773">
        <v>0</v>
      </c>
      <c r="AB33" s="1773">
        <v>0</v>
      </c>
      <c r="AC33" s="1773">
        <v>0</v>
      </c>
      <c r="AD33" s="1773">
        <v>0</v>
      </c>
      <c r="AE33" s="1775">
        <v>0</v>
      </c>
      <c r="AF33" s="1775">
        <v>0</v>
      </c>
      <c r="AG33" s="1776">
        <v>2.5175116444294322E-3</v>
      </c>
      <c r="AH33" s="1775">
        <v>0</v>
      </c>
      <c r="AI33" s="1775">
        <v>0</v>
      </c>
      <c r="AJ33" s="1775">
        <v>0</v>
      </c>
      <c r="AK33" s="1775">
        <v>0</v>
      </c>
      <c r="AL33" s="1775">
        <v>0</v>
      </c>
      <c r="AM33" s="1775">
        <v>0</v>
      </c>
      <c r="AN33" s="1775">
        <v>0</v>
      </c>
      <c r="AO33" s="1775">
        <v>0</v>
      </c>
      <c r="AP33" s="1775">
        <v>0</v>
      </c>
      <c r="AQ33" s="1775">
        <v>0</v>
      </c>
      <c r="AR33" s="1775">
        <v>0</v>
      </c>
      <c r="AS33" s="1594"/>
      <c r="AT33" s="1233">
        <v>21.463966340505696</v>
      </c>
      <c r="AU33" s="1135"/>
      <c r="AV33" s="1135"/>
      <c r="AW33" s="1135"/>
      <c r="AX33" s="1135"/>
      <c r="AY33" s="1135"/>
      <c r="AZ33" s="1135"/>
      <c r="BA33" s="1135"/>
      <c r="BB33" s="1135"/>
      <c r="BC33" s="1135"/>
      <c r="BD33" s="1135"/>
      <c r="BE33" s="1135"/>
      <c r="BF33" s="1135"/>
      <c r="BG33" s="1135"/>
      <c r="BH33" s="1135"/>
      <c r="BI33" s="1233">
        <v>14.740703999999999</v>
      </c>
      <c r="BJ33" s="1135"/>
      <c r="BK33" s="1135"/>
      <c r="BL33" s="1135"/>
      <c r="BM33" s="1135"/>
      <c r="BN33" s="1135"/>
      <c r="BO33" s="1005"/>
      <c r="BP33" s="1005"/>
      <c r="BQ33" s="1596">
        <v>1.7572195096282979E-3</v>
      </c>
      <c r="BR33" s="1005"/>
      <c r="BS33" s="1005"/>
      <c r="BT33" s="1005"/>
      <c r="BU33" s="1005"/>
      <c r="BV33" s="1016"/>
      <c r="BW33" s="1016"/>
      <c r="BX33" s="1016"/>
      <c r="BY33" s="1016"/>
      <c r="BZ33" s="1016"/>
      <c r="CA33" s="1016"/>
      <c r="CB33" s="1016"/>
      <c r="CC33" s="1594"/>
      <c r="CD33" s="1136">
        <f t="shared" si="80"/>
        <v>-4.1006559137020115E-3</v>
      </c>
      <c r="CE33" s="1136">
        <f t="shared" si="81"/>
        <v>0</v>
      </c>
      <c r="CF33" s="1136">
        <f t="shared" si="82"/>
        <v>0</v>
      </c>
      <c r="CG33" s="1136">
        <f t="shared" si="83"/>
        <v>0</v>
      </c>
      <c r="CH33" s="1136">
        <f t="shared" si="84"/>
        <v>0</v>
      </c>
      <c r="CI33" s="1136">
        <f t="shared" si="85"/>
        <v>0</v>
      </c>
      <c r="CJ33" s="1136">
        <f t="shared" si="86"/>
        <v>0</v>
      </c>
      <c r="CK33" s="1136">
        <f t="shared" si="87"/>
        <v>0</v>
      </c>
      <c r="CL33" s="1136">
        <f t="shared" si="88"/>
        <v>0</v>
      </c>
      <c r="CM33" s="1136">
        <f t="shared" si="89"/>
        <v>0</v>
      </c>
      <c r="CN33" s="1136">
        <f t="shared" si="90"/>
        <v>0</v>
      </c>
      <c r="CO33" s="1136">
        <f t="shared" si="91"/>
        <v>0</v>
      </c>
      <c r="CP33" s="1136">
        <f t="shared" si="92"/>
        <v>0</v>
      </c>
      <c r="CQ33" s="1136">
        <f t="shared" si="93"/>
        <v>0</v>
      </c>
      <c r="CR33" s="1136">
        <f t="shared" si="94"/>
        <v>0</v>
      </c>
      <c r="CS33" s="1136">
        <f t="shared" si="95"/>
        <v>1.6844321261690887E-3</v>
      </c>
      <c r="CT33" s="1136">
        <f t="shared" si="96"/>
        <v>0</v>
      </c>
      <c r="CU33" s="1136">
        <f t="shared" si="97"/>
        <v>0</v>
      </c>
      <c r="CV33" s="1136">
        <f t="shared" si="98"/>
        <v>0</v>
      </c>
      <c r="CW33" s="1136">
        <f t="shared" si="99"/>
        <v>0</v>
      </c>
      <c r="CX33" s="1136">
        <f t="shared" si="100"/>
        <v>0</v>
      </c>
      <c r="CY33" s="1136">
        <f t="shared" si="101"/>
        <v>0</v>
      </c>
      <c r="CZ33" s="1136">
        <f t="shared" si="102"/>
        <v>0</v>
      </c>
      <c r="DA33" s="1136">
        <f t="shared" si="103"/>
        <v>0.43266770635955321</v>
      </c>
      <c r="DB33" s="1136">
        <f t="shared" si="104"/>
        <v>0</v>
      </c>
      <c r="DC33" s="1136">
        <f t="shared" si="105"/>
        <v>0</v>
      </c>
      <c r="DD33" s="1136">
        <f t="shared" si="106"/>
        <v>0</v>
      </c>
      <c r="DE33" s="1136">
        <f t="shared" si="107"/>
        <v>0</v>
      </c>
      <c r="DF33" s="1136">
        <f t="shared" si="108"/>
        <v>0</v>
      </c>
      <c r="DG33" s="1136">
        <f t="shared" si="109"/>
        <v>0</v>
      </c>
      <c r="DH33" s="1136">
        <f t="shared" si="110"/>
        <v>0</v>
      </c>
      <c r="DI33" s="1136">
        <f t="shared" si="111"/>
        <v>0</v>
      </c>
      <c r="DJ33" s="1136">
        <f t="shared" si="112"/>
        <v>0</v>
      </c>
      <c r="DK33" s="1136">
        <f t="shared" si="113"/>
        <v>0</v>
      </c>
      <c r="DL33" s="1136">
        <f t="shared" si="114"/>
        <v>0</v>
      </c>
      <c r="DM33" s="1131" t="str">
        <f t="array" ref="DM33">IF(MAX(ABS(CD33:DL33))&gt;$DM$4,"EXPLAIN","")</f>
        <v>EXPLAIN</v>
      </c>
      <c r="DN33" s="1131" t="str">
        <f t="shared" si="115"/>
        <v>Refer to Ergon Energy Pricing Proposal</v>
      </c>
      <c r="DP33" s="1140">
        <f t="shared" si="116"/>
        <v>4</v>
      </c>
      <c r="DQ33" s="1140">
        <f t="shared" si="117"/>
        <v>3</v>
      </c>
      <c r="DR33" s="1140" t="str">
        <f t="shared" si="118"/>
        <v>xxxx</v>
      </c>
    </row>
    <row r="34" spans="2:122">
      <c r="B34" s="1111" t="str">
        <f>IF(Prop2021DUOSTariffs!B34="","",Prop2021DUOSTariffs!B34)</f>
        <v/>
      </c>
      <c r="C34" s="1111" t="str">
        <f>IF(Prop2021DUOSTariffs!C34="","",Prop2021DUOSTariffs!C34)</f>
        <v>East SAC&gt;100MWhpa STOUD</v>
      </c>
      <c r="D34" s="1111" t="str">
        <f>IF(Prop2021DUOSTariffs!D34="","",Prop2021DUOSTariffs!D34)</f>
        <v>East SAC&gt;100MWhpa STOUD</v>
      </c>
      <c r="E34" s="1111" t="str">
        <f>IF(Prop2021DUOSTariffs!E34="","",Prop2021DUOSTariffs!E34)</f>
        <v>SAC</v>
      </c>
      <c r="F34" s="1111" t="str">
        <f>IF(Prop2021DUOSTariffs!F34="","",Prop2021DUOSTariffs!F34)</f>
        <v>SACL</v>
      </c>
      <c r="G34" s="1111" t="str">
        <f>IF(Prop2021DUOSTariffs!G34="","",Prop2021DUOSTariffs!G34)</f>
        <v>East</v>
      </c>
      <c r="H34" s="1111" t="str">
        <f>IF(Prop2021DUOSTariffs!H34="","",Prop2021DUOSTariffs!H34)</f>
        <v>ESTOUD</v>
      </c>
      <c r="I34" s="1111" t="str">
        <f>IF(Prop2021DUOSTariffs!I34="","",Prop2021DUOSTariffs!I34)</f>
        <v>DUOS</v>
      </c>
      <c r="J34" s="1774">
        <v>25.65</v>
      </c>
      <c r="K34" s="1773">
        <v>0</v>
      </c>
      <c r="L34" s="1773">
        <v>0</v>
      </c>
      <c r="M34" s="1773">
        <v>0</v>
      </c>
      <c r="N34" s="1773">
        <v>0</v>
      </c>
      <c r="O34" s="1773">
        <v>0</v>
      </c>
      <c r="P34" s="1773">
        <v>0</v>
      </c>
      <c r="Q34" s="1773">
        <v>0</v>
      </c>
      <c r="R34" s="1773">
        <v>0</v>
      </c>
      <c r="S34" s="1773">
        <v>0</v>
      </c>
      <c r="T34" s="1773">
        <v>0</v>
      </c>
      <c r="U34" s="1773">
        <v>0</v>
      </c>
      <c r="V34" s="1773">
        <v>0</v>
      </c>
      <c r="W34" s="1773">
        <v>0</v>
      </c>
      <c r="X34" s="1773">
        <v>0</v>
      </c>
      <c r="Y34" s="1773">
        <v>0</v>
      </c>
      <c r="Z34" s="1773">
        <v>0</v>
      </c>
      <c r="AA34" s="1773">
        <v>0</v>
      </c>
      <c r="AB34" s="1774">
        <v>9.0240500000000008</v>
      </c>
      <c r="AC34" s="1774">
        <v>63.271128326822478</v>
      </c>
      <c r="AD34" s="1773">
        <v>0</v>
      </c>
      <c r="AE34" s="1775">
        <v>0</v>
      </c>
      <c r="AF34" s="1775">
        <v>0</v>
      </c>
      <c r="AG34" s="1775">
        <v>0</v>
      </c>
      <c r="AH34" s="1775">
        <v>0</v>
      </c>
      <c r="AI34" s="1775">
        <v>0</v>
      </c>
      <c r="AJ34" s="1775">
        <v>0</v>
      </c>
      <c r="AK34" s="1775">
        <v>0</v>
      </c>
      <c r="AL34" s="1775">
        <v>0</v>
      </c>
      <c r="AM34" s="1775">
        <v>0</v>
      </c>
      <c r="AN34" s="1775">
        <v>0</v>
      </c>
      <c r="AO34" s="1775">
        <v>0</v>
      </c>
      <c r="AP34" s="1775">
        <v>0</v>
      </c>
      <c r="AQ34" s="1776">
        <v>2.2272520037793033E-2</v>
      </c>
      <c r="AR34" s="1775">
        <v>0</v>
      </c>
      <c r="AS34" s="1594"/>
      <c r="AT34" s="1233">
        <v>25.755631068684128</v>
      </c>
      <c r="AU34" s="1135"/>
      <c r="AV34" s="1135"/>
      <c r="AW34" s="1135"/>
      <c r="AX34" s="1135"/>
      <c r="AY34" s="1135"/>
      <c r="AZ34" s="1135"/>
      <c r="BA34" s="1135"/>
      <c r="BB34" s="1135"/>
      <c r="BC34" s="1135"/>
      <c r="BD34" s="1135"/>
      <c r="BE34" s="1135"/>
      <c r="BF34" s="1135"/>
      <c r="BG34" s="1135"/>
      <c r="BH34" s="1135"/>
      <c r="BI34" s="1135"/>
      <c r="BJ34" s="1135"/>
      <c r="BK34" s="1135"/>
      <c r="BL34" s="1233">
        <v>8.5730000000000004</v>
      </c>
      <c r="BM34" s="1233">
        <v>63.165999999999997</v>
      </c>
      <c r="BN34" s="1135"/>
      <c r="BO34" s="1005"/>
      <c r="BP34" s="1005"/>
      <c r="BQ34" s="1005"/>
      <c r="BR34" s="1005"/>
      <c r="BS34" s="1005"/>
      <c r="BT34" s="1005"/>
      <c r="BU34" s="1005"/>
      <c r="BV34" s="1016"/>
      <c r="BW34" s="1016"/>
      <c r="BX34" s="1016"/>
      <c r="BY34" s="1016"/>
      <c r="BZ34" s="1016"/>
      <c r="CA34" s="1596">
        <v>1.8960000000000001E-2</v>
      </c>
      <c r="CB34" s="1596">
        <v>0</v>
      </c>
      <c r="CC34" s="1594"/>
      <c r="CD34" s="1136">
        <f t="shared" si="80"/>
        <v>-4.1012805472495639E-3</v>
      </c>
      <c r="CE34" s="1136">
        <f t="shared" si="81"/>
        <v>0</v>
      </c>
      <c r="CF34" s="1136">
        <f t="shared" si="82"/>
        <v>0</v>
      </c>
      <c r="CG34" s="1136">
        <f t="shared" si="83"/>
        <v>0</v>
      </c>
      <c r="CH34" s="1136">
        <f t="shared" si="84"/>
        <v>0</v>
      </c>
      <c r="CI34" s="1136">
        <f t="shared" si="85"/>
        <v>0</v>
      </c>
      <c r="CJ34" s="1136">
        <f t="shared" si="86"/>
        <v>0</v>
      </c>
      <c r="CK34" s="1136">
        <f t="shared" si="87"/>
        <v>0</v>
      </c>
      <c r="CL34" s="1136">
        <f t="shared" si="88"/>
        <v>0</v>
      </c>
      <c r="CM34" s="1136">
        <f t="shared" si="89"/>
        <v>0</v>
      </c>
      <c r="CN34" s="1136">
        <f t="shared" si="90"/>
        <v>0</v>
      </c>
      <c r="CO34" s="1136">
        <f t="shared" si="91"/>
        <v>0</v>
      </c>
      <c r="CP34" s="1136">
        <f t="shared" si="92"/>
        <v>0</v>
      </c>
      <c r="CQ34" s="1136">
        <f t="shared" si="93"/>
        <v>0</v>
      </c>
      <c r="CR34" s="1136">
        <f t="shared" si="94"/>
        <v>0</v>
      </c>
      <c r="CS34" s="1136">
        <f t="shared" si="95"/>
        <v>0</v>
      </c>
      <c r="CT34" s="1136">
        <f t="shared" si="96"/>
        <v>0</v>
      </c>
      <c r="CU34" s="1136">
        <f t="shared" si="97"/>
        <v>0</v>
      </c>
      <c r="CV34" s="1136">
        <f t="shared" si="98"/>
        <v>5.2612854310043256E-2</v>
      </c>
      <c r="CW34" s="1136">
        <f t="shared" si="99"/>
        <v>1.6643182538467194E-3</v>
      </c>
      <c r="CX34" s="1136">
        <f t="shared" si="100"/>
        <v>0</v>
      </c>
      <c r="CY34" s="1136">
        <f t="shared" si="101"/>
        <v>0</v>
      </c>
      <c r="CZ34" s="1136">
        <f t="shared" si="102"/>
        <v>0</v>
      </c>
      <c r="DA34" s="1136">
        <f t="shared" si="103"/>
        <v>0</v>
      </c>
      <c r="DB34" s="1136">
        <f t="shared" si="104"/>
        <v>0</v>
      </c>
      <c r="DC34" s="1136">
        <f t="shared" si="105"/>
        <v>0</v>
      </c>
      <c r="DD34" s="1136">
        <f t="shared" si="106"/>
        <v>0</v>
      </c>
      <c r="DE34" s="1136">
        <f t="shared" si="107"/>
        <v>0</v>
      </c>
      <c r="DF34" s="1136">
        <f t="shared" si="108"/>
        <v>0</v>
      </c>
      <c r="DG34" s="1136">
        <f t="shared" si="109"/>
        <v>0</v>
      </c>
      <c r="DH34" s="1136">
        <f t="shared" si="110"/>
        <v>0</v>
      </c>
      <c r="DI34" s="1136">
        <f t="shared" si="111"/>
        <v>0</v>
      </c>
      <c r="DJ34" s="1136">
        <f t="shared" si="112"/>
        <v>0</v>
      </c>
      <c r="DK34" s="1136">
        <f t="shared" si="113"/>
        <v>0.17471097245743827</v>
      </c>
      <c r="DL34" s="1136">
        <f t="shared" si="114"/>
        <v>0</v>
      </c>
      <c r="DM34" s="1131" t="str">
        <f t="array" ref="DM34">IF(MAX(ABS(CD34:DL34))&gt;$DM$4,"EXPLAIN","")</f>
        <v>EXPLAIN</v>
      </c>
      <c r="DN34" s="1131" t="str">
        <f t="shared" si="115"/>
        <v>Refer to Ergon Energy Pricing Proposal</v>
      </c>
      <c r="DP34" s="1140">
        <f t="shared" si="116"/>
        <v>4</v>
      </c>
      <c r="DQ34" s="1140">
        <f t="shared" si="117"/>
        <v>5</v>
      </c>
      <c r="DR34" s="1140" t="str">
        <f t="shared" si="118"/>
        <v>xxxx</v>
      </c>
    </row>
    <row r="35" spans="2:122">
      <c r="B35" s="1111" t="str">
        <f>IF(Prop2021DUOSTariffs!B35="","",Prop2021DUOSTariffs!B35)</f>
        <v/>
      </c>
      <c r="C35" s="1111" t="str">
        <f>IF(Prop2021DUOSTariffs!C35="","",Prop2021DUOSTariffs!C35)</f>
        <v>West SAC&gt;100MWhpa STOUD</v>
      </c>
      <c r="D35" s="1111" t="str">
        <f>IF(Prop2021DUOSTariffs!D35="","",Prop2021DUOSTariffs!D35)</f>
        <v>West SAC&gt;100MWhpa STOUD</v>
      </c>
      <c r="E35" s="1111" t="str">
        <f>IF(Prop2021DUOSTariffs!E35="","",Prop2021DUOSTariffs!E35)</f>
        <v>SAC</v>
      </c>
      <c r="F35" s="1111" t="str">
        <f>IF(Prop2021DUOSTariffs!F35="","",Prop2021DUOSTariffs!F35)</f>
        <v>SACL</v>
      </c>
      <c r="G35" s="1111" t="str">
        <f>IF(Prop2021DUOSTariffs!G35="","",Prop2021DUOSTariffs!G35)</f>
        <v>West</v>
      </c>
      <c r="H35" s="1111" t="str">
        <f>IF(Prop2021DUOSTariffs!H35="","",Prop2021DUOSTariffs!H35)</f>
        <v>WSTOUD</v>
      </c>
      <c r="I35" s="1111" t="str">
        <f>IF(Prop2021DUOSTariffs!I35="","",Prop2021DUOSTariffs!I35)</f>
        <v>DUOS</v>
      </c>
      <c r="J35" s="1774">
        <v>85.5</v>
      </c>
      <c r="K35" s="1773">
        <v>0</v>
      </c>
      <c r="L35" s="1773">
        <v>0</v>
      </c>
      <c r="M35" s="1773">
        <v>0</v>
      </c>
      <c r="N35" s="1773">
        <v>0</v>
      </c>
      <c r="O35" s="1773">
        <v>0</v>
      </c>
      <c r="P35" s="1773">
        <v>0</v>
      </c>
      <c r="Q35" s="1773">
        <v>0</v>
      </c>
      <c r="R35" s="1773">
        <v>0</v>
      </c>
      <c r="S35" s="1773">
        <v>0</v>
      </c>
      <c r="T35" s="1773">
        <v>0</v>
      </c>
      <c r="U35" s="1773">
        <v>0</v>
      </c>
      <c r="V35" s="1773">
        <v>0</v>
      </c>
      <c r="W35" s="1773">
        <v>0</v>
      </c>
      <c r="X35" s="1773">
        <v>0</v>
      </c>
      <c r="Y35" s="1773">
        <v>0</v>
      </c>
      <c r="Z35" s="1773">
        <v>0</v>
      </c>
      <c r="AA35" s="1773">
        <v>0</v>
      </c>
      <c r="AB35" s="1774">
        <v>36.400171499999992</v>
      </c>
      <c r="AC35" s="1774">
        <v>163.34640869924601</v>
      </c>
      <c r="AD35" s="1773">
        <v>0</v>
      </c>
      <c r="AE35" s="1775">
        <v>0</v>
      </c>
      <c r="AF35" s="1775">
        <v>0</v>
      </c>
      <c r="AG35" s="1775">
        <v>0</v>
      </c>
      <c r="AH35" s="1775">
        <v>0</v>
      </c>
      <c r="AI35" s="1775">
        <v>0</v>
      </c>
      <c r="AJ35" s="1775">
        <v>0</v>
      </c>
      <c r="AK35" s="1775">
        <v>0</v>
      </c>
      <c r="AL35" s="1775">
        <v>0</v>
      </c>
      <c r="AM35" s="1775">
        <v>0</v>
      </c>
      <c r="AN35" s="1775">
        <v>0</v>
      </c>
      <c r="AO35" s="1775">
        <v>0</v>
      </c>
      <c r="AP35" s="1775">
        <v>0</v>
      </c>
      <c r="AQ35" s="1776">
        <v>2.2221178641728484E-2</v>
      </c>
      <c r="AR35" s="1775">
        <v>0</v>
      </c>
      <c r="AS35" s="1594"/>
      <c r="AT35" s="1233">
        <v>85.852049715368722</v>
      </c>
      <c r="AU35" s="1135"/>
      <c r="AV35" s="1135"/>
      <c r="AW35" s="1135"/>
      <c r="AX35" s="1135"/>
      <c r="AY35" s="1135"/>
      <c r="AZ35" s="1135"/>
      <c r="BA35" s="1135"/>
      <c r="BB35" s="1135"/>
      <c r="BC35" s="1135"/>
      <c r="BD35" s="1135"/>
      <c r="BE35" s="1135"/>
      <c r="BF35" s="1135"/>
      <c r="BG35" s="1135"/>
      <c r="BH35" s="1135"/>
      <c r="BI35" s="1135"/>
      <c r="BJ35" s="1135"/>
      <c r="BK35" s="1135"/>
      <c r="BL35" s="1233">
        <v>34.524000000000001</v>
      </c>
      <c r="BM35" s="1233">
        <v>163.07499999999999</v>
      </c>
      <c r="BN35" s="1135"/>
      <c r="BO35" s="1005"/>
      <c r="BP35" s="1005"/>
      <c r="BQ35" s="1005"/>
      <c r="BR35" s="1005"/>
      <c r="BS35" s="1005"/>
      <c r="BT35" s="1005"/>
      <c r="BU35" s="1005"/>
      <c r="BV35" s="1016"/>
      <c r="BW35" s="1016"/>
      <c r="BX35" s="1016"/>
      <c r="BY35" s="1016"/>
      <c r="BZ35" s="1016"/>
      <c r="CA35" s="1596">
        <v>2.2380000000000001E-2</v>
      </c>
      <c r="CB35" s="1596">
        <v>0</v>
      </c>
      <c r="CC35" s="1594"/>
      <c r="CD35" s="1136">
        <f t="shared" si="80"/>
        <v>-4.1006559137014564E-3</v>
      </c>
      <c r="CE35" s="1136">
        <f t="shared" si="81"/>
        <v>0</v>
      </c>
      <c r="CF35" s="1136">
        <f t="shared" si="82"/>
        <v>0</v>
      </c>
      <c r="CG35" s="1136">
        <f t="shared" si="83"/>
        <v>0</v>
      </c>
      <c r="CH35" s="1136">
        <f t="shared" si="84"/>
        <v>0</v>
      </c>
      <c r="CI35" s="1136">
        <f t="shared" si="85"/>
        <v>0</v>
      </c>
      <c r="CJ35" s="1136">
        <f t="shared" si="86"/>
        <v>0</v>
      </c>
      <c r="CK35" s="1136">
        <f t="shared" si="87"/>
        <v>0</v>
      </c>
      <c r="CL35" s="1136">
        <f t="shared" si="88"/>
        <v>0</v>
      </c>
      <c r="CM35" s="1136">
        <f t="shared" si="89"/>
        <v>0</v>
      </c>
      <c r="CN35" s="1136">
        <f t="shared" si="90"/>
        <v>0</v>
      </c>
      <c r="CO35" s="1136">
        <f t="shared" si="91"/>
        <v>0</v>
      </c>
      <c r="CP35" s="1136">
        <f t="shared" si="92"/>
        <v>0</v>
      </c>
      <c r="CQ35" s="1136">
        <f t="shared" si="93"/>
        <v>0</v>
      </c>
      <c r="CR35" s="1136">
        <f t="shared" si="94"/>
        <v>0</v>
      </c>
      <c r="CS35" s="1136">
        <f t="shared" si="95"/>
        <v>0</v>
      </c>
      <c r="CT35" s="1136">
        <f t="shared" si="96"/>
        <v>0</v>
      </c>
      <c r="CU35" s="1136">
        <f t="shared" si="97"/>
        <v>0</v>
      </c>
      <c r="CV35" s="1136">
        <f t="shared" si="98"/>
        <v>5.4343978102189494E-2</v>
      </c>
      <c r="CW35" s="1136">
        <f t="shared" si="99"/>
        <v>1.6643182538464973E-3</v>
      </c>
      <c r="CX35" s="1136">
        <f t="shared" si="100"/>
        <v>0</v>
      </c>
      <c r="CY35" s="1136">
        <f t="shared" si="101"/>
        <v>0</v>
      </c>
      <c r="CZ35" s="1136">
        <f t="shared" si="102"/>
        <v>0</v>
      </c>
      <c r="DA35" s="1136">
        <f t="shared" si="103"/>
        <v>0</v>
      </c>
      <c r="DB35" s="1136">
        <f t="shared" si="104"/>
        <v>0</v>
      </c>
      <c r="DC35" s="1136">
        <f t="shared" si="105"/>
        <v>0</v>
      </c>
      <c r="DD35" s="1136">
        <f t="shared" si="106"/>
        <v>0</v>
      </c>
      <c r="DE35" s="1136">
        <f t="shared" si="107"/>
        <v>0</v>
      </c>
      <c r="DF35" s="1136">
        <f t="shared" si="108"/>
        <v>0</v>
      </c>
      <c r="DG35" s="1136">
        <f t="shared" si="109"/>
        <v>0</v>
      </c>
      <c r="DH35" s="1136">
        <f t="shared" si="110"/>
        <v>0</v>
      </c>
      <c r="DI35" s="1136">
        <f t="shared" si="111"/>
        <v>0</v>
      </c>
      <c r="DJ35" s="1136">
        <f t="shared" si="112"/>
        <v>0</v>
      </c>
      <c r="DK35" s="1136">
        <f t="shared" si="113"/>
        <v>-7.0965754366182354E-3</v>
      </c>
      <c r="DL35" s="1136">
        <f t="shared" si="114"/>
        <v>0</v>
      </c>
      <c r="DM35" s="1131" t="str">
        <f t="array" ref="DM35">IF(MAX(ABS(CD35:DL35))&gt;$DM$4,"EXPLAIN","")</f>
        <v/>
      </c>
      <c r="DN35" s="1131" t="str">
        <f t="shared" si="115"/>
        <v/>
      </c>
      <c r="DP35" s="1140">
        <f t="shared" si="116"/>
        <v>4</v>
      </c>
      <c r="DQ35" s="1140">
        <f t="shared" si="117"/>
        <v>5</v>
      </c>
      <c r="DR35" s="1140" t="str">
        <f t="shared" si="118"/>
        <v>xxxx</v>
      </c>
    </row>
    <row r="36" spans="2:122">
      <c r="B36" s="1111" t="str">
        <f>IF(Prop2021DUOSTariffs!B36="","",Prop2021DUOSTariffs!B36)</f>
        <v/>
      </c>
      <c r="C36" s="1111" t="str">
        <f>IF(Prop2021DUOSTariffs!C36="","",Prop2021DUOSTariffs!C36)</f>
        <v>MtIsa SAC&gt;100MWhpa STOUD</v>
      </c>
      <c r="D36" s="1111" t="str">
        <f>IF(Prop2021DUOSTariffs!D36="","",Prop2021DUOSTariffs!D36)</f>
        <v>MtIsa SAC&gt;100MWhpa STOUD</v>
      </c>
      <c r="E36" s="1111" t="str">
        <f>IF(Prop2021DUOSTariffs!E36="","",Prop2021DUOSTariffs!E36)</f>
        <v>SAC</v>
      </c>
      <c r="F36" s="1111" t="str">
        <f>IF(Prop2021DUOSTariffs!F36="","",Prop2021DUOSTariffs!F36)</f>
        <v>SACL</v>
      </c>
      <c r="G36" s="1111" t="str">
        <f>IF(Prop2021DUOSTariffs!G36="","",Prop2021DUOSTariffs!G36)</f>
        <v>Mt Isa</v>
      </c>
      <c r="H36" s="1111" t="str">
        <f>IF(Prop2021DUOSTariffs!H36="","",Prop2021DUOSTariffs!H36)</f>
        <v>MSTOUD</v>
      </c>
      <c r="I36" s="1111" t="str">
        <f>IF(Prop2021DUOSTariffs!I36="","",Prop2021DUOSTariffs!I36)</f>
        <v>DUOS</v>
      </c>
      <c r="J36" s="1774">
        <v>17.099999999999998</v>
      </c>
      <c r="K36" s="1773">
        <v>0</v>
      </c>
      <c r="L36" s="1773">
        <v>0</v>
      </c>
      <c r="M36" s="1773">
        <v>0</v>
      </c>
      <c r="N36" s="1773">
        <v>0</v>
      </c>
      <c r="O36" s="1773">
        <v>0</v>
      </c>
      <c r="P36" s="1773">
        <v>0</v>
      </c>
      <c r="Q36" s="1773">
        <v>0</v>
      </c>
      <c r="R36" s="1773">
        <v>0</v>
      </c>
      <c r="S36" s="1773">
        <v>0</v>
      </c>
      <c r="T36" s="1773">
        <v>0</v>
      </c>
      <c r="U36" s="1773">
        <v>0</v>
      </c>
      <c r="V36" s="1773">
        <v>0</v>
      </c>
      <c r="W36" s="1773">
        <v>0</v>
      </c>
      <c r="X36" s="1773">
        <v>0</v>
      </c>
      <c r="Y36" s="1773">
        <v>0</v>
      </c>
      <c r="Z36" s="1773">
        <v>0</v>
      </c>
      <c r="AA36" s="1773">
        <v>0</v>
      </c>
      <c r="AB36" s="1774">
        <v>1.97505</v>
      </c>
      <c r="AC36" s="1774">
        <v>62.878750779116473</v>
      </c>
      <c r="AD36" s="1773">
        <v>0</v>
      </c>
      <c r="AE36" s="1775">
        <v>0</v>
      </c>
      <c r="AF36" s="1775">
        <v>0</v>
      </c>
      <c r="AG36" s="1775">
        <v>0</v>
      </c>
      <c r="AH36" s="1775">
        <v>0</v>
      </c>
      <c r="AI36" s="1775">
        <v>0</v>
      </c>
      <c r="AJ36" s="1775">
        <v>0</v>
      </c>
      <c r="AK36" s="1775">
        <v>0</v>
      </c>
      <c r="AL36" s="1775">
        <v>0</v>
      </c>
      <c r="AM36" s="1775">
        <v>0</v>
      </c>
      <c r="AN36" s="1775">
        <v>0</v>
      </c>
      <c r="AO36" s="1775">
        <v>0</v>
      </c>
      <c r="AP36" s="1775">
        <v>0</v>
      </c>
      <c r="AQ36" s="1776">
        <v>1.3570589054236224E-2</v>
      </c>
      <c r="AR36" s="1775">
        <v>0</v>
      </c>
      <c r="AS36" s="1594"/>
      <c r="AT36" s="1233">
        <v>17.17040994307375</v>
      </c>
      <c r="AU36" s="1135"/>
      <c r="AV36" s="1135"/>
      <c r="AW36" s="1135"/>
      <c r="AX36" s="1135"/>
      <c r="AY36" s="1135"/>
      <c r="AZ36" s="1135"/>
      <c r="BA36" s="1135"/>
      <c r="BB36" s="1135"/>
      <c r="BC36" s="1135"/>
      <c r="BD36" s="1135"/>
      <c r="BE36" s="1135"/>
      <c r="BF36" s="1135"/>
      <c r="BG36" s="1135"/>
      <c r="BH36" s="1135"/>
      <c r="BI36" s="1135"/>
      <c r="BJ36" s="1135"/>
      <c r="BK36" s="1135"/>
      <c r="BL36" s="1233">
        <v>1.8759999999999999</v>
      </c>
      <c r="BM36" s="1233">
        <v>63.16</v>
      </c>
      <c r="BN36" s="1135"/>
      <c r="BO36" s="1005"/>
      <c r="BP36" s="1005"/>
      <c r="BQ36" s="1005"/>
      <c r="BR36" s="1005"/>
      <c r="BS36" s="1005"/>
      <c r="BT36" s="1005"/>
      <c r="BU36" s="1005"/>
      <c r="BV36" s="1016"/>
      <c r="BW36" s="1016"/>
      <c r="BX36" s="1016"/>
      <c r="BY36" s="1016"/>
      <c r="BZ36" s="1016"/>
      <c r="CA36" s="1596">
        <v>1.146E-2</v>
      </c>
      <c r="CB36" s="1596">
        <v>0</v>
      </c>
      <c r="CC36" s="1594"/>
      <c r="CD36" s="1136">
        <f t="shared" si="80"/>
        <v>-4.1006559137019005E-3</v>
      </c>
      <c r="CE36" s="1136">
        <f t="shared" si="81"/>
        <v>0</v>
      </c>
      <c r="CF36" s="1136">
        <f t="shared" si="82"/>
        <v>0</v>
      </c>
      <c r="CG36" s="1136">
        <f t="shared" si="83"/>
        <v>0</v>
      </c>
      <c r="CH36" s="1136">
        <f t="shared" si="84"/>
        <v>0</v>
      </c>
      <c r="CI36" s="1136">
        <f t="shared" si="85"/>
        <v>0</v>
      </c>
      <c r="CJ36" s="1136">
        <f t="shared" si="86"/>
        <v>0</v>
      </c>
      <c r="CK36" s="1136">
        <f t="shared" si="87"/>
        <v>0</v>
      </c>
      <c r="CL36" s="1136">
        <f t="shared" si="88"/>
        <v>0</v>
      </c>
      <c r="CM36" s="1136">
        <f t="shared" si="89"/>
        <v>0</v>
      </c>
      <c r="CN36" s="1136">
        <f t="shared" si="90"/>
        <v>0</v>
      </c>
      <c r="CO36" s="1136">
        <f t="shared" si="91"/>
        <v>0</v>
      </c>
      <c r="CP36" s="1136">
        <f t="shared" si="92"/>
        <v>0</v>
      </c>
      <c r="CQ36" s="1136">
        <f t="shared" si="93"/>
        <v>0</v>
      </c>
      <c r="CR36" s="1136">
        <f t="shared" si="94"/>
        <v>0</v>
      </c>
      <c r="CS36" s="1136">
        <f t="shared" si="95"/>
        <v>0</v>
      </c>
      <c r="CT36" s="1136">
        <f t="shared" si="96"/>
        <v>0</v>
      </c>
      <c r="CU36" s="1136">
        <f t="shared" si="97"/>
        <v>0</v>
      </c>
      <c r="CV36" s="1136">
        <f t="shared" si="98"/>
        <v>5.2798507462686661E-2</v>
      </c>
      <c r="CW36" s="1136">
        <f t="shared" si="99"/>
        <v>-4.4529642318480445E-3</v>
      </c>
      <c r="CX36" s="1136">
        <f t="shared" si="100"/>
        <v>0</v>
      </c>
      <c r="CY36" s="1136">
        <f t="shared" si="101"/>
        <v>0</v>
      </c>
      <c r="CZ36" s="1136">
        <f t="shared" si="102"/>
        <v>0</v>
      </c>
      <c r="DA36" s="1136">
        <f t="shared" si="103"/>
        <v>0</v>
      </c>
      <c r="DB36" s="1136">
        <f t="shared" si="104"/>
        <v>0</v>
      </c>
      <c r="DC36" s="1136">
        <f t="shared" si="105"/>
        <v>0</v>
      </c>
      <c r="DD36" s="1136">
        <f t="shared" si="106"/>
        <v>0</v>
      </c>
      <c r="DE36" s="1136">
        <f t="shared" si="107"/>
        <v>0</v>
      </c>
      <c r="DF36" s="1136">
        <f t="shared" si="108"/>
        <v>0</v>
      </c>
      <c r="DG36" s="1136">
        <f t="shared" si="109"/>
        <v>0</v>
      </c>
      <c r="DH36" s="1136">
        <f t="shared" si="110"/>
        <v>0</v>
      </c>
      <c r="DI36" s="1136">
        <f t="shared" si="111"/>
        <v>0</v>
      </c>
      <c r="DJ36" s="1136">
        <f t="shared" si="112"/>
        <v>0</v>
      </c>
      <c r="DK36" s="1136">
        <f t="shared" si="113"/>
        <v>0.18417007454068268</v>
      </c>
      <c r="DL36" s="1136">
        <f t="shared" si="114"/>
        <v>0</v>
      </c>
      <c r="DM36" s="1131" t="str">
        <f t="array" ref="DM36">IF(MAX(ABS(CD36:DL36))&gt;$DM$4,"EXPLAIN","")</f>
        <v>EXPLAIN</v>
      </c>
      <c r="DN36" s="1131" t="str">
        <f t="shared" si="115"/>
        <v>Refer to Ergon Energy Pricing Proposal</v>
      </c>
      <c r="DP36" s="1140">
        <f t="shared" si="116"/>
        <v>4</v>
      </c>
      <c r="DQ36" s="1140">
        <f t="shared" si="117"/>
        <v>5</v>
      </c>
      <c r="DR36" s="1140" t="str">
        <f t="shared" si="118"/>
        <v>xxxx</v>
      </c>
    </row>
    <row r="37" spans="2:122">
      <c r="B37" s="1111" t="str">
        <f>IF(Prop2021DUOSTariffs!B37="","",Prop2021DUOSTariffs!B37)</f>
        <v/>
      </c>
      <c r="C37" s="1111" t="str">
        <f>IF(Prop2021DUOSTariffs!C37="","",Prop2021DUOSTariffs!C37)</f>
        <v>East SAC&gt;100MWhpa TOUD</v>
      </c>
      <c r="D37" s="1111" t="str">
        <f>IF(Prop2021DUOSTariffs!D37="","",Prop2021DUOSTariffs!D37)</f>
        <v>East SAC&gt;100MWhpa TOUD</v>
      </c>
      <c r="E37" s="1111" t="str">
        <f>IF(Prop2021DUOSTariffs!E37="","",Prop2021DUOSTariffs!E37)</f>
        <v>SAC</v>
      </c>
      <c r="F37" s="1111" t="str">
        <f>IF(Prop2021DUOSTariffs!F37="","",Prop2021DUOSTariffs!F37)</f>
        <v>SACL</v>
      </c>
      <c r="G37" s="1111" t="str">
        <f>IF(Prop2021DUOSTariffs!G37="","",Prop2021DUOSTariffs!G37)</f>
        <v>East</v>
      </c>
      <c r="H37" s="1111" t="str">
        <f>IF(Prop2021DUOSTariffs!H37="","",Prop2021DUOSTariffs!H37)</f>
        <v>ELTOUD</v>
      </c>
      <c r="I37" s="1111" t="str">
        <f>IF(Prop2021DUOSTariffs!I37="","",Prop2021DUOSTariffs!I37)</f>
        <v>DUOS</v>
      </c>
      <c r="J37" s="1774">
        <v>147.26712000000001</v>
      </c>
      <c r="K37" s="1773">
        <v>0</v>
      </c>
      <c r="L37" s="1773">
        <v>0</v>
      </c>
      <c r="M37" s="1773">
        <v>0</v>
      </c>
      <c r="N37" s="1773">
        <v>0</v>
      </c>
      <c r="O37" s="1773">
        <v>0</v>
      </c>
      <c r="P37" s="1773">
        <v>0</v>
      </c>
      <c r="Q37" s="1773">
        <v>0</v>
      </c>
      <c r="R37" s="1773">
        <v>0</v>
      </c>
      <c r="S37" s="1773">
        <v>0</v>
      </c>
      <c r="T37" s="1773">
        <v>0</v>
      </c>
      <c r="U37" s="1773">
        <v>0</v>
      </c>
      <c r="V37" s="1774">
        <v>12.10310995746123</v>
      </c>
      <c r="W37" s="1774">
        <v>2.4206219914922462</v>
      </c>
      <c r="X37" s="1773">
        <v>0</v>
      </c>
      <c r="Y37" s="1773">
        <v>0</v>
      </c>
      <c r="Z37" s="1773">
        <v>0</v>
      </c>
      <c r="AA37" s="1773">
        <v>0</v>
      </c>
      <c r="AB37" s="1773">
        <v>0</v>
      </c>
      <c r="AC37" s="1773">
        <v>0</v>
      </c>
      <c r="AD37" s="1773">
        <v>0</v>
      </c>
      <c r="AE37" s="1775">
        <v>0</v>
      </c>
      <c r="AF37" s="1775">
        <v>0</v>
      </c>
      <c r="AG37" s="1776">
        <v>7.5379800874573622E-3</v>
      </c>
      <c r="AH37" s="1775">
        <v>0</v>
      </c>
      <c r="AI37" s="1775">
        <v>0</v>
      </c>
      <c r="AJ37" s="1775">
        <v>0</v>
      </c>
      <c r="AK37" s="1775">
        <v>0</v>
      </c>
      <c r="AL37" s="1775">
        <v>0</v>
      </c>
      <c r="AM37" s="1775">
        <v>0</v>
      </c>
      <c r="AN37" s="1775">
        <v>0</v>
      </c>
      <c r="AO37" s="1775">
        <v>0</v>
      </c>
      <c r="AP37" s="1775">
        <v>0</v>
      </c>
      <c r="AQ37" s="1775">
        <v>0</v>
      </c>
      <c r="AR37" s="1775">
        <v>0</v>
      </c>
      <c r="AS37" s="1594"/>
      <c r="AT37" s="1233">
        <v>147.87359108255882</v>
      </c>
      <c r="AU37" s="1135"/>
      <c r="AV37" s="1135"/>
      <c r="AW37" s="1135"/>
      <c r="AX37" s="1135"/>
      <c r="AY37" s="1135"/>
      <c r="AZ37" s="1135"/>
      <c r="BA37" s="1135"/>
      <c r="BB37" s="1135"/>
      <c r="BC37" s="1135"/>
      <c r="BD37" s="1135"/>
      <c r="BE37" s="1135"/>
      <c r="BF37" s="1233">
        <v>12.0833741385</v>
      </c>
      <c r="BG37" s="1233">
        <v>2.4166748277000001</v>
      </c>
      <c r="BH37" s="1135"/>
      <c r="BI37" s="1135"/>
      <c r="BJ37" s="1135"/>
      <c r="BK37" s="1135"/>
      <c r="BL37" s="1135"/>
      <c r="BM37" s="1135"/>
      <c r="BN37" s="1135"/>
      <c r="BO37" s="1005"/>
      <c r="BP37" s="1005"/>
      <c r="BQ37" s="1596">
        <v>4.7022876685284126E-3</v>
      </c>
      <c r="BR37" s="1005"/>
      <c r="BS37" s="1005"/>
      <c r="BT37" s="1005"/>
      <c r="BU37" s="1005"/>
      <c r="BV37" s="1016"/>
      <c r="BW37" s="1016"/>
      <c r="BX37" s="1016"/>
      <c r="BY37" s="1016"/>
      <c r="BZ37" s="1016"/>
      <c r="CA37" s="1016"/>
      <c r="CB37" s="1016"/>
      <c r="CC37" s="1594"/>
      <c r="CD37" s="1136">
        <f t="shared" si="80"/>
        <v>-4.1012805472494529E-3</v>
      </c>
      <c r="CE37" s="1136">
        <f t="shared" si="81"/>
        <v>0</v>
      </c>
      <c r="CF37" s="1136">
        <f t="shared" si="82"/>
        <v>0</v>
      </c>
      <c r="CG37" s="1136">
        <f t="shared" si="83"/>
        <v>0</v>
      </c>
      <c r="CH37" s="1136">
        <f t="shared" si="84"/>
        <v>0</v>
      </c>
      <c r="CI37" s="1136">
        <f t="shared" si="85"/>
        <v>0</v>
      </c>
      <c r="CJ37" s="1136">
        <f t="shared" si="86"/>
        <v>0</v>
      </c>
      <c r="CK37" s="1136">
        <f t="shared" si="87"/>
        <v>0</v>
      </c>
      <c r="CL37" s="1136">
        <f t="shared" si="88"/>
        <v>0</v>
      </c>
      <c r="CM37" s="1136">
        <f t="shared" si="89"/>
        <v>0</v>
      </c>
      <c r="CN37" s="1136">
        <f t="shared" si="90"/>
        <v>0</v>
      </c>
      <c r="CO37" s="1136">
        <f t="shared" si="91"/>
        <v>0</v>
      </c>
      <c r="CP37" s="1136">
        <f t="shared" si="92"/>
        <v>1.6333036397795375E-3</v>
      </c>
      <c r="CQ37" s="1136">
        <f t="shared" si="93"/>
        <v>1.6333036397795375E-3</v>
      </c>
      <c r="CR37" s="1136">
        <f t="shared" si="94"/>
        <v>0</v>
      </c>
      <c r="CS37" s="1136">
        <f t="shared" si="95"/>
        <v>0</v>
      </c>
      <c r="CT37" s="1136">
        <f t="shared" si="96"/>
        <v>0</v>
      </c>
      <c r="CU37" s="1136">
        <f t="shared" si="97"/>
        <v>0</v>
      </c>
      <c r="CV37" s="1136">
        <f t="shared" si="98"/>
        <v>0</v>
      </c>
      <c r="CW37" s="1136">
        <f t="shared" si="99"/>
        <v>0</v>
      </c>
      <c r="CX37" s="1136">
        <f t="shared" si="100"/>
        <v>0</v>
      </c>
      <c r="CY37" s="1136">
        <f t="shared" si="101"/>
        <v>0</v>
      </c>
      <c r="CZ37" s="1136">
        <f t="shared" si="102"/>
        <v>0</v>
      </c>
      <c r="DA37" s="1136">
        <f t="shared" si="103"/>
        <v>0.60304528749011732</v>
      </c>
      <c r="DB37" s="1136">
        <f t="shared" si="104"/>
        <v>0</v>
      </c>
      <c r="DC37" s="1136">
        <f t="shared" si="105"/>
        <v>0</v>
      </c>
      <c r="DD37" s="1136">
        <f t="shared" si="106"/>
        <v>0</v>
      </c>
      <c r="DE37" s="1136">
        <f t="shared" si="107"/>
        <v>0</v>
      </c>
      <c r="DF37" s="1136">
        <f t="shared" si="108"/>
        <v>0</v>
      </c>
      <c r="DG37" s="1136">
        <f t="shared" si="109"/>
        <v>0</v>
      </c>
      <c r="DH37" s="1136">
        <f t="shared" si="110"/>
        <v>0</v>
      </c>
      <c r="DI37" s="1136">
        <f t="shared" si="111"/>
        <v>0</v>
      </c>
      <c r="DJ37" s="1136">
        <f t="shared" si="112"/>
        <v>0</v>
      </c>
      <c r="DK37" s="1136">
        <f t="shared" si="113"/>
        <v>0</v>
      </c>
      <c r="DL37" s="1136">
        <f t="shared" si="114"/>
        <v>0</v>
      </c>
      <c r="DM37" s="1131" t="str">
        <f t="array" ref="DM37">IF(MAX(ABS(CD37:DL37))&gt;$DM$4,"EXPLAIN","")</f>
        <v>EXPLAIN</v>
      </c>
      <c r="DN37" s="1131" t="str">
        <f t="shared" si="115"/>
        <v>Refer to Ergon Energy Pricing Proposal</v>
      </c>
      <c r="DP37" s="1140">
        <f t="shared" si="116"/>
        <v>4</v>
      </c>
      <c r="DQ37" s="1140">
        <f t="shared" si="117"/>
        <v>4</v>
      </c>
      <c r="DR37" s="1140" t="str">
        <f t="shared" si="118"/>
        <v>ok</v>
      </c>
    </row>
    <row r="38" spans="2:122">
      <c r="B38" s="1111" t="str">
        <f>IF(Prop2021DUOSTariffs!B38="","",Prop2021DUOSTariffs!B38)</f>
        <v/>
      </c>
      <c r="C38" s="1111" t="str">
        <f>IF(Prop2021DUOSTariffs!C38="","",Prop2021DUOSTariffs!C38)</f>
        <v>West SAC&gt;100MWhpa TOUD</v>
      </c>
      <c r="D38" s="1111" t="str">
        <f>IF(Prop2021DUOSTariffs!D38="","",Prop2021DUOSTariffs!D38)</f>
        <v>West SAC&gt;100MWhpa TOUD</v>
      </c>
      <c r="E38" s="1111" t="str">
        <f>IF(Prop2021DUOSTariffs!E38="","",Prop2021DUOSTariffs!E38)</f>
        <v>SAC</v>
      </c>
      <c r="F38" s="1111" t="str">
        <f>IF(Prop2021DUOSTariffs!F38="","",Prop2021DUOSTariffs!F38)</f>
        <v>SACL</v>
      </c>
      <c r="G38" s="1111" t="str">
        <f>IF(Prop2021DUOSTariffs!G38="","",Prop2021DUOSTariffs!G38)</f>
        <v>West</v>
      </c>
      <c r="H38" s="1111" t="str">
        <f>IF(Prop2021DUOSTariffs!H38="","",Prop2021DUOSTariffs!H38)</f>
        <v>WLTOUD</v>
      </c>
      <c r="I38" s="1111" t="str">
        <f>IF(Prop2021DUOSTariffs!I38="","",Prop2021DUOSTariffs!I38)</f>
        <v>DUOS</v>
      </c>
      <c r="J38" s="1774">
        <v>551.80959999999993</v>
      </c>
      <c r="K38" s="1773">
        <v>0</v>
      </c>
      <c r="L38" s="1773">
        <v>0</v>
      </c>
      <c r="M38" s="1773">
        <v>0</v>
      </c>
      <c r="N38" s="1773">
        <v>0</v>
      </c>
      <c r="O38" s="1773">
        <v>0</v>
      </c>
      <c r="P38" s="1773">
        <v>0</v>
      </c>
      <c r="Q38" s="1773">
        <v>0</v>
      </c>
      <c r="R38" s="1773">
        <v>0</v>
      </c>
      <c r="S38" s="1773">
        <v>0</v>
      </c>
      <c r="T38" s="1773">
        <v>0</v>
      </c>
      <c r="U38" s="1773">
        <v>0</v>
      </c>
      <c r="V38" s="1774">
        <v>34.810696595524959</v>
      </c>
      <c r="W38" s="1774">
        <v>6.9621393191049918</v>
      </c>
      <c r="X38" s="1773">
        <v>0</v>
      </c>
      <c r="Y38" s="1773">
        <v>0</v>
      </c>
      <c r="Z38" s="1773">
        <v>0</v>
      </c>
      <c r="AA38" s="1773">
        <v>0</v>
      </c>
      <c r="AB38" s="1773">
        <v>0</v>
      </c>
      <c r="AC38" s="1773">
        <v>0</v>
      </c>
      <c r="AD38" s="1773">
        <v>0</v>
      </c>
      <c r="AE38" s="1775">
        <v>0</v>
      </c>
      <c r="AF38" s="1775">
        <v>0</v>
      </c>
      <c r="AG38" s="1776">
        <v>1.2153850132632408E-2</v>
      </c>
      <c r="AH38" s="1775">
        <v>0</v>
      </c>
      <c r="AI38" s="1775">
        <v>0</v>
      </c>
      <c r="AJ38" s="1775">
        <v>0</v>
      </c>
      <c r="AK38" s="1775">
        <v>0</v>
      </c>
      <c r="AL38" s="1775">
        <v>0</v>
      </c>
      <c r="AM38" s="1775">
        <v>0</v>
      </c>
      <c r="AN38" s="1775">
        <v>0</v>
      </c>
      <c r="AO38" s="1775">
        <v>0</v>
      </c>
      <c r="AP38" s="1775">
        <v>0</v>
      </c>
      <c r="AQ38" s="1775">
        <v>0</v>
      </c>
      <c r="AR38" s="1775">
        <v>0</v>
      </c>
      <c r="AS38" s="1594"/>
      <c r="AT38" s="1233">
        <v>554.08169839318975</v>
      </c>
      <c r="AU38" s="1135"/>
      <c r="AV38" s="1135"/>
      <c r="AW38" s="1135"/>
      <c r="AX38" s="1135"/>
      <c r="AY38" s="1135"/>
      <c r="AZ38" s="1135"/>
      <c r="BA38" s="1135"/>
      <c r="BB38" s="1135"/>
      <c r="BC38" s="1135"/>
      <c r="BD38" s="1135"/>
      <c r="BE38" s="1135"/>
      <c r="BF38" s="1233">
        <v>34.727607089999999</v>
      </c>
      <c r="BG38" s="1233">
        <v>6.9455214180000002</v>
      </c>
      <c r="BH38" s="1135"/>
      <c r="BI38" s="1135"/>
      <c r="BJ38" s="1135"/>
      <c r="BK38" s="1135"/>
      <c r="BL38" s="1135"/>
      <c r="BM38" s="1135"/>
      <c r="BN38" s="1135"/>
      <c r="BO38" s="1005"/>
      <c r="BP38" s="1005"/>
      <c r="BQ38" s="1596">
        <v>4.5123959938273683E-3</v>
      </c>
      <c r="BR38" s="1005"/>
      <c r="BS38" s="1005"/>
      <c r="BT38" s="1005"/>
      <c r="BU38" s="1005"/>
      <c r="BV38" s="1016"/>
      <c r="BW38" s="1016"/>
      <c r="BX38" s="1016"/>
      <c r="BY38" s="1016"/>
      <c r="BZ38" s="1016"/>
      <c r="CA38" s="1016"/>
      <c r="CB38" s="1016"/>
      <c r="CC38" s="1594"/>
      <c r="CD38" s="1136">
        <f t="shared" si="80"/>
        <v>-4.1006559137015675E-3</v>
      </c>
      <c r="CE38" s="1136">
        <f t="shared" si="81"/>
        <v>0</v>
      </c>
      <c r="CF38" s="1136">
        <f t="shared" si="82"/>
        <v>0</v>
      </c>
      <c r="CG38" s="1136">
        <f t="shared" si="83"/>
        <v>0</v>
      </c>
      <c r="CH38" s="1136">
        <f t="shared" si="84"/>
        <v>0</v>
      </c>
      <c r="CI38" s="1136">
        <f t="shared" si="85"/>
        <v>0</v>
      </c>
      <c r="CJ38" s="1136">
        <f t="shared" si="86"/>
        <v>0</v>
      </c>
      <c r="CK38" s="1136">
        <f t="shared" si="87"/>
        <v>0</v>
      </c>
      <c r="CL38" s="1136">
        <f t="shared" si="88"/>
        <v>0</v>
      </c>
      <c r="CM38" s="1136">
        <f t="shared" si="89"/>
        <v>0</v>
      </c>
      <c r="CN38" s="1136">
        <f t="shared" si="90"/>
        <v>0</v>
      </c>
      <c r="CO38" s="1136">
        <f t="shared" si="91"/>
        <v>0</v>
      </c>
      <c r="CP38" s="1136">
        <f t="shared" si="92"/>
        <v>2.3926067036414977E-3</v>
      </c>
      <c r="CQ38" s="1136">
        <f t="shared" si="93"/>
        <v>2.3926067036412757E-3</v>
      </c>
      <c r="CR38" s="1136">
        <f t="shared" si="94"/>
        <v>0</v>
      </c>
      <c r="CS38" s="1136">
        <f t="shared" si="95"/>
        <v>0</v>
      </c>
      <c r="CT38" s="1136">
        <f t="shared" si="96"/>
        <v>0</v>
      </c>
      <c r="CU38" s="1136">
        <f t="shared" si="97"/>
        <v>0</v>
      </c>
      <c r="CV38" s="1136">
        <f t="shared" si="98"/>
        <v>0</v>
      </c>
      <c r="CW38" s="1136">
        <f t="shared" si="99"/>
        <v>0</v>
      </c>
      <c r="CX38" s="1136">
        <f t="shared" si="100"/>
        <v>0</v>
      </c>
      <c r="CY38" s="1136">
        <f t="shared" si="101"/>
        <v>0</v>
      </c>
      <c r="CZ38" s="1136">
        <f t="shared" si="102"/>
        <v>0</v>
      </c>
      <c r="DA38" s="1136">
        <f t="shared" si="103"/>
        <v>1.6934360701627242</v>
      </c>
      <c r="DB38" s="1136">
        <f t="shared" si="104"/>
        <v>0</v>
      </c>
      <c r="DC38" s="1136">
        <f t="shared" si="105"/>
        <v>0</v>
      </c>
      <c r="DD38" s="1136">
        <f t="shared" si="106"/>
        <v>0</v>
      </c>
      <c r="DE38" s="1136">
        <f t="shared" si="107"/>
        <v>0</v>
      </c>
      <c r="DF38" s="1136">
        <f t="shared" si="108"/>
        <v>0</v>
      </c>
      <c r="DG38" s="1136">
        <f t="shared" si="109"/>
        <v>0</v>
      </c>
      <c r="DH38" s="1136">
        <f t="shared" si="110"/>
        <v>0</v>
      </c>
      <c r="DI38" s="1136">
        <f t="shared" si="111"/>
        <v>0</v>
      </c>
      <c r="DJ38" s="1136">
        <f t="shared" si="112"/>
        <v>0</v>
      </c>
      <c r="DK38" s="1136">
        <f t="shared" si="113"/>
        <v>0</v>
      </c>
      <c r="DL38" s="1136">
        <f t="shared" si="114"/>
        <v>0</v>
      </c>
      <c r="DM38" s="1131" t="str">
        <f t="array" ref="DM38">IF(MAX(ABS(CD38:DL38))&gt;$DM$4,"EXPLAIN","")</f>
        <v>EXPLAIN</v>
      </c>
      <c r="DN38" s="1131" t="str">
        <f t="shared" si="115"/>
        <v>Refer to Ergon Energy Pricing Proposal</v>
      </c>
      <c r="DP38" s="1140">
        <f t="shared" si="116"/>
        <v>4</v>
      </c>
      <c r="DQ38" s="1140">
        <f t="shared" si="117"/>
        <v>4</v>
      </c>
      <c r="DR38" s="1140" t="str">
        <f t="shared" si="118"/>
        <v>ok</v>
      </c>
    </row>
    <row r="39" spans="2:122">
      <c r="B39" s="1111" t="str">
        <f>IF(Prop2021DUOSTariffs!B39="","",Prop2021DUOSTariffs!B39)</f>
        <v/>
      </c>
      <c r="C39" s="1111" t="str">
        <f>IF(Prop2021DUOSTariffs!C39="","",Prop2021DUOSTariffs!C39)</f>
        <v>MtIsa SAC&gt;100MWhpa TOUD</v>
      </c>
      <c r="D39" s="1111" t="str">
        <f>IF(Prop2021DUOSTariffs!D39="","",Prop2021DUOSTariffs!D39)</f>
        <v>MtIsa SAC&gt;100MWhpa TOUD</v>
      </c>
      <c r="E39" s="1111" t="str">
        <f>IF(Prop2021DUOSTariffs!E39="","",Prop2021DUOSTariffs!E39)</f>
        <v>SAC</v>
      </c>
      <c r="F39" s="1111" t="str">
        <f>IF(Prop2021DUOSTariffs!F39="","",Prop2021DUOSTariffs!F39)</f>
        <v>SACL</v>
      </c>
      <c r="G39" s="1111" t="str">
        <f>IF(Prop2021DUOSTariffs!G39="","",Prop2021DUOSTariffs!G39)</f>
        <v>Mt Isa</v>
      </c>
      <c r="H39" s="1111" t="str">
        <f>IF(Prop2021DUOSTariffs!H39="","",Prop2021DUOSTariffs!H39)</f>
        <v>MLTOUD</v>
      </c>
      <c r="I39" s="1111" t="str">
        <f>IF(Prop2021DUOSTariffs!I39="","",Prop2021DUOSTariffs!I39)</f>
        <v>DUOS</v>
      </c>
      <c r="J39" s="1774">
        <v>94.482439999999997</v>
      </c>
      <c r="K39" s="1773">
        <v>0</v>
      </c>
      <c r="L39" s="1773">
        <v>0</v>
      </c>
      <c r="M39" s="1773">
        <v>0</v>
      </c>
      <c r="N39" s="1773">
        <v>0</v>
      </c>
      <c r="O39" s="1773">
        <v>0</v>
      </c>
      <c r="P39" s="1773">
        <v>0</v>
      </c>
      <c r="Q39" s="1773">
        <v>0</v>
      </c>
      <c r="R39" s="1773">
        <v>0</v>
      </c>
      <c r="S39" s="1773">
        <v>0</v>
      </c>
      <c r="T39" s="1773">
        <v>0</v>
      </c>
      <c r="U39" s="1773">
        <v>0</v>
      </c>
      <c r="V39" s="1774">
        <v>11.911792072674743</v>
      </c>
      <c r="W39" s="1774">
        <v>2.3823584145349486</v>
      </c>
      <c r="X39" s="1773">
        <v>0</v>
      </c>
      <c r="Y39" s="1773">
        <v>0</v>
      </c>
      <c r="Z39" s="1773">
        <v>0</v>
      </c>
      <c r="AA39" s="1773">
        <v>0</v>
      </c>
      <c r="AB39" s="1773">
        <v>0</v>
      </c>
      <c r="AC39" s="1773">
        <v>0</v>
      </c>
      <c r="AD39" s="1773">
        <v>0</v>
      </c>
      <c r="AE39" s="1775">
        <v>0</v>
      </c>
      <c r="AF39" s="1775">
        <v>0</v>
      </c>
      <c r="AG39" s="1776">
        <v>6.5830952438607013E-3</v>
      </c>
      <c r="AH39" s="1775">
        <v>0</v>
      </c>
      <c r="AI39" s="1775">
        <v>0</v>
      </c>
      <c r="AJ39" s="1775">
        <v>0</v>
      </c>
      <c r="AK39" s="1775">
        <v>0</v>
      </c>
      <c r="AL39" s="1775">
        <v>0</v>
      </c>
      <c r="AM39" s="1775">
        <v>0</v>
      </c>
      <c r="AN39" s="1775">
        <v>0</v>
      </c>
      <c r="AO39" s="1775">
        <v>0</v>
      </c>
      <c r="AP39" s="1775">
        <v>0</v>
      </c>
      <c r="AQ39" s="1775">
        <v>0</v>
      </c>
      <c r="AR39" s="1775">
        <v>0</v>
      </c>
      <c r="AS39" s="1594"/>
      <c r="AT39" s="1233">
        <v>94.871475276132699</v>
      </c>
      <c r="AU39" s="1135"/>
      <c r="AV39" s="1135"/>
      <c r="AW39" s="1135"/>
      <c r="AX39" s="1135"/>
      <c r="AY39" s="1135"/>
      <c r="AZ39" s="1135"/>
      <c r="BA39" s="1135"/>
      <c r="BB39" s="1135"/>
      <c r="BC39" s="1135"/>
      <c r="BD39" s="1135"/>
      <c r="BE39" s="1135"/>
      <c r="BF39" s="1233">
        <v>11.8919140173</v>
      </c>
      <c r="BG39" s="1233">
        <v>2.3783828034599996</v>
      </c>
      <c r="BH39" s="1135"/>
      <c r="BI39" s="1135"/>
      <c r="BJ39" s="1135"/>
      <c r="BK39" s="1135"/>
      <c r="BL39" s="1135"/>
      <c r="BM39" s="1135"/>
      <c r="BN39" s="1135"/>
      <c r="BO39" s="1005"/>
      <c r="BP39" s="1005"/>
      <c r="BQ39" s="1596">
        <v>5.2504986196726146E-3</v>
      </c>
      <c r="BR39" s="1005"/>
      <c r="BS39" s="1005"/>
      <c r="BT39" s="1005"/>
      <c r="BU39" s="1005"/>
      <c r="BV39" s="1016"/>
      <c r="BW39" s="1016"/>
      <c r="BX39" s="1016"/>
      <c r="BY39" s="1016"/>
      <c r="BZ39" s="1016"/>
      <c r="CA39" s="1016"/>
      <c r="CB39" s="1016"/>
      <c r="CC39" s="1594"/>
      <c r="CD39" s="1136">
        <f t="shared" si="80"/>
        <v>-4.1006559137019005E-3</v>
      </c>
      <c r="CE39" s="1136">
        <f t="shared" si="81"/>
        <v>0</v>
      </c>
      <c r="CF39" s="1136">
        <f t="shared" si="82"/>
        <v>0</v>
      </c>
      <c r="CG39" s="1136">
        <f t="shared" si="83"/>
        <v>0</v>
      </c>
      <c r="CH39" s="1136">
        <f t="shared" si="84"/>
        <v>0</v>
      </c>
      <c r="CI39" s="1136">
        <f t="shared" si="85"/>
        <v>0</v>
      </c>
      <c r="CJ39" s="1136">
        <f t="shared" si="86"/>
        <v>0</v>
      </c>
      <c r="CK39" s="1136">
        <f t="shared" si="87"/>
        <v>0</v>
      </c>
      <c r="CL39" s="1136">
        <f t="shared" si="88"/>
        <v>0</v>
      </c>
      <c r="CM39" s="1136">
        <f t="shared" si="89"/>
        <v>0</v>
      </c>
      <c r="CN39" s="1136">
        <f t="shared" si="90"/>
        <v>0</v>
      </c>
      <c r="CO39" s="1136">
        <f t="shared" si="91"/>
        <v>0</v>
      </c>
      <c r="CP39" s="1136">
        <f t="shared" si="92"/>
        <v>1.6715606374066994E-3</v>
      </c>
      <c r="CQ39" s="1136">
        <f t="shared" si="93"/>
        <v>1.6715606374066994E-3</v>
      </c>
      <c r="CR39" s="1136">
        <f t="shared" si="94"/>
        <v>0</v>
      </c>
      <c r="CS39" s="1136">
        <f t="shared" si="95"/>
        <v>0</v>
      </c>
      <c r="CT39" s="1136">
        <f t="shared" si="96"/>
        <v>0</v>
      </c>
      <c r="CU39" s="1136">
        <f t="shared" si="97"/>
        <v>0</v>
      </c>
      <c r="CV39" s="1136">
        <f t="shared" si="98"/>
        <v>0</v>
      </c>
      <c r="CW39" s="1136">
        <f t="shared" si="99"/>
        <v>0</v>
      </c>
      <c r="CX39" s="1136">
        <f t="shared" si="100"/>
        <v>0</v>
      </c>
      <c r="CY39" s="1136">
        <f t="shared" si="101"/>
        <v>0</v>
      </c>
      <c r="CZ39" s="1136">
        <f t="shared" si="102"/>
        <v>0</v>
      </c>
      <c r="DA39" s="1136">
        <f t="shared" si="103"/>
        <v>0.25380382335405294</v>
      </c>
      <c r="DB39" s="1136">
        <f t="shared" si="104"/>
        <v>0</v>
      </c>
      <c r="DC39" s="1136">
        <f t="shared" si="105"/>
        <v>0</v>
      </c>
      <c r="DD39" s="1136">
        <f t="shared" si="106"/>
        <v>0</v>
      </c>
      <c r="DE39" s="1136">
        <f t="shared" si="107"/>
        <v>0</v>
      </c>
      <c r="DF39" s="1136">
        <f t="shared" si="108"/>
        <v>0</v>
      </c>
      <c r="DG39" s="1136">
        <f t="shared" si="109"/>
        <v>0</v>
      </c>
      <c r="DH39" s="1136">
        <f t="shared" si="110"/>
        <v>0</v>
      </c>
      <c r="DI39" s="1136">
        <f t="shared" si="111"/>
        <v>0</v>
      </c>
      <c r="DJ39" s="1136">
        <f t="shared" si="112"/>
        <v>0</v>
      </c>
      <c r="DK39" s="1136">
        <f t="shared" si="113"/>
        <v>0</v>
      </c>
      <c r="DL39" s="1136">
        <f t="shared" si="114"/>
        <v>0</v>
      </c>
      <c r="DM39" s="1131" t="str">
        <f t="array" ref="DM39">IF(MAX(ABS(CD39:DL39))&gt;$DM$4,"EXPLAIN","")</f>
        <v>EXPLAIN</v>
      </c>
      <c r="DN39" s="1131" t="str">
        <f t="shared" si="115"/>
        <v>Refer to Ergon Energy Pricing Proposal</v>
      </c>
      <c r="DP39" s="1140">
        <f t="shared" si="116"/>
        <v>4</v>
      </c>
      <c r="DQ39" s="1140">
        <f t="shared" si="117"/>
        <v>4</v>
      </c>
      <c r="DR39" s="1140" t="str">
        <f t="shared" si="118"/>
        <v>ok</v>
      </c>
    </row>
    <row r="40" spans="2:122">
      <c r="B40" s="1111" t="str">
        <f>IF(Prop2021DUOSTariffs!B40="","",Prop2021DUOSTariffs!B40)</f>
        <v/>
      </c>
      <c r="C40" s="1111" t="str">
        <f>IF(Prop2021DUOSTariffs!C40="","",Prop2021DUOSTariffs!C40)</f>
        <v>East SAC&gt;100MWhpa Business Primary LC</v>
      </c>
      <c r="D40" s="1111" t="str">
        <f>IF(Prop2021DUOSTariffs!D40="","",Prop2021DUOSTariffs!D40)</f>
        <v>East SAC&gt;100MWhpa Business Primary LC</v>
      </c>
      <c r="E40" s="1111" t="str">
        <f>IF(Prop2021DUOSTariffs!E40="","",Prop2021DUOSTariffs!E40)</f>
        <v>SAC</v>
      </c>
      <c r="F40" s="1111" t="str">
        <f>IF(Prop2021DUOSTariffs!F40="","",Prop2021DUOSTariffs!F40)</f>
        <v>SACL</v>
      </c>
      <c r="G40" s="1111" t="str">
        <f>IF(Prop2021DUOSTariffs!G40="","",Prop2021DUOSTariffs!G40)</f>
        <v>East</v>
      </c>
      <c r="H40" s="1111" t="str">
        <f>IF(Prop2021DUOSTariffs!H40="","",Prop2021DUOSTariffs!H40)</f>
        <v>ELPLC</v>
      </c>
      <c r="I40" s="1111" t="str">
        <f>IF(Prop2021DUOSTariffs!I40="","",Prop2021DUOSTariffs!I40)</f>
        <v>DUOS</v>
      </c>
      <c r="J40" s="1774">
        <v>31.940480000000001</v>
      </c>
      <c r="K40" s="1773">
        <v>0</v>
      </c>
      <c r="L40" s="1773">
        <v>0</v>
      </c>
      <c r="M40" s="1773">
        <v>0</v>
      </c>
      <c r="N40" s="1773">
        <v>0</v>
      </c>
      <c r="O40" s="1773">
        <v>0</v>
      </c>
      <c r="P40" s="1773">
        <v>0</v>
      </c>
      <c r="Q40" s="1773">
        <v>0</v>
      </c>
      <c r="R40" s="1773">
        <v>0</v>
      </c>
      <c r="S40" s="1773">
        <v>0</v>
      </c>
      <c r="T40" s="1773">
        <v>0</v>
      </c>
      <c r="U40" s="1773">
        <v>0</v>
      </c>
      <c r="V40" s="1773">
        <v>0</v>
      </c>
      <c r="W40" s="1773">
        <v>0</v>
      </c>
      <c r="X40" s="1773">
        <v>0</v>
      </c>
      <c r="Y40" s="1773">
        <v>0</v>
      </c>
      <c r="Z40" s="1773">
        <v>0</v>
      </c>
      <c r="AA40" s="1773">
        <v>0</v>
      </c>
      <c r="AB40" s="1773">
        <v>0</v>
      </c>
      <c r="AC40" s="1773">
        <v>0</v>
      </c>
      <c r="AD40" s="1773">
        <v>0</v>
      </c>
      <c r="AE40" s="1775">
        <v>0</v>
      </c>
      <c r="AF40" s="1775">
        <v>0</v>
      </c>
      <c r="AG40" s="1776">
        <v>8.1790770244269007E-2</v>
      </c>
      <c r="AH40" s="1775">
        <v>0</v>
      </c>
      <c r="AI40" s="1775">
        <v>0</v>
      </c>
      <c r="AJ40" s="1775">
        <v>0</v>
      </c>
      <c r="AK40" s="1775">
        <v>0</v>
      </c>
      <c r="AL40" s="1775">
        <v>0</v>
      </c>
      <c r="AM40" s="1775">
        <v>0</v>
      </c>
      <c r="AN40" s="1775">
        <v>0</v>
      </c>
      <c r="AO40" s="1775">
        <v>0</v>
      </c>
      <c r="AP40" s="1775">
        <v>0</v>
      </c>
      <c r="AQ40" s="1775">
        <v>0</v>
      </c>
      <c r="AR40" s="1775">
        <v>0</v>
      </c>
      <c r="AS40" s="1594"/>
      <c r="AT40" s="1233">
        <v>32.072016336712828</v>
      </c>
      <c r="AU40" s="1135"/>
      <c r="AV40" s="1135"/>
      <c r="AW40" s="1135"/>
      <c r="AX40" s="1135"/>
      <c r="AY40" s="1135"/>
      <c r="AZ40" s="1135"/>
      <c r="BA40" s="1135"/>
      <c r="BB40" s="1135"/>
      <c r="BC40" s="1135"/>
      <c r="BD40" s="1135"/>
      <c r="BE40" s="1135"/>
      <c r="BF40" s="1135"/>
      <c r="BG40" s="1135"/>
      <c r="BH40" s="1135"/>
      <c r="BI40" s="1135"/>
      <c r="BJ40" s="1135"/>
      <c r="BK40" s="1135"/>
      <c r="BL40" s="1135"/>
      <c r="BM40" s="1135"/>
      <c r="BN40" s="1135"/>
      <c r="BO40" s="1005"/>
      <c r="BP40" s="1005"/>
      <c r="BQ40" s="1596">
        <v>7.8594853464556358E-2</v>
      </c>
      <c r="BR40" s="1005"/>
      <c r="BS40" s="1005"/>
      <c r="BT40" s="1005"/>
      <c r="BU40" s="1005"/>
      <c r="BV40" s="1016"/>
      <c r="BW40" s="1016"/>
      <c r="BX40" s="1016"/>
      <c r="BY40" s="1016"/>
      <c r="BZ40" s="1016"/>
      <c r="CA40" s="1016"/>
      <c r="CB40" s="1016"/>
      <c r="CC40" s="1594"/>
      <c r="CD40" s="1136">
        <f t="shared" si="80"/>
        <v>-4.1012805472494529E-3</v>
      </c>
      <c r="CE40" s="1136">
        <f t="shared" si="81"/>
        <v>0</v>
      </c>
      <c r="CF40" s="1136">
        <f t="shared" si="82"/>
        <v>0</v>
      </c>
      <c r="CG40" s="1136">
        <f t="shared" si="83"/>
        <v>0</v>
      </c>
      <c r="CH40" s="1136">
        <f t="shared" si="84"/>
        <v>0</v>
      </c>
      <c r="CI40" s="1136">
        <f t="shared" si="85"/>
        <v>0</v>
      </c>
      <c r="CJ40" s="1136">
        <f t="shared" si="86"/>
        <v>0</v>
      </c>
      <c r="CK40" s="1136">
        <f t="shared" si="87"/>
        <v>0</v>
      </c>
      <c r="CL40" s="1136">
        <f t="shared" si="88"/>
        <v>0</v>
      </c>
      <c r="CM40" s="1136">
        <f t="shared" si="89"/>
        <v>0</v>
      </c>
      <c r="CN40" s="1136">
        <f t="shared" si="90"/>
        <v>0</v>
      </c>
      <c r="CO40" s="1136">
        <f t="shared" si="91"/>
        <v>0</v>
      </c>
      <c r="CP40" s="1136">
        <f t="shared" si="92"/>
        <v>0</v>
      </c>
      <c r="CQ40" s="1136">
        <f t="shared" si="93"/>
        <v>0</v>
      </c>
      <c r="CR40" s="1136">
        <f t="shared" si="94"/>
        <v>0</v>
      </c>
      <c r="CS40" s="1136">
        <f t="shared" si="95"/>
        <v>0</v>
      </c>
      <c r="CT40" s="1136">
        <f t="shared" si="96"/>
        <v>0</v>
      </c>
      <c r="CU40" s="1136">
        <f t="shared" si="97"/>
        <v>0</v>
      </c>
      <c r="CV40" s="1136">
        <f t="shared" si="98"/>
        <v>0</v>
      </c>
      <c r="CW40" s="1136">
        <f t="shared" si="99"/>
        <v>0</v>
      </c>
      <c r="CX40" s="1136">
        <f t="shared" si="100"/>
        <v>0</v>
      </c>
      <c r="CY40" s="1136">
        <f t="shared" si="101"/>
        <v>0</v>
      </c>
      <c r="CZ40" s="1136">
        <f t="shared" si="102"/>
        <v>0</v>
      </c>
      <c r="DA40" s="1136">
        <f t="shared" si="103"/>
        <v>4.0663181351357824E-2</v>
      </c>
      <c r="DB40" s="1136">
        <f t="shared" si="104"/>
        <v>0</v>
      </c>
      <c r="DC40" s="1136">
        <f t="shared" si="105"/>
        <v>0</v>
      </c>
      <c r="DD40" s="1136">
        <f t="shared" si="106"/>
        <v>0</v>
      </c>
      <c r="DE40" s="1136">
        <f t="shared" si="107"/>
        <v>0</v>
      </c>
      <c r="DF40" s="1136">
        <f t="shared" si="108"/>
        <v>0</v>
      </c>
      <c r="DG40" s="1136">
        <f t="shared" si="109"/>
        <v>0</v>
      </c>
      <c r="DH40" s="1136">
        <f t="shared" si="110"/>
        <v>0</v>
      </c>
      <c r="DI40" s="1136">
        <f t="shared" si="111"/>
        <v>0</v>
      </c>
      <c r="DJ40" s="1136">
        <f t="shared" si="112"/>
        <v>0</v>
      </c>
      <c r="DK40" s="1136">
        <f t="shared" si="113"/>
        <v>0</v>
      </c>
      <c r="DL40" s="1136">
        <f t="shared" si="114"/>
        <v>0</v>
      </c>
      <c r="DM40" s="1131" t="str">
        <f t="array" ref="DM40">IF(MAX(ABS(CD40:DL40))&gt;$DM$4,"EXPLAIN","")</f>
        <v/>
      </c>
      <c r="DN40" s="1131" t="str">
        <f t="shared" si="115"/>
        <v/>
      </c>
      <c r="DP40" s="1140">
        <f t="shared" si="116"/>
        <v>2</v>
      </c>
      <c r="DQ40" s="1140">
        <f t="shared" si="117"/>
        <v>2</v>
      </c>
      <c r="DR40" s="1140" t="str">
        <f t="shared" si="118"/>
        <v>ok</v>
      </c>
    </row>
    <row r="41" spans="2:122">
      <c r="B41" s="1111" t="str">
        <f>IF(Prop2021DUOSTariffs!B41="","",Prop2021DUOSTariffs!B41)</f>
        <v/>
      </c>
      <c r="C41" s="1111" t="str">
        <f>IF(Prop2021DUOSTariffs!C41="","",Prop2021DUOSTariffs!C41)</f>
        <v>West SAC&gt;100MWhpa Business Primary LC</v>
      </c>
      <c r="D41" s="1111" t="str">
        <f>IF(Prop2021DUOSTariffs!D41="","",Prop2021DUOSTariffs!D41)</f>
        <v>West SAC&gt;100MWhpa Business Primary LC</v>
      </c>
      <c r="E41" s="1111" t="str">
        <f>IF(Prop2021DUOSTariffs!E41="","",Prop2021DUOSTariffs!E41)</f>
        <v>SAC</v>
      </c>
      <c r="F41" s="1111" t="str">
        <f>IF(Prop2021DUOSTariffs!F41="","",Prop2021DUOSTariffs!F41)</f>
        <v>SACL</v>
      </c>
      <c r="G41" s="1111" t="str">
        <f>IF(Prop2021DUOSTariffs!G41="","",Prop2021DUOSTariffs!G41)</f>
        <v>West</v>
      </c>
      <c r="H41" s="1111" t="str">
        <f>IF(Prop2021DUOSTariffs!H41="","",Prop2021DUOSTariffs!H41)</f>
        <v>WLPLC</v>
      </c>
      <c r="I41" s="1111" t="str">
        <f>IF(Prop2021DUOSTariffs!I41="","",Prop2021DUOSTariffs!I41)</f>
        <v>DUOS</v>
      </c>
      <c r="J41" s="1774">
        <v>71.612800000000007</v>
      </c>
      <c r="K41" s="1773">
        <v>0</v>
      </c>
      <c r="L41" s="1773">
        <v>0</v>
      </c>
      <c r="M41" s="1773">
        <v>0</v>
      </c>
      <c r="N41" s="1773">
        <v>0</v>
      </c>
      <c r="O41" s="1773">
        <v>0</v>
      </c>
      <c r="P41" s="1773">
        <v>0</v>
      </c>
      <c r="Q41" s="1773">
        <v>0</v>
      </c>
      <c r="R41" s="1773">
        <v>0</v>
      </c>
      <c r="S41" s="1773">
        <v>0</v>
      </c>
      <c r="T41" s="1773">
        <v>0</v>
      </c>
      <c r="U41" s="1773">
        <v>0</v>
      </c>
      <c r="V41" s="1773">
        <v>0</v>
      </c>
      <c r="W41" s="1773">
        <v>0</v>
      </c>
      <c r="X41" s="1773">
        <v>0</v>
      </c>
      <c r="Y41" s="1773">
        <v>0</v>
      </c>
      <c r="Z41" s="1773">
        <v>0</v>
      </c>
      <c r="AA41" s="1773">
        <v>0</v>
      </c>
      <c r="AB41" s="1773">
        <v>0</v>
      </c>
      <c r="AC41" s="1773">
        <v>0</v>
      </c>
      <c r="AD41" s="1773">
        <v>0</v>
      </c>
      <c r="AE41" s="1775">
        <v>0</v>
      </c>
      <c r="AF41" s="1775">
        <v>0</v>
      </c>
      <c r="AG41" s="1776">
        <v>8.0407050454194509E-2</v>
      </c>
      <c r="AH41" s="1775">
        <v>0</v>
      </c>
      <c r="AI41" s="1775">
        <v>0</v>
      </c>
      <c r="AJ41" s="1775">
        <v>0</v>
      </c>
      <c r="AK41" s="1775">
        <v>0</v>
      </c>
      <c r="AL41" s="1775">
        <v>0</v>
      </c>
      <c r="AM41" s="1775">
        <v>0</v>
      </c>
      <c r="AN41" s="1775">
        <v>0</v>
      </c>
      <c r="AO41" s="1775">
        <v>0</v>
      </c>
      <c r="AP41" s="1775">
        <v>0</v>
      </c>
      <c r="AQ41" s="1775">
        <v>0</v>
      </c>
      <c r="AR41" s="1775">
        <v>0</v>
      </c>
      <c r="AS41" s="1594"/>
      <c r="AT41" s="1233">
        <v>71.907668606511791</v>
      </c>
      <c r="AU41" s="1135"/>
      <c r="AV41" s="1135"/>
      <c r="AW41" s="1135"/>
      <c r="AX41" s="1135"/>
      <c r="AY41" s="1135"/>
      <c r="AZ41" s="1135"/>
      <c r="BA41" s="1135"/>
      <c r="BB41" s="1135"/>
      <c r="BC41" s="1135"/>
      <c r="BD41" s="1135"/>
      <c r="BE41" s="1135"/>
      <c r="BF41" s="1135"/>
      <c r="BG41" s="1135"/>
      <c r="BH41" s="1135"/>
      <c r="BI41" s="1135"/>
      <c r="BJ41" s="1135"/>
      <c r="BK41" s="1135"/>
      <c r="BL41" s="1135"/>
      <c r="BM41" s="1135"/>
      <c r="BN41" s="1135"/>
      <c r="BO41" s="1005"/>
      <c r="BP41" s="1005"/>
      <c r="BQ41" s="1596">
        <v>7.7542526837603917E-2</v>
      </c>
      <c r="BR41" s="1005"/>
      <c r="BS41" s="1005"/>
      <c r="BT41" s="1005"/>
      <c r="BU41" s="1005"/>
      <c r="BV41" s="1016"/>
      <c r="BW41" s="1016"/>
      <c r="BX41" s="1016"/>
      <c r="BY41" s="1016"/>
      <c r="BZ41" s="1016"/>
      <c r="CA41" s="1016"/>
      <c r="CB41" s="1016"/>
      <c r="CC41" s="1594"/>
      <c r="CD41" s="1136">
        <f t="shared" si="80"/>
        <v>-4.1006559137015675E-3</v>
      </c>
      <c r="CE41" s="1136">
        <f t="shared" si="81"/>
        <v>0</v>
      </c>
      <c r="CF41" s="1136">
        <f t="shared" si="82"/>
        <v>0</v>
      </c>
      <c r="CG41" s="1136">
        <f t="shared" si="83"/>
        <v>0</v>
      </c>
      <c r="CH41" s="1136">
        <f t="shared" si="84"/>
        <v>0</v>
      </c>
      <c r="CI41" s="1136">
        <f t="shared" si="85"/>
        <v>0</v>
      </c>
      <c r="CJ41" s="1136">
        <f t="shared" si="86"/>
        <v>0</v>
      </c>
      <c r="CK41" s="1136">
        <f t="shared" si="87"/>
        <v>0</v>
      </c>
      <c r="CL41" s="1136">
        <f t="shared" si="88"/>
        <v>0</v>
      </c>
      <c r="CM41" s="1136">
        <f t="shared" si="89"/>
        <v>0</v>
      </c>
      <c r="CN41" s="1136">
        <f t="shared" si="90"/>
        <v>0</v>
      </c>
      <c r="CO41" s="1136">
        <f t="shared" si="91"/>
        <v>0</v>
      </c>
      <c r="CP41" s="1136">
        <f t="shared" si="92"/>
        <v>0</v>
      </c>
      <c r="CQ41" s="1136">
        <f t="shared" si="93"/>
        <v>0</v>
      </c>
      <c r="CR41" s="1136">
        <f t="shared" si="94"/>
        <v>0</v>
      </c>
      <c r="CS41" s="1136">
        <f t="shared" si="95"/>
        <v>0</v>
      </c>
      <c r="CT41" s="1136">
        <f t="shared" si="96"/>
        <v>0</v>
      </c>
      <c r="CU41" s="1136">
        <f t="shared" si="97"/>
        <v>0</v>
      </c>
      <c r="CV41" s="1136">
        <f t="shared" si="98"/>
        <v>0</v>
      </c>
      <c r="CW41" s="1136">
        <f t="shared" si="99"/>
        <v>0</v>
      </c>
      <c r="CX41" s="1136">
        <f t="shared" si="100"/>
        <v>0</v>
      </c>
      <c r="CY41" s="1136">
        <f t="shared" si="101"/>
        <v>0</v>
      </c>
      <c r="CZ41" s="1136">
        <f t="shared" si="102"/>
        <v>0</v>
      </c>
      <c r="DA41" s="1136">
        <f t="shared" si="103"/>
        <v>3.6941324114826868E-2</v>
      </c>
      <c r="DB41" s="1136">
        <f t="shared" si="104"/>
        <v>0</v>
      </c>
      <c r="DC41" s="1136">
        <f t="shared" si="105"/>
        <v>0</v>
      </c>
      <c r="DD41" s="1136">
        <f t="shared" si="106"/>
        <v>0</v>
      </c>
      <c r="DE41" s="1136">
        <f t="shared" si="107"/>
        <v>0</v>
      </c>
      <c r="DF41" s="1136">
        <f t="shared" si="108"/>
        <v>0</v>
      </c>
      <c r="DG41" s="1136">
        <f t="shared" si="109"/>
        <v>0</v>
      </c>
      <c r="DH41" s="1136">
        <f t="shared" si="110"/>
        <v>0</v>
      </c>
      <c r="DI41" s="1136">
        <f t="shared" si="111"/>
        <v>0</v>
      </c>
      <c r="DJ41" s="1136">
        <f t="shared" si="112"/>
        <v>0</v>
      </c>
      <c r="DK41" s="1136">
        <f t="shared" si="113"/>
        <v>0</v>
      </c>
      <c r="DL41" s="1136">
        <f t="shared" si="114"/>
        <v>0</v>
      </c>
      <c r="DM41" s="1131" t="str">
        <f t="array" ref="DM41">IF(MAX(ABS(CD41:DL41))&gt;$DM$4,"EXPLAIN","")</f>
        <v/>
      </c>
      <c r="DN41" s="1131" t="str">
        <f t="shared" si="115"/>
        <v/>
      </c>
      <c r="DP41" s="1140">
        <f t="shared" si="116"/>
        <v>2</v>
      </c>
      <c r="DQ41" s="1140">
        <f t="shared" si="117"/>
        <v>2</v>
      </c>
      <c r="DR41" s="1140" t="str">
        <f t="shared" si="118"/>
        <v>ok</v>
      </c>
    </row>
    <row r="42" spans="2:122">
      <c r="B42" s="1111" t="str">
        <f>IF(Prop2021DUOSTariffs!B42="","",Prop2021DUOSTariffs!B42)</f>
        <v/>
      </c>
      <c r="C42" s="1111" t="str">
        <f>IF(Prop2021DUOSTariffs!C42="","",Prop2021DUOSTariffs!C42)</f>
        <v>MtIsa SAC&gt;100MWhpa Business Primary LC</v>
      </c>
      <c r="D42" s="1111" t="str">
        <f>IF(Prop2021DUOSTariffs!D42="","",Prop2021DUOSTariffs!D42)</f>
        <v>MtIsa SAC&gt;100MWhpa Business Primary LC</v>
      </c>
      <c r="E42" s="1111" t="str">
        <f>IF(Prop2021DUOSTariffs!E42="","",Prop2021DUOSTariffs!E42)</f>
        <v>SAC</v>
      </c>
      <c r="F42" s="1111" t="str">
        <f>IF(Prop2021DUOSTariffs!F42="","",Prop2021DUOSTariffs!F42)</f>
        <v>SACL</v>
      </c>
      <c r="G42" s="1111" t="str">
        <f>IF(Prop2021DUOSTariffs!G42="","",Prop2021DUOSTariffs!G42)</f>
        <v>Mt Isa</v>
      </c>
      <c r="H42" s="1111" t="str">
        <f>IF(Prop2021DUOSTariffs!H42="","",Prop2021DUOSTariffs!H42)</f>
        <v>MLPLC</v>
      </c>
      <c r="I42" s="1111" t="str">
        <f>IF(Prop2021DUOSTariffs!I42="","",Prop2021DUOSTariffs!I42)</f>
        <v>DUOS</v>
      </c>
      <c r="J42" s="1774">
        <v>21.37595</v>
      </c>
      <c r="K42" s="1773">
        <v>0</v>
      </c>
      <c r="L42" s="1773">
        <v>0</v>
      </c>
      <c r="M42" s="1773">
        <v>0</v>
      </c>
      <c r="N42" s="1773">
        <v>0</v>
      </c>
      <c r="O42" s="1773">
        <v>0</v>
      </c>
      <c r="P42" s="1773">
        <v>0</v>
      </c>
      <c r="Q42" s="1773">
        <v>0</v>
      </c>
      <c r="R42" s="1773">
        <v>0</v>
      </c>
      <c r="S42" s="1773">
        <v>0</v>
      </c>
      <c r="T42" s="1773">
        <v>0</v>
      </c>
      <c r="U42" s="1773">
        <v>0</v>
      </c>
      <c r="V42" s="1773">
        <v>0</v>
      </c>
      <c r="W42" s="1773">
        <v>0</v>
      </c>
      <c r="X42" s="1773">
        <v>0</v>
      </c>
      <c r="Y42" s="1773">
        <v>0</v>
      </c>
      <c r="Z42" s="1773">
        <v>0</v>
      </c>
      <c r="AA42" s="1773">
        <v>0</v>
      </c>
      <c r="AB42" s="1773">
        <v>0</v>
      </c>
      <c r="AC42" s="1773">
        <v>0</v>
      </c>
      <c r="AD42" s="1773">
        <v>0</v>
      </c>
      <c r="AE42" s="1775">
        <v>0</v>
      </c>
      <c r="AF42" s="1775">
        <v>0</v>
      </c>
      <c r="AG42" s="1776">
        <v>8.2612582775926979E-2</v>
      </c>
      <c r="AH42" s="1775">
        <v>0</v>
      </c>
      <c r="AI42" s="1775">
        <v>0</v>
      </c>
      <c r="AJ42" s="1775">
        <v>0</v>
      </c>
      <c r="AK42" s="1775">
        <v>0</v>
      </c>
      <c r="AL42" s="1775">
        <v>0</v>
      </c>
      <c r="AM42" s="1775">
        <v>0</v>
      </c>
      <c r="AN42" s="1775">
        <v>0</v>
      </c>
      <c r="AO42" s="1775">
        <v>0</v>
      </c>
      <c r="AP42" s="1775">
        <v>0</v>
      </c>
      <c r="AQ42" s="1775">
        <v>0</v>
      </c>
      <c r="AR42" s="1775">
        <v>0</v>
      </c>
      <c r="AS42" s="1594"/>
      <c r="AT42" s="1233">
        <v>21.463966340505696</v>
      </c>
      <c r="AU42" s="1135"/>
      <c r="AV42" s="1135"/>
      <c r="AW42" s="1135"/>
      <c r="AX42" s="1135"/>
      <c r="AY42" s="1135"/>
      <c r="AZ42" s="1135"/>
      <c r="BA42" s="1135"/>
      <c r="BB42" s="1135"/>
      <c r="BC42" s="1135"/>
      <c r="BD42" s="1135"/>
      <c r="BE42" s="1135"/>
      <c r="BF42" s="1135"/>
      <c r="BG42" s="1135"/>
      <c r="BH42" s="1135"/>
      <c r="BI42" s="1135"/>
      <c r="BJ42" s="1135"/>
      <c r="BK42" s="1135"/>
      <c r="BL42" s="1135"/>
      <c r="BM42" s="1135"/>
      <c r="BN42" s="1135"/>
      <c r="BO42" s="1005"/>
      <c r="BP42" s="1005"/>
      <c r="BQ42" s="1596">
        <v>8.1632161626472743E-2</v>
      </c>
      <c r="BR42" s="1005"/>
      <c r="BS42" s="1005"/>
      <c r="BT42" s="1005"/>
      <c r="BU42" s="1005"/>
      <c r="BV42" s="1005"/>
      <c r="BW42" s="1005"/>
      <c r="BX42" s="1005"/>
      <c r="BY42" s="1005"/>
      <c r="BZ42" s="1005"/>
      <c r="CA42" s="1005"/>
      <c r="CB42" s="1005"/>
      <c r="CC42" s="1594"/>
      <c r="CD42" s="1136">
        <f t="shared" si="80"/>
        <v>-4.1006559137020115E-3</v>
      </c>
      <c r="CE42" s="1136">
        <f t="shared" si="81"/>
        <v>0</v>
      </c>
      <c r="CF42" s="1136">
        <f t="shared" si="82"/>
        <v>0</v>
      </c>
      <c r="CG42" s="1136">
        <f t="shared" si="83"/>
        <v>0</v>
      </c>
      <c r="CH42" s="1136">
        <f t="shared" si="84"/>
        <v>0</v>
      </c>
      <c r="CI42" s="1136">
        <f t="shared" si="85"/>
        <v>0</v>
      </c>
      <c r="CJ42" s="1136">
        <f t="shared" si="86"/>
        <v>0</v>
      </c>
      <c r="CK42" s="1136">
        <f t="shared" si="87"/>
        <v>0</v>
      </c>
      <c r="CL42" s="1136">
        <f t="shared" si="88"/>
        <v>0</v>
      </c>
      <c r="CM42" s="1136">
        <f t="shared" si="89"/>
        <v>0</v>
      </c>
      <c r="CN42" s="1136">
        <f t="shared" si="90"/>
        <v>0</v>
      </c>
      <c r="CO42" s="1136">
        <f t="shared" si="91"/>
        <v>0</v>
      </c>
      <c r="CP42" s="1136">
        <f t="shared" si="92"/>
        <v>0</v>
      </c>
      <c r="CQ42" s="1136">
        <f t="shared" si="93"/>
        <v>0</v>
      </c>
      <c r="CR42" s="1136">
        <f t="shared" si="94"/>
        <v>0</v>
      </c>
      <c r="CS42" s="1136">
        <f t="shared" si="95"/>
        <v>0</v>
      </c>
      <c r="CT42" s="1136">
        <f t="shared" si="96"/>
        <v>0</v>
      </c>
      <c r="CU42" s="1136">
        <f t="shared" si="97"/>
        <v>0</v>
      </c>
      <c r="CV42" s="1136">
        <f t="shared" si="98"/>
        <v>0</v>
      </c>
      <c r="CW42" s="1136">
        <f t="shared" si="99"/>
        <v>0</v>
      </c>
      <c r="CX42" s="1136">
        <f t="shared" si="100"/>
        <v>0</v>
      </c>
      <c r="CY42" s="1136">
        <f t="shared" si="101"/>
        <v>0</v>
      </c>
      <c r="CZ42" s="1136">
        <f t="shared" si="102"/>
        <v>0</v>
      </c>
      <c r="DA42" s="1136">
        <f t="shared" si="103"/>
        <v>1.2010231383316583E-2</v>
      </c>
      <c r="DB42" s="1136">
        <f t="shared" si="104"/>
        <v>0</v>
      </c>
      <c r="DC42" s="1136">
        <f t="shared" si="105"/>
        <v>0</v>
      </c>
      <c r="DD42" s="1136">
        <f t="shared" si="106"/>
        <v>0</v>
      </c>
      <c r="DE42" s="1136">
        <f t="shared" si="107"/>
        <v>0</v>
      </c>
      <c r="DF42" s="1136">
        <f t="shared" si="108"/>
        <v>0</v>
      </c>
      <c r="DG42" s="1136">
        <f t="shared" si="109"/>
        <v>0</v>
      </c>
      <c r="DH42" s="1136">
        <f t="shared" si="110"/>
        <v>0</v>
      </c>
      <c r="DI42" s="1136">
        <f t="shared" si="111"/>
        <v>0</v>
      </c>
      <c r="DJ42" s="1136">
        <f t="shared" si="112"/>
        <v>0</v>
      </c>
      <c r="DK42" s="1136">
        <f t="shared" si="113"/>
        <v>0</v>
      </c>
      <c r="DL42" s="1136">
        <f t="shared" si="114"/>
        <v>0</v>
      </c>
      <c r="DM42" s="1131" t="str">
        <f t="array" ref="DM42">IF(MAX(ABS(CD42:DL42))&gt;$DM$4,"EXPLAIN","")</f>
        <v/>
      </c>
      <c r="DN42" s="1131" t="str">
        <f t="shared" si="115"/>
        <v/>
      </c>
      <c r="DP42" s="1140">
        <f t="shared" si="116"/>
        <v>2</v>
      </c>
      <c r="DQ42" s="1140">
        <f t="shared" si="117"/>
        <v>2</v>
      </c>
      <c r="DR42" s="1140" t="str">
        <f t="shared" si="118"/>
        <v>ok</v>
      </c>
    </row>
    <row r="43" spans="2:122">
      <c r="B43" s="1111" t="str">
        <f>IF(Prop2021DUOSTariffs!B43="","",Prop2021DUOSTariffs!B43)</f>
        <v/>
      </c>
      <c r="C43" s="1111" t="str">
        <f>IF(Prop2021DUOSTariffs!C43="","",Prop2021DUOSTariffs!C43)</f>
        <v>East SAC&gt;100MWhpa Business Secondary LC</v>
      </c>
      <c r="D43" s="1111" t="str">
        <f>IF(Prop2021DUOSTariffs!D43="","",Prop2021DUOSTariffs!D43)</f>
        <v>East SAC&gt;100MWhpa Business Secondary LC</v>
      </c>
      <c r="E43" s="1111" t="str">
        <f>IF(Prop2021DUOSTariffs!E43="","",Prop2021DUOSTariffs!E43)</f>
        <v>SAC</v>
      </c>
      <c r="F43" s="1111" t="str">
        <f>IF(Prop2021DUOSTariffs!F43="","",Prop2021DUOSTariffs!F43)</f>
        <v>SACL</v>
      </c>
      <c r="G43" s="1111" t="str">
        <f>IF(Prop2021DUOSTariffs!G43="","",Prop2021DUOSTariffs!G43)</f>
        <v>East</v>
      </c>
      <c r="H43" s="1111" t="str">
        <f>IF(Prop2021DUOSTariffs!H43="","",Prop2021DUOSTariffs!H43)</f>
        <v>ELSLC</v>
      </c>
      <c r="I43" s="1111" t="str">
        <f>IF(Prop2021DUOSTariffs!I43="","",Prop2021DUOSTariffs!I43)</f>
        <v>DUOS</v>
      </c>
      <c r="J43" s="1773">
        <v>0</v>
      </c>
      <c r="K43" s="1773">
        <v>0</v>
      </c>
      <c r="L43" s="1773">
        <v>0</v>
      </c>
      <c r="M43" s="1773">
        <v>0</v>
      </c>
      <c r="N43" s="1773">
        <v>0</v>
      </c>
      <c r="O43" s="1773">
        <v>0</v>
      </c>
      <c r="P43" s="1773">
        <v>0</v>
      </c>
      <c r="Q43" s="1773">
        <v>0</v>
      </c>
      <c r="R43" s="1773">
        <v>0</v>
      </c>
      <c r="S43" s="1773">
        <v>0</v>
      </c>
      <c r="T43" s="1773">
        <v>0</v>
      </c>
      <c r="U43" s="1773">
        <v>0</v>
      </c>
      <c r="V43" s="1773">
        <v>0</v>
      </c>
      <c r="W43" s="1773">
        <v>0</v>
      </c>
      <c r="X43" s="1773">
        <v>0</v>
      </c>
      <c r="Y43" s="1773">
        <v>0</v>
      </c>
      <c r="Z43" s="1773">
        <v>0</v>
      </c>
      <c r="AA43" s="1773">
        <v>0</v>
      </c>
      <c r="AB43" s="1773">
        <v>0</v>
      </c>
      <c r="AC43" s="1773">
        <v>0</v>
      </c>
      <c r="AD43" s="1773">
        <v>0</v>
      </c>
      <c r="AE43" s="1775">
        <v>0</v>
      </c>
      <c r="AF43" s="1775">
        <v>0</v>
      </c>
      <c r="AG43" s="1776">
        <v>8.1790770244269007E-2</v>
      </c>
      <c r="AH43" s="1775">
        <v>0</v>
      </c>
      <c r="AI43" s="1775">
        <v>0</v>
      </c>
      <c r="AJ43" s="1775">
        <v>0</v>
      </c>
      <c r="AK43" s="1775">
        <v>0</v>
      </c>
      <c r="AL43" s="1775">
        <v>0</v>
      </c>
      <c r="AM43" s="1775">
        <v>0</v>
      </c>
      <c r="AN43" s="1775">
        <v>0</v>
      </c>
      <c r="AO43" s="1775">
        <v>0</v>
      </c>
      <c r="AP43" s="1775">
        <v>0</v>
      </c>
      <c r="AQ43" s="1775">
        <v>0</v>
      </c>
      <c r="AR43" s="1775">
        <v>0</v>
      </c>
      <c r="AS43" s="1594"/>
      <c r="AT43" s="1591"/>
      <c r="AU43" s="1135"/>
      <c r="AV43" s="1135"/>
      <c r="AW43" s="1135"/>
      <c r="AX43" s="1135"/>
      <c r="AY43" s="1135"/>
      <c r="AZ43" s="1135"/>
      <c r="BA43" s="1135"/>
      <c r="BB43" s="1135"/>
      <c r="BC43" s="1135"/>
      <c r="BD43" s="1135"/>
      <c r="BE43" s="1135"/>
      <c r="BF43" s="1135"/>
      <c r="BG43" s="1135"/>
      <c r="BH43" s="1135"/>
      <c r="BI43" s="1135"/>
      <c r="BJ43" s="1135"/>
      <c r="BK43" s="1135"/>
      <c r="BL43" s="1135"/>
      <c r="BM43" s="1135"/>
      <c r="BN43" s="1135"/>
      <c r="BO43" s="1005"/>
      <c r="BP43" s="1005"/>
      <c r="BQ43" s="1596">
        <v>7.8594853464556358E-2</v>
      </c>
      <c r="BR43" s="1005"/>
      <c r="BS43" s="1005"/>
      <c r="BT43" s="1005"/>
      <c r="BU43" s="1005"/>
      <c r="BV43" s="1005"/>
      <c r="BW43" s="1005"/>
      <c r="BX43" s="1005"/>
      <c r="BY43" s="1005"/>
      <c r="BZ43" s="1005"/>
      <c r="CA43" s="1005"/>
      <c r="CB43" s="1005"/>
      <c r="CC43" s="1594"/>
      <c r="CD43" s="1136">
        <f t="shared" si="80"/>
        <v>0</v>
      </c>
      <c r="CE43" s="1136">
        <f t="shared" si="81"/>
        <v>0</v>
      </c>
      <c r="CF43" s="1136">
        <f t="shared" si="82"/>
        <v>0</v>
      </c>
      <c r="CG43" s="1136">
        <f t="shared" si="83"/>
        <v>0</v>
      </c>
      <c r="CH43" s="1136">
        <f t="shared" si="84"/>
        <v>0</v>
      </c>
      <c r="CI43" s="1136">
        <f t="shared" si="85"/>
        <v>0</v>
      </c>
      <c r="CJ43" s="1136">
        <f t="shared" si="86"/>
        <v>0</v>
      </c>
      <c r="CK43" s="1136">
        <f t="shared" si="87"/>
        <v>0</v>
      </c>
      <c r="CL43" s="1136">
        <f t="shared" si="88"/>
        <v>0</v>
      </c>
      <c r="CM43" s="1136">
        <f t="shared" si="89"/>
        <v>0</v>
      </c>
      <c r="CN43" s="1136">
        <f t="shared" si="90"/>
        <v>0</v>
      </c>
      <c r="CO43" s="1136">
        <f t="shared" si="91"/>
        <v>0</v>
      </c>
      <c r="CP43" s="1136">
        <f t="shared" si="92"/>
        <v>0</v>
      </c>
      <c r="CQ43" s="1136">
        <f t="shared" si="93"/>
        <v>0</v>
      </c>
      <c r="CR43" s="1136">
        <f t="shared" si="94"/>
        <v>0</v>
      </c>
      <c r="CS43" s="1136">
        <f t="shared" si="95"/>
        <v>0</v>
      </c>
      <c r="CT43" s="1136">
        <f t="shared" si="96"/>
        <v>0</v>
      </c>
      <c r="CU43" s="1136">
        <f t="shared" si="97"/>
        <v>0</v>
      </c>
      <c r="CV43" s="1136">
        <f t="shared" si="98"/>
        <v>0</v>
      </c>
      <c r="CW43" s="1136">
        <f t="shared" si="99"/>
        <v>0</v>
      </c>
      <c r="CX43" s="1136">
        <f t="shared" si="100"/>
        <v>0</v>
      </c>
      <c r="CY43" s="1136">
        <f t="shared" si="101"/>
        <v>0</v>
      </c>
      <c r="CZ43" s="1136">
        <f t="shared" si="102"/>
        <v>0</v>
      </c>
      <c r="DA43" s="1136">
        <f t="shared" si="103"/>
        <v>4.0663181351357824E-2</v>
      </c>
      <c r="DB43" s="1136">
        <f t="shared" si="104"/>
        <v>0</v>
      </c>
      <c r="DC43" s="1136">
        <f t="shared" si="105"/>
        <v>0</v>
      </c>
      <c r="DD43" s="1136">
        <f t="shared" si="106"/>
        <v>0</v>
      </c>
      <c r="DE43" s="1136">
        <f t="shared" si="107"/>
        <v>0</v>
      </c>
      <c r="DF43" s="1136">
        <f t="shared" si="108"/>
        <v>0</v>
      </c>
      <c r="DG43" s="1136">
        <f t="shared" si="109"/>
        <v>0</v>
      </c>
      <c r="DH43" s="1136">
        <f t="shared" si="110"/>
        <v>0</v>
      </c>
      <c r="DI43" s="1136">
        <f t="shared" si="111"/>
        <v>0</v>
      </c>
      <c r="DJ43" s="1136">
        <f t="shared" si="112"/>
        <v>0</v>
      </c>
      <c r="DK43" s="1136">
        <f t="shared" si="113"/>
        <v>0</v>
      </c>
      <c r="DL43" s="1136">
        <f t="shared" si="114"/>
        <v>0</v>
      </c>
      <c r="DM43" s="1131" t="str">
        <f t="array" ref="DM43">IF(MAX(ABS(CD43:DL43))&gt;$DM$4,"EXPLAIN","")</f>
        <v/>
      </c>
      <c r="DN43" s="1131" t="str">
        <f t="shared" si="115"/>
        <v/>
      </c>
      <c r="DP43" s="1140">
        <f t="shared" si="116"/>
        <v>1</v>
      </c>
      <c r="DQ43" s="1140">
        <f t="shared" si="117"/>
        <v>1</v>
      </c>
      <c r="DR43" s="1140" t="str">
        <f t="shared" si="118"/>
        <v>ok</v>
      </c>
    </row>
    <row r="44" spans="2:122">
      <c r="B44" s="1111" t="str">
        <f>IF(Prop2021DUOSTariffs!B44="","",Prop2021DUOSTariffs!B44)</f>
        <v/>
      </c>
      <c r="C44" s="1111" t="str">
        <f>IF(Prop2021DUOSTariffs!C44="","",Prop2021DUOSTariffs!C44)</f>
        <v>West SAC&gt;100MWhpa Business Secondary LC</v>
      </c>
      <c r="D44" s="1111" t="str">
        <f>IF(Prop2021DUOSTariffs!D44="","",Prop2021DUOSTariffs!D44)</f>
        <v>West SAC&gt;100MWhpa Business Secondary LC</v>
      </c>
      <c r="E44" s="1111" t="str">
        <f>IF(Prop2021DUOSTariffs!E44="","",Prop2021DUOSTariffs!E44)</f>
        <v>SAC</v>
      </c>
      <c r="F44" s="1111" t="str">
        <f>IF(Prop2021DUOSTariffs!F44="","",Prop2021DUOSTariffs!F44)</f>
        <v>SACL</v>
      </c>
      <c r="G44" s="1111" t="str">
        <f>IF(Prop2021DUOSTariffs!G44="","",Prop2021DUOSTariffs!G44)</f>
        <v>West</v>
      </c>
      <c r="H44" s="1111" t="str">
        <f>IF(Prop2021DUOSTariffs!H44="","",Prop2021DUOSTariffs!H44)</f>
        <v>WLSLC</v>
      </c>
      <c r="I44" s="1111" t="str">
        <f>IF(Prop2021DUOSTariffs!I44="","",Prop2021DUOSTariffs!I44)</f>
        <v>DUOS</v>
      </c>
      <c r="J44" s="1773">
        <v>0</v>
      </c>
      <c r="K44" s="1773">
        <v>0</v>
      </c>
      <c r="L44" s="1773">
        <v>0</v>
      </c>
      <c r="M44" s="1773">
        <v>0</v>
      </c>
      <c r="N44" s="1773">
        <v>0</v>
      </c>
      <c r="O44" s="1773">
        <v>0</v>
      </c>
      <c r="P44" s="1773">
        <v>0</v>
      </c>
      <c r="Q44" s="1773">
        <v>0</v>
      </c>
      <c r="R44" s="1773">
        <v>0</v>
      </c>
      <c r="S44" s="1773">
        <v>0</v>
      </c>
      <c r="T44" s="1773">
        <v>0</v>
      </c>
      <c r="U44" s="1773">
        <v>0</v>
      </c>
      <c r="V44" s="1773">
        <v>0</v>
      </c>
      <c r="W44" s="1773">
        <v>0</v>
      </c>
      <c r="X44" s="1773">
        <v>0</v>
      </c>
      <c r="Y44" s="1773">
        <v>0</v>
      </c>
      <c r="Z44" s="1773">
        <v>0</v>
      </c>
      <c r="AA44" s="1773">
        <v>0</v>
      </c>
      <c r="AB44" s="1773">
        <v>0</v>
      </c>
      <c r="AC44" s="1773">
        <v>0</v>
      </c>
      <c r="AD44" s="1773">
        <v>0</v>
      </c>
      <c r="AE44" s="1775">
        <v>0</v>
      </c>
      <c r="AF44" s="1775">
        <v>0</v>
      </c>
      <c r="AG44" s="1776">
        <v>8.0407050454194509E-2</v>
      </c>
      <c r="AH44" s="1775">
        <v>0</v>
      </c>
      <c r="AI44" s="1775">
        <v>0</v>
      </c>
      <c r="AJ44" s="1775">
        <v>0</v>
      </c>
      <c r="AK44" s="1775">
        <v>0</v>
      </c>
      <c r="AL44" s="1775">
        <v>0</v>
      </c>
      <c r="AM44" s="1775">
        <v>0</v>
      </c>
      <c r="AN44" s="1775">
        <v>0</v>
      </c>
      <c r="AO44" s="1775">
        <v>0</v>
      </c>
      <c r="AP44" s="1775">
        <v>0</v>
      </c>
      <c r="AQ44" s="1775">
        <v>0</v>
      </c>
      <c r="AR44" s="1775">
        <v>0</v>
      </c>
      <c r="AS44" s="1594"/>
      <c r="AT44" s="1591"/>
      <c r="AU44" s="1135"/>
      <c r="AV44" s="1135"/>
      <c r="AW44" s="1135"/>
      <c r="AX44" s="1135"/>
      <c r="AY44" s="1135"/>
      <c r="AZ44" s="1135"/>
      <c r="BA44" s="1135"/>
      <c r="BB44" s="1135"/>
      <c r="BC44" s="1135"/>
      <c r="BD44" s="1135"/>
      <c r="BE44" s="1135"/>
      <c r="BF44" s="1135"/>
      <c r="BG44" s="1135"/>
      <c r="BH44" s="1135"/>
      <c r="BI44" s="1135"/>
      <c r="BJ44" s="1135"/>
      <c r="BK44" s="1135"/>
      <c r="BL44" s="1135"/>
      <c r="BM44" s="1135"/>
      <c r="BN44" s="1135"/>
      <c r="BO44" s="1005"/>
      <c r="BP44" s="1005"/>
      <c r="BQ44" s="1596">
        <v>7.7542526837603917E-2</v>
      </c>
      <c r="BR44" s="1005"/>
      <c r="BS44" s="1005"/>
      <c r="BT44" s="1005"/>
      <c r="BU44" s="1005"/>
      <c r="BV44" s="1016"/>
      <c r="BW44" s="1016"/>
      <c r="BX44" s="1016"/>
      <c r="BY44" s="1016"/>
      <c r="BZ44" s="1016"/>
      <c r="CA44" s="1016"/>
      <c r="CB44" s="1016"/>
      <c r="CC44" s="1594"/>
      <c r="CD44" s="1136">
        <f t="shared" si="80"/>
        <v>0</v>
      </c>
      <c r="CE44" s="1136">
        <f t="shared" si="81"/>
        <v>0</v>
      </c>
      <c r="CF44" s="1136">
        <f t="shared" si="82"/>
        <v>0</v>
      </c>
      <c r="CG44" s="1136">
        <f t="shared" si="83"/>
        <v>0</v>
      </c>
      <c r="CH44" s="1136">
        <f t="shared" si="84"/>
        <v>0</v>
      </c>
      <c r="CI44" s="1136">
        <f t="shared" si="85"/>
        <v>0</v>
      </c>
      <c r="CJ44" s="1136">
        <f t="shared" si="86"/>
        <v>0</v>
      </c>
      <c r="CK44" s="1136">
        <f t="shared" si="87"/>
        <v>0</v>
      </c>
      <c r="CL44" s="1136">
        <f t="shared" si="88"/>
        <v>0</v>
      </c>
      <c r="CM44" s="1136">
        <f t="shared" si="89"/>
        <v>0</v>
      </c>
      <c r="CN44" s="1136">
        <f t="shared" si="90"/>
        <v>0</v>
      </c>
      <c r="CO44" s="1136">
        <f t="shared" si="91"/>
        <v>0</v>
      </c>
      <c r="CP44" s="1136">
        <f t="shared" si="92"/>
        <v>0</v>
      </c>
      <c r="CQ44" s="1136">
        <f t="shared" si="93"/>
        <v>0</v>
      </c>
      <c r="CR44" s="1136">
        <f t="shared" si="94"/>
        <v>0</v>
      </c>
      <c r="CS44" s="1136">
        <f t="shared" si="95"/>
        <v>0</v>
      </c>
      <c r="CT44" s="1136">
        <f t="shared" si="96"/>
        <v>0</v>
      </c>
      <c r="CU44" s="1136">
        <f t="shared" si="97"/>
        <v>0</v>
      </c>
      <c r="CV44" s="1136">
        <f t="shared" si="98"/>
        <v>0</v>
      </c>
      <c r="CW44" s="1136">
        <f t="shared" si="99"/>
        <v>0</v>
      </c>
      <c r="CX44" s="1136">
        <f t="shared" si="100"/>
        <v>0</v>
      </c>
      <c r="CY44" s="1136">
        <f t="shared" si="101"/>
        <v>0</v>
      </c>
      <c r="CZ44" s="1136">
        <f t="shared" si="102"/>
        <v>0</v>
      </c>
      <c r="DA44" s="1136">
        <f t="shared" si="103"/>
        <v>3.6941324114826868E-2</v>
      </c>
      <c r="DB44" s="1136">
        <f t="shared" si="104"/>
        <v>0</v>
      </c>
      <c r="DC44" s="1136">
        <f t="shared" si="105"/>
        <v>0</v>
      </c>
      <c r="DD44" s="1136">
        <f t="shared" si="106"/>
        <v>0</v>
      </c>
      <c r="DE44" s="1136">
        <f t="shared" si="107"/>
        <v>0</v>
      </c>
      <c r="DF44" s="1136">
        <f t="shared" si="108"/>
        <v>0</v>
      </c>
      <c r="DG44" s="1136">
        <f t="shared" si="109"/>
        <v>0</v>
      </c>
      <c r="DH44" s="1136">
        <f t="shared" si="110"/>
        <v>0</v>
      </c>
      <c r="DI44" s="1136">
        <f t="shared" si="111"/>
        <v>0</v>
      </c>
      <c r="DJ44" s="1136">
        <f t="shared" si="112"/>
        <v>0</v>
      </c>
      <c r="DK44" s="1136">
        <f t="shared" si="113"/>
        <v>0</v>
      </c>
      <c r="DL44" s="1136">
        <f t="shared" si="114"/>
        <v>0</v>
      </c>
      <c r="DM44" s="1131" t="str">
        <f t="array" ref="DM44">IF(MAX(ABS(CD44:DL44))&gt;$DM$4,"EXPLAIN","")</f>
        <v/>
      </c>
      <c r="DN44" s="1131" t="str">
        <f t="shared" si="115"/>
        <v/>
      </c>
      <c r="DP44" s="1140">
        <f t="shared" si="116"/>
        <v>1</v>
      </c>
      <c r="DQ44" s="1140">
        <f t="shared" si="117"/>
        <v>1</v>
      </c>
      <c r="DR44" s="1140" t="str">
        <f t="shared" si="118"/>
        <v>ok</v>
      </c>
    </row>
    <row r="45" spans="2:122">
      <c r="B45" s="1111" t="str">
        <f>IF(Prop2021DUOSTariffs!B45="","",Prop2021DUOSTariffs!B45)</f>
        <v/>
      </c>
      <c r="C45" s="1111" t="str">
        <f>IF(Prop2021DUOSTariffs!C45="","",Prop2021DUOSTariffs!C45)</f>
        <v>MtIsa SAC&gt;100MWhpa Business Secondary LC</v>
      </c>
      <c r="D45" s="1111" t="str">
        <f>IF(Prop2021DUOSTariffs!D45="","",Prop2021DUOSTariffs!D45)</f>
        <v>MtIsa SAC&gt;100MWhpa Business Secondary LC</v>
      </c>
      <c r="E45" s="1111" t="str">
        <f>IF(Prop2021DUOSTariffs!E45="","",Prop2021DUOSTariffs!E45)</f>
        <v>SAC</v>
      </c>
      <c r="F45" s="1111" t="str">
        <f>IF(Prop2021DUOSTariffs!F45="","",Prop2021DUOSTariffs!F45)</f>
        <v>SACL</v>
      </c>
      <c r="G45" s="1111" t="str">
        <f>IF(Prop2021DUOSTariffs!G45="","",Prop2021DUOSTariffs!G45)</f>
        <v>Mt Isa</v>
      </c>
      <c r="H45" s="1111" t="str">
        <f>IF(Prop2021DUOSTariffs!H45="","",Prop2021DUOSTariffs!H45)</f>
        <v>MLSLC</v>
      </c>
      <c r="I45" s="1111" t="str">
        <f>IF(Prop2021DUOSTariffs!I45="","",Prop2021DUOSTariffs!I45)</f>
        <v>DUOS</v>
      </c>
      <c r="J45" s="1773">
        <v>0</v>
      </c>
      <c r="K45" s="1773">
        <v>0</v>
      </c>
      <c r="L45" s="1773">
        <v>0</v>
      </c>
      <c r="M45" s="1773">
        <v>0</v>
      </c>
      <c r="N45" s="1773">
        <v>0</v>
      </c>
      <c r="O45" s="1773">
        <v>0</v>
      </c>
      <c r="P45" s="1773">
        <v>0</v>
      </c>
      <c r="Q45" s="1773">
        <v>0</v>
      </c>
      <c r="R45" s="1773">
        <v>0</v>
      </c>
      <c r="S45" s="1773">
        <v>0</v>
      </c>
      <c r="T45" s="1773">
        <v>0</v>
      </c>
      <c r="U45" s="1773">
        <v>0</v>
      </c>
      <c r="V45" s="1773">
        <v>0</v>
      </c>
      <c r="W45" s="1773">
        <v>0</v>
      </c>
      <c r="X45" s="1773">
        <v>0</v>
      </c>
      <c r="Y45" s="1773">
        <v>0</v>
      </c>
      <c r="Z45" s="1773">
        <v>0</v>
      </c>
      <c r="AA45" s="1773">
        <v>0</v>
      </c>
      <c r="AB45" s="1773">
        <v>0</v>
      </c>
      <c r="AC45" s="1773">
        <v>0</v>
      </c>
      <c r="AD45" s="1773">
        <v>0</v>
      </c>
      <c r="AE45" s="1775">
        <v>0</v>
      </c>
      <c r="AF45" s="1775">
        <v>0</v>
      </c>
      <c r="AG45" s="1776">
        <v>8.2612582775926979E-2</v>
      </c>
      <c r="AH45" s="1775">
        <v>0</v>
      </c>
      <c r="AI45" s="1775">
        <v>0</v>
      </c>
      <c r="AJ45" s="1775">
        <v>0</v>
      </c>
      <c r="AK45" s="1775">
        <v>0</v>
      </c>
      <c r="AL45" s="1775">
        <v>0</v>
      </c>
      <c r="AM45" s="1775">
        <v>0</v>
      </c>
      <c r="AN45" s="1775">
        <v>0</v>
      </c>
      <c r="AO45" s="1775">
        <v>0</v>
      </c>
      <c r="AP45" s="1775">
        <v>0</v>
      </c>
      <c r="AQ45" s="1775">
        <v>0</v>
      </c>
      <c r="AR45" s="1775">
        <v>0</v>
      </c>
      <c r="AS45" s="1594"/>
      <c r="AT45" s="1591"/>
      <c r="AU45" s="1135"/>
      <c r="AV45" s="1135"/>
      <c r="AW45" s="1135"/>
      <c r="AX45" s="1135"/>
      <c r="AY45" s="1135"/>
      <c r="AZ45" s="1135"/>
      <c r="BA45" s="1135"/>
      <c r="BB45" s="1135"/>
      <c r="BC45" s="1135"/>
      <c r="BD45" s="1135"/>
      <c r="BE45" s="1135"/>
      <c r="BF45" s="1135"/>
      <c r="BG45" s="1135"/>
      <c r="BH45" s="1135"/>
      <c r="BI45" s="1135"/>
      <c r="BJ45" s="1135"/>
      <c r="BK45" s="1135"/>
      <c r="BL45" s="1135"/>
      <c r="BM45" s="1135"/>
      <c r="BN45" s="1135"/>
      <c r="BO45" s="1005"/>
      <c r="BP45" s="1005"/>
      <c r="BQ45" s="1596">
        <v>8.1632161626472743E-2</v>
      </c>
      <c r="BR45" s="1005"/>
      <c r="BS45" s="1005"/>
      <c r="BT45" s="1005"/>
      <c r="BU45" s="1005"/>
      <c r="BV45" s="1016"/>
      <c r="BW45" s="1016"/>
      <c r="BX45" s="1016"/>
      <c r="BY45" s="1016"/>
      <c r="BZ45" s="1016"/>
      <c r="CA45" s="1016"/>
      <c r="CB45" s="1016"/>
      <c r="CC45" s="1594"/>
      <c r="CD45" s="1136">
        <f t="shared" si="80"/>
        <v>0</v>
      </c>
      <c r="CE45" s="1136">
        <f t="shared" si="81"/>
        <v>0</v>
      </c>
      <c r="CF45" s="1136">
        <f t="shared" si="82"/>
        <v>0</v>
      </c>
      <c r="CG45" s="1136">
        <f t="shared" si="83"/>
        <v>0</v>
      </c>
      <c r="CH45" s="1136">
        <f t="shared" si="84"/>
        <v>0</v>
      </c>
      <c r="CI45" s="1136">
        <f t="shared" si="85"/>
        <v>0</v>
      </c>
      <c r="CJ45" s="1136">
        <f t="shared" si="86"/>
        <v>0</v>
      </c>
      <c r="CK45" s="1136">
        <f t="shared" si="87"/>
        <v>0</v>
      </c>
      <c r="CL45" s="1136">
        <f t="shared" si="88"/>
        <v>0</v>
      </c>
      <c r="CM45" s="1136">
        <f t="shared" si="89"/>
        <v>0</v>
      </c>
      <c r="CN45" s="1136">
        <f t="shared" si="90"/>
        <v>0</v>
      </c>
      <c r="CO45" s="1136">
        <f t="shared" si="91"/>
        <v>0</v>
      </c>
      <c r="CP45" s="1136">
        <f t="shared" si="92"/>
        <v>0</v>
      </c>
      <c r="CQ45" s="1136">
        <f t="shared" si="93"/>
        <v>0</v>
      </c>
      <c r="CR45" s="1136">
        <f t="shared" si="94"/>
        <v>0</v>
      </c>
      <c r="CS45" s="1136">
        <f t="shared" si="95"/>
        <v>0</v>
      </c>
      <c r="CT45" s="1136">
        <f t="shared" si="96"/>
        <v>0</v>
      </c>
      <c r="CU45" s="1136">
        <f t="shared" si="97"/>
        <v>0</v>
      </c>
      <c r="CV45" s="1136">
        <f t="shared" si="98"/>
        <v>0</v>
      </c>
      <c r="CW45" s="1136">
        <f t="shared" si="99"/>
        <v>0</v>
      </c>
      <c r="CX45" s="1136">
        <f t="shared" si="100"/>
        <v>0</v>
      </c>
      <c r="CY45" s="1136">
        <f t="shared" si="101"/>
        <v>0</v>
      </c>
      <c r="CZ45" s="1136">
        <f t="shared" si="102"/>
        <v>0</v>
      </c>
      <c r="DA45" s="1136">
        <f t="shared" si="103"/>
        <v>1.2010231383316583E-2</v>
      </c>
      <c r="DB45" s="1136">
        <f t="shared" si="104"/>
        <v>0</v>
      </c>
      <c r="DC45" s="1136">
        <f t="shared" si="105"/>
        <v>0</v>
      </c>
      <c r="DD45" s="1136">
        <f t="shared" si="106"/>
        <v>0</v>
      </c>
      <c r="DE45" s="1136">
        <f t="shared" si="107"/>
        <v>0</v>
      </c>
      <c r="DF45" s="1136">
        <f t="shared" si="108"/>
        <v>0</v>
      </c>
      <c r="DG45" s="1136">
        <f t="shared" si="109"/>
        <v>0</v>
      </c>
      <c r="DH45" s="1136">
        <f t="shared" si="110"/>
        <v>0</v>
      </c>
      <c r="DI45" s="1136">
        <f t="shared" si="111"/>
        <v>0</v>
      </c>
      <c r="DJ45" s="1136">
        <f t="shared" si="112"/>
        <v>0</v>
      </c>
      <c r="DK45" s="1136">
        <f t="shared" si="113"/>
        <v>0</v>
      </c>
      <c r="DL45" s="1136">
        <f t="shared" si="114"/>
        <v>0</v>
      </c>
      <c r="DM45" s="1131" t="str">
        <f t="array" ref="DM45">IF(MAX(ABS(CD45:DL45))&gt;$DM$4,"EXPLAIN","")</f>
        <v/>
      </c>
      <c r="DN45" s="1131" t="str">
        <f t="shared" si="115"/>
        <v/>
      </c>
      <c r="DP45" s="1140">
        <f t="shared" si="116"/>
        <v>1</v>
      </c>
      <c r="DQ45" s="1140">
        <f t="shared" si="117"/>
        <v>1</v>
      </c>
      <c r="DR45" s="1140" t="str">
        <f t="shared" si="118"/>
        <v>ok</v>
      </c>
    </row>
    <row r="46" spans="2:122" ht="6" customHeight="1">
      <c r="B46" s="1568" t="str">
        <f>IF(Prop2021DUOSTariffs!B46="","",Prop2021DUOSTariffs!B46)</f>
        <v>-</v>
      </c>
      <c r="C46" s="1568" t="str">
        <f>IF(Prop2021DUOSTariffs!C46="","",Prop2021DUOSTariffs!C46)</f>
        <v/>
      </c>
      <c r="D46" s="1568" t="str">
        <f>IF(Prop2021DUOSTariffs!D46="","",Prop2021DUOSTariffs!D46)</f>
        <v/>
      </c>
      <c r="E46" s="1568" t="str">
        <f>IF(Prop2021DUOSTariffs!E46="","",Prop2021DUOSTariffs!E46)</f>
        <v/>
      </c>
      <c r="F46" s="1568" t="str">
        <f>IF(Prop2021DUOSTariffs!F46="","",Prop2021DUOSTariffs!F46)</f>
        <v/>
      </c>
      <c r="G46" s="1568" t="str">
        <f>IF(Prop2021DUOSTariffs!G46="","",Prop2021DUOSTariffs!G46)</f>
        <v/>
      </c>
      <c r="H46" s="1568" t="str">
        <f>IF(Prop2021DUOSTariffs!H46="","",Prop2021DUOSTariffs!H46)</f>
        <v/>
      </c>
      <c r="I46" s="1568" t="str">
        <f>IF(Prop2021DUOSTariffs!I46="","",Prop2021DUOSTariffs!I46)</f>
        <v/>
      </c>
      <c r="J46" s="1777">
        <v>0</v>
      </c>
      <c r="K46" s="1777">
        <v>0</v>
      </c>
      <c r="L46" s="1777">
        <v>0</v>
      </c>
      <c r="M46" s="1777">
        <v>0</v>
      </c>
      <c r="N46" s="1777">
        <v>0</v>
      </c>
      <c r="O46" s="1777">
        <v>0</v>
      </c>
      <c r="P46" s="1777">
        <v>0</v>
      </c>
      <c r="Q46" s="1777">
        <v>0</v>
      </c>
      <c r="R46" s="1777">
        <v>0</v>
      </c>
      <c r="S46" s="1777">
        <v>0</v>
      </c>
      <c r="T46" s="1777">
        <v>0</v>
      </c>
      <c r="U46" s="1777">
        <v>0</v>
      </c>
      <c r="V46" s="1777">
        <v>0</v>
      </c>
      <c r="W46" s="1777">
        <v>0</v>
      </c>
      <c r="X46" s="1777">
        <v>0</v>
      </c>
      <c r="Y46" s="1777">
        <v>0</v>
      </c>
      <c r="Z46" s="1777">
        <v>0</v>
      </c>
      <c r="AA46" s="1777">
        <v>0</v>
      </c>
      <c r="AB46" s="1777">
        <v>0</v>
      </c>
      <c r="AC46" s="1777">
        <v>0</v>
      </c>
      <c r="AD46" s="1777">
        <v>0</v>
      </c>
      <c r="AE46" s="1778">
        <v>0</v>
      </c>
      <c r="AF46" s="1778">
        <v>0</v>
      </c>
      <c r="AG46" s="1778">
        <v>0</v>
      </c>
      <c r="AH46" s="1778">
        <v>0</v>
      </c>
      <c r="AI46" s="1778">
        <v>0</v>
      </c>
      <c r="AJ46" s="1778">
        <v>0</v>
      </c>
      <c r="AK46" s="1778">
        <v>0</v>
      </c>
      <c r="AL46" s="1778">
        <v>0</v>
      </c>
      <c r="AM46" s="1778">
        <v>0</v>
      </c>
      <c r="AN46" s="1778">
        <v>0</v>
      </c>
      <c r="AO46" s="1778">
        <v>0</v>
      </c>
      <c r="AP46" s="1778">
        <v>0</v>
      </c>
      <c r="AQ46" s="1778">
        <v>0</v>
      </c>
      <c r="AR46" s="1778">
        <v>0</v>
      </c>
      <c r="AS46" s="1594"/>
      <c r="AT46" s="1590"/>
      <c r="AU46" s="1569"/>
      <c r="AV46" s="1569"/>
      <c r="AW46" s="1569"/>
      <c r="AX46" s="1569"/>
      <c r="AY46" s="1569"/>
      <c r="AZ46" s="1569"/>
      <c r="BA46" s="1569"/>
      <c r="BB46" s="1569"/>
      <c r="BC46" s="1569"/>
      <c r="BD46" s="1569"/>
      <c r="BE46" s="1569"/>
      <c r="BF46" s="1569"/>
      <c r="BG46" s="1569"/>
      <c r="BH46" s="1569"/>
      <c r="BI46" s="1569"/>
      <c r="BJ46" s="1569"/>
      <c r="BK46" s="1569"/>
      <c r="BL46" s="1569"/>
      <c r="BM46" s="1569"/>
      <c r="BN46" s="1569"/>
      <c r="BO46" s="1570"/>
      <c r="BP46" s="1570"/>
      <c r="BQ46" s="1570"/>
      <c r="BR46" s="1570"/>
      <c r="BS46" s="1570"/>
      <c r="BT46" s="1570"/>
      <c r="BU46" s="1570"/>
      <c r="BV46" s="1595"/>
      <c r="BW46" s="1595"/>
      <c r="BX46" s="1595"/>
      <c r="BY46" s="1595"/>
      <c r="BZ46" s="1595"/>
      <c r="CA46" s="1595"/>
      <c r="CB46" s="1595"/>
      <c r="CC46" s="1594"/>
      <c r="CD46" s="1571"/>
      <c r="CE46" s="1571"/>
      <c r="CF46" s="1571"/>
      <c r="CG46" s="1571"/>
      <c r="CH46" s="1571"/>
      <c r="CI46" s="1571"/>
      <c r="CJ46" s="1571"/>
      <c r="CK46" s="1571"/>
      <c r="CL46" s="1571"/>
      <c r="CM46" s="1571"/>
      <c r="CN46" s="1571"/>
      <c r="CO46" s="1571"/>
      <c r="CP46" s="1571"/>
      <c r="CQ46" s="1571"/>
      <c r="CR46" s="1571"/>
      <c r="CS46" s="1571"/>
      <c r="CT46" s="1571"/>
      <c r="CU46" s="1571"/>
      <c r="CV46" s="1571"/>
      <c r="CW46" s="1571"/>
      <c r="CX46" s="1571"/>
      <c r="CY46" s="1571"/>
      <c r="CZ46" s="1571"/>
      <c r="DA46" s="1571"/>
      <c r="DB46" s="1571"/>
      <c r="DC46" s="1571"/>
      <c r="DD46" s="1571"/>
      <c r="DE46" s="1571"/>
      <c r="DF46" s="1571"/>
      <c r="DG46" s="1571"/>
      <c r="DH46" s="1571"/>
      <c r="DI46" s="1571"/>
      <c r="DJ46" s="1571"/>
      <c r="DK46" s="1571"/>
      <c r="DL46" s="1571"/>
      <c r="DM46" s="1572"/>
      <c r="DN46" s="1572"/>
    </row>
    <row r="47" spans="2:122">
      <c r="B47" s="1111" t="str">
        <f>IF(Prop2021DUOSTariffs!B47="","",Prop2021DUOSTariffs!B47)</f>
        <v/>
      </c>
      <c r="C47" s="1111" t="str">
        <f>IF(Prop2021DUOSTariffs!C47="","",Prop2021DUOSTariffs!C47)</f>
        <v>East SAC&gt;100MWhpa Large Business Energy</v>
      </c>
      <c r="D47" s="1111" t="str">
        <f>IF(Prop2021DUOSTariffs!D47="","",Prop2021DUOSTariffs!D47)</f>
        <v>East SAC&gt;100MWhpa DemandSmall</v>
      </c>
      <c r="E47" s="1111" t="str">
        <f>IF(Prop2021DUOSTariffs!E47="","",Prop2021DUOSTariffs!E47)</f>
        <v>SAC</v>
      </c>
      <c r="F47" s="1111" t="str">
        <f>IF(Prop2021DUOSTariffs!F47="","",Prop2021DUOSTariffs!F47)</f>
        <v>SACL</v>
      </c>
      <c r="G47" s="1111" t="str">
        <f>IF(Prop2021DUOSTariffs!G47="","",Prop2021DUOSTariffs!G47)</f>
        <v>East</v>
      </c>
      <c r="H47" s="1111" t="str">
        <f>IF(Prop2021DUOSTariffs!H47="","",Prop2021DUOSTariffs!H47)</f>
        <v>EBEST</v>
      </c>
      <c r="I47" s="1111" t="str">
        <f>IF(Prop2021DUOSTariffs!I47="","",Prop2021DUOSTariffs!I47)</f>
        <v>DUOS</v>
      </c>
      <c r="J47" s="1774">
        <v>31.940480000000001</v>
      </c>
      <c r="K47" s="1773">
        <v>0</v>
      </c>
      <c r="L47" s="1773">
        <v>0</v>
      </c>
      <c r="M47" s="1773">
        <v>0</v>
      </c>
      <c r="N47" s="1773">
        <v>0</v>
      </c>
      <c r="O47" s="1773">
        <v>0</v>
      </c>
      <c r="P47" s="1773">
        <v>0</v>
      </c>
      <c r="Q47" s="1773">
        <v>0</v>
      </c>
      <c r="R47" s="1773">
        <v>0</v>
      </c>
      <c r="S47" s="1773">
        <v>0</v>
      </c>
      <c r="T47" s="1773">
        <v>0</v>
      </c>
      <c r="U47" s="1773">
        <v>0</v>
      </c>
      <c r="V47" s="1773">
        <v>0</v>
      </c>
      <c r="W47" s="1773">
        <v>0</v>
      </c>
      <c r="X47" s="1773">
        <v>0</v>
      </c>
      <c r="Y47" s="1773">
        <v>0</v>
      </c>
      <c r="Z47" s="1773">
        <v>0</v>
      </c>
      <c r="AA47" s="1773">
        <v>0</v>
      </c>
      <c r="AB47" s="1773">
        <v>0</v>
      </c>
      <c r="AC47" s="1773">
        <v>0</v>
      </c>
      <c r="AD47" s="1773">
        <v>0</v>
      </c>
      <c r="AE47" s="1775">
        <v>0</v>
      </c>
      <c r="AF47" s="1775">
        <v>0</v>
      </c>
      <c r="AG47" s="1775">
        <v>0</v>
      </c>
      <c r="AH47" s="1776">
        <v>3.481491826166801E-3</v>
      </c>
      <c r="AI47" s="1776">
        <v>9.0976732655260614E-2</v>
      </c>
      <c r="AJ47" s="1775">
        <v>0</v>
      </c>
      <c r="AK47" s="1775">
        <v>0</v>
      </c>
      <c r="AL47" s="1775">
        <v>0</v>
      </c>
      <c r="AM47" s="1775">
        <v>0</v>
      </c>
      <c r="AN47" s="1775">
        <v>0</v>
      </c>
      <c r="AO47" s="1775">
        <v>0</v>
      </c>
      <c r="AP47" s="1775">
        <v>0</v>
      </c>
      <c r="AQ47" s="1775">
        <v>0</v>
      </c>
      <c r="AR47" s="1775">
        <v>0</v>
      </c>
      <c r="AS47" s="1594"/>
      <c r="AT47" s="1233">
        <v>0</v>
      </c>
      <c r="AU47" s="1005"/>
      <c r="AV47" s="1005"/>
      <c r="AW47" s="1005"/>
      <c r="AX47" s="1005"/>
      <c r="AY47" s="1005"/>
      <c r="AZ47" s="1005"/>
      <c r="BA47" s="1005"/>
      <c r="BB47" s="1005"/>
      <c r="BC47" s="1005"/>
      <c r="BD47" s="1005"/>
      <c r="BE47" s="1005"/>
      <c r="BF47" s="1005"/>
      <c r="BG47" s="1005"/>
      <c r="BH47" s="1005"/>
      <c r="BI47" s="1005"/>
      <c r="BJ47" s="1005"/>
      <c r="BK47" s="1005"/>
      <c r="BL47" s="1005"/>
      <c r="BM47" s="1005"/>
      <c r="BN47" s="1005"/>
      <c r="BO47" s="1005"/>
      <c r="BP47" s="1005"/>
      <c r="BQ47" s="1005"/>
      <c r="BR47" s="1596">
        <v>0</v>
      </c>
      <c r="BS47" s="1596">
        <v>0</v>
      </c>
      <c r="BT47" s="1005"/>
      <c r="BU47" s="1005"/>
      <c r="BV47" s="1016"/>
      <c r="BW47" s="1016"/>
      <c r="BX47" s="1016"/>
      <c r="BY47" s="1016"/>
      <c r="BZ47" s="1016"/>
      <c r="CA47" s="1016"/>
      <c r="CB47" s="1016"/>
      <c r="CC47" s="1594"/>
      <c r="CD47" s="1136">
        <f>IFERROR(J47/AT47-1,0)</f>
        <v>0</v>
      </c>
      <c r="CE47" s="1136">
        <f t="shared" ref="CD47:CM52" si="119">IFERROR(K47/AU47-1,0)</f>
        <v>0</v>
      </c>
      <c r="CF47" s="1136">
        <f t="shared" si="119"/>
        <v>0</v>
      </c>
      <c r="CG47" s="1136">
        <f t="shared" si="119"/>
        <v>0</v>
      </c>
      <c r="CH47" s="1136">
        <f t="shared" si="119"/>
        <v>0</v>
      </c>
      <c r="CI47" s="1136">
        <f t="shared" si="119"/>
        <v>0</v>
      </c>
      <c r="CJ47" s="1136">
        <f t="shared" si="119"/>
        <v>0</v>
      </c>
      <c r="CK47" s="1136">
        <f t="shared" si="119"/>
        <v>0</v>
      </c>
      <c r="CL47" s="1136">
        <f t="shared" si="119"/>
        <v>0</v>
      </c>
      <c r="CM47" s="1136">
        <f t="shared" si="119"/>
        <v>0</v>
      </c>
      <c r="CN47" s="1136">
        <f t="shared" ref="CN47:CW52" si="120">IFERROR(T47/BD47-1,0)</f>
        <v>0</v>
      </c>
      <c r="CO47" s="1136">
        <f t="shared" si="120"/>
        <v>0</v>
      </c>
      <c r="CP47" s="1136">
        <f t="shared" si="120"/>
        <v>0</v>
      </c>
      <c r="CQ47" s="1136">
        <f t="shared" si="120"/>
        <v>0</v>
      </c>
      <c r="CR47" s="1136">
        <f t="shared" si="120"/>
        <v>0</v>
      </c>
      <c r="CS47" s="1136">
        <f t="shared" si="120"/>
        <v>0</v>
      </c>
      <c r="CT47" s="1136">
        <f t="shared" si="120"/>
        <v>0</v>
      </c>
      <c r="CU47" s="1136">
        <f t="shared" si="120"/>
        <v>0</v>
      </c>
      <c r="CV47" s="1136">
        <f t="shared" si="120"/>
        <v>0</v>
      </c>
      <c r="CW47" s="1136">
        <f t="shared" si="120"/>
        <v>0</v>
      </c>
      <c r="CX47" s="1136">
        <f t="shared" ref="CX47:DG52" si="121">IFERROR(AD47/BN47-1,0)</f>
        <v>0</v>
      </c>
      <c r="CY47" s="1136">
        <f t="shared" si="121"/>
        <v>0</v>
      </c>
      <c r="CZ47" s="1136">
        <f t="shared" si="121"/>
        <v>0</v>
      </c>
      <c r="DA47" s="1136">
        <f t="shared" si="121"/>
        <v>0</v>
      </c>
      <c r="DB47" s="1136">
        <f t="shared" si="121"/>
        <v>0</v>
      </c>
      <c r="DC47" s="1136">
        <f t="shared" si="121"/>
        <v>0</v>
      </c>
      <c r="DD47" s="1136">
        <f t="shared" si="121"/>
        <v>0</v>
      </c>
      <c r="DE47" s="1136">
        <f t="shared" si="121"/>
        <v>0</v>
      </c>
      <c r="DF47" s="1136">
        <f t="shared" si="121"/>
        <v>0</v>
      </c>
      <c r="DG47" s="1136">
        <f t="shared" si="121"/>
        <v>0</v>
      </c>
      <c r="DH47" s="1136">
        <f t="shared" ref="DH47:DL52" si="122">IFERROR(AN47/BX47-1,0)</f>
        <v>0</v>
      </c>
      <c r="DI47" s="1136">
        <f t="shared" si="122"/>
        <v>0</v>
      </c>
      <c r="DJ47" s="1136">
        <f t="shared" si="122"/>
        <v>0</v>
      </c>
      <c r="DK47" s="1136">
        <f t="shared" si="122"/>
        <v>0</v>
      </c>
      <c r="DL47" s="1136">
        <f t="shared" si="122"/>
        <v>0</v>
      </c>
      <c r="DM47" s="1131" t="str">
        <f t="array" ref="DM47">IF(MAX(ABS(CD47:DL47))&gt;$DM$4,"EXPLAIN","")</f>
        <v/>
      </c>
      <c r="DN47" s="1131" t="str">
        <f t="shared" si="115"/>
        <v/>
      </c>
      <c r="DP47" s="1140">
        <f t="shared" ref="DP47:DP52" si="123">COUNTIFS(J47:AR47,"&lt;&gt;"&amp;0)</f>
        <v>3</v>
      </c>
      <c r="DQ47" s="1140">
        <f t="shared" ref="DQ47:DQ52" si="124">COUNTA(AT47:CB47)</f>
        <v>3</v>
      </c>
      <c r="DR47" s="1140" t="str">
        <f t="shared" ref="DR47:DR52" si="125">IF(DP47=DQ47,"ok","xxxx")</f>
        <v>ok</v>
      </c>
    </row>
    <row r="48" spans="2:122">
      <c r="B48" s="1111" t="str">
        <f>IF(Prop2021DUOSTariffs!B48="","",Prop2021DUOSTariffs!B48)</f>
        <v/>
      </c>
      <c r="C48" s="1111" t="str">
        <f>IF(Prop2021DUOSTariffs!C48="","",Prop2021DUOSTariffs!C48)</f>
        <v>West SAC&gt;100MWhpa Large Business Energy</v>
      </c>
      <c r="D48" s="1111" t="str">
        <f>IF(Prop2021DUOSTariffs!D48="","",Prop2021DUOSTariffs!D48)</f>
        <v>West SAC&gt;100MWhpa DemandSmall</v>
      </c>
      <c r="E48" s="1111" t="str">
        <f>IF(Prop2021DUOSTariffs!E48="","",Prop2021DUOSTariffs!E48)</f>
        <v>SAC</v>
      </c>
      <c r="F48" s="1111" t="str">
        <f>IF(Prop2021DUOSTariffs!F48="","",Prop2021DUOSTariffs!F48)</f>
        <v>SACL</v>
      </c>
      <c r="G48" s="1111" t="str">
        <f>IF(Prop2021DUOSTariffs!G48="","",Prop2021DUOSTariffs!G48)</f>
        <v>West</v>
      </c>
      <c r="H48" s="1111" t="str">
        <f>IF(Prop2021DUOSTariffs!H48="","",Prop2021DUOSTariffs!H48)</f>
        <v>WBEST</v>
      </c>
      <c r="I48" s="1111" t="str">
        <f>IF(Prop2021DUOSTariffs!I48="","",Prop2021DUOSTariffs!I48)</f>
        <v>DUOS</v>
      </c>
      <c r="J48" s="1774">
        <v>71.612800000000007</v>
      </c>
      <c r="K48" s="1773">
        <v>0</v>
      </c>
      <c r="L48" s="1773">
        <v>0</v>
      </c>
      <c r="M48" s="1773">
        <v>0</v>
      </c>
      <c r="N48" s="1773">
        <v>0</v>
      </c>
      <c r="O48" s="1773">
        <v>0</v>
      </c>
      <c r="P48" s="1773">
        <v>0</v>
      </c>
      <c r="Q48" s="1773">
        <v>0</v>
      </c>
      <c r="R48" s="1773">
        <v>0</v>
      </c>
      <c r="S48" s="1773">
        <v>0</v>
      </c>
      <c r="T48" s="1773">
        <v>0</v>
      </c>
      <c r="U48" s="1773">
        <v>0</v>
      </c>
      <c r="V48" s="1773">
        <v>0</v>
      </c>
      <c r="W48" s="1773">
        <v>0</v>
      </c>
      <c r="X48" s="1773">
        <v>0</v>
      </c>
      <c r="Y48" s="1773">
        <v>0</v>
      </c>
      <c r="Z48" s="1773">
        <v>0</v>
      </c>
      <c r="AA48" s="1773">
        <v>0</v>
      </c>
      <c r="AB48" s="1773">
        <v>0</v>
      </c>
      <c r="AC48" s="1773">
        <v>0</v>
      </c>
      <c r="AD48" s="1773">
        <v>0</v>
      </c>
      <c r="AE48" s="1775">
        <v>0</v>
      </c>
      <c r="AF48" s="1775">
        <v>0</v>
      </c>
      <c r="AG48" s="1775">
        <v>0</v>
      </c>
      <c r="AH48" s="1776">
        <v>5.2655267410076341E-3</v>
      </c>
      <c r="AI48" s="1776">
        <v>0.24652500758566293</v>
      </c>
      <c r="AJ48" s="1775">
        <v>0</v>
      </c>
      <c r="AK48" s="1775">
        <v>0</v>
      </c>
      <c r="AL48" s="1775">
        <v>0</v>
      </c>
      <c r="AM48" s="1775">
        <v>0</v>
      </c>
      <c r="AN48" s="1775">
        <v>0</v>
      </c>
      <c r="AO48" s="1775">
        <v>0</v>
      </c>
      <c r="AP48" s="1775">
        <v>0</v>
      </c>
      <c r="AQ48" s="1775">
        <v>0</v>
      </c>
      <c r="AR48" s="1775">
        <v>0</v>
      </c>
      <c r="AS48" s="1594"/>
      <c r="AT48" s="1233">
        <v>0</v>
      </c>
      <c r="AU48" s="1005"/>
      <c r="AV48" s="1005"/>
      <c r="AW48" s="1005"/>
      <c r="AX48" s="1005"/>
      <c r="AY48" s="1005"/>
      <c r="AZ48" s="1005"/>
      <c r="BA48" s="1005"/>
      <c r="BB48" s="1005"/>
      <c r="BC48" s="1005"/>
      <c r="BD48" s="1005"/>
      <c r="BE48" s="1005"/>
      <c r="BF48" s="1005"/>
      <c r="BG48" s="1005"/>
      <c r="BH48" s="1005"/>
      <c r="BI48" s="1005"/>
      <c r="BJ48" s="1005"/>
      <c r="BK48" s="1005"/>
      <c r="BL48" s="1005"/>
      <c r="BM48" s="1005"/>
      <c r="BN48" s="1005"/>
      <c r="BO48" s="1005"/>
      <c r="BP48" s="1005"/>
      <c r="BQ48" s="1005"/>
      <c r="BR48" s="1596">
        <v>0</v>
      </c>
      <c r="BS48" s="1596">
        <v>0</v>
      </c>
      <c r="BT48" s="1005"/>
      <c r="BU48" s="1005"/>
      <c r="BV48" s="1016"/>
      <c r="BW48" s="1016"/>
      <c r="BX48" s="1016"/>
      <c r="BY48" s="1016"/>
      <c r="BZ48" s="1016"/>
      <c r="CA48" s="1016"/>
      <c r="CB48" s="1016"/>
      <c r="CC48" s="1594"/>
      <c r="CD48" s="1136">
        <f t="shared" si="119"/>
        <v>0</v>
      </c>
      <c r="CE48" s="1136">
        <f t="shared" si="119"/>
        <v>0</v>
      </c>
      <c r="CF48" s="1136">
        <f t="shared" si="119"/>
        <v>0</v>
      </c>
      <c r="CG48" s="1136">
        <f t="shared" si="119"/>
        <v>0</v>
      </c>
      <c r="CH48" s="1136">
        <f t="shared" si="119"/>
        <v>0</v>
      </c>
      <c r="CI48" s="1136">
        <f t="shared" si="119"/>
        <v>0</v>
      </c>
      <c r="CJ48" s="1136">
        <f t="shared" si="119"/>
        <v>0</v>
      </c>
      <c r="CK48" s="1136">
        <f t="shared" si="119"/>
        <v>0</v>
      </c>
      <c r="CL48" s="1136">
        <f t="shared" si="119"/>
        <v>0</v>
      </c>
      <c r="CM48" s="1136">
        <f t="shared" si="119"/>
        <v>0</v>
      </c>
      <c r="CN48" s="1136">
        <f t="shared" si="120"/>
        <v>0</v>
      </c>
      <c r="CO48" s="1136">
        <f t="shared" si="120"/>
        <v>0</v>
      </c>
      <c r="CP48" s="1136">
        <f t="shared" si="120"/>
        <v>0</v>
      </c>
      <c r="CQ48" s="1136">
        <f t="shared" si="120"/>
        <v>0</v>
      </c>
      <c r="CR48" s="1136">
        <f t="shared" si="120"/>
        <v>0</v>
      </c>
      <c r="CS48" s="1136">
        <f t="shared" si="120"/>
        <v>0</v>
      </c>
      <c r="CT48" s="1136">
        <f t="shared" si="120"/>
        <v>0</v>
      </c>
      <c r="CU48" s="1136">
        <f t="shared" si="120"/>
        <v>0</v>
      </c>
      <c r="CV48" s="1136">
        <f t="shared" si="120"/>
        <v>0</v>
      </c>
      <c r="CW48" s="1136">
        <f t="shared" si="120"/>
        <v>0</v>
      </c>
      <c r="CX48" s="1136">
        <f t="shared" si="121"/>
        <v>0</v>
      </c>
      <c r="CY48" s="1136">
        <f t="shared" si="121"/>
        <v>0</v>
      </c>
      <c r="CZ48" s="1136">
        <f t="shared" si="121"/>
        <v>0</v>
      </c>
      <c r="DA48" s="1136">
        <f t="shared" si="121"/>
        <v>0</v>
      </c>
      <c r="DB48" s="1136">
        <f t="shared" si="121"/>
        <v>0</v>
      </c>
      <c r="DC48" s="1136">
        <f t="shared" si="121"/>
        <v>0</v>
      </c>
      <c r="DD48" s="1136">
        <f t="shared" si="121"/>
        <v>0</v>
      </c>
      <c r="DE48" s="1136">
        <f t="shared" si="121"/>
        <v>0</v>
      </c>
      <c r="DF48" s="1136">
        <f t="shared" si="121"/>
        <v>0</v>
      </c>
      <c r="DG48" s="1136">
        <f t="shared" si="121"/>
        <v>0</v>
      </c>
      <c r="DH48" s="1136">
        <f t="shared" si="122"/>
        <v>0</v>
      </c>
      <c r="DI48" s="1136">
        <f t="shared" si="122"/>
        <v>0</v>
      </c>
      <c r="DJ48" s="1136">
        <f t="shared" si="122"/>
        <v>0</v>
      </c>
      <c r="DK48" s="1136">
        <f t="shared" si="122"/>
        <v>0</v>
      </c>
      <c r="DL48" s="1136">
        <f t="shared" si="122"/>
        <v>0</v>
      </c>
      <c r="DM48" s="1131" t="str">
        <f t="array" ref="DM48">IF(MAX(ABS(CD48:DL48))&gt;$DM$4,"EXPLAIN","")</f>
        <v/>
      </c>
      <c r="DN48" s="1131" t="str">
        <f t="shared" si="115"/>
        <v/>
      </c>
      <c r="DP48" s="1140">
        <f t="shared" si="123"/>
        <v>3</v>
      </c>
      <c r="DQ48" s="1140">
        <f t="shared" si="124"/>
        <v>3</v>
      </c>
      <c r="DR48" s="1140" t="str">
        <f t="shared" si="125"/>
        <v>ok</v>
      </c>
    </row>
    <row r="49" spans="2:122">
      <c r="B49" s="1111" t="str">
        <f>IF(Prop2021DUOSTariffs!B49="","",Prop2021DUOSTariffs!B49)</f>
        <v/>
      </c>
      <c r="C49" s="1111" t="str">
        <f>IF(Prop2021DUOSTariffs!C49="","",Prop2021DUOSTariffs!C49)</f>
        <v>MtIsa SAC&gt;100MWhpa Large Business Energy</v>
      </c>
      <c r="D49" s="1111" t="str">
        <f>IF(Prop2021DUOSTariffs!D49="","",Prop2021DUOSTariffs!D49)</f>
        <v>MtIsa SAC&gt;100MWhpa DemandSmall</v>
      </c>
      <c r="E49" s="1111" t="str">
        <f>IF(Prop2021DUOSTariffs!E49="","",Prop2021DUOSTariffs!E49)</f>
        <v>SAC</v>
      </c>
      <c r="F49" s="1111" t="str">
        <f>IF(Prop2021DUOSTariffs!F49="","",Prop2021DUOSTariffs!F49)</f>
        <v>SACL</v>
      </c>
      <c r="G49" s="1111" t="str">
        <f>IF(Prop2021DUOSTariffs!G49="","",Prop2021DUOSTariffs!G49)</f>
        <v>Mt Isa</v>
      </c>
      <c r="H49" s="1111" t="str">
        <f>IF(Prop2021DUOSTariffs!H49="","",Prop2021DUOSTariffs!H49)</f>
        <v>MBEST</v>
      </c>
      <c r="I49" s="1111" t="str">
        <f>IF(Prop2021DUOSTariffs!I49="","",Prop2021DUOSTariffs!I49)</f>
        <v>DUOS</v>
      </c>
      <c r="J49" s="1774">
        <v>21.37595</v>
      </c>
      <c r="K49" s="1773">
        <v>0</v>
      </c>
      <c r="L49" s="1773">
        <v>0</v>
      </c>
      <c r="M49" s="1773">
        <v>0</v>
      </c>
      <c r="N49" s="1773">
        <v>0</v>
      </c>
      <c r="O49" s="1773">
        <v>0</v>
      </c>
      <c r="P49" s="1773">
        <v>0</v>
      </c>
      <c r="Q49" s="1773">
        <v>0</v>
      </c>
      <c r="R49" s="1773">
        <v>0</v>
      </c>
      <c r="S49" s="1773">
        <v>0</v>
      </c>
      <c r="T49" s="1773">
        <v>0</v>
      </c>
      <c r="U49" s="1773">
        <v>0</v>
      </c>
      <c r="V49" s="1773">
        <v>0</v>
      </c>
      <c r="W49" s="1773">
        <v>0</v>
      </c>
      <c r="X49" s="1773">
        <v>0</v>
      </c>
      <c r="Y49" s="1773">
        <v>0</v>
      </c>
      <c r="Z49" s="1773">
        <v>0</v>
      </c>
      <c r="AA49" s="1773">
        <v>0</v>
      </c>
      <c r="AB49" s="1773">
        <v>0</v>
      </c>
      <c r="AC49" s="1773">
        <v>0</v>
      </c>
      <c r="AD49" s="1773">
        <v>0</v>
      </c>
      <c r="AE49" s="1775">
        <v>0</v>
      </c>
      <c r="AF49" s="1775">
        <v>0</v>
      </c>
      <c r="AG49" s="1775">
        <v>0</v>
      </c>
      <c r="AH49" s="1776">
        <v>2.5175116444294322E-3</v>
      </c>
      <c r="AI49" s="1776">
        <v>5.717021638780434E-2</v>
      </c>
      <c r="AJ49" s="1775">
        <v>0</v>
      </c>
      <c r="AK49" s="1775">
        <v>0</v>
      </c>
      <c r="AL49" s="1775">
        <v>0</v>
      </c>
      <c r="AM49" s="1775">
        <v>0</v>
      </c>
      <c r="AN49" s="1775">
        <v>0</v>
      </c>
      <c r="AO49" s="1775">
        <v>0</v>
      </c>
      <c r="AP49" s="1775">
        <v>0</v>
      </c>
      <c r="AQ49" s="1775">
        <v>0</v>
      </c>
      <c r="AR49" s="1775">
        <v>0</v>
      </c>
      <c r="AS49" s="1594"/>
      <c r="AT49" s="1233">
        <v>0</v>
      </c>
      <c r="AU49" s="1005"/>
      <c r="AV49" s="1005"/>
      <c r="AW49" s="1005"/>
      <c r="AX49" s="1005"/>
      <c r="AY49" s="1005"/>
      <c r="AZ49" s="1005"/>
      <c r="BA49" s="1005"/>
      <c r="BB49" s="1005"/>
      <c r="BC49" s="1005"/>
      <c r="BD49" s="1005"/>
      <c r="BE49" s="1005"/>
      <c r="BF49" s="1005"/>
      <c r="BG49" s="1005"/>
      <c r="BH49" s="1005"/>
      <c r="BI49" s="1005"/>
      <c r="BJ49" s="1005"/>
      <c r="BK49" s="1005"/>
      <c r="BL49" s="1005"/>
      <c r="BM49" s="1005"/>
      <c r="BN49" s="1005"/>
      <c r="BO49" s="1005"/>
      <c r="BP49" s="1005"/>
      <c r="BQ49" s="1005"/>
      <c r="BR49" s="1596">
        <v>0</v>
      </c>
      <c r="BS49" s="1596">
        <v>0</v>
      </c>
      <c r="BT49" s="1005"/>
      <c r="BU49" s="1005"/>
      <c r="BV49" s="1016"/>
      <c r="BW49" s="1016"/>
      <c r="BX49" s="1016"/>
      <c r="BY49" s="1016"/>
      <c r="BZ49" s="1016"/>
      <c r="CA49" s="1016"/>
      <c r="CB49" s="1016"/>
      <c r="CC49" s="1594"/>
      <c r="CD49" s="1136">
        <f t="shared" si="119"/>
        <v>0</v>
      </c>
      <c r="CE49" s="1136">
        <f t="shared" si="119"/>
        <v>0</v>
      </c>
      <c r="CF49" s="1136">
        <f t="shared" si="119"/>
        <v>0</v>
      </c>
      <c r="CG49" s="1136">
        <f t="shared" si="119"/>
        <v>0</v>
      </c>
      <c r="CH49" s="1136">
        <f t="shared" si="119"/>
        <v>0</v>
      </c>
      <c r="CI49" s="1136">
        <f t="shared" si="119"/>
        <v>0</v>
      </c>
      <c r="CJ49" s="1136">
        <f t="shared" si="119"/>
        <v>0</v>
      </c>
      <c r="CK49" s="1136">
        <f t="shared" si="119"/>
        <v>0</v>
      </c>
      <c r="CL49" s="1136">
        <f t="shared" si="119"/>
        <v>0</v>
      </c>
      <c r="CM49" s="1136">
        <f t="shared" si="119"/>
        <v>0</v>
      </c>
      <c r="CN49" s="1136">
        <f t="shared" si="120"/>
        <v>0</v>
      </c>
      <c r="CO49" s="1136">
        <f t="shared" si="120"/>
        <v>0</v>
      </c>
      <c r="CP49" s="1136">
        <f t="shared" si="120"/>
        <v>0</v>
      </c>
      <c r="CQ49" s="1136">
        <f t="shared" si="120"/>
        <v>0</v>
      </c>
      <c r="CR49" s="1136">
        <f t="shared" si="120"/>
        <v>0</v>
      </c>
      <c r="CS49" s="1136">
        <f t="shared" si="120"/>
        <v>0</v>
      </c>
      <c r="CT49" s="1136">
        <f t="shared" si="120"/>
        <v>0</v>
      </c>
      <c r="CU49" s="1136">
        <f t="shared" si="120"/>
        <v>0</v>
      </c>
      <c r="CV49" s="1136">
        <f t="shared" si="120"/>
        <v>0</v>
      </c>
      <c r="CW49" s="1136">
        <f t="shared" si="120"/>
        <v>0</v>
      </c>
      <c r="CX49" s="1136">
        <f t="shared" si="121"/>
        <v>0</v>
      </c>
      <c r="CY49" s="1136">
        <f t="shared" si="121"/>
        <v>0</v>
      </c>
      <c r="CZ49" s="1136">
        <f t="shared" si="121"/>
        <v>0</v>
      </c>
      <c r="DA49" s="1136">
        <f t="shared" si="121"/>
        <v>0</v>
      </c>
      <c r="DB49" s="1136">
        <f t="shared" si="121"/>
        <v>0</v>
      </c>
      <c r="DC49" s="1136">
        <f t="shared" si="121"/>
        <v>0</v>
      </c>
      <c r="DD49" s="1136">
        <f t="shared" si="121"/>
        <v>0</v>
      </c>
      <c r="DE49" s="1136">
        <f t="shared" si="121"/>
        <v>0</v>
      </c>
      <c r="DF49" s="1136">
        <f t="shared" si="121"/>
        <v>0</v>
      </c>
      <c r="DG49" s="1136">
        <f t="shared" si="121"/>
        <v>0</v>
      </c>
      <c r="DH49" s="1136">
        <f t="shared" si="122"/>
        <v>0</v>
      </c>
      <c r="DI49" s="1136">
        <f t="shared" si="122"/>
        <v>0</v>
      </c>
      <c r="DJ49" s="1136">
        <f t="shared" si="122"/>
        <v>0</v>
      </c>
      <c r="DK49" s="1136">
        <f t="shared" si="122"/>
        <v>0</v>
      </c>
      <c r="DL49" s="1136">
        <f t="shared" si="122"/>
        <v>0</v>
      </c>
      <c r="DM49" s="1131" t="str">
        <f t="array" ref="DM49">IF(MAX(ABS(CD49:DL49))&gt;$DM$4,"EXPLAIN","")</f>
        <v/>
      </c>
      <c r="DN49" s="1131" t="str">
        <f t="shared" si="115"/>
        <v/>
      </c>
      <c r="DP49" s="1140">
        <f t="shared" si="123"/>
        <v>3</v>
      </c>
      <c r="DQ49" s="1140">
        <f t="shared" si="124"/>
        <v>3</v>
      </c>
      <c r="DR49" s="1140" t="str">
        <f t="shared" si="125"/>
        <v>ok</v>
      </c>
    </row>
    <row r="50" spans="2:122">
      <c r="B50" s="1111" t="str">
        <f>IF(Prop2021DUOSTariffs!B50="","",Prop2021DUOSTariffs!B50)</f>
        <v/>
      </c>
      <c r="C50" s="1111" t="str">
        <f>IF(Prop2021DUOSTariffs!C50="","",Prop2021DUOSTariffs!C50)</f>
        <v>East SAC&gt;100MWhpa Large Residential Energy</v>
      </c>
      <c r="D50" s="1111" t="str">
        <f>IF(Prop2021DUOSTariffs!D50="","",Prop2021DUOSTariffs!D50)</f>
        <v>East SAC&gt;100MWhpa DemandSmall</v>
      </c>
      <c r="E50" s="1111" t="str">
        <f>IF(Prop2021DUOSTariffs!E50="","",Prop2021DUOSTariffs!E50)</f>
        <v>SAC</v>
      </c>
      <c r="F50" s="1111" t="str">
        <f>IF(Prop2021DUOSTariffs!F50="","",Prop2021DUOSTariffs!F50)</f>
        <v>SACL</v>
      </c>
      <c r="G50" s="1111" t="str">
        <f>IF(Prop2021DUOSTariffs!G50="","",Prop2021DUOSTariffs!G50)</f>
        <v>East</v>
      </c>
      <c r="H50" s="1111" t="str">
        <f>IF(Prop2021DUOSTariffs!H50="","",Prop2021DUOSTariffs!H50)</f>
        <v>EREST</v>
      </c>
      <c r="I50" s="1111" t="str">
        <f>IF(Prop2021DUOSTariffs!I50="","",Prop2021DUOSTariffs!I50)</f>
        <v>DUOS</v>
      </c>
      <c r="J50" s="1774">
        <v>31.940480000000001</v>
      </c>
      <c r="K50" s="1773">
        <v>0</v>
      </c>
      <c r="L50" s="1773">
        <v>0</v>
      </c>
      <c r="M50" s="1773">
        <v>0</v>
      </c>
      <c r="N50" s="1773">
        <v>0</v>
      </c>
      <c r="O50" s="1773">
        <v>0</v>
      </c>
      <c r="P50" s="1773">
        <v>0</v>
      </c>
      <c r="Q50" s="1773">
        <v>0</v>
      </c>
      <c r="R50" s="1773">
        <v>0</v>
      </c>
      <c r="S50" s="1773">
        <v>0</v>
      </c>
      <c r="T50" s="1773">
        <v>0</v>
      </c>
      <c r="U50" s="1773">
        <v>0</v>
      </c>
      <c r="V50" s="1773">
        <v>0</v>
      </c>
      <c r="W50" s="1773">
        <v>0</v>
      </c>
      <c r="X50" s="1773">
        <v>0</v>
      </c>
      <c r="Y50" s="1773">
        <v>0</v>
      </c>
      <c r="Z50" s="1773">
        <v>0</v>
      </c>
      <c r="AA50" s="1773">
        <v>0</v>
      </c>
      <c r="AB50" s="1773">
        <v>0</v>
      </c>
      <c r="AC50" s="1773">
        <v>0</v>
      </c>
      <c r="AD50" s="1773">
        <v>0</v>
      </c>
      <c r="AE50" s="1775">
        <v>0</v>
      </c>
      <c r="AF50" s="1775">
        <v>0</v>
      </c>
      <c r="AG50" s="1775">
        <v>0</v>
      </c>
      <c r="AH50" s="1776">
        <v>3.481491826166801E-3</v>
      </c>
      <c r="AI50" s="1776">
        <v>9.0976732655260614E-2</v>
      </c>
      <c r="AJ50" s="1775">
        <v>0</v>
      </c>
      <c r="AK50" s="1775">
        <v>0</v>
      </c>
      <c r="AL50" s="1775">
        <v>0</v>
      </c>
      <c r="AM50" s="1775">
        <v>0</v>
      </c>
      <c r="AN50" s="1775">
        <v>0</v>
      </c>
      <c r="AO50" s="1775">
        <v>0</v>
      </c>
      <c r="AP50" s="1775">
        <v>0</v>
      </c>
      <c r="AQ50" s="1775">
        <v>0</v>
      </c>
      <c r="AR50" s="1775">
        <v>0</v>
      </c>
      <c r="AS50" s="1594"/>
      <c r="AT50" s="1233">
        <v>0</v>
      </c>
      <c r="AU50" s="1005"/>
      <c r="AV50" s="1005"/>
      <c r="AW50" s="1005"/>
      <c r="AX50" s="1005"/>
      <c r="AY50" s="1005"/>
      <c r="AZ50" s="1005"/>
      <c r="BA50" s="1005"/>
      <c r="BB50" s="1005"/>
      <c r="BC50" s="1005"/>
      <c r="BD50" s="1005"/>
      <c r="BE50" s="1005"/>
      <c r="BF50" s="1005"/>
      <c r="BG50" s="1005"/>
      <c r="BH50" s="1005"/>
      <c r="BI50" s="1005"/>
      <c r="BJ50" s="1005"/>
      <c r="BK50" s="1005"/>
      <c r="BL50" s="1005"/>
      <c r="BM50" s="1005"/>
      <c r="BN50" s="1005"/>
      <c r="BO50" s="1005"/>
      <c r="BP50" s="1005"/>
      <c r="BQ50" s="1005"/>
      <c r="BR50" s="1596">
        <v>0</v>
      </c>
      <c r="BS50" s="1596">
        <v>0</v>
      </c>
      <c r="BT50" s="1005"/>
      <c r="BU50" s="1005"/>
      <c r="BV50" s="1016"/>
      <c r="BW50" s="1016"/>
      <c r="BX50" s="1016"/>
      <c r="BY50" s="1016"/>
      <c r="BZ50" s="1016"/>
      <c r="CA50" s="1016"/>
      <c r="CB50" s="1016"/>
      <c r="CC50" s="1594"/>
      <c r="CD50" s="1136">
        <f t="shared" si="119"/>
        <v>0</v>
      </c>
      <c r="CE50" s="1136">
        <f t="shared" si="119"/>
        <v>0</v>
      </c>
      <c r="CF50" s="1136">
        <f t="shared" si="119"/>
        <v>0</v>
      </c>
      <c r="CG50" s="1136">
        <f t="shared" si="119"/>
        <v>0</v>
      </c>
      <c r="CH50" s="1136">
        <f t="shared" si="119"/>
        <v>0</v>
      </c>
      <c r="CI50" s="1136">
        <f t="shared" si="119"/>
        <v>0</v>
      </c>
      <c r="CJ50" s="1136">
        <f t="shared" si="119"/>
        <v>0</v>
      </c>
      <c r="CK50" s="1136">
        <f t="shared" si="119"/>
        <v>0</v>
      </c>
      <c r="CL50" s="1136">
        <f t="shared" si="119"/>
        <v>0</v>
      </c>
      <c r="CM50" s="1136">
        <f t="shared" si="119"/>
        <v>0</v>
      </c>
      <c r="CN50" s="1136">
        <f t="shared" si="120"/>
        <v>0</v>
      </c>
      <c r="CO50" s="1136">
        <f t="shared" si="120"/>
        <v>0</v>
      </c>
      <c r="CP50" s="1136">
        <f t="shared" si="120"/>
        <v>0</v>
      </c>
      <c r="CQ50" s="1136">
        <f t="shared" si="120"/>
        <v>0</v>
      </c>
      <c r="CR50" s="1136">
        <f t="shared" si="120"/>
        <v>0</v>
      </c>
      <c r="CS50" s="1136">
        <f t="shared" si="120"/>
        <v>0</v>
      </c>
      <c r="CT50" s="1136">
        <f t="shared" si="120"/>
        <v>0</v>
      </c>
      <c r="CU50" s="1136">
        <f t="shared" si="120"/>
        <v>0</v>
      </c>
      <c r="CV50" s="1136">
        <f t="shared" si="120"/>
        <v>0</v>
      </c>
      <c r="CW50" s="1136">
        <f t="shared" si="120"/>
        <v>0</v>
      </c>
      <c r="CX50" s="1136">
        <f t="shared" si="121"/>
        <v>0</v>
      </c>
      <c r="CY50" s="1136">
        <f t="shared" si="121"/>
        <v>0</v>
      </c>
      <c r="CZ50" s="1136">
        <f t="shared" si="121"/>
        <v>0</v>
      </c>
      <c r="DA50" s="1136">
        <f t="shared" si="121"/>
        <v>0</v>
      </c>
      <c r="DB50" s="1136">
        <f t="shared" si="121"/>
        <v>0</v>
      </c>
      <c r="DC50" s="1136">
        <f t="shared" si="121"/>
        <v>0</v>
      </c>
      <c r="DD50" s="1136">
        <f t="shared" si="121"/>
        <v>0</v>
      </c>
      <c r="DE50" s="1136">
        <f t="shared" si="121"/>
        <v>0</v>
      </c>
      <c r="DF50" s="1136">
        <f t="shared" si="121"/>
        <v>0</v>
      </c>
      <c r="DG50" s="1136">
        <f t="shared" si="121"/>
        <v>0</v>
      </c>
      <c r="DH50" s="1136">
        <f t="shared" si="122"/>
        <v>0</v>
      </c>
      <c r="DI50" s="1136">
        <f t="shared" si="122"/>
        <v>0</v>
      </c>
      <c r="DJ50" s="1136">
        <f t="shared" si="122"/>
        <v>0</v>
      </c>
      <c r="DK50" s="1136">
        <f t="shared" si="122"/>
        <v>0</v>
      </c>
      <c r="DL50" s="1136">
        <f t="shared" si="122"/>
        <v>0</v>
      </c>
      <c r="DM50" s="1131" t="str">
        <f t="array" ref="DM50">IF(MAX(ABS(CD50:DL50))&gt;$DM$4,"EXPLAIN","")</f>
        <v/>
      </c>
      <c r="DN50" s="1131" t="str">
        <f t="shared" si="115"/>
        <v/>
      </c>
      <c r="DP50" s="1140">
        <f t="shared" si="123"/>
        <v>3</v>
      </c>
      <c r="DQ50" s="1140">
        <f t="shared" si="124"/>
        <v>3</v>
      </c>
      <c r="DR50" s="1140" t="str">
        <f t="shared" si="125"/>
        <v>ok</v>
      </c>
    </row>
    <row r="51" spans="2:122" s="1140" customFormat="1">
      <c r="B51" s="1111" t="str">
        <f>IF(Prop2021DUOSTariffs!B51="","",Prop2021DUOSTariffs!B51)</f>
        <v/>
      </c>
      <c r="C51" s="1111" t="str">
        <f>IF(Prop2021DUOSTariffs!C51="","",Prop2021DUOSTariffs!C51)</f>
        <v>West SAC&gt;100MWhpa Large Residential Energy</v>
      </c>
      <c r="D51" s="1111" t="str">
        <f>IF(Prop2021DUOSTariffs!D51="","",Prop2021DUOSTariffs!D51)</f>
        <v>West SAC&gt;100MWhpa DemandSmall</v>
      </c>
      <c r="E51" s="1111" t="str">
        <f>IF(Prop2021DUOSTariffs!E51="","",Prop2021DUOSTariffs!E51)</f>
        <v>SAC</v>
      </c>
      <c r="F51" s="1111" t="str">
        <f>IF(Prop2021DUOSTariffs!F51="","",Prop2021DUOSTariffs!F51)</f>
        <v>SACL</v>
      </c>
      <c r="G51" s="1111" t="str">
        <f>IF(Prop2021DUOSTariffs!G51="","",Prop2021DUOSTariffs!G51)</f>
        <v>West</v>
      </c>
      <c r="H51" s="1111" t="str">
        <f>IF(Prop2021DUOSTariffs!H51="","",Prop2021DUOSTariffs!H51)</f>
        <v>WREST</v>
      </c>
      <c r="I51" s="1111" t="str">
        <f>IF(Prop2021DUOSTariffs!I51="","",Prop2021DUOSTariffs!I51)</f>
        <v>DUOS</v>
      </c>
      <c r="J51" s="1774">
        <v>71.612800000000007</v>
      </c>
      <c r="K51" s="1773">
        <v>0</v>
      </c>
      <c r="L51" s="1773">
        <v>0</v>
      </c>
      <c r="M51" s="1773">
        <v>0</v>
      </c>
      <c r="N51" s="1773">
        <v>0</v>
      </c>
      <c r="O51" s="1773">
        <v>0</v>
      </c>
      <c r="P51" s="1773">
        <v>0</v>
      </c>
      <c r="Q51" s="1773">
        <v>0</v>
      </c>
      <c r="R51" s="1773">
        <v>0</v>
      </c>
      <c r="S51" s="1773">
        <v>0</v>
      </c>
      <c r="T51" s="1773">
        <v>0</v>
      </c>
      <c r="U51" s="1773">
        <v>0</v>
      </c>
      <c r="V51" s="1773">
        <v>0</v>
      </c>
      <c r="W51" s="1773">
        <v>0</v>
      </c>
      <c r="X51" s="1773">
        <v>0</v>
      </c>
      <c r="Y51" s="1773">
        <v>0</v>
      </c>
      <c r="Z51" s="1773">
        <v>0</v>
      </c>
      <c r="AA51" s="1773">
        <v>0</v>
      </c>
      <c r="AB51" s="1773">
        <v>0</v>
      </c>
      <c r="AC51" s="1773">
        <v>0</v>
      </c>
      <c r="AD51" s="1773">
        <v>0</v>
      </c>
      <c r="AE51" s="1775">
        <v>0</v>
      </c>
      <c r="AF51" s="1775">
        <v>0</v>
      </c>
      <c r="AG51" s="1775">
        <v>0</v>
      </c>
      <c r="AH51" s="1776">
        <v>5.2655267410076341E-3</v>
      </c>
      <c r="AI51" s="1776">
        <v>0.24652500758566293</v>
      </c>
      <c r="AJ51" s="1775">
        <v>0</v>
      </c>
      <c r="AK51" s="1775">
        <v>0</v>
      </c>
      <c r="AL51" s="1775">
        <v>0</v>
      </c>
      <c r="AM51" s="1775">
        <v>0</v>
      </c>
      <c r="AN51" s="1775">
        <v>0</v>
      </c>
      <c r="AO51" s="1775">
        <v>0</v>
      </c>
      <c r="AP51" s="1775">
        <v>0</v>
      </c>
      <c r="AQ51" s="1775">
        <v>0</v>
      </c>
      <c r="AR51" s="1775">
        <v>0</v>
      </c>
      <c r="AS51" s="1594"/>
      <c r="AT51" s="1233">
        <v>0</v>
      </c>
      <c r="AU51" s="1005"/>
      <c r="AV51" s="1005"/>
      <c r="AW51" s="1005"/>
      <c r="AX51" s="1005"/>
      <c r="AY51" s="1005"/>
      <c r="AZ51" s="1005"/>
      <c r="BA51" s="1005"/>
      <c r="BB51" s="1005"/>
      <c r="BC51" s="1005"/>
      <c r="BD51" s="1005"/>
      <c r="BE51" s="1005"/>
      <c r="BF51" s="1005"/>
      <c r="BG51" s="1005"/>
      <c r="BH51" s="1005"/>
      <c r="BI51" s="1005"/>
      <c r="BJ51" s="1005"/>
      <c r="BK51" s="1005"/>
      <c r="BL51" s="1005"/>
      <c r="BM51" s="1005"/>
      <c r="BN51" s="1005"/>
      <c r="BO51" s="1005"/>
      <c r="BP51" s="1005"/>
      <c r="BQ51" s="1005"/>
      <c r="BR51" s="1596">
        <v>0</v>
      </c>
      <c r="BS51" s="1596">
        <v>0</v>
      </c>
      <c r="BT51" s="1005"/>
      <c r="BU51" s="1005"/>
      <c r="BV51" s="1016"/>
      <c r="BW51" s="1016"/>
      <c r="BX51" s="1016"/>
      <c r="BY51" s="1016"/>
      <c r="BZ51" s="1016"/>
      <c r="CA51" s="1016"/>
      <c r="CB51" s="1016"/>
      <c r="CC51" s="1594"/>
      <c r="CD51" s="1136">
        <f t="shared" si="119"/>
        <v>0</v>
      </c>
      <c r="CE51" s="1136">
        <f t="shared" si="119"/>
        <v>0</v>
      </c>
      <c r="CF51" s="1136">
        <f t="shared" si="119"/>
        <v>0</v>
      </c>
      <c r="CG51" s="1136">
        <f t="shared" si="119"/>
        <v>0</v>
      </c>
      <c r="CH51" s="1136">
        <f t="shared" si="119"/>
        <v>0</v>
      </c>
      <c r="CI51" s="1136">
        <f t="shared" si="119"/>
        <v>0</v>
      </c>
      <c r="CJ51" s="1136">
        <f t="shared" si="119"/>
        <v>0</v>
      </c>
      <c r="CK51" s="1136">
        <f t="shared" si="119"/>
        <v>0</v>
      </c>
      <c r="CL51" s="1136">
        <f t="shared" si="119"/>
        <v>0</v>
      </c>
      <c r="CM51" s="1136">
        <f t="shared" si="119"/>
        <v>0</v>
      </c>
      <c r="CN51" s="1136">
        <f t="shared" si="120"/>
        <v>0</v>
      </c>
      <c r="CO51" s="1136">
        <f t="shared" si="120"/>
        <v>0</v>
      </c>
      <c r="CP51" s="1136">
        <f t="shared" si="120"/>
        <v>0</v>
      </c>
      <c r="CQ51" s="1136">
        <f t="shared" si="120"/>
        <v>0</v>
      </c>
      <c r="CR51" s="1136">
        <f t="shared" si="120"/>
        <v>0</v>
      </c>
      <c r="CS51" s="1136">
        <f t="shared" si="120"/>
        <v>0</v>
      </c>
      <c r="CT51" s="1136">
        <f t="shared" si="120"/>
        <v>0</v>
      </c>
      <c r="CU51" s="1136">
        <f t="shared" si="120"/>
        <v>0</v>
      </c>
      <c r="CV51" s="1136">
        <f t="shared" si="120"/>
        <v>0</v>
      </c>
      <c r="CW51" s="1136">
        <f t="shared" si="120"/>
        <v>0</v>
      </c>
      <c r="CX51" s="1136">
        <f t="shared" si="121"/>
        <v>0</v>
      </c>
      <c r="CY51" s="1136">
        <f t="shared" si="121"/>
        <v>0</v>
      </c>
      <c r="CZ51" s="1136">
        <f t="shared" si="121"/>
        <v>0</v>
      </c>
      <c r="DA51" s="1136">
        <f t="shared" si="121"/>
        <v>0</v>
      </c>
      <c r="DB51" s="1136">
        <f t="shared" si="121"/>
        <v>0</v>
      </c>
      <c r="DC51" s="1136">
        <f t="shared" si="121"/>
        <v>0</v>
      </c>
      <c r="DD51" s="1136">
        <f t="shared" si="121"/>
        <v>0</v>
      </c>
      <c r="DE51" s="1136">
        <f t="shared" si="121"/>
        <v>0</v>
      </c>
      <c r="DF51" s="1136">
        <f t="shared" si="121"/>
        <v>0</v>
      </c>
      <c r="DG51" s="1136">
        <f t="shared" si="121"/>
        <v>0</v>
      </c>
      <c r="DH51" s="1136">
        <f t="shared" si="122"/>
        <v>0</v>
      </c>
      <c r="DI51" s="1136">
        <f t="shared" si="122"/>
        <v>0</v>
      </c>
      <c r="DJ51" s="1136">
        <f t="shared" si="122"/>
        <v>0</v>
      </c>
      <c r="DK51" s="1136">
        <f t="shared" si="122"/>
        <v>0</v>
      </c>
      <c r="DL51" s="1136">
        <f t="shared" si="122"/>
        <v>0</v>
      </c>
      <c r="DM51" s="1131" t="str">
        <f t="array" ref="DM51">IF(MAX(ABS(CD51:DL51))&gt;$DM$4,"EXPLAIN","")</f>
        <v/>
      </c>
      <c r="DN51" s="1131" t="str">
        <f t="shared" si="115"/>
        <v/>
      </c>
      <c r="DP51" s="1140">
        <f t="shared" si="123"/>
        <v>3</v>
      </c>
      <c r="DQ51" s="1140">
        <f t="shared" si="124"/>
        <v>3</v>
      </c>
      <c r="DR51" s="1140" t="str">
        <f t="shared" si="125"/>
        <v>ok</v>
      </c>
    </row>
    <row r="52" spans="2:122" s="1140" customFormat="1">
      <c r="B52" s="1111" t="str">
        <f>IF(Prop2021DUOSTariffs!B52="","",Prop2021DUOSTariffs!B52)</f>
        <v/>
      </c>
      <c r="C52" s="1111" t="str">
        <f>IF(Prop2021DUOSTariffs!C52="","",Prop2021DUOSTariffs!C52)</f>
        <v>MtIsa SAC&gt;100MWhpa Large Residential Energy</v>
      </c>
      <c r="D52" s="1111" t="str">
        <f>IF(Prop2021DUOSTariffs!D52="","",Prop2021DUOSTariffs!D52)</f>
        <v>MtIsa SAC&gt;100MWhpa DemandSmall</v>
      </c>
      <c r="E52" s="1111" t="str">
        <f>IF(Prop2021DUOSTariffs!E52="","",Prop2021DUOSTariffs!E52)</f>
        <v>SAC</v>
      </c>
      <c r="F52" s="1111" t="str">
        <f>IF(Prop2021DUOSTariffs!F52="","",Prop2021DUOSTariffs!F52)</f>
        <v>SACL</v>
      </c>
      <c r="G52" s="1111" t="str">
        <f>IF(Prop2021DUOSTariffs!G52="","",Prop2021DUOSTariffs!G52)</f>
        <v>Mt Isa</v>
      </c>
      <c r="H52" s="1111" t="str">
        <f>IF(Prop2021DUOSTariffs!H52="","",Prop2021DUOSTariffs!H52)</f>
        <v>MREST</v>
      </c>
      <c r="I52" s="1111" t="str">
        <f>IF(Prop2021DUOSTariffs!I52="","",Prop2021DUOSTariffs!I52)</f>
        <v>DUOS</v>
      </c>
      <c r="J52" s="1774">
        <v>21.37595</v>
      </c>
      <c r="K52" s="1773">
        <v>0</v>
      </c>
      <c r="L52" s="1773">
        <v>0</v>
      </c>
      <c r="M52" s="1773">
        <v>0</v>
      </c>
      <c r="N52" s="1773">
        <v>0</v>
      </c>
      <c r="O52" s="1773">
        <v>0</v>
      </c>
      <c r="P52" s="1773">
        <v>0</v>
      </c>
      <c r="Q52" s="1773">
        <v>0</v>
      </c>
      <c r="R52" s="1773">
        <v>0</v>
      </c>
      <c r="S52" s="1773">
        <v>0</v>
      </c>
      <c r="T52" s="1773">
        <v>0</v>
      </c>
      <c r="U52" s="1773">
        <v>0</v>
      </c>
      <c r="V52" s="1773">
        <v>0</v>
      </c>
      <c r="W52" s="1773">
        <v>0</v>
      </c>
      <c r="X52" s="1773">
        <v>0</v>
      </c>
      <c r="Y52" s="1773">
        <v>0</v>
      </c>
      <c r="Z52" s="1773">
        <v>0</v>
      </c>
      <c r="AA52" s="1773">
        <v>0</v>
      </c>
      <c r="AB52" s="1773">
        <v>0</v>
      </c>
      <c r="AC52" s="1773">
        <v>0</v>
      </c>
      <c r="AD52" s="1773">
        <v>0</v>
      </c>
      <c r="AE52" s="1775">
        <v>0</v>
      </c>
      <c r="AF52" s="1775">
        <v>0</v>
      </c>
      <c r="AG52" s="1775">
        <v>0</v>
      </c>
      <c r="AH52" s="1776">
        <v>2.5175116444294322E-3</v>
      </c>
      <c r="AI52" s="1776">
        <v>5.717021638780434E-2</v>
      </c>
      <c r="AJ52" s="1775">
        <v>0</v>
      </c>
      <c r="AK52" s="1775">
        <v>0</v>
      </c>
      <c r="AL52" s="1775">
        <v>0</v>
      </c>
      <c r="AM52" s="1775">
        <v>0</v>
      </c>
      <c r="AN52" s="1775">
        <v>0</v>
      </c>
      <c r="AO52" s="1775">
        <v>0</v>
      </c>
      <c r="AP52" s="1775">
        <v>0</v>
      </c>
      <c r="AQ52" s="1775">
        <v>0</v>
      </c>
      <c r="AR52" s="1775">
        <v>0</v>
      </c>
      <c r="AS52" s="1594"/>
      <c r="AT52" s="1233">
        <v>0</v>
      </c>
      <c r="AU52" s="1005"/>
      <c r="AV52" s="1005"/>
      <c r="AW52" s="1005"/>
      <c r="AX52" s="1005"/>
      <c r="AY52" s="1005"/>
      <c r="AZ52" s="1005"/>
      <c r="BA52" s="1005"/>
      <c r="BB52" s="1005"/>
      <c r="BC52" s="1005"/>
      <c r="BD52" s="1005"/>
      <c r="BE52" s="1005"/>
      <c r="BF52" s="1005"/>
      <c r="BG52" s="1005"/>
      <c r="BH52" s="1005"/>
      <c r="BI52" s="1005"/>
      <c r="BJ52" s="1005"/>
      <c r="BK52" s="1005"/>
      <c r="BL52" s="1005"/>
      <c r="BM52" s="1005"/>
      <c r="BN52" s="1005"/>
      <c r="BO52" s="1005"/>
      <c r="BP52" s="1005"/>
      <c r="BQ52" s="1005"/>
      <c r="BR52" s="1596">
        <v>0</v>
      </c>
      <c r="BS52" s="1596">
        <v>0</v>
      </c>
      <c r="BT52" s="1005"/>
      <c r="BU52" s="1005"/>
      <c r="BV52" s="1016"/>
      <c r="BW52" s="1016"/>
      <c r="BX52" s="1016"/>
      <c r="BY52" s="1016"/>
      <c r="BZ52" s="1016"/>
      <c r="CA52" s="1016"/>
      <c r="CB52" s="1016"/>
      <c r="CC52" s="1594"/>
      <c r="CD52" s="1136">
        <f t="shared" si="119"/>
        <v>0</v>
      </c>
      <c r="CE52" s="1136">
        <f t="shared" si="119"/>
        <v>0</v>
      </c>
      <c r="CF52" s="1136">
        <f t="shared" si="119"/>
        <v>0</v>
      </c>
      <c r="CG52" s="1136">
        <f t="shared" si="119"/>
        <v>0</v>
      </c>
      <c r="CH52" s="1136">
        <f t="shared" si="119"/>
        <v>0</v>
      </c>
      <c r="CI52" s="1136">
        <f t="shared" si="119"/>
        <v>0</v>
      </c>
      <c r="CJ52" s="1136">
        <f t="shared" si="119"/>
        <v>0</v>
      </c>
      <c r="CK52" s="1136">
        <f t="shared" si="119"/>
        <v>0</v>
      </c>
      <c r="CL52" s="1136">
        <f t="shared" si="119"/>
        <v>0</v>
      </c>
      <c r="CM52" s="1136">
        <f t="shared" si="119"/>
        <v>0</v>
      </c>
      <c r="CN52" s="1136">
        <f t="shared" si="120"/>
        <v>0</v>
      </c>
      <c r="CO52" s="1136">
        <f t="shared" si="120"/>
        <v>0</v>
      </c>
      <c r="CP52" s="1136">
        <f t="shared" si="120"/>
        <v>0</v>
      </c>
      <c r="CQ52" s="1136">
        <f t="shared" si="120"/>
        <v>0</v>
      </c>
      <c r="CR52" s="1136">
        <f t="shared" si="120"/>
        <v>0</v>
      </c>
      <c r="CS52" s="1136">
        <f t="shared" si="120"/>
        <v>0</v>
      </c>
      <c r="CT52" s="1136">
        <f t="shared" si="120"/>
        <v>0</v>
      </c>
      <c r="CU52" s="1136">
        <f t="shared" si="120"/>
        <v>0</v>
      </c>
      <c r="CV52" s="1136">
        <f t="shared" si="120"/>
        <v>0</v>
      </c>
      <c r="CW52" s="1136">
        <f t="shared" si="120"/>
        <v>0</v>
      </c>
      <c r="CX52" s="1136">
        <f t="shared" si="121"/>
        <v>0</v>
      </c>
      <c r="CY52" s="1136">
        <f t="shared" si="121"/>
        <v>0</v>
      </c>
      <c r="CZ52" s="1136">
        <f t="shared" si="121"/>
        <v>0</v>
      </c>
      <c r="DA52" s="1136">
        <f t="shared" si="121"/>
        <v>0</v>
      </c>
      <c r="DB52" s="1136">
        <f t="shared" si="121"/>
        <v>0</v>
      </c>
      <c r="DC52" s="1136">
        <f t="shared" si="121"/>
        <v>0</v>
      </c>
      <c r="DD52" s="1136">
        <f t="shared" si="121"/>
        <v>0</v>
      </c>
      <c r="DE52" s="1136">
        <f t="shared" si="121"/>
        <v>0</v>
      </c>
      <c r="DF52" s="1136">
        <f t="shared" si="121"/>
        <v>0</v>
      </c>
      <c r="DG52" s="1136">
        <f t="shared" si="121"/>
        <v>0</v>
      </c>
      <c r="DH52" s="1136">
        <f t="shared" si="122"/>
        <v>0</v>
      </c>
      <c r="DI52" s="1136">
        <f t="shared" si="122"/>
        <v>0</v>
      </c>
      <c r="DJ52" s="1136">
        <f t="shared" si="122"/>
        <v>0</v>
      </c>
      <c r="DK52" s="1136">
        <f t="shared" si="122"/>
        <v>0</v>
      </c>
      <c r="DL52" s="1136">
        <f t="shared" si="122"/>
        <v>0</v>
      </c>
      <c r="DM52" s="1131" t="str">
        <f t="array" ref="DM52">IF(MAX(ABS(CD52:DL52))&gt;$DM$4,"EXPLAIN","")</f>
        <v/>
      </c>
      <c r="DN52" s="1131" t="str">
        <f t="shared" si="115"/>
        <v/>
      </c>
      <c r="DP52" s="1140">
        <f t="shared" si="123"/>
        <v>3</v>
      </c>
      <c r="DQ52" s="1140">
        <f t="shared" si="124"/>
        <v>3</v>
      </c>
      <c r="DR52" s="1140" t="str">
        <f t="shared" si="125"/>
        <v>ok</v>
      </c>
    </row>
    <row r="53" spans="2:122" s="1140" customFormat="1" ht="6" customHeight="1">
      <c r="B53" s="1568" t="str">
        <f>IF(Prop2021DUOSTariffs!B53="","",Prop2021DUOSTariffs!B53)</f>
        <v>-</v>
      </c>
      <c r="C53" s="1568" t="str">
        <f>IF(Prop2021DUOSTariffs!C53="","",Prop2021DUOSTariffs!C53)</f>
        <v/>
      </c>
      <c r="D53" s="1568" t="str">
        <f>IF(Prop2021DUOSTariffs!D53="","",Prop2021DUOSTariffs!D53)</f>
        <v/>
      </c>
      <c r="E53" s="1568" t="str">
        <f>IF(Prop2021DUOSTariffs!E53="","",Prop2021DUOSTariffs!E53)</f>
        <v/>
      </c>
      <c r="F53" s="1568" t="str">
        <f>IF(Prop2021DUOSTariffs!F53="","",Prop2021DUOSTariffs!F53)</f>
        <v/>
      </c>
      <c r="G53" s="1568" t="str">
        <f>IF(Prop2021DUOSTariffs!G53="","",Prop2021DUOSTariffs!G53)</f>
        <v/>
      </c>
      <c r="H53" s="1568" t="str">
        <f>IF(Prop2021DUOSTariffs!H53="","",Prop2021DUOSTariffs!H53)</f>
        <v/>
      </c>
      <c r="I53" s="1568" t="str">
        <f>IF(Prop2021DUOSTariffs!I53="","",Prop2021DUOSTariffs!I53)</f>
        <v/>
      </c>
      <c r="J53" s="1777">
        <v>0</v>
      </c>
      <c r="K53" s="1777">
        <v>0</v>
      </c>
      <c r="L53" s="1777">
        <v>0</v>
      </c>
      <c r="M53" s="1777">
        <v>0</v>
      </c>
      <c r="N53" s="1777">
        <v>0</v>
      </c>
      <c r="O53" s="1777">
        <v>0</v>
      </c>
      <c r="P53" s="1777">
        <v>0</v>
      </c>
      <c r="Q53" s="1777">
        <v>0</v>
      </c>
      <c r="R53" s="1777">
        <v>0</v>
      </c>
      <c r="S53" s="1777">
        <v>0</v>
      </c>
      <c r="T53" s="1777">
        <v>0</v>
      </c>
      <c r="U53" s="1777">
        <v>0</v>
      </c>
      <c r="V53" s="1777">
        <v>0</v>
      </c>
      <c r="W53" s="1777">
        <v>0</v>
      </c>
      <c r="X53" s="1777">
        <v>0</v>
      </c>
      <c r="Y53" s="1777">
        <v>0</v>
      </c>
      <c r="Z53" s="1777">
        <v>0</v>
      </c>
      <c r="AA53" s="1777">
        <v>0</v>
      </c>
      <c r="AB53" s="1777">
        <v>0</v>
      </c>
      <c r="AC53" s="1777">
        <v>0</v>
      </c>
      <c r="AD53" s="1777">
        <v>0</v>
      </c>
      <c r="AE53" s="1778">
        <v>0</v>
      </c>
      <c r="AF53" s="1778">
        <v>0</v>
      </c>
      <c r="AG53" s="1778">
        <v>0</v>
      </c>
      <c r="AH53" s="1778">
        <v>0</v>
      </c>
      <c r="AI53" s="1778">
        <v>0</v>
      </c>
      <c r="AJ53" s="1778">
        <v>0</v>
      </c>
      <c r="AK53" s="1778">
        <v>0</v>
      </c>
      <c r="AL53" s="1778">
        <v>0</v>
      </c>
      <c r="AM53" s="1778">
        <v>0</v>
      </c>
      <c r="AN53" s="1778">
        <v>0</v>
      </c>
      <c r="AO53" s="1778">
        <v>0</v>
      </c>
      <c r="AP53" s="1778">
        <v>0</v>
      </c>
      <c r="AQ53" s="1778">
        <v>0</v>
      </c>
      <c r="AR53" s="1778">
        <v>0</v>
      </c>
      <c r="AS53" s="1594"/>
      <c r="AT53" s="1590"/>
      <c r="AU53" s="1569"/>
      <c r="AV53" s="1569"/>
      <c r="AW53" s="1569"/>
      <c r="AX53" s="1569"/>
      <c r="AY53" s="1569"/>
      <c r="AZ53" s="1569"/>
      <c r="BA53" s="1569"/>
      <c r="BB53" s="1569"/>
      <c r="BC53" s="1569"/>
      <c r="BD53" s="1569"/>
      <c r="BE53" s="1569"/>
      <c r="BF53" s="1569"/>
      <c r="BG53" s="1569"/>
      <c r="BH53" s="1569"/>
      <c r="BI53" s="1569"/>
      <c r="BJ53" s="1569"/>
      <c r="BK53" s="1569"/>
      <c r="BL53" s="1569"/>
      <c r="BM53" s="1569"/>
      <c r="BN53" s="1569"/>
      <c r="BO53" s="1570"/>
      <c r="BP53" s="1570"/>
      <c r="BQ53" s="1570"/>
      <c r="BR53" s="1570"/>
      <c r="BS53" s="1570"/>
      <c r="BT53" s="1570"/>
      <c r="BU53" s="1570"/>
      <c r="BV53" s="1570"/>
      <c r="BW53" s="1570"/>
      <c r="BX53" s="1570"/>
      <c r="BY53" s="1595"/>
      <c r="BZ53" s="1595"/>
      <c r="CA53" s="1595"/>
      <c r="CB53" s="1595"/>
      <c r="CC53" s="1594"/>
      <c r="CD53" s="1571"/>
      <c r="CE53" s="1571"/>
      <c r="CF53" s="1571"/>
      <c r="CG53" s="1571"/>
      <c r="CH53" s="1571"/>
      <c r="CI53" s="1571"/>
      <c r="CJ53" s="1571"/>
      <c r="CK53" s="1571"/>
      <c r="CL53" s="1571"/>
      <c r="CM53" s="1571"/>
      <c r="CN53" s="1571"/>
      <c r="CO53" s="1571"/>
      <c r="CP53" s="1571"/>
      <c r="CQ53" s="1571"/>
      <c r="CR53" s="1571"/>
      <c r="CS53" s="1571"/>
      <c r="CT53" s="1571"/>
      <c r="CU53" s="1571"/>
      <c r="CV53" s="1571"/>
      <c r="CW53" s="1571"/>
      <c r="CX53" s="1571"/>
      <c r="CY53" s="1571"/>
      <c r="CZ53" s="1571"/>
      <c r="DA53" s="1571"/>
      <c r="DB53" s="1571"/>
      <c r="DC53" s="1571"/>
      <c r="DD53" s="1571"/>
      <c r="DE53" s="1571"/>
      <c r="DF53" s="1571"/>
      <c r="DG53" s="1571"/>
      <c r="DH53" s="1571"/>
      <c r="DI53" s="1571"/>
      <c r="DJ53" s="1571"/>
      <c r="DK53" s="1571"/>
      <c r="DL53" s="1571"/>
      <c r="DM53" s="1572"/>
      <c r="DN53" s="1572"/>
    </row>
    <row r="54" spans="2:122" s="1140" customFormat="1">
      <c r="B54" s="1111" t="str">
        <f>IF(Prop2021DUOSTariffs!B54="","",Prop2021DUOSTariffs!B54)</f>
        <v/>
      </c>
      <c r="C54" s="1111" t="str">
        <f>IF(Prop2021DUOSTariffs!C54="","",Prop2021DUOSTariffs!C54)</f>
        <v>East SAC&lt;20MWhpa Business IBT</v>
      </c>
      <c r="D54" s="1111" t="str">
        <f>IF(Prop2021DUOSTariffs!D54="","",Prop2021DUOSTariffs!D54)</f>
        <v>East SAC&lt;20MWhpa Business IBT</v>
      </c>
      <c r="E54" s="1111" t="str">
        <f>IF(Prop2021DUOSTariffs!E54="","",Prop2021DUOSTariffs!E54)</f>
        <v>SAC</v>
      </c>
      <c r="F54" s="1111" t="str">
        <f>IF(Prop2021DUOSTariffs!F54="","",Prop2021DUOSTariffs!F54)</f>
        <v>SACS Bus</v>
      </c>
      <c r="G54" s="1111" t="str">
        <f>IF(Prop2021DUOSTariffs!G54="","",Prop2021DUOSTariffs!G54)</f>
        <v>East</v>
      </c>
      <c r="H54" s="1111" t="str">
        <f>IF(Prop2021DUOSTariffs!H54="","",Prop2021DUOSTariffs!H54)</f>
        <v>EBIB</v>
      </c>
      <c r="I54" s="1111" t="str">
        <f>IF(Prop2021DUOSTariffs!I54="","",Prop2021DUOSTariffs!I54)</f>
        <v>DUOS</v>
      </c>
      <c r="J54" s="1774">
        <v>1.105</v>
      </c>
      <c r="K54" s="1773">
        <v>0</v>
      </c>
      <c r="L54" s="1773">
        <v>0</v>
      </c>
      <c r="M54" s="1773">
        <v>0</v>
      </c>
      <c r="N54" s="1773">
        <v>0</v>
      </c>
      <c r="O54" s="1773">
        <v>0</v>
      </c>
      <c r="P54" s="1773">
        <v>0</v>
      </c>
      <c r="Q54" s="1773">
        <v>0</v>
      </c>
      <c r="R54" s="1773">
        <v>0</v>
      </c>
      <c r="S54" s="1773">
        <v>0</v>
      </c>
      <c r="T54" s="1773">
        <v>0</v>
      </c>
      <c r="U54" s="1773">
        <v>0</v>
      </c>
      <c r="V54" s="1773">
        <v>0</v>
      </c>
      <c r="W54" s="1773">
        <v>0</v>
      </c>
      <c r="X54" s="1773">
        <v>0</v>
      </c>
      <c r="Y54" s="1773">
        <v>0</v>
      </c>
      <c r="Z54" s="1773">
        <v>0</v>
      </c>
      <c r="AA54" s="1773">
        <v>0</v>
      </c>
      <c r="AB54" s="1773">
        <v>0</v>
      </c>
      <c r="AC54" s="1773">
        <v>0</v>
      </c>
      <c r="AD54" s="1773">
        <v>0</v>
      </c>
      <c r="AE54" s="1775">
        <v>0</v>
      </c>
      <c r="AF54" s="1775">
        <v>0</v>
      </c>
      <c r="AG54" s="1775">
        <v>0</v>
      </c>
      <c r="AH54" s="1776">
        <v>2.5719449225473319E-2</v>
      </c>
      <c r="AI54" s="1776">
        <v>7.4874913368164833E-2</v>
      </c>
      <c r="AJ54" s="1776">
        <v>0.113658</v>
      </c>
      <c r="AK54" s="1775">
        <v>0</v>
      </c>
      <c r="AL54" s="1775">
        <v>0</v>
      </c>
      <c r="AM54" s="1775">
        <v>0</v>
      </c>
      <c r="AN54" s="1775">
        <v>0</v>
      </c>
      <c r="AO54" s="1775">
        <v>0</v>
      </c>
      <c r="AP54" s="1775">
        <v>0</v>
      </c>
      <c r="AQ54" s="1775">
        <v>0</v>
      </c>
      <c r="AR54" s="1775">
        <v>0</v>
      </c>
      <c r="AS54" s="1594"/>
      <c r="AT54" s="1233">
        <v>1.1045299873509764</v>
      </c>
      <c r="AU54" s="1135"/>
      <c r="AV54" s="1135"/>
      <c r="AW54" s="1135"/>
      <c r="AX54" s="1135"/>
      <c r="AY54" s="1135"/>
      <c r="AZ54" s="1135"/>
      <c r="BA54" s="1135"/>
      <c r="BB54" s="1135"/>
      <c r="BC54" s="1135"/>
      <c r="BD54" s="1135"/>
      <c r="BE54" s="1135"/>
      <c r="BF54" s="1135"/>
      <c r="BG54" s="1135"/>
      <c r="BH54" s="1135"/>
      <c r="BI54" s="1135"/>
      <c r="BJ54" s="1135"/>
      <c r="BK54" s="1135"/>
      <c r="BL54" s="1135"/>
      <c r="BM54" s="1135"/>
      <c r="BN54" s="1135"/>
      <c r="BO54" s="1005"/>
      <c r="BP54" s="1005"/>
      <c r="BQ54" s="1005"/>
      <c r="BR54" s="1596">
        <v>2.5969324949999997E-2</v>
      </c>
      <c r="BS54" s="1596">
        <v>6.290704136210909E-2</v>
      </c>
      <c r="BT54" s="1596">
        <v>0.11479457999999999</v>
      </c>
      <c r="BU54" s="1005"/>
      <c r="BV54" s="1016"/>
      <c r="BW54" s="1016"/>
      <c r="BX54" s="1016"/>
      <c r="BY54" s="1016"/>
      <c r="BZ54" s="1016"/>
      <c r="CA54" s="1016"/>
      <c r="CB54" s="1016"/>
      <c r="CC54" s="1594"/>
      <c r="CD54" s="1136">
        <f t="shared" ref="CD54:CD71" si="126">IFERROR(J54/AT54-1,0)</f>
        <v>4.2553181389926031E-4</v>
      </c>
      <c r="CE54" s="1136">
        <f t="shared" ref="CE54:CE71" si="127">IFERROR(K54/AU54-1,0)</f>
        <v>0</v>
      </c>
      <c r="CF54" s="1136">
        <f t="shared" ref="CF54:CF71" si="128">IFERROR(L54/AV54-1,0)</f>
        <v>0</v>
      </c>
      <c r="CG54" s="1136">
        <f t="shared" ref="CG54:CG71" si="129">IFERROR(M54/AW54-1,0)</f>
        <v>0</v>
      </c>
      <c r="CH54" s="1136">
        <f t="shared" ref="CH54:CH71" si="130">IFERROR(N54/AX54-1,0)</f>
        <v>0</v>
      </c>
      <c r="CI54" s="1136">
        <f t="shared" ref="CI54:CI71" si="131">IFERROR(O54/AY54-1,0)</f>
        <v>0</v>
      </c>
      <c r="CJ54" s="1136">
        <f t="shared" ref="CJ54:CJ71" si="132">IFERROR(P54/AZ54-1,0)</f>
        <v>0</v>
      </c>
      <c r="CK54" s="1136">
        <f t="shared" ref="CK54:CK71" si="133">IFERROR(Q54/BA54-1,0)</f>
        <v>0</v>
      </c>
      <c r="CL54" s="1136">
        <f t="shared" ref="CL54:CL71" si="134">IFERROR(R54/BB54-1,0)</f>
        <v>0</v>
      </c>
      <c r="CM54" s="1136">
        <f t="shared" ref="CM54:CM71" si="135">IFERROR(S54/BC54-1,0)</f>
        <v>0</v>
      </c>
      <c r="CN54" s="1136">
        <f t="shared" ref="CN54:CN71" si="136">IFERROR(T54/BD54-1,0)</f>
        <v>0</v>
      </c>
      <c r="CO54" s="1136">
        <f t="shared" ref="CO54:CO71" si="137">IFERROR(U54/BE54-1,0)</f>
        <v>0</v>
      </c>
      <c r="CP54" s="1136">
        <f t="shared" ref="CP54:CP71" si="138">IFERROR(V54/BF54-1,0)</f>
        <v>0</v>
      </c>
      <c r="CQ54" s="1136">
        <f t="shared" ref="CQ54:CQ71" si="139">IFERROR(W54/BG54-1,0)</f>
        <v>0</v>
      </c>
      <c r="CR54" s="1136">
        <f t="shared" ref="CR54:CR71" si="140">IFERROR(X54/BH54-1,0)</f>
        <v>0</v>
      </c>
      <c r="CS54" s="1136">
        <f t="shared" ref="CS54:CS71" si="141">IFERROR(Y54/BI54-1,0)</f>
        <v>0</v>
      </c>
      <c r="CT54" s="1136">
        <f t="shared" ref="CT54:CT71" si="142">IFERROR(Z54/BJ54-1,0)</f>
        <v>0</v>
      </c>
      <c r="CU54" s="1136">
        <f t="shared" ref="CU54:CU71" si="143">IFERROR(AA54/BK54-1,0)</f>
        <v>0</v>
      </c>
      <c r="CV54" s="1136">
        <f t="shared" ref="CV54:CV71" si="144">IFERROR(AB54/BL54-1,0)</f>
        <v>0</v>
      </c>
      <c r="CW54" s="1136">
        <f t="shared" ref="CW54:CW71" si="145">IFERROR(AC54/BM54-1,0)</f>
        <v>0</v>
      </c>
      <c r="CX54" s="1136">
        <f t="shared" ref="CX54:CX71" si="146">IFERROR(AD54/BN54-1,0)</f>
        <v>0</v>
      </c>
      <c r="CY54" s="1136">
        <f t="shared" ref="CY54:CY71" si="147">IFERROR(AE54/BO54-1,0)</f>
        <v>0</v>
      </c>
      <c r="CZ54" s="1136">
        <f t="shared" ref="CZ54:CZ71" si="148">IFERROR(AF54/BP54-1,0)</f>
        <v>0</v>
      </c>
      <c r="DA54" s="1136">
        <f t="shared" ref="DA54:DA71" si="149">IFERROR(AG54/BQ54-1,0)</f>
        <v>0</v>
      </c>
      <c r="DB54" s="1136">
        <f t="shared" ref="DB54:DB71" si="150">IFERROR(AH54/BR54-1,0)</f>
        <v>-9.6219568667178512E-3</v>
      </c>
      <c r="DC54" s="1136">
        <f t="shared" ref="DC54:DC71" si="151">IFERROR(AI54/BS54-1,0)</f>
        <v>0.19024693813154547</v>
      </c>
      <c r="DD54" s="1136">
        <f t="shared" ref="DD54:DD71" si="152">IFERROR(AJ54/BT54-1,0)</f>
        <v>-9.9009900990099098E-3</v>
      </c>
      <c r="DE54" s="1136">
        <f t="shared" ref="DE54:DE71" si="153">IFERROR(AK54/BU54-1,0)</f>
        <v>0</v>
      </c>
      <c r="DF54" s="1136">
        <f t="shared" ref="DF54:DF71" si="154">IFERROR(AL54/BV54-1,0)</f>
        <v>0</v>
      </c>
      <c r="DG54" s="1136">
        <f t="shared" ref="DG54:DG71" si="155">IFERROR(AM54/BW54-1,0)</f>
        <v>0</v>
      </c>
      <c r="DH54" s="1136">
        <f t="shared" ref="DH54:DH71" si="156">IFERROR(AN54/BX54-1,0)</f>
        <v>0</v>
      </c>
      <c r="DI54" s="1136">
        <f t="shared" ref="DI54:DI71" si="157">IFERROR(AO54/BY54-1,0)</f>
        <v>0</v>
      </c>
      <c r="DJ54" s="1136">
        <f t="shared" ref="DJ54:DJ71" si="158">IFERROR(AP54/BZ54-1,0)</f>
        <v>0</v>
      </c>
      <c r="DK54" s="1136">
        <f t="shared" ref="DK54:DK71" si="159">IFERROR(AQ54/CA54-1,0)</f>
        <v>0</v>
      </c>
      <c r="DL54" s="1136">
        <f t="shared" ref="DL54:DL71" si="160">IFERROR(AR54/CB54-1,0)</f>
        <v>0</v>
      </c>
      <c r="DM54" s="1131" t="str">
        <f t="array" ref="DM54">IF(MAX(ABS(CD54:DL54))&gt;$DM$4,"EXPLAIN","")</f>
        <v>EXPLAIN</v>
      </c>
      <c r="DN54" s="1131" t="str">
        <f t="shared" si="115"/>
        <v>Refer to Ergon Energy Pricing Proposal</v>
      </c>
      <c r="DP54" s="1140">
        <f>COUNTIFS(J54:AR54,"&lt;&gt;"&amp;0)</f>
        <v>4</v>
      </c>
      <c r="DQ54" s="1140">
        <f>COUNTA(AT54:CB54)</f>
        <v>4</v>
      </c>
      <c r="DR54" s="1140" t="str">
        <f>IF(DP54=DQ54,"ok","xxxx")</f>
        <v>ok</v>
      </c>
    </row>
    <row r="55" spans="2:122" s="1140" customFormat="1">
      <c r="B55" s="1111" t="str">
        <f>IF(Prop2021DUOSTariffs!B55="","",Prop2021DUOSTariffs!B55)</f>
        <v/>
      </c>
      <c r="C55" s="1111" t="str">
        <f>IF(Prop2021DUOSTariffs!C55="","",Prop2021DUOSTariffs!C55)</f>
        <v>West SAC&lt;20MWhpa Business IBT</v>
      </c>
      <c r="D55" s="1111" t="str">
        <f>IF(Prop2021DUOSTariffs!D55="","",Prop2021DUOSTariffs!D55)</f>
        <v>West SAC&lt;20MWhpa Business IBT</v>
      </c>
      <c r="E55" s="1111" t="str">
        <f>IF(Prop2021DUOSTariffs!E55="","",Prop2021DUOSTariffs!E55)</f>
        <v>SAC</v>
      </c>
      <c r="F55" s="1111" t="str">
        <f>IF(Prop2021DUOSTariffs!F55="","",Prop2021DUOSTariffs!F55)</f>
        <v>SACS Bus</v>
      </c>
      <c r="G55" s="1111" t="str">
        <f>IF(Prop2021DUOSTariffs!G55="","",Prop2021DUOSTariffs!G55)</f>
        <v>West</v>
      </c>
      <c r="H55" s="1111" t="str">
        <f>IF(Prop2021DUOSTariffs!H55="","",Prop2021DUOSTariffs!H55)</f>
        <v>WBIB</v>
      </c>
      <c r="I55" s="1111" t="str">
        <f>IF(Prop2021DUOSTariffs!I55="","",Prop2021DUOSTariffs!I55)</f>
        <v>DUOS</v>
      </c>
      <c r="J55" s="1774">
        <v>1.7669999999999999</v>
      </c>
      <c r="K55" s="1773">
        <v>0</v>
      </c>
      <c r="L55" s="1773">
        <v>0</v>
      </c>
      <c r="M55" s="1773">
        <v>0</v>
      </c>
      <c r="N55" s="1773">
        <v>0</v>
      </c>
      <c r="O55" s="1773">
        <v>0</v>
      </c>
      <c r="P55" s="1773">
        <v>0</v>
      </c>
      <c r="Q55" s="1773">
        <v>0</v>
      </c>
      <c r="R55" s="1773">
        <v>0</v>
      </c>
      <c r="S55" s="1773">
        <v>0</v>
      </c>
      <c r="T55" s="1773">
        <v>0</v>
      </c>
      <c r="U55" s="1773">
        <v>0</v>
      </c>
      <c r="V55" s="1773">
        <v>0</v>
      </c>
      <c r="W55" s="1773">
        <v>0</v>
      </c>
      <c r="X55" s="1773">
        <v>0</v>
      </c>
      <c r="Y55" s="1773">
        <v>0</v>
      </c>
      <c r="Z55" s="1773">
        <v>0</v>
      </c>
      <c r="AA55" s="1773">
        <v>0</v>
      </c>
      <c r="AB55" s="1773">
        <v>0</v>
      </c>
      <c r="AC55" s="1773">
        <v>0</v>
      </c>
      <c r="AD55" s="1773">
        <v>0</v>
      </c>
      <c r="AE55" s="1775">
        <v>0</v>
      </c>
      <c r="AF55" s="1775">
        <v>0</v>
      </c>
      <c r="AG55" s="1775">
        <v>0</v>
      </c>
      <c r="AH55" s="1776">
        <v>7.3043235800344233E-2</v>
      </c>
      <c r="AI55" s="1776">
        <v>0.24281107410788075</v>
      </c>
      <c r="AJ55" s="1776">
        <v>0.348194</v>
      </c>
      <c r="AK55" s="1775">
        <v>0</v>
      </c>
      <c r="AL55" s="1775">
        <v>0</v>
      </c>
      <c r="AM55" s="1775">
        <v>0</v>
      </c>
      <c r="AN55" s="1775">
        <v>0</v>
      </c>
      <c r="AO55" s="1775">
        <v>0</v>
      </c>
      <c r="AP55" s="1775">
        <v>0</v>
      </c>
      <c r="AQ55" s="1775">
        <v>0</v>
      </c>
      <c r="AR55" s="1775">
        <v>0</v>
      </c>
      <c r="AS55" s="1594"/>
      <c r="AT55" s="1233">
        <v>1.767246871333906</v>
      </c>
      <c r="AU55" s="1135"/>
      <c r="AV55" s="1135"/>
      <c r="AW55" s="1135"/>
      <c r="AX55" s="1135"/>
      <c r="AY55" s="1135"/>
      <c r="AZ55" s="1135"/>
      <c r="BA55" s="1135"/>
      <c r="BB55" s="1135"/>
      <c r="BC55" s="1135"/>
      <c r="BD55" s="1135"/>
      <c r="BE55" s="1135"/>
      <c r="BF55" s="1135"/>
      <c r="BG55" s="1135"/>
      <c r="BH55" s="1135"/>
      <c r="BI55" s="1135"/>
      <c r="BJ55" s="1135"/>
      <c r="BK55" s="1135"/>
      <c r="BL55" s="1135"/>
      <c r="BM55" s="1135"/>
      <c r="BN55" s="1135"/>
      <c r="BO55" s="1005"/>
      <c r="BP55" s="1005"/>
      <c r="BQ55" s="1005"/>
      <c r="BR55" s="1596">
        <v>7.3752882857999996E-2</v>
      </c>
      <c r="BS55" s="1596">
        <v>0.22789405944337071</v>
      </c>
      <c r="BT55" s="1596">
        <v>0.35167594000000002</v>
      </c>
      <c r="BU55" s="1005"/>
      <c r="BV55" s="1016"/>
      <c r="BW55" s="1016"/>
      <c r="BX55" s="1016"/>
      <c r="BY55" s="1016"/>
      <c r="BZ55" s="1016"/>
      <c r="CA55" s="1016"/>
      <c r="CB55" s="1016"/>
      <c r="CC55" s="1594"/>
      <c r="CD55" s="1136">
        <f t="shared" si="126"/>
        <v>-1.3969261335844418E-4</v>
      </c>
      <c r="CE55" s="1136">
        <f t="shared" si="127"/>
        <v>0</v>
      </c>
      <c r="CF55" s="1136">
        <f t="shared" si="128"/>
        <v>0</v>
      </c>
      <c r="CG55" s="1136">
        <f t="shared" si="129"/>
        <v>0</v>
      </c>
      <c r="CH55" s="1136">
        <f t="shared" si="130"/>
        <v>0</v>
      </c>
      <c r="CI55" s="1136">
        <f t="shared" si="131"/>
        <v>0</v>
      </c>
      <c r="CJ55" s="1136">
        <f t="shared" si="132"/>
        <v>0</v>
      </c>
      <c r="CK55" s="1136">
        <f t="shared" si="133"/>
        <v>0</v>
      </c>
      <c r="CL55" s="1136">
        <f t="shared" si="134"/>
        <v>0</v>
      </c>
      <c r="CM55" s="1136">
        <f t="shared" si="135"/>
        <v>0</v>
      </c>
      <c r="CN55" s="1136">
        <f t="shared" si="136"/>
        <v>0</v>
      </c>
      <c r="CO55" s="1136">
        <f t="shared" si="137"/>
        <v>0</v>
      </c>
      <c r="CP55" s="1136">
        <f t="shared" si="138"/>
        <v>0</v>
      </c>
      <c r="CQ55" s="1136">
        <f t="shared" si="139"/>
        <v>0</v>
      </c>
      <c r="CR55" s="1136">
        <f t="shared" si="140"/>
        <v>0</v>
      </c>
      <c r="CS55" s="1136">
        <f t="shared" si="141"/>
        <v>0</v>
      </c>
      <c r="CT55" s="1136">
        <f t="shared" si="142"/>
        <v>0</v>
      </c>
      <c r="CU55" s="1136">
        <f t="shared" si="143"/>
        <v>0</v>
      </c>
      <c r="CV55" s="1136">
        <f t="shared" si="144"/>
        <v>0</v>
      </c>
      <c r="CW55" s="1136">
        <f t="shared" si="145"/>
        <v>0</v>
      </c>
      <c r="CX55" s="1136">
        <f t="shared" si="146"/>
        <v>0</v>
      </c>
      <c r="CY55" s="1136">
        <f t="shared" si="147"/>
        <v>0</v>
      </c>
      <c r="CZ55" s="1136">
        <f t="shared" si="148"/>
        <v>0</v>
      </c>
      <c r="DA55" s="1136">
        <f t="shared" si="149"/>
        <v>0</v>
      </c>
      <c r="DB55" s="1136">
        <f t="shared" si="150"/>
        <v>-9.6219568667177402E-3</v>
      </c>
      <c r="DC55" s="1136">
        <f t="shared" si="151"/>
        <v>6.5455917108786066E-2</v>
      </c>
      <c r="DD55" s="1136">
        <f t="shared" si="152"/>
        <v>-9.9009900990099098E-3</v>
      </c>
      <c r="DE55" s="1136">
        <f t="shared" si="153"/>
        <v>0</v>
      </c>
      <c r="DF55" s="1136">
        <f t="shared" si="154"/>
        <v>0</v>
      </c>
      <c r="DG55" s="1136">
        <f t="shared" si="155"/>
        <v>0</v>
      </c>
      <c r="DH55" s="1136">
        <f t="shared" si="156"/>
        <v>0</v>
      </c>
      <c r="DI55" s="1136">
        <f t="shared" si="157"/>
        <v>0</v>
      </c>
      <c r="DJ55" s="1136">
        <f t="shared" si="158"/>
        <v>0</v>
      </c>
      <c r="DK55" s="1136">
        <f t="shared" si="159"/>
        <v>0</v>
      </c>
      <c r="DL55" s="1136">
        <f t="shared" si="160"/>
        <v>0</v>
      </c>
      <c r="DM55" s="1131" t="str">
        <f t="array" ref="DM55">IF(MAX(ABS(CD55:DL55))&gt;$DM$4,"EXPLAIN","")</f>
        <v/>
      </c>
      <c r="DN55" s="1131" t="str">
        <f t="shared" si="115"/>
        <v/>
      </c>
      <c r="DP55" s="1140">
        <f t="shared" ref="DP55:DP71" si="161">COUNTIFS(J55:AR55,"&lt;&gt;"&amp;0)</f>
        <v>4</v>
      </c>
      <c r="DQ55" s="1140">
        <f t="shared" ref="DQ55:DQ71" si="162">COUNTA(AT55:CB55)</f>
        <v>4</v>
      </c>
      <c r="DR55" s="1140" t="str">
        <f t="shared" ref="DR55:DR71" si="163">IF(DP55=DQ55,"ok","xxxx")</f>
        <v>ok</v>
      </c>
    </row>
    <row r="56" spans="2:122" s="1140" customFormat="1">
      <c r="B56" s="1111" t="str">
        <f>IF(Prop2021DUOSTariffs!B56="","",Prop2021DUOSTariffs!B56)</f>
        <v/>
      </c>
      <c r="C56" s="1111" t="str">
        <f>IF(Prop2021DUOSTariffs!C56="","",Prop2021DUOSTariffs!C56)</f>
        <v>MtIsa SAC&lt;20MWhpa Business IBT</v>
      </c>
      <c r="D56" s="1111" t="str">
        <f>IF(Prop2021DUOSTariffs!D56="","",Prop2021DUOSTariffs!D56)</f>
        <v>MtIsa SAC&lt;20MWhpa Business IBT</v>
      </c>
      <c r="E56" s="1111" t="str">
        <f>IF(Prop2021DUOSTariffs!E56="","",Prop2021DUOSTariffs!E56)</f>
        <v>SAC</v>
      </c>
      <c r="F56" s="1111" t="str">
        <f>IF(Prop2021DUOSTariffs!F56="","",Prop2021DUOSTariffs!F56)</f>
        <v>SACS Bus</v>
      </c>
      <c r="G56" s="1111" t="str">
        <f>IF(Prop2021DUOSTariffs!G56="","",Prop2021DUOSTariffs!G56)</f>
        <v>Mt Isa</v>
      </c>
      <c r="H56" s="1111" t="str">
        <f>IF(Prop2021DUOSTariffs!H56="","",Prop2021DUOSTariffs!H56)</f>
        <v>MBIB</v>
      </c>
      <c r="I56" s="1111" t="str">
        <f>IF(Prop2021DUOSTariffs!I56="","",Prop2021DUOSTariffs!I56)</f>
        <v>DUOS</v>
      </c>
      <c r="J56" s="1774">
        <v>1.105</v>
      </c>
      <c r="K56" s="1773">
        <v>0</v>
      </c>
      <c r="L56" s="1773">
        <v>0</v>
      </c>
      <c r="M56" s="1773">
        <v>0</v>
      </c>
      <c r="N56" s="1773">
        <v>0</v>
      </c>
      <c r="O56" s="1773">
        <v>0</v>
      </c>
      <c r="P56" s="1773">
        <v>0</v>
      </c>
      <c r="Q56" s="1773">
        <v>0</v>
      </c>
      <c r="R56" s="1773">
        <v>0</v>
      </c>
      <c r="S56" s="1773">
        <v>0</v>
      </c>
      <c r="T56" s="1773">
        <v>0</v>
      </c>
      <c r="U56" s="1773">
        <v>0</v>
      </c>
      <c r="V56" s="1773">
        <v>0</v>
      </c>
      <c r="W56" s="1773">
        <v>0</v>
      </c>
      <c r="X56" s="1773">
        <v>0</v>
      </c>
      <c r="Y56" s="1773">
        <v>0</v>
      </c>
      <c r="Z56" s="1773">
        <v>0</v>
      </c>
      <c r="AA56" s="1773">
        <v>0</v>
      </c>
      <c r="AB56" s="1773">
        <v>0</v>
      </c>
      <c r="AC56" s="1773">
        <v>0</v>
      </c>
      <c r="AD56" s="1773">
        <v>0</v>
      </c>
      <c r="AE56" s="1775">
        <v>0</v>
      </c>
      <c r="AF56" s="1775">
        <v>0</v>
      </c>
      <c r="AG56" s="1775">
        <v>0</v>
      </c>
      <c r="AH56" s="1776">
        <v>2.5719449225473319E-2</v>
      </c>
      <c r="AI56" s="1776">
        <v>5.4558478279819286E-2</v>
      </c>
      <c r="AJ56" s="1776">
        <v>6.9872500000000004E-2</v>
      </c>
      <c r="AK56" s="1775">
        <v>0</v>
      </c>
      <c r="AL56" s="1775">
        <v>0</v>
      </c>
      <c r="AM56" s="1775">
        <v>0</v>
      </c>
      <c r="AN56" s="1775">
        <v>0</v>
      </c>
      <c r="AO56" s="1775">
        <v>0</v>
      </c>
      <c r="AP56" s="1775">
        <v>0</v>
      </c>
      <c r="AQ56" s="1775">
        <v>0</v>
      </c>
      <c r="AR56" s="1775">
        <v>0</v>
      </c>
      <c r="AS56" s="1594"/>
      <c r="AT56" s="1233">
        <v>1.1045292945836918</v>
      </c>
      <c r="AU56" s="1135"/>
      <c r="AV56" s="1135"/>
      <c r="AW56" s="1135"/>
      <c r="AX56" s="1135"/>
      <c r="AY56" s="1135"/>
      <c r="AZ56" s="1135"/>
      <c r="BA56" s="1135"/>
      <c r="BB56" s="1135"/>
      <c r="BC56" s="1135"/>
      <c r="BD56" s="1135"/>
      <c r="BE56" s="1135"/>
      <c r="BF56" s="1135"/>
      <c r="BG56" s="1135"/>
      <c r="BH56" s="1135"/>
      <c r="BI56" s="1135"/>
      <c r="BJ56" s="1135"/>
      <c r="BK56" s="1135"/>
      <c r="BL56" s="1135"/>
      <c r="BM56" s="1135"/>
      <c r="BN56" s="1135"/>
      <c r="BO56" s="1005"/>
      <c r="BP56" s="1005"/>
      <c r="BQ56" s="1005"/>
      <c r="BR56" s="1596">
        <v>2.5969324949999997E-2</v>
      </c>
      <c r="BS56" s="1596">
        <v>4.9285003172005661E-2</v>
      </c>
      <c r="BT56" s="1596">
        <v>7.0571225000000001E-2</v>
      </c>
      <c r="BU56" s="1005"/>
      <c r="BV56" s="1016"/>
      <c r="BW56" s="1016"/>
      <c r="BX56" s="1016"/>
      <c r="BY56" s="1016"/>
      <c r="BZ56" s="1016"/>
      <c r="CA56" s="1016"/>
      <c r="CB56" s="1016"/>
      <c r="CC56" s="1594"/>
      <c r="CD56" s="1136">
        <f t="shared" si="126"/>
        <v>4.2615928669031966E-4</v>
      </c>
      <c r="CE56" s="1136">
        <f t="shared" si="127"/>
        <v>0</v>
      </c>
      <c r="CF56" s="1136">
        <f t="shared" si="128"/>
        <v>0</v>
      </c>
      <c r="CG56" s="1136">
        <f t="shared" si="129"/>
        <v>0</v>
      </c>
      <c r="CH56" s="1136">
        <f t="shared" si="130"/>
        <v>0</v>
      </c>
      <c r="CI56" s="1136">
        <f t="shared" si="131"/>
        <v>0</v>
      </c>
      <c r="CJ56" s="1136">
        <f t="shared" si="132"/>
        <v>0</v>
      </c>
      <c r="CK56" s="1136">
        <f t="shared" si="133"/>
        <v>0</v>
      </c>
      <c r="CL56" s="1136">
        <f t="shared" si="134"/>
        <v>0</v>
      </c>
      <c r="CM56" s="1136">
        <f t="shared" si="135"/>
        <v>0</v>
      </c>
      <c r="CN56" s="1136">
        <f t="shared" si="136"/>
        <v>0</v>
      </c>
      <c r="CO56" s="1136">
        <f t="shared" si="137"/>
        <v>0</v>
      </c>
      <c r="CP56" s="1136">
        <f t="shared" si="138"/>
        <v>0</v>
      </c>
      <c r="CQ56" s="1136">
        <f t="shared" si="139"/>
        <v>0</v>
      </c>
      <c r="CR56" s="1136">
        <f t="shared" si="140"/>
        <v>0</v>
      </c>
      <c r="CS56" s="1136">
        <f t="shared" si="141"/>
        <v>0</v>
      </c>
      <c r="CT56" s="1136">
        <f t="shared" si="142"/>
        <v>0</v>
      </c>
      <c r="CU56" s="1136">
        <f t="shared" si="143"/>
        <v>0</v>
      </c>
      <c r="CV56" s="1136">
        <f t="shared" si="144"/>
        <v>0</v>
      </c>
      <c r="CW56" s="1136">
        <f t="shared" si="145"/>
        <v>0</v>
      </c>
      <c r="CX56" s="1136">
        <f t="shared" si="146"/>
        <v>0</v>
      </c>
      <c r="CY56" s="1136">
        <f t="shared" si="147"/>
        <v>0</v>
      </c>
      <c r="CZ56" s="1136">
        <f t="shared" si="148"/>
        <v>0</v>
      </c>
      <c r="DA56" s="1136">
        <f t="shared" si="149"/>
        <v>0</v>
      </c>
      <c r="DB56" s="1136">
        <f t="shared" si="150"/>
        <v>-9.6219568667178512E-3</v>
      </c>
      <c r="DC56" s="1136">
        <f t="shared" si="151"/>
        <v>0.10699958949802824</v>
      </c>
      <c r="DD56" s="1136">
        <f t="shared" si="152"/>
        <v>-9.9009900990099098E-3</v>
      </c>
      <c r="DE56" s="1136">
        <f t="shared" si="153"/>
        <v>0</v>
      </c>
      <c r="DF56" s="1136">
        <f t="shared" si="154"/>
        <v>0</v>
      </c>
      <c r="DG56" s="1136">
        <f t="shared" si="155"/>
        <v>0</v>
      </c>
      <c r="DH56" s="1136">
        <f t="shared" si="156"/>
        <v>0</v>
      </c>
      <c r="DI56" s="1136">
        <f t="shared" si="157"/>
        <v>0</v>
      </c>
      <c r="DJ56" s="1136">
        <f t="shared" si="158"/>
        <v>0</v>
      </c>
      <c r="DK56" s="1136">
        <f t="shared" si="159"/>
        <v>0</v>
      </c>
      <c r="DL56" s="1136">
        <f t="shared" si="160"/>
        <v>0</v>
      </c>
      <c r="DM56" s="1131" t="str">
        <f t="array" ref="DM56">IF(MAX(ABS(CD56:DL56))&gt;$DM$4,"EXPLAIN","")</f>
        <v/>
      </c>
      <c r="DN56" s="1131" t="str">
        <f t="shared" si="115"/>
        <v/>
      </c>
      <c r="DP56" s="1140">
        <f t="shared" si="161"/>
        <v>4</v>
      </c>
      <c r="DQ56" s="1140">
        <f t="shared" si="162"/>
        <v>4</v>
      </c>
      <c r="DR56" s="1140" t="str">
        <f t="shared" si="163"/>
        <v>ok</v>
      </c>
    </row>
    <row r="57" spans="2:122" s="1140" customFormat="1">
      <c r="B57" s="1111" t="str">
        <f>IF(Prop2021DUOSTariffs!B57="","",Prop2021DUOSTariffs!B57)</f>
        <v/>
      </c>
      <c r="C57" s="1111" t="str">
        <f>IF(Prop2021DUOSTariffs!C57="","",Prop2021DUOSTariffs!C57)</f>
        <v xml:space="preserve">East Wide Inclining Fixed </v>
      </c>
      <c r="D57" s="1111" t="str">
        <f>IF(Prop2021DUOSTariffs!D57="","",Prop2021DUOSTariffs!D57)</f>
        <v xml:space="preserve">East Wide Inclining Fixed </v>
      </c>
      <c r="E57" s="1111" t="str">
        <f>IF(Prop2021DUOSTariffs!E57="","",Prop2021DUOSTariffs!E57)</f>
        <v>SAC</v>
      </c>
      <c r="F57" s="1111" t="str">
        <f>IF(Prop2021DUOSTariffs!F57="","",Prop2021DUOSTariffs!F57)</f>
        <v>SACS Bus</v>
      </c>
      <c r="G57" s="1111" t="str">
        <f>IF(Prop2021DUOSTariffs!G57="","",Prop2021DUOSTariffs!G57)</f>
        <v>East</v>
      </c>
      <c r="H57" s="1111" t="str">
        <f>IF(Prop2021DUOSTariffs!H57="","",Prop2021DUOSTariffs!H57)</f>
        <v>EBWIF</v>
      </c>
      <c r="I57" s="1111" t="str">
        <f>IF(Prop2021DUOSTariffs!I57="","",Prop2021DUOSTariffs!I57)</f>
        <v>DUOS</v>
      </c>
      <c r="J57" s="1773">
        <v>0</v>
      </c>
      <c r="K57" s="1774">
        <v>0</v>
      </c>
      <c r="L57" s="1774">
        <v>0.502</v>
      </c>
      <c r="M57" s="1774">
        <v>0.752</v>
      </c>
      <c r="N57" s="1774">
        <v>1.002</v>
      </c>
      <c r="O57" s="1774">
        <v>1.252</v>
      </c>
      <c r="P57" s="1773">
        <v>0</v>
      </c>
      <c r="Q57" s="1773">
        <v>0</v>
      </c>
      <c r="R57" s="1773">
        <v>0</v>
      </c>
      <c r="S57" s="1773">
        <v>0</v>
      </c>
      <c r="T57" s="1773">
        <v>0</v>
      </c>
      <c r="U57" s="1773">
        <v>0</v>
      </c>
      <c r="V57" s="1773">
        <v>0</v>
      </c>
      <c r="W57" s="1773">
        <v>0</v>
      </c>
      <c r="X57" s="1773">
        <v>0</v>
      </c>
      <c r="Y57" s="1773">
        <v>0</v>
      </c>
      <c r="Z57" s="1773">
        <v>0</v>
      </c>
      <c r="AA57" s="1773">
        <v>0</v>
      </c>
      <c r="AB57" s="1773">
        <v>0</v>
      </c>
      <c r="AC57" s="1773">
        <v>0</v>
      </c>
      <c r="AD57" s="1773">
        <v>0</v>
      </c>
      <c r="AE57" s="1775">
        <v>0</v>
      </c>
      <c r="AF57" s="1775">
        <v>0</v>
      </c>
      <c r="AG57" s="1776">
        <v>9.2216997982206089E-2</v>
      </c>
      <c r="AH57" s="1775">
        <v>0</v>
      </c>
      <c r="AI57" s="1775">
        <v>0</v>
      </c>
      <c r="AJ57" s="1775">
        <v>0</v>
      </c>
      <c r="AK57" s="1775">
        <v>0</v>
      </c>
      <c r="AL57" s="1775">
        <v>0</v>
      </c>
      <c r="AM57" s="1775">
        <v>0</v>
      </c>
      <c r="AN57" s="1775">
        <v>0</v>
      </c>
      <c r="AO57" s="1775">
        <v>0</v>
      </c>
      <c r="AP57" s="1775">
        <v>0</v>
      </c>
      <c r="AQ57" s="1775">
        <v>0</v>
      </c>
      <c r="AR57" s="1775">
        <v>0</v>
      </c>
      <c r="AS57" s="1594"/>
      <c r="AT57" s="1591"/>
      <c r="AU57" s="1233">
        <v>0</v>
      </c>
      <c r="AV57" s="1233">
        <v>0.50205908515953468</v>
      </c>
      <c r="AW57" s="1233">
        <v>0.75308862773930207</v>
      </c>
      <c r="AX57" s="1233">
        <v>1.0041181703190694</v>
      </c>
      <c r="AY57" s="1233">
        <v>1.2551477128988366</v>
      </c>
      <c r="AZ57" s="1135"/>
      <c r="BA57" s="1135"/>
      <c r="BB57" s="1135"/>
      <c r="BC57" s="1135"/>
      <c r="BD57" s="1135"/>
      <c r="BE57" s="1135"/>
      <c r="BF57" s="1135"/>
      <c r="BG57" s="1135"/>
      <c r="BH57" s="1135"/>
      <c r="BI57" s="1135"/>
      <c r="BJ57" s="1135"/>
      <c r="BK57" s="1135"/>
      <c r="BL57" s="1135"/>
      <c r="BM57" s="1135"/>
      <c r="BN57" s="1135"/>
      <c r="BO57" s="1005"/>
      <c r="BP57" s="1005"/>
      <c r="BQ57" s="1005"/>
      <c r="BR57" s="1005"/>
      <c r="BS57" s="1005"/>
      <c r="BT57" s="1005"/>
      <c r="BU57" s="1005"/>
      <c r="BV57" s="1016"/>
      <c r="BW57" s="1016"/>
      <c r="BX57" s="1016"/>
      <c r="BY57" s="1016"/>
      <c r="BZ57" s="1016"/>
      <c r="CA57" s="1016"/>
      <c r="CB57" s="1016"/>
      <c r="CC57" s="1594"/>
      <c r="CD57" s="1136">
        <f t="shared" si="126"/>
        <v>0</v>
      </c>
      <c r="CE57" s="1136">
        <f t="shared" si="127"/>
        <v>0</v>
      </c>
      <c r="CF57" s="1136">
        <f t="shared" si="128"/>
        <v>-1.1768566943848313E-4</v>
      </c>
      <c r="CG57" s="1136">
        <f t="shared" si="129"/>
        <v>-1.4455506287088804E-3</v>
      </c>
      <c r="CH57" s="1136">
        <f t="shared" si="130"/>
        <v>-2.1094831083440235E-3</v>
      </c>
      <c r="CI57" s="1136">
        <f t="shared" si="131"/>
        <v>-2.5078425961250206E-3</v>
      </c>
      <c r="CJ57" s="1136">
        <f t="shared" si="132"/>
        <v>0</v>
      </c>
      <c r="CK57" s="1136">
        <f t="shared" si="133"/>
        <v>0</v>
      </c>
      <c r="CL57" s="1136">
        <f t="shared" si="134"/>
        <v>0</v>
      </c>
      <c r="CM57" s="1136">
        <f t="shared" si="135"/>
        <v>0</v>
      </c>
      <c r="CN57" s="1136">
        <f t="shared" si="136"/>
        <v>0</v>
      </c>
      <c r="CO57" s="1136">
        <f t="shared" si="137"/>
        <v>0</v>
      </c>
      <c r="CP57" s="1136">
        <f t="shared" si="138"/>
        <v>0</v>
      </c>
      <c r="CQ57" s="1136">
        <f t="shared" si="139"/>
        <v>0</v>
      </c>
      <c r="CR57" s="1136">
        <f t="shared" si="140"/>
        <v>0</v>
      </c>
      <c r="CS57" s="1136">
        <f t="shared" si="141"/>
        <v>0</v>
      </c>
      <c r="CT57" s="1136">
        <f t="shared" si="142"/>
        <v>0</v>
      </c>
      <c r="CU57" s="1136">
        <f t="shared" si="143"/>
        <v>0</v>
      </c>
      <c r="CV57" s="1136">
        <f t="shared" si="144"/>
        <v>0</v>
      </c>
      <c r="CW57" s="1136">
        <f t="shared" si="145"/>
        <v>0</v>
      </c>
      <c r="CX57" s="1136">
        <f t="shared" si="146"/>
        <v>0</v>
      </c>
      <c r="CY57" s="1136">
        <f t="shared" si="147"/>
        <v>0</v>
      </c>
      <c r="CZ57" s="1136">
        <f t="shared" si="148"/>
        <v>0</v>
      </c>
      <c r="DA57" s="1136">
        <f t="shared" si="149"/>
        <v>0</v>
      </c>
      <c r="DB57" s="1136">
        <f t="shared" si="150"/>
        <v>0</v>
      </c>
      <c r="DC57" s="1136">
        <f t="shared" si="151"/>
        <v>0</v>
      </c>
      <c r="DD57" s="1136">
        <f t="shared" si="152"/>
        <v>0</v>
      </c>
      <c r="DE57" s="1136">
        <f t="shared" si="153"/>
        <v>0</v>
      </c>
      <c r="DF57" s="1136">
        <f t="shared" si="154"/>
        <v>0</v>
      </c>
      <c r="DG57" s="1136">
        <f t="shared" si="155"/>
        <v>0</v>
      </c>
      <c r="DH57" s="1136">
        <f t="shared" si="156"/>
        <v>0</v>
      </c>
      <c r="DI57" s="1136">
        <f t="shared" si="157"/>
        <v>0</v>
      </c>
      <c r="DJ57" s="1136">
        <f t="shared" si="158"/>
        <v>0</v>
      </c>
      <c r="DK57" s="1136">
        <f t="shared" si="159"/>
        <v>0</v>
      </c>
      <c r="DL57" s="1136">
        <f t="shared" si="160"/>
        <v>0</v>
      </c>
      <c r="DM57" s="1131" t="str">
        <f t="array" ref="DM57">IF(MAX(ABS(CD57:DL57))&gt;$DM$4,"EXPLAIN","")</f>
        <v/>
      </c>
      <c r="DN57" s="1131" t="str">
        <f t="shared" si="115"/>
        <v/>
      </c>
      <c r="DP57" s="1140">
        <f t="shared" si="161"/>
        <v>5</v>
      </c>
      <c r="DQ57" s="1140">
        <f t="shared" si="162"/>
        <v>5</v>
      </c>
      <c r="DR57" s="1140" t="str">
        <f t="shared" si="163"/>
        <v>ok</v>
      </c>
    </row>
    <row r="58" spans="2:122" s="1140" customFormat="1">
      <c r="B58" s="1111" t="str">
        <f>IF(Prop2021DUOSTariffs!B58="","",Prop2021DUOSTariffs!B58)</f>
        <v/>
      </c>
      <c r="C58" s="1111" t="str">
        <f>IF(Prop2021DUOSTariffs!C58="","",Prop2021DUOSTariffs!C58)</f>
        <v>West Wide Inclining Fixed</v>
      </c>
      <c r="D58" s="1111" t="str">
        <f>IF(Prop2021DUOSTariffs!D58="","",Prop2021DUOSTariffs!D58)</f>
        <v>West Wide Inclining Fixed</v>
      </c>
      <c r="E58" s="1111" t="str">
        <f>IF(Prop2021DUOSTariffs!E58="","",Prop2021DUOSTariffs!E58)</f>
        <v>SAC</v>
      </c>
      <c r="F58" s="1111" t="str">
        <f>IF(Prop2021DUOSTariffs!F58="","",Prop2021DUOSTariffs!F58)</f>
        <v>SACS Bus</v>
      </c>
      <c r="G58" s="1111" t="str">
        <f>IF(Prop2021DUOSTariffs!G58="","",Prop2021DUOSTariffs!G58)</f>
        <v>West</v>
      </c>
      <c r="H58" s="1111" t="str">
        <f>IF(Prop2021DUOSTariffs!H58="","",Prop2021DUOSTariffs!H58)</f>
        <v>WBWIF</v>
      </c>
      <c r="I58" s="1111" t="str">
        <f>IF(Prop2021DUOSTariffs!I58="","",Prop2021DUOSTariffs!I58)</f>
        <v>DUOS</v>
      </c>
      <c r="J58" s="1773">
        <v>0</v>
      </c>
      <c r="K58" s="1774">
        <v>0</v>
      </c>
      <c r="L58" s="1774">
        <v>0.80300000000000005</v>
      </c>
      <c r="M58" s="1774">
        <v>1.5529999999999999</v>
      </c>
      <c r="N58" s="1774">
        <v>2.3029999999999999</v>
      </c>
      <c r="O58" s="1774">
        <v>3.0529999999999999</v>
      </c>
      <c r="P58" s="1773">
        <v>0</v>
      </c>
      <c r="Q58" s="1773">
        <v>0</v>
      </c>
      <c r="R58" s="1773">
        <v>0</v>
      </c>
      <c r="S58" s="1773">
        <v>0</v>
      </c>
      <c r="T58" s="1773">
        <v>0</v>
      </c>
      <c r="U58" s="1773">
        <v>0</v>
      </c>
      <c r="V58" s="1773">
        <v>0</v>
      </c>
      <c r="W58" s="1773">
        <v>0</v>
      </c>
      <c r="X58" s="1773">
        <v>0</v>
      </c>
      <c r="Y58" s="1773">
        <v>0</v>
      </c>
      <c r="Z58" s="1773">
        <v>0</v>
      </c>
      <c r="AA58" s="1773">
        <v>0</v>
      </c>
      <c r="AB58" s="1773">
        <v>0</v>
      </c>
      <c r="AC58" s="1773">
        <v>0</v>
      </c>
      <c r="AD58" s="1773">
        <v>0</v>
      </c>
      <c r="AE58" s="1775">
        <v>0</v>
      </c>
      <c r="AF58" s="1775">
        <v>0</v>
      </c>
      <c r="AG58" s="1776">
        <v>0.30527393458745494</v>
      </c>
      <c r="AH58" s="1775">
        <v>0</v>
      </c>
      <c r="AI58" s="1775">
        <v>0</v>
      </c>
      <c r="AJ58" s="1775">
        <v>0</v>
      </c>
      <c r="AK58" s="1775">
        <v>0</v>
      </c>
      <c r="AL58" s="1775">
        <v>0</v>
      </c>
      <c r="AM58" s="1775">
        <v>0</v>
      </c>
      <c r="AN58" s="1775">
        <v>0</v>
      </c>
      <c r="AO58" s="1775">
        <v>0</v>
      </c>
      <c r="AP58" s="1775">
        <v>0</v>
      </c>
      <c r="AQ58" s="1775">
        <v>0</v>
      </c>
      <c r="AR58" s="1775">
        <v>0</v>
      </c>
      <c r="AS58" s="1594"/>
      <c r="AT58" s="1591"/>
      <c r="AU58" s="1233">
        <v>0</v>
      </c>
      <c r="AV58" s="1233">
        <v>0.80329403242450281</v>
      </c>
      <c r="AW58" s="1233">
        <v>1.5563821878224742</v>
      </c>
      <c r="AX58" s="1233">
        <v>2.3094703432204451</v>
      </c>
      <c r="AY58" s="1233">
        <v>3.0625584986184164</v>
      </c>
      <c r="AZ58" s="1135"/>
      <c r="BA58" s="1135"/>
      <c r="BB58" s="1135"/>
      <c r="BC58" s="1135"/>
      <c r="BD58" s="1135"/>
      <c r="BE58" s="1135"/>
      <c r="BF58" s="1135"/>
      <c r="BG58" s="1135"/>
      <c r="BH58" s="1135"/>
      <c r="BI58" s="1135"/>
      <c r="BJ58" s="1135"/>
      <c r="BK58" s="1135"/>
      <c r="BL58" s="1135"/>
      <c r="BM58" s="1135"/>
      <c r="BN58" s="1135"/>
      <c r="BO58" s="1005"/>
      <c r="BP58" s="1005"/>
      <c r="BQ58" s="1005"/>
      <c r="BR58" s="1005"/>
      <c r="BS58" s="1005"/>
      <c r="BT58" s="1005"/>
      <c r="BU58" s="1005"/>
      <c r="BV58" s="1016"/>
      <c r="BW58" s="1016"/>
      <c r="BX58" s="1016"/>
      <c r="BY58" s="1016"/>
      <c r="BZ58" s="1016"/>
      <c r="CA58" s="1016"/>
      <c r="CB58" s="1016"/>
      <c r="CC58" s="1594"/>
      <c r="CD58" s="1136">
        <f t="shared" si="126"/>
        <v>0</v>
      </c>
      <c r="CE58" s="1136">
        <f t="shared" si="127"/>
        <v>0</v>
      </c>
      <c r="CF58" s="1136">
        <f t="shared" si="128"/>
        <v>-3.6603337337803854E-4</v>
      </c>
      <c r="CG58" s="1136">
        <f t="shared" si="129"/>
        <v>-2.1731087961153195E-3</v>
      </c>
      <c r="CH58" s="1136">
        <f t="shared" si="130"/>
        <v>-2.8016567692411565E-3</v>
      </c>
      <c r="CI58" s="1136">
        <f t="shared" si="131"/>
        <v>-3.1210827883707548E-3</v>
      </c>
      <c r="CJ58" s="1136">
        <f t="shared" si="132"/>
        <v>0</v>
      </c>
      <c r="CK58" s="1136">
        <f t="shared" si="133"/>
        <v>0</v>
      </c>
      <c r="CL58" s="1136">
        <f t="shared" si="134"/>
        <v>0</v>
      </c>
      <c r="CM58" s="1136">
        <f t="shared" si="135"/>
        <v>0</v>
      </c>
      <c r="CN58" s="1136">
        <f t="shared" si="136"/>
        <v>0</v>
      </c>
      <c r="CO58" s="1136">
        <f t="shared" si="137"/>
        <v>0</v>
      </c>
      <c r="CP58" s="1136">
        <f t="shared" si="138"/>
        <v>0</v>
      </c>
      <c r="CQ58" s="1136">
        <f t="shared" si="139"/>
        <v>0</v>
      </c>
      <c r="CR58" s="1136">
        <f t="shared" si="140"/>
        <v>0</v>
      </c>
      <c r="CS58" s="1136">
        <f t="shared" si="141"/>
        <v>0</v>
      </c>
      <c r="CT58" s="1136">
        <f t="shared" si="142"/>
        <v>0</v>
      </c>
      <c r="CU58" s="1136">
        <f t="shared" si="143"/>
        <v>0</v>
      </c>
      <c r="CV58" s="1136">
        <f t="shared" si="144"/>
        <v>0</v>
      </c>
      <c r="CW58" s="1136">
        <f t="shared" si="145"/>
        <v>0</v>
      </c>
      <c r="CX58" s="1136">
        <f t="shared" si="146"/>
        <v>0</v>
      </c>
      <c r="CY58" s="1136">
        <f t="shared" si="147"/>
        <v>0</v>
      </c>
      <c r="CZ58" s="1136">
        <f t="shared" si="148"/>
        <v>0</v>
      </c>
      <c r="DA58" s="1136">
        <f t="shared" si="149"/>
        <v>0</v>
      </c>
      <c r="DB58" s="1136">
        <f t="shared" si="150"/>
        <v>0</v>
      </c>
      <c r="DC58" s="1136">
        <f t="shared" si="151"/>
        <v>0</v>
      </c>
      <c r="DD58" s="1136">
        <f t="shared" si="152"/>
        <v>0</v>
      </c>
      <c r="DE58" s="1136">
        <f t="shared" si="153"/>
        <v>0</v>
      </c>
      <c r="DF58" s="1136">
        <f t="shared" si="154"/>
        <v>0</v>
      </c>
      <c r="DG58" s="1136">
        <f t="shared" si="155"/>
        <v>0</v>
      </c>
      <c r="DH58" s="1136">
        <f t="shared" si="156"/>
        <v>0</v>
      </c>
      <c r="DI58" s="1136">
        <f t="shared" si="157"/>
        <v>0</v>
      </c>
      <c r="DJ58" s="1136">
        <f t="shared" si="158"/>
        <v>0</v>
      </c>
      <c r="DK58" s="1136">
        <f t="shared" si="159"/>
        <v>0</v>
      </c>
      <c r="DL58" s="1136">
        <f t="shared" si="160"/>
        <v>0</v>
      </c>
      <c r="DM58" s="1131" t="str">
        <f t="array" ref="DM58">IF(MAX(ABS(CD58:DL58))&gt;$DM$4,"EXPLAIN","")</f>
        <v/>
      </c>
      <c r="DN58" s="1131" t="str">
        <f t="shared" si="115"/>
        <v/>
      </c>
      <c r="DP58" s="1140">
        <f t="shared" si="161"/>
        <v>5</v>
      </c>
      <c r="DQ58" s="1140">
        <f t="shared" si="162"/>
        <v>5</v>
      </c>
      <c r="DR58" s="1140" t="str">
        <f t="shared" si="163"/>
        <v>ok</v>
      </c>
    </row>
    <row r="59" spans="2:122" s="1140" customFormat="1">
      <c r="B59" s="1111" t="str">
        <f>IF(Prop2021DUOSTariffs!B59="","",Prop2021DUOSTariffs!B59)</f>
        <v/>
      </c>
      <c r="C59" s="1111" t="str">
        <f>IF(Prop2021DUOSTariffs!C59="","",Prop2021DUOSTariffs!C59)</f>
        <v>MtIsa Wide Inclining Fixed</v>
      </c>
      <c r="D59" s="1111" t="str">
        <f>IF(Prop2021DUOSTariffs!D59="","",Prop2021DUOSTariffs!D59)</f>
        <v>MtIsa Wide Inclining Fixed</v>
      </c>
      <c r="E59" s="1111" t="str">
        <f>IF(Prop2021DUOSTariffs!E59="","",Prop2021DUOSTariffs!E59)</f>
        <v>SAC</v>
      </c>
      <c r="F59" s="1111" t="str">
        <f>IF(Prop2021DUOSTariffs!F59="","",Prop2021DUOSTariffs!F59)</f>
        <v>SACS Bus</v>
      </c>
      <c r="G59" s="1111" t="str">
        <f>IF(Prop2021DUOSTariffs!G59="","",Prop2021DUOSTariffs!G59)</f>
        <v>Mt Isa</v>
      </c>
      <c r="H59" s="1111" t="str">
        <f>IF(Prop2021DUOSTariffs!H59="","",Prop2021DUOSTariffs!H59)</f>
        <v>MBWIF</v>
      </c>
      <c r="I59" s="1111" t="str">
        <f>IF(Prop2021DUOSTariffs!I59="","",Prop2021DUOSTariffs!I59)</f>
        <v>DUOS</v>
      </c>
      <c r="J59" s="1773">
        <v>0</v>
      </c>
      <c r="K59" s="1774">
        <v>0</v>
      </c>
      <c r="L59" s="1774">
        <v>0.502</v>
      </c>
      <c r="M59" s="1774">
        <v>0.60199999999999998</v>
      </c>
      <c r="N59" s="1774">
        <v>0.70199999999999996</v>
      </c>
      <c r="O59" s="1774">
        <v>0.80199999999999994</v>
      </c>
      <c r="P59" s="1773">
        <v>0</v>
      </c>
      <c r="Q59" s="1773">
        <v>0</v>
      </c>
      <c r="R59" s="1773">
        <v>0</v>
      </c>
      <c r="S59" s="1773">
        <v>0</v>
      </c>
      <c r="T59" s="1773">
        <v>0</v>
      </c>
      <c r="U59" s="1773">
        <v>0</v>
      </c>
      <c r="V59" s="1773">
        <v>0</v>
      </c>
      <c r="W59" s="1773">
        <v>0</v>
      </c>
      <c r="X59" s="1773">
        <v>0</v>
      </c>
      <c r="Y59" s="1773">
        <v>0</v>
      </c>
      <c r="Z59" s="1773">
        <v>0</v>
      </c>
      <c r="AA59" s="1773">
        <v>0</v>
      </c>
      <c r="AB59" s="1773">
        <v>0</v>
      </c>
      <c r="AC59" s="1773">
        <v>0</v>
      </c>
      <c r="AD59" s="1773">
        <v>0</v>
      </c>
      <c r="AE59" s="1775">
        <v>0</v>
      </c>
      <c r="AF59" s="1775">
        <v>0</v>
      </c>
      <c r="AG59" s="1776">
        <v>6.7172418798812944E-2</v>
      </c>
      <c r="AH59" s="1775">
        <v>0</v>
      </c>
      <c r="AI59" s="1775">
        <v>0</v>
      </c>
      <c r="AJ59" s="1775">
        <v>0</v>
      </c>
      <c r="AK59" s="1775">
        <v>0</v>
      </c>
      <c r="AL59" s="1775">
        <v>0</v>
      </c>
      <c r="AM59" s="1775">
        <v>0</v>
      </c>
      <c r="AN59" s="1775">
        <v>0</v>
      </c>
      <c r="AO59" s="1775">
        <v>0</v>
      </c>
      <c r="AP59" s="1775">
        <v>0</v>
      </c>
      <c r="AQ59" s="1775">
        <v>0</v>
      </c>
      <c r="AR59" s="1775">
        <v>0</v>
      </c>
      <c r="AS59" s="1594"/>
      <c r="AT59" s="1591"/>
      <c r="AU59" s="1233">
        <v>0</v>
      </c>
      <c r="AV59" s="1233">
        <v>0.50205877026531442</v>
      </c>
      <c r="AW59" s="1233">
        <v>0.60247052431837733</v>
      </c>
      <c r="AX59" s="1233">
        <v>0.70288227837144013</v>
      </c>
      <c r="AY59" s="1233">
        <v>0.80329403242450304</v>
      </c>
      <c r="AZ59" s="1135"/>
      <c r="BA59" s="1135"/>
      <c r="BB59" s="1135"/>
      <c r="BC59" s="1135"/>
      <c r="BD59" s="1135"/>
      <c r="BE59" s="1135"/>
      <c r="BF59" s="1135"/>
      <c r="BG59" s="1135"/>
      <c r="BH59" s="1135"/>
      <c r="BI59" s="1135"/>
      <c r="BJ59" s="1135"/>
      <c r="BK59" s="1135"/>
      <c r="BL59" s="1135"/>
      <c r="BM59" s="1135"/>
      <c r="BN59" s="1135"/>
      <c r="BO59" s="1005"/>
      <c r="BP59" s="1005"/>
      <c r="BQ59" s="1005"/>
      <c r="BR59" s="1005"/>
      <c r="BS59" s="1005"/>
      <c r="BT59" s="1005"/>
      <c r="BU59" s="1005"/>
      <c r="BV59" s="1016"/>
      <c r="BW59" s="1016"/>
      <c r="BX59" s="1016"/>
      <c r="BY59" s="1016"/>
      <c r="BZ59" s="1016"/>
      <c r="CA59" s="1016"/>
      <c r="CB59" s="1016"/>
      <c r="CC59" s="1594"/>
      <c r="CD59" s="1136">
        <f t="shared" si="126"/>
        <v>0</v>
      </c>
      <c r="CE59" s="1136">
        <f t="shared" si="127"/>
        <v>0</v>
      </c>
      <c r="CF59" s="1136">
        <f t="shared" si="128"/>
        <v>-1.1705853735677341E-4</v>
      </c>
      <c r="CG59" s="1136">
        <f t="shared" si="129"/>
        <v>-7.8099143341447963E-4</v>
      </c>
      <c r="CH59" s="1136">
        <f t="shared" si="130"/>
        <v>-1.2552292163126033E-3</v>
      </c>
      <c r="CI59" s="1136">
        <f t="shared" si="131"/>
        <v>-1.6109075534862516E-3</v>
      </c>
      <c r="CJ59" s="1136">
        <f t="shared" si="132"/>
        <v>0</v>
      </c>
      <c r="CK59" s="1136">
        <f t="shared" si="133"/>
        <v>0</v>
      </c>
      <c r="CL59" s="1136">
        <f t="shared" si="134"/>
        <v>0</v>
      </c>
      <c r="CM59" s="1136">
        <f t="shared" si="135"/>
        <v>0</v>
      </c>
      <c r="CN59" s="1136">
        <f t="shared" si="136"/>
        <v>0</v>
      </c>
      <c r="CO59" s="1136">
        <f t="shared" si="137"/>
        <v>0</v>
      </c>
      <c r="CP59" s="1136">
        <f t="shared" si="138"/>
        <v>0</v>
      </c>
      <c r="CQ59" s="1136">
        <f t="shared" si="139"/>
        <v>0</v>
      </c>
      <c r="CR59" s="1136">
        <f t="shared" si="140"/>
        <v>0</v>
      </c>
      <c r="CS59" s="1136">
        <f t="shared" si="141"/>
        <v>0</v>
      </c>
      <c r="CT59" s="1136">
        <f t="shared" si="142"/>
        <v>0</v>
      </c>
      <c r="CU59" s="1136">
        <f t="shared" si="143"/>
        <v>0</v>
      </c>
      <c r="CV59" s="1136">
        <f t="shared" si="144"/>
        <v>0</v>
      </c>
      <c r="CW59" s="1136">
        <f t="shared" si="145"/>
        <v>0</v>
      </c>
      <c r="CX59" s="1136">
        <f t="shared" si="146"/>
        <v>0</v>
      </c>
      <c r="CY59" s="1136">
        <f t="shared" si="147"/>
        <v>0</v>
      </c>
      <c r="CZ59" s="1136">
        <f t="shared" si="148"/>
        <v>0</v>
      </c>
      <c r="DA59" s="1136">
        <f t="shared" si="149"/>
        <v>0</v>
      </c>
      <c r="DB59" s="1136">
        <f t="shared" si="150"/>
        <v>0</v>
      </c>
      <c r="DC59" s="1136">
        <f t="shared" si="151"/>
        <v>0</v>
      </c>
      <c r="DD59" s="1136">
        <f t="shared" si="152"/>
        <v>0</v>
      </c>
      <c r="DE59" s="1136">
        <f t="shared" si="153"/>
        <v>0</v>
      </c>
      <c r="DF59" s="1136">
        <f t="shared" si="154"/>
        <v>0</v>
      </c>
      <c r="DG59" s="1136">
        <f t="shared" si="155"/>
        <v>0</v>
      </c>
      <c r="DH59" s="1136">
        <f t="shared" si="156"/>
        <v>0</v>
      </c>
      <c r="DI59" s="1136">
        <f t="shared" si="157"/>
        <v>0</v>
      </c>
      <c r="DJ59" s="1136">
        <f t="shared" si="158"/>
        <v>0</v>
      </c>
      <c r="DK59" s="1136">
        <f t="shared" si="159"/>
        <v>0</v>
      </c>
      <c r="DL59" s="1136">
        <f t="shared" si="160"/>
        <v>0</v>
      </c>
      <c r="DM59" s="1131" t="str">
        <f t="array" ref="DM59">IF(MAX(ABS(CD59:DL59))&gt;$DM$4,"EXPLAIN","")</f>
        <v/>
      </c>
      <c r="DN59" s="1131" t="str">
        <f t="shared" si="115"/>
        <v/>
      </c>
      <c r="DP59" s="1140">
        <f t="shared" si="161"/>
        <v>5</v>
      </c>
      <c r="DQ59" s="1140">
        <f t="shared" si="162"/>
        <v>5</v>
      </c>
      <c r="DR59" s="1140" t="str">
        <f t="shared" si="163"/>
        <v>ok</v>
      </c>
    </row>
    <row r="60" spans="2:122" s="1140" customFormat="1">
      <c r="B60" s="1111" t="str">
        <f>IF(Prop2021DUOSTariffs!B60="","",Prop2021DUOSTariffs!B60)</f>
        <v/>
      </c>
      <c r="C60" s="1111" t="str">
        <f>IF(Prop2021DUOSTariffs!C60="","",Prop2021DUOSTariffs!C60)</f>
        <v>East SAC&lt;100MWhpa Business TOU Energy</v>
      </c>
      <c r="D60" s="1111" t="str">
        <f>IF(Prop2021DUOSTariffs!D60="","",Prop2021DUOSTariffs!D60)</f>
        <v>East SAC&lt;100MWhpa Business TOU Energy</v>
      </c>
      <c r="E60" s="1111" t="str">
        <f>IF(Prop2021DUOSTariffs!E60="","",Prop2021DUOSTariffs!E60)</f>
        <v>SAC</v>
      </c>
      <c r="F60" s="1111" t="str">
        <f>IF(Prop2021DUOSTariffs!F60="","",Prop2021DUOSTariffs!F60)</f>
        <v>SACS Bus</v>
      </c>
      <c r="G60" s="1111" t="str">
        <f>IF(Prop2021DUOSTariffs!G60="","",Prop2021DUOSTariffs!G60)</f>
        <v>East</v>
      </c>
      <c r="H60" s="1111" t="str">
        <f>IF(Prop2021DUOSTariffs!H60="","",Prop2021DUOSTariffs!H60)</f>
        <v>EBTOUE</v>
      </c>
      <c r="I60" s="1111" t="str">
        <f>IF(Prop2021DUOSTariffs!I60="","",Prop2021DUOSTariffs!I60)</f>
        <v>DUOS</v>
      </c>
      <c r="J60" s="1773">
        <v>0</v>
      </c>
      <c r="K60" s="1774">
        <v>1</v>
      </c>
      <c r="L60" s="1774">
        <v>1.25</v>
      </c>
      <c r="M60" s="1774">
        <v>1.5</v>
      </c>
      <c r="N60" s="1774">
        <v>1.75</v>
      </c>
      <c r="O60" s="1774">
        <v>2</v>
      </c>
      <c r="P60" s="1773">
        <v>0</v>
      </c>
      <c r="Q60" s="1773">
        <v>0</v>
      </c>
      <c r="R60" s="1773">
        <v>0</v>
      </c>
      <c r="S60" s="1773">
        <v>0</v>
      </c>
      <c r="T60" s="1773">
        <v>0</v>
      </c>
      <c r="U60" s="1773">
        <v>0</v>
      </c>
      <c r="V60" s="1773">
        <v>0</v>
      </c>
      <c r="W60" s="1773">
        <v>0</v>
      </c>
      <c r="X60" s="1773">
        <v>0</v>
      </c>
      <c r="Y60" s="1773">
        <v>0</v>
      </c>
      <c r="Z60" s="1773">
        <v>0</v>
      </c>
      <c r="AA60" s="1773">
        <v>0</v>
      </c>
      <c r="AB60" s="1773">
        <v>0</v>
      </c>
      <c r="AC60" s="1773">
        <v>0</v>
      </c>
      <c r="AD60" s="1773">
        <v>0</v>
      </c>
      <c r="AE60" s="1775">
        <v>0</v>
      </c>
      <c r="AF60" s="1775">
        <v>0</v>
      </c>
      <c r="AG60" s="1775">
        <v>0</v>
      </c>
      <c r="AH60" s="1775">
        <v>0</v>
      </c>
      <c r="AI60" s="1775">
        <v>0</v>
      </c>
      <c r="AJ60" s="1775">
        <v>0</v>
      </c>
      <c r="AK60" s="1776">
        <v>0.24679005473138274</v>
      </c>
      <c r="AL60" s="1776">
        <v>4.7395134798197097E-2</v>
      </c>
      <c r="AM60" s="1776">
        <v>1.8320965190146712E-2</v>
      </c>
      <c r="AN60" s="1775">
        <v>0</v>
      </c>
      <c r="AO60" s="1775">
        <v>0</v>
      </c>
      <c r="AP60" s="1775">
        <v>0</v>
      </c>
      <c r="AQ60" s="1775">
        <v>0</v>
      </c>
      <c r="AR60" s="1775">
        <v>0</v>
      </c>
      <c r="AS60" s="1594"/>
      <c r="AT60" s="1591"/>
      <c r="AU60" s="1233">
        <v>1.0041181703190694</v>
      </c>
      <c r="AV60" s="1233">
        <v>1.2551477128988366</v>
      </c>
      <c r="AW60" s="1233">
        <v>1.5061772554786041</v>
      </c>
      <c r="AX60" s="1233">
        <v>1.7572067980583714</v>
      </c>
      <c r="AY60" s="1233">
        <v>2.0082363406381387</v>
      </c>
      <c r="AZ60" s="1135"/>
      <c r="BA60" s="1135"/>
      <c r="BB60" s="1135"/>
      <c r="BC60" s="1135"/>
      <c r="BD60" s="1135"/>
      <c r="BE60" s="1135"/>
      <c r="BF60" s="1135"/>
      <c r="BG60" s="1135"/>
      <c r="BH60" s="1135"/>
      <c r="BI60" s="1135"/>
      <c r="BJ60" s="1135"/>
      <c r="BK60" s="1135"/>
      <c r="BL60" s="1135"/>
      <c r="BM60" s="1135"/>
      <c r="BN60" s="1135"/>
      <c r="BO60" s="1005"/>
      <c r="BP60" s="1005"/>
      <c r="BQ60" s="1005"/>
      <c r="BR60" s="1005"/>
      <c r="BS60" s="1005"/>
      <c r="BT60" s="1005"/>
      <c r="BU60" s="1596">
        <v>0.24638269745700001</v>
      </c>
      <c r="BV60" s="1596">
        <v>4.1671561171466982E-2</v>
      </c>
      <c r="BW60" s="1596">
        <v>1.7547899507412895E-2</v>
      </c>
      <c r="BX60" s="1016"/>
      <c r="BY60" s="1016"/>
      <c r="BZ60" s="1016"/>
      <c r="CA60" s="1016"/>
      <c r="CB60" s="1016"/>
      <c r="CC60" s="1594"/>
      <c r="CD60" s="1136">
        <f t="shared" si="126"/>
        <v>0</v>
      </c>
      <c r="CE60" s="1136">
        <f t="shared" si="127"/>
        <v>-4.1012805472494529E-3</v>
      </c>
      <c r="CF60" s="1136">
        <f t="shared" si="128"/>
        <v>-4.1012805472494529E-3</v>
      </c>
      <c r="CG60" s="1136">
        <f t="shared" si="129"/>
        <v>-4.1012805472495639E-3</v>
      </c>
      <c r="CH60" s="1136">
        <f t="shared" si="130"/>
        <v>-4.1012805472495639E-3</v>
      </c>
      <c r="CI60" s="1136">
        <f t="shared" si="131"/>
        <v>-4.1012805472494529E-3</v>
      </c>
      <c r="CJ60" s="1136">
        <f t="shared" si="132"/>
        <v>0</v>
      </c>
      <c r="CK60" s="1136">
        <f t="shared" si="133"/>
        <v>0</v>
      </c>
      <c r="CL60" s="1136">
        <f t="shared" si="134"/>
        <v>0</v>
      </c>
      <c r="CM60" s="1136">
        <f t="shared" si="135"/>
        <v>0</v>
      </c>
      <c r="CN60" s="1136">
        <f t="shared" si="136"/>
        <v>0</v>
      </c>
      <c r="CO60" s="1136">
        <f t="shared" si="137"/>
        <v>0</v>
      </c>
      <c r="CP60" s="1136">
        <f t="shared" si="138"/>
        <v>0</v>
      </c>
      <c r="CQ60" s="1136">
        <f t="shared" si="139"/>
        <v>0</v>
      </c>
      <c r="CR60" s="1136">
        <f t="shared" si="140"/>
        <v>0</v>
      </c>
      <c r="CS60" s="1136">
        <f t="shared" si="141"/>
        <v>0</v>
      </c>
      <c r="CT60" s="1136">
        <f t="shared" si="142"/>
        <v>0</v>
      </c>
      <c r="CU60" s="1136">
        <f t="shared" si="143"/>
        <v>0</v>
      </c>
      <c r="CV60" s="1136">
        <f t="shared" si="144"/>
        <v>0</v>
      </c>
      <c r="CW60" s="1136">
        <f t="shared" si="145"/>
        <v>0</v>
      </c>
      <c r="CX60" s="1136">
        <f t="shared" si="146"/>
        <v>0</v>
      </c>
      <c r="CY60" s="1136">
        <f t="shared" si="147"/>
        <v>0</v>
      </c>
      <c r="CZ60" s="1136">
        <f t="shared" si="148"/>
        <v>0</v>
      </c>
      <c r="DA60" s="1136">
        <f t="shared" si="149"/>
        <v>0</v>
      </c>
      <c r="DB60" s="1136">
        <f t="shared" si="150"/>
        <v>0</v>
      </c>
      <c r="DC60" s="1136">
        <f t="shared" si="151"/>
        <v>0</v>
      </c>
      <c r="DD60" s="1136">
        <f t="shared" si="152"/>
        <v>0</v>
      </c>
      <c r="DE60" s="1136">
        <f t="shared" si="153"/>
        <v>1.6533517920991336E-3</v>
      </c>
      <c r="DF60" s="1136">
        <f t="shared" si="154"/>
        <v>0.13734963283902868</v>
      </c>
      <c r="DG60" s="1136">
        <f t="shared" si="155"/>
        <v>4.4054599378532178E-2</v>
      </c>
      <c r="DH60" s="1136">
        <f t="shared" si="156"/>
        <v>0</v>
      </c>
      <c r="DI60" s="1136">
        <f t="shared" si="157"/>
        <v>0</v>
      </c>
      <c r="DJ60" s="1136">
        <f t="shared" si="158"/>
        <v>0</v>
      </c>
      <c r="DK60" s="1136">
        <f t="shared" si="159"/>
        <v>0</v>
      </c>
      <c r="DL60" s="1136">
        <f t="shared" si="160"/>
        <v>0</v>
      </c>
      <c r="DM60" s="1131" t="str">
        <f t="array" ref="DM60">IF(MAX(ABS(CD60:DL60))&gt;$DM$4,"EXPLAIN","")</f>
        <v/>
      </c>
      <c r="DN60" s="1131" t="str">
        <f t="shared" si="115"/>
        <v/>
      </c>
      <c r="DP60" s="1140">
        <f t="shared" si="161"/>
        <v>8</v>
      </c>
      <c r="DQ60" s="1140">
        <f t="shared" si="162"/>
        <v>8</v>
      </c>
      <c r="DR60" s="1140" t="str">
        <f t="shared" si="163"/>
        <v>ok</v>
      </c>
    </row>
    <row r="61" spans="2:122" s="1140" customFormat="1">
      <c r="B61" s="1111" t="str">
        <f>IF(Prop2021DUOSTariffs!B61="","",Prop2021DUOSTariffs!B61)</f>
        <v/>
      </c>
      <c r="C61" s="1111" t="str">
        <f>IF(Prop2021DUOSTariffs!C61="","",Prop2021DUOSTariffs!C61)</f>
        <v>West SAC&lt;100MWhpa Business TOU Energy</v>
      </c>
      <c r="D61" s="1111" t="str">
        <f>IF(Prop2021DUOSTariffs!D61="","",Prop2021DUOSTariffs!D61)</f>
        <v>West SAC&lt;100MWhpa Business TOU Energy</v>
      </c>
      <c r="E61" s="1111" t="str">
        <f>IF(Prop2021DUOSTariffs!E61="","",Prop2021DUOSTariffs!E61)</f>
        <v>SAC</v>
      </c>
      <c r="F61" s="1111" t="str">
        <f>IF(Prop2021DUOSTariffs!F61="","",Prop2021DUOSTariffs!F61)</f>
        <v>SACS Bus</v>
      </c>
      <c r="G61" s="1111" t="str">
        <f>IF(Prop2021DUOSTariffs!G61="","",Prop2021DUOSTariffs!G61)</f>
        <v>West</v>
      </c>
      <c r="H61" s="1111" t="str">
        <f>IF(Prop2021DUOSTariffs!H61="","",Prop2021DUOSTariffs!H61)</f>
        <v>WBTOUE</v>
      </c>
      <c r="I61" s="1111" t="str">
        <f>IF(Prop2021DUOSTariffs!I61="","",Prop2021DUOSTariffs!I61)</f>
        <v>DUOS</v>
      </c>
      <c r="J61" s="1773">
        <v>0</v>
      </c>
      <c r="K61" s="1774">
        <v>1.5</v>
      </c>
      <c r="L61" s="1774">
        <v>2.25</v>
      </c>
      <c r="M61" s="1774">
        <v>3</v>
      </c>
      <c r="N61" s="1774">
        <v>3.75</v>
      </c>
      <c r="O61" s="1774">
        <v>4.5</v>
      </c>
      <c r="P61" s="1773">
        <v>0</v>
      </c>
      <c r="Q61" s="1773">
        <v>0</v>
      </c>
      <c r="R61" s="1773">
        <v>0</v>
      </c>
      <c r="S61" s="1773">
        <v>0</v>
      </c>
      <c r="T61" s="1773">
        <v>0</v>
      </c>
      <c r="U61" s="1773">
        <v>0</v>
      </c>
      <c r="V61" s="1773">
        <v>0</v>
      </c>
      <c r="W61" s="1773">
        <v>0</v>
      </c>
      <c r="X61" s="1773">
        <v>0</v>
      </c>
      <c r="Y61" s="1773">
        <v>0</v>
      </c>
      <c r="Z61" s="1773">
        <v>0</v>
      </c>
      <c r="AA61" s="1773">
        <v>0</v>
      </c>
      <c r="AB61" s="1773">
        <v>0</v>
      </c>
      <c r="AC61" s="1773">
        <v>0</v>
      </c>
      <c r="AD61" s="1773">
        <v>0</v>
      </c>
      <c r="AE61" s="1775">
        <v>0</v>
      </c>
      <c r="AF61" s="1775">
        <v>0</v>
      </c>
      <c r="AG61" s="1775">
        <v>0</v>
      </c>
      <c r="AH61" s="1775">
        <v>0</v>
      </c>
      <c r="AI61" s="1775">
        <v>0</v>
      </c>
      <c r="AJ61" s="1775">
        <v>0</v>
      </c>
      <c r="AK61" s="1776">
        <v>0.63227055096819307</v>
      </c>
      <c r="AL61" s="1776">
        <v>0.2498989203170171</v>
      </c>
      <c r="AM61" s="1776">
        <v>5.2301328836840716E-2</v>
      </c>
      <c r="AN61" s="1775">
        <v>0</v>
      </c>
      <c r="AO61" s="1775">
        <v>0</v>
      </c>
      <c r="AP61" s="1775">
        <v>0</v>
      </c>
      <c r="AQ61" s="1775">
        <v>0</v>
      </c>
      <c r="AR61" s="1775">
        <v>0</v>
      </c>
      <c r="AS61" s="1594"/>
      <c r="AT61" s="1591"/>
      <c r="AU61" s="1233">
        <v>1.5061763107959427</v>
      </c>
      <c r="AV61" s="1233">
        <v>2.2592644661939141</v>
      </c>
      <c r="AW61" s="1233">
        <v>3.0123526215918854</v>
      </c>
      <c r="AX61" s="1233">
        <v>3.7654407769898564</v>
      </c>
      <c r="AY61" s="1233">
        <v>4.5185289323878282</v>
      </c>
      <c r="AZ61" s="1135"/>
      <c r="BA61" s="1135"/>
      <c r="BB61" s="1135"/>
      <c r="BC61" s="1135"/>
      <c r="BD61" s="1135"/>
      <c r="BE61" s="1135"/>
      <c r="BF61" s="1135"/>
      <c r="BG61" s="1135"/>
      <c r="BH61" s="1135"/>
      <c r="BI61" s="1135"/>
      <c r="BJ61" s="1135"/>
      <c r="BK61" s="1135"/>
      <c r="BL61" s="1135"/>
      <c r="BM61" s="1135"/>
      <c r="BN61" s="1135"/>
      <c r="BO61" s="1005"/>
      <c r="BP61" s="1005"/>
      <c r="BQ61" s="1005"/>
      <c r="BR61" s="1005"/>
      <c r="BS61" s="1005"/>
      <c r="BT61" s="1005"/>
      <c r="BU61" s="1596">
        <v>0.63121754106899997</v>
      </c>
      <c r="BV61" s="1596">
        <v>0.23512079086461996</v>
      </c>
      <c r="BW61" s="1596">
        <v>5.1155180132469953E-2</v>
      </c>
      <c r="BX61" s="1016"/>
      <c r="BY61" s="1016"/>
      <c r="BZ61" s="1016"/>
      <c r="CA61" s="1016"/>
      <c r="CB61" s="1016"/>
      <c r="CC61" s="1594"/>
      <c r="CD61" s="1136">
        <f t="shared" si="126"/>
        <v>0</v>
      </c>
      <c r="CE61" s="1136">
        <f t="shared" si="127"/>
        <v>-4.1006559137016785E-3</v>
      </c>
      <c r="CF61" s="1136">
        <f t="shared" si="128"/>
        <v>-4.1006559137016785E-3</v>
      </c>
      <c r="CG61" s="1136">
        <f t="shared" si="129"/>
        <v>-4.1006559137016785E-3</v>
      </c>
      <c r="CH61" s="1136">
        <f t="shared" si="130"/>
        <v>-4.1006559137015675E-3</v>
      </c>
      <c r="CI61" s="1136">
        <f t="shared" si="131"/>
        <v>-4.1006559137016785E-3</v>
      </c>
      <c r="CJ61" s="1136">
        <f t="shared" si="132"/>
        <v>0</v>
      </c>
      <c r="CK61" s="1136">
        <f t="shared" si="133"/>
        <v>0</v>
      </c>
      <c r="CL61" s="1136">
        <f t="shared" si="134"/>
        <v>0</v>
      </c>
      <c r="CM61" s="1136">
        <f t="shared" si="135"/>
        <v>0</v>
      </c>
      <c r="CN61" s="1136">
        <f t="shared" si="136"/>
        <v>0</v>
      </c>
      <c r="CO61" s="1136">
        <f t="shared" si="137"/>
        <v>0</v>
      </c>
      <c r="CP61" s="1136">
        <f t="shared" si="138"/>
        <v>0</v>
      </c>
      <c r="CQ61" s="1136">
        <f t="shared" si="139"/>
        <v>0</v>
      </c>
      <c r="CR61" s="1136">
        <f t="shared" si="140"/>
        <v>0</v>
      </c>
      <c r="CS61" s="1136">
        <f t="shared" si="141"/>
        <v>0</v>
      </c>
      <c r="CT61" s="1136">
        <f t="shared" si="142"/>
        <v>0</v>
      </c>
      <c r="CU61" s="1136">
        <f t="shared" si="143"/>
        <v>0</v>
      </c>
      <c r="CV61" s="1136">
        <f t="shared" si="144"/>
        <v>0</v>
      </c>
      <c r="CW61" s="1136">
        <f t="shared" si="145"/>
        <v>0</v>
      </c>
      <c r="CX61" s="1136">
        <f t="shared" si="146"/>
        <v>0</v>
      </c>
      <c r="CY61" s="1136">
        <f t="shared" si="147"/>
        <v>0</v>
      </c>
      <c r="CZ61" s="1136">
        <f t="shared" si="148"/>
        <v>0</v>
      </c>
      <c r="DA61" s="1136">
        <f t="shared" si="149"/>
        <v>0</v>
      </c>
      <c r="DB61" s="1136">
        <f t="shared" si="150"/>
        <v>0</v>
      </c>
      <c r="DC61" s="1136">
        <f t="shared" si="151"/>
        <v>0</v>
      </c>
      <c r="DD61" s="1136">
        <f t="shared" si="152"/>
        <v>0</v>
      </c>
      <c r="DE61" s="1136">
        <f t="shared" si="153"/>
        <v>1.6682202738056429E-3</v>
      </c>
      <c r="DF61" s="1136">
        <f t="shared" si="154"/>
        <v>6.2853350390890128E-2</v>
      </c>
      <c r="DG61" s="1136">
        <f t="shared" si="155"/>
        <v>2.2405330240314436E-2</v>
      </c>
      <c r="DH61" s="1136">
        <f t="shared" si="156"/>
        <v>0</v>
      </c>
      <c r="DI61" s="1136">
        <f t="shared" si="157"/>
        <v>0</v>
      </c>
      <c r="DJ61" s="1136">
        <f t="shared" si="158"/>
        <v>0</v>
      </c>
      <c r="DK61" s="1136">
        <f t="shared" si="159"/>
        <v>0</v>
      </c>
      <c r="DL61" s="1136">
        <f t="shared" si="160"/>
        <v>0</v>
      </c>
      <c r="DM61" s="1131" t="str">
        <f t="array" ref="DM61">IF(MAX(ABS(CD61:DL61))&gt;$DM$4,"EXPLAIN","")</f>
        <v/>
      </c>
      <c r="DN61" s="1131" t="str">
        <f t="shared" si="115"/>
        <v/>
      </c>
      <c r="DP61" s="1140">
        <f t="shared" si="161"/>
        <v>8</v>
      </c>
      <c r="DQ61" s="1140">
        <f t="shared" si="162"/>
        <v>8</v>
      </c>
      <c r="DR61" s="1140" t="str">
        <f t="shared" si="163"/>
        <v>ok</v>
      </c>
    </row>
    <row r="62" spans="2:122" s="1140" customFormat="1">
      <c r="B62" s="1111" t="str">
        <f>IF(Prop2021DUOSTariffs!B62="","",Prop2021DUOSTariffs!B62)</f>
        <v/>
      </c>
      <c r="C62" s="1111" t="str">
        <f>IF(Prop2021DUOSTariffs!C62="","",Prop2021DUOSTariffs!C62)</f>
        <v>MtIsa SAC&lt;100MWhpa Business TOU Energy</v>
      </c>
      <c r="D62" s="1111" t="str">
        <f>IF(Prop2021DUOSTariffs!D62="","",Prop2021DUOSTariffs!D62)</f>
        <v>MtIsa SAC&lt;100MWhpa Business TOU Energy</v>
      </c>
      <c r="E62" s="1111" t="str">
        <f>IF(Prop2021DUOSTariffs!E62="","",Prop2021DUOSTariffs!E62)</f>
        <v>SAC</v>
      </c>
      <c r="F62" s="1111" t="str">
        <f>IF(Prop2021DUOSTariffs!F62="","",Prop2021DUOSTariffs!F62)</f>
        <v>SACS Bus</v>
      </c>
      <c r="G62" s="1111" t="str">
        <f>IF(Prop2021DUOSTariffs!G62="","",Prop2021DUOSTariffs!G62)</f>
        <v>Mt Isa</v>
      </c>
      <c r="H62" s="1111" t="str">
        <f>IF(Prop2021DUOSTariffs!H62="","",Prop2021DUOSTariffs!H62)</f>
        <v>MBTOUE</v>
      </c>
      <c r="I62" s="1111" t="str">
        <f>IF(Prop2021DUOSTariffs!I62="","",Prop2021DUOSTariffs!I62)</f>
        <v>DUOS</v>
      </c>
      <c r="J62" s="1773">
        <v>0</v>
      </c>
      <c r="K62" s="1774">
        <v>1</v>
      </c>
      <c r="L62" s="1774">
        <v>1.25</v>
      </c>
      <c r="M62" s="1774">
        <v>1.5</v>
      </c>
      <c r="N62" s="1774">
        <v>1.75</v>
      </c>
      <c r="O62" s="1774">
        <v>2</v>
      </c>
      <c r="P62" s="1773">
        <v>0</v>
      </c>
      <c r="Q62" s="1773">
        <v>0</v>
      </c>
      <c r="R62" s="1773">
        <v>0</v>
      </c>
      <c r="S62" s="1773">
        <v>0</v>
      </c>
      <c r="T62" s="1773">
        <v>0</v>
      </c>
      <c r="U62" s="1773">
        <v>0</v>
      </c>
      <c r="V62" s="1773">
        <v>0</v>
      </c>
      <c r="W62" s="1773">
        <v>0</v>
      </c>
      <c r="X62" s="1773">
        <v>0</v>
      </c>
      <c r="Y62" s="1773">
        <v>0</v>
      </c>
      <c r="Z62" s="1773">
        <v>0</v>
      </c>
      <c r="AA62" s="1773">
        <v>0</v>
      </c>
      <c r="AB62" s="1773">
        <v>0</v>
      </c>
      <c r="AC62" s="1773">
        <v>0</v>
      </c>
      <c r="AD62" s="1773">
        <v>0</v>
      </c>
      <c r="AE62" s="1775">
        <v>0</v>
      </c>
      <c r="AF62" s="1775">
        <v>0</v>
      </c>
      <c r="AG62" s="1775">
        <v>0</v>
      </c>
      <c r="AH62" s="1775">
        <v>0</v>
      </c>
      <c r="AI62" s="1775">
        <v>0</v>
      </c>
      <c r="AJ62" s="1775">
        <v>0</v>
      </c>
      <c r="AK62" s="1776">
        <v>0.18490723314965996</v>
      </c>
      <c r="AL62" s="1776">
        <v>2.9522000000000003E-2</v>
      </c>
      <c r="AM62" s="1776">
        <v>1.8850797997973373E-2</v>
      </c>
      <c r="AN62" s="1775">
        <v>0</v>
      </c>
      <c r="AO62" s="1775">
        <v>0</v>
      </c>
      <c r="AP62" s="1775">
        <v>0</v>
      </c>
      <c r="AQ62" s="1775">
        <v>0</v>
      </c>
      <c r="AR62" s="1775">
        <v>0</v>
      </c>
      <c r="AS62" s="1594"/>
      <c r="AT62" s="1591"/>
      <c r="AU62" s="1233">
        <v>1.0041175405306288</v>
      </c>
      <c r="AV62" s="1233">
        <v>1.2551469256632861</v>
      </c>
      <c r="AW62" s="1233">
        <v>1.5061763107959432</v>
      </c>
      <c r="AX62" s="1233">
        <v>1.7572056959286004</v>
      </c>
      <c r="AY62" s="1233">
        <v>2.0082350810612577</v>
      </c>
      <c r="AZ62" s="1135"/>
      <c r="BA62" s="1135"/>
      <c r="BB62" s="1135"/>
      <c r="BC62" s="1135"/>
      <c r="BD62" s="1135"/>
      <c r="BE62" s="1135"/>
      <c r="BF62" s="1135"/>
      <c r="BG62" s="1135"/>
      <c r="BH62" s="1135"/>
      <c r="BI62" s="1135"/>
      <c r="BJ62" s="1135"/>
      <c r="BK62" s="1135"/>
      <c r="BL62" s="1135"/>
      <c r="BM62" s="1135"/>
      <c r="BN62" s="1135"/>
      <c r="BO62" s="1005"/>
      <c r="BP62" s="1005"/>
      <c r="BQ62" s="1005"/>
      <c r="BR62" s="1005"/>
      <c r="BS62" s="1005"/>
      <c r="BT62" s="1005"/>
      <c r="BU62" s="1596">
        <v>0.18460239863413089</v>
      </c>
      <c r="BV62" s="1596">
        <v>2.7550000000000002E-2</v>
      </c>
      <c r="BW62" s="1596">
        <v>1.832697032330894E-2</v>
      </c>
      <c r="BX62" s="1016"/>
      <c r="BY62" s="1016"/>
      <c r="BZ62" s="1016"/>
      <c r="CA62" s="1016"/>
      <c r="CB62" s="1016"/>
      <c r="CC62" s="1594"/>
      <c r="CD62" s="1136">
        <f t="shared" si="126"/>
        <v>0</v>
      </c>
      <c r="CE62" s="1136">
        <f t="shared" si="127"/>
        <v>-4.1006559137020115E-3</v>
      </c>
      <c r="CF62" s="1136">
        <f t="shared" si="128"/>
        <v>-4.1006559137020115E-3</v>
      </c>
      <c r="CG62" s="1136">
        <f t="shared" si="129"/>
        <v>-4.1006559137019005E-3</v>
      </c>
      <c r="CH62" s="1136">
        <f t="shared" si="130"/>
        <v>-4.1006559137020115E-3</v>
      </c>
      <c r="CI62" s="1136">
        <f t="shared" si="131"/>
        <v>-4.1006559137020115E-3</v>
      </c>
      <c r="CJ62" s="1136">
        <f t="shared" si="132"/>
        <v>0</v>
      </c>
      <c r="CK62" s="1136">
        <f t="shared" si="133"/>
        <v>0</v>
      </c>
      <c r="CL62" s="1136">
        <f t="shared" si="134"/>
        <v>0</v>
      </c>
      <c r="CM62" s="1136">
        <f t="shared" si="135"/>
        <v>0</v>
      </c>
      <c r="CN62" s="1136">
        <f t="shared" si="136"/>
        <v>0</v>
      </c>
      <c r="CO62" s="1136">
        <f t="shared" si="137"/>
        <v>0</v>
      </c>
      <c r="CP62" s="1136">
        <f t="shared" si="138"/>
        <v>0</v>
      </c>
      <c r="CQ62" s="1136">
        <f t="shared" si="139"/>
        <v>0</v>
      </c>
      <c r="CR62" s="1136">
        <f t="shared" si="140"/>
        <v>0</v>
      </c>
      <c r="CS62" s="1136">
        <f t="shared" si="141"/>
        <v>0</v>
      </c>
      <c r="CT62" s="1136">
        <f t="shared" si="142"/>
        <v>0</v>
      </c>
      <c r="CU62" s="1136">
        <f t="shared" si="143"/>
        <v>0</v>
      </c>
      <c r="CV62" s="1136">
        <f t="shared" si="144"/>
        <v>0</v>
      </c>
      <c r="CW62" s="1136">
        <f t="shared" si="145"/>
        <v>0</v>
      </c>
      <c r="CX62" s="1136">
        <f t="shared" si="146"/>
        <v>0</v>
      </c>
      <c r="CY62" s="1136">
        <f t="shared" si="147"/>
        <v>0</v>
      </c>
      <c r="CZ62" s="1136">
        <f t="shared" si="148"/>
        <v>0</v>
      </c>
      <c r="DA62" s="1136">
        <f t="shared" si="149"/>
        <v>0</v>
      </c>
      <c r="DB62" s="1136">
        <f t="shared" si="150"/>
        <v>0</v>
      </c>
      <c r="DC62" s="1136">
        <f t="shared" si="151"/>
        <v>0</v>
      </c>
      <c r="DD62" s="1136">
        <f t="shared" si="152"/>
        <v>0</v>
      </c>
      <c r="DE62" s="1136">
        <f t="shared" si="153"/>
        <v>1.6513031129852251E-3</v>
      </c>
      <c r="DF62" s="1136">
        <f t="shared" si="154"/>
        <v>7.1578947368421186E-2</v>
      </c>
      <c r="DG62" s="1136">
        <f t="shared" si="155"/>
        <v>2.858233878396188E-2</v>
      </c>
      <c r="DH62" s="1136">
        <f t="shared" si="156"/>
        <v>0</v>
      </c>
      <c r="DI62" s="1136">
        <f t="shared" si="157"/>
        <v>0</v>
      </c>
      <c r="DJ62" s="1136">
        <f t="shared" si="158"/>
        <v>0</v>
      </c>
      <c r="DK62" s="1136">
        <f t="shared" si="159"/>
        <v>0</v>
      </c>
      <c r="DL62" s="1136">
        <f t="shared" si="160"/>
        <v>0</v>
      </c>
      <c r="DM62" s="1131" t="str">
        <f t="array" ref="DM62">IF(MAX(ABS(CD62:DL62))&gt;$DM$4,"EXPLAIN","")</f>
        <v/>
      </c>
      <c r="DN62" s="1131" t="str">
        <f t="shared" si="115"/>
        <v/>
      </c>
      <c r="DP62" s="1140">
        <f t="shared" si="161"/>
        <v>8</v>
      </c>
      <c r="DQ62" s="1140">
        <f t="shared" si="162"/>
        <v>8</v>
      </c>
      <c r="DR62" s="1140" t="str">
        <f t="shared" si="163"/>
        <v>ok</v>
      </c>
    </row>
    <row r="63" spans="2:122" s="1140" customFormat="1">
      <c r="B63" s="1111" t="str">
        <f>IF(Prop2021DUOSTariffs!B63="","",Prop2021DUOSTariffs!B63)</f>
        <v/>
      </c>
      <c r="C63" s="1111" t="str">
        <f>IF(Prop2021DUOSTariffs!C63="","",Prop2021DUOSTariffs!C63)</f>
        <v>East SAC&lt;100MWhpa Business TOU Transitional Demand</v>
      </c>
      <c r="D63" s="1111" t="str">
        <f>IF(Prop2021DUOSTariffs!D63="","",Prop2021DUOSTariffs!D63)</f>
        <v>East SAC&lt;100MWhpa Business TOU Transitional Demand</v>
      </c>
      <c r="E63" s="1111" t="str">
        <f>IF(Prop2021DUOSTariffs!E63="","",Prop2021DUOSTariffs!E63)</f>
        <v>SAC</v>
      </c>
      <c r="F63" s="1111" t="str">
        <f>IF(Prop2021DUOSTariffs!F63="","",Prop2021DUOSTariffs!F63)</f>
        <v>SACS Bus</v>
      </c>
      <c r="G63" s="1111" t="str">
        <f>IF(Prop2021DUOSTariffs!G63="","",Prop2021DUOSTariffs!G63)</f>
        <v>East</v>
      </c>
      <c r="H63" s="1111" t="str">
        <f>IF(Prop2021DUOSTariffs!H63="","",Prop2021DUOSTariffs!H63)</f>
        <v>EBTDEM</v>
      </c>
      <c r="I63" s="1111" t="str">
        <f>IF(Prop2021DUOSTariffs!I63="","",Prop2021DUOSTariffs!I63)</f>
        <v>DUOS</v>
      </c>
      <c r="J63" s="1774">
        <v>1</v>
      </c>
      <c r="K63" s="1773">
        <v>0</v>
      </c>
      <c r="L63" s="1773">
        <v>0</v>
      </c>
      <c r="M63" s="1773">
        <v>0</v>
      </c>
      <c r="N63" s="1773">
        <v>0</v>
      </c>
      <c r="O63" s="1773">
        <v>0</v>
      </c>
      <c r="P63" s="1773">
        <v>0</v>
      </c>
      <c r="Q63" s="1773">
        <v>0</v>
      </c>
      <c r="R63" s="1773">
        <v>0</v>
      </c>
      <c r="S63" s="1773">
        <v>0</v>
      </c>
      <c r="T63" s="1773">
        <v>0</v>
      </c>
      <c r="U63" s="1773">
        <v>0</v>
      </c>
      <c r="V63" s="1773">
        <v>0</v>
      </c>
      <c r="W63" s="1773">
        <v>0</v>
      </c>
      <c r="X63" s="1773">
        <v>0</v>
      </c>
      <c r="Y63" s="1773">
        <v>0</v>
      </c>
      <c r="Z63" s="1774">
        <v>0.3525858400253542</v>
      </c>
      <c r="AA63" s="1773">
        <v>0</v>
      </c>
      <c r="AB63" s="1773">
        <v>0</v>
      </c>
      <c r="AC63" s="1773">
        <v>0</v>
      </c>
      <c r="AD63" s="1773">
        <v>0</v>
      </c>
      <c r="AE63" s="1775">
        <v>0</v>
      </c>
      <c r="AF63" s="1775">
        <v>0</v>
      </c>
      <c r="AG63" s="1776">
        <v>6.7243882197805444E-2</v>
      </c>
      <c r="AH63" s="1775">
        <v>0</v>
      </c>
      <c r="AI63" s="1775">
        <v>0</v>
      </c>
      <c r="AJ63" s="1775">
        <v>0</v>
      </c>
      <c r="AK63" s="1775">
        <v>0</v>
      </c>
      <c r="AL63" s="1775">
        <v>0</v>
      </c>
      <c r="AM63" s="1775">
        <v>0</v>
      </c>
      <c r="AN63" s="1775">
        <v>0</v>
      </c>
      <c r="AO63" s="1775">
        <v>0</v>
      </c>
      <c r="AP63" s="1775">
        <v>0</v>
      </c>
      <c r="AQ63" s="1775">
        <v>0</v>
      </c>
      <c r="AR63" s="1775">
        <v>0</v>
      </c>
      <c r="AS63" s="1594"/>
      <c r="AT63" s="1233">
        <v>1</v>
      </c>
      <c r="AU63" s="1135"/>
      <c r="AV63" s="1135"/>
      <c r="AW63" s="1135"/>
      <c r="AX63" s="1135"/>
      <c r="AY63" s="1135"/>
      <c r="AZ63" s="1135"/>
      <c r="BA63" s="1135"/>
      <c r="BB63" s="1135"/>
      <c r="BC63" s="1135"/>
      <c r="BD63" s="1135"/>
      <c r="BE63" s="1135"/>
      <c r="BF63" s="1135"/>
      <c r="BG63" s="1135"/>
      <c r="BH63" s="1135"/>
      <c r="BI63" s="1135"/>
      <c r="BJ63" s="1233">
        <v>0.35154000000000002</v>
      </c>
      <c r="BK63" s="1135"/>
      <c r="BL63" s="1135"/>
      <c r="BM63" s="1135"/>
      <c r="BN63" s="1135"/>
      <c r="BO63" s="1005"/>
      <c r="BP63" s="1005"/>
      <c r="BQ63" s="1596">
        <v>6.414711199561092E-2</v>
      </c>
      <c r="BR63" s="1005"/>
      <c r="BS63" s="1005"/>
      <c r="BT63" s="1005"/>
      <c r="BU63" s="1005"/>
      <c r="BV63" s="1016"/>
      <c r="BW63" s="1016"/>
      <c r="BX63" s="1016"/>
      <c r="BY63" s="1016"/>
      <c r="BZ63" s="1016"/>
      <c r="CA63" s="1016"/>
      <c r="CB63" s="1016"/>
      <c r="CC63" s="1594"/>
      <c r="CD63" s="1136">
        <f t="shared" si="126"/>
        <v>0</v>
      </c>
      <c r="CE63" s="1136">
        <f t="shared" si="127"/>
        <v>0</v>
      </c>
      <c r="CF63" s="1136">
        <f t="shared" si="128"/>
        <v>0</v>
      </c>
      <c r="CG63" s="1136">
        <f t="shared" si="129"/>
        <v>0</v>
      </c>
      <c r="CH63" s="1136">
        <f t="shared" si="130"/>
        <v>0</v>
      </c>
      <c r="CI63" s="1136">
        <f t="shared" si="131"/>
        <v>0</v>
      </c>
      <c r="CJ63" s="1136">
        <f t="shared" si="132"/>
        <v>0</v>
      </c>
      <c r="CK63" s="1136">
        <f t="shared" si="133"/>
        <v>0</v>
      </c>
      <c r="CL63" s="1136">
        <f t="shared" si="134"/>
        <v>0</v>
      </c>
      <c r="CM63" s="1136">
        <f t="shared" si="135"/>
        <v>0</v>
      </c>
      <c r="CN63" s="1136">
        <f t="shared" si="136"/>
        <v>0</v>
      </c>
      <c r="CO63" s="1136">
        <f t="shared" si="137"/>
        <v>0</v>
      </c>
      <c r="CP63" s="1136">
        <f t="shared" si="138"/>
        <v>0</v>
      </c>
      <c r="CQ63" s="1136">
        <f t="shared" si="139"/>
        <v>0</v>
      </c>
      <c r="CR63" s="1136">
        <f t="shared" si="140"/>
        <v>0</v>
      </c>
      <c r="CS63" s="1136">
        <f t="shared" si="141"/>
        <v>0</v>
      </c>
      <c r="CT63" s="1136">
        <f t="shared" si="142"/>
        <v>2.9750242514483549E-3</v>
      </c>
      <c r="CU63" s="1136">
        <f t="shared" si="143"/>
        <v>0</v>
      </c>
      <c r="CV63" s="1136">
        <f t="shared" si="144"/>
        <v>0</v>
      </c>
      <c r="CW63" s="1136">
        <f t="shared" si="145"/>
        <v>0</v>
      </c>
      <c r="CX63" s="1136">
        <f t="shared" si="146"/>
        <v>0</v>
      </c>
      <c r="CY63" s="1136">
        <f t="shared" si="147"/>
        <v>0</v>
      </c>
      <c r="CZ63" s="1136">
        <f t="shared" si="148"/>
        <v>0</v>
      </c>
      <c r="DA63" s="1136">
        <f t="shared" si="149"/>
        <v>4.8276065840757054E-2</v>
      </c>
      <c r="DB63" s="1136">
        <f t="shared" si="150"/>
        <v>0</v>
      </c>
      <c r="DC63" s="1136">
        <f t="shared" si="151"/>
        <v>0</v>
      </c>
      <c r="DD63" s="1136">
        <f t="shared" si="152"/>
        <v>0</v>
      </c>
      <c r="DE63" s="1136">
        <f t="shared" si="153"/>
        <v>0</v>
      </c>
      <c r="DF63" s="1136">
        <f t="shared" si="154"/>
        <v>0</v>
      </c>
      <c r="DG63" s="1136">
        <f t="shared" si="155"/>
        <v>0</v>
      </c>
      <c r="DH63" s="1136">
        <f t="shared" si="156"/>
        <v>0</v>
      </c>
      <c r="DI63" s="1136">
        <f t="shared" si="157"/>
        <v>0</v>
      </c>
      <c r="DJ63" s="1136">
        <f t="shared" si="158"/>
        <v>0</v>
      </c>
      <c r="DK63" s="1136">
        <f t="shared" si="159"/>
        <v>0</v>
      </c>
      <c r="DL63" s="1136">
        <f t="shared" si="160"/>
        <v>0</v>
      </c>
      <c r="DM63" s="1131" t="str">
        <f t="array" ref="DM63">IF(MAX(ABS(CD63:DL63))&gt;$DM$4,"EXPLAIN","")</f>
        <v/>
      </c>
      <c r="DN63" s="1131" t="str">
        <f t="shared" si="115"/>
        <v/>
      </c>
      <c r="DP63" s="1140">
        <f t="shared" si="161"/>
        <v>3</v>
      </c>
      <c r="DQ63" s="1140">
        <f t="shared" si="162"/>
        <v>3</v>
      </c>
      <c r="DR63" s="1140" t="str">
        <f t="shared" si="163"/>
        <v>ok</v>
      </c>
    </row>
    <row r="64" spans="2:122" s="1140" customFormat="1">
      <c r="B64" s="1111" t="str">
        <f>IF(Prop2021DUOSTariffs!B64="","",Prop2021DUOSTariffs!B64)</f>
        <v/>
      </c>
      <c r="C64" s="1111" t="str">
        <f>IF(Prop2021DUOSTariffs!C64="","",Prop2021DUOSTariffs!C64)</f>
        <v>West SAC&lt;100MWhpa Business TOU Transitional Demand</v>
      </c>
      <c r="D64" s="1111" t="str">
        <f>IF(Prop2021DUOSTariffs!D64="","",Prop2021DUOSTariffs!D64)</f>
        <v>West SAC&lt;100MWhpa Business TOU Transitional Demand</v>
      </c>
      <c r="E64" s="1111" t="str">
        <f>IF(Prop2021DUOSTariffs!E64="","",Prop2021DUOSTariffs!E64)</f>
        <v>SAC</v>
      </c>
      <c r="F64" s="1111" t="str">
        <f>IF(Prop2021DUOSTariffs!F64="","",Prop2021DUOSTariffs!F64)</f>
        <v>SACS Bus</v>
      </c>
      <c r="G64" s="1111" t="str">
        <f>IF(Prop2021DUOSTariffs!G64="","",Prop2021DUOSTariffs!G64)</f>
        <v>West</v>
      </c>
      <c r="H64" s="1111" t="str">
        <f>IF(Prop2021DUOSTariffs!H64="","",Prop2021DUOSTariffs!H64)</f>
        <v>WBTDEM</v>
      </c>
      <c r="I64" s="1111" t="str">
        <f>IF(Prop2021DUOSTariffs!I64="","",Prop2021DUOSTariffs!I64)</f>
        <v>DUOS</v>
      </c>
      <c r="J64" s="1774">
        <v>1.5</v>
      </c>
      <c r="K64" s="1773">
        <v>0</v>
      </c>
      <c r="L64" s="1773">
        <v>0</v>
      </c>
      <c r="M64" s="1773">
        <v>0</v>
      </c>
      <c r="N64" s="1773">
        <v>0</v>
      </c>
      <c r="O64" s="1773">
        <v>0</v>
      </c>
      <c r="P64" s="1773">
        <v>0</v>
      </c>
      <c r="Q64" s="1773">
        <v>0</v>
      </c>
      <c r="R64" s="1773">
        <v>0</v>
      </c>
      <c r="S64" s="1773">
        <v>0</v>
      </c>
      <c r="T64" s="1773">
        <v>0</v>
      </c>
      <c r="U64" s="1773">
        <v>0</v>
      </c>
      <c r="V64" s="1773">
        <v>0</v>
      </c>
      <c r="W64" s="1773">
        <v>0</v>
      </c>
      <c r="X64" s="1773">
        <v>0</v>
      </c>
      <c r="Y64" s="1773">
        <v>0</v>
      </c>
      <c r="Z64" s="1774">
        <v>0.86744129960783134</v>
      </c>
      <c r="AA64" s="1773">
        <v>0</v>
      </c>
      <c r="AB64" s="1773">
        <v>0</v>
      </c>
      <c r="AC64" s="1773">
        <v>0</v>
      </c>
      <c r="AD64" s="1773">
        <v>0</v>
      </c>
      <c r="AE64" s="1775">
        <v>0</v>
      </c>
      <c r="AF64" s="1775">
        <v>0</v>
      </c>
      <c r="AG64" s="1776">
        <v>0.22705075726125276</v>
      </c>
      <c r="AH64" s="1775">
        <v>0</v>
      </c>
      <c r="AI64" s="1775">
        <v>0</v>
      </c>
      <c r="AJ64" s="1775">
        <v>0</v>
      </c>
      <c r="AK64" s="1775">
        <v>0</v>
      </c>
      <c r="AL64" s="1775">
        <v>0</v>
      </c>
      <c r="AM64" s="1775">
        <v>0</v>
      </c>
      <c r="AN64" s="1775">
        <v>0</v>
      </c>
      <c r="AO64" s="1775">
        <v>0</v>
      </c>
      <c r="AP64" s="1775">
        <v>0</v>
      </c>
      <c r="AQ64" s="1775">
        <v>0</v>
      </c>
      <c r="AR64" s="1775">
        <v>0</v>
      </c>
      <c r="AS64" s="1594"/>
      <c r="AT64" s="1233">
        <v>1.5</v>
      </c>
      <c r="AU64" s="1135"/>
      <c r="AV64" s="1135"/>
      <c r="AW64" s="1135"/>
      <c r="AX64" s="1135"/>
      <c r="AY64" s="1135"/>
      <c r="AZ64" s="1135"/>
      <c r="BA64" s="1135"/>
      <c r="BB64" s="1135"/>
      <c r="BC64" s="1135"/>
      <c r="BD64" s="1135"/>
      <c r="BE64" s="1135"/>
      <c r="BF64" s="1135"/>
      <c r="BG64" s="1135"/>
      <c r="BH64" s="1135"/>
      <c r="BI64" s="1135"/>
      <c r="BJ64" s="1233">
        <v>0.86625000000000008</v>
      </c>
      <c r="BK64" s="1135"/>
      <c r="BL64" s="1135"/>
      <c r="BM64" s="1135"/>
      <c r="BN64" s="1135"/>
      <c r="BO64" s="1005"/>
      <c r="BP64" s="1005"/>
      <c r="BQ64" s="1596">
        <v>0.22017672119827889</v>
      </c>
      <c r="BR64" s="1005"/>
      <c r="BS64" s="1005"/>
      <c r="BT64" s="1005"/>
      <c r="BU64" s="1005"/>
      <c r="BV64" s="1016"/>
      <c r="BW64" s="1016"/>
      <c r="BX64" s="1016"/>
      <c r="BY64" s="1016"/>
      <c r="BZ64" s="1016"/>
      <c r="CA64" s="1016"/>
      <c r="CB64" s="1016"/>
      <c r="CC64" s="1594"/>
      <c r="CD64" s="1136">
        <f t="shared" si="126"/>
        <v>0</v>
      </c>
      <c r="CE64" s="1136">
        <f t="shared" si="127"/>
        <v>0</v>
      </c>
      <c r="CF64" s="1136">
        <f t="shared" si="128"/>
        <v>0</v>
      </c>
      <c r="CG64" s="1136">
        <f t="shared" si="129"/>
        <v>0</v>
      </c>
      <c r="CH64" s="1136">
        <f t="shared" si="130"/>
        <v>0</v>
      </c>
      <c r="CI64" s="1136">
        <f t="shared" si="131"/>
        <v>0</v>
      </c>
      <c r="CJ64" s="1136">
        <f t="shared" si="132"/>
        <v>0</v>
      </c>
      <c r="CK64" s="1136">
        <f t="shared" si="133"/>
        <v>0</v>
      </c>
      <c r="CL64" s="1136">
        <f t="shared" si="134"/>
        <v>0</v>
      </c>
      <c r="CM64" s="1136">
        <f t="shared" si="135"/>
        <v>0</v>
      </c>
      <c r="CN64" s="1136">
        <f t="shared" si="136"/>
        <v>0</v>
      </c>
      <c r="CO64" s="1136">
        <f t="shared" si="137"/>
        <v>0</v>
      </c>
      <c r="CP64" s="1136">
        <f t="shared" si="138"/>
        <v>0</v>
      </c>
      <c r="CQ64" s="1136">
        <f t="shared" si="139"/>
        <v>0</v>
      </c>
      <c r="CR64" s="1136">
        <f t="shared" si="140"/>
        <v>0</v>
      </c>
      <c r="CS64" s="1136">
        <f t="shared" si="141"/>
        <v>0</v>
      </c>
      <c r="CT64" s="1136">
        <f t="shared" si="142"/>
        <v>1.3752376425180124E-3</v>
      </c>
      <c r="CU64" s="1136">
        <f t="shared" si="143"/>
        <v>0</v>
      </c>
      <c r="CV64" s="1136">
        <f t="shared" si="144"/>
        <v>0</v>
      </c>
      <c r="CW64" s="1136">
        <f t="shared" si="145"/>
        <v>0</v>
      </c>
      <c r="CX64" s="1136">
        <f t="shared" si="146"/>
        <v>0</v>
      </c>
      <c r="CY64" s="1136">
        <f t="shared" si="147"/>
        <v>0</v>
      </c>
      <c r="CZ64" s="1136">
        <f t="shared" si="148"/>
        <v>0</v>
      </c>
      <c r="DA64" s="1136">
        <f t="shared" si="149"/>
        <v>3.1220539689949867E-2</v>
      </c>
      <c r="DB64" s="1136">
        <f t="shared" si="150"/>
        <v>0</v>
      </c>
      <c r="DC64" s="1136">
        <f t="shared" si="151"/>
        <v>0</v>
      </c>
      <c r="DD64" s="1136">
        <f t="shared" si="152"/>
        <v>0</v>
      </c>
      <c r="DE64" s="1136">
        <f t="shared" si="153"/>
        <v>0</v>
      </c>
      <c r="DF64" s="1136">
        <f t="shared" si="154"/>
        <v>0</v>
      </c>
      <c r="DG64" s="1136">
        <f t="shared" si="155"/>
        <v>0</v>
      </c>
      <c r="DH64" s="1136">
        <f t="shared" si="156"/>
        <v>0</v>
      </c>
      <c r="DI64" s="1136">
        <f t="shared" si="157"/>
        <v>0</v>
      </c>
      <c r="DJ64" s="1136">
        <f t="shared" si="158"/>
        <v>0</v>
      </c>
      <c r="DK64" s="1136">
        <f t="shared" si="159"/>
        <v>0</v>
      </c>
      <c r="DL64" s="1136">
        <f t="shared" si="160"/>
        <v>0</v>
      </c>
      <c r="DM64" s="1131" t="str">
        <f t="array" ref="DM64">IF(MAX(ABS(CD64:DL64))&gt;$DM$4,"EXPLAIN","")</f>
        <v/>
      </c>
      <c r="DN64" s="1131" t="str">
        <f t="shared" si="115"/>
        <v/>
      </c>
      <c r="DP64" s="1140">
        <f t="shared" si="161"/>
        <v>3</v>
      </c>
      <c r="DQ64" s="1140">
        <f t="shared" si="162"/>
        <v>3</v>
      </c>
      <c r="DR64" s="1140" t="str">
        <f t="shared" si="163"/>
        <v>ok</v>
      </c>
    </row>
    <row r="65" spans="2:122" s="1140" customFormat="1">
      <c r="B65" s="1111" t="str">
        <f>IF(Prop2021DUOSTariffs!B65="","",Prop2021DUOSTariffs!B65)</f>
        <v/>
      </c>
      <c r="C65" s="1111" t="str">
        <f>IF(Prop2021DUOSTariffs!C65="","",Prop2021DUOSTariffs!C65)</f>
        <v>MtIsa SAC&lt;100MWhpa Business TOU Transitional Demand</v>
      </c>
      <c r="D65" s="1111" t="str">
        <f>IF(Prop2021DUOSTariffs!D65="","",Prop2021DUOSTariffs!D65)</f>
        <v>MtIsa SAC&lt;100MWhpa Business TOU Transitional Demand</v>
      </c>
      <c r="E65" s="1111" t="str">
        <f>IF(Prop2021DUOSTariffs!E65="","",Prop2021DUOSTariffs!E65)</f>
        <v>SAC</v>
      </c>
      <c r="F65" s="1111" t="str">
        <f>IF(Prop2021DUOSTariffs!F65="","",Prop2021DUOSTariffs!F65)</f>
        <v>SACS Bus</v>
      </c>
      <c r="G65" s="1111" t="str">
        <f>IF(Prop2021DUOSTariffs!G65="","",Prop2021DUOSTariffs!G65)</f>
        <v>Mt Isa</v>
      </c>
      <c r="H65" s="1111" t="str">
        <f>IF(Prop2021DUOSTariffs!H65="","",Prop2021DUOSTariffs!H65)</f>
        <v>MBTDEM</v>
      </c>
      <c r="I65" s="1111" t="str">
        <f>IF(Prop2021DUOSTariffs!I65="","",Prop2021DUOSTariffs!I65)</f>
        <v>DUOS</v>
      </c>
      <c r="J65" s="1774">
        <v>1</v>
      </c>
      <c r="K65" s="1773">
        <v>0</v>
      </c>
      <c r="L65" s="1773">
        <v>0</v>
      </c>
      <c r="M65" s="1773">
        <v>0</v>
      </c>
      <c r="N65" s="1773">
        <v>0</v>
      </c>
      <c r="O65" s="1773">
        <v>0</v>
      </c>
      <c r="P65" s="1773">
        <v>0</v>
      </c>
      <c r="Q65" s="1773">
        <v>0</v>
      </c>
      <c r="R65" s="1773">
        <v>0</v>
      </c>
      <c r="S65" s="1773">
        <v>0</v>
      </c>
      <c r="T65" s="1773">
        <v>0</v>
      </c>
      <c r="U65" s="1773">
        <v>0</v>
      </c>
      <c r="V65" s="1773">
        <v>0</v>
      </c>
      <c r="W65" s="1773">
        <v>0</v>
      </c>
      <c r="X65" s="1773">
        <v>0</v>
      </c>
      <c r="Y65" s="1773">
        <v>0</v>
      </c>
      <c r="Z65" s="1774">
        <v>0.47579055117057711</v>
      </c>
      <c r="AA65" s="1773">
        <v>0</v>
      </c>
      <c r="AB65" s="1773">
        <v>0</v>
      </c>
      <c r="AC65" s="1773">
        <v>0</v>
      </c>
      <c r="AD65" s="1773">
        <v>0</v>
      </c>
      <c r="AE65" s="1775">
        <v>0</v>
      </c>
      <c r="AF65" s="1775">
        <v>0</v>
      </c>
      <c r="AG65" s="1776">
        <v>4.6716356074168366E-2</v>
      </c>
      <c r="AH65" s="1775">
        <v>0</v>
      </c>
      <c r="AI65" s="1775">
        <v>0</v>
      </c>
      <c r="AJ65" s="1775">
        <v>0</v>
      </c>
      <c r="AK65" s="1775">
        <v>0</v>
      </c>
      <c r="AL65" s="1775">
        <v>0</v>
      </c>
      <c r="AM65" s="1775">
        <v>0</v>
      </c>
      <c r="AN65" s="1775">
        <v>0</v>
      </c>
      <c r="AO65" s="1775">
        <v>0</v>
      </c>
      <c r="AP65" s="1775">
        <v>0</v>
      </c>
      <c r="AQ65" s="1775">
        <v>0</v>
      </c>
      <c r="AR65" s="1775">
        <v>0</v>
      </c>
      <c r="AS65" s="1594"/>
      <c r="AT65" s="1233">
        <v>1</v>
      </c>
      <c r="AU65" s="1135"/>
      <c r="AV65" s="1135"/>
      <c r="AW65" s="1135"/>
      <c r="AX65" s="1135"/>
      <c r="AY65" s="1135"/>
      <c r="AZ65" s="1135"/>
      <c r="BA65" s="1135"/>
      <c r="BB65" s="1135"/>
      <c r="BC65" s="1135"/>
      <c r="BD65" s="1135"/>
      <c r="BE65" s="1135"/>
      <c r="BF65" s="1135"/>
      <c r="BG65" s="1135"/>
      <c r="BH65" s="1135"/>
      <c r="BI65" s="1135"/>
      <c r="BJ65" s="1233">
        <v>0.47460000000000002</v>
      </c>
      <c r="BK65" s="1135"/>
      <c r="BL65" s="1135"/>
      <c r="BM65" s="1135"/>
      <c r="BN65" s="1135"/>
      <c r="BO65" s="1005"/>
      <c r="BP65" s="1005"/>
      <c r="BQ65" s="1596">
        <v>4.5275999999999997E-2</v>
      </c>
      <c r="BR65" s="1005"/>
      <c r="BS65" s="1005"/>
      <c r="BT65" s="1005"/>
      <c r="BU65" s="1005"/>
      <c r="BV65" s="1016"/>
      <c r="BW65" s="1016"/>
      <c r="BX65" s="1016"/>
      <c r="BY65" s="1016"/>
      <c r="BZ65" s="1016"/>
      <c r="CA65" s="1016"/>
      <c r="CB65" s="1016"/>
      <c r="CC65" s="1594"/>
      <c r="CD65" s="1136">
        <f t="shared" si="126"/>
        <v>0</v>
      </c>
      <c r="CE65" s="1136">
        <f t="shared" si="127"/>
        <v>0</v>
      </c>
      <c r="CF65" s="1136">
        <f t="shared" si="128"/>
        <v>0</v>
      </c>
      <c r="CG65" s="1136">
        <f t="shared" si="129"/>
        <v>0</v>
      </c>
      <c r="CH65" s="1136">
        <f t="shared" si="130"/>
        <v>0</v>
      </c>
      <c r="CI65" s="1136">
        <f t="shared" si="131"/>
        <v>0</v>
      </c>
      <c r="CJ65" s="1136">
        <f t="shared" si="132"/>
        <v>0</v>
      </c>
      <c r="CK65" s="1136">
        <f t="shared" si="133"/>
        <v>0</v>
      </c>
      <c r="CL65" s="1136">
        <f t="shared" si="134"/>
        <v>0</v>
      </c>
      <c r="CM65" s="1136">
        <f t="shared" si="135"/>
        <v>0</v>
      </c>
      <c r="CN65" s="1136">
        <f t="shared" si="136"/>
        <v>0</v>
      </c>
      <c r="CO65" s="1136">
        <f t="shared" si="137"/>
        <v>0</v>
      </c>
      <c r="CP65" s="1136">
        <f t="shared" si="138"/>
        <v>0</v>
      </c>
      <c r="CQ65" s="1136">
        <f t="shared" si="139"/>
        <v>0</v>
      </c>
      <c r="CR65" s="1136">
        <f t="shared" si="140"/>
        <v>0</v>
      </c>
      <c r="CS65" s="1136">
        <f t="shared" si="141"/>
        <v>0</v>
      </c>
      <c r="CT65" s="1136">
        <f t="shared" si="142"/>
        <v>2.5085359683461039E-3</v>
      </c>
      <c r="CU65" s="1136">
        <f t="shared" si="143"/>
        <v>0</v>
      </c>
      <c r="CV65" s="1136">
        <f t="shared" si="144"/>
        <v>0</v>
      </c>
      <c r="CW65" s="1136">
        <f t="shared" si="145"/>
        <v>0</v>
      </c>
      <c r="CX65" s="1136">
        <f t="shared" si="146"/>
        <v>0</v>
      </c>
      <c r="CY65" s="1136">
        <f t="shared" si="147"/>
        <v>0</v>
      </c>
      <c r="CZ65" s="1136">
        <f t="shared" si="148"/>
        <v>0</v>
      </c>
      <c r="DA65" s="1136">
        <f t="shared" si="149"/>
        <v>3.1812794287666035E-2</v>
      </c>
      <c r="DB65" s="1136">
        <f t="shared" si="150"/>
        <v>0</v>
      </c>
      <c r="DC65" s="1136">
        <f t="shared" si="151"/>
        <v>0</v>
      </c>
      <c r="DD65" s="1136">
        <f t="shared" si="152"/>
        <v>0</v>
      </c>
      <c r="DE65" s="1136">
        <f t="shared" si="153"/>
        <v>0</v>
      </c>
      <c r="DF65" s="1136">
        <f t="shared" si="154"/>
        <v>0</v>
      </c>
      <c r="DG65" s="1136">
        <f t="shared" si="155"/>
        <v>0</v>
      </c>
      <c r="DH65" s="1136">
        <f t="shared" si="156"/>
        <v>0</v>
      </c>
      <c r="DI65" s="1136">
        <f t="shared" si="157"/>
        <v>0</v>
      </c>
      <c r="DJ65" s="1136">
        <f t="shared" si="158"/>
        <v>0</v>
      </c>
      <c r="DK65" s="1136">
        <f t="shared" si="159"/>
        <v>0</v>
      </c>
      <c r="DL65" s="1136">
        <f t="shared" si="160"/>
        <v>0</v>
      </c>
      <c r="DM65" s="1131" t="str">
        <f t="array" ref="DM65">IF(MAX(ABS(CD65:DL65))&gt;$DM$4,"EXPLAIN","")</f>
        <v/>
      </c>
      <c r="DN65" s="1131" t="str">
        <f t="shared" si="115"/>
        <v/>
      </c>
      <c r="DP65" s="1140">
        <f t="shared" si="161"/>
        <v>3</v>
      </c>
      <c r="DQ65" s="1140">
        <f t="shared" si="162"/>
        <v>3</v>
      </c>
      <c r="DR65" s="1140" t="str">
        <f t="shared" si="163"/>
        <v>ok</v>
      </c>
    </row>
    <row r="66" spans="2:122" s="1140" customFormat="1">
      <c r="B66" s="1111" t="str">
        <f>IF(Prop2021DUOSTariffs!B66="","",Prop2021DUOSTariffs!B66)</f>
        <v/>
      </c>
      <c r="C66" s="1111" t="str">
        <f>IF(Prop2021DUOSTariffs!C66="","",Prop2021DUOSTariffs!C66)</f>
        <v>East SAC&lt;100MWhpa Business TOU Demand</v>
      </c>
      <c r="D66" s="1111" t="str">
        <f>IF(Prop2021DUOSTariffs!D66="","",Prop2021DUOSTariffs!D66)</f>
        <v>East SAC&lt;100MWhpa Business TOU Demand</v>
      </c>
      <c r="E66" s="1111" t="str">
        <f>IF(Prop2021DUOSTariffs!E66="","",Prop2021DUOSTariffs!E66)</f>
        <v>SAC</v>
      </c>
      <c r="F66" s="1111" t="str">
        <f>IF(Prop2021DUOSTariffs!F66="","",Prop2021DUOSTariffs!F66)</f>
        <v>SACS Bus</v>
      </c>
      <c r="G66" s="1111" t="str">
        <f>IF(Prop2021DUOSTariffs!G66="","",Prop2021DUOSTariffs!G66)</f>
        <v>East</v>
      </c>
      <c r="H66" s="1111" t="str">
        <f>IF(Prop2021DUOSTariffs!H66="","",Prop2021DUOSTariffs!H66)</f>
        <v>EBDEM</v>
      </c>
      <c r="I66" s="1111" t="str">
        <f>IF(Prop2021DUOSTariffs!I66="","",Prop2021DUOSTariffs!I66)</f>
        <v>DUOS</v>
      </c>
      <c r="J66" s="1774">
        <v>1</v>
      </c>
      <c r="K66" s="1773">
        <v>0</v>
      </c>
      <c r="L66" s="1773">
        <v>0</v>
      </c>
      <c r="M66" s="1773">
        <v>0</v>
      </c>
      <c r="N66" s="1773">
        <v>0</v>
      </c>
      <c r="O66" s="1773">
        <v>0</v>
      </c>
      <c r="P66" s="1773">
        <v>0</v>
      </c>
      <c r="Q66" s="1773">
        <v>0</v>
      </c>
      <c r="R66" s="1773">
        <v>0</v>
      </c>
      <c r="S66" s="1773">
        <v>0</v>
      </c>
      <c r="T66" s="1773">
        <v>0</v>
      </c>
      <c r="U66" s="1773">
        <v>0</v>
      </c>
      <c r="V66" s="1773">
        <v>0</v>
      </c>
      <c r="W66" s="1773">
        <v>0</v>
      </c>
      <c r="X66" s="1773">
        <v>0</v>
      </c>
      <c r="Y66" s="1773">
        <v>0</v>
      </c>
      <c r="Z66" s="1774">
        <v>4.2250200943947247</v>
      </c>
      <c r="AA66" s="1773">
        <v>0</v>
      </c>
      <c r="AB66" s="1773">
        <v>0</v>
      </c>
      <c r="AC66" s="1773">
        <v>0</v>
      </c>
      <c r="AD66" s="1773">
        <v>0</v>
      </c>
      <c r="AE66" s="1775">
        <v>0</v>
      </c>
      <c r="AF66" s="1775">
        <v>0</v>
      </c>
      <c r="AG66" s="1776">
        <v>5.3187046600595547E-2</v>
      </c>
      <c r="AH66" s="1775">
        <v>0</v>
      </c>
      <c r="AI66" s="1775">
        <v>0</v>
      </c>
      <c r="AJ66" s="1775">
        <v>0</v>
      </c>
      <c r="AK66" s="1775">
        <v>0</v>
      </c>
      <c r="AL66" s="1775">
        <v>0</v>
      </c>
      <c r="AM66" s="1775">
        <v>0</v>
      </c>
      <c r="AN66" s="1775">
        <v>0</v>
      </c>
      <c r="AO66" s="1775">
        <v>0</v>
      </c>
      <c r="AP66" s="1775">
        <v>0</v>
      </c>
      <c r="AQ66" s="1775">
        <v>0</v>
      </c>
      <c r="AR66" s="1775">
        <v>0</v>
      </c>
      <c r="AS66" s="1594"/>
      <c r="AT66" s="1233">
        <v>1</v>
      </c>
      <c r="AU66" s="1135"/>
      <c r="AV66" s="1135"/>
      <c r="AW66" s="1135"/>
      <c r="AX66" s="1135"/>
      <c r="AY66" s="1135"/>
      <c r="AZ66" s="1135"/>
      <c r="BA66" s="1135"/>
      <c r="BB66" s="1135"/>
      <c r="BC66" s="1135"/>
      <c r="BD66" s="1135"/>
      <c r="BE66" s="1135"/>
      <c r="BF66" s="1135"/>
      <c r="BG66" s="1135"/>
      <c r="BH66" s="1135"/>
      <c r="BI66" s="1135"/>
      <c r="BJ66" s="1233">
        <v>4.2184800000000005</v>
      </c>
      <c r="BK66" s="1135"/>
      <c r="BL66" s="1135"/>
      <c r="BM66" s="1135"/>
      <c r="BN66" s="1135"/>
      <c r="BO66" s="1005"/>
      <c r="BP66" s="1005"/>
      <c r="BQ66" s="1596">
        <v>5.099900804091767E-2</v>
      </c>
      <c r="BR66" s="1005"/>
      <c r="BS66" s="1005"/>
      <c r="BT66" s="1005"/>
      <c r="BU66" s="1005"/>
      <c r="BV66" s="1016"/>
      <c r="BW66" s="1016"/>
      <c r="BX66" s="1016"/>
      <c r="BY66" s="1016"/>
      <c r="BZ66" s="1016"/>
      <c r="CA66" s="1016"/>
      <c r="CB66" s="1016"/>
      <c r="CC66" s="1594"/>
      <c r="CD66" s="1136">
        <f t="shared" si="126"/>
        <v>0</v>
      </c>
      <c r="CE66" s="1136">
        <f t="shared" si="127"/>
        <v>0</v>
      </c>
      <c r="CF66" s="1136">
        <f t="shared" si="128"/>
        <v>0</v>
      </c>
      <c r="CG66" s="1136">
        <f t="shared" si="129"/>
        <v>0</v>
      </c>
      <c r="CH66" s="1136">
        <f t="shared" si="130"/>
        <v>0</v>
      </c>
      <c r="CI66" s="1136">
        <f t="shared" si="131"/>
        <v>0</v>
      </c>
      <c r="CJ66" s="1136">
        <f t="shared" si="132"/>
        <v>0</v>
      </c>
      <c r="CK66" s="1136">
        <f t="shared" si="133"/>
        <v>0</v>
      </c>
      <c r="CL66" s="1136">
        <f t="shared" si="134"/>
        <v>0</v>
      </c>
      <c r="CM66" s="1136">
        <f t="shared" si="135"/>
        <v>0</v>
      </c>
      <c r="CN66" s="1136">
        <f t="shared" si="136"/>
        <v>0</v>
      </c>
      <c r="CO66" s="1136">
        <f t="shared" si="137"/>
        <v>0</v>
      </c>
      <c r="CP66" s="1136">
        <f t="shared" si="138"/>
        <v>0</v>
      </c>
      <c r="CQ66" s="1136">
        <f t="shared" si="139"/>
        <v>0</v>
      </c>
      <c r="CR66" s="1136">
        <f t="shared" si="140"/>
        <v>0</v>
      </c>
      <c r="CS66" s="1136">
        <f t="shared" si="141"/>
        <v>0</v>
      </c>
      <c r="CT66" s="1136">
        <f t="shared" si="142"/>
        <v>1.5503438192723262E-3</v>
      </c>
      <c r="CU66" s="1136">
        <f t="shared" si="143"/>
        <v>0</v>
      </c>
      <c r="CV66" s="1136">
        <f t="shared" si="144"/>
        <v>0</v>
      </c>
      <c r="CW66" s="1136">
        <f t="shared" si="145"/>
        <v>0</v>
      </c>
      <c r="CX66" s="1136">
        <f t="shared" si="146"/>
        <v>0</v>
      </c>
      <c r="CY66" s="1136">
        <f t="shared" si="147"/>
        <v>0</v>
      </c>
      <c r="CZ66" s="1136">
        <f t="shared" si="148"/>
        <v>0</v>
      </c>
      <c r="DA66" s="1136">
        <f t="shared" si="149"/>
        <v>4.2903551338143053E-2</v>
      </c>
      <c r="DB66" s="1136">
        <f t="shared" si="150"/>
        <v>0</v>
      </c>
      <c r="DC66" s="1136">
        <f t="shared" si="151"/>
        <v>0</v>
      </c>
      <c r="DD66" s="1136">
        <f t="shared" si="152"/>
        <v>0</v>
      </c>
      <c r="DE66" s="1136">
        <f t="shared" si="153"/>
        <v>0</v>
      </c>
      <c r="DF66" s="1136">
        <f t="shared" si="154"/>
        <v>0</v>
      </c>
      <c r="DG66" s="1136">
        <f t="shared" si="155"/>
        <v>0</v>
      </c>
      <c r="DH66" s="1136">
        <f t="shared" si="156"/>
        <v>0</v>
      </c>
      <c r="DI66" s="1136">
        <f t="shared" si="157"/>
        <v>0</v>
      </c>
      <c r="DJ66" s="1136">
        <f t="shared" si="158"/>
        <v>0</v>
      </c>
      <c r="DK66" s="1136">
        <f t="shared" si="159"/>
        <v>0</v>
      </c>
      <c r="DL66" s="1136">
        <f t="shared" si="160"/>
        <v>0</v>
      </c>
      <c r="DM66" s="1131" t="str">
        <f t="array" ref="DM66">IF(MAX(ABS(CD66:DL66))&gt;$DM$4,"EXPLAIN","")</f>
        <v/>
      </c>
      <c r="DN66" s="1131" t="str">
        <f t="shared" si="115"/>
        <v/>
      </c>
      <c r="DP66" s="1140">
        <f t="shared" si="161"/>
        <v>3</v>
      </c>
      <c r="DQ66" s="1140">
        <f t="shared" si="162"/>
        <v>3</v>
      </c>
      <c r="DR66" s="1140" t="str">
        <f t="shared" si="163"/>
        <v>ok</v>
      </c>
    </row>
    <row r="67" spans="2:122" s="1140" customFormat="1">
      <c r="B67" s="1111" t="str">
        <f>IF(Prop2021DUOSTariffs!B67="","",Prop2021DUOSTariffs!B67)</f>
        <v/>
      </c>
      <c r="C67" s="1111" t="str">
        <f>IF(Prop2021DUOSTariffs!C67="","",Prop2021DUOSTariffs!C67)</f>
        <v>West SAC&lt;100MWhpa Business TOU Demand</v>
      </c>
      <c r="D67" s="1111" t="str">
        <f>IF(Prop2021DUOSTariffs!D67="","",Prop2021DUOSTariffs!D67)</f>
        <v>West SAC&lt;100MWhpa Business TOU Demand</v>
      </c>
      <c r="E67" s="1111" t="str">
        <f>IF(Prop2021DUOSTariffs!E67="","",Prop2021DUOSTariffs!E67)</f>
        <v>SAC</v>
      </c>
      <c r="F67" s="1111" t="str">
        <f>IF(Prop2021DUOSTariffs!F67="","",Prop2021DUOSTariffs!F67)</f>
        <v>SACS Bus</v>
      </c>
      <c r="G67" s="1111" t="str">
        <f>IF(Prop2021DUOSTariffs!G67="","",Prop2021DUOSTariffs!G67)</f>
        <v>West</v>
      </c>
      <c r="H67" s="1111" t="str">
        <f>IF(Prop2021DUOSTariffs!H67="","",Prop2021DUOSTariffs!H67)</f>
        <v>WBDEM</v>
      </c>
      <c r="I67" s="1111" t="str">
        <f>IF(Prop2021DUOSTariffs!I67="","",Prop2021DUOSTariffs!I67)</f>
        <v>DUOS</v>
      </c>
      <c r="J67" s="1774">
        <v>1.5</v>
      </c>
      <c r="K67" s="1773">
        <v>0</v>
      </c>
      <c r="L67" s="1773">
        <v>0</v>
      </c>
      <c r="M67" s="1773">
        <v>0</v>
      </c>
      <c r="N67" s="1773">
        <v>0</v>
      </c>
      <c r="O67" s="1773">
        <v>0</v>
      </c>
      <c r="P67" s="1773">
        <v>0</v>
      </c>
      <c r="Q67" s="1773">
        <v>0</v>
      </c>
      <c r="R67" s="1773">
        <v>0</v>
      </c>
      <c r="S67" s="1773">
        <v>0</v>
      </c>
      <c r="T67" s="1773">
        <v>0</v>
      </c>
      <c r="U67" s="1773">
        <v>0</v>
      </c>
      <c r="V67" s="1773">
        <v>0</v>
      </c>
      <c r="W67" s="1773">
        <v>0</v>
      </c>
      <c r="X67" s="1773">
        <v>0</v>
      </c>
      <c r="Y67" s="1773">
        <v>0</v>
      </c>
      <c r="Z67" s="1774">
        <v>10.412300588248733</v>
      </c>
      <c r="AA67" s="1773">
        <v>0</v>
      </c>
      <c r="AB67" s="1773">
        <v>0</v>
      </c>
      <c r="AC67" s="1773">
        <v>0</v>
      </c>
      <c r="AD67" s="1773">
        <v>0</v>
      </c>
      <c r="AE67" s="1775">
        <v>0</v>
      </c>
      <c r="AF67" s="1775">
        <v>0</v>
      </c>
      <c r="AG67" s="1776">
        <v>0.17917284619009821</v>
      </c>
      <c r="AH67" s="1775">
        <v>0</v>
      </c>
      <c r="AI67" s="1775">
        <v>0</v>
      </c>
      <c r="AJ67" s="1775">
        <v>0</v>
      </c>
      <c r="AK67" s="1775">
        <v>0</v>
      </c>
      <c r="AL67" s="1775">
        <v>0</v>
      </c>
      <c r="AM67" s="1775">
        <v>0</v>
      </c>
      <c r="AN67" s="1775">
        <v>0</v>
      </c>
      <c r="AO67" s="1775">
        <v>0</v>
      </c>
      <c r="AP67" s="1775">
        <v>0</v>
      </c>
      <c r="AQ67" s="1775">
        <v>0</v>
      </c>
      <c r="AR67" s="1775">
        <v>0</v>
      </c>
      <c r="AS67" s="1594"/>
      <c r="AT67" s="1233">
        <v>1.5</v>
      </c>
      <c r="AU67" s="1135"/>
      <c r="AV67" s="1135"/>
      <c r="AW67" s="1135"/>
      <c r="AX67" s="1135"/>
      <c r="AY67" s="1135"/>
      <c r="AZ67" s="1135"/>
      <c r="BA67" s="1135"/>
      <c r="BB67" s="1135"/>
      <c r="BC67" s="1135"/>
      <c r="BD67" s="1135"/>
      <c r="BE67" s="1135"/>
      <c r="BF67" s="1135"/>
      <c r="BG67" s="1135"/>
      <c r="BH67" s="1135"/>
      <c r="BI67" s="1135"/>
      <c r="BJ67" s="1233">
        <v>10.395000000000001</v>
      </c>
      <c r="BK67" s="1135"/>
      <c r="BL67" s="1135"/>
      <c r="BM67" s="1135"/>
      <c r="BN67" s="1135"/>
      <c r="BO67" s="1005"/>
      <c r="BP67" s="1005"/>
      <c r="BQ67" s="1596">
        <v>0.17312804623553638</v>
      </c>
      <c r="BR67" s="1005"/>
      <c r="BS67" s="1005"/>
      <c r="BT67" s="1005"/>
      <c r="BU67" s="1005"/>
      <c r="BV67" s="1016"/>
      <c r="BW67" s="1016"/>
      <c r="BX67" s="1016"/>
      <c r="BY67" s="1016"/>
      <c r="BZ67" s="1016"/>
      <c r="CA67" s="1016"/>
      <c r="CB67" s="1016"/>
      <c r="CC67" s="1594"/>
      <c r="CD67" s="1136">
        <f t="shared" si="126"/>
        <v>0</v>
      </c>
      <c r="CE67" s="1136">
        <f t="shared" si="127"/>
        <v>0</v>
      </c>
      <c r="CF67" s="1136">
        <f t="shared" si="128"/>
        <v>0</v>
      </c>
      <c r="CG67" s="1136">
        <f t="shared" si="129"/>
        <v>0</v>
      </c>
      <c r="CH67" s="1136">
        <f t="shared" si="130"/>
        <v>0</v>
      </c>
      <c r="CI67" s="1136">
        <f t="shared" si="131"/>
        <v>0</v>
      </c>
      <c r="CJ67" s="1136">
        <f t="shared" si="132"/>
        <v>0</v>
      </c>
      <c r="CK67" s="1136">
        <f t="shared" si="133"/>
        <v>0</v>
      </c>
      <c r="CL67" s="1136">
        <f t="shared" si="134"/>
        <v>0</v>
      </c>
      <c r="CM67" s="1136">
        <f t="shared" si="135"/>
        <v>0</v>
      </c>
      <c r="CN67" s="1136">
        <f t="shared" si="136"/>
        <v>0</v>
      </c>
      <c r="CO67" s="1136">
        <f t="shared" si="137"/>
        <v>0</v>
      </c>
      <c r="CP67" s="1136">
        <f t="shared" si="138"/>
        <v>0</v>
      </c>
      <c r="CQ67" s="1136">
        <f t="shared" si="139"/>
        <v>0</v>
      </c>
      <c r="CR67" s="1136">
        <f t="shared" si="140"/>
        <v>0</v>
      </c>
      <c r="CS67" s="1136">
        <f t="shared" si="141"/>
        <v>0</v>
      </c>
      <c r="CT67" s="1136">
        <f t="shared" si="142"/>
        <v>1.6643182538462753E-3</v>
      </c>
      <c r="CU67" s="1136">
        <f t="shared" si="143"/>
        <v>0</v>
      </c>
      <c r="CV67" s="1136">
        <f t="shared" si="144"/>
        <v>0</v>
      </c>
      <c r="CW67" s="1136">
        <f t="shared" si="145"/>
        <v>0</v>
      </c>
      <c r="CX67" s="1136">
        <f t="shared" si="146"/>
        <v>0</v>
      </c>
      <c r="CY67" s="1136">
        <f t="shared" si="147"/>
        <v>0</v>
      </c>
      <c r="CZ67" s="1136">
        <f t="shared" si="148"/>
        <v>0</v>
      </c>
      <c r="DA67" s="1136">
        <f t="shared" si="149"/>
        <v>3.4915197658604846E-2</v>
      </c>
      <c r="DB67" s="1136">
        <f t="shared" si="150"/>
        <v>0</v>
      </c>
      <c r="DC67" s="1136">
        <f t="shared" si="151"/>
        <v>0</v>
      </c>
      <c r="DD67" s="1136">
        <f t="shared" si="152"/>
        <v>0</v>
      </c>
      <c r="DE67" s="1136">
        <f t="shared" si="153"/>
        <v>0</v>
      </c>
      <c r="DF67" s="1136">
        <f t="shared" si="154"/>
        <v>0</v>
      </c>
      <c r="DG67" s="1136">
        <f t="shared" si="155"/>
        <v>0</v>
      </c>
      <c r="DH67" s="1136">
        <f t="shared" si="156"/>
        <v>0</v>
      </c>
      <c r="DI67" s="1136">
        <f t="shared" si="157"/>
        <v>0</v>
      </c>
      <c r="DJ67" s="1136">
        <f t="shared" si="158"/>
        <v>0</v>
      </c>
      <c r="DK67" s="1136">
        <f t="shared" si="159"/>
        <v>0</v>
      </c>
      <c r="DL67" s="1136">
        <f t="shared" si="160"/>
        <v>0</v>
      </c>
      <c r="DM67" s="1131" t="str">
        <f t="array" ref="DM67">IF(MAX(ABS(CD67:DL67))&gt;$DM$4,"EXPLAIN","")</f>
        <v/>
      </c>
      <c r="DN67" s="1131" t="str">
        <f t="shared" si="115"/>
        <v/>
      </c>
      <c r="DP67" s="1140">
        <f t="shared" si="161"/>
        <v>3</v>
      </c>
      <c r="DQ67" s="1140">
        <f t="shared" si="162"/>
        <v>3</v>
      </c>
      <c r="DR67" s="1140" t="str">
        <f t="shared" si="163"/>
        <v>ok</v>
      </c>
    </row>
    <row r="68" spans="2:122" s="1140" customFormat="1">
      <c r="B68" s="1111" t="str">
        <f>IF(Prop2021DUOSTariffs!B68="","",Prop2021DUOSTariffs!B68)</f>
        <v/>
      </c>
      <c r="C68" s="1111" t="str">
        <f>IF(Prop2021DUOSTariffs!C68="","",Prop2021DUOSTariffs!C68)</f>
        <v>MtIsa SAC&lt;100MWhpa Business TOU Demand</v>
      </c>
      <c r="D68" s="1111" t="str">
        <f>IF(Prop2021DUOSTariffs!D68="","",Prop2021DUOSTariffs!D68)</f>
        <v>MtIsa SAC&lt;100MWhpa Business TOU Demand</v>
      </c>
      <c r="E68" s="1111" t="str">
        <f>IF(Prop2021DUOSTariffs!E68="","",Prop2021DUOSTariffs!E68)</f>
        <v>SAC</v>
      </c>
      <c r="F68" s="1111" t="str">
        <f>IF(Prop2021DUOSTariffs!F68="","",Prop2021DUOSTariffs!F68)</f>
        <v>SACS Bus</v>
      </c>
      <c r="G68" s="1111" t="str">
        <f>IF(Prop2021DUOSTariffs!G68="","",Prop2021DUOSTariffs!G68)</f>
        <v>Mt Isa</v>
      </c>
      <c r="H68" s="1111" t="str">
        <f>IF(Prop2021DUOSTariffs!H68="","",Prop2021DUOSTariffs!H68)</f>
        <v>MBDEM</v>
      </c>
      <c r="I68" s="1111" t="str">
        <f>IF(Prop2021DUOSTariffs!I68="","",Prop2021DUOSTariffs!I68)</f>
        <v>DUOS</v>
      </c>
      <c r="J68" s="1774">
        <v>1</v>
      </c>
      <c r="K68" s="1773">
        <v>0</v>
      </c>
      <c r="L68" s="1773">
        <v>0</v>
      </c>
      <c r="M68" s="1773">
        <v>0</v>
      </c>
      <c r="N68" s="1773">
        <v>0</v>
      </c>
      <c r="O68" s="1773">
        <v>0</v>
      </c>
      <c r="P68" s="1773">
        <v>0</v>
      </c>
      <c r="Q68" s="1773">
        <v>0</v>
      </c>
      <c r="R68" s="1773">
        <v>0</v>
      </c>
      <c r="S68" s="1773">
        <v>0</v>
      </c>
      <c r="T68" s="1773">
        <v>0</v>
      </c>
      <c r="U68" s="1773">
        <v>0</v>
      </c>
      <c r="V68" s="1773">
        <v>0</v>
      </c>
      <c r="W68" s="1773">
        <v>0</v>
      </c>
      <c r="X68" s="1773">
        <v>0</v>
      </c>
      <c r="Y68" s="1773">
        <v>0</v>
      </c>
      <c r="Z68" s="1774">
        <v>3.5659249729836922</v>
      </c>
      <c r="AA68" s="1773">
        <v>0</v>
      </c>
      <c r="AB68" s="1773">
        <v>0</v>
      </c>
      <c r="AC68" s="1773">
        <v>0</v>
      </c>
      <c r="AD68" s="1773">
        <v>0</v>
      </c>
      <c r="AE68" s="1775">
        <v>0</v>
      </c>
      <c r="AF68" s="1775">
        <v>0</v>
      </c>
      <c r="AG68" s="1776">
        <v>4.2328440000000002E-2</v>
      </c>
      <c r="AH68" s="1775">
        <v>0</v>
      </c>
      <c r="AI68" s="1775">
        <v>0</v>
      </c>
      <c r="AJ68" s="1775">
        <v>0</v>
      </c>
      <c r="AK68" s="1775">
        <v>0</v>
      </c>
      <c r="AL68" s="1775">
        <v>0</v>
      </c>
      <c r="AM68" s="1775">
        <v>0</v>
      </c>
      <c r="AN68" s="1775">
        <v>0</v>
      </c>
      <c r="AO68" s="1775">
        <v>0</v>
      </c>
      <c r="AP68" s="1775">
        <v>0</v>
      </c>
      <c r="AQ68" s="1775">
        <v>0</v>
      </c>
      <c r="AR68" s="1775">
        <v>0</v>
      </c>
      <c r="AS68" s="1594"/>
      <c r="AT68" s="1233">
        <v>1</v>
      </c>
      <c r="AU68" s="1135"/>
      <c r="AV68" s="1135"/>
      <c r="AW68" s="1135"/>
      <c r="AX68" s="1135"/>
      <c r="AY68" s="1135"/>
      <c r="AZ68" s="1135"/>
      <c r="BA68" s="1135"/>
      <c r="BB68" s="1135"/>
      <c r="BC68" s="1135"/>
      <c r="BD68" s="1135"/>
      <c r="BE68" s="1135"/>
      <c r="BF68" s="1135"/>
      <c r="BG68" s="1135"/>
      <c r="BH68" s="1135"/>
      <c r="BI68" s="1135"/>
      <c r="BJ68" s="1233">
        <v>3.5595000000000003</v>
      </c>
      <c r="BK68" s="1135"/>
      <c r="BL68" s="1135"/>
      <c r="BM68" s="1135"/>
      <c r="BN68" s="1135"/>
      <c r="BO68" s="1005"/>
      <c r="BP68" s="1005"/>
      <c r="BQ68" s="1596">
        <v>4.0332599999999996E-2</v>
      </c>
      <c r="BR68" s="1005"/>
      <c r="BS68" s="1005"/>
      <c r="BT68" s="1005"/>
      <c r="BU68" s="1005"/>
      <c r="BV68" s="1016"/>
      <c r="BW68" s="1016"/>
      <c r="BX68" s="1016"/>
      <c r="BY68" s="1016"/>
      <c r="BZ68" s="1016"/>
      <c r="CA68" s="1016"/>
      <c r="CB68" s="1016"/>
      <c r="CC68" s="1594"/>
      <c r="CD68" s="1136">
        <f t="shared" si="126"/>
        <v>0</v>
      </c>
      <c r="CE68" s="1136">
        <f t="shared" si="127"/>
        <v>0</v>
      </c>
      <c r="CF68" s="1136">
        <f t="shared" si="128"/>
        <v>0</v>
      </c>
      <c r="CG68" s="1136">
        <f t="shared" si="129"/>
        <v>0</v>
      </c>
      <c r="CH68" s="1136">
        <f t="shared" si="130"/>
        <v>0</v>
      </c>
      <c r="CI68" s="1136">
        <f t="shared" si="131"/>
        <v>0</v>
      </c>
      <c r="CJ68" s="1136">
        <f t="shared" si="132"/>
        <v>0</v>
      </c>
      <c r="CK68" s="1136">
        <f t="shared" si="133"/>
        <v>0</v>
      </c>
      <c r="CL68" s="1136">
        <f t="shared" si="134"/>
        <v>0</v>
      </c>
      <c r="CM68" s="1136">
        <f t="shared" si="135"/>
        <v>0</v>
      </c>
      <c r="CN68" s="1136">
        <f t="shared" si="136"/>
        <v>0</v>
      </c>
      <c r="CO68" s="1136">
        <f t="shared" si="137"/>
        <v>0</v>
      </c>
      <c r="CP68" s="1136">
        <f t="shared" si="138"/>
        <v>0</v>
      </c>
      <c r="CQ68" s="1136">
        <f t="shared" si="139"/>
        <v>0</v>
      </c>
      <c r="CR68" s="1136">
        <f t="shared" si="140"/>
        <v>0</v>
      </c>
      <c r="CS68" s="1136">
        <f t="shared" si="141"/>
        <v>0</v>
      </c>
      <c r="CT68" s="1136">
        <f t="shared" si="142"/>
        <v>1.8050212062625803E-3</v>
      </c>
      <c r="CU68" s="1136">
        <f t="shared" si="143"/>
        <v>0</v>
      </c>
      <c r="CV68" s="1136">
        <f t="shared" si="144"/>
        <v>0</v>
      </c>
      <c r="CW68" s="1136">
        <f t="shared" si="145"/>
        <v>0</v>
      </c>
      <c r="CX68" s="1136">
        <f t="shared" si="146"/>
        <v>0</v>
      </c>
      <c r="CY68" s="1136">
        <f t="shared" si="147"/>
        <v>0</v>
      </c>
      <c r="CZ68" s="1136">
        <f t="shared" si="148"/>
        <v>0</v>
      </c>
      <c r="DA68" s="1136">
        <f t="shared" si="149"/>
        <v>4.9484536082474273E-2</v>
      </c>
      <c r="DB68" s="1136">
        <f t="shared" si="150"/>
        <v>0</v>
      </c>
      <c r="DC68" s="1136">
        <f t="shared" si="151"/>
        <v>0</v>
      </c>
      <c r="DD68" s="1136">
        <f t="shared" si="152"/>
        <v>0</v>
      </c>
      <c r="DE68" s="1136">
        <f t="shared" si="153"/>
        <v>0</v>
      </c>
      <c r="DF68" s="1136">
        <f t="shared" si="154"/>
        <v>0</v>
      </c>
      <c r="DG68" s="1136">
        <f t="shared" si="155"/>
        <v>0</v>
      </c>
      <c r="DH68" s="1136">
        <f t="shared" si="156"/>
        <v>0</v>
      </c>
      <c r="DI68" s="1136">
        <f t="shared" si="157"/>
        <v>0</v>
      </c>
      <c r="DJ68" s="1136">
        <f t="shared" si="158"/>
        <v>0</v>
      </c>
      <c r="DK68" s="1136">
        <f t="shared" si="159"/>
        <v>0</v>
      </c>
      <c r="DL68" s="1136">
        <f t="shared" si="160"/>
        <v>0</v>
      </c>
      <c r="DM68" s="1131" t="str">
        <f t="array" ref="DM68">IF(MAX(ABS(CD68:DL68))&gt;$DM$4,"EXPLAIN","")</f>
        <v/>
      </c>
      <c r="DN68" s="1131" t="str">
        <f t="shared" si="115"/>
        <v/>
      </c>
      <c r="DP68" s="1140">
        <f t="shared" si="161"/>
        <v>3</v>
      </c>
      <c r="DQ68" s="1140">
        <f t="shared" si="162"/>
        <v>3</v>
      </c>
      <c r="DR68" s="1140" t="str">
        <f t="shared" si="163"/>
        <v>ok</v>
      </c>
    </row>
    <row r="69" spans="2:122" s="1140" customFormat="1">
      <c r="B69" s="1111" t="str">
        <f>IF(Prop2021DUOSTariffs!B69="","",Prop2021DUOSTariffs!B69)</f>
        <v/>
      </c>
      <c r="C69" s="1111" t="str">
        <f>IF(Prop2021DUOSTariffs!C69="","",Prop2021DUOSTariffs!C69)</f>
        <v xml:space="preserve">East SAC&lt;100MWhpa Small Business Primary Load Control </v>
      </c>
      <c r="D69" s="1111" t="str">
        <f>IF(Prop2021DUOSTariffs!D69="","",Prop2021DUOSTariffs!D69)</f>
        <v xml:space="preserve">East SAC&lt;100MWhpa Small Business Primary Load Control </v>
      </c>
      <c r="E69" s="1111" t="str">
        <f>IF(Prop2021DUOSTariffs!E69="","",Prop2021DUOSTariffs!E69)</f>
        <v>SAC</v>
      </c>
      <c r="F69" s="1111" t="str">
        <f>IF(Prop2021DUOSTariffs!F69="","",Prop2021DUOSTariffs!F69)</f>
        <v>SACS Bus</v>
      </c>
      <c r="G69" s="1111" t="str">
        <f>IF(Prop2021DUOSTariffs!G69="","",Prop2021DUOSTariffs!G69)</f>
        <v>East</v>
      </c>
      <c r="H69" s="1111" t="str">
        <f>IF(Prop2021DUOSTariffs!H69="","",Prop2021DUOSTariffs!H69)</f>
        <v>EBPLC</v>
      </c>
      <c r="I69" s="1111" t="str">
        <f>IF(Prop2021DUOSTariffs!I69="","",Prop2021DUOSTariffs!I69)</f>
        <v>DUOS</v>
      </c>
      <c r="J69" s="1774">
        <v>1.105</v>
      </c>
      <c r="K69" s="1773">
        <v>0</v>
      </c>
      <c r="L69" s="1773">
        <v>0</v>
      </c>
      <c r="M69" s="1773">
        <v>0</v>
      </c>
      <c r="N69" s="1773">
        <v>0</v>
      </c>
      <c r="O69" s="1773">
        <v>0</v>
      </c>
      <c r="P69" s="1773">
        <v>0</v>
      </c>
      <c r="Q69" s="1773">
        <v>0</v>
      </c>
      <c r="R69" s="1773">
        <v>0</v>
      </c>
      <c r="S69" s="1773">
        <v>0</v>
      </c>
      <c r="T69" s="1773">
        <v>0</v>
      </c>
      <c r="U69" s="1773">
        <v>0</v>
      </c>
      <c r="V69" s="1773">
        <v>0</v>
      </c>
      <c r="W69" s="1773">
        <v>0</v>
      </c>
      <c r="X69" s="1773">
        <v>0</v>
      </c>
      <c r="Y69" s="1773">
        <v>0</v>
      </c>
      <c r="Z69" s="1773">
        <v>0</v>
      </c>
      <c r="AA69" s="1773">
        <v>0</v>
      </c>
      <c r="AB69" s="1773">
        <v>0</v>
      </c>
      <c r="AC69" s="1773">
        <v>0</v>
      </c>
      <c r="AD69" s="1773">
        <v>0</v>
      </c>
      <c r="AE69" s="1775">
        <v>0</v>
      </c>
      <c r="AF69" s="1775">
        <v>0</v>
      </c>
      <c r="AG69" s="1776">
        <v>2.8320965190146714E-2</v>
      </c>
      <c r="AH69" s="1775">
        <v>0</v>
      </c>
      <c r="AI69" s="1775">
        <v>0</v>
      </c>
      <c r="AJ69" s="1775">
        <v>0</v>
      </c>
      <c r="AK69" s="1775">
        <v>0</v>
      </c>
      <c r="AL69" s="1775">
        <v>0</v>
      </c>
      <c r="AM69" s="1775">
        <v>0</v>
      </c>
      <c r="AN69" s="1775">
        <v>0</v>
      </c>
      <c r="AO69" s="1775">
        <v>0</v>
      </c>
      <c r="AP69" s="1775">
        <v>0</v>
      </c>
      <c r="AQ69" s="1775">
        <v>0</v>
      </c>
      <c r="AR69" s="1775">
        <v>0</v>
      </c>
      <c r="AS69" s="1594"/>
      <c r="AT69" s="1233">
        <v>1.1045299873509764</v>
      </c>
      <c r="AU69" s="1135"/>
      <c r="AV69" s="1135"/>
      <c r="AW69" s="1135"/>
      <c r="AX69" s="1135"/>
      <c r="AY69" s="1135"/>
      <c r="AZ69" s="1135"/>
      <c r="BA69" s="1135"/>
      <c r="BB69" s="1135"/>
      <c r="BC69" s="1135"/>
      <c r="BD69" s="1135"/>
      <c r="BE69" s="1135"/>
      <c r="BF69" s="1135"/>
      <c r="BG69" s="1135"/>
      <c r="BH69" s="1135"/>
      <c r="BI69" s="1135"/>
      <c r="BJ69" s="1135"/>
      <c r="BK69" s="1135"/>
      <c r="BL69" s="1135"/>
      <c r="BM69" s="1135"/>
      <c r="BN69" s="1135"/>
      <c r="BO69" s="1005"/>
      <c r="BP69" s="1005"/>
      <c r="BQ69" s="1596">
        <v>2.7547899507412897E-2</v>
      </c>
      <c r="BR69" s="1005"/>
      <c r="BS69" s="1005"/>
      <c r="BT69" s="1005"/>
      <c r="BU69" s="1005"/>
      <c r="BV69" s="1016"/>
      <c r="BW69" s="1016"/>
      <c r="BX69" s="1016"/>
      <c r="BY69" s="1016"/>
      <c r="BZ69" s="1016"/>
      <c r="CA69" s="1016"/>
      <c r="CB69" s="1016"/>
      <c r="CC69" s="1594"/>
      <c r="CD69" s="1136">
        <f t="shared" si="126"/>
        <v>4.2553181389926031E-4</v>
      </c>
      <c r="CE69" s="1136">
        <f t="shared" si="127"/>
        <v>0</v>
      </c>
      <c r="CF69" s="1136">
        <f t="shared" si="128"/>
        <v>0</v>
      </c>
      <c r="CG69" s="1136">
        <f t="shared" si="129"/>
        <v>0</v>
      </c>
      <c r="CH69" s="1136">
        <f t="shared" si="130"/>
        <v>0</v>
      </c>
      <c r="CI69" s="1136">
        <f t="shared" si="131"/>
        <v>0</v>
      </c>
      <c r="CJ69" s="1136">
        <f t="shared" si="132"/>
        <v>0</v>
      </c>
      <c r="CK69" s="1136">
        <f t="shared" si="133"/>
        <v>0</v>
      </c>
      <c r="CL69" s="1136">
        <f t="shared" si="134"/>
        <v>0</v>
      </c>
      <c r="CM69" s="1136">
        <f t="shared" si="135"/>
        <v>0</v>
      </c>
      <c r="CN69" s="1136">
        <f t="shared" si="136"/>
        <v>0</v>
      </c>
      <c r="CO69" s="1136">
        <f t="shared" si="137"/>
        <v>0</v>
      </c>
      <c r="CP69" s="1136">
        <f t="shared" si="138"/>
        <v>0</v>
      </c>
      <c r="CQ69" s="1136">
        <f t="shared" si="139"/>
        <v>0</v>
      </c>
      <c r="CR69" s="1136">
        <f t="shared" si="140"/>
        <v>0</v>
      </c>
      <c r="CS69" s="1136">
        <f t="shared" si="141"/>
        <v>0</v>
      </c>
      <c r="CT69" s="1136">
        <f t="shared" si="142"/>
        <v>0</v>
      </c>
      <c r="CU69" s="1136">
        <f t="shared" si="143"/>
        <v>0</v>
      </c>
      <c r="CV69" s="1136">
        <f t="shared" si="144"/>
        <v>0</v>
      </c>
      <c r="CW69" s="1136">
        <f t="shared" si="145"/>
        <v>0</v>
      </c>
      <c r="CX69" s="1136">
        <f t="shared" si="146"/>
        <v>0</v>
      </c>
      <c r="CY69" s="1136">
        <f t="shared" si="147"/>
        <v>0</v>
      </c>
      <c r="CZ69" s="1136">
        <f t="shared" si="148"/>
        <v>0</v>
      </c>
      <c r="DA69" s="1136">
        <f t="shared" si="149"/>
        <v>2.8062599928019738E-2</v>
      </c>
      <c r="DB69" s="1136">
        <f t="shared" si="150"/>
        <v>0</v>
      </c>
      <c r="DC69" s="1136">
        <f t="shared" si="151"/>
        <v>0</v>
      </c>
      <c r="DD69" s="1136">
        <f t="shared" si="152"/>
        <v>0</v>
      </c>
      <c r="DE69" s="1136">
        <f t="shared" si="153"/>
        <v>0</v>
      </c>
      <c r="DF69" s="1136">
        <f t="shared" si="154"/>
        <v>0</v>
      </c>
      <c r="DG69" s="1136">
        <f t="shared" si="155"/>
        <v>0</v>
      </c>
      <c r="DH69" s="1136">
        <f t="shared" si="156"/>
        <v>0</v>
      </c>
      <c r="DI69" s="1136">
        <f t="shared" si="157"/>
        <v>0</v>
      </c>
      <c r="DJ69" s="1136">
        <f t="shared" si="158"/>
        <v>0</v>
      </c>
      <c r="DK69" s="1136">
        <f t="shared" si="159"/>
        <v>0</v>
      </c>
      <c r="DL69" s="1136">
        <f t="shared" si="160"/>
        <v>0</v>
      </c>
      <c r="DM69" s="1131" t="str">
        <f t="array" ref="DM69">IF(MAX(ABS(CD69:DL69))&gt;$DM$4,"EXPLAIN","")</f>
        <v/>
      </c>
      <c r="DN69" s="1131" t="str">
        <f t="shared" si="115"/>
        <v/>
      </c>
      <c r="DP69" s="1140">
        <f t="shared" si="161"/>
        <v>2</v>
      </c>
      <c r="DQ69" s="1140">
        <f t="shared" si="162"/>
        <v>2</v>
      </c>
      <c r="DR69" s="1140" t="str">
        <f t="shared" si="163"/>
        <v>ok</v>
      </c>
    </row>
    <row r="70" spans="2:122" s="1140" customFormat="1">
      <c r="B70" s="1111" t="str">
        <f>IF(Prop2021DUOSTariffs!B70="","",Prop2021DUOSTariffs!B70)</f>
        <v/>
      </c>
      <c r="C70" s="1111" t="str">
        <f>IF(Prop2021DUOSTariffs!C70="","",Prop2021DUOSTariffs!C70)</f>
        <v xml:space="preserve">West SAC&lt;100MWhpa Small Business Primary Load Control </v>
      </c>
      <c r="D70" s="1111" t="str">
        <f>IF(Prop2021DUOSTariffs!D70="","",Prop2021DUOSTariffs!D70)</f>
        <v xml:space="preserve">West SAC&lt;100MWhpa Small Business Primary Load Control </v>
      </c>
      <c r="E70" s="1111" t="str">
        <f>IF(Prop2021DUOSTariffs!E70="","",Prop2021DUOSTariffs!E70)</f>
        <v>SAC</v>
      </c>
      <c r="F70" s="1111" t="str">
        <f>IF(Prop2021DUOSTariffs!F70="","",Prop2021DUOSTariffs!F70)</f>
        <v>SACS Bus</v>
      </c>
      <c r="G70" s="1111" t="str">
        <f>IF(Prop2021DUOSTariffs!G70="","",Prop2021DUOSTariffs!G70)</f>
        <v>West</v>
      </c>
      <c r="H70" s="1111" t="str">
        <f>IF(Prop2021DUOSTariffs!H70="","",Prop2021DUOSTariffs!H70)</f>
        <v>WBPLC</v>
      </c>
      <c r="I70" s="1111" t="str">
        <f>IF(Prop2021DUOSTariffs!I70="","",Prop2021DUOSTariffs!I70)</f>
        <v>DUOS</v>
      </c>
      <c r="J70" s="1774">
        <v>1.7669999999999999</v>
      </c>
      <c r="K70" s="1773">
        <v>0</v>
      </c>
      <c r="L70" s="1773">
        <v>0</v>
      </c>
      <c r="M70" s="1773">
        <v>0</v>
      </c>
      <c r="N70" s="1773">
        <v>0</v>
      </c>
      <c r="O70" s="1773">
        <v>0</v>
      </c>
      <c r="P70" s="1773">
        <v>0</v>
      </c>
      <c r="Q70" s="1773">
        <v>0</v>
      </c>
      <c r="R70" s="1773">
        <v>0</v>
      </c>
      <c r="S70" s="1773">
        <v>0</v>
      </c>
      <c r="T70" s="1773">
        <v>0</v>
      </c>
      <c r="U70" s="1773">
        <v>0</v>
      </c>
      <c r="V70" s="1773">
        <v>0</v>
      </c>
      <c r="W70" s="1773">
        <v>0</v>
      </c>
      <c r="X70" s="1773">
        <v>0</v>
      </c>
      <c r="Y70" s="1773">
        <v>0</v>
      </c>
      <c r="Z70" s="1773">
        <v>0</v>
      </c>
      <c r="AA70" s="1773">
        <v>0</v>
      </c>
      <c r="AB70" s="1773">
        <v>0</v>
      </c>
      <c r="AC70" s="1773">
        <v>0</v>
      </c>
      <c r="AD70" s="1773">
        <v>0</v>
      </c>
      <c r="AE70" s="1775">
        <v>0</v>
      </c>
      <c r="AF70" s="1775">
        <v>0</v>
      </c>
      <c r="AG70" s="1776">
        <v>6.2301328836840718E-2</v>
      </c>
      <c r="AH70" s="1775">
        <v>0</v>
      </c>
      <c r="AI70" s="1775">
        <v>0</v>
      </c>
      <c r="AJ70" s="1775">
        <v>0</v>
      </c>
      <c r="AK70" s="1775">
        <v>0</v>
      </c>
      <c r="AL70" s="1775">
        <v>0</v>
      </c>
      <c r="AM70" s="1775">
        <v>0</v>
      </c>
      <c r="AN70" s="1775">
        <v>0</v>
      </c>
      <c r="AO70" s="1775">
        <v>0</v>
      </c>
      <c r="AP70" s="1775">
        <v>0</v>
      </c>
      <c r="AQ70" s="1775">
        <v>0</v>
      </c>
      <c r="AR70" s="1775">
        <v>0</v>
      </c>
      <c r="AS70" s="1594"/>
      <c r="AT70" s="1233">
        <v>1.767246871333906</v>
      </c>
      <c r="AU70" s="1135"/>
      <c r="AV70" s="1135"/>
      <c r="AW70" s="1135"/>
      <c r="AX70" s="1135"/>
      <c r="AY70" s="1135"/>
      <c r="AZ70" s="1135"/>
      <c r="BA70" s="1135"/>
      <c r="BB70" s="1135"/>
      <c r="BC70" s="1135"/>
      <c r="BD70" s="1135"/>
      <c r="BE70" s="1135"/>
      <c r="BF70" s="1135"/>
      <c r="BG70" s="1135"/>
      <c r="BH70" s="1135"/>
      <c r="BI70" s="1135"/>
      <c r="BJ70" s="1135"/>
      <c r="BK70" s="1135"/>
      <c r="BL70" s="1135"/>
      <c r="BM70" s="1135"/>
      <c r="BN70" s="1135"/>
      <c r="BO70" s="1005"/>
      <c r="BP70" s="1005"/>
      <c r="BQ70" s="1596">
        <v>6.1155180132469955E-2</v>
      </c>
      <c r="BR70" s="1005"/>
      <c r="BS70" s="1005"/>
      <c r="BT70" s="1005"/>
      <c r="BU70" s="1005"/>
      <c r="BV70" s="1016"/>
      <c r="BW70" s="1016"/>
      <c r="BX70" s="1016"/>
      <c r="BY70" s="1016"/>
      <c r="BZ70" s="1016"/>
      <c r="CA70" s="1016"/>
      <c r="CB70" s="1016"/>
      <c r="CC70" s="1594"/>
      <c r="CD70" s="1136">
        <f t="shared" si="126"/>
        <v>-1.3969261335844418E-4</v>
      </c>
      <c r="CE70" s="1136">
        <f t="shared" si="127"/>
        <v>0</v>
      </c>
      <c r="CF70" s="1136">
        <f t="shared" si="128"/>
        <v>0</v>
      </c>
      <c r="CG70" s="1136">
        <f t="shared" si="129"/>
        <v>0</v>
      </c>
      <c r="CH70" s="1136">
        <f t="shared" si="130"/>
        <v>0</v>
      </c>
      <c r="CI70" s="1136">
        <f t="shared" si="131"/>
        <v>0</v>
      </c>
      <c r="CJ70" s="1136">
        <f t="shared" si="132"/>
        <v>0</v>
      </c>
      <c r="CK70" s="1136">
        <f t="shared" si="133"/>
        <v>0</v>
      </c>
      <c r="CL70" s="1136">
        <f t="shared" si="134"/>
        <v>0</v>
      </c>
      <c r="CM70" s="1136">
        <f t="shared" si="135"/>
        <v>0</v>
      </c>
      <c r="CN70" s="1136">
        <f t="shared" si="136"/>
        <v>0</v>
      </c>
      <c r="CO70" s="1136">
        <f t="shared" si="137"/>
        <v>0</v>
      </c>
      <c r="CP70" s="1136">
        <f t="shared" si="138"/>
        <v>0</v>
      </c>
      <c r="CQ70" s="1136">
        <f t="shared" si="139"/>
        <v>0</v>
      </c>
      <c r="CR70" s="1136">
        <f t="shared" si="140"/>
        <v>0</v>
      </c>
      <c r="CS70" s="1136">
        <f t="shared" si="141"/>
        <v>0</v>
      </c>
      <c r="CT70" s="1136">
        <f t="shared" si="142"/>
        <v>0</v>
      </c>
      <c r="CU70" s="1136">
        <f t="shared" si="143"/>
        <v>0</v>
      </c>
      <c r="CV70" s="1136">
        <f t="shared" si="144"/>
        <v>0</v>
      </c>
      <c r="CW70" s="1136">
        <f t="shared" si="145"/>
        <v>0</v>
      </c>
      <c r="CX70" s="1136">
        <f t="shared" si="146"/>
        <v>0</v>
      </c>
      <c r="CY70" s="1136">
        <f t="shared" si="147"/>
        <v>0</v>
      </c>
      <c r="CZ70" s="1136">
        <f t="shared" si="148"/>
        <v>0</v>
      </c>
      <c r="DA70" s="1136">
        <f t="shared" si="149"/>
        <v>1.874164546466961E-2</v>
      </c>
      <c r="DB70" s="1136">
        <f t="shared" si="150"/>
        <v>0</v>
      </c>
      <c r="DC70" s="1136">
        <f t="shared" si="151"/>
        <v>0</v>
      </c>
      <c r="DD70" s="1136">
        <f t="shared" si="152"/>
        <v>0</v>
      </c>
      <c r="DE70" s="1136">
        <f t="shared" si="153"/>
        <v>0</v>
      </c>
      <c r="DF70" s="1136">
        <f t="shared" si="154"/>
        <v>0</v>
      </c>
      <c r="DG70" s="1136">
        <f t="shared" si="155"/>
        <v>0</v>
      </c>
      <c r="DH70" s="1136">
        <f t="shared" si="156"/>
        <v>0</v>
      </c>
      <c r="DI70" s="1136">
        <f t="shared" si="157"/>
        <v>0</v>
      </c>
      <c r="DJ70" s="1136">
        <f t="shared" si="158"/>
        <v>0</v>
      </c>
      <c r="DK70" s="1136">
        <f t="shared" si="159"/>
        <v>0</v>
      </c>
      <c r="DL70" s="1136">
        <f t="shared" si="160"/>
        <v>0</v>
      </c>
      <c r="DM70" s="1131" t="str">
        <f t="array" ref="DM70">IF(MAX(ABS(CD70:DL70))&gt;$DM$4,"EXPLAIN","")</f>
        <v/>
      </c>
      <c r="DN70" s="1131" t="str">
        <f t="shared" si="115"/>
        <v/>
      </c>
      <c r="DP70" s="1140">
        <f t="shared" si="161"/>
        <v>2</v>
      </c>
      <c r="DQ70" s="1140">
        <f t="shared" si="162"/>
        <v>2</v>
      </c>
      <c r="DR70" s="1140" t="str">
        <f t="shared" si="163"/>
        <v>ok</v>
      </c>
    </row>
    <row r="71" spans="2:122" s="1140" customFormat="1">
      <c r="B71" s="1111" t="str">
        <f>IF(Prop2021DUOSTariffs!B71="","",Prop2021DUOSTariffs!B71)</f>
        <v/>
      </c>
      <c r="C71" s="1111" t="str">
        <f>IF(Prop2021DUOSTariffs!C71="","",Prop2021DUOSTariffs!C71)</f>
        <v xml:space="preserve">Mt Isa SAC&lt;100MWhpa Small Business Primary Load Control </v>
      </c>
      <c r="D71" s="1111" t="str">
        <f>IF(Prop2021DUOSTariffs!D71="","",Prop2021DUOSTariffs!D71)</f>
        <v xml:space="preserve">Mt Isa SAC&lt;100MWhpa Small Business Primary Load Control </v>
      </c>
      <c r="E71" s="1111" t="str">
        <f>IF(Prop2021DUOSTariffs!E71="","",Prop2021DUOSTariffs!E71)</f>
        <v>SAC</v>
      </c>
      <c r="F71" s="1111" t="str">
        <f>IF(Prop2021DUOSTariffs!F71="","",Prop2021DUOSTariffs!F71)</f>
        <v>SACS Bus</v>
      </c>
      <c r="G71" s="1111" t="str">
        <f>IF(Prop2021DUOSTariffs!G71="","",Prop2021DUOSTariffs!G71)</f>
        <v>Mt Isa</v>
      </c>
      <c r="H71" s="1111" t="str">
        <f>IF(Prop2021DUOSTariffs!H71="","",Prop2021DUOSTariffs!H71)</f>
        <v>MBPLC</v>
      </c>
      <c r="I71" s="1111" t="str">
        <f>IF(Prop2021DUOSTariffs!I71="","",Prop2021DUOSTariffs!I71)</f>
        <v>DUOS</v>
      </c>
      <c r="J71" s="1774">
        <v>1.105</v>
      </c>
      <c r="K71" s="1773">
        <v>0</v>
      </c>
      <c r="L71" s="1773">
        <v>0</v>
      </c>
      <c r="M71" s="1773">
        <v>0</v>
      </c>
      <c r="N71" s="1773">
        <v>0</v>
      </c>
      <c r="O71" s="1773">
        <v>0</v>
      </c>
      <c r="P71" s="1773">
        <v>0</v>
      </c>
      <c r="Q71" s="1773">
        <v>0</v>
      </c>
      <c r="R71" s="1773">
        <v>0</v>
      </c>
      <c r="S71" s="1773">
        <v>0</v>
      </c>
      <c r="T71" s="1773">
        <v>0</v>
      </c>
      <c r="U71" s="1773">
        <v>0</v>
      </c>
      <c r="V71" s="1773">
        <v>0</v>
      </c>
      <c r="W71" s="1773">
        <v>0</v>
      </c>
      <c r="X71" s="1773">
        <v>0</v>
      </c>
      <c r="Y71" s="1773">
        <v>0</v>
      </c>
      <c r="Z71" s="1773">
        <v>0</v>
      </c>
      <c r="AA71" s="1773">
        <v>0</v>
      </c>
      <c r="AB71" s="1773">
        <v>0</v>
      </c>
      <c r="AC71" s="1773">
        <v>0</v>
      </c>
      <c r="AD71" s="1773">
        <v>0</v>
      </c>
      <c r="AE71" s="1775">
        <v>0</v>
      </c>
      <c r="AF71" s="1775">
        <v>0</v>
      </c>
      <c r="AG71" s="1776">
        <v>2.8850797997973372E-2</v>
      </c>
      <c r="AH71" s="1775">
        <v>0</v>
      </c>
      <c r="AI71" s="1775">
        <v>0</v>
      </c>
      <c r="AJ71" s="1775">
        <v>0</v>
      </c>
      <c r="AK71" s="1775">
        <v>0</v>
      </c>
      <c r="AL71" s="1775">
        <v>0</v>
      </c>
      <c r="AM71" s="1775">
        <v>0</v>
      </c>
      <c r="AN71" s="1775">
        <v>0</v>
      </c>
      <c r="AO71" s="1775">
        <v>0</v>
      </c>
      <c r="AP71" s="1775">
        <v>0</v>
      </c>
      <c r="AQ71" s="1775">
        <v>0</v>
      </c>
      <c r="AR71" s="1775">
        <v>0</v>
      </c>
      <c r="AS71" s="1594"/>
      <c r="AT71" s="1233">
        <v>1.1045292945836918</v>
      </c>
      <c r="AU71" s="1135"/>
      <c r="AV71" s="1135"/>
      <c r="AW71" s="1135"/>
      <c r="AX71" s="1135"/>
      <c r="AY71" s="1135"/>
      <c r="AZ71" s="1135"/>
      <c r="BA71" s="1135"/>
      <c r="BB71" s="1135"/>
      <c r="BC71" s="1135"/>
      <c r="BD71" s="1135"/>
      <c r="BE71" s="1135"/>
      <c r="BF71" s="1135"/>
      <c r="BG71" s="1135"/>
      <c r="BH71" s="1135"/>
      <c r="BI71" s="1135"/>
      <c r="BJ71" s="1135"/>
      <c r="BK71" s="1135"/>
      <c r="BL71" s="1135"/>
      <c r="BM71" s="1135"/>
      <c r="BN71" s="1135"/>
      <c r="BO71" s="1005"/>
      <c r="BP71" s="1005"/>
      <c r="BQ71" s="1596">
        <v>2.8326970323308942E-2</v>
      </c>
      <c r="BR71" s="1005"/>
      <c r="BS71" s="1005"/>
      <c r="BT71" s="1005"/>
      <c r="BU71" s="1005"/>
      <c r="BV71" s="1016"/>
      <c r="BW71" s="1016"/>
      <c r="BX71" s="1016"/>
      <c r="BY71" s="1016"/>
      <c r="BZ71" s="1016"/>
      <c r="CA71" s="1016"/>
      <c r="CB71" s="1016"/>
      <c r="CC71" s="1594"/>
      <c r="CD71" s="1136">
        <f t="shared" si="126"/>
        <v>4.2615928669031966E-4</v>
      </c>
      <c r="CE71" s="1136">
        <f t="shared" si="127"/>
        <v>0</v>
      </c>
      <c r="CF71" s="1136">
        <f t="shared" si="128"/>
        <v>0</v>
      </c>
      <c r="CG71" s="1136">
        <f t="shared" si="129"/>
        <v>0</v>
      </c>
      <c r="CH71" s="1136">
        <f t="shared" si="130"/>
        <v>0</v>
      </c>
      <c r="CI71" s="1136">
        <f t="shared" si="131"/>
        <v>0</v>
      </c>
      <c r="CJ71" s="1136">
        <f t="shared" si="132"/>
        <v>0</v>
      </c>
      <c r="CK71" s="1136">
        <f t="shared" si="133"/>
        <v>0</v>
      </c>
      <c r="CL71" s="1136">
        <f t="shared" si="134"/>
        <v>0</v>
      </c>
      <c r="CM71" s="1136">
        <f t="shared" si="135"/>
        <v>0</v>
      </c>
      <c r="CN71" s="1136">
        <f t="shared" si="136"/>
        <v>0</v>
      </c>
      <c r="CO71" s="1136">
        <f t="shared" si="137"/>
        <v>0</v>
      </c>
      <c r="CP71" s="1136">
        <f t="shared" si="138"/>
        <v>0</v>
      </c>
      <c r="CQ71" s="1136">
        <f t="shared" si="139"/>
        <v>0</v>
      </c>
      <c r="CR71" s="1136">
        <f t="shared" si="140"/>
        <v>0</v>
      </c>
      <c r="CS71" s="1136">
        <f t="shared" si="141"/>
        <v>0</v>
      </c>
      <c r="CT71" s="1136">
        <f t="shared" si="142"/>
        <v>0</v>
      </c>
      <c r="CU71" s="1136">
        <f t="shared" si="143"/>
        <v>0</v>
      </c>
      <c r="CV71" s="1136">
        <f t="shared" si="144"/>
        <v>0</v>
      </c>
      <c r="CW71" s="1136">
        <f t="shared" si="145"/>
        <v>0</v>
      </c>
      <c r="CX71" s="1136">
        <f t="shared" si="146"/>
        <v>0</v>
      </c>
      <c r="CY71" s="1136">
        <f t="shared" si="147"/>
        <v>0</v>
      </c>
      <c r="CZ71" s="1136">
        <f t="shared" si="148"/>
        <v>0</v>
      </c>
      <c r="DA71" s="1136">
        <f t="shared" si="149"/>
        <v>1.849218849335954E-2</v>
      </c>
      <c r="DB71" s="1136">
        <f t="shared" si="150"/>
        <v>0</v>
      </c>
      <c r="DC71" s="1136">
        <f t="shared" si="151"/>
        <v>0</v>
      </c>
      <c r="DD71" s="1136">
        <f t="shared" si="152"/>
        <v>0</v>
      </c>
      <c r="DE71" s="1136">
        <f t="shared" si="153"/>
        <v>0</v>
      </c>
      <c r="DF71" s="1136">
        <f t="shared" si="154"/>
        <v>0</v>
      </c>
      <c r="DG71" s="1136">
        <f t="shared" si="155"/>
        <v>0</v>
      </c>
      <c r="DH71" s="1136">
        <f t="shared" si="156"/>
        <v>0</v>
      </c>
      <c r="DI71" s="1136">
        <f t="shared" si="157"/>
        <v>0</v>
      </c>
      <c r="DJ71" s="1136">
        <f t="shared" si="158"/>
        <v>0</v>
      </c>
      <c r="DK71" s="1136">
        <f t="shared" si="159"/>
        <v>0</v>
      </c>
      <c r="DL71" s="1136">
        <f t="shared" si="160"/>
        <v>0</v>
      </c>
      <c r="DM71" s="1131" t="str">
        <f t="array" ref="DM71">IF(MAX(ABS(CD71:DL71))&gt;$DM$4,"EXPLAIN","")</f>
        <v/>
      </c>
      <c r="DN71" s="1131" t="str">
        <f t="shared" si="115"/>
        <v/>
      </c>
      <c r="DP71" s="1140">
        <f t="shared" si="161"/>
        <v>2</v>
      </c>
      <c r="DQ71" s="1140">
        <f t="shared" si="162"/>
        <v>2</v>
      </c>
      <c r="DR71" s="1140" t="str">
        <f t="shared" si="163"/>
        <v>ok</v>
      </c>
    </row>
    <row r="72" spans="2:122" s="1140" customFormat="1" ht="6" customHeight="1">
      <c r="B72" s="1568" t="str">
        <f>IF(Prop2021DUOSTariffs!B72="","",Prop2021DUOSTariffs!B72)</f>
        <v>-</v>
      </c>
      <c r="C72" s="1568" t="str">
        <f>IF(Prop2021DUOSTariffs!C72="","",Prop2021DUOSTariffs!C72)</f>
        <v/>
      </c>
      <c r="D72" s="1568" t="str">
        <f>IF(Prop2021DUOSTariffs!D72="","",Prop2021DUOSTariffs!D72)</f>
        <v/>
      </c>
      <c r="E72" s="1568"/>
      <c r="F72" s="1568"/>
      <c r="G72" s="1568"/>
      <c r="H72" s="1568"/>
      <c r="I72" s="1568"/>
      <c r="J72" s="1777"/>
      <c r="K72" s="1777"/>
      <c r="L72" s="1777"/>
      <c r="M72" s="1777"/>
      <c r="N72" s="1777"/>
      <c r="O72" s="1777"/>
      <c r="P72" s="1777"/>
      <c r="Q72" s="1777"/>
      <c r="R72" s="1777"/>
      <c r="S72" s="1777"/>
      <c r="T72" s="1777"/>
      <c r="U72" s="1777"/>
      <c r="V72" s="1777"/>
      <c r="W72" s="1777"/>
      <c r="X72" s="1777"/>
      <c r="Y72" s="1777"/>
      <c r="Z72" s="1777"/>
      <c r="AA72" s="1777"/>
      <c r="AB72" s="1777"/>
      <c r="AC72" s="1777"/>
      <c r="AD72" s="1777"/>
      <c r="AE72" s="1778"/>
      <c r="AF72" s="1778"/>
      <c r="AG72" s="1778"/>
      <c r="AH72" s="1778"/>
      <c r="AI72" s="1778"/>
      <c r="AJ72" s="1778"/>
      <c r="AK72" s="1778"/>
      <c r="AL72" s="1778"/>
      <c r="AM72" s="1778"/>
      <c r="AN72" s="1778"/>
      <c r="AO72" s="1778"/>
      <c r="AP72" s="1778"/>
      <c r="AQ72" s="1778"/>
      <c r="AR72" s="1778"/>
      <c r="AS72" s="1594"/>
      <c r="AT72" s="1590"/>
      <c r="AU72" s="1569"/>
      <c r="AV72" s="1569"/>
      <c r="AW72" s="1569"/>
      <c r="AX72" s="1569"/>
      <c r="AY72" s="1569"/>
      <c r="AZ72" s="1569"/>
      <c r="BA72" s="1569"/>
      <c r="BB72" s="1569"/>
      <c r="BC72" s="1569"/>
      <c r="BD72" s="1569"/>
      <c r="BE72" s="1569"/>
      <c r="BF72" s="1569"/>
      <c r="BG72" s="1569"/>
      <c r="BH72" s="1569"/>
      <c r="BI72" s="1569"/>
      <c r="BJ72" s="1569"/>
      <c r="BK72" s="1569"/>
      <c r="BL72" s="1569"/>
      <c r="BM72" s="1569"/>
      <c r="BN72" s="1569"/>
      <c r="BO72" s="1570"/>
      <c r="BP72" s="1570"/>
      <c r="BQ72" s="1570"/>
      <c r="BR72" s="1570"/>
      <c r="BS72" s="1570"/>
      <c r="BT72" s="1570"/>
      <c r="BU72" s="1570"/>
      <c r="BV72" s="1595"/>
      <c r="BW72" s="1595"/>
      <c r="BX72" s="1595"/>
      <c r="BY72" s="1595"/>
      <c r="BZ72" s="1595"/>
      <c r="CA72" s="1595"/>
      <c r="CB72" s="1595"/>
      <c r="CC72" s="1594"/>
      <c r="CD72" s="1571"/>
      <c r="CE72" s="1571"/>
      <c r="CF72" s="1571"/>
      <c r="CG72" s="1571"/>
      <c r="CH72" s="1571"/>
      <c r="CI72" s="1571"/>
      <c r="CJ72" s="1571"/>
      <c r="CK72" s="1571"/>
      <c r="CL72" s="1571"/>
      <c r="CM72" s="1571"/>
      <c r="CN72" s="1571"/>
      <c r="CO72" s="1571"/>
      <c r="CP72" s="1571"/>
      <c r="CQ72" s="1571"/>
      <c r="CR72" s="1571"/>
      <c r="CS72" s="1571"/>
      <c r="CT72" s="1571"/>
      <c r="CU72" s="1571"/>
      <c r="CV72" s="1571"/>
      <c r="CW72" s="1571"/>
      <c r="CX72" s="1571"/>
      <c r="CY72" s="1571"/>
      <c r="CZ72" s="1571"/>
      <c r="DA72" s="1571"/>
      <c r="DB72" s="1571"/>
      <c r="DC72" s="1571"/>
      <c r="DD72" s="1571"/>
      <c r="DE72" s="1571"/>
      <c r="DF72" s="1571"/>
      <c r="DG72" s="1571"/>
      <c r="DH72" s="1571"/>
      <c r="DI72" s="1571"/>
      <c r="DJ72" s="1571"/>
      <c r="DK72" s="1571"/>
      <c r="DL72" s="1571"/>
      <c r="DM72" s="1572"/>
      <c r="DN72" s="1572"/>
    </row>
    <row r="73" spans="2:122" s="1140" customFormat="1">
      <c r="B73" s="1111" t="str">
        <f>IF(Prop2021DUOSTariffs!B73="","",Prop2021DUOSTariffs!B73)</f>
        <v/>
      </c>
      <c r="C73" s="1111" t="str">
        <f>IF(Prop2021DUOSTariffs!C73="","",Prop2021DUOSTariffs!C73)</f>
        <v>East Transitional Network ToU Energy Tariff 1</v>
      </c>
      <c r="D73" s="1111" t="str">
        <f>IF(Prop2021DUOSTariffs!D73="","",Prop2021DUOSTariffs!D73)</f>
        <v>-</v>
      </c>
      <c r="E73" s="1111" t="str">
        <f>IF(Prop2021DUOSTariffs!E73="","",Prop2021DUOSTariffs!E73)</f>
        <v>SAC</v>
      </c>
      <c r="F73" s="1111" t="str">
        <f>IF(Prop2021DUOSTariffs!F73="","",Prop2021DUOSTariffs!F73)</f>
        <v>SACS Bus</v>
      </c>
      <c r="G73" s="1111" t="str">
        <f>IF(Prop2021DUOSTariffs!G73="","",Prop2021DUOSTariffs!G73)</f>
        <v>East</v>
      </c>
      <c r="H73" s="1111" t="str">
        <f>IF(Prop2021DUOSTariffs!H73="","",Prop2021DUOSTariffs!H73)</f>
        <v>EBFRM</v>
      </c>
      <c r="I73" s="1111" t="str">
        <f>IF(Prop2021DUOSTariffs!I73="","",Prop2021DUOSTariffs!I73)</f>
        <v>DUOS</v>
      </c>
      <c r="J73" s="1774">
        <v>0.31737117082284905</v>
      </c>
      <c r="K73" s="1773">
        <v>0</v>
      </c>
      <c r="L73" s="1773">
        <v>0</v>
      </c>
      <c r="M73" s="1773">
        <v>0</v>
      </c>
      <c r="N73" s="1773">
        <v>0</v>
      </c>
      <c r="O73" s="1773">
        <v>0</v>
      </c>
      <c r="P73" s="1773">
        <v>0</v>
      </c>
      <c r="Q73" s="1773">
        <v>0</v>
      </c>
      <c r="R73" s="1773">
        <v>0</v>
      </c>
      <c r="S73" s="1773">
        <v>0</v>
      </c>
      <c r="T73" s="1773">
        <v>0</v>
      </c>
      <c r="U73" s="1773">
        <v>0</v>
      </c>
      <c r="V73" s="1773">
        <v>0</v>
      </c>
      <c r="W73" s="1773">
        <v>0</v>
      </c>
      <c r="X73" s="1773">
        <v>0</v>
      </c>
      <c r="Y73" s="1773">
        <v>0</v>
      </c>
      <c r="Z73" s="1773">
        <v>0</v>
      </c>
      <c r="AA73" s="1773">
        <v>0</v>
      </c>
      <c r="AB73" s="1773">
        <v>0</v>
      </c>
      <c r="AC73" s="1773">
        <v>0</v>
      </c>
      <c r="AD73" s="1773">
        <v>0</v>
      </c>
      <c r="AE73" s="1775">
        <v>0</v>
      </c>
      <c r="AF73" s="1775">
        <v>0</v>
      </c>
      <c r="AG73" s="1775">
        <v>0</v>
      </c>
      <c r="AH73" s="1775">
        <v>0</v>
      </c>
      <c r="AI73" s="1775">
        <v>0</v>
      </c>
      <c r="AJ73" s="1775">
        <v>0</v>
      </c>
      <c r="AK73" s="1775">
        <v>0</v>
      </c>
      <c r="AL73" s="1775">
        <v>0</v>
      </c>
      <c r="AM73" s="1775">
        <v>0</v>
      </c>
      <c r="AN73" s="1776">
        <v>3.68166658816362E-2</v>
      </c>
      <c r="AO73" s="1776">
        <v>0.34194600000000003</v>
      </c>
      <c r="AP73" s="1776">
        <v>0.26908200000000004</v>
      </c>
      <c r="AQ73" s="1775">
        <v>0</v>
      </c>
      <c r="AR73" s="1775">
        <v>0</v>
      </c>
      <c r="AS73" s="1594"/>
      <c r="AT73" s="1233">
        <v>0</v>
      </c>
      <c r="AU73" s="1135"/>
      <c r="AV73" s="1135"/>
      <c r="AW73" s="1135"/>
      <c r="AX73" s="1135"/>
      <c r="AY73" s="1135"/>
      <c r="AZ73" s="1135"/>
      <c r="BA73" s="1135"/>
      <c r="BB73" s="1135"/>
      <c r="BC73" s="1135"/>
      <c r="BD73" s="1135"/>
      <c r="BE73" s="1135"/>
      <c r="BF73" s="1135"/>
      <c r="BG73" s="1135"/>
      <c r="BH73" s="1135"/>
      <c r="BI73" s="1135"/>
      <c r="BJ73" s="1135"/>
      <c r="BK73" s="1135"/>
      <c r="BL73" s="1135"/>
      <c r="BM73" s="1135"/>
      <c r="BN73" s="1135"/>
      <c r="BO73" s="1005"/>
      <c r="BP73" s="1005"/>
      <c r="BQ73" s="1005"/>
      <c r="BR73" s="1005"/>
      <c r="BS73" s="1005"/>
      <c r="BT73" s="1005"/>
      <c r="BU73" s="1005"/>
      <c r="BV73" s="1016"/>
      <c r="BW73" s="1016"/>
      <c r="BX73" s="1596">
        <v>0</v>
      </c>
      <c r="BY73" s="1596">
        <v>0</v>
      </c>
      <c r="BZ73" s="1596">
        <v>0</v>
      </c>
      <c r="CA73" s="1016"/>
      <c r="CB73" s="1016"/>
      <c r="CC73" s="1594"/>
      <c r="CD73" s="1136">
        <f t="shared" ref="CD73:CM75" si="164">IFERROR(J73/AT73-1,0)</f>
        <v>0</v>
      </c>
      <c r="CE73" s="1136">
        <f t="shared" si="164"/>
        <v>0</v>
      </c>
      <c r="CF73" s="1136">
        <f t="shared" si="164"/>
        <v>0</v>
      </c>
      <c r="CG73" s="1136">
        <f t="shared" si="164"/>
        <v>0</v>
      </c>
      <c r="CH73" s="1136">
        <f t="shared" si="164"/>
        <v>0</v>
      </c>
      <c r="CI73" s="1136">
        <f t="shared" si="164"/>
        <v>0</v>
      </c>
      <c r="CJ73" s="1136">
        <f t="shared" si="164"/>
        <v>0</v>
      </c>
      <c r="CK73" s="1136">
        <f t="shared" si="164"/>
        <v>0</v>
      </c>
      <c r="CL73" s="1136">
        <f t="shared" si="164"/>
        <v>0</v>
      </c>
      <c r="CM73" s="1136">
        <f t="shared" si="164"/>
        <v>0</v>
      </c>
      <c r="CN73" s="1136">
        <f t="shared" ref="CN73:CW75" si="165">IFERROR(T73/BD73-1,0)</f>
        <v>0</v>
      </c>
      <c r="CO73" s="1136">
        <f t="shared" si="165"/>
        <v>0</v>
      </c>
      <c r="CP73" s="1136">
        <f t="shared" si="165"/>
        <v>0</v>
      </c>
      <c r="CQ73" s="1136">
        <f t="shared" si="165"/>
        <v>0</v>
      </c>
      <c r="CR73" s="1136">
        <f t="shared" si="165"/>
        <v>0</v>
      </c>
      <c r="CS73" s="1136">
        <f t="shared" si="165"/>
        <v>0</v>
      </c>
      <c r="CT73" s="1136">
        <f t="shared" si="165"/>
        <v>0</v>
      </c>
      <c r="CU73" s="1136">
        <f t="shared" si="165"/>
        <v>0</v>
      </c>
      <c r="CV73" s="1136">
        <f t="shared" si="165"/>
        <v>0</v>
      </c>
      <c r="CW73" s="1136">
        <f t="shared" si="165"/>
        <v>0</v>
      </c>
      <c r="CX73" s="1136">
        <f t="shared" ref="CX73:DG75" si="166">IFERROR(AD73/BN73-1,0)</f>
        <v>0</v>
      </c>
      <c r="CY73" s="1136">
        <f t="shared" si="166"/>
        <v>0</v>
      </c>
      <c r="CZ73" s="1136">
        <f t="shared" si="166"/>
        <v>0</v>
      </c>
      <c r="DA73" s="1136">
        <f t="shared" si="166"/>
        <v>0</v>
      </c>
      <c r="DB73" s="1136">
        <f t="shared" si="166"/>
        <v>0</v>
      </c>
      <c r="DC73" s="1136">
        <f t="shared" si="166"/>
        <v>0</v>
      </c>
      <c r="DD73" s="1136">
        <f t="shared" si="166"/>
        <v>0</v>
      </c>
      <c r="DE73" s="1136">
        <f t="shared" si="166"/>
        <v>0</v>
      </c>
      <c r="DF73" s="1136">
        <f t="shared" si="166"/>
        <v>0</v>
      </c>
      <c r="DG73" s="1136">
        <f t="shared" si="166"/>
        <v>0</v>
      </c>
      <c r="DH73" s="1136">
        <f t="shared" ref="DH73:DL75" si="167">IFERROR(AN73/BX73-1,0)</f>
        <v>0</v>
      </c>
      <c r="DI73" s="1136">
        <f t="shared" si="167"/>
        <v>0</v>
      </c>
      <c r="DJ73" s="1136">
        <f t="shared" si="167"/>
        <v>0</v>
      </c>
      <c r="DK73" s="1136">
        <f t="shared" si="167"/>
        <v>0</v>
      </c>
      <c r="DL73" s="1136">
        <f t="shared" si="167"/>
        <v>0</v>
      </c>
      <c r="DM73" s="1131" t="str">
        <f t="array" ref="DM73">IF(MAX(ABS(CD73:DL73))&gt;$DM$4,"EXPLAIN","")</f>
        <v/>
      </c>
      <c r="DN73" s="1131" t="str">
        <f t="shared" si="115"/>
        <v/>
      </c>
      <c r="DP73" s="1140">
        <f t="shared" ref="DP73:DP75" si="168">COUNTIFS(J73:AR73,"&lt;&gt;"&amp;0)</f>
        <v>4</v>
      </c>
      <c r="DQ73" s="1140">
        <f t="shared" ref="DQ73:DQ75" si="169">COUNTA(AT73:CB73)</f>
        <v>4</v>
      </c>
      <c r="DR73" s="1140" t="str">
        <f t="shared" ref="DR73:DR75" si="170">IF(DP73=DQ73,"ok","xxxx")</f>
        <v>ok</v>
      </c>
    </row>
    <row r="74" spans="2:122">
      <c r="B74" s="1111" t="str">
        <f>IF(Prop2021DUOSTariffs!B74="","",Prop2021DUOSTariffs!B74)</f>
        <v/>
      </c>
      <c r="C74" s="1111" t="str">
        <f>IF(Prop2021DUOSTariffs!C74="","",Prop2021DUOSTariffs!C74)</f>
        <v>East Transitional Network ToU Energy Tariff 2</v>
      </c>
      <c r="D74" s="1111" t="str">
        <f>IF(Prop2021DUOSTariffs!D74="","",Prop2021DUOSTariffs!D74)</f>
        <v>-</v>
      </c>
      <c r="E74" s="1111" t="str">
        <f>IF(Prop2021DUOSTariffs!E74="","",Prop2021DUOSTariffs!E74)</f>
        <v>SAC</v>
      </c>
      <c r="F74" s="1111" t="str">
        <f>IF(Prop2021DUOSTariffs!F74="","",Prop2021DUOSTariffs!F74)</f>
        <v>SACS Bus</v>
      </c>
      <c r="G74" s="1111" t="str">
        <f>IF(Prop2021DUOSTariffs!G74="","",Prop2021DUOSTariffs!G74)</f>
        <v>East</v>
      </c>
      <c r="H74" s="1111" t="str">
        <f>IF(Prop2021DUOSTariffs!H74="","",Prop2021DUOSTariffs!H74)</f>
        <v>EBIRR</v>
      </c>
      <c r="I74" s="1111" t="str">
        <f>IF(Prop2021DUOSTariffs!I74="","",Prop2021DUOSTariffs!I74)</f>
        <v>DUOS</v>
      </c>
      <c r="J74" s="1774">
        <v>0.31457345076323984</v>
      </c>
      <c r="K74" s="1773">
        <v>0</v>
      </c>
      <c r="L74" s="1773">
        <v>0</v>
      </c>
      <c r="M74" s="1773">
        <v>0</v>
      </c>
      <c r="N74" s="1773">
        <v>0</v>
      </c>
      <c r="O74" s="1773">
        <v>0</v>
      </c>
      <c r="P74" s="1773">
        <v>0</v>
      </c>
      <c r="Q74" s="1773">
        <v>0</v>
      </c>
      <c r="R74" s="1773">
        <v>0</v>
      </c>
      <c r="S74" s="1773">
        <v>0</v>
      </c>
      <c r="T74" s="1773">
        <v>0</v>
      </c>
      <c r="U74" s="1773">
        <v>0</v>
      </c>
      <c r="V74" s="1773">
        <v>0</v>
      </c>
      <c r="W74" s="1773">
        <v>0</v>
      </c>
      <c r="X74" s="1773">
        <v>0</v>
      </c>
      <c r="Y74" s="1773">
        <v>0</v>
      </c>
      <c r="Z74" s="1773">
        <v>0</v>
      </c>
      <c r="AA74" s="1773">
        <v>0</v>
      </c>
      <c r="AB74" s="1773">
        <v>0</v>
      </c>
      <c r="AC74" s="1773">
        <v>0</v>
      </c>
      <c r="AD74" s="1773">
        <v>0</v>
      </c>
      <c r="AE74" s="1775">
        <v>0</v>
      </c>
      <c r="AF74" s="1775">
        <v>0</v>
      </c>
      <c r="AG74" s="1775">
        <v>0</v>
      </c>
      <c r="AH74" s="1775">
        <v>0</v>
      </c>
      <c r="AI74" s="1775">
        <v>0</v>
      </c>
      <c r="AJ74" s="1775">
        <v>0</v>
      </c>
      <c r="AK74" s="1775">
        <v>0</v>
      </c>
      <c r="AL74" s="1775">
        <v>0</v>
      </c>
      <c r="AM74" s="1775">
        <v>0</v>
      </c>
      <c r="AN74" s="1776">
        <v>7.6659000000000005E-2</v>
      </c>
      <c r="AO74" s="1776">
        <v>0.24528081138639651</v>
      </c>
      <c r="AP74" s="1775">
        <v>0</v>
      </c>
      <c r="AQ74" s="1775">
        <v>0</v>
      </c>
      <c r="AR74" s="1775">
        <v>0</v>
      </c>
      <c r="AS74" s="1594"/>
      <c r="AT74" s="1233">
        <v>0</v>
      </c>
      <c r="AU74" s="1135"/>
      <c r="AV74" s="1135"/>
      <c r="AW74" s="1135"/>
      <c r="AX74" s="1135"/>
      <c r="AY74" s="1135"/>
      <c r="AZ74" s="1135"/>
      <c r="BA74" s="1135"/>
      <c r="BB74" s="1135"/>
      <c r="BC74" s="1135"/>
      <c r="BD74" s="1135"/>
      <c r="BE74" s="1135"/>
      <c r="BF74" s="1135"/>
      <c r="BG74" s="1135"/>
      <c r="BH74" s="1135"/>
      <c r="BI74" s="1135"/>
      <c r="BJ74" s="1135"/>
      <c r="BK74" s="1135"/>
      <c r="BL74" s="1135"/>
      <c r="BM74" s="1135"/>
      <c r="BN74" s="1135"/>
      <c r="BO74" s="1005"/>
      <c r="BP74" s="1005"/>
      <c r="BQ74" s="1005"/>
      <c r="BR74" s="1005"/>
      <c r="BS74" s="1005"/>
      <c r="BT74" s="1005"/>
      <c r="BU74" s="1005"/>
      <c r="BV74" s="1016"/>
      <c r="BW74" s="1016"/>
      <c r="BX74" s="1596">
        <v>0</v>
      </c>
      <c r="BY74" s="1596">
        <v>0</v>
      </c>
      <c r="BZ74" s="1016"/>
      <c r="CA74" s="1016"/>
      <c r="CB74" s="1016"/>
      <c r="CC74" s="1594"/>
      <c r="CD74" s="1136">
        <f t="shared" si="164"/>
        <v>0</v>
      </c>
      <c r="CE74" s="1136">
        <f t="shared" si="164"/>
        <v>0</v>
      </c>
      <c r="CF74" s="1136">
        <f t="shared" si="164"/>
        <v>0</v>
      </c>
      <c r="CG74" s="1136">
        <f t="shared" si="164"/>
        <v>0</v>
      </c>
      <c r="CH74" s="1136">
        <f t="shared" si="164"/>
        <v>0</v>
      </c>
      <c r="CI74" s="1136">
        <f t="shared" si="164"/>
        <v>0</v>
      </c>
      <c r="CJ74" s="1136">
        <f t="shared" si="164"/>
        <v>0</v>
      </c>
      <c r="CK74" s="1136">
        <f t="shared" si="164"/>
        <v>0</v>
      </c>
      <c r="CL74" s="1136">
        <f t="shared" si="164"/>
        <v>0</v>
      </c>
      <c r="CM74" s="1136">
        <f t="shared" si="164"/>
        <v>0</v>
      </c>
      <c r="CN74" s="1136">
        <f t="shared" si="165"/>
        <v>0</v>
      </c>
      <c r="CO74" s="1136">
        <f t="shared" si="165"/>
        <v>0</v>
      </c>
      <c r="CP74" s="1136">
        <f t="shared" si="165"/>
        <v>0</v>
      </c>
      <c r="CQ74" s="1136">
        <f t="shared" si="165"/>
        <v>0</v>
      </c>
      <c r="CR74" s="1136">
        <f t="shared" si="165"/>
        <v>0</v>
      </c>
      <c r="CS74" s="1136">
        <f t="shared" si="165"/>
        <v>0</v>
      </c>
      <c r="CT74" s="1136">
        <f t="shared" si="165"/>
        <v>0</v>
      </c>
      <c r="CU74" s="1136">
        <f t="shared" si="165"/>
        <v>0</v>
      </c>
      <c r="CV74" s="1136">
        <f t="shared" si="165"/>
        <v>0</v>
      </c>
      <c r="CW74" s="1136">
        <f t="shared" si="165"/>
        <v>0</v>
      </c>
      <c r="CX74" s="1136">
        <f t="shared" si="166"/>
        <v>0</v>
      </c>
      <c r="CY74" s="1136">
        <f t="shared" si="166"/>
        <v>0</v>
      </c>
      <c r="CZ74" s="1136">
        <f t="shared" si="166"/>
        <v>0</v>
      </c>
      <c r="DA74" s="1136">
        <f t="shared" si="166"/>
        <v>0</v>
      </c>
      <c r="DB74" s="1136">
        <f t="shared" si="166"/>
        <v>0</v>
      </c>
      <c r="DC74" s="1136">
        <f t="shared" si="166"/>
        <v>0</v>
      </c>
      <c r="DD74" s="1136">
        <f t="shared" si="166"/>
        <v>0</v>
      </c>
      <c r="DE74" s="1136">
        <f t="shared" si="166"/>
        <v>0</v>
      </c>
      <c r="DF74" s="1136">
        <f t="shared" si="166"/>
        <v>0</v>
      </c>
      <c r="DG74" s="1136">
        <f t="shared" si="166"/>
        <v>0</v>
      </c>
      <c r="DH74" s="1136">
        <f t="shared" si="167"/>
        <v>0</v>
      </c>
      <c r="DI74" s="1136">
        <f t="shared" si="167"/>
        <v>0</v>
      </c>
      <c r="DJ74" s="1136">
        <f t="shared" si="167"/>
        <v>0</v>
      </c>
      <c r="DK74" s="1136">
        <f t="shared" si="167"/>
        <v>0</v>
      </c>
      <c r="DL74" s="1136">
        <f t="shared" si="167"/>
        <v>0</v>
      </c>
      <c r="DM74" s="1131" t="str">
        <f t="array" ref="DM74">IF(MAX(ABS(CD74:DL74))&gt;$DM$4,"EXPLAIN","")</f>
        <v/>
      </c>
      <c r="DN74" s="1131" t="str">
        <f t="shared" si="115"/>
        <v/>
      </c>
      <c r="DP74" s="1140">
        <f t="shared" si="168"/>
        <v>3</v>
      </c>
      <c r="DQ74" s="1140">
        <f t="shared" si="169"/>
        <v>3</v>
      </c>
      <c r="DR74" s="1140" t="str">
        <f t="shared" si="170"/>
        <v>ok</v>
      </c>
    </row>
    <row r="75" spans="2:122">
      <c r="B75" s="1111" t="str">
        <f>IF(Prop2021DUOSTariffs!B75="","",Prop2021DUOSTariffs!B75)</f>
        <v/>
      </c>
      <c r="C75" s="1111" t="str">
        <f>IF(Prop2021DUOSTariffs!C75="","",Prop2021DUOSTariffs!C75)</f>
        <v>East Transitional Network Dual Rate Demand Tariff 3</v>
      </c>
      <c r="D75" s="1111" t="str">
        <f>IF(Prop2021DUOSTariffs!D75="","",Prop2021DUOSTariffs!D75)</f>
        <v>-</v>
      </c>
      <c r="E75" s="1111" t="str">
        <f>IF(Prop2021DUOSTariffs!E75="","",Prop2021DUOSTariffs!E75)</f>
        <v>SAC</v>
      </c>
      <c r="F75" s="1111" t="str">
        <f>IF(Prop2021DUOSTariffs!F75="","",Prop2021DUOSTariffs!F75)</f>
        <v>SACS Bus</v>
      </c>
      <c r="G75" s="1111" t="str">
        <f>IF(Prop2021DUOSTariffs!G75="","",Prop2021DUOSTariffs!G75)</f>
        <v>East</v>
      </c>
      <c r="H75" s="1111" t="str">
        <f>IF(Prop2021DUOSTariffs!H75="","",Prop2021DUOSTariffs!H75)</f>
        <v>EBPMP</v>
      </c>
      <c r="I75" s="1111" t="str">
        <f>IF(Prop2021DUOSTariffs!I75="","",Prop2021DUOSTariffs!I75)</f>
        <v>DUOS</v>
      </c>
      <c r="J75" s="1774">
        <v>1.388614489326548</v>
      </c>
      <c r="K75" s="1773">
        <v>0</v>
      </c>
      <c r="L75" s="1773">
        <v>0</v>
      </c>
      <c r="M75" s="1773">
        <v>0</v>
      </c>
      <c r="N75" s="1773">
        <v>0</v>
      </c>
      <c r="O75" s="1773">
        <v>0</v>
      </c>
      <c r="P75" s="1773">
        <v>0</v>
      </c>
      <c r="Q75" s="1773">
        <v>0</v>
      </c>
      <c r="R75" s="1773">
        <v>0</v>
      </c>
      <c r="S75" s="1774">
        <v>3.1537000000000002</v>
      </c>
      <c r="T75" s="1774">
        <v>9.5216000000000012</v>
      </c>
      <c r="U75" s="1773">
        <v>0</v>
      </c>
      <c r="V75" s="1773">
        <v>0</v>
      </c>
      <c r="W75" s="1773">
        <v>0</v>
      </c>
      <c r="X75" s="1773">
        <v>0</v>
      </c>
      <c r="Y75" s="1773">
        <v>0</v>
      </c>
      <c r="Z75" s="1773">
        <v>0</v>
      </c>
      <c r="AA75" s="1773">
        <v>0</v>
      </c>
      <c r="AB75" s="1773">
        <v>0</v>
      </c>
      <c r="AC75" s="1773">
        <v>0</v>
      </c>
      <c r="AD75" s="1773">
        <v>0</v>
      </c>
      <c r="AE75" s="1775">
        <v>0</v>
      </c>
      <c r="AF75" s="1775">
        <v>0</v>
      </c>
      <c r="AG75" s="1776">
        <v>6.6275000000000001E-2</v>
      </c>
      <c r="AH75" s="1775">
        <v>0</v>
      </c>
      <c r="AI75" s="1775">
        <v>0</v>
      </c>
      <c r="AJ75" s="1775">
        <v>0</v>
      </c>
      <c r="AK75" s="1775">
        <v>0</v>
      </c>
      <c r="AL75" s="1775">
        <v>0</v>
      </c>
      <c r="AM75" s="1775">
        <v>0</v>
      </c>
      <c r="AN75" s="1775">
        <v>0</v>
      </c>
      <c r="AO75" s="1775">
        <v>0</v>
      </c>
      <c r="AP75" s="1775">
        <v>0</v>
      </c>
      <c r="AQ75" s="1775">
        <v>0</v>
      </c>
      <c r="AR75" s="1775">
        <v>0</v>
      </c>
      <c r="AS75" s="1594"/>
      <c r="AT75" s="1233">
        <v>0</v>
      </c>
      <c r="AU75" s="1135"/>
      <c r="AV75" s="1135"/>
      <c r="AW75" s="1135"/>
      <c r="AX75" s="1135"/>
      <c r="AY75" s="1135"/>
      <c r="AZ75" s="1135"/>
      <c r="BA75" s="1135"/>
      <c r="BB75" s="1135"/>
      <c r="BC75" s="1233">
        <v>0</v>
      </c>
      <c r="BD75" s="1233">
        <v>0</v>
      </c>
      <c r="BE75" s="1135"/>
      <c r="BF75" s="1135"/>
      <c r="BG75" s="1135"/>
      <c r="BH75" s="1135"/>
      <c r="BI75" s="1135"/>
      <c r="BJ75" s="1135"/>
      <c r="BK75" s="1135"/>
      <c r="BL75" s="1135"/>
      <c r="BM75" s="1135"/>
      <c r="BN75" s="1135"/>
      <c r="BO75" s="1005"/>
      <c r="BP75" s="1005"/>
      <c r="BQ75" s="1596">
        <v>0</v>
      </c>
      <c r="BR75" s="1005"/>
      <c r="BS75" s="1005"/>
      <c r="BT75" s="1005"/>
      <c r="BU75" s="1005"/>
      <c r="BV75" s="1016"/>
      <c r="BW75" s="1016"/>
      <c r="BX75" s="1016"/>
      <c r="BY75" s="1016"/>
      <c r="BZ75" s="1016"/>
      <c r="CA75" s="1016"/>
      <c r="CB75" s="1016"/>
      <c r="CC75" s="1594"/>
      <c r="CD75" s="1136">
        <f t="shared" si="164"/>
        <v>0</v>
      </c>
      <c r="CE75" s="1136">
        <f t="shared" si="164"/>
        <v>0</v>
      </c>
      <c r="CF75" s="1136">
        <f t="shared" si="164"/>
        <v>0</v>
      </c>
      <c r="CG75" s="1136">
        <f t="shared" si="164"/>
        <v>0</v>
      </c>
      <c r="CH75" s="1136">
        <f t="shared" si="164"/>
        <v>0</v>
      </c>
      <c r="CI75" s="1136">
        <f t="shared" si="164"/>
        <v>0</v>
      </c>
      <c r="CJ75" s="1136">
        <f t="shared" si="164"/>
        <v>0</v>
      </c>
      <c r="CK75" s="1136">
        <f t="shared" si="164"/>
        <v>0</v>
      </c>
      <c r="CL75" s="1136">
        <f t="shared" si="164"/>
        <v>0</v>
      </c>
      <c r="CM75" s="1136">
        <f t="shared" si="164"/>
        <v>0</v>
      </c>
      <c r="CN75" s="1136">
        <f t="shared" si="165"/>
        <v>0</v>
      </c>
      <c r="CO75" s="1136">
        <f t="shared" si="165"/>
        <v>0</v>
      </c>
      <c r="CP75" s="1136">
        <f t="shared" si="165"/>
        <v>0</v>
      </c>
      <c r="CQ75" s="1136">
        <f t="shared" si="165"/>
        <v>0</v>
      </c>
      <c r="CR75" s="1136">
        <f t="shared" si="165"/>
        <v>0</v>
      </c>
      <c r="CS75" s="1136">
        <f t="shared" si="165"/>
        <v>0</v>
      </c>
      <c r="CT75" s="1136">
        <f t="shared" si="165"/>
        <v>0</v>
      </c>
      <c r="CU75" s="1136">
        <f t="shared" si="165"/>
        <v>0</v>
      </c>
      <c r="CV75" s="1136">
        <f t="shared" si="165"/>
        <v>0</v>
      </c>
      <c r="CW75" s="1136">
        <f t="shared" si="165"/>
        <v>0</v>
      </c>
      <c r="CX75" s="1136">
        <f t="shared" si="166"/>
        <v>0</v>
      </c>
      <c r="CY75" s="1136">
        <f t="shared" si="166"/>
        <v>0</v>
      </c>
      <c r="CZ75" s="1136">
        <f t="shared" si="166"/>
        <v>0</v>
      </c>
      <c r="DA75" s="1136">
        <f t="shared" si="166"/>
        <v>0</v>
      </c>
      <c r="DB75" s="1136">
        <f t="shared" si="166"/>
        <v>0</v>
      </c>
      <c r="DC75" s="1136">
        <f t="shared" si="166"/>
        <v>0</v>
      </c>
      <c r="DD75" s="1136">
        <f t="shared" si="166"/>
        <v>0</v>
      </c>
      <c r="DE75" s="1136">
        <f t="shared" si="166"/>
        <v>0</v>
      </c>
      <c r="DF75" s="1136">
        <f t="shared" si="166"/>
        <v>0</v>
      </c>
      <c r="DG75" s="1136">
        <f t="shared" si="166"/>
        <v>0</v>
      </c>
      <c r="DH75" s="1136">
        <f t="shared" si="167"/>
        <v>0</v>
      </c>
      <c r="DI75" s="1136">
        <f t="shared" si="167"/>
        <v>0</v>
      </c>
      <c r="DJ75" s="1136">
        <f t="shared" si="167"/>
        <v>0</v>
      </c>
      <c r="DK75" s="1136">
        <f t="shared" si="167"/>
        <v>0</v>
      </c>
      <c r="DL75" s="1136">
        <f t="shared" si="167"/>
        <v>0</v>
      </c>
      <c r="DM75" s="1131" t="str">
        <f t="array" ref="DM75">IF(MAX(ABS(CD75:DL75))&gt;$DM$4,"EXPLAIN","")</f>
        <v/>
      </c>
      <c r="DN75" s="1131" t="str">
        <f t="shared" si="115"/>
        <v/>
      </c>
      <c r="DP75" s="1140">
        <f t="shared" si="168"/>
        <v>4</v>
      </c>
      <c r="DQ75" s="1140">
        <f t="shared" si="169"/>
        <v>4</v>
      </c>
      <c r="DR75" s="1140" t="str">
        <f t="shared" si="170"/>
        <v>ok</v>
      </c>
    </row>
    <row r="76" spans="2:122" ht="6" customHeight="1">
      <c r="B76" s="1568" t="str">
        <f>IF(Prop2021DUOSTariffs!B76="","",Prop2021DUOSTariffs!B76)</f>
        <v>-</v>
      </c>
      <c r="C76" s="1568" t="str">
        <f>IF(Prop2021DUOSTariffs!C76="","",Prop2021DUOSTariffs!C76)</f>
        <v/>
      </c>
      <c r="D76" s="1568" t="str">
        <f>IF(Prop2021DUOSTariffs!D76="","",Prop2021DUOSTariffs!D76)</f>
        <v/>
      </c>
      <c r="E76" s="1568" t="str">
        <f>IF(Prop2021DUOSTariffs!E76="","",Prop2021DUOSTariffs!E76)</f>
        <v/>
      </c>
      <c r="F76" s="1568" t="str">
        <f>IF(Prop2021DUOSTariffs!F76="","",Prop2021DUOSTariffs!F76)</f>
        <v/>
      </c>
      <c r="G76" s="1568"/>
      <c r="H76" s="1568"/>
      <c r="I76" s="1568"/>
      <c r="J76" s="1777"/>
      <c r="K76" s="1777"/>
      <c r="L76" s="1777"/>
      <c r="M76" s="1777"/>
      <c r="N76" s="1777"/>
      <c r="O76" s="1777"/>
      <c r="P76" s="1777"/>
      <c r="Q76" s="1777"/>
      <c r="R76" s="1777"/>
      <c r="S76" s="1777"/>
      <c r="T76" s="1777"/>
      <c r="U76" s="1777"/>
      <c r="V76" s="1777"/>
      <c r="W76" s="1777"/>
      <c r="X76" s="1777"/>
      <c r="Y76" s="1777"/>
      <c r="Z76" s="1777"/>
      <c r="AA76" s="1777"/>
      <c r="AB76" s="1777"/>
      <c r="AC76" s="1777"/>
      <c r="AD76" s="1777"/>
      <c r="AE76" s="1778"/>
      <c r="AF76" s="1778"/>
      <c r="AG76" s="1778"/>
      <c r="AH76" s="1778"/>
      <c r="AI76" s="1778"/>
      <c r="AJ76" s="1778"/>
      <c r="AK76" s="1778"/>
      <c r="AL76" s="1778"/>
      <c r="AM76" s="1778"/>
      <c r="AN76" s="1778"/>
      <c r="AO76" s="1778"/>
      <c r="AP76" s="1778"/>
      <c r="AQ76" s="1778"/>
      <c r="AR76" s="1778"/>
      <c r="AS76" s="1594"/>
      <c r="AT76" s="1569"/>
      <c r="AU76" s="1569"/>
      <c r="AV76" s="1569"/>
      <c r="AW76" s="1569"/>
      <c r="AX76" s="1569"/>
      <c r="AY76" s="1569"/>
      <c r="AZ76" s="1569"/>
      <c r="BA76" s="1569"/>
      <c r="BB76" s="1569"/>
      <c r="BC76" s="1569"/>
      <c r="BD76" s="1569"/>
      <c r="BE76" s="1569"/>
      <c r="BF76" s="1569"/>
      <c r="BG76" s="1569"/>
      <c r="BH76" s="1569"/>
      <c r="BI76" s="1569"/>
      <c r="BJ76" s="1569"/>
      <c r="BK76" s="1569"/>
      <c r="BL76" s="1569"/>
      <c r="BM76" s="1569"/>
      <c r="BN76" s="1569"/>
      <c r="BO76" s="1570"/>
      <c r="BP76" s="1570"/>
      <c r="BQ76" s="1570"/>
      <c r="BR76" s="1570"/>
      <c r="BS76" s="1570"/>
      <c r="BT76" s="1570"/>
      <c r="BU76" s="1570"/>
      <c r="BV76" s="1595"/>
      <c r="BW76" s="1595"/>
      <c r="BX76" s="1595"/>
      <c r="BY76" s="1595"/>
      <c r="BZ76" s="1595"/>
      <c r="CA76" s="1595"/>
      <c r="CB76" s="1595"/>
      <c r="CC76" s="1594"/>
      <c r="CD76" s="1571"/>
      <c r="CE76" s="1571"/>
      <c r="CF76" s="1571"/>
      <c r="CG76" s="1571"/>
      <c r="CH76" s="1571"/>
      <c r="CI76" s="1571"/>
      <c r="CJ76" s="1571"/>
      <c r="CK76" s="1571"/>
      <c r="CL76" s="1571"/>
      <c r="CM76" s="1571"/>
      <c r="CN76" s="1571"/>
      <c r="CO76" s="1571"/>
      <c r="CP76" s="1571"/>
      <c r="CQ76" s="1571"/>
      <c r="CR76" s="1571"/>
      <c r="CS76" s="1571"/>
      <c r="CT76" s="1571"/>
      <c r="CU76" s="1571"/>
      <c r="CV76" s="1571"/>
      <c r="CW76" s="1571"/>
      <c r="CX76" s="1571"/>
      <c r="CY76" s="1571"/>
      <c r="CZ76" s="1571"/>
      <c r="DA76" s="1571"/>
      <c r="DB76" s="1571"/>
      <c r="DC76" s="1571"/>
      <c r="DD76" s="1571"/>
      <c r="DE76" s="1571"/>
      <c r="DF76" s="1571"/>
      <c r="DG76" s="1571"/>
      <c r="DH76" s="1571"/>
      <c r="DI76" s="1571"/>
      <c r="DJ76" s="1571"/>
      <c r="DK76" s="1571"/>
      <c r="DL76" s="1571"/>
      <c r="DM76" s="1572"/>
      <c r="DN76" s="1572"/>
    </row>
    <row r="77" spans="2:122">
      <c r="B77" s="1111" t="str">
        <f>IF(Prop2021DUOSTariffs!B77="","",Prop2021DUOSTariffs!B77)</f>
        <v/>
      </c>
      <c r="C77" s="1111" t="str">
        <f>IF(Prop2021DUOSTariffs!C77="","",Prop2021DUOSTariffs!C77)</f>
        <v>East SAC&lt;100MWhpa Residential IBT</v>
      </c>
      <c r="D77" s="1111" t="str">
        <f>IF(Prop2021DUOSTariffs!D77="","",Prop2021DUOSTariffs!D77)</f>
        <v>East SAC&lt;100MWhpa Residential IBT</v>
      </c>
      <c r="E77" s="1111" t="str">
        <f>IF(Prop2021DUOSTariffs!E77="","",Prop2021DUOSTariffs!E77)</f>
        <v>SAC</v>
      </c>
      <c r="F77" s="1111" t="str">
        <f>IF(Prop2021DUOSTariffs!F77="","",Prop2021DUOSTariffs!F77)</f>
        <v>SACS Res</v>
      </c>
      <c r="G77" s="1111" t="str">
        <f>IF(Prop2021DUOSTariffs!G77="","",Prop2021DUOSTariffs!G77)</f>
        <v>East</v>
      </c>
      <c r="H77" s="1111" t="str">
        <f>IF(Prop2021DUOSTariffs!H77="","",Prop2021DUOSTariffs!H77)</f>
        <v>ERIB</v>
      </c>
      <c r="I77" s="1111" t="str">
        <f>IF(Prop2021DUOSTariffs!I77="","",Prop2021DUOSTariffs!I77)</f>
        <v>DUOS</v>
      </c>
      <c r="J77" s="1774">
        <v>1.105</v>
      </c>
      <c r="K77" s="1773">
        <v>0</v>
      </c>
      <c r="L77" s="1773">
        <v>0</v>
      </c>
      <c r="M77" s="1773">
        <v>0</v>
      </c>
      <c r="N77" s="1773">
        <v>0</v>
      </c>
      <c r="O77" s="1773">
        <v>0</v>
      </c>
      <c r="P77" s="1773">
        <v>0</v>
      </c>
      <c r="Q77" s="1773">
        <v>0</v>
      </c>
      <c r="R77" s="1773">
        <v>0</v>
      </c>
      <c r="S77" s="1773">
        <v>0</v>
      </c>
      <c r="T77" s="1773">
        <v>0</v>
      </c>
      <c r="U77" s="1773">
        <v>0</v>
      </c>
      <c r="V77" s="1773">
        <v>0</v>
      </c>
      <c r="W77" s="1773">
        <v>0</v>
      </c>
      <c r="X77" s="1773">
        <v>0</v>
      </c>
      <c r="Y77" s="1773">
        <v>0</v>
      </c>
      <c r="Z77" s="1773">
        <v>0</v>
      </c>
      <c r="AA77" s="1773">
        <v>0</v>
      </c>
      <c r="AB77" s="1773">
        <v>0</v>
      </c>
      <c r="AC77" s="1773">
        <v>0</v>
      </c>
      <c r="AD77" s="1773">
        <v>0</v>
      </c>
      <c r="AE77" s="1775">
        <v>0</v>
      </c>
      <c r="AF77" s="1775">
        <v>0</v>
      </c>
      <c r="AG77" s="1775">
        <v>0</v>
      </c>
      <c r="AH77" s="1776">
        <v>2.2128812392426853E-2</v>
      </c>
      <c r="AI77" s="1776">
        <v>4.993090310510663E-2</v>
      </c>
      <c r="AJ77" s="1776">
        <v>8.6155499999999996E-2</v>
      </c>
      <c r="AK77" s="1775">
        <v>0</v>
      </c>
      <c r="AL77" s="1775">
        <v>0</v>
      </c>
      <c r="AM77" s="1775">
        <v>0</v>
      </c>
      <c r="AN77" s="1775">
        <v>0</v>
      </c>
      <c r="AO77" s="1775">
        <v>0</v>
      </c>
      <c r="AP77" s="1775">
        <v>0</v>
      </c>
      <c r="AQ77" s="1775">
        <v>0</v>
      </c>
      <c r="AR77" s="1775">
        <v>0</v>
      </c>
      <c r="AS77" s="1594"/>
      <c r="AT77" s="1233">
        <v>1.1045299873509764</v>
      </c>
      <c r="AU77" s="1135"/>
      <c r="AV77" s="1135"/>
      <c r="AW77" s="1135"/>
      <c r="AX77" s="1135"/>
      <c r="AY77" s="1135"/>
      <c r="AZ77" s="1135"/>
      <c r="BA77" s="1135"/>
      <c r="BB77" s="1135"/>
      <c r="BC77" s="1135"/>
      <c r="BD77" s="1135"/>
      <c r="BE77" s="1135"/>
      <c r="BF77" s="1135"/>
      <c r="BG77" s="1135"/>
      <c r="BH77" s="1135"/>
      <c r="BI77" s="1135"/>
      <c r="BJ77" s="1135"/>
      <c r="BK77" s="1135"/>
      <c r="BL77" s="1135"/>
      <c r="BM77" s="1135"/>
      <c r="BN77" s="1135"/>
      <c r="BO77" s="1005"/>
      <c r="BP77" s="1005"/>
      <c r="BQ77" s="1005"/>
      <c r="BR77" s="1596">
        <v>2.2343803506000001E-2</v>
      </c>
      <c r="BS77" s="1596">
        <v>4.2297385272781735E-2</v>
      </c>
      <c r="BT77" s="1596">
        <v>8.7017054999999996E-2</v>
      </c>
      <c r="BU77" s="1005"/>
      <c r="BV77" s="1016"/>
      <c r="BW77" s="1016"/>
      <c r="BX77" s="1016"/>
      <c r="BY77" s="1016"/>
      <c r="BZ77" s="1016"/>
      <c r="CA77" s="1016"/>
      <c r="CB77" s="1016"/>
      <c r="CC77" s="1594"/>
      <c r="CD77" s="1136">
        <f t="shared" ref="CD77:CD88" si="171">IFERROR(J77/AT77-1,0)</f>
        <v>4.2553181389926031E-4</v>
      </c>
      <c r="CE77" s="1136">
        <f t="shared" ref="CE77:CE88" si="172">IFERROR(K77/AU77-1,0)</f>
        <v>0</v>
      </c>
      <c r="CF77" s="1136">
        <f t="shared" ref="CF77:CF88" si="173">IFERROR(L77/AV77-1,0)</f>
        <v>0</v>
      </c>
      <c r="CG77" s="1136">
        <f t="shared" ref="CG77:CG88" si="174">IFERROR(M77/AW77-1,0)</f>
        <v>0</v>
      </c>
      <c r="CH77" s="1136">
        <f t="shared" ref="CH77:CH88" si="175">IFERROR(N77/AX77-1,0)</f>
        <v>0</v>
      </c>
      <c r="CI77" s="1136">
        <f t="shared" ref="CI77:CI88" si="176">IFERROR(O77/AY77-1,0)</f>
        <v>0</v>
      </c>
      <c r="CJ77" s="1136">
        <f t="shared" ref="CJ77:CJ88" si="177">IFERROR(P77/AZ77-1,0)</f>
        <v>0</v>
      </c>
      <c r="CK77" s="1136">
        <f t="shared" ref="CK77:CK88" si="178">IFERROR(Q77/BA77-1,0)</f>
        <v>0</v>
      </c>
      <c r="CL77" s="1136">
        <f t="shared" ref="CL77:CL88" si="179">IFERROR(R77/BB77-1,0)</f>
        <v>0</v>
      </c>
      <c r="CM77" s="1136">
        <f t="shared" ref="CM77:CM88" si="180">IFERROR(S77/BC77-1,0)</f>
        <v>0</v>
      </c>
      <c r="CN77" s="1136">
        <f t="shared" ref="CN77:CN88" si="181">IFERROR(T77/BD77-1,0)</f>
        <v>0</v>
      </c>
      <c r="CO77" s="1136">
        <f t="shared" ref="CO77:CO88" si="182">IFERROR(U77/BE77-1,0)</f>
        <v>0</v>
      </c>
      <c r="CP77" s="1136">
        <f t="shared" ref="CP77:CP88" si="183">IFERROR(V77/BF77-1,0)</f>
        <v>0</v>
      </c>
      <c r="CQ77" s="1136">
        <f t="shared" ref="CQ77:CQ88" si="184">IFERROR(W77/BG77-1,0)</f>
        <v>0</v>
      </c>
      <c r="CR77" s="1136">
        <f t="shared" ref="CR77:CR88" si="185">IFERROR(X77/BH77-1,0)</f>
        <v>0</v>
      </c>
      <c r="CS77" s="1136">
        <f t="shared" ref="CS77:CS88" si="186">IFERROR(Y77/BI77-1,0)</f>
        <v>0</v>
      </c>
      <c r="CT77" s="1136">
        <f t="shared" ref="CT77:CT88" si="187">IFERROR(Z77/BJ77-1,0)</f>
        <v>0</v>
      </c>
      <c r="CU77" s="1136">
        <f t="shared" ref="CU77:CU88" si="188">IFERROR(AA77/BK77-1,0)</f>
        <v>0</v>
      </c>
      <c r="CV77" s="1136">
        <f t="shared" ref="CV77:CV88" si="189">IFERROR(AB77/BL77-1,0)</f>
        <v>0</v>
      </c>
      <c r="CW77" s="1136">
        <f t="shared" ref="CW77:CW88" si="190">IFERROR(AC77/BM77-1,0)</f>
        <v>0</v>
      </c>
      <c r="CX77" s="1136">
        <f t="shared" ref="CX77:CX88" si="191">IFERROR(AD77/BN77-1,0)</f>
        <v>0</v>
      </c>
      <c r="CY77" s="1136">
        <f t="shared" ref="CY77:CY88" si="192">IFERROR(AE77/BO77-1,0)</f>
        <v>0</v>
      </c>
      <c r="CZ77" s="1136">
        <f t="shared" ref="CZ77:CZ88" si="193">IFERROR(AF77/BP77-1,0)</f>
        <v>0</v>
      </c>
      <c r="DA77" s="1136">
        <f t="shared" ref="DA77:DA88" si="194">IFERROR(AG77/BQ77-1,0)</f>
        <v>0</v>
      </c>
      <c r="DB77" s="1136">
        <f t="shared" ref="DB77:DB88" si="195">IFERROR(AH77/BR77-1,0)</f>
        <v>-9.6219568667177402E-3</v>
      </c>
      <c r="DC77" s="1136">
        <f>IFERROR(AI77/BS77-1,0)</f>
        <v>0.18047257018596485</v>
      </c>
      <c r="DD77" s="1136">
        <f t="shared" ref="DD77:DD88" si="196">IFERROR(AJ77/BT77-1,0)</f>
        <v>-9.9009900990099098E-3</v>
      </c>
      <c r="DE77" s="1136">
        <f t="shared" ref="DE77:DE88" si="197">IFERROR(AK77/BU77-1,0)</f>
        <v>0</v>
      </c>
      <c r="DF77" s="1136">
        <f t="shared" ref="DF77:DF88" si="198">IFERROR(AL77/BV77-1,0)</f>
        <v>0</v>
      </c>
      <c r="DG77" s="1136">
        <f t="shared" ref="DG77:DG88" si="199">IFERROR(AM77/BW77-1,0)</f>
        <v>0</v>
      </c>
      <c r="DH77" s="1136">
        <f t="shared" ref="DH77:DH88" si="200">IFERROR(AN77/BX77-1,0)</f>
        <v>0</v>
      </c>
      <c r="DI77" s="1136">
        <f t="shared" ref="DI77:DI88" si="201">IFERROR(AO77/BY77-1,0)</f>
        <v>0</v>
      </c>
      <c r="DJ77" s="1136">
        <f t="shared" ref="DJ77:DJ88" si="202">IFERROR(AP77/BZ77-1,0)</f>
        <v>0</v>
      </c>
      <c r="DK77" s="1136">
        <f t="shared" ref="DK77:DK88" si="203">IFERROR(AQ77/CA77-1,0)</f>
        <v>0</v>
      </c>
      <c r="DL77" s="1136">
        <f t="shared" ref="DL77:DL88" si="204">IFERROR(AR77/CB77-1,0)</f>
        <v>0</v>
      </c>
      <c r="DM77" s="1131" t="str">
        <f t="array" ref="DM77">IF(MAX(ABS(CD77:DL77))&gt;$DM$4,"EXPLAIN","")</f>
        <v>EXPLAIN</v>
      </c>
      <c r="DN77" s="1131" t="str">
        <f t="shared" si="115"/>
        <v>Refer to Ergon Energy Pricing Proposal</v>
      </c>
      <c r="DP77" s="1140">
        <f t="shared" ref="DP77:DP98" si="205">COUNTIFS(J77:AR77,"&lt;&gt;"&amp;0)</f>
        <v>4</v>
      </c>
      <c r="DQ77" s="1140">
        <f t="shared" ref="DQ77:DQ98" si="206">COUNTA(AT77:CB77)</f>
        <v>4</v>
      </c>
      <c r="DR77" s="1140" t="str">
        <f t="shared" ref="DR77:DR98" si="207">IF(DP77=DQ77,"ok","xxxx")</f>
        <v>ok</v>
      </c>
    </row>
    <row r="78" spans="2:122">
      <c r="B78" s="1111" t="str">
        <f>IF(Prop2021DUOSTariffs!B78="","",Prop2021DUOSTariffs!B78)</f>
        <v/>
      </c>
      <c r="C78" s="1111" t="str">
        <f>IF(Prop2021DUOSTariffs!C78="","",Prop2021DUOSTariffs!C78)</f>
        <v>West SAC&lt;100MWhpa Residential IBT</v>
      </c>
      <c r="D78" s="1111" t="str">
        <f>IF(Prop2021DUOSTariffs!D78="","",Prop2021DUOSTariffs!D78)</f>
        <v>West SAC&lt;100MWhpa Residential IBT</v>
      </c>
      <c r="E78" s="1111" t="str">
        <f>IF(Prop2021DUOSTariffs!E78="","",Prop2021DUOSTariffs!E78)</f>
        <v>SAC</v>
      </c>
      <c r="F78" s="1111" t="str">
        <f>IF(Prop2021DUOSTariffs!F78="","",Prop2021DUOSTariffs!F78)</f>
        <v>SACS Res</v>
      </c>
      <c r="G78" s="1111" t="str">
        <f>IF(Prop2021DUOSTariffs!G78="","",Prop2021DUOSTariffs!G78)</f>
        <v>West</v>
      </c>
      <c r="H78" s="1111" t="str">
        <f>IF(Prop2021DUOSTariffs!H78="","",Prop2021DUOSTariffs!H78)</f>
        <v>WRIB</v>
      </c>
      <c r="I78" s="1111" t="str">
        <f>IF(Prop2021DUOSTariffs!I78="","",Prop2021DUOSTariffs!I78)</f>
        <v>DUOS</v>
      </c>
      <c r="J78" s="1774">
        <v>1.7669999999999999</v>
      </c>
      <c r="K78" s="1773">
        <v>0</v>
      </c>
      <c r="L78" s="1773">
        <v>0</v>
      </c>
      <c r="M78" s="1773">
        <v>0</v>
      </c>
      <c r="N78" s="1773">
        <v>0</v>
      </c>
      <c r="O78" s="1773">
        <v>0</v>
      </c>
      <c r="P78" s="1773">
        <v>0</v>
      </c>
      <c r="Q78" s="1773">
        <v>0</v>
      </c>
      <c r="R78" s="1773">
        <v>0</v>
      </c>
      <c r="S78" s="1773">
        <v>0</v>
      </c>
      <c r="T78" s="1773">
        <v>0</v>
      </c>
      <c r="U78" s="1773">
        <v>0</v>
      </c>
      <c r="V78" s="1773">
        <v>0</v>
      </c>
      <c r="W78" s="1773">
        <v>0</v>
      </c>
      <c r="X78" s="1773">
        <v>0</v>
      </c>
      <c r="Y78" s="1773">
        <v>0</v>
      </c>
      <c r="Z78" s="1773">
        <v>0</v>
      </c>
      <c r="AA78" s="1773">
        <v>0</v>
      </c>
      <c r="AB78" s="1773">
        <v>0</v>
      </c>
      <c r="AC78" s="1773">
        <v>0</v>
      </c>
      <c r="AD78" s="1773">
        <v>0</v>
      </c>
      <c r="AE78" s="1775">
        <v>0</v>
      </c>
      <c r="AF78" s="1775">
        <v>0</v>
      </c>
      <c r="AG78" s="1775">
        <v>0</v>
      </c>
      <c r="AH78" s="1776">
        <v>7.3053321858864026E-2</v>
      </c>
      <c r="AI78" s="1776">
        <v>0.23393656823773487</v>
      </c>
      <c r="AJ78" s="1776">
        <v>0.35548999999999997</v>
      </c>
      <c r="AK78" s="1775">
        <v>0</v>
      </c>
      <c r="AL78" s="1775">
        <v>0</v>
      </c>
      <c r="AM78" s="1775">
        <v>0</v>
      </c>
      <c r="AN78" s="1775">
        <v>0</v>
      </c>
      <c r="AO78" s="1775">
        <v>0</v>
      </c>
      <c r="AP78" s="1775">
        <v>0</v>
      </c>
      <c r="AQ78" s="1775">
        <v>0</v>
      </c>
      <c r="AR78" s="1775">
        <v>0</v>
      </c>
      <c r="AS78" s="1594"/>
      <c r="AT78" s="1233">
        <v>1.767246871333906</v>
      </c>
      <c r="AU78" s="1135"/>
      <c r="AV78" s="1135"/>
      <c r="AW78" s="1135"/>
      <c r="AX78" s="1135"/>
      <c r="AY78" s="1135"/>
      <c r="AZ78" s="1135"/>
      <c r="BA78" s="1135"/>
      <c r="BB78" s="1135"/>
      <c r="BC78" s="1135"/>
      <c r="BD78" s="1135"/>
      <c r="BE78" s="1135"/>
      <c r="BF78" s="1135"/>
      <c r="BG78" s="1135"/>
      <c r="BH78" s="1135"/>
      <c r="BI78" s="1135"/>
      <c r="BJ78" s="1135"/>
      <c r="BK78" s="1135"/>
      <c r="BL78" s="1135"/>
      <c r="BM78" s="1135"/>
      <c r="BN78" s="1135"/>
      <c r="BO78" s="1005"/>
      <c r="BP78" s="1005"/>
      <c r="BQ78" s="1005"/>
      <c r="BR78" s="1596">
        <v>7.3763066906999991E-2</v>
      </c>
      <c r="BS78" s="1596">
        <v>0.21872609341128943</v>
      </c>
      <c r="BT78" s="1596">
        <v>0.3590449</v>
      </c>
      <c r="BU78" s="1005"/>
      <c r="BV78" s="1016"/>
      <c r="BW78" s="1016"/>
      <c r="BX78" s="1016"/>
      <c r="BY78" s="1016"/>
      <c r="BZ78" s="1016"/>
      <c r="CA78" s="1016"/>
      <c r="CB78" s="1016"/>
      <c r="CC78" s="1594"/>
      <c r="CD78" s="1136">
        <f t="shared" si="171"/>
        <v>-1.3969261335844418E-4</v>
      </c>
      <c r="CE78" s="1136">
        <f t="shared" si="172"/>
        <v>0</v>
      </c>
      <c r="CF78" s="1136">
        <f t="shared" si="173"/>
        <v>0</v>
      </c>
      <c r="CG78" s="1136">
        <f t="shared" si="174"/>
        <v>0</v>
      </c>
      <c r="CH78" s="1136">
        <f t="shared" si="175"/>
        <v>0</v>
      </c>
      <c r="CI78" s="1136">
        <f t="shared" si="176"/>
        <v>0</v>
      </c>
      <c r="CJ78" s="1136">
        <f t="shared" si="177"/>
        <v>0</v>
      </c>
      <c r="CK78" s="1136">
        <f t="shared" si="178"/>
        <v>0</v>
      </c>
      <c r="CL78" s="1136">
        <f t="shared" si="179"/>
        <v>0</v>
      </c>
      <c r="CM78" s="1136">
        <f t="shared" si="180"/>
        <v>0</v>
      </c>
      <c r="CN78" s="1136">
        <f t="shared" si="181"/>
        <v>0</v>
      </c>
      <c r="CO78" s="1136">
        <f t="shared" si="182"/>
        <v>0</v>
      </c>
      <c r="CP78" s="1136">
        <f t="shared" si="183"/>
        <v>0</v>
      </c>
      <c r="CQ78" s="1136">
        <f t="shared" si="184"/>
        <v>0</v>
      </c>
      <c r="CR78" s="1136">
        <f t="shared" si="185"/>
        <v>0</v>
      </c>
      <c r="CS78" s="1136">
        <f t="shared" si="186"/>
        <v>0</v>
      </c>
      <c r="CT78" s="1136">
        <f t="shared" si="187"/>
        <v>0</v>
      </c>
      <c r="CU78" s="1136">
        <f t="shared" si="188"/>
        <v>0</v>
      </c>
      <c r="CV78" s="1136">
        <f t="shared" si="189"/>
        <v>0</v>
      </c>
      <c r="CW78" s="1136">
        <f t="shared" si="190"/>
        <v>0</v>
      </c>
      <c r="CX78" s="1136">
        <f t="shared" si="191"/>
        <v>0</v>
      </c>
      <c r="CY78" s="1136">
        <f t="shared" si="192"/>
        <v>0</v>
      </c>
      <c r="CZ78" s="1136">
        <f t="shared" si="193"/>
        <v>0</v>
      </c>
      <c r="DA78" s="1136">
        <f t="shared" si="194"/>
        <v>0</v>
      </c>
      <c r="DB78" s="1136">
        <f t="shared" si="195"/>
        <v>-9.6219568667177402E-3</v>
      </c>
      <c r="DC78" s="1136">
        <f t="shared" ref="DC78:DC88" si="208">IFERROR(AI78/BS78-1,0)</f>
        <v>6.9541199173908774E-2</v>
      </c>
      <c r="DD78" s="1136">
        <f t="shared" si="196"/>
        <v>-9.9009900990100208E-3</v>
      </c>
      <c r="DE78" s="1136">
        <f t="shared" si="197"/>
        <v>0</v>
      </c>
      <c r="DF78" s="1136">
        <f t="shared" si="198"/>
        <v>0</v>
      </c>
      <c r="DG78" s="1136">
        <f t="shared" si="199"/>
        <v>0</v>
      </c>
      <c r="DH78" s="1136">
        <f t="shared" si="200"/>
        <v>0</v>
      </c>
      <c r="DI78" s="1136">
        <f t="shared" si="201"/>
        <v>0</v>
      </c>
      <c r="DJ78" s="1136">
        <f t="shared" si="202"/>
        <v>0</v>
      </c>
      <c r="DK78" s="1136">
        <f t="shared" si="203"/>
        <v>0</v>
      </c>
      <c r="DL78" s="1136">
        <f t="shared" si="204"/>
        <v>0</v>
      </c>
      <c r="DM78" s="1131" t="str">
        <f t="array" ref="DM78">IF(MAX(ABS(CD78:DL78))&gt;$DM$4,"EXPLAIN","")</f>
        <v/>
      </c>
      <c r="DN78" s="1131" t="str">
        <f t="shared" si="115"/>
        <v/>
      </c>
      <c r="DP78" s="1140">
        <f t="shared" si="205"/>
        <v>4</v>
      </c>
      <c r="DQ78" s="1140">
        <f t="shared" si="206"/>
        <v>4</v>
      </c>
      <c r="DR78" s="1140" t="str">
        <f t="shared" si="207"/>
        <v>ok</v>
      </c>
    </row>
    <row r="79" spans="2:122">
      <c r="B79" s="1111" t="str">
        <f>IF(Prop2021DUOSTariffs!B79="","",Prop2021DUOSTariffs!B79)</f>
        <v/>
      </c>
      <c r="C79" s="1111" t="str">
        <f>IF(Prop2021DUOSTariffs!C79="","",Prop2021DUOSTariffs!C79)</f>
        <v>MtIsa SAC&lt;100MWhpa Residential IBT</v>
      </c>
      <c r="D79" s="1111" t="str">
        <f>IF(Prop2021DUOSTariffs!D79="","",Prop2021DUOSTariffs!D79)</f>
        <v>MtIsa SAC&lt;100MWhpa Residential IBT</v>
      </c>
      <c r="E79" s="1111" t="str">
        <f>IF(Prop2021DUOSTariffs!E79="","",Prop2021DUOSTariffs!E79)</f>
        <v>SAC</v>
      </c>
      <c r="F79" s="1111" t="str">
        <f>IF(Prop2021DUOSTariffs!F79="","",Prop2021DUOSTariffs!F79)</f>
        <v>SACS Res</v>
      </c>
      <c r="G79" s="1111" t="str">
        <f>IF(Prop2021DUOSTariffs!G79="","",Prop2021DUOSTariffs!G79)</f>
        <v>Mt Isa</v>
      </c>
      <c r="H79" s="1111" t="str">
        <f>IF(Prop2021DUOSTariffs!H79="","",Prop2021DUOSTariffs!H79)</f>
        <v>MRIB</v>
      </c>
      <c r="I79" s="1111" t="str">
        <f>IF(Prop2021DUOSTariffs!I79="","",Prop2021DUOSTariffs!I79)</f>
        <v>DUOS</v>
      </c>
      <c r="J79" s="1774">
        <v>1.105</v>
      </c>
      <c r="K79" s="1773">
        <v>0</v>
      </c>
      <c r="L79" s="1773">
        <v>0</v>
      </c>
      <c r="M79" s="1773">
        <v>0</v>
      </c>
      <c r="N79" s="1773">
        <v>0</v>
      </c>
      <c r="O79" s="1773">
        <v>0</v>
      </c>
      <c r="P79" s="1773">
        <v>0</v>
      </c>
      <c r="Q79" s="1773">
        <v>0</v>
      </c>
      <c r="R79" s="1773">
        <v>0</v>
      </c>
      <c r="S79" s="1773">
        <v>0</v>
      </c>
      <c r="T79" s="1773">
        <v>0</v>
      </c>
      <c r="U79" s="1773">
        <v>0</v>
      </c>
      <c r="V79" s="1773">
        <v>0</v>
      </c>
      <c r="W79" s="1773">
        <v>0</v>
      </c>
      <c r="X79" s="1773">
        <v>0</v>
      </c>
      <c r="Y79" s="1773">
        <v>0</v>
      </c>
      <c r="Z79" s="1773">
        <v>0</v>
      </c>
      <c r="AA79" s="1773">
        <v>0</v>
      </c>
      <c r="AB79" s="1773">
        <v>0</v>
      </c>
      <c r="AC79" s="1773">
        <v>0</v>
      </c>
      <c r="AD79" s="1773">
        <v>0</v>
      </c>
      <c r="AE79" s="1775">
        <v>0</v>
      </c>
      <c r="AF79" s="1775">
        <v>0</v>
      </c>
      <c r="AG79" s="1775">
        <v>0</v>
      </c>
      <c r="AH79" s="1776">
        <v>2.2128812392426853E-2</v>
      </c>
      <c r="AI79" s="1776">
        <v>3.195165208835167E-2</v>
      </c>
      <c r="AJ79" s="1776">
        <v>4.9922499999999995E-2</v>
      </c>
      <c r="AK79" s="1775">
        <v>0</v>
      </c>
      <c r="AL79" s="1775">
        <v>0</v>
      </c>
      <c r="AM79" s="1775">
        <v>0</v>
      </c>
      <c r="AN79" s="1775">
        <v>0</v>
      </c>
      <c r="AO79" s="1775">
        <v>0</v>
      </c>
      <c r="AP79" s="1775">
        <v>0</v>
      </c>
      <c r="AQ79" s="1775">
        <v>0</v>
      </c>
      <c r="AR79" s="1775">
        <v>0</v>
      </c>
      <c r="AS79" s="1594"/>
      <c r="AT79" s="1233">
        <v>1.1045292945836918</v>
      </c>
      <c r="AU79" s="1135"/>
      <c r="AV79" s="1135"/>
      <c r="AW79" s="1135"/>
      <c r="AX79" s="1135"/>
      <c r="AY79" s="1135"/>
      <c r="AZ79" s="1135"/>
      <c r="BA79" s="1135"/>
      <c r="BB79" s="1135"/>
      <c r="BC79" s="1135"/>
      <c r="BD79" s="1135"/>
      <c r="BE79" s="1135"/>
      <c r="BF79" s="1135"/>
      <c r="BG79" s="1135"/>
      <c r="BH79" s="1135"/>
      <c r="BI79" s="1135"/>
      <c r="BJ79" s="1135"/>
      <c r="BK79" s="1135"/>
      <c r="BL79" s="1135"/>
      <c r="BM79" s="1135"/>
      <c r="BN79" s="1135"/>
      <c r="BO79" s="1005"/>
      <c r="BP79" s="1005"/>
      <c r="BQ79" s="1005"/>
      <c r="BR79" s="1596">
        <v>2.2343803506000001E-2</v>
      </c>
      <c r="BS79" s="1596">
        <v>2.8128622461448722E-2</v>
      </c>
      <c r="BT79" s="1596">
        <v>5.0421724999999994E-2</v>
      </c>
      <c r="BU79" s="1005"/>
      <c r="BV79" s="1016"/>
      <c r="BW79" s="1016"/>
      <c r="BX79" s="1016"/>
      <c r="BY79" s="1016"/>
      <c r="BZ79" s="1016"/>
      <c r="CA79" s="1016"/>
      <c r="CB79" s="1016"/>
      <c r="CC79" s="1594"/>
      <c r="CD79" s="1136">
        <f t="shared" si="171"/>
        <v>4.2615928669031966E-4</v>
      </c>
      <c r="CE79" s="1136">
        <f t="shared" si="172"/>
        <v>0</v>
      </c>
      <c r="CF79" s="1136">
        <f t="shared" si="173"/>
        <v>0</v>
      </c>
      <c r="CG79" s="1136">
        <f t="shared" si="174"/>
        <v>0</v>
      </c>
      <c r="CH79" s="1136">
        <f t="shared" si="175"/>
        <v>0</v>
      </c>
      <c r="CI79" s="1136">
        <f t="shared" si="176"/>
        <v>0</v>
      </c>
      <c r="CJ79" s="1136">
        <f t="shared" si="177"/>
        <v>0</v>
      </c>
      <c r="CK79" s="1136">
        <f t="shared" si="178"/>
        <v>0</v>
      </c>
      <c r="CL79" s="1136">
        <f t="shared" si="179"/>
        <v>0</v>
      </c>
      <c r="CM79" s="1136">
        <f t="shared" si="180"/>
        <v>0</v>
      </c>
      <c r="CN79" s="1136">
        <f t="shared" si="181"/>
        <v>0</v>
      </c>
      <c r="CO79" s="1136">
        <f t="shared" si="182"/>
        <v>0</v>
      </c>
      <c r="CP79" s="1136">
        <f t="shared" si="183"/>
        <v>0</v>
      </c>
      <c r="CQ79" s="1136">
        <f t="shared" si="184"/>
        <v>0</v>
      </c>
      <c r="CR79" s="1136">
        <f t="shared" si="185"/>
        <v>0</v>
      </c>
      <c r="CS79" s="1136">
        <f t="shared" si="186"/>
        <v>0</v>
      </c>
      <c r="CT79" s="1136">
        <f t="shared" si="187"/>
        <v>0</v>
      </c>
      <c r="CU79" s="1136">
        <f t="shared" si="188"/>
        <v>0</v>
      </c>
      <c r="CV79" s="1136">
        <f t="shared" si="189"/>
        <v>0</v>
      </c>
      <c r="CW79" s="1136">
        <f t="shared" si="190"/>
        <v>0</v>
      </c>
      <c r="CX79" s="1136">
        <f t="shared" si="191"/>
        <v>0</v>
      </c>
      <c r="CY79" s="1136">
        <f t="shared" si="192"/>
        <v>0</v>
      </c>
      <c r="CZ79" s="1136">
        <f t="shared" si="193"/>
        <v>0</v>
      </c>
      <c r="DA79" s="1136">
        <f t="shared" si="194"/>
        <v>0</v>
      </c>
      <c r="DB79" s="1136">
        <f t="shared" si="195"/>
        <v>-9.6219568667177402E-3</v>
      </c>
      <c r="DC79" s="1136">
        <f t="shared" si="208"/>
        <v>0.13591243695429966</v>
      </c>
      <c r="DD79" s="1136">
        <f t="shared" si="196"/>
        <v>-9.9009900990099098E-3</v>
      </c>
      <c r="DE79" s="1136">
        <f t="shared" si="197"/>
        <v>0</v>
      </c>
      <c r="DF79" s="1136">
        <f t="shared" si="198"/>
        <v>0</v>
      </c>
      <c r="DG79" s="1136">
        <f t="shared" si="199"/>
        <v>0</v>
      </c>
      <c r="DH79" s="1136">
        <f t="shared" si="200"/>
        <v>0</v>
      </c>
      <c r="DI79" s="1136">
        <f t="shared" si="201"/>
        <v>0</v>
      </c>
      <c r="DJ79" s="1136">
        <f t="shared" si="202"/>
        <v>0</v>
      </c>
      <c r="DK79" s="1136">
        <f t="shared" si="203"/>
        <v>0</v>
      </c>
      <c r="DL79" s="1136">
        <f t="shared" si="204"/>
        <v>0</v>
      </c>
      <c r="DM79" s="1131" t="str">
        <f t="array" ref="DM79">IF(MAX(ABS(CD79:DL79))&gt;$DM$4,"EXPLAIN","")</f>
        <v/>
      </c>
      <c r="DN79" s="1131" t="str">
        <f t="shared" si="115"/>
        <v/>
      </c>
      <c r="DP79" s="1140">
        <f t="shared" si="205"/>
        <v>4</v>
      </c>
      <c r="DQ79" s="1140">
        <f t="shared" si="206"/>
        <v>4</v>
      </c>
      <c r="DR79" s="1140" t="str">
        <f t="shared" si="207"/>
        <v>ok</v>
      </c>
    </row>
    <row r="80" spans="2:122">
      <c r="B80" s="1111" t="str">
        <f>IF(Prop2021DUOSTariffs!B80="","",Prop2021DUOSTariffs!B80)</f>
        <v/>
      </c>
      <c r="C80" s="1111" t="str">
        <f>IF(Prop2021DUOSTariffs!C80="","",Prop2021DUOSTariffs!C80)</f>
        <v>East SAC&lt;100MWhpa Residential TOU Energy</v>
      </c>
      <c r="D80" s="1111" t="str">
        <f>IF(Prop2021DUOSTariffs!D80="","",Prop2021DUOSTariffs!D80)</f>
        <v>East SAC&lt;100MWhpa Residential TOU Energy</v>
      </c>
      <c r="E80" s="1111" t="str">
        <f>IF(Prop2021DUOSTariffs!E80="","",Prop2021DUOSTariffs!E80)</f>
        <v>SAC</v>
      </c>
      <c r="F80" s="1111" t="str">
        <f>IF(Prop2021DUOSTariffs!F80="","",Prop2021DUOSTariffs!F80)</f>
        <v>SACS Res</v>
      </c>
      <c r="G80" s="1111" t="str">
        <f>IF(Prop2021DUOSTariffs!G80="","",Prop2021DUOSTariffs!G80)</f>
        <v>East</v>
      </c>
      <c r="H80" s="1111" t="str">
        <f>IF(Prop2021DUOSTariffs!H80="","",Prop2021DUOSTariffs!H80)</f>
        <v>ERTOUE</v>
      </c>
      <c r="I80" s="1111" t="str">
        <f>IF(Prop2021DUOSTariffs!I80="","",Prop2021DUOSTariffs!I80)</f>
        <v>DUOS</v>
      </c>
      <c r="J80" s="1774">
        <v>1</v>
      </c>
      <c r="K80" s="1773">
        <v>0</v>
      </c>
      <c r="L80" s="1773">
        <v>0</v>
      </c>
      <c r="M80" s="1773">
        <v>0</v>
      </c>
      <c r="N80" s="1773">
        <v>0</v>
      </c>
      <c r="O80" s="1773">
        <v>0</v>
      </c>
      <c r="P80" s="1773">
        <v>0</v>
      </c>
      <c r="Q80" s="1773">
        <v>0</v>
      </c>
      <c r="R80" s="1773">
        <v>0</v>
      </c>
      <c r="S80" s="1773">
        <v>0</v>
      </c>
      <c r="T80" s="1773">
        <v>0</v>
      </c>
      <c r="U80" s="1773">
        <v>0</v>
      </c>
      <c r="V80" s="1773">
        <v>0</v>
      </c>
      <c r="W80" s="1773">
        <v>0</v>
      </c>
      <c r="X80" s="1773">
        <v>0</v>
      </c>
      <c r="Y80" s="1773">
        <v>0</v>
      </c>
      <c r="Z80" s="1773">
        <v>0</v>
      </c>
      <c r="AA80" s="1773">
        <v>0</v>
      </c>
      <c r="AB80" s="1773">
        <v>0</v>
      </c>
      <c r="AC80" s="1773">
        <v>0</v>
      </c>
      <c r="AD80" s="1773">
        <v>0</v>
      </c>
      <c r="AE80" s="1775">
        <v>0</v>
      </c>
      <c r="AF80" s="1775">
        <v>0</v>
      </c>
      <c r="AG80" s="1775">
        <v>0</v>
      </c>
      <c r="AH80" s="1775">
        <v>0</v>
      </c>
      <c r="AI80" s="1775">
        <v>0</v>
      </c>
      <c r="AJ80" s="1775">
        <v>0</v>
      </c>
      <c r="AK80" s="1776">
        <v>0.12665043640001636</v>
      </c>
      <c r="AL80" s="1776">
        <v>2.486673236373612E-2</v>
      </c>
      <c r="AM80" s="1776">
        <v>1.8320965190146712E-2</v>
      </c>
      <c r="AN80" s="1775">
        <v>0</v>
      </c>
      <c r="AO80" s="1775">
        <v>0</v>
      </c>
      <c r="AP80" s="1775">
        <v>0</v>
      </c>
      <c r="AQ80" s="1775">
        <v>0</v>
      </c>
      <c r="AR80" s="1775">
        <v>0</v>
      </c>
      <c r="AS80" s="1594"/>
      <c r="AT80" s="1233">
        <v>1</v>
      </c>
      <c r="AU80" s="1135"/>
      <c r="AV80" s="1135"/>
      <c r="AW80" s="1135"/>
      <c r="AX80" s="1135"/>
      <c r="AY80" s="1135"/>
      <c r="AZ80" s="1135"/>
      <c r="BA80" s="1135"/>
      <c r="BB80" s="1135"/>
      <c r="BC80" s="1135"/>
      <c r="BD80" s="1135"/>
      <c r="BE80" s="1135"/>
      <c r="BF80" s="1135"/>
      <c r="BG80" s="1135"/>
      <c r="BH80" s="1135"/>
      <c r="BI80" s="1135"/>
      <c r="BJ80" s="1135"/>
      <c r="BK80" s="1135"/>
      <c r="BL80" s="1135"/>
      <c r="BM80" s="1135"/>
      <c r="BN80" s="1135"/>
      <c r="BO80" s="1005"/>
      <c r="BP80" s="1005"/>
      <c r="BQ80" s="1005"/>
      <c r="BR80" s="1005"/>
      <c r="BS80" s="1005"/>
      <c r="BT80" s="1005"/>
      <c r="BU80" s="1596">
        <v>0.12643574999999999</v>
      </c>
      <c r="BV80" s="1596">
        <v>1.8141351481202186E-2</v>
      </c>
      <c r="BW80" s="1596">
        <v>1.7547899507412895E-2</v>
      </c>
      <c r="BX80" s="1016"/>
      <c r="BY80" s="1016"/>
      <c r="BZ80" s="1016"/>
      <c r="CA80" s="1016"/>
      <c r="CB80" s="1016"/>
      <c r="CC80" s="1594"/>
      <c r="CD80" s="1136">
        <f t="shared" si="171"/>
        <v>0</v>
      </c>
      <c r="CE80" s="1136">
        <f t="shared" si="172"/>
        <v>0</v>
      </c>
      <c r="CF80" s="1136">
        <f t="shared" si="173"/>
        <v>0</v>
      </c>
      <c r="CG80" s="1136">
        <f t="shared" si="174"/>
        <v>0</v>
      </c>
      <c r="CH80" s="1136">
        <f t="shared" si="175"/>
        <v>0</v>
      </c>
      <c r="CI80" s="1136">
        <f t="shared" si="176"/>
        <v>0</v>
      </c>
      <c r="CJ80" s="1136">
        <f t="shared" si="177"/>
        <v>0</v>
      </c>
      <c r="CK80" s="1136">
        <f t="shared" si="178"/>
        <v>0</v>
      </c>
      <c r="CL80" s="1136">
        <f t="shared" si="179"/>
        <v>0</v>
      </c>
      <c r="CM80" s="1136">
        <f t="shared" si="180"/>
        <v>0</v>
      </c>
      <c r="CN80" s="1136">
        <f t="shared" si="181"/>
        <v>0</v>
      </c>
      <c r="CO80" s="1136">
        <f t="shared" si="182"/>
        <v>0</v>
      </c>
      <c r="CP80" s="1136">
        <f t="shared" si="183"/>
        <v>0</v>
      </c>
      <c r="CQ80" s="1136">
        <f t="shared" si="184"/>
        <v>0</v>
      </c>
      <c r="CR80" s="1136">
        <f t="shared" si="185"/>
        <v>0</v>
      </c>
      <c r="CS80" s="1136">
        <f t="shared" si="186"/>
        <v>0</v>
      </c>
      <c r="CT80" s="1136">
        <f t="shared" si="187"/>
        <v>0</v>
      </c>
      <c r="CU80" s="1136">
        <f t="shared" si="188"/>
        <v>0</v>
      </c>
      <c r="CV80" s="1136">
        <f t="shared" si="189"/>
        <v>0</v>
      </c>
      <c r="CW80" s="1136">
        <f t="shared" si="190"/>
        <v>0</v>
      </c>
      <c r="CX80" s="1136">
        <f t="shared" si="191"/>
        <v>0</v>
      </c>
      <c r="CY80" s="1136">
        <f t="shared" si="192"/>
        <v>0</v>
      </c>
      <c r="CZ80" s="1136">
        <f t="shared" si="193"/>
        <v>0</v>
      </c>
      <c r="DA80" s="1136">
        <f t="shared" si="194"/>
        <v>0</v>
      </c>
      <c r="DB80" s="1136">
        <f t="shared" si="195"/>
        <v>0</v>
      </c>
      <c r="DC80" s="1136">
        <f t="shared" si="208"/>
        <v>0</v>
      </c>
      <c r="DD80" s="1136">
        <f t="shared" si="196"/>
        <v>0</v>
      </c>
      <c r="DE80" s="1136">
        <f t="shared" si="197"/>
        <v>1.6979881087142434E-3</v>
      </c>
      <c r="DF80" s="1136">
        <f t="shared" si="198"/>
        <v>0.37072105071679351</v>
      </c>
      <c r="DG80" s="1136">
        <f t="shared" si="199"/>
        <v>4.4054599378532178E-2</v>
      </c>
      <c r="DH80" s="1136">
        <f t="shared" si="200"/>
        <v>0</v>
      </c>
      <c r="DI80" s="1136">
        <f t="shared" si="201"/>
        <v>0</v>
      </c>
      <c r="DJ80" s="1136">
        <f t="shared" si="202"/>
        <v>0</v>
      </c>
      <c r="DK80" s="1136">
        <f t="shared" si="203"/>
        <v>0</v>
      </c>
      <c r="DL80" s="1136">
        <f t="shared" si="204"/>
        <v>0</v>
      </c>
      <c r="DM80" s="1131" t="str">
        <f t="array" ref="DM80">IF(MAX(ABS(CD80:DL80))&gt;$DM$4,"EXPLAIN","")</f>
        <v>EXPLAIN</v>
      </c>
      <c r="DN80" s="1131" t="str">
        <f t="shared" si="115"/>
        <v>Refer to Ergon Energy Pricing Proposal</v>
      </c>
      <c r="DP80" s="1140">
        <f t="shared" si="205"/>
        <v>4</v>
      </c>
      <c r="DQ80" s="1140">
        <f t="shared" si="206"/>
        <v>4</v>
      </c>
      <c r="DR80" s="1140" t="str">
        <f t="shared" si="207"/>
        <v>ok</v>
      </c>
    </row>
    <row r="81" spans="2:122">
      <c r="B81" s="1111" t="str">
        <f>IF(Prop2021DUOSTariffs!B81="","",Prop2021DUOSTariffs!B81)</f>
        <v/>
      </c>
      <c r="C81" s="1111" t="str">
        <f>IF(Prop2021DUOSTariffs!C81="","",Prop2021DUOSTariffs!C81)</f>
        <v>West SAC&lt;100MWhpa Residential TOU Energy</v>
      </c>
      <c r="D81" s="1111" t="str">
        <f>IF(Prop2021DUOSTariffs!D81="","",Prop2021DUOSTariffs!D81)</f>
        <v>West SAC&lt;100MWhpa Residential TOU Energy</v>
      </c>
      <c r="E81" s="1111" t="str">
        <f>IF(Prop2021DUOSTariffs!E81="","",Prop2021DUOSTariffs!E81)</f>
        <v>SAC</v>
      </c>
      <c r="F81" s="1111" t="str">
        <f>IF(Prop2021DUOSTariffs!F81="","",Prop2021DUOSTariffs!F81)</f>
        <v>SACS Res</v>
      </c>
      <c r="G81" s="1111" t="str">
        <f>IF(Prop2021DUOSTariffs!G81="","",Prop2021DUOSTariffs!G81)</f>
        <v>West</v>
      </c>
      <c r="H81" s="1111" t="str">
        <f>IF(Prop2021DUOSTariffs!H81="","",Prop2021DUOSTariffs!H81)</f>
        <v>WRTOUE</v>
      </c>
      <c r="I81" s="1111" t="str">
        <f>IF(Prop2021DUOSTariffs!I81="","",Prop2021DUOSTariffs!I81)</f>
        <v>DUOS</v>
      </c>
      <c r="J81" s="1774">
        <v>1.5</v>
      </c>
      <c r="K81" s="1773">
        <v>0</v>
      </c>
      <c r="L81" s="1773">
        <v>0</v>
      </c>
      <c r="M81" s="1773">
        <v>0</v>
      </c>
      <c r="N81" s="1773">
        <v>0</v>
      </c>
      <c r="O81" s="1773">
        <v>0</v>
      </c>
      <c r="P81" s="1773">
        <v>0</v>
      </c>
      <c r="Q81" s="1773">
        <v>0</v>
      </c>
      <c r="R81" s="1773">
        <v>0</v>
      </c>
      <c r="S81" s="1773">
        <v>0</v>
      </c>
      <c r="T81" s="1773">
        <v>0</v>
      </c>
      <c r="U81" s="1773">
        <v>0</v>
      </c>
      <c r="V81" s="1773">
        <v>0</v>
      </c>
      <c r="W81" s="1773">
        <v>0</v>
      </c>
      <c r="X81" s="1773">
        <v>0</v>
      </c>
      <c r="Y81" s="1773">
        <v>0</v>
      </c>
      <c r="Z81" s="1773">
        <v>0</v>
      </c>
      <c r="AA81" s="1773">
        <v>0</v>
      </c>
      <c r="AB81" s="1773">
        <v>0</v>
      </c>
      <c r="AC81" s="1773">
        <v>0</v>
      </c>
      <c r="AD81" s="1773">
        <v>0</v>
      </c>
      <c r="AE81" s="1775">
        <v>0</v>
      </c>
      <c r="AF81" s="1775">
        <v>0</v>
      </c>
      <c r="AG81" s="1775">
        <v>0</v>
      </c>
      <c r="AH81" s="1775">
        <v>0</v>
      </c>
      <c r="AI81" s="1775">
        <v>0</v>
      </c>
      <c r="AJ81" s="1775">
        <v>0</v>
      </c>
      <c r="AK81" s="1776">
        <v>0.50244975880182885</v>
      </c>
      <c r="AL81" s="1776">
        <v>0.13320967952416535</v>
      </c>
      <c r="AM81" s="1776">
        <v>5.2301328836840716E-2</v>
      </c>
      <c r="AN81" s="1775">
        <v>0</v>
      </c>
      <c r="AO81" s="1775">
        <v>0</v>
      </c>
      <c r="AP81" s="1775">
        <v>0</v>
      </c>
      <c r="AQ81" s="1775">
        <v>0</v>
      </c>
      <c r="AR81" s="1775">
        <v>0</v>
      </c>
      <c r="AS81" s="1594"/>
      <c r="AT81" s="1233">
        <v>1.5</v>
      </c>
      <c r="AU81" s="1135"/>
      <c r="AV81" s="1135"/>
      <c r="AW81" s="1135"/>
      <c r="AX81" s="1135"/>
      <c r="AY81" s="1135"/>
      <c r="AZ81" s="1135"/>
      <c r="BA81" s="1135"/>
      <c r="BB81" s="1135"/>
      <c r="BC81" s="1135"/>
      <c r="BD81" s="1135"/>
      <c r="BE81" s="1135"/>
      <c r="BF81" s="1135"/>
      <c r="BG81" s="1135"/>
      <c r="BH81" s="1135"/>
      <c r="BI81" s="1135"/>
      <c r="BJ81" s="1135"/>
      <c r="BK81" s="1135"/>
      <c r="BL81" s="1135"/>
      <c r="BM81" s="1135"/>
      <c r="BN81" s="1135"/>
      <c r="BO81" s="1005"/>
      <c r="BP81" s="1005"/>
      <c r="BQ81" s="1005"/>
      <c r="BR81" s="1005"/>
      <c r="BS81" s="1005"/>
      <c r="BT81" s="1005"/>
      <c r="BU81" s="1596">
        <v>0.50160193305580847</v>
      </c>
      <c r="BV81" s="1596">
        <v>0.12176639066494373</v>
      </c>
      <c r="BW81" s="1596">
        <v>5.1155180132469953E-2</v>
      </c>
      <c r="BX81" s="1016"/>
      <c r="BY81" s="1016"/>
      <c r="BZ81" s="1016"/>
      <c r="CA81" s="1016"/>
      <c r="CB81" s="1016"/>
      <c r="CC81" s="1594"/>
      <c r="CD81" s="1136">
        <f t="shared" si="171"/>
        <v>0</v>
      </c>
      <c r="CE81" s="1136">
        <f t="shared" si="172"/>
        <v>0</v>
      </c>
      <c r="CF81" s="1136">
        <f t="shared" si="173"/>
        <v>0</v>
      </c>
      <c r="CG81" s="1136">
        <f t="shared" si="174"/>
        <v>0</v>
      </c>
      <c r="CH81" s="1136">
        <f t="shared" si="175"/>
        <v>0</v>
      </c>
      <c r="CI81" s="1136">
        <f t="shared" si="176"/>
        <v>0</v>
      </c>
      <c r="CJ81" s="1136">
        <f t="shared" si="177"/>
        <v>0</v>
      </c>
      <c r="CK81" s="1136">
        <f t="shared" si="178"/>
        <v>0</v>
      </c>
      <c r="CL81" s="1136">
        <f t="shared" si="179"/>
        <v>0</v>
      </c>
      <c r="CM81" s="1136">
        <f t="shared" si="180"/>
        <v>0</v>
      </c>
      <c r="CN81" s="1136">
        <f t="shared" si="181"/>
        <v>0</v>
      </c>
      <c r="CO81" s="1136">
        <f t="shared" si="182"/>
        <v>0</v>
      </c>
      <c r="CP81" s="1136">
        <f t="shared" si="183"/>
        <v>0</v>
      </c>
      <c r="CQ81" s="1136">
        <f t="shared" si="184"/>
        <v>0</v>
      </c>
      <c r="CR81" s="1136">
        <f t="shared" si="185"/>
        <v>0</v>
      </c>
      <c r="CS81" s="1136">
        <f t="shared" si="186"/>
        <v>0</v>
      </c>
      <c r="CT81" s="1136">
        <f t="shared" si="187"/>
        <v>0</v>
      </c>
      <c r="CU81" s="1136">
        <f t="shared" si="188"/>
        <v>0</v>
      </c>
      <c r="CV81" s="1136">
        <f t="shared" si="189"/>
        <v>0</v>
      </c>
      <c r="CW81" s="1136">
        <f t="shared" si="190"/>
        <v>0</v>
      </c>
      <c r="CX81" s="1136">
        <f t="shared" si="191"/>
        <v>0</v>
      </c>
      <c r="CY81" s="1136">
        <f t="shared" si="192"/>
        <v>0</v>
      </c>
      <c r="CZ81" s="1136">
        <f t="shared" si="193"/>
        <v>0</v>
      </c>
      <c r="DA81" s="1136">
        <f t="shared" si="194"/>
        <v>0</v>
      </c>
      <c r="DB81" s="1136">
        <f t="shared" si="195"/>
        <v>0</v>
      </c>
      <c r="DC81" s="1136">
        <f t="shared" si="208"/>
        <v>0</v>
      </c>
      <c r="DD81" s="1136">
        <f t="shared" si="196"/>
        <v>0</v>
      </c>
      <c r="DE81" s="1136">
        <f t="shared" si="197"/>
        <v>1.6902362015540628E-3</v>
      </c>
      <c r="DF81" s="1136">
        <f t="shared" si="198"/>
        <v>9.3977400469307915E-2</v>
      </c>
      <c r="DG81" s="1136">
        <f t="shared" si="199"/>
        <v>2.2405330240314436E-2</v>
      </c>
      <c r="DH81" s="1136">
        <f t="shared" si="200"/>
        <v>0</v>
      </c>
      <c r="DI81" s="1136">
        <f t="shared" si="201"/>
        <v>0</v>
      </c>
      <c r="DJ81" s="1136">
        <f t="shared" si="202"/>
        <v>0</v>
      </c>
      <c r="DK81" s="1136">
        <f t="shared" si="203"/>
        <v>0</v>
      </c>
      <c r="DL81" s="1136">
        <f t="shared" si="204"/>
        <v>0</v>
      </c>
      <c r="DM81" s="1131" t="str">
        <f t="array" ref="DM81">IF(MAX(ABS(CD81:DL81))&gt;$DM$4,"EXPLAIN","")</f>
        <v/>
      </c>
      <c r="DN81" s="1131" t="str">
        <f t="shared" ref="DN81:DN98" si="209">IF(DM81="EXPLAIN","Refer to Ergon Energy Pricing Proposal","")</f>
        <v/>
      </c>
      <c r="DP81" s="1140">
        <f t="shared" si="205"/>
        <v>4</v>
      </c>
      <c r="DQ81" s="1140">
        <f t="shared" si="206"/>
        <v>4</v>
      </c>
      <c r="DR81" s="1140" t="str">
        <f t="shared" si="207"/>
        <v>ok</v>
      </c>
    </row>
    <row r="82" spans="2:122">
      <c r="B82" s="1111" t="str">
        <f>IF(Prop2021DUOSTariffs!B82="","",Prop2021DUOSTariffs!B82)</f>
        <v/>
      </c>
      <c r="C82" s="1111" t="str">
        <f>IF(Prop2021DUOSTariffs!C82="","",Prop2021DUOSTariffs!C82)</f>
        <v>MtIsa SAC&lt;100MWhpa Residential TOU Energy</v>
      </c>
      <c r="D82" s="1111" t="str">
        <f>IF(Prop2021DUOSTariffs!D82="","",Prop2021DUOSTariffs!D82)</f>
        <v>MtIsa SAC&lt;100MWhpa Residential TOU Energy</v>
      </c>
      <c r="E82" s="1111" t="str">
        <f>IF(Prop2021DUOSTariffs!E82="","",Prop2021DUOSTariffs!E82)</f>
        <v>SAC</v>
      </c>
      <c r="F82" s="1111" t="str">
        <f>IF(Prop2021DUOSTariffs!F82="","",Prop2021DUOSTariffs!F82)</f>
        <v>SACS Res</v>
      </c>
      <c r="G82" s="1111" t="str">
        <f>IF(Prop2021DUOSTariffs!G82="","",Prop2021DUOSTariffs!G82)</f>
        <v>Mt Isa</v>
      </c>
      <c r="H82" s="1111" t="str">
        <f>IF(Prop2021DUOSTariffs!H82="","",Prop2021DUOSTariffs!H82)</f>
        <v>MRTOUE</v>
      </c>
      <c r="I82" s="1111" t="str">
        <f>IF(Prop2021DUOSTariffs!I82="","",Prop2021DUOSTariffs!I82)</f>
        <v>DUOS</v>
      </c>
      <c r="J82" s="1774">
        <v>1</v>
      </c>
      <c r="K82" s="1773">
        <v>0</v>
      </c>
      <c r="L82" s="1773">
        <v>0</v>
      </c>
      <c r="M82" s="1773">
        <v>0</v>
      </c>
      <c r="N82" s="1773">
        <v>0</v>
      </c>
      <c r="O82" s="1773">
        <v>0</v>
      </c>
      <c r="P82" s="1773">
        <v>0</v>
      </c>
      <c r="Q82" s="1773">
        <v>0</v>
      </c>
      <c r="R82" s="1773">
        <v>0</v>
      </c>
      <c r="S82" s="1773">
        <v>0</v>
      </c>
      <c r="T82" s="1773">
        <v>0</v>
      </c>
      <c r="U82" s="1773">
        <v>0</v>
      </c>
      <c r="V82" s="1773">
        <v>0</v>
      </c>
      <c r="W82" s="1773">
        <v>0</v>
      </c>
      <c r="X82" s="1773">
        <v>0</v>
      </c>
      <c r="Y82" s="1773">
        <v>0</v>
      </c>
      <c r="Z82" s="1773">
        <v>0</v>
      </c>
      <c r="AA82" s="1773">
        <v>0</v>
      </c>
      <c r="AB82" s="1773">
        <v>0</v>
      </c>
      <c r="AC82" s="1773">
        <v>0</v>
      </c>
      <c r="AD82" s="1773">
        <v>0</v>
      </c>
      <c r="AE82" s="1775">
        <v>0</v>
      </c>
      <c r="AF82" s="1775">
        <v>0</v>
      </c>
      <c r="AG82" s="1775">
        <v>0</v>
      </c>
      <c r="AH82" s="1775">
        <v>0</v>
      </c>
      <c r="AI82" s="1775">
        <v>0</v>
      </c>
      <c r="AJ82" s="1775">
        <v>0</v>
      </c>
      <c r="AK82" s="1776">
        <v>7.7649017951038221E-2</v>
      </c>
      <c r="AL82" s="1776">
        <v>2.1988799999999999E-2</v>
      </c>
      <c r="AM82" s="1776">
        <v>1.8850797997973373E-2</v>
      </c>
      <c r="AN82" s="1775">
        <v>0</v>
      </c>
      <c r="AO82" s="1775">
        <v>0</v>
      </c>
      <c r="AP82" s="1775">
        <v>0</v>
      </c>
      <c r="AQ82" s="1775">
        <v>0</v>
      </c>
      <c r="AR82" s="1775">
        <v>0</v>
      </c>
      <c r="AS82" s="1594"/>
      <c r="AT82" s="1233">
        <v>1</v>
      </c>
      <c r="AU82" s="1135"/>
      <c r="AV82" s="1135"/>
      <c r="AW82" s="1135"/>
      <c r="AX82" s="1135"/>
      <c r="AY82" s="1135"/>
      <c r="AZ82" s="1135"/>
      <c r="BA82" s="1135"/>
      <c r="BB82" s="1135"/>
      <c r="BC82" s="1135"/>
      <c r="BD82" s="1135"/>
      <c r="BE82" s="1135"/>
      <c r="BF82" s="1135"/>
      <c r="BG82" s="1135"/>
      <c r="BH82" s="1135"/>
      <c r="BI82" s="1135"/>
      <c r="BJ82" s="1135"/>
      <c r="BK82" s="1135"/>
      <c r="BL82" s="1135"/>
      <c r="BM82" s="1135"/>
      <c r="BN82" s="1135"/>
      <c r="BO82" s="1005"/>
      <c r="BP82" s="1005"/>
      <c r="BQ82" s="1005"/>
      <c r="BR82" s="1005"/>
      <c r="BS82" s="1005"/>
      <c r="BT82" s="1005"/>
      <c r="BU82" s="1596">
        <v>7.7521503217899038E-2</v>
      </c>
      <c r="BV82" s="1596">
        <v>1.728E-2</v>
      </c>
      <c r="BW82" s="1596">
        <v>1.832697032330894E-2</v>
      </c>
      <c r="BX82" s="1016"/>
      <c r="BY82" s="1016"/>
      <c r="BZ82" s="1016"/>
      <c r="CA82" s="1016"/>
      <c r="CB82" s="1016"/>
      <c r="CC82" s="1594"/>
      <c r="CD82" s="1136">
        <f t="shared" si="171"/>
        <v>0</v>
      </c>
      <c r="CE82" s="1136">
        <f t="shared" si="172"/>
        <v>0</v>
      </c>
      <c r="CF82" s="1136">
        <f t="shared" si="173"/>
        <v>0</v>
      </c>
      <c r="CG82" s="1136">
        <f t="shared" si="174"/>
        <v>0</v>
      </c>
      <c r="CH82" s="1136">
        <f t="shared" si="175"/>
        <v>0</v>
      </c>
      <c r="CI82" s="1136">
        <f t="shared" si="176"/>
        <v>0</v>
      </c>
      <c r="CJ82" s="1136">
        <f t="shared" si="177"/>
        <v>0</v>
      </c>
      <c r="CK82" s="1136">
        <f t="shared" si="178"/>
        <v>0</v>
      </c>
      <c r="CL82" s="1136">
        <f t="shared" si="179"/>
        <v>0</v>
      </c>
      <c r="CM82" s="1136">
        <f t="shared" si="180"/>
        <v>0</v>
      </c>
      <c r="CN82" s="1136">
        <f t="shared" si="181"/>
        <v>0</v>
      </c>
      <c r="CO82" s="1136">
        <f t="shared" si="182"/>
        <v>0</v>
      </c>
      <c r="CP82" s="1136">
        <f t="shared" si="183"/>
        <v>0</v>
      </c>
      <c r="CQ82" s="1136">
        <f t="shared" si="184"/>
        <v>0</v>
      </c>
      <c r="CR82" s="1136">
        <f t="shared" si="185"/>
        <v>0</v>
      </c>
      <c r="CS82" s="1136">
        <f t="shared" si="186"/>
        <v>0</v>
      </c>
      <c r="CT82" s="1136">
        <f t="shared" si="187"/>
        <v>0</v>
      </c>
      <c r="CU82" s="1136">
        <f t="shared" si="188"/>
        <v>0</v>
      </c>
      <c r="CV82" s="1136">
        <f t="shared" si="189"/>
        <v>0</v>
      </c>
      <c r="CW82" s="1136">
        <f t="shared" si="190"/>
        <v>0</v>
      </c>
      <c r="CX82" s="1136">
        <f t="shared" si="191"/>
        <v>0</v>
      </c>
      <c r="CY82" s="1136">
        <f t="shared" si="192"/>
        <v>0</v>
      </c>
      <c r="CZ82" s="1136">
        <f t="shared" si="193"/>
        <v>0</v>
      </c>
      <c r="DA82" s="1136">
        <f t="shared" si="194"/>
        <v>0</v>
      </c>
      <c r="DB82" s="1136">
        <f t="shared" si="195"/>
        <v>0</v>
      </c>
      <c r="DC82" s="1136">
        <f t="shared" si="208"/>
        <v>0</v>
      </c>
      <c r="DD82" s="1136">
        <f t="shared" si="196"/>
        <v>0</v>
      </c>
      <c r="DE82" s="1136">
        <f t="shared" si="197"/>
        <v>1.644895001336133E-3</v>
      </c>
      <c r="DF82" s="1136">
        <f t="shared" si="198"/>
        <v>0.27249999999999996</v>
      </c>
      <c r="DG82" s="1136">
        <f t="shared" si="199"/>
        <v>2.858233878396188E-2</v>
      </c>
      <c r="DH82" s="1136">
        <f t="shared" si="200"/>
        <v>0</v>
      </c>
      <c r="DI82" s="1136">
        <f t="shared" si="201"/>
        <v>0</v>
      </c>
      <c r="DJ82" s="1136">
        <f t="shared" si="202"/>
        <v>0</v>
      </c>
      <c r="DK82" s="1136">
        <f t="shared" si="203"/>
        <v>0</v>
      </c>
      <c r="DL82" s="1136">
        <f t="shared" si="204"/>
        <v>0</v>
      </c>
      <c r="DM82" s="1131" t="str">
        <f t="array" ref="DM82">IF(MAX(ABS(CD82:DL82))&gt;$DM$4,"EXPLAIN","")</f>
        <v>EXPLAIN</v>
      </c>
      <c r="DN82" s="1131" t="str">
        <f t="shared" si="209"/>
        <v>Refer to Ergon Energy Pricing Proposal</v>
      </c>
      <c r="DP82" s="1140">
        <f t="shared" si="205"/>
        <v>4</v>
      </c>
      <c r="DQ82" s="1140">
        <f t="shared" si="206"/>
        <v>4</v>
      </c>
      <c r="DR82" s="1140" t="str">
        <f t="shared" si="207"/>
        <v>ok</v>
      </c>
    </row>
    <row r="83" spans="2:122">
      <c r="B83" s="1111" t="str">
        <f>IF(Prop2021DUOSTariffs!B83="","",Prop2021DUOSTariffs!B83)</f>
        <v/>
      </c>
      <c r="C83" s="1111" t="str">
        <f>IF(Prop2021DUOSTariffs!C83="","",Prop2021DUOSTariffs!C83)</f>
        <v>East SAC&lt;100MWhpa Residential TOU Transitional Demand</v>
      </c>
      <c r="D83" s="1111" t="str">
        <f>IF(Prop2021DUOSTariffs!D83="","",Prop2021DUOSTariffs!D83)</f>
        <v>East SAC&lt;100MWhpa Residential TOU Transitional Demand</v>
      </c>
      <c r="E83" s="1111" t="str">
        <f>IF(Prop2021DUOSTariffs!E83="","",Prop2021DUOSTariffs!E83)</f>
        <v>SAC</v>
      </c>
      <c r="F83" s="1111" t="str">
        <f>IF(Prop2021DUOSTariffs!F83="","",Prop2021DUOSTariffs!F83)</f>
        <v>SACS Res</v>
      </c>
      <c r="G83" s="1111" t="str">
        <f>IF(Prop2021DUOSTariffs!G83="","",Prop2021DUOSTariffs!G83)</f>
        <v>East</v>
      </c>
      <c r="H83" s="1111" t="str">
        <f>IF(Prop2021DUOSTariffs!H83="","",Prop2021DUOSTariffs!H83)</f>
        <v>ERTDEM</v>
      </c>
      <c r="I83" s="1111" t="str">
        <f>IF(Prop2021DUOSTariffs!I83="","",Prop2021DUOSTariffs!I83)</f>
        <v>DUOS</v>
      </c>
      <c r="J83" s="1774">
        <v>1</v>
      </c>
      <c r="K83" s="1773">
        <v>0</v>
      </c>
      <c r="L83" s="1773">
        <v>0</v>
      </c>
      <c r="M83" s="1773">
        <v>0</v>
      </c>
      <c r="N83" s="1773">
        <v>0</v>
      </c>
      <c r="O83" s="1773">
        <v>0</v>
      </c>
      <c r="P83" s="1773">
        <v>0</v>
      </c>
      <c r="Q83" s="1773">
        <v>0</v>
      </c>
      <c r="R83" s="1773">
        <v>0</v>
      </c>
      <c r="S83" s="1773">
        <v>0</v>
      </c>
      <c r="T83" s="1773">
        <v>0</v>
      </c>
      <c r="U83" s="1773">
        <v>0</v>
      </c>
      <c r="V83" s="1773">
        <v>0</v>
      </c>
      <c r="W83" s="1773">
        <v>0</v>
      </c>
      <c r="X83" s="1773">
        <v>0</v>
      </c>
      <c r="Y83" s="1773">
        <v>0</v>
      </c>
      <c r="Z83" s="1774">
        <v>0.88046293574513146</v>
      </c>
      <c r="AA83" s="1773">
        <v>0</v>
      </c>
      <c r="AB83" s="1773">
        <v>0</v>
      </c>
      <c r="AC83" s="1773">
        <v>0</v>
      </c>
      <c r="AD83" s="1773">
        <v>0</v>
      </c>
      <c r="AE83" s="1775">
        <v>0</v>
      </c>
      <c r="AF83" s="1775">
        <v>0</v>
      </c>
      <c r="AG83" s="1776">
        <v>4.5223550958016015E-2</v>
      </c>
      <c r="AH83" s="1775">
        <v>0</v>
      </c>
      <c r="AI83" s="1775">
        <v>0</v>
      </c>
      <c r="AJ83" s="1775">
        <v>0</v>
      </c>
      <c r="AK83" s="1775">
        <v>0</v>
      </c>
      <c r="AL83" s="1775">
        <v>0</v>
      </c>
      <c r="AM83" s="1775">
        <v>0</v>
      </c>
      <c r="AN83" s="1775">
        <v>0</v>
      </c>
      <c r="AO83" s="1775">
        <v>0</v>
      </c>
      <c r="AP83" s="1775">
        <v>0</v>
      </c>
      <c r="AQ83" s="1775">
        <v>0</v>
      </c>
      <c r="AR83" s="1775">
        <v>0</v>
      </c>
      <c r="AS83" s="1594"/>
      <c r="AT83" s="1233">
        <v>1</v>
      </c>
      <c r="AU83" s="1135"/>
      <c r="AV83" s="1135"/>
      <c r="AW83" s="1135"/>
      <c r="AX83" s="1135"/>
      <c r="AY83" s="1135"/>
      <c r="AZ83" s="1135"/>
      <c r="BA83" s="1135"/>
      <c r="BB83" s="1135"/>
      <c r="BC83" s="1135"/>
      <c r="BD83" s="1135"/>
      <c r="BE83" s="1135"/>
      <c r="BF83" s="1135"/>
      <c r="BG83" s="1135"/>
      <c r="BH83" s="1135"/>
      <c r="BI83" s="1135"/>
      <c r="BJ83" s="1233">
        <v>0.87885000000000002</v>
      </c>
      <c r="BK83" s="1135"/>
      <c r="BL83" s="1135"/>
      <c r="BM83" s="1135"/>
      <c r="BN83" s="1135"/>
      <c r="BO83" s="1005"/>
      <c r="BP83" s="1005"/>
      <c r="BQ83" s="1596">
        <v>4.0162699957598677E-2</v>
      </c>
      <c r="BR83" s="1005"/>
      <c r="BS83" s="1005"/>
      <c r="BT83" s="1005"/>
      <c r="BU83" s="1005"/>
      <c r="BV83" s="1016"/>
      <c r="BW83" s="1016"/>
      <c r="BX83" s="1016"/>
      <c r="BY83" s="1016"/>
      <c r="BZ83" s="1016"/>
      <c r="CA83" s="1016"/>
      <c r="CB83" s="1016"/>
      <c r="CC83" s="1594"/>
      <c r="CD83" s="1136">
        <f t="shared" si="171"/>
        <v>0</v>
      </c>
      <c r="CE83" s="1136">
        <f t="shared" si="172"/>
        <v>0</v>
      </c>
      <c r="CF83" s="1136">
        <f t="shared" si="173"/>
        <v>0</v>
      </c>
      <c r="CG83" s="1136">
        <f t="shared" si="174"/>
        <v>0</v>
      </c>
      <c r="CH83" s="1136">
        <f t="shared" si="175"/>
        <v>0</v>
      </c>
      <c r="CI83" s="1136">
        <f t="shared" si="176"/>
        <v>0</v>
      </c>
      <c r="CJ83" s="1136">
        <f t="shared" si="177"/>
        <v>0</v>
      </c>
      <c r="CK83" s="1136">
        <f t="shared" si="178"/>
        <v>0</v>
      </c>
      <c r="CL83" s="1136">
        <f t="shared" si="179"/>
        <v>0</v>
      </c>
      <c r="CM83" s="1136">
        <f t="shared" si="180"/>
        <v>0</v>
      </c>
      <c r="CN83" s="1136">
        <f t="shared" si="181"/>
        <v>0</v>
      </c>
      <c r="CO83" s="1136">
        <f t="shared" si="182"/>
        <v>0</v>
      </c>
      <c r="CP83" s="1136">
        <f t="shared" si="183"/>
        <v>0</v>
      </c>
      <c r="CQ83" s="1136">
        <f t="shared" si="184"/>
        <v>0</v>
      </c>
      <c r="CR83" s="1136">
        <f t="shared" si="185"/>
        <v>0</v>
      </c>
      <c r="CS83" s="1136">
        <f t="shared" si="186"/>
        <v>0</v>
      </c>
      <c r="CT83" s="1136">
        <f t="shared" si="187"/>
        <v>1.8352799057079761E-3</v>
      </c>
      <c r="CU83" s="1136">
        <f t="shared" si="188"/>
        <v>0</v>
      </c>
      <c r="CV83" s="1136">
        <f t="shared" si="189"/>
        <v>0</v>
      </c>
      <c r="CW83" s="1136">
        <f t="shared" si="190"/>
        <v>0</v>
      </c>
      <c r="CX83" s="1136">
        <f t="shared" si="191"/>
        <v>0</v>
      </c>
      <c r="CY83" s="1136">
        <f t="shared" si="192"/>
        <v>0</v>
      </c>
      <c r="CZ83" s="1136">
        <f t="shared" si="193"/>
        <v>0</v>
      </c>
      <c r="DA83" s="1136">
        <f t="shared" si="194"/>
        <v>0.12600873461595641</v>
      </c>
      <c r="DB83" s="1136">
        <f t="shared" si="195"/>
        <v>0</v>
      </c>
      <c r="DC83" s="1136">
        <f t="shared" si="208"/>
        <v>0</v>
      </c>
      <c r="DD83" s="1136">
        <f t="shared" si="196"/>
        <v>0</v>
      </c>
      <c r="DE83" s="1136">
        <f t="shared" si="197"/>
        <v>0</v>
      </c>
      <c r="DF83" s="1136">
        <f t="shared" si="198"/>
        <v>0</v>
      </c>
      <c r="DG83" s="1136">
        <f t="shared" si="199"/>
        <v>0</v>
      </c>
      <c r="DH83" s="1136">
        <f t="shared" si="200"/>
        <v>0</v>
      </c>
      <c r="DI83" s="1136">
        <f t="shared" si="201"/>
        <v>0</v>
      </c>
      <c r="DJ83" s="1136">
        <f t="shared" si="202"/>
        <v>0</v>
      </c>
      <c r="DK83" s="1136">
        <f t="shared" si="203"/>
        <v>0</v>
      </c>
      <c r="DL83" s="1136">
        <f t="shared" si="204"/>
        <v>0</v>
      </c>
      <c r="DM83" s="1131" t="str">
        <f t="array" ref="DM83">IF(MAX(ABS(CD83:DL83))&gt;$DM$4,"EXPLAIN","")</f>
        <v/>
      </c>
      <c r="DN83" s="1131" t="str">
        <f t="shared" si="209"/>
        <v/>
      </c>
      <c r="DP83" s="1140">
        <f t="shared" si="205"/>
        <v>3</v>
      </c>
      <c r="DQ83" s="1140">
        <f t="shared" si="206"/>
        <v>3</v>
      </c>
      <c r="DR83" s="1140" t="str">
        <f t="shared" si="207"/>
        <v>ok</v>
      </c>
    </row>
    <row r="84" spans="2:122">
      <c r="B84" s="1111" t="str">
        <f>IF(Prop2021DUOSTariffs!B84="","",Prop2021DUOSTariffs!B84)</f>
        <v/>
      </c>
      <c r="C84" s="1111" t="str">
        <f>IF(Prop2021DUOSTariffs!C84="","",Prop2021DUOSTariffs!C84)</f>
        <v>West SAC&lt;100MWhpa Residential TOU Transitional Demand</v>
      </c>
      <c r="D84" s="1111" t="str">
        <f>IF(Prop2021DUOSTariffs!D84="","",Prop2021DUOSTariffs!D84)</f>
        <v>West SAC&lt;100MWhpa Residential TOU Transitional Demand</v>
      </c>
      <c r="E84" s="1111" t="str">
        <f>IF(Prop2021DUOSTariffs!E84="","",Prop2021DUOSTariffs!E84)</f>
        <v>SAC</v>
      </c>
      <c r="F84" s="1111" t="str">
        <f>IF(Prop2021DUOSTariffs!F84="","",Prop2021DUOSTariffs!F84)</f>
        <v>SACS Res</v>
      </c>
      <c r="G84" s="1111" t="str">
        <f>IF(Prop2021DUOSTariffs!G84="","",Prop2021DUOSTariffs!G84)</f>
        <v>West</v>
      </c>
      <c r="H84" s="1111" t="str">
        <f>IF(Prop2021DUOSTariffs!H84="","",Prop2021DUOSTariffs!H84)</f>
        <v>WRTDEM</v>
      </c>
      <c r="I84" s="1111" t="str">
        <f>IF(Prop2021DUOSTariffs!I84="","",Prop2021DUOSTariffs!I84)</f>
        <v>DUOS</v>
      </c>
      <c r="J84" s="1774">
        <v>1.5</v>
      </c>
      <c r="K84" s="1773">
        <v>0</v>
      </c>
      <c r="L84" s="1773">
        <v>0</v>
      </c>
      <c r="M84" s="1773">
        <v>0</v>
      </c>
      <c r="N84" s="1773">
        <v>0</v>
      </c>
      <c r="O84" s="1773">
        <v>0</v>
      </c>
      <c r="P84" s="1773">
        <v>0</v>
      </c>
      <c r="Q84" s="1773">
        <v>0</v>
      </c>
      <c r="R84" s="1773">
        <v>0</v>
      </c>
      <c r="S84" s="1773">
        <v>0</v>
      </c>
      <c r="T84" s="1773">
        <v>0</v>
      </c>
      <c r="U84" s="1773">
        <v>0</v>
      </c>
      <c r="V84" s="1773">
        <v>0</v>
      </c>
      <c r="W84" s="1773">
        <v>0</v>
      </c>
      <c r="X84" s="1773">
        <v>0</v>
      </c>
      <c r="Y84" s="1773">
        <v>0</v>
      </c>
      <c r="Z84" s="1774">
        <v>1.702829341031538</v>
      </c>
      <c r="AA84" s="1773">
        <v>0</v>
      </c>
      <c r="AB84" s="1773">
        <v>0</v>
      </c>
      <c r="AC84" s="1773">
        <v>0</v>
      </c>
      <c r="AD84" s="1773">
        <v>0</v>
      </c>
      <c r="AE84" s="1775">
        <v>0</v>
      </c>
      <c r="AF84" s="1775">
        <v>0</v>
      </c>
      <c r="AG84" s="1776">
        <v>0.22118209825686858</v>
      </c>
      <c r="AH84" s="1775">
        <v>0</v>
      </c>
      <c r="AI84" s="1775">
        <v>0</v>
      </c>
      <c r="AJ84" s="1775">
        <v>0</v>
      </c>
      <c r="AK84" s="1775">
        <v>0</v>
      </c>
      <c r="AL84" s="1775">
        <v>0</v>
      </c>
      <c r="AM84" s="1775">
        <v>0</v>
      </c>
      <c r="AN84" s="1775">
        <v>0</v>
      </c>
      <c r="AO84" s="1775">
        <v>0</v>
      </c>
      <c r="AP84" s="1775">
        <v>0</v>
      </c>
      <c r="AQ84" s="1775">
        <v>0</v>
      </c>
      <c r="AR84" s="1775">
        <v>0</v>
      </c>
      <c r="AS84" s="1594"/>
      <c r="AT84" s="1233">
        <v>1.5</v>
      </c>
      <c r="AU84" s="1135"/>
      <c r="AV84" s="1135"/>
      <c r="AW84" s="1135"/>
      <c r="AX84" s="1135"/>
      <c r="AY84" s="1135"/>
      <c r="AZ84" s="1135"/>
      <c r="BA84" s="1135"/>
      <c r="BB84" s="1135"/>
      <c r="BC84" s="1135"/>
      <c r="BD84" s="1135"/>
      <c r="BE84" s="1135"/>
      <c r="BF84" s="1135"/>
      <c r="BG84" s="1135"/>
      <c r="BH84" s="1135"/>
      <c r="BI84" s="1135"/>
      <c r="BJ84" s="1233">
        <v>1.7004225000000004</v>
      </c>
      <c r="BK84" s="1135"/>
      <c r="BL84" s="1135"/>
      <c r="BM84" s="1135"/>
      <c r="BN84" s="1135"/>
      <c r="BO84" s="1005"/>
      <c r="BP84" s="1005"/>
      <c r="BQ84" s="1596">
        <v>0.21399881917872926</v>
      </c>
      <c r="BR84" s="1005"/>
      <c r="BS84" s="1005"/>
      <c r="BT84" s="1005"/>
      <c r="BU84" s="1005"/>
      <c r="BV84" s="1016"/>
      <c r="BW84" s="1016"/>
      <c r="BX84" s="1016"/>
      <c r="BY84" s="1016"/>
      <c r="BZ84" s="1016"/>
      <c r="CA84" s="1016"/>
      <c r="CB84" s="1016"/>
      <c r="CC84" s="1594"/>
      <c r="CD84" s="1136">
        <f t="shared" si="171"/>
        <v>0</v>
      </c>
      <c r="CE84" s="1136">
        <f t="shared" si="172"/>
        <v>0</v>
      </c>
      <c r="CF84" s="1136">
        <f t="shared" si="173"/>
        <v>0</v>
      </c>
      <c r="CG84" s="1136">
        <f t="shared" si="174"/>
        <v>0</v>
      </c>
      <c r="CH84" s="1136">
        <f t="shared" si="175"/>
        <v>0</v>
      </c>
      <c r="CI84" s="1136">
        <f t="shared" si="176"/>
        <v>0</v>
      </c>
      <c r="CJ84" s="1136">
        <f t="shared" si="177"/>
        <v>0</v>
      </c>
      <c r="CK84" s="1136">
        <f t="shared" si="178"/>
        <v>0</v>
      </c>
      <c r="CL84" s="1136">
        <f t="shared" si="179"/>
        <v>0</v>
      </c>
      <c r="CM84" s="1136">
        <f t="shared" si="180"/>
        <v>0</v>
      </c>
      <c r="CN84" s="1136">
        <f t="shared" si="181"/>
        <v>0</v>
      </c>
      <c r="CO84" s="1136">
        <f t="shared" si="182"/>
        <v>0</v>
      </c>
      <c r="CP84" s="1136">
        <f t="shared" si="183"/>
        <v>0</v>
      </c>
      <c r="CQ84" s="1136">
        <f t="shared" si="184"/>
        <v>0</v>
      </c>
      <c r="CR84" s="1136">
        <f t="shared" si="185"/>
        <v>0</v>
      </c>
      <c r="CS84" s="1136">
        <f t="shared" si="186"/>
        <v>0</v>
      </c>
      <c r="CT84" s="1136">
        <f t="shared" si="187"/>
        <v>1.4154370643399972E-3</v>
      </c>
      <c r="CU84" s="1136">
        <f t="shared" si="188"/>
        <v>0</v>
      </c>
      <c r="CV84" s="1136">
        <f t="shared" si="189"/>
        <v>0</v>
      </c>
      <c r="CW84" s="1136">
        <f t="shared" si="190"/>
        <v>0</v>
      </c>
      <c r="CX84" s="1136">
        <f t="shared" si="191"/>
        <v>0</v>
      </c>
      <c r="CY84" s="1136">
        <f t="shared" si="192"/>
        <v>0</v>
      </c>
      <c r="CZ84" s="1136">
        <f t="shared" si="193"/>
        <v>0</v>
      </c>
      <c r="DA84" s="1136">
        <f t="shared" si="194"/>
        <v>3.3566909881591167E-2</v>
      </c>
      <c r="DB84" s="1136">
        <f t="shared" si="195"/>
        <v>0</v>
      </c>
      <c r="DC84" s="1136">
        <f t="shared" si="208"/>
        <v>0</v>
      </c>
      <c r="DD84" s="1136">
        <f t="shared" si="196"/>
        <v>0</v>
      </c>
      <c r="DE84" s="1136">
        <f t="shared" si="197"/>
        <v>0</v>
      </c>
      <c r="DF84" s="1136">
        <f t="shared" si="198"/>
        <v>0</v>
      </c>
      <c r="DG84" s="1136">
        <f t="shared" si="199"/>
        <v>0</v>
      </c>
      <c r="DH84" s="1136">
        <f t="shared" si="200"/>
        <v>0</v>
      </c>
      <c r="DI84" s="1136">
        <f t="shared" si="201"/>
        <v>0</v>
      </c>
      <c r="DJ84" s="1136">
        <f t="shared" si="202"/>
        <v>0</v>
      </c>
      <c r="DK84" s="1136">
        <f t="shared" si="203"/>
        <v>0</v>
      </c>
      <c r="DL84" s="1136">
        <f t="shared" si="204"/>
        <v>0</v>
      </c>
      <c r="DM84" s="1131" t="str">
        <f t="array" ref="DM84">IF(MAX(ABS(CD84:DL84))&gt;$DM$4,"EXPLAIN","")</f>
        <v/>
      </c>
      <c r="DN84" s="1131" t="str">
        <f t="shared" si="209"/>
        <v/>
      </c>
      <c r="DP84" s="1140">
        <f t="shared" si="205"/>
        <v>3</v>
      </c>
      <c r="DQ84" s="1140">
        <f t="shared" si="206"/>
        <v>3</v>
      </c>
      <c r="DR84" s="1140" t="str">
        <f t="shared" si="207"/>
        <v>ok</v>
      </c>
    </row>
    <row r="85" spans="2:122">
      <c r="B85" s="1111" t="str">
        <f>IF(Prop2021DUOSTariffs!B85="","",Prop2021DUOSTariffs!B85)</f>
        <v/>
      </c>
      <c r="C85" s="1111" t="str">
        <f>IF(Prop2021DUOSTariffs!C85="","",Prop2021DUOSTariffs!C85)</f>
        <v>MtIsa SAC&lt;100MWhpa Residential TOU Transitional Demand</v>
      </c>
      <c r="D85" s="1111" t="str">
        <f>IF(Prop2021DUOSTariffs!D85="","",Prop2021DUOSTariffs!D85)</f>
        <v>MtIsa SAC&lt;100MWhpa Residential TOU Transitional Demand</v>
      </c>
      <c r="E85" s="1111" t="str">
        <f>IF(Prop2021DUOSTariffs!E85="","",Prop2021DUOSTariffs!E85)</f>
        <v>SAC</v>
      </c>
      <c r="F85" s="1111" t="str">
        <f>IF(Prop2021DUOSTariffs!F85="","",Prop2021DUOSTariffs!F85)</f>
        <v>SACS Res</v>
      </c>
      <c r="G85" s="1111" t="str">
        <f>IF(Prop2021DUOSTariffs!G85="","",Prop2021DUOSTariffs!G85)</f>
        <v>Mt Isa</v>
      </c>
      <c r="H85" s="1111" t="str">
        <f>IF(Prop2021DUOSTariffs!H85="","",Prop2021DUOSTariffs!H85)</f>
        <v>MRTDEM</v>
      </c>
      <c r="I85" s="1111" t="str">
        <f>IF(Prop2021DUOSTariffs!I85="","",Prop2021DUOSTariffs!I85)</f>
        <v>DUOS</v>
      </c>
      <c r="J85" s="1774">
        <v>1</v>
      </c>
      <c r="K85" s="1773">
        <v>0</v>
      </c>
      <c r="L85" s="1773">
        <v>0</v>
      </c>
      <c r="M85" s="1773">
        <v>0</v>
      </c>
      <c r="N85" s="1773">
        <v>0</v>
      </c>
      <c r="O85" s="1773">
        <v>0</v>
      </c>
      <c r="P85" s="1773">
        <v>0</v>
      </c>
      <c r="Q85" s="1773">
        <v>0</v>
      </c>
      <c r="R85" s="1773">
        <v>0</v>
      </c>
      <c r="S85" s="1773">
        <v>0</v>
      </c>
      <c r="T85" s="1773">
        <v>0</v>
      </c>
      <c r="U85" s="1773">
        <v>0</v>
      </c>
      <c r="V85" s="1773">
        <v>0</v>
      </c>
      <c r="W85" s="1773">
        <v>0</v>
      </c>
      <c r="X85" s="1773">
        <v>0</v>
      </c>
      <c r="Y85" s="1773">
        <v>0</v>
      </c>
      <c r="Z85" s="1774">
        <v>1.1669389307657316</v>
      </c>
      <c r="AA85" s="1773">
        <v>0</v>
      </c>
      <c r="AB85" s="1773">
        <v>0</v>
      </c>
      <c r="AC85" s="1773">
        <v>0</v>
      </c>
      <c r="AD85" s="1773">
        <v>0</v>
      </c>
      <c r="AE85" s="1775">
        <v>0</v>
      </c>
      <c r="AF85" s="1775">
        <v>0</v>
      </c>
      <c r="AG85" s="1776">
        <v>2.6632280618934554E-2</v>
      </c>
      <c r="AH85" s="1775">
        <v>0</v>
      </c>
      <c r="AI85" s="1775">
        <v>0</v>
      </c>
      <c r="AJ85" s="1775">
        <v>0</v>
      </c>
      <c r="AK85" s="1775">
        <v>0</v>
      </c>
      <c r="AL85" s="1775">
        <v>0</v>
      </c>
      <c r="AM85" s="1775">
        <v>0</v>
      </c>
      <c r="AN85" s="1775">
        <v>0</v>
      </c>
      <c r="AO85" s="1775">
        <v>0</v>
      </c>
      <c r="AP85" s="1775">
        <v>0</v>
      </c>
      <c r="AQ85" s="1775">
        <v>0</v>
      </c>
      <c r="AR85" s="1775">
        <v>0</v>
      </c>
      <c r="AS85" s="1594"/>
      <c r="AT85" s="1233">
        <v>1</v>
      </c>
      <c r="AU85" s="1135"/>
      <c r="AV85" s="1135"/>
      <c r="AW85" s="1135"/>
      <c r="AX85" s="1135"/>
      <c r="AY85" s="1135"/>
      <c r="AZ85" s="1135"/>
      <c r="BA85" s="1135"/>
      <c r="BB85" s="1135"/>
      <c r="BC85" s="1135"/>
      <c r="BD85" s="1135"/>
      <c r="BE85" s="1135"/>
      <c r="BF85" s="1135"/>
      <c r="BG85" s="1135"/>
      <c r="BH85" s="1135"/>
      <c r="BI85" s="1135"/>
      <c r="BJ85" s="1233">
        <v>1.164555</v>
      </c>
      <c r="BK85" s="1135"/>
      <c r="BL85" s="1135"/>
      <c r="BM85" s="1135"/>
      <c r="BN85" s="1135"/>
      <c r="BO85" s="1005"/>
      <c r="BP85" s="1005"/>
      <c r="BQ85" s="1596">
        <v>2.4703799999999998E-2</v>
      </c>
      <c r="BR85" s="1005"/>
      <c r="BS85" s="1005"/>
      <c r="BT85" s="1005"/>
      <c r="BU85" s="1005"/>
      <c r="BV85" s="1016"/>
      <c r="BW85" s="1016"/>
      <c r="BX85" s="1016"/>
      <c r="BY85" s="1016"/>
      <c r="BZ85" s="1016"/>
      <c r="CA85" s="1016"/>
      <c r="CB85" s="1016"/>
      <c r="CC85" s="1594"/>
      <c r="CD85" s="1136">
        <f t="shared" si="171"/>
        <v>0</v>
      </c>
      <c r="CE85" s="1136">
        <f t="shared" si="172"/>
        <v>0</v>
      </c>
      <c r="CF85" s="1136">
        <f t="shared" si="173"/>
        <v>0</v>
      </c>
      <c r="CG85" s="1136">
        <f t="shared" si="174"/>
        <v>0</v>
      </c>
      <c r="CH85" s="1136">
        <f t="shared" si="175"/>
        <v>0</v>
      </c>
      <c r="CI85" s="1136">
        <f t="shared" si="176"/>
        <v>0</v>
      </c>
      <c r="CJ85" s="1136">
        <f t="shared" si="177"/>
        <v>0</v>
      </c>
      <c r="CK85" s="1136">
        <f t="shared" si="178"/>
        <v>0</v>
      </c>
      <c r="CL85" s="1136">
        <f t="shared" si="179"/>
        <v>0</v>
      </c>
      <c r="CM85" s="1136">
        <f t="shared" si="180"/>
        <v>0</v>
      </c>
      <c r="CN85" s="1136">
        <f t="shared" si="181"/>
        <v>0</v>
      </c>
      <c r="CO85" s="1136">
        <f t="shared" si="182"/>
        <v>0</v>
      </c>
      <c r="CP85" s="1136">
        <f t="shared" si="183"/>
        <v>0</v>
      </c>
      <c r="CQ85" s="1136">
        <f t="shared" si="184"/>
        <v>0</v>
      </c>
      <c r="CR85" s="1136">
        <f t="shared" si="185"/>
        <v>0</v>
      </c>
      <c r="CS85" s="1136">
        <f t="shared" si="186"/>
        <v>0</v>
      </c>
      <c r="CT85" s="1136">
        <f t="shared" si="187"/>
        <v>2.0470744324927459E-3</v>
      </c>
      <c r="CU85" s="1136">
        <f t="shared" si="188"/>
        <v>0</v>
      </c>
      <c r="CV85" s="1136">
        <f t="shared" si="189"/>
        <v>0</v>
      </c>
      <c r="CW85" s="1136">
        <f t="shared" si="190"/>
        <v>0</v>
      </c>
      <c r="CX85" s="1136">
        <f t="shared" si="191"/>
        <v>0</v>
      </c>
      <c r="CY85" s="1136">
        <f t="shared" si="192"/>
        <v>0</v>
      </c>
      <c r="CZ85" s="1136">
        <f t="shared" si="193"/>
        <v>0</v>
      </c>
      <c r="DA85" s="1136">
        <f t="shared" si="194"/>
        <v>7.8064128552471912E-2</v>
      </c>
      <c r="DB85" s="1136">
        <f t="shared" si="195"/>
        <v>0</v>
      </c>
      <c r="DC85" s="1136">
        <f t="shared" si="208"/>
        <v>0</v>
      </c>
      <c r="DD85" s="1136">
        <f t="shared" si="196"/>
        <v>0</v>
      </c>
      <c r="DE85" s="1136">
        <f t="shared" si="197"/>
        <v>0</v>
      </c>
      <c r="DF85" s="1136">
        <f t="shared" si="198"/>
        <v>0</v>
      </c>
      <c r="DG85" s="1136">
        <f t="shared" si="199"/>
        <v>0</v>
      </c>
      <c r="DH85" s="1136">
        <f t="shared" si="200"/>
        <v>0</v>
      </c>
      <c r="DI85" s="1136">
        <f t="shared" si="201"/>
        <v>0</v>
      </c>
      <c r="DJ85" s="1136">
        <f t="shared" si="202"/>
        <v>0</v>
      </c>
      <c r="DK85" s="1136">
        <f t="shared" si="203"/>
        <v>0</v>
      </c>
      <c r="DL85" s="1136">
        <f t="shared" si="204"/>
        <v>0</v>
      </c>
      <c r="DM85" s="1131" t="str">
        <f t="array" ref="DM85">IF(MAX(ABS(CD85:DL85))&gt;$DM$4,"EXPLAIN","")</f>
        <v/>
      </c>
      <c r="DN85" s="1131" t="str">
        <f t="shared" si="209"/>
        <v/>
      </c>
      <c r="DP85" s="1140">
        <f t="shared" si="205"/>
        <v>3</v>
      </c>
      <c r="DQ85" s="1140">
        <f t="shared" si="206"/>
        <v>3</v>
      </c>
      <c r="DR85" s="1140" t="str">
        <f t="shared" si="207"/>
        <v>ok</v>
      </c>
    </row>
    <row r="86" spans="2:122">
      <c r="B86" s="1111" t="str">
        <f>IF(Prop2021DUOSTariffs!B86="","",Prop2021DUOSTariffs!B86)</f>
        <v/>
      </c>
      <c r="C86" s="1111" t="str">
        <f>IF(Prop2021DUOSTariffs!C86="","",Prop2021DUOSTariffs!C86)</f>
        <v>East SAC&lt;100MWhpa Residential TOU Demand</v>
      </c>
      <c r="D86" s="1111" t="str">
        <f>IF(Prop2021DUOSTariffs!D86="","",Prop2021DUOSTariffs!D86)</f>
        <v>East SAC&lt;100MWhpa Residential TOU Demand</v>
      </c>
      <c r="E86" s="1111" t="str">
        <f>IF(Prop2021DUOSTariffs!E86="","",Prop2021DUOSTariffs!E86)</f>
        <v>SAC</v>
      </c>
      <c r="F86" s="1111" t="str">
        <f>IF(Prop2021DUOSTariffs!F86="","",Prop2021DUOSTariffs!F86)</f>
        <v>SACS Res</v>
      </c>
      <c r="G86" s="1111" t="str">
        <f>IF(Prop2021DUOSTariffs!G86="","",Prop2021DUOSTariffs!G86)</f>
        <v>East</v>
      </c>
      <c r="H86" s="1111" t="str">
        <f>IF(Prop2021DUOSTariffs!H86="","",Prop2021DUOSTariffs!H86)</f>
        <v>ERDEM</v>
      </c>
      <c r="I86" s="1111" t="str">
        <f>IF(Prop2021DUOSTariffs!I86="","",Prop2021DUOSTariffs!I86)</f>
        <v>DUOS</v>
      </c>
      <c r="J86" s="1774">
        <v>1</v>
      </c>
      <c r="K86" s="1773">
        <v>0</v>
      </c>
      <c r="L86" s="1773">
        <v>0</v>
      </c>
      <c r="M86" s="1773">
        <v>0</v>
      </c>
      <c r="N86" s="1773">
        <v>0</v>
      </c>
      <c r="O86" s="1773">
        <v>0</v>
      </c>
      <c r="P86" s="1773">
        <v>0</v>
      </c>
      <c r="Q86" s="1773">
        <v>0</v>
      </c>
      <c r="R86" s="1773">
        <v>0</v>
      </c>
      <c r="S86" s="1773">
        <v>0</v>
      </c>
      <c r="T86" s="1773">
        <v>0</v>
      </c>
      <c r="U86" s="1773">
        <v>0</v>
      </c>
      <c r="V86" s="1773">
        <v>0</v>
      </c>
      <c r="W86" s="1773">
        <v>0</v>
      </c>
      <c r="X86" s="1773">
        <v>0</v>
      </c>
      <c r="Y86" s="1773">
        <v>0</v>
      </c>
      <c r="Z86" s="1774">
        <v>4.2971399253090024</v>
      </c>
      <c r="AA86" s="1773">
        <v>0</v>
      </c>
      <c r="AB86" s="1773">
        <v>0</v>
      </c>
      <c r="AC86" s="1773">
        <v>0</v>
      </c>
      <c r="AD86" s="1773">
        <v>0</v>
      </c>
      <c r="AE86" s="1775">
        <v>0</v>
      </c>
      <c r="AF86" s="1775">
        <v>0</v>
      </c>
      <c r="AG86" s="1776">
        <v>2.1948907291267739E-2</v>
      </c>
      <c r="AH86" s="1775">
        <v>0</v>
      </c>
      <c r="AI86" s="1775">
        <v>0</v>
      </c>
      <c r="AJ86" s="1775">
        <v>0</v>
      </c>
      <c r="AK86" s="1775">
        <v>0</v>
      </c>
      <c r="AL86" s="1775">
        <v>0</v>
      </c>
      <c r="AM86" s="1775">
        <v>0</v>
      </c>
      <c r="AN86" s="1775">
        <v>0</v>
      </c>
      <c r="AO86" s="1775">
        <v>0</v>
      </c>
      <c r="AP86" s="1775">
        <v>0</v>
      </c>
      <c r="AQ86" s="1775">
        <v>0</v>
      </c>
      <c r="AR86" s="1775">
        <v>0</v>
      </c>
      <c r="AS86" s="1594"/>
      <c r="AT86" s="1233">
        <v>1</v>
      </c>
      <c r="AU86" s="1135"/>
      <c r="AV86" s="1135"/>
      <c r="AW86" s="1135"/>
      <c r="AX86" s="1135"/>
      <c r="AY86" s="1135"/>
      <c r="AZ86" s="1135"/>
      <c r="BA86" s="1135"/>
      <c r="BB86" s="1135"/>
      <c r="BC86" s="1135"/>
      <c r="BD86" s="1135"/>
      <c r="BE86" s="1135"/>
      <c r="BF86" s="1135"/>
      <c r="BG86" s="1135"/>
      <c r="BH86" s="1135"/>
      <c r="BI86" s="1135"/>
      <c r="BJ86" s="1233">
        <v>4.2896249999999991</v>
      </c>
      <c r="BK86" s="1135"/>
      <c r="BL86" s="1135"/>
      <c r="BM86" s="1135"/>
      <c r="BN86" s="1135"/>
      <c r="BO86" s="1005"/>
      <c r="BP86" s="1005"/>
      <c r="BQ86" s="1596">
        <v>1.8401351617368392E-2</v>
      </c>
      <c r="BR86" s="1005"/>
      <c r="BS86" s="1005"/>
      <c r="BT86" s="1005"/>
      <c r="BU86" s="1005"/>
      <c r="BV86" s="1016"/>
      <c r="BW86" s="1016"/>
      <c r="BX86" s="1016"/>
      <c r="BY86" s="1016"/>
      <c r="BZ86" s="1016"/>
      <c r="CA86" s="1016"/>
      <c r="CB86" s="1016"/>
      <c r="CC86" s="1594"/>
      <c r="CD86" s="1136">
        <f t="shared" si="171"/>
        <v>0</v>
      </c>
      <c r="CE86" s="1136">
        <f t="shared" si="172"/>
        <v>0</v>
      </c>
      <c r="CF86" s="1136">
        <f t="shared" si="173"/>
        <v>0</v>
      </c>
      <c r="CG86" s="1136">
        <f t="shared" si="174"/>
        <v>0</v>
      </c>
      <c r="CH86" s="1136">
        <f t="shared" si="175"/>
        <v>0</v>
      </c>
      <c r="CI86" s="1136">
        <f t="shared" si="176"/>
        <v>0</v>
      </c>
      <c r="CJ86" s="1136">
        <f t="shared" si="177"/>
        <v>0</v>
      </c>
      <c r="CK86" s="1136">
        <f t="shared" si="178"/>
        <v>0</v>
      </c>
      <c r="CL86" s="1136">
        <f t="shared" si="179"/>
        <v>0</v>
      </c>
      <c r="CM86" s="1136">
        <f t="shared" si="180"/>
        <v>0</v>
      </c>
      <c r="CN86" s="1136">
        <f t="shared" si="181"/>
        <v>0</v>
      </c>
      <c r="CO86" s="1136">
        <f t="shared" si="182"/>
        <v>0</v>
      </c>
      <c r="CP86" s="1136">
        <f t="shared" si="183"/>
        <v>0</v>
      </c>
      <c r="CQ86" s="1136">
        <f t="shared" si="184"/>
        <v>0</v>
      </c>
      <c r="CR86" s="1136">
        <f t="shared" si="185"/>
        <v>0</v>
      </c>
      <c r="CS86" s="1136">
        <f t="shared" si="186"/>
        <v>0</v>
      </c>
      <c r="CT86" s="1136">
        <f t="shared" si="187"/>
        <v>1.7518839779708806E-3</v>
      </c>
      <c r="CU86" s="1136">
        <f t="shared" si="188"/>
        <v>0</v>
      </c>
      <c r="CV86" s="1136">
        <f t="shared" si="189"/>
        <v>0</v>
      </c>
      <c r="CW86" s="1136">
        <f t="shared" si="190"/>
        <v>0</v>
      </c>
      <c r="CX86" s="1136">
        <f t="shared" si="191"/>
        <v>0</v>
      </c>
      <c r="CY86" s="1136">
        <f t="shared" si="192"/>
        <v>0</v>
      </c>
      <c r="CZ86" s="1136">
        <f t="shared" si="193"/>
        <v>0</v>
      </c>
      <c r="DA86" s="1136">
        <f t="shared" si="194"/>
        <v>0.19278777709735917</v>
      </c>
      <c r="DB86" s="1136">
        <f t="shared" si="195"/>
        <v>0</v>
      </c>
      <c r="DC86" s="1136">
        <f t="shared" si="208"/>
        <v>0</v>
      </c>
      <c r="DD86" s="1136">
        <f t="shared" si="196"/>
        <v>0</v>
      </c>
      <c r="DE86" s="1136">
        <f t="shared" si="197"/>
        <v>0</v>
      </c>
      <c r="DF86" s="1136">
        <f t="shared" si="198"/>
        <v>0</v>
      </c>
      <c r="DG86" s="1136">
        <f t="shared" si="199"/>
        <v>0</v>
      </c>
      <c r="DH86" s="1136">
        <f t="shared" si="200"/>
        <v>0</v>
      </c>
      <c r="DI86" s="1136">
        <f t="shared" si="201"/>
        <v>0</v>
      </c>
      <c r="DJ86" s="1136">
        <f t="shared" si="202"/>
        <v>0</v>
      </c>
      <c r="DK86" s="1136">
        <f t="shared" si="203"/>
        <v>0</v>
      </c>
      <c r="DL86" s="1136">
        <f t="shared" si="204"/>
        <v>0</v>
      </c>
      <c r="DM86" s="1131" t="str">
        <f t="array" ref="DM86">IF(MAX(ABS(CD86:DL86))&gt;$DM$4,"EXPLAIN","")</f>
        <v>EXPLAIN</v>
      </c>
      <c r="DN86" s="1131" t="str">
        <f t="shared" si="209"/>
        <v>Refer to Ergon Energy Pricing Proposal</v>
      </c>
      <c r="DP86" s="1140">
        <f t="shared" si="205"/>
        <v>3</v>
      </c>
      <c r="DQ86" s="1140">
        <f t="shared" si="206"/>
        <v>3</v>
      </c>
      <c r="DR86" s="1140" t="str">
        <f t="shared" si="207"/>
        <v>ok</v>
      </c>
    </row>
    <row r="87" spans="2:122">
      <c r="B87" s="1111" t="str">
        <f>IF(Prop2021DUOSTariffs!B87="","",Prop2021DUOSTariffs!B87)</f>
        <v/>
      </c>
      <c r="C87" s="1111" t="str">
        <f>IF(Prop2021DUOSTariffs!C87="","",Prop2021DUOSTariffs!C87)</f>
        <v>West SAC&lt;100MWhpa Residential TOU Demand</v>
      </c>
      <c r="D87" s="1111" t="str">
        <f>IF(Prop2021DUOSTariffs!D87="","",Prop2021DUOSTariffs!D87)</f>
        <v>West SAC&lt;100MWhpa Residential TOU Demand</v>
      </c>
      <c r="E87" s="1111" t="str">
        <f>IF(Prop2021DUOSTariffs!E87="","",Prop2021DUOSTariffs!E87)</f>
        <v>SAC</v>
      </c>
      <c r="F87" s="1111" t="str">
        <f>IF(Prop2021DUOSTariffs!F87="","",Prop2021DUOSTariffs!F87)</f>
        <v>SACS Res</v>
      </c>
      <c r="G87" s="1111" t="str">
        <f>IF(Prop2021DUOSTariffs!G87="","",Prop2021DUOSTariffs!G87)</f>
        <v>West</v>
      </c>
      <c r="H87" s="1111" t="str">
        <f>IF(Prop2021DUOSTariffs!H87="","",Prop2021DUOSTariffs!H87)</f>
        <v>WRDEM</v>
      </c>
      <c r="I87" s="1111" t="str">
        <f>IF(Prop2021DUOSTariffs!I87="","",Prop2021DUOSTariffs!I87)</f>
        <v>DUOS</v>
      </c>
      <c r="J87" s="1774">
        <v>1.5</v>
      </c>
      <c r="K87" s="1773">
        <v>0</v>
      </c>
      <c r="L87" s="1773">
        <v>0</v>
      </c>
      <c r="M87" s="1773">
        <v>0</v>
      </c>
      <c r="N87" s="1773">
        <v>0</v>
      </c>
      <c r="O87" s="1773">
        <v>0</v>
      </c>
      <c r="P87" s="1773">
        <v>0</v>
      </c>
      <c r="Q87" s="1773">
        <v>0</v>
      </c>
      <c r="R87" s="1773">
        <v>0</v>
      </c>
      <c r="S87" s="1773">
        <v>0</v>
      </c>
      <c r="T87" s="1773">
        <v>0</v>
      </c>
      <c r="U87" s="1773">
        <v>0</v>
      </c>
      <c r="V87" s="1773">
        <v>0</v>
      </c>
      <c r="W87" s="1773">
        <v>0</v>
      </c>
      <c r="X87" s="1773">
        <v>0</v>
      </c>
      <c r="Y87" s="1773">
        <v>0</v>
      </c>
      <c r="Z87" s="1774">
        <v>17.032300067588412</v>
      </c>
      <c r="AA87" s="1773">
        <v>0</v>
      </c>
      <c r="AB87" s="1773">
        <v>0</v>
      </c>
      <c r="AC87" s="1773">
        <v>0</v>
      </c>
      <c r="AD87" s="1773">
        <v>0</v>
      </c>
      <c r="AE87" s="1775">
        <v>0</v>
      </c>
      <c r="AF87" s="1775">
        <v>0</v>
      </c>
      <c r="AG87" s="1776">
        <v>0.1023647910760397</v>
      </c>
      <c r="AH87" s="1775">
        <v>0</v>
      </c>
      <c r="AI87" s="1775">
        <v>0</v>
      </c>
      <c r="AJ87" s="1775">
        <v>0</v>
      </c>
      <c r="AK87" s="1775">
        <v>0</v>
      </c>
      <c r="AL87" s="1775">
        <v>0</v>
      </c>
      <c r="AM87" s="1775">
        <v>0</v>
      </c>
      <c r="AN87" s="1775">
        <v>0</v>
      </c>
      <c r="AO87" s="1775">
        <v>0</v>
      </c>
      <c r="AP87" s="1775">
        <v>0</v>
      </c>
      <c r="AQ87" s="1775">
        <v>0</v>
      </c>
      <c r="AR87" s="1775">
        <v>0</v>
      </c>
      <c r="AS87" s="1594"/>
      <c r="AT87" s="1233">
        <v>1.5</v>
      </c>
      <c r="AU87" s="1135"/>
      <c r="AV87" s="1135"/>
      <c r="AW87" s="1135"/>
      <c r="AX87" s="1135"/>
      <c r="AY87" s="1135"/>
      <c r="AZ87" s="1135"/>
      <c r="BA87" s="1135"/>
      <c r="BB87" s="1135"/>
      <c r="BC87" s="1135"/>
      <c r="BD87" s="1135"/>
      <c r="BE87" s="1135"/>
      <c r="BF87" s="1135"/>
      <c r="BG87" s="1135"/>
      <c r="BH87" s="1135"/>
      <c r="BI87" s="1135"/>
      <c r="BJ87" s="1233">
        <v>17.004225000000002</v>
      </c>
      <c r="BK87" s="1135"/>
      <c r="BL87" s="1135"/>
      <c r="BM87" s="1135"/>
      <c r="BN87" s="1135"/>
      <c r="BO87" s="1005"/>
      <c r="BP87" s="1005"/>
      <c r="BQ87" s="1596">
        <v>9.6410926176947034E-2</v>
      </c>
      <c r="BR87" s="1005"/>
      <c r="BS87" s="1005"/>
      <c r="BT87" s="1005"/>
      <c r="BU87" s="1005"/>
      <c r="BV87" s="1016"/>
      <c r="BW87" s="1016"/>
      <c r="BX87" s="1016"/>
      <c r="BY87" s="1016"/>
      <c r="BZ87" s="1016"/>
      <c r="CA87" s="1016"/>
      <c r="CB87" s="1016"/>
      <c r="CC87" s="1594"/>
      <c r="CD87" s="1136">
        <f t="shared" si="171"/>
        <v>0</v>
      </c>
      <c r="CE87" s="1136">
        <f t="shared" si="172"/>
        <v>0</v>
      </c>
      <c r="CF87" s="1136">
        <f t="shared" si="173"/>
        <v>0</v>
      </c>
      <c r="CG87" s="1136">
        <f t="shared" si="174"/>
        <v>0</v>
      </c>
      <c r="CH87" s="1136">
        <f t="shared" si="175"/>
        <v>0</v>
      </c>
      <c r="CI87" s="1136">
        <f t="shared" si="176"/>
        <v>0</v>
      </c>
      <c r="CJ87" s="1136">
        <f t="shared" si="177"/>
        <v>0</v>
      </c>
      <c r="CK87" s="1136">
        <f t="shared" si="178"/>
        <v>0</v>
      </c>
      <c r="CL87" s="1136">
        <f t="shared" si="179"/>
        <v>0</v>
      </c>
      <c r="CM87" s="1136">
        <f t="shared" si="180"/>
        <v>0</v>
      </c>
      <c r="CN87" s="1136">
        <f t="shared" si="181"/>
        <v>0</v>
      </c>
      <c r="CO87" s="1136">
        <f t="shared" si="182"/>
        <v>0</v>
      </c>
      <c r="CP87" s="1136">
        <f t="shared" si="183"/>
        <v>0</v>
      </c>
      <c r="CQ87" s="1136">
        <f t="shared" si="184"/>
        <v>0</v>
      </c>
      <c r="CR87" s="1136">
        <f t="shared" si="185"/>
        <v>0</v>
      </c>
      <c r="CS87" s="1136">
        <f t="shared" si="186"/>
        <v>0</v>
      </c>
      <c r="CT87" s="1136">
        <f t="shared" si="187"/>
        <v>1.6510642260032515E-3</v>
      </c>
      <c r="CU87" s="1136">
        <f t="shared" si="188"/>
        <v>0</v>
      </c>
      <c r="CV87" s="1136">
        <f t="shared" si="189"/>
        <v>0</v>
      </c>
      <c r="CW87" s="1136">
        <f t="shared" si="190"/>
        <v>0</v>
      </c>
      <c r="CX87" s="1136">
        <f t="shared" si="191"/>
        <v>0</v>
      </c>
      <c r="CY87" s="1136">
        <f t="shared" si="192"/>
        <v>0</v>
      </c>
      <c r="CZ87" s="1136">
        <f t="shared" si="193"/>
        <v>0</v>
      </c>
      <c r="DA87" s="1136">
        <f t="shared" si="194"/>
        <v>6.1755084565470186E-2</v>
      </c>
      <c r="DB87" s="1136">
        <f t="shared" si="195"/>
        <v>0</v>
      </c>
      <c r="DC87" s="1136">
        <f t="shared" si="208"/>
        <v>0</v>
      </c>
      <c r="DD87" s="1136">
        <f t="shared" si="196"/>
        <v>0</v>
      </c>
      <c r="DE87" s="1136">
        <f t="shared" si="197"/>
        <v>0</v>
      </c>
      <c r="DF87" s="1136">
        <f t="shared" si="198"/>
        <v>0</v>
      </c>
      <c r="DG87" s="1136">
        <f t="shared" si="199"/>
        <v>0</v>
      </c>
      <c r="DH87" s="1136">
        <f t="shared" si="200"/>
        <v>0</v>
      </c>
      <c r="DI87" s="1136">
        <f t="shared" si="201"/>
        <v>0</v>
      </c>
      <c r="DJ87" s="1136">
        <f t="shared" si="202"/>
        <v>0</v>
      </c>
      <c r="DK87" s="1136">
        <f t="shared" si="203"/>
        <v>0</v>
      </c>
      <c r="DL87" s="1136">
        <f t="shared" si="204"/>
        <v>0</v>
      </c>
      <c r="DM87" s="1131" t="str">
        <f t="array" ref="DM87">IF(MAX(ABS(CD87:DL87))&gt;$DM$4,"EXPLAIN","")</f>
        <v/>
      </c>
      <c r="DN87" s="1131" t="str">
        <f t="shared" si="209"/>
        <v/>
      </c>
      <c r="DP87" s="1140">
        <f t="shared" si="205"/>
        <v>3</v>
      </c>
      <c r="DQ87" s="1140">
        <f t="shared" si="206"/>
        <v>3</v>
      </c>
      <c r="DR87" s="1140" t="str">
        <f t="shared" si="207"/>
        <v>ok</v>
      </c>
    </row>
    <row r="88" spans="2:122">
      <c r="B88" s="1111" t="str">
        <f>IF(Prop2021DUOSTariffs!B88="","",Prop2021DUOSTariffs!B88)</f>
        <v/>
      </c>
      <c r="C88" s="1111" t="str">
        <f>IF(Prop2021DUOSTariffs!C88="","",Prop2021DUOSTariffs!C88)</f>
        <v>MtIsa SAC&lt;100MWhpa Residential TOU Demand</v>
      </c>
      <c r="D88" s="1111" t="str">
        <f>IF(Prop2021DUOSTariffs!D88="","",Prop2021DUOSTariffs!D88)</f>
        <v>MtIsa SAC&lt;100MWhpa Residential TOU Demand</v>
      </c>
      <c r="E88" s="1111" t="str">
        <f>IF(Prop2021DUOSTariffs!E88="","",Prop2021DUOSTariffs!E88)</f>
        <v>SAC</v>
      </c>
      <c r="F88" s="1111" t="str">
        <f>IF(Prop2021DUOSTariffs!F88="","",Prop2021DUOSTariffs!F88)</f>
        <v>SACS Res</v>
      </c>
      <c r="G88" s="1111" t="str">
        <f>IF(Prop2021DUOSTariffs!G88="","",Prop2021DUOSTariffs!G88)</f>
        <v>Mt Isa</v>
      </c>
      <c r="H88" s="1111" t="str">
        <f>IF(Prop2021DUOSTariffs!H88="","",Prop2021DUOSTariffs!H88)</f>
        <v>MRDEM</v>
      </c>
      <c r="I88" s="1111" t="str">
        <f>IF(Prop2021DUOSTariffs!I88="","",Prop2021DUOSTariffs!I88)</f>
        <v>DUOS</v>
      </c>
      <c r="J88" s="1774">
        <v>1</v>
      </c>
      <c r="K88" s="1773">
        <v>0</v>
      </c>
      <c r="L88" s="1773">
        <v>0</v>
      </c>
      <c r="M88" s="1773">
        <v>0</v>
      </c>
      <c r="N88" s="1773">
        <v>0</v>
      </c>
      <c r="O88" s="1773">
        <v>0</v>
      </c>
      <c r="P88" s="1773">
        <v>0</v>
      </c>
      <c r="Q88" s="1773">
        <v>0</v>
      </c>
      <c r="R88" s="1773">
        <v>0</v>
      </c>
      <c r="S88" s="1773">
        <v>0</v>
      </c>
      <c r="T88" s="1773">
        <v>0</v>
      </c>
      <c r="U88" s="1773">
        <v>0</v>
      </c>
      <c r="V88" s="1773">
        <v>0</v>
      </c>
      <c r="W88" s="1773">
        <v>0</v>
      </c>
      <c r="X88" s="1773">
        <v>0</v>
      </c>
      <c r="Y88" s="1773">
        <v>0</v>
      </c>
      <c r="Z88" s="1774">
        <v>3.6160081888963873</v>
      </c>
      <c r="AA88" s="1773">
        <v>0</v>
      </c>
      <c r="AB88" s="1773">
        <v>0</v>
      </c>
      <c r="AC88" s="1773">
        <v>0</v>
      </c>
      <c r="AD88" s="1773">
        <v>0</v>
      </c>
      <c r="AE88" s="1775">
        <v>0</v>
      </c>
      <c r="AF88" s="1775">
        <v>0</v>
      </c>
      <c r="AG88" s="1776">
        <v>1.3236036E-2</v>
      </c>
      <c r="AH88" s="1775">
        <v>0</v>
      </c>
      <c r="AI88" s="1775">
        <v>0</v>
      </c>
      <c r="AJ88" s="1775">
        <v>0</v>
      </c>
      <c r="AK88" s="1775">
        <v>0</v>
      </c>
      <c r="AL88" s="1775">
        <v>0</v>
      </c>
      <c r="AM88" s="1775">
        <v>0</v>
      </c>
      <c r="AN88" s="1775">
        <v>0</v>
      </c>
      <c r="AO88" s="1775">
        <v>0</v>
      </c>
      <c r="AP88" s="1775">
        <v>0</v>
      </c>
      <c r="AQ88" s="1775">
        <v>0</v>
      </c>
      <c r="AR88" s="1775">
        <v>0</v>
      </c>
      <c r="AS88" s="1594"/>
      <c r="AT88" s="1233">
        <v>1</v>
      </c>
      <c r="AU88" s="1135"/>
      <c r="AV88" s="1135"/>
      <c r="AW88" s="1135"/>
      <c r="AX88" s="1135"/>
      <c r="AY88" s="1135"/>
      <c r="AZ88" s="1135"/>
      <c r="BA88" s="1135"/>
      <c r="BB88" s="1135"/>
      <c r="BC88" s="1135"/>
      <c r="BD88" s="1135"/>
      <c r="BE88" s="1135"/>
      <c r="BF88" s="1135"/>
      <c r="BG88" s="1135"/>
      <c r="BH88" s="1135"/>
      <c r="BI88" s="1135"/>
      <c r="BJ88" s="1233">
        <v>3.6101204999999998</v>
      </c>
      <c r="BK88" s="1135"/>
      <c r="BL88" s="1135"/>
      <c r="BM88" s="1135"/>
      <c r="BN88" s="1135"/>
      <c r="BO88" s="1005"/>
      <c r="BP88" s="1005"/>
      <c r="BQ88" s="1596">
        <v>1.17018E-2</v>
      </c>
      <c r="BR88" s="1005"/>
      <c r="BS88" s="1005"/>
      <c r="BT88" s="1005"/>
      <c r="BU88" s="1005"/>
      <c r="BV88" s="1016"/>
      <c r="BW88" s="1016"/>
      <c r="BX88" s="1016"/>
      <c r="BY88" s="1016"/>
      <c r="BZ88" s="1016"/>
      <c r="CA88" s="1016"/>
      <c r="CB88" s="1016"/>
      <c r="CC88" s="1594"/>
      <c r="CD88" s="1136">
        <f t="shared" si="171"/>
        <v>0</v>
      </c>
      <c r="CE88" s="1136">
        <f t="shared" si="172"/>
        <v>0</v>
      </c>
      <c r="CF88" s="1136">
        <f t="shared" si="173"/>
        <v>0</v>
      </c>
      <c r="CG88" s="1136">
        <f t="shared" si="174"/>
        <v>0</v>
      </c>
      <c r="CH88" s="1136">
        <f t="shared" si="175"/>
        <v>0</v>
      </c>
      <c r="CI88" s="1136">
        <f t="shared" si="176"/>
        <v>0</v>
      </c>
      <c r="CJ88" s="1136">
        <f t="shared" si="177"/>
        <v>0</v>
      </c>
      <c r="CK88" s="1136">
        <f t="shared" si="178"/>
        <v>0</v>
      </c>
      <c r="CL88" s="1136">
        <f t="shared" si="179"/>
        <v>0</v>
      </c>
      <c r="CM88" s="1136">
        <f t="shared" si="180"/>
        <v>0</v>
      </c>
      <c r="CN88" s="1136">
        <f t="shared" si="181"/>
        <v>0</v>
      </c>
      <c r="CO88" s="1136">
        <f t="shared" si="182"/>
        <v>0</v>
      </c>
      <c r="CP88" s="1136">
        <f t="shared" si="183"/>
        <v>0</v>
      </c>
      <c r="CQ88" s="1136">
        <f t="shared" si="184"/>
        <v>0</v>
      </c>
      <c r="CR88" s="1136">
        <f t="shared" si="185"/>
        <v>0</v>
      </c>
      <c r="CS88" s="1136">
        <f t="shared" si="186"/>
        <v>0</v>
      </c>
      <c r="CT88" s="1136">
        <f t="shared" si="187"/>
        <v>1.6308843143566509E-3</v>
      </c>
      <c r="CU88" s="1136">
        <f t="shared" si="188"/>
        <v>0</v>
      </c>
      <c r="CV88" s="1136">
        <f t="shared" si="189"/>
        <v>0</v>
      </c>
      <c r="CW88" s="1136">
        <f t="shared" si="190"/>
        <v>0</v>
      </c>
      <c r="CX88" s="1136">
        <f t="shared" si="191"/>
        <v>0</v>
      </c>
      <c r="CY88" s="1136">
        <f t="shared" si="192"/>
        <v>0</v>
      </c>
      <c r="CZ88" s="1136">
        <f t="shared" si="193"/>
        <v>0</v>
      </c>
      <c r="DA88" s="1136">
        <f t="shared" si="194"/>
        <v>0.13111111111111118</v>
      </c>
      <c r="DB88" s="1136">
        <f t="shared" si="195"/>
        <v>0</v>
      </c>
      <c r="DC88" s="1136">
        <f t="shared" si="208"/>
        <v>0</v>
      </c>
      <c r="DD88" s="1136">
        <f t="shared" si="196"/>
        <v>0</v>
      </c>
      <c r="DE88" s="1136">
        <f t="shared" si="197"/>
        <v>0</v>
      </c>
      <c r="DF88" s="1136">
        <f t="shared" si="198"/>
        <v>0</v>
      </c>
      <c r="DG88" s="1136">
        <f t="shared" si="199"/>
        <v>0</v>
      </c>
      <c r="DH88" s="1136">
        <f t="shared" si="200"/>
        <v>0</v>
      </c>
      <c r="DI88" s="1136">
        <f t="shared" si="201"/>
        <v>0</v>
      </c>
      <c r="DJ88" s="1136">
        <f t="shared" si="202"/>
        <v>0</v>
      </c>
      <c r="DK88" s="1136">
        <f t="shared" si="203"/>
        <v>0</v>
      </c>
      <c r="DL88" s="1136">
        <f t="shared" si="204"/>
        <v>0</v>
      </c>
      <c r="DM88" s="1131" t="str">
        <f t="array" ref="DM88">IF(MAX(ABS(CD88:DL88))&gt;$DM$4,"EXPLAIN","")</f>
        <v/>
      </c>
      <c r="DN88" s="1131" t="str">
        <f t="shared" si="209"/>
        <v/>
      </c>
      <c r="DP88" s="1140">
        <f t="shared" si="205"/>
        <v>3</v>
      </c>
      <c r="DQ88" s="1140">
        <f t="shared" si="206"/>
        <v>3</v>
      </c>
      <c r="DR88" s="1140" t="str">
        <f t="shared" si="207"/>
        <v>ok</v>
      </c>
    </row>
    <row r="89" spans="2:122" ht="6" customHeight="1">
      <c r="B89" s="1568" t="str">
        <f>IF(Prop2021DUOSTariffs!B89="","",Prop2021DUOSTariffs!B89)</f>
        <v>-</v>
      </c>
      <c r="C89" s="1568" t="str">
        <f>IF(Prop2021DUOSTariffs!C89="","",Prop2021DUOSTariffs!C89)</f>
        <v/>
      </c>
      <c r="D89" s="1568" t="str">
        <f>IF(Prop2021DUOSTariffs!D89="","",Prop2021DUOSTariffs!D89)</f>
        <v/>
      </c>
      <c r="E89" s="1568" t="str">
        <f>IF(Prop2021DUOSTariffs!E89="","",Prop2021DUOSTariffs!E89)</f>
        <v/>
      </c>
      <c r="F89" s="1568" t="str">
        <f>IF(Prop2021DUOSTariffs!F89="","",Prop2021DUOSTariffs!F89)</f>
        <v/>
      </c>
      <c r="G89" s="1568" t="str">
        <f>IF(Prop2021DUOSTariffs!G89="","",Prop2021DUOSTariffs!G89)</f>
        <v/>
      </c>
      <c r="H89" s="1568" t="str">
        <f>IF(Prop2021DUOSTariffs!H89="","",Prop2021DUOSTariffs!H89)</f>
        <v/>
      </c>
      <c r="I89" s="1568"/>
      <c r="J89" s="1777"/>
      <c r="K89" s="1777"/>
      <c r="L89" s="1777"/>
      <c r="M89" s="1777"/>
      <c r="N89" s="1777"/>
      <c r="O89" s="1777"/>
      <c r="P89" s="1777"/>
      <c r="Q89" s="1777"/>
      <c r="R89" s="1777"/>
      <c r="S89" s="1777"/>
      <c r="T89" s="1777"/>
      <c r="U89" s="1777"/>
      <c r="V89" s="1777"/>
      <c r="W89" s="1777"/>
      <c r="X89" s="1777"/>
      <c r="Y89" s="1777"/>
      <c r="Z89" s="1777"/>
      <c r="AA89" s="1777"/>
      <c r="AB89" s="1777"/>
      <c r="AC89" s="1777"/>
      <c r="AD89" s="1777"/>
      <c r="AE89" s="1778"/>
      <c r="AF89" s="1778"/>
      <c r="AG89" s="1778"/>
      <c r="AH89" s="1778"/>
      <c r="AI89" s="1778"/>
      <c r="AJ89" s="1778"/>
      <c r="AK89" s="1778"/>
      <c r="AL89" s="1778"/>
      <c r="AM89" s="1778"/>
      <c r="AN89" s="1778"/>
      <c r="AO89" s="1778"/>
      <c r="AP89" s="1778"/>
      <c r="AQ89" s="1778"/>
      <c r="AR89" s="1778"/>
      <c r="AS89" s="1594"/>
      <c r="AT89" s="1592"/>
      <c r="AU89" s="1569"/>
      <c r="AV89" s="1569"/>
      <c r="AW89" s="1569"/>
      <c r="AX89" s="1569"/>
      <c r="AY89" s="1569"/>
      <c r="AZ89" s="1569"/>
      <c r="BA89" s="1569"/>
      <c r="BB89" s="1569"/>
      <c r="BC89" s="1569"/>
      <c r="BD89" s="1569"/>
      <c r="BE89" s="1569"/>
      <c r="BF89" s="1569"/>
      <c r="BG89" s="1569"/>
      <c r="BH89" s="1569"/>
      <c r="BI89" s="1569"/>
      <c r="BJ89" s="1569"/>
      <c r="BK89" s="1569"/>
      <c r="BL89" s="1569"/>
      <c r="BM89" s="1569"/>
      <c r="BN89" s="1569"/>
      <c r="BO89" s="1570"/>
      <c r="BP89" s="1570"/>
      <c r="BQ89" s="1570"/>
      <c r="BR89" s="1570"/>
      <c r="BS89" s="1570"/>
      <c r="BT89" s="1570"/>
      <c r="BU89" s="1570"/>
      <c r="BV89" s="1595"/>
      <c r="BW89" s="1595"/>
      <c r="BX89" s="1595"/>
      <c r="BY89" s="1595"/>
      <c r="BZ89" s="1595"/>
      <c r="CA89" s="1595"/>
      <c r="CB89" s="1595"/>
      <c r="CC89" s="1594"/>
      <c r="CD89" s="1571"/>
      <c r="CE89" s="1571"/>
      <c r="CF89" s="1571"/>
      <c r="CG89" s="1571"/>
      <c r="CH89" s="1571"/>
      <c r="CI89" s="1571"/>
      <c r="CJ89" s="1571"/>
      <c r="CK89" s="1571"/>
      <c r="CL89" s="1571"/>
      <c r="CM89" s="1571"/>
      <c r="CN89" s="1571"/>
      <c r="CO89" s="1571"/>
      <c r="CP89" s="1571"/>
      <c r="CQ89" s="1571"/>
      <c r="CR89" s="1571"/>
      <c r="CS89" s="1571"/>
      <c r="CT89" s="1571"/>
      <c r="CU89" s="1571"/>
      <c r="CV89" s="1571"/>
      <c r="CW89" s="1571"/>
      <c r="CX89" s="1571"/>
      <c r="CY89" s="1571"/>
      <c r="CZ89" s="1571"/>
      <c r="DA89" s="1571"/>
      <c r="DB89" s="1571"/>
      <c r="DC89" s="1571"/>
      <c r="DD89" s="1571"/>
      <c r="DE89" s="1571"/>
      <c r="DF89" s="1571"/>
      <c r="DG89" s="1571"/>
      <c r="DH89" s="1571"/>
      <c r="DI89" s="1571"/>
      <c r="DJ89" s="1571"/>
      <c r="DK89" s="1571"/>
      <c r="DL89" s="1571"/>
      <c r="DM89" s="1572"/>
      <c r="DN89" s="1572"/>
      <c r="DP89" s="1140"/>
      <c r="DQ89" s="1140"/>
      <c r="DR89" s="1140"/>
    </row>
    <row r="90" spans="2:122">
      <c r="B90" s="1111" t="str">
        <f>IF(Prop2021DUOSTariffs!B90="","",Prop2021DUOSTariffs!B90)</f>
        <v/>
      </c>
      <c r="C90" s="1111" t="str">
        <f>IF(Prop2021DUOSTariffs!C90="","",Prop2021DUOSTariffs!C90)</f>
        <v>East SAC&lt;100MWhpa Volume Night Controlled</v>
      </c>
      <c r="D90" s="1111" t="str">
        <f>IF(Prop2021DUOSTariffs!D90="","",Prop2021DUOSTariffs!D90)</f>
        <v>East SAC&lt;100MWhpa Volume Night Controlled</v>
      </c>
      <c r="E90" s="1111" t="str">
        <f>IF(Prop2021DUOSTariffs!E90="","",Prop2021DUOSTariffs!E90)</f>
        <v>SAC</v>
      </c>
      <c r="F90" s="1111" t="str">
        <f>IF(Prop2021DUOSTariffs!F90="","",Prop2021DUOSTariffs!F90)</f>
        <v>SACS CL</v>
      </c>
      <c r="G90" s="1111" t="str">
        <f>IF(Prop2021DUOSTariffs!G90="","",Prop2021DUOSTariffs!G90)</f>
        <v>East</v>
      </c>
      <c r="H90" s="1111" t="str">
        <f>IF(Prop2021DUOSTariffs!H90="","",Prop2021DUOSTariffs!H90)</f>
        <v>EVN</v>
      </c>
      <c r="I90" s="1111" t="str">
        <f>IF(Prop2021DUOSTariffs!I90="","",Prop2021DUOSTariffs!I90)</f>
        <v>DUOS</v>
      </c>
      <c r="J90" s="1773">
        <v>0</v>
      </c>
      <c r="K90" s="1773">
        <v>0</v>
      </c>
      <c r="L90" s="1773">
        <v>0</v>
      </c>
      <c r="M90" s="1773">
        <v>0</v>
      </c>
      <c r="N90" s="1773">
        <v>0</v>
      </c>
      <c r="O90" s="1773">
        <v>0</v>
      </c>
      <c r="P90" s="1773">
        <v>0</v>
      </c>
      <c r="Q90" s="1773">
        <v>0</v>
      </c>
      <c r="R90" s="1773">
        <v>0</v>
      </c>
      <c r="S90" s="1773">
        <v>0</v>
      </c>
      <c r="T90" s="1773">
        <v>0</v>
      </c>
      <c r="U90" s="1773">
        <v>0</v>
      </c>
      <c r="V90" s="1773">
        <v>0</v>
      </c>
      <c r="W90" s="1773">
        <v>0</v>
      </c>
      <c r="X90" s="1773">
        <v>0</v>
      </c>
      <c r="Y90" s="1773">
        <v>0</v>
      </c>
      <c r="Z90" s="1773">
        <v>0</v>
      </c>
      <c r="AA90" s="1773">
        <v>0</v>
      </c>
      <c r="AB90" s="1773">
        <v>0</v>
      </c>
      <c r="AC90" s="1773">
        <v>0</v>
      </c>
      <c r="AD90" s="1773">
        <v>0</v>
      </c>
      <c r="AE90" s="1775">
        <v>0</v>
      </c>
      <c r="AF90" s="1775">
        <v>0</v>
      </c>
      <c r="AG90" s="1776">
        <v>1.8320965190146712E-2</v>
      </c>
      <c r="AH90" s="1775">
        <v>0</v>
      </c>
      <c r="AI90" s="1775">
        <v>0</v>
      </c>
      <c r="AJ90" s="1775">
        <v>0</v>
      </c>
      <c r="AK90" s="1775">
        <v>0</v>
      </c>
      <c r="AL90" s="1775">
        <v>0</v>
      </c>
      <c r="AM90" s="1775">
        <v>0</v>
      </c>
      <c r="AN90" s="1775">
        <v>0</v>
      </c>
      <c r="AO90" s="1775">
        <v>0</v>
      </c>
      <c r="AP90" s="1775">
        <v>0</v>
      </c>
      <c r="AQ90" s="1775">
        <v>0</v>
      </c>
      <c r="AR90" s="1775">
        <v>0</v>
      </c>
      <c r="AS90" s="1594"/>
      <c r="AT90" s="1591"/>
      <c r="AU90" s="1135"/>
      <c r="AV90" s="1135"/>
      <c r="AW90" s="1135"/>
      <c r="AX90" s="1135"/>
      <c r="AY90" s="1135"/>
      <c r="AZ90" s="1135"/>
      <c r="BA90" s="1135"/>
      <c r="BB90" s="1135"/>
      <c r="BC90" s="1135"/>
      <c r="BD90" s="1135"/>
      <c r="BE90" s="1135"/>
      <c r="BF90" s="1135"/>
      <c r="BG90" s="1135"/>
      <c r="BH90" s="1135"/>
      <c r="BI90" s="1135"/>
      <c r="BJ90" s="1135"/>
      <c r="BK90" s="1135"/>
      <c r="BL90" s="1135"/>
      <c r="BM90" s="1135"/>
      <c r="BN90" s="1135"/>
      <c r="BO90" s="1005"/>
      <c r="BP90" s="1005"/>
      <c r="BQ90" s="1596">
        <v>1.7547899507412895E-2</v>
      </c>
      <c r="BR90" s="1005"/>
      <c r="BS90" s="1005"/>
      <c r="BT90" s="1005"/>
      <c r="BU90" s="1005"/>
      <c r="BV90" s="1016"/>
      <c r="BW90" s="1016"/>
      <c r="BX90" s="1016"/>
      <c r="BY90" s="1016"/>
      <c r="BZ90" s="1016"/>
      <c r="CA90" s="1016"/>
      <c r="CB90" s="1016"/>
      <c r="CC90" s="1594"/>
      <c r="CD90" s="1136">
        <f t="shared" ref="CD90:CD98" si="210">IFERROR(J90/AT90-1,0)</f>
        <v>0</v>
      </c>
      <c r="CE90" s="1136">
        <f t="shared" ref="CE90:CE98" si="211">IFERROR(K90/AU90-1,0)</f>
        <v>0</v>
      </c>
      <c r="CF90" s="1136">
        <f t="shared" ref="CF90:CF98" si="212">IFERROR(L90/AV90-1,0)</f>
        <v>0</v>
      </c>
      <c r="CG90" s="1136">
        <f t="shared" ref="CG90:CG98" si="213">IFERROR(M90/AW90-1,0)</f>
        <v>0</v>
      </c>
      <c r="CH90" s="1136">
        <f t="shared" ref="CH90:CH98" si="214">IFERROR(N90/AX90-1,0)</f>
        <v>0</v>
      </c>
      <c r="CI90" s="1136">
        <f t="shared" ref="CI90:CI98" si="215">IFERROR(O90/AY90-1,0)</f>
        <v>0</v>
      </c>
      <c r="CJ90" s="1136">
        <f t="shared" ref="CJ90:CJ98" si="216">IFERROR(P90/AZ90-1,0)</f>
        <v>0</v>
      </c>
      <c r="CK90" s="1136">
        <f t="shared" ref="CK90:CK98" si="217">IFERROR(Q90/BA90-1,0)</f>
        <v>0</v>
      </c>
      <c r="CL90" s="1136">
        <f t="shared" ref="CL90:CL98" si="218">IFERROR(R90/BB90-1,0)</f>
        <v>0</v>
      </c>
      <c r="CM90" s="1136">
        <f t="shared" ref="CM90:CM98" si="219">IFERROR(S90/BC90-1,0)</f>
        <v>0</v>
      </c>
      <c r="CN90" s="1136">
        <f t="shared" ref="CN90:CN98" si="220">IFERROR(T90/BD90-1,0)</f>
        <v>0</v>
      </c>
      <c r="CO90" s="1136">
        <f t="shared" ref="CO90:CO98" si="221">IFERROR(U90/BE90-1,0)</f>
        <v>0</v>
      </c>
      <c r="CP90" s="1136">
        <f t="shared" ref="CP90:CP98" si="222">IFERROR(V90/BF90-1,0)</f>
        <v>0</v>
      </c>
      <c r="CQ90" s="1136">
        <f t="shared" ref="CQ90:CQ98" si="223">IFERROR(W90/BG90-1,0)</f>
        <v>0</v>
      </c>
      <c r="CR90" s="1136">
        <f t="shared" ref="CR90:CR98" si="224">IFERROR(X90/BH90-1,0)</f>
        <v>0</v>
      </c>
      <c r="CS90" s="1136">
        <f t="shared" ref="CS90:CS98" si="225">IFERROR(Y90/BI90-1,0)</f>
        <v>0</v>
      </c>
      <c r="CT90" s="1136">
        <f t="shared" ref="CT90:CT98" si="226">IFERROR(Z90/BJ90-1,0)</f>
        <v>0</v>
      </c>
      <c r="CU90" s="1136">
        <f t="shared" ref="CU90:CU98" si="227">IFERROR(AA90/BK90-1,0)</f>
        <v>0</v>
      </c>
      <c r="CV90" s="1136">
        <f t="shared" ref="CV90:CV98" si="228">IFERROR(AB90/BL90-1,0)</f>
        <v>0</v>
      </c>
      <c r="CW90" s="1136">
        <f t="shared" ref="CW90:CW98" si="229">IFERROR(AC90/BM90-1,0)</f>
        <v>0</v>
      </c>
      <c r="CX90" s="1136">
        <f t="shared" ref="CX90:CX98" si="230">IFERROR(AD90/BN90-1,0)</f>
        <v>0</v>
      </c>
      <c r="CY90" s="1136">
        <f t="shared" ref="CY90:CY98" si="231">IFERROR(AE90/BO90-1,0)</f>
        <v>0</v>
      </c>
      <c r="CZ90" s="1136">
        <f t="shared" ref="CZ90:CZ98" si="232">IFERROR(AF90/BP90-1,0)</f>
        <v>0</v>
      </c>
      <c r="DA90" s="1136">
        <f t="shared" ref="DA90:DA98" si="233">IFERROR(AG90/BQ90-1,0)</f>
        <v>4.4054599378532178E-2</v>
      </c>
      <c r="DB90" s="1136">
        <f t="shared" ref="DB90:DB98" si="234">IFERROR(AH90/BR90-1,0)</f>
        <v>0</v>
      </c>
      <c r="DC90" s="1136">
        <f t="shared" ref="DC90:DC98" si="235">IFERROR(AI90/BS90-1,0)</f>
        <v>0</v>
      </c>
      <c r="DD90" s="1136">
        <f t="shared" ref="DD90:DD98" si="236">IFERROR(AJ90/BT90-1,0)</f>
        <v>0</v>
      </c>
      <c r="DE90" s="1136">
        <f t="shared" ref="DE90:DE98" si="237">IFERROR(AK90/BU90-1,0)</f>
        <v>0</v>
      </c>
      <c r="DF90" s="1136">
        <f t="shared" ref="DF90:DF98" si="238">IFERROR(AL90/BV90-1,0)</f>
        <v>0</v>
      </c>
      <c r="DG90" s="1136">
        <f t="shared" ref="DG90:DG98" si="239">IFERROR(AM90/BW90-1,0)</f>
        <v>0</v>
      </c>
      <c r="DH90" s="1136">
        <f t="shared" ref="DH90:DH98" si="240">IFERROR(AN90/BX90-1,0)</f>
        <v>0</v>
      </c>
      <c r="DI90" s="1136">
        <f t="shared" ref="DI90:DI98" si="241">IFERROR(AO90/BY90-1,0)</f>
        <v>0</v>
      </c>
      <c r="DJ90" s="1136">
        <f t="shared" ref="DJ90:DJ98" si="242">IFERROR(AP90/BZ90-1,0)</f>
        <v>0</v>
      </c>
      <c r="DK90" s="1136">
        <f t="shared" ref="DK90:DK98" si="243">IFERROR(AQ90/CA90-1,0)</f>
        <v>0</v>
      </c>
      <c r="DL90" s="1136">
        <f t="shared" ref="DL90:DL98" si="244">IFERROR(AR90/CB90-1,0)</f>
        <v>0</v>
      </c>
      <c r="DM90" s="1131" t="str">
        <f t="array" ref="DM90">IF(MAX(ABS(CD90:DL90))&gt;$DM$4,"EXPLAIN","")</f>
        <v/>
      </c>
      <c r="DN90" s="1131" t="str">
        <f t="shared" si="209"/>
        <v/>
      </c>
      <c r="DP90" s="1140">
        <f t="shared" si="205"/>
        <v>1</v>
      </c>
      <c r="DQ90" s="1140">
        <f t="shared" si="206"/>
        <v>1</v>
      </c>
      <c r="DR90" s="1140" t="str">
        <f t="shared" si="207"/>
        <v>ok</v>
      </c>
    </row>
    <row r="91" spans="2:122">
      <c r="B91" s="1111" t="str">
        <f>IF(Prop2021DUOSTariffs!B91="","",Prop2021DUOSTariffs!B91)</f>
        <v/>
      </c>
      <c r="C91" s="1111" t="str">
        <f>IF(Prop2021DUOSTariffs!C91="","",Prop2021DUOSTariffs!C91)</f>
        <v>West SAC&lt;100MWhpa VolumeNightControlled</v>
      </c>
      <c r="D91" s="1111" t="str">
        <f>IF(Prop2021DUOSTariffs!D91="","",Prop2021DUOSTariffs!D91)</f>
        <v>West SAC&lt;100MWhpa VolumeNightControlled</v>
      </c>
      <c r="E91" s="1111" t="str">
        <f>IF(Prop2021DUOSTariffs!E91="","",Prop2021DUOSTariffs!E91)</f>
        <v>SAC</v>
      </c>
      <c r="F91" s="1111" t="str">
        <f>IF(Prop2021DUOSTariffs!F91="","",Prop2021DUOSTariffs!F91)</f>
        <v>SACS CL</v>
      </c>
      <c r="G91" s="1111" t="str">
        <f>IF(Prop2021DUOSTariffs!G91="","",Prop2021DUOSTariffs!G91)</f>
        <v>West</v>
      </c>
      <c r="H91" s="1111" t="str">
        <f>IF(Prop2021DUOSTariffs!H91="","",Prop2021DUOSTariffs!H91)</f>
        <v>WVN</v>
      </c>
      <c r="I91" s="1111" t="str">
        <f>IF(Prop2021DUOSTariffs!I91="","",Prop2021DUOSTariffs!I91)</f>
        <v>DUOS</v>
      </c>
      <c r="J91" s="1773">
        <v>0</v>
      </c>
      <c r="K91" s="1773">
        <v>0</v>
      </c>
      <c r="L91" s="1773">
        <v>0</v>
      </c>
      <c r="M91" s="1773">
        <v>0</v>
      </c>
      <c r="N91" s="1773">
        <v>0</v>
      </c>
      <c r="O91" s="1773">
        <v>0</v>
      </c>
      <c r="P91" s="1773">
        <v>0</v>
      </c>
      <c r="Q91" s="1773">
        <v>0</v>
      </c>
      <c r="R91" s="1773">
        <v>0</v>
      </c>
      <c r="S91" s="1773">
        <v>0</v>
      </c>
      <c r="T91" s="1773">
        <v>0</v>
      </c>
      <c r="U91" s="1773">
        <v>0</v>
      </c>
      <c r="V91" s="1773">
        <v>0</v>
      </c>
      <c r="W91" s="1773">
        <v>0</v>
      </c>
      <c r="X91" s="1773">
        <v>0</v>
      </c>
      <c r="Y91" s="1773">
        <v>0</v>
      </c>
      <c r="Z91" s="1773">
        <v>0</v>
      </c>
      <c r="AA91" s="1773">
        <v>0</v>
      </c>
      <c r="AB91" s="1773">
        <v>0</v>
      </c>
      <c r="AC91" s="1773">
        <v>0</v>
      </c>
      <c r="AD91" s="1773">
        <v>0</v>
      </c>
      <c r="AE91" s="1775">
        <v>0</v>
      </c>
      <c r="AF91" s="1775">
        <v>0</v>
      </c>
      <c r="AG91" s="1776">
        <v>5.2301328836840716E-2</v>
      </c>
      <c r="AH91" s="1775">
        <v>0</v>
      </c>
      <c r="AI91" s="1775">
        <v>0</v>
      </c>
      <c r="AJ91" s="1775">
        <v>0</v>
      </c>
      <c r="AK91" s="1775">
        <v>0</v>
      </c>
      <c r="AL91" s="1775">
        <v>0</v>
      </c>
      <c r="AM91" s="1775">
        <v>0</v>
      </c>
      <c r="AN91" s="1775">
        <v>0</v>
      </c>
      <c r="AO91" s="1775">
        <v>0</v>
      </c>
      <c r="AP91" s="1775">
        <v>0</v>
      </c>
      <c r="AQ91" s="1775">
        <v>0</v>
      </c>
      <c r="AR91" s="1775">
        <v>0</v>
      </c>
      <c r="AS91" s="1594"/>
      <c r="AT91" s="1591"/>
      <c r="AU91" s="1135"/>
      <c r="AV91" s="1135"/>
      <c r="AW91" s="1135"/>
      <c r="AX91" s="1135"/>
      <c r="AY91" s="1135"/>
      <c r="AZ91" s="1135"/>
      <c r="BA91" s="1135"/>
      <c r="BB91" s="1135"/>
      <c r="BC91" s="1135"/>
      <c r="BD91" s="1135"/>
      <c r="BE91" s="1135"/>
      <c r="BF91" s="1135"/>
      <c r="BG91" s="1135"/>
      <c r="BH91" s="1135"/>
      <c r="BI91" s="1135"/>
      <c r="BJ91" s="1135"/>
      <c r="BK91" s="1135"/>
      <c r="BL91" s="1135"/>
      <c r="BM91" s="1135"/>
      <c r="BN91" s="1135"/>
      <c r="BO91" s="1005"/>
      <c r="BP91" s="1005"/>
      <c r="BQ91" s="1596">
        <v>5.1155180132469953E-2</v>
      </c>
      <c r="BR91" s="1005"/>
      <c r="BS91" s="1005"/>
      <c r="BT91" s="1005"/>
      <c r="BU91" s="1005"/>
      <c r="BV91" s="1016"/>
      <c r="BW91" s="1016"/>
      <c r="BX91" s="1016"/>
      <c r="BY91" s="1016"/>
      <c r="BZ91" s="1016"/>
      <c r="CA91" s="1016"/>
      <c r="CB91" s="1016"/>
      <c r="CC91" s="1594"/>
      <c r="CD91" s="1136">
        <f t="shared" si="210"/>
        <v>0</v>
      </c>
      <c r="CE91" s="1136">
        <f t="shared" si="211"/>
        <v>0</v>
      </c>
      <c r="CF91" s="1136">
        <f t="shared" si="212"/>
        <v>0</v>
      </c>
      <c r="CG91" s="1136">
        <f t="shared" si="213"/>
        <v>0</v>
      </c>
      <c r="CH91" s="1136">
        <f t="shared" si="214"/>
        <v>0</v>
      </c>
      <c r="CI91" s="1136">
        <f t="shared" si="215"/>
        <v>0</v>
      </c>
      <c r="CJ91" s="1136">
        <f t="shared" si="216"/>
        <v>0</v>
      </c>
      <c r="CK91" s="1136">
        <f t="shared" si="217"/>
        <v>0</v>
      </c>
      <c r="CL91" s="1136">
        <f t="shared" si="218"/>
        <v>0</v>
      </c>
      <c r="CM91" s="1136">
        <f t="shared" si="219"/>
        <v>0</v>
      </c>
      <c r="CN91" s="1136">
        <f t="shared" si="220"/>
        <v>0</v>
      </c>
      <c r="CO91" s="1136">
        <f t="shared" si="221"/>
        <v>0</v>
      </c>
      <c r="CP91" s="1136">
        <f t="shared" si="222"/>
        <v>0</v>
      </c>
      <c r="CQ91" s="1136">
        <f t="shared" si="223"/>
        <v>0</v>
      </c>
      <c r="CR91" s="1136">
        <f t="shared" si="224"/>
        <v>0</v>
      </c>
      <c r="CS91" s="1136">
        <f t="shared" si="225"/>
        <v>0</v>
      </c>
      <c r="CT91" s="1136">
        <f t="shared" si="226"/>
        <v>0</v>
      </c>
      <c r="CU91" s="1136">
        <f t="shared" si="227"/>
        <v>0</v>
      </c>
      <c r="CV91" s="1136">
        <f t="shared" si="228"/>
        <v>0</v>
      </c>
      <c r="CW91" s="1136">
        <f t="shared" si="229"/>
        <v>0</v>
      </c>
      <c r="CX91" s="1136">
        <f t="shared" si="230"/>
        <v>0</v>
      </c>
      <c r="CY91" s="1136">
        <f t="shared" si="231"/>
        <v>0</v>
      </c>
      <c r="CZ91" s="1136">
        <f t="shared" si="232"/>
        <v>0</v>
      </c>
      <c r="DA91" s="1136">
        <f t="shared" si="233"/>
        <v>2.2405330240314436E-2</v>
      </c>
      <c r="DB91" s="1136">
        <f t="shared" si="234"/>
        <v>0</v>
      </c>
      <c r="DC91" s="1136">
        <f t="shared" si="235"/>
        <v>0</v>
      </c>
      <c r="DD91" s="1136">
        <f t="shared" si="236"/>
        <v>0</v>
      </c>
      <c r="DE91" s="1136">
        <f t="shared" si="237"/>
        <v>0</v>
      </c>
      <c r="DF91" s="1136">
        <f t="shared" si="238"/>
        <v>0</v>
      </c>
      <c r="DG91" s="1136">
        <f t="shared" si="239"/>
        <v>0</v>
      </c>
      <c r="DH91" s="1136">
        <f t="shared" si="240"/>
        <v>0</v>
      </c>
      <c r="DI91" s="1136">
        <f t="shared" si="241"/>
        <v>0</v>
      </c>
      <c r="DJ91" s="1136">
        <f t="shared" si="242"/>
        <v>0</v>
      </c>
      <c r="DK91" s="1136">
        <f t="shared" si="243"/>
        <v>0</v>
      </c>
      <c r="DL91" s="1136">
        <f t="shared" si="244"/>
        <v>0</v>
      </c>
      <c r="DM91" s="1131" t="str">
        <f t="array" ref="DM91">IF(MAX(ABS(CD91:DL91))&gt;$DM$4,"EXPLAIN","")</f>
        <v/>
      </c>
      <c r="DN91" s="1131" t="str">
        <f t="shared" si="209"/>
        <v/>
      </c>
      <c r="DP91" s="1140">
        <f t="shared" si="205"/>
        <v>1</v>
      </c>
      <c r="DQ91" s="1140">
        <f t="shared" si="206"/>
        <v>1</v>
      </c>
      <c r="DR91" s="1140" t="str">
        <f t="shared" si="207"/>
        <v>ok</v>
      </c>
    </row>
    <row r="92" spans="2:122">
      <c r="B92" s="1111" t="str">
        <f>IF(Prop2021DUOSTariffs!B92="","",Prop2021DUOSTariffs!B92)</f>
        <v/>
      </c>
      <c r="C92" s="1111" t="str">
        <f>IF(Prop2021DUOSTariffs!C92="","",Prop2021DUOSTariffs!C92)</f>
        <v>MtIsa SAC&lt;100MWhpa VolumeNightControlled</v>
      </c>
      <c r="D92" s="1111" t="str">
        <f>IF(Prop2021DUOSTariffs!D92="","",Prop2021DUOSTariffs!D92)</f>
        <v>MtIsa SAC&lt;100MWhpa VolumeNightControlled</v>
      </c>
      <c r="E92" s="1111" t="str">
        <f>IF(Prop2021DUOSTariffs!E92="","",Prop2021DUOSTariffs!E92)</f>
        <v>SAC</v>
      </c>
      <c r="F92" s="1111" t="str">
        <f>IF(Prop2021DUOSTariffs!F92="","",Prop2021DUOSTariffs!F92)</f>
        <v>SACS CL</v>
      </c>
      <c r="G92" s="1111" t="str">
        <f>IF(Prop2021DUOSTariffs!G92="","",Prop2021DUOSTariffs!G92)</f>
        <v>Mt Isa</v>
      </c>
      <c r="H92" s="1111" t="str">
        <f>IF(Prop2021DUOSTariffs!H92="","",Prop2021DUOSTariffs!H92)</f>
        <v>MVN</v>
      </c>
      <c r="I92" s="1111" t="str">
        <f>IF(Prop2021DUOSTariffs!I92="","",Prop2021DUOSTariffs!I92)</f>
        <v>DUOS</v>
      </c>
      <c r="J92" s="1773">
        <v>0</v>
      </c>
      <c r="K92" s="1773">
        <v>0</v>
      </c>
      <c r="L92" s="1773">
        <v>0</v>
      </c>
      <c r="M92" s="1773">
        <v>0</v>
      </c>
      <c r="N92" s="1773">
        <v>0</v>
      </c>
      <c r="O92" s="1773">
        <v>0</v>
      </c>
      <c r="P92" s="1773">
        <v>0</v>
      </c>
      <c r="Q92" s="1773">
        <v>0</v>
      </c>
      <c r="R92" s="1773">
        <v>0</v>
      </c>
      <c r="S92" s="1773">
        <v>0</v>
      </c>
      <c r="T92" s="1773">
        <v>0</v>
      </c>
      <c r="U92" s="1773">
        <v>0</v>
      </c>
      <c r="V92" s="1773">
        <v>0</v>
      </c>
      <c r="W92" s="1773">
        <v>0</v>
      </c>
      <c r="X92" s="1773">
        <v>0</v>
      </c>
      <c r="Y92" s="1773">
        <v>0</v>
      </c>
      <c r="Z92" s="1773">
        <v>0</v>
      </c>
      <c r="AA92" s="1773">
        <v>0</v>
      </c>
      <c r="AB92" s="1773">
        <v>0</v>
      </c>
      <c r="AC92" s="1773">
        <v>0</v>
      </c>
      <c r="AD92" s="1773">
        <v>0</v>
      </c>
      <c r="AE92" s="1775">
        <v>0</v>
      </c>
      <c r="AF92" s="1775">
        <v>0</v>
      </c>
      <c r="AG92" s="1776">
        <v>1.8850797997973373E-2</v>
      </c>
      <c r="AH92" s="1775">
        <v>0</v>
      </c>
      <c r="AI92" s="1775">
        <v>0</v>
      </c>
      <c r="AJ92" s="1775">
        <v>0</v>
      </c>
      <c r="AK92" s="1775">
        <v>0</v>
      </c>
      <c r="AL92" s="1775">
        <v>0</v>
      </c>
      <c r="AM92" s="1775">
        <v>0</v>
      </c>
      <c r="AN92" s="1775">
        <v>0</v>
      </c>
      <c r="AO92" s="1775">
        <v>0</v>
      </c>
      <c r="AP92" s="1775">
        <v>0</v>
      </c>
      <c r="AQ92" s="1775">
        <v>0</v>
      </c>
      <c r="AR92" s="1775">
        <v>0</v>
      </c>
      <c r="AS92" s="1594"/>
      <c r="AT92" s="1591"/>
      <c r="AU92" s="1135"/>
      <c r="AV92" s="1135"/>
      <c r="AW92" s="1135"/>
      <c r="AX92" s="1135"/>
      <c r="AY92" s="1135"/>
      <c r="AZ92" s="1135"/>
      <c r="BA92" s="1135"/>
      <c r="BB92" s="1135"/>
      <c r="BC92" s="1135"/>
      <c r="BD92" s="1135"/>
      <c r="BE92" s="1135"/>
      <c r="BF92" s="1135"/>
      <c r="BG92" s="1135"/>
      <c r="BH92" s="1135"/>
      <c r="BI92" s="1135"/>
      <c r="BJ92" s="1135"/>
      <c r="BK92" s="1135"/>
      <c r="BL92" s="1135"/>
      <c r="BM92" s="1135"/>
      <c r="BN92" s="1135"/>
      <c r="BO92" s="1005"/>
      <c r="BP92" s="1005"/>
      <c r="BQ92" s="1596">
        <v>1.832697032330894E-2</v>
      </c>
      <c r="BR92" s="1005"/>
      <c r="BS92" s="1005"/>
      <c r="BT92" s="1005"/>
      <c r="BU92" s="1005"/>
      <c r="BV92" s="1016"/>
      <c r="BW92" s="1016"/>
      <c r="BX92" s="1016"/>
      <c r="BY92" s="1016"/>
      <c r="BZ92" s="1016"/>
      <c r="CA92" s="1016"/>
      <c r="CB92" s="1016"/>
      <c r="CC92" s="1594"/>
      <c r="CD92" s="1136">
        <f t="shared" si="210"/>
        <v>0</v>
      </c>
      <c r="CE92" s="1136">
        <f t="shared" si="211"/>
        <v>0</v>
      </c>
      <c r="CF92" s="1136">
        <f t="shared" si="212"/>
        <v>0</v>
      </c>
      <c r="CG92" s="1136">
        <f t="shared" si="213"/>
        <v>0</v>
      </c>
      <c r="CH92" s="1136">
        <f t="shared" si="214"/>
        <v>0</v>
      </c>
      <c r="CI92" s="1136">
        <f t="shared" si="215"/>
        <v>0</v>
      </c>
      <c r="CJ92" s="1136">
        <f t="shared" si="216"/>
        <v>0</v>
      </c>
      <c r="CK92" s="1136">
        <f t="shared" si="217"/>
        <v>0</v>
      </c>
      <c r="CL92" s="1136">
        <f t="shared" si="218"/>
        <v>0</v>
      </c>
      <c r="CM92" s="1136">
        <f t="shared" si="219"/>
        <v>0</v>
      </c>
      <c r="CN92" s="1136">
        <f t="shared" si="220"/>
        <v>0</v>
      </c>
      <c r="CO92" s="1136">
        <f t="shared" si="221"/>
        <v>0</v>
      </c>
      <c r="CP92" s="1136">
        <f t="shared" si="222"/>
        <v>0</v>
      </c>
      <c r="CQ92" s="1136">
        <f t="shared" si="223"/>
        <v>0</v>
      </c>
      <c r="CR92" s="1136">
        <f t="shared" si="224"/>
        <v>0</v>
      </c>
      <c r="CS92" s="1136">
        <f t="shared" si="225"/>
        <v>0</v>
      </c>
      <c r="CT92" s="1136">
        <f t="shared" si="226"/>
        <v>0</v>
      </c>
      <c r="CU92" s="1136">
        <f t="shared" si="227"/>
        <v>0</v>
      </c>
      <c r="CV92" s="1136">
        <f t="shared" si="228"/>
        <v>0</v>
      </c>
      <c r="CW92" s="1136">
        <f t="shared" si="229"/>
        <v>0</v>
      </c>
      <c r="CX92" s="1136">
        <f t="shared" si="230"/>
        <v>0</v>
      </c>
      <c r="CY92" s="1136">
        <f t="shared" si="231"/>
        <v>0</v>
      </c>
      <c r="CZ92" s="1136">
        <f t="shared" si="232"/>
        <v>0</v>
      </c>
      <c r="DA92" s="1136">
        <f t="shared" si="233"/>
        <v>2.858233878396188E-2</v>
      </c>
      <c r="DB92" s="1136">
        <f t="shared" si="234"/>
        <v>0</v>
      </c>
      <c r="DC92" s="1136">
        <f t="shared" si="235"/>
        <v>0</v>
      </c>
      <c r="DD92" s="1136">
        <f t="shared" si="236"/>
        <v>0</v>
      </c>
      <c r="DE92" s="1136">
        <f t="shared" si="237"/>
        <v>0</v>
      </c>
      <c r="DF92" s="1136">
        <f t="shared" si="238"/>
        <v>0</v>
      </c>
      <c r="DG92" s="1136">
        <f t="shared" si="239"/>
        <v>0</v>
      </c>
      <c r="DH92" s="1136">
        <f t="shared" si="240"/>
        <v>0</v>
      </c>
      <c r="DI92" s="1136">
        <f t="shared" si="241"/>
        <v>0</v>
      </c>
      <c r="DJ92" s="1136">
        <f t="shared" si="242"/>
        <v>0</v>
      </c>
      <c r="DK92" s="1136">
        <f t="shared" si="243"/>
        <v>0</v>
      </c>
      <c r="DL92" s="1136">
        <f t="shared" si="244"/>
        <v>0</v>
      </c>
      <c r="DM92" s="1131" t="str">
        <f t="array" ref="DM92">IF(MAX(ABS(CD92:DL92))&gt;$DM$4,"EXPLAIN","")</f>
        <v/>
      </c>
      <c r="DN92" s="1131" t="str">
        <f t="shared" si="209"/>
        <v/>
      </c>
      <c r="DP92" s="1140">
        <f t="shared" si="205"/>
        <v>1</v>
      </c>
      <c r="DQ92" s="1140">
        <f t="shared" si="206"/>
        <v>1</v>
      </c>
      <c r="DR92" s="1140" t="str">
        <f t="shared" si="207"/>
        <v>ok</v>
      </c>
    </row>
    <row r="93" spans="2:122">
      <c r="B93" s="1111" t="str">
        <f>IF(Prop2021DUOSTariffs!B93="","",Prop2021DUOSTariffs!B93)</f>
        <v/>
      </c>
      <c r="C93" s="1111" t="str">
        <f>IF(Prop2021DUOSTariffs!C93="","",Prop2021DUOSTariffs!C93)</f>
        <v>East SAC&lt;100MWhpa VolumeControlled</v>
      </c>
      <c r="D93" s="1111" t="str">
        <f>IF(Prop2021DUOSTariffs!D93="","",Prop2021DUOSTariffs!D93)</f>
        <v>East SAC&lt;100MWhpa VolumeControlled</v>
      </c>
      <c r="E93" s="1111" t="str">
        <f>IF(Prop2021DUOSTariffs!E93="","",Prop2021DUOSTariffs!E93)</f>
        <v>SAC</v>
      </c>
      <c r="F93" s="1111" t="str">
        <f>IF(Prop2021DUOSTariffs!F93="","",Prop2021DUOSTariffs!F93)</f>
        <v>SACS CL</v>
      </c>
      <c r="G93" s="1111" t="str">
        <f>IF(Prop2021DUOSTariffs!G93="","",Prop2021DUOSTariffs!G93)</f>
        <v>East</v>
      </c>
      <c r="H93" s="1111" t="str">
        <f>IF(Prop2021DUOSTariffs!H93="","",Prop2021DUOSTariffs!H93)</f>
        <v>EVC</v>
      </c>
      <c r="I93" s="1111" t="str">
        <f>IF(Prop2021DUOSTariffs!I93="","",Prop2021DUOSTariffs!I93)</f>
        <v>DUOS</v>
      </c>
      <c r="J93" s="1773">
        <v>0</v>
      </c>
      <c r="K93" s="1773">
        <v>0</v>
      </c>
      <c r="L93" s="1773">
        <v>0</v>
      </c>
      <c r="M93" s="1773">
        <v>0</v>
      </c>
      <c r="N93" s="1773">
        <v>0</v>
      </c>
      <c r="O93" s="1773">
        <v>0</v>
      </c>
      <c r="P93" s="1773">
        <v>0</v>
      </c>
      <c r="Q93" s="1773">
        <v>0</v>
      </c>
      <c r="R93" s="1773">
        <v>0</v>
      </c>
      <c r="S93" s="1773">
        <v>0</v>
      </c>
      <c r="T93" s="1773">
        <v>0</v>
      </c>
      <c r="U93" s="1773">
        <v>0</v>
      </c>
      <c r="V93" s="1773">
        <v>0</v>
      </c>
      <c r="W93" s="1773">
        <v>0</v>
      </c>
      <c r="X93" s="1773">
        <v>0</v>
      </c>
      <c r="Y93" s="1773">
        <v>0</v>
      </c>
      <c r="Z93" s="1773">
        <v>0</v>
      </c>
      <c r="AA93" s="1773">
        <v>0</v>
      </c>
      <c r="AB93" s="1773">
        <v>0</v>
      </c>
      <c r="AC93" s="1773">
        <v>0</v>
      </c>
      <c r="AD93" s="1773">
        <v>0</v>
      </c>
      <c r="AE93" s="1775">
        <v>0</v>
      </c>
      <c r="AF93" s="1775">
        <v>0</v>
      </c>
      <c r="AG93" s="1776">
        <v>2.8320965190146714E-2</v>
      </c>
      <c r="AH93" s="1775">
        <v>0</v>
      </c>
      <c r="AI93" s="1775">
        <v>0</v>
      </c>
      <c r="AJ93" s="1775">
        <v>0</v>
      </c>
      <c r="AK93" s="1775">
        <v>0</v>
      </c>
      <c r="AL93" s="1775">
        <v>0</v>
      </c>
      <c r="AM93" s="1775">
        <v>0</v>
      </c>
      <c r="AN93" s="1775">
        <v>0</v>
      </c>
      <c r="AO93" s="1775">
        <v>0</v>
      </c>
      <c r="AP93" s="1775">
        <v>0</v>
      </c>
      <c r="AQ93" s="1775">
        <v>0</v>
      </c>
      <c r="AR93" s="1775">
        <v>0</v>
      </c>
      <c r="AS93" s="1594"/>
      <c r="AT93" s="1591"/>
      <c r="AU93" s="1135"/>
      <c r="AV93" s="1135"/>
      <c r="AW93" s="1135"/>
      <c r="AX93" s="1135"/>
      <c r="AY93" s="1135"/>
      <c r="AZ93" s="1135"/>
      <c r="BA93" s="1135"/>
      <c r="BB93" s="1135"/>
      <c r="BC93" s="1135"/>
      <c r="BD93" s="1135"/>
      <c r="BE93" s="1135"/>
      <c r="BF93" s="1135"/>
      <c r="BG93" s="1135"/>
      <c r="BH93" s="1135"/>
      <c r="BI93" s="1135"/>
      <c r="BJ93" s="1135"/>
      <c r="BK93" s="1135"/>
      <c r="BL93" s="1135"/>
      <c r="BM93" s="1135"/>
      <c r="BN93" s="1135"/>
      <c r="BO93" s="1005"/>
      <c r="BP93" s="1005"/>
      <c r="BQ93" s="1596">
        <v>2.7547899507412897E-2</v>
      </c>
      <c r="BR93" s="1005"/>
      <c r="BS93" s="1005"/>
      <c r="BT93" s="1005"/>
      <c r="BU93" s="1005"/>
      <c r="BV93" s="1016"/>
      <c r="BW93" s="1016"/>
      <c r="BX93" s="1016"/>
      <c r="BY93" s="1016"/>
      <c r="BZ93" s="1016"/>
      <c r="CA93" s="1016"/>
      <c r="CB93" s="1016"/>
      <c r="CC93" s="1594"/>
      <c r="CD93" s="1136">
        <f t="shared" si="210"/>
        <v>0</v>
      </c>
      <c r="CE93" s="1136">
        <f t="shared" si="211"/>
        <v>0</v>
      </c>
      <c r="CF93" s="1136">
        <f t="shared" si="212"/>
        <v>0</v>
      </c>
      <c r="CG93" s="1136">
        <f t="shared" si="213"/>
        <v>0</v>
      </c>
      <c r="CH93" s="1136">
        <f t="shared" si="214"/>
        <v>0</v>
      </c>
      <c r="CI93" s="1136">
        <f t="shared" si="215"/>
        <v>0</v>
      </c>
      <c r="CJ93" s="1136">
        <f t="shared" si="216"/>
        <v>0</v>
      </c>
      <c r="CK93" s="1136">
        <f t="shared" si="217"/>
        <v>0</v>
      </c>
      <c r="CL93" s="1136">
        <f t="shared" si="218"/>
        <v>0</v>
      </c>
      <c r="CM93" s="1136">
        <f t="shared" si="219"/>
        <v>0</v>
      </c>
      <c r="CN93" s="1136">
        <f t="shared" si="220"/>
        <v>0</v>
      </c>
      <c r="CO93" s="1136">
        <f t="shared" si="221"/>
        <v>0</v>
      </c>
      <c r="CP93" s="1136">
        <f t="shared" si="222"/>
        <v>0</v>
      </c>
      <c r="CQ93" s="1136">
        <f t="shared" si="223"/>
        <v>0</v>
      </c>
      <c r="CR93" s="1136">
        <f t="shared" si="224"/>
        <v>0</v>
      </c>
      <c r="CS93" s="1136">
        <f t="shared" si="225"/>
        <v>0</v>
      </c>
      <c r="CT93" s="1136">
        <f t="shared" si="226"/>
        <v>0</v>
      </c>
      <c r="CU93" s="1136">
        <f t="shared" si="227"/>
        <v>0</v>
      </c>
      <c r="CV93" s="1136">
        <f t="shared" si="228"/>
        <v>0</v>
      </c>
      <c r="CW93" s="1136">
        <f t="shared" si="229"/>
        <v>0</v>
      </c>
      <c r="CX93" s="1136">
        <f t="shared" si="230"/>
        <v>0</v>
      </c>
      <c r="CY93" s="1136">
        <f t="shared" si="231"/>
        <v>0</v>
      </c>
      <c r="CZ93" s="1136">
        <f t="shared" si="232"/>
        <v>0</v>
      </c>
      <c r="DA93" s="1136">
        <f t="shared" si="233"/>
        <v>2.8062599928019738E-2</v>
      </c>
      <c r="DB93" s="1136">
        <f t="shared" si="234"/>
        <v>0</v>
      </c>
      <c r="DC93" s="1136">
        <f t="shared" si="235"/>
        <v>0</v>
      </c>
      <c r="DD93" s="1136">
        <f t="shared" si="236"/>
        <v>0</v>
      </c>
      <c r="DE93" s="1136">
        <f t="shared" si="237"/>
        <v>0</v>
      </c>
      <c r="DF93" s="1136">
        <f t="shared" si="238"/>
        <v>0</v>
      </c>
      <c r="DG93" s="1136">
        <f t="shared" si="239"/>
        <v>0</v>
      </c>
      <c r="DH93" s="1136">
        <f t="shared" si="240"/>
        <v>0</v>
      </c>
      <c r="DI93" s="1136">
        <f t="shared" si="241"/>
        <v>0</v>
      </c>
      <c r="DJ93" s="1136">
        <f t="shared" si="242"/>
        <v>0</v>
      </c>
      <c r="DK93" s="1136">
        <f t="shared" si="243"/>
        <v>0</v>
      </c>
      <c r="DL93" s="1136">
        <f t="shared" si="244"/>
        <v>0</v>
      </c>
      <c r="DM93" s="1131" t="str">
        <f t="array" ref="DM93">IF(MAX(ABS(CD93:DL93))&gt;$DM$4,"EXPLAIN","")</f>
        <v/>
      </c>
      <c r="DN93" s="1131" t="str">
        <f t="shared" si="209"/>
        <v/>
      </c>
      <c r="DP93" s="1140">
        <f t="shared" si="205"/>
        <v>1</v>
      </c>
      <c r="DQ93" s="1140">
        <f t="shared" si="206"/>
        <v>1</v>
      </c>
      <c r="DR93" s="1140" t="str">
        <f t="shared" si="207"/>
        <v>ok</v>
      </c>
    </row>
    <row r="94" spans="2:122">
      <c r="B94" s="1111" t="str">
        <f>IF(Prop2021DUOSTariffs!B94="","",Prop2021DUOSTariffs!B94)</f>
        <v/>
      </c>
      <c r="C94" s="1111" t="str">
        <f>IF(Prop2021DUOSTariffs!C94="","",Prop2021DUOSTariffs!C94)</f>
        <v>West SAC&lt;100MWhpa VolumeControlled</v>
      </c>
      <c r="D94" s="1111" t="str">
        <f>IF(Prop2021DUOSTariffs!D94="","",Prop2021DUOSTariffs!D94)</f>
        <v>West SAC&lt;100MWhpa VolumeControlled</v>
      </c>
      <c r="E94" s="1111" t="str">
        <f>IF(Prop2021DUOSTariffs!E94="","",Prop2021DUOSTariffs!E94)</f>
        <v>SAC</v>
      </c>
      <c r="F94" s="1111" t="str">
        <f>IF(Prop2021DUOSTariffs!F94="","",Prop2021DUOSTariffs!F94)</f>
        <v>SACS CL</v>
      </c>
      <c r="G94" s="1111" t="str">
        <f>IF(Prop2021DUOSTariffs!G94="","",Prop2021DUOSTariffs!G94)</f>
        <v>West</v>
      </c>
      <c r="H94" s="1111" t="str">
        <f>IF(Prop2021DUOSTariffs!H94="","",Prop2021DUOSTariffs!H94)</f>
        <v>WVC</v>
      </c>
      <c r="I94" s="1111" t="str">
        <f>IF(Prop2021DUOSTariffs!I94="","",Prop2021DUOSTariffs!I94)</f>
        <v>DUOS</v>
      </c>
      <c r="J94" s="1773">
        <v>0</v>
      </c>
      <c r="K94" s="1773">
        <v>0</v>
      </c>
      <c r="L94" s="1773">
        <v>0</v>
      </c>
      <c r="M94" s="1773">
        <v>0</v>
      </c>
      <c r="N94" s="1773">
        <v>0</v>
      </c>
      <c r="O94" s="1773">
        <v>0</v>
      </c>
      <c r="P94" s="1773">
        <v>0</v>
      </c>
      <c r="Q94" s="1773">
        <v>0</v>
      </c>
      <c r="R94" s="1773">
        <v>0</v>
      </c>
      <c r="S94" s="1773">
        <v>0</v>
      </c>
      <c r="T94" s="1773">
        <v>0</v>
      </c>
      <c r="U94" s="1773">
        <v>0</v>
      </c>
      <c r="V94" s="1773">
        <v>0</v>
      </c>
      <c r="W94" s="1773">
        <v>0</v>
      </c>
      <c r="X94" s="1773">
        <v>0</v>
      </c>
      <c r="Y94" s="1773">
        <v>0</v>
      </c>
      <c r="Z94" s="1773">
        <v>0</v>
      </c>
      <c r="AA94" s="1773">
        <v>0</v>
      </c>
      <c r="AB94" s="1773">
        <v>0</v>
      </c>
      <c r="AC94" s="1773">
        <v>0</v>
      </c>
      <c r="AD94" s="1773">
        <v>0</v>
      </c>
      <c r="AE94" s="1775">
        <v>0</v>
      </c>
      <c r="AF94" s="1775">
        <v>0</v>
      </c>
      <c r="AG94" s="1776">
        <v>6.2301328836840718E-2</v>
      </c>
      <c r="AH94" s="1775">
        <v>0</v>
      </c>
      <c r="AI94" s="1775">
        <v>0</v>
      </c>
      <c r="AJ94" s="1775">
        <v>0</v>
      </c>
      <c r="AK94" s="1775">
        <v>0</v>
      </c>
      <c r="AL94" s="1775">
        <v>0</v>
      </c>
      <c r="AM94" s="1775">
        <v>0</v>
      </c>
      <c r="AN94" s="1775">
        <v>0</v>
      </c>
      <c r="AO94" s="1775">
        <v>0</v>
      </c>
      <c r="AP94" s="1775">
        <v>0</v>
      </c>
      <c r="AQ94" s="1775">
        <v>0</v>
      </c>
      <c r="AR94" s="1775">
        <v>0</v>
      </c>
      <c r="AS94" s="1594"/>
      <c r="AT94" s="1591"/>
      <c r="AU94" s="1135"/>
      <c r="AV94" s="1135"/>
      <c r="AW94" s="1135"/>
      <c r="AX94" s="1135"/>
      <c r="AY94" s="1135"/>
      <c r="AZ94" s="1135"/>
      <c r="BA94" s="1135"/>
      <c r="BB94" s="1135"/>
      <c r="BC94" s="1135"/>
      <c r="BD94" s="1135"/>
      <c r="BE94" s="1135"/>
      <c r="BF94" s="1135"/>
      <c r="BG94" s="1135"/>
      <c r="BH94" s="1135"/>
      <c r="BI94" s="1135"/>
      <c r="BJ94" s="1135"/>
      <c r="BK94" s="1135"/>
      <c r="BL94" s="1135"/>
      <c r="BM94" s="1135"/>
      <c r="BN94" s="1135"/>
      <c r="BO94" s="1005"/>
      <c r="BP94" s="1005"/>
      <c r="BQ94" s="1596">
        <v>6.1155180132469955E-2</v>
      </c>
      <c r="BR94" s="1005"/>
      <c r="BS94" s="1005"/>
      <c r="BT94" s="1005"/>
      <c r="BU94" s="1005"/>
      <c r="BV94" s="1016"/>
      <c r="BW94" s="1016"/>
      <c r="BX94" s="1016"/>
      <c r="BY94" s="1016"/>
      <c r="BZ94" s="1016"/>
      <c r="CA94" s="1016"/>
      <c r="CB94" s="1016"/>
      <c r="CC94" s="1594"/>
      <c r="CD94" s="1136">
        <f t="shared" si="210"/>
        <v>0</v>
      </c>
      <c r="CE94" s="1136">
        <f t="shared" si="211"/>
        <v>0</v>
      </c>
      <c r="CF94" s="1136">
        <f t="shared" si="212"/>
        <v>0</v>
      </c>
      <c r="CG94" s="1136">
        <f t="shared" si="213"/>
        <v>0</v>
      </c>
      <c r="CH94" s="1136">
        <f t="shared" si="214"/>
        <v>0</v>
      </c>
      <c r="CI94" s="1136">
        <f t="shared" si="215"/>
        <v>0</v>
      </c>
      <c r="CJ94" s="1136">
        <f t="shared" si="216"/>
        <v>0</v>
      </c>
      <c r="CK94" s="1136">
        <f t="shared" si="217"/>
        <v>0</v>
      </c>
      <c r="CL94" s="1136">
        <f t="shared" si="218"/>
        <v>0</v>
      </c>
      <c r="CM94" s="1136">
        <f t="shared" si="219"/>
        <v>0</v>
      </c>
      <c r="CN94" s="1136">
        <f t="shared" si="220"/>
        <v>0</v>
      </c>
      <c r="CO94" s="1136">
        <f t="shared" si="221"/>
        <v>0</v>
      </c>
      <c r="CP94" s="1136">
        <f t="shared" si="222"/>
        <v>0</v>
      </c>
      <c r="CQ94" s="1136">
        <f t="shared" si="223"/>
        <v>0</v>
      </c>
      <c r="CR94" s="1136">
        <f t="shared" si="224"/>
        <v>0</v>
      </c>
      <c r="CS94" s="1136">
        <f t="shared" si="225"/>
        <v>0</v>
      </c>
      <c r="CT94" s="1136">
        <f t="shared" si="226"/>
        <v>0</v>
      </c>
      <c r="CU94" s="1136">
        <f t="shared" si="227"/>
        <v>0</v>
      </c>
      <c r="CV94" s="1136">
        <f t="shared" si="228"/>
        <v>0</v>
      </c>
      <c r="CW94" s="1136">
        <f t="shared" si="229"/>
        <v>0</v>
      </c>
      <c r="CX94" s="1136">
        <f t="shared" si="230"/>
        <v>0</v>
      </c>
      <c r="CY94" s="1136">
        <f t="shared" si="231"/>
        <v>0</v>
      </c>
      <c r="CZ94" s="1136">
        <f t="shared" si="232"/>
        <v>0</v>
      </c>
      <c r="DA94" s="1136">
        <f t="shared" si="233"/>
        <v>1.874164546466961E-2</v>
      </c>
      <c r="DB94" s="1136">
        <f t="shared" si="234"/>
        <v>0</v>
      </c>
      <c r="DC94" s="1136">
        <f t="shared" si="235"/>
        <v>0</v>
      </c>
      <c r="DD94" s="1136">
        <f t="shared" si="236"/>
        <v>0</v>
      </c>
      <c r="DE94" s="1136">
        <f t="shared" si="237"/>
        <v>0</v>
      </c>
      <c r="DF94" s="1136">
        <f t="shared" si="238"/>
        <v>0</v>
      </c>
      <c r="DG94" s="1136">
        <f t="shared" si="239"/>
        <v>0</v>
      </c>
      <c r="DH94" s="1136">
        <f t="shared" si="240"/>
        <v>0</v>
      </c>
      <c r="DI94" s="1136">
        <f t="shared" si="241"/>
        <v>0</v>
      </c>
      <c r="DJ94" s="1136">
        <f t="shared" si="242"/>
        <v>0</v>
      </c>
      <c r="DK94" s="1136">
        <f t="shared" si="243"/>
        <v>0</v>
      </c>
      <c r="DL94" s="1136">
        <f t="shared" si="244"/>
        <v>0</v>
      </c>
      <c r="DM94" s="1131" t="str">
        <f t="array" ref="DM94">IF(MAX(ABS(CD94:DL94))&gt;$DM$4,"EXPLAIN","")</f>
        <v/>
      </c>
      <c r="DN94" s="1131" t="str">
        <f t="shared" si="209"/>
        <v/>
      </c>
      <c r="DP94" s="1140">
        <f t="shared" si="205"/>
        <v>1</v>
      </c>
      <c r="DQ94" s="1140">
        <f t="shared" si="206"/>
        <v>1</v>
      </c>
      <c r="DR94" s="1140" t="str">
        <f t="shared" si="207"/>
        <v>ok</v>
      </c>
    </row>
    <row r="95" spans="2:122">
      <c r="B95" s="1111" t="str">
        <f>IF(Prop2021DUOSTariffs!B95="","",Prop2021DUOSTariffs!B95)</f>
        <v/>
      </c>
      <c r="C95" s="1111" t="str">
        <f>IF(Prop2021DUOSTariffs!C95="","",Prop2021DUOSTariffs!C95)</f>
        <v>MtIsa SAC&lt;100MWhpa VolumeControlled</v>
      </c>
      <c r="D95" s="1111" t="str">
        <f>IF(Prop2021DUOSTariffs!D95="","",Prop2021DUOSTariffs!D95)</f>
        <v>MtIsa SAC&lt;100MWhpa VolumeControlled</v>
      </c>
      <c r="E95" s="1111" t="str">
        <f>IF(Prop2021DUOSTariffs!E95="","",Prop2021DUOSTariffs!E95)</f>
        <v>SAC</v>
      </c>
      <c r="F95" s="1111" t="str">
        <f>IF(Prop2021DUOSTariffs!F95="","",Prop2021DUOSTariffs!F95)</f>
        <v>SACS CL</v>
      </c>
      <c r="G95" s="1111" t="str">
        <f>IF(Prop2021DUOSTariffs!G95="","",Prop2021DUOSTariffs!G95)</f>
        <v>Mt Isa</v>
      </c>
      <c r="H95" s="1111" t="str">
        <f>IF(Prop2021DUOSTariffs!H95="","",Prop2021DUOSTariffs!H95)</f>
        <v>MVC</v>
      </c>
      <c r="I95" s="1111" t="str">
        <f>IF(Prop2021DUOSTariffs!I95="","",Prop2021DUOSTariffs!I95)</f>
        <v>DUOS</v>
      </c>
      <c r="J95" s="1773">
        <v>0</v>
      </c>
      <c r="K95" s="1773">
        <v>0</v>
      </c>
      <c r="L95" s="1773">
        <v>0</v>
      </c>
      <c r="M95" s="1773">
        <v>0</v>
      </c>
      <c r="N95" s="1773">
        <v>0</v>
      </c>
      <c r="O95" s="1773">
        <v>0</v>
      </c>
      <c r="P95" s="1773">
        <v>0</v>
      </c>
      <c r="Q95" s="1773">
        <v>0</v>
      </c>
      <c r="R95" s="1773">
        <v>0</v>
      </c>
      <c r="S95" s="1773">
        <v>0</v>
      </c>
      <c r="T95" s="1773">
        <v>0</v>
      </c>
      <c r="U95" s="1773">
        <v>0</v>
      </c>
      <c r="V95" s="1773">
        <v>0</v>
      </c>
      <c r="W95" s="1773">
        <v>0</v>
      </c>
      <c r="X95" s="1773">
        <v>0</v>
      </c>
      <c r="Y95" s="1773">
        <v>0</v>
      </c>
      <c r="Z95" s="1773">
        <v>0</v>
      </c>
      <c r="AA95" s="1773">
        <v>0</v>
      </c>
      <c r="AB95" s="1773">
        <v>0</v>
      </c>
      <c r="AC95" s="1773">
        <v>0</v>
      </c>
      <c r="AD95" s="1773">
        <v>0</v>
      </c>
      <c r="AE95" s="1775">
        <v>0</v>
      </c>
      <c r="AF95" s="1775">
        <v>0</v>
      </c>
      <c r="AG95" s="1776">
        <v>2.8850797997973372E-2</v>
      </c>
      <c r="AH95" s="1775">
        <v>0</v>
      </c>
      <c r="AI95" s="1775">
        <v>0</v>
      </c>
      <c r="AJ95" s="1775">
        <v>0</v>
      </c>
      <c r="AK95" s="1775">
        <v>0</v>
      </c>
      <c r="AL95" s="1775">
        <v>0</v>
      </c>
      <c r="AM95" s="1775">
        <v>0</v>
      </c>
      <c r="AN95" s="1775">
        <v>0</v>
      </c>
      <c r="AO95" s="1775">
        <v>0</v>
      </c>
      <c r="AP95" s="1775">
        <v>0</v>
      </c>
      <c r="AQ95" s="1775">
        <v>0</v>
      </c>
      <c r="AR95" s="1775">
        <v>0</v>
      </c>
      <c r="AS95" s="1594"/>
      <c r="AT95" s="1591"/>
      <c r="AU95" s="1135"/>
      <c r="AV95" s="1135"/>
      <c r="AW95" s="1135"/>
      <c r="AX95" s="1135"/>
      <c r="AY95" s="1135"/>
      <c r="AZ95" s="1135"/>
      <c r="BA95" s="1135"/>
      <c r="BB95" s="1135"/>
      <c r="BC95" s="1135"/>
      <c r="BD95" s="1135"/>
      <c r="BE95" s="1135"/>
      <c r="BF95" s="1135"/>
      <c r="BG95" s="1135"/>
      <c r="BH95" s="1135"/>
      <c r="BI95" s="1135"/>
      <c r="BJ95" s="1135"/>
      <c r="BK95" s="1135"/>
      <c r="BL95" s="1135"/>
      <c r="BM95" s="1135"/>
      <c r="BN95" s="1135"/>
      <c r="BO95" s="1005"/>
      <c r="BP95" s="1005"/>
      <c r="BQ95" s="1596">
        <v>2.8326970323308942E-2</v>
      </c>
      <c r="BR95" s="1005"/>
      <c r="BS95" s="1005"/>
      <c r="BT95" s="1005"/>
      <c r="BU95" s="1005"/>
      <c r="BV95" s="1016"/>
      <c r="BW95" s="1016"/>
      <c r="BX95" s="1016"/>
      <c r="BY95" s="1016"/>
      <c r="BZ95" s="1016"/>
      <c r="CA95" s="1016"/>
      <c r="CB95" s="1016"/>
      <c r="CC95" s="1594"/>
      <c r="CD95" s="1136">
        <f t="shared" si="210"/>
        <v>0</v>
      </c>
      <c r="CE95" s="1136">
        <f t="shared" si="211"/>
        <v>0</v>
      </c>
      <c r="CF95" s="1136">
        <f t="shared" si="212"/>
        <v>0</v>
      </c>
      <c r="CG95" s="1136">
        <f t="shared" si="213"/>
        <v>0</v>
      </c>
      <c r="CH95" s="1136">
        <f t="shared" si="214"/>
        <v>0</v>
      </c>
      <c r="CI95" s="1136">
        <f t="shared" si="215"/>
        <v>0</v>
      </c>
      <c r="CJ95" s="1136">
        <f t="shared" si="216"/>
        <v>0</v>
      </c>
      <c r="CK95" s="1136">
        <f t="shared" si="217"/>
        <v>0</v>
      </c>
      <c r="CL95" s="1136">
        <f t="shared" si="218"/>
        <v>0</v>
      </c>
      <c r="CM95" s="1136">
        <f t="shared" si="219"/>
        <v>0</v>
      </c>
      <c r="CN95" s="1136">
        <f t="shared" si="220"/>
        <v>0</v>
      </c>
      <c r="CO95" s="1136">
        <f t="shared" si="221"/>
        <v>0</v>
      </c>
      <c r="CP95" s="1136">
        <f t="shared" si="222"/>
        <v>0</v>
      </c>
      <c r="CQ95" s="1136">
        <f t="shared" si="223"/>
        <v>0</v>
      </c>
      <c r="CR95" s="1136">
        <f t="shared" si="224"/>
        <v>0</v>
      </c>
      <c r="CS95" s="1136">
        <f t="shared" si="225"/>
        <v>0</v>
      </c>
      <c r="CT95" s="1136">
        <f t="shared" si="226"/>
        <v>0</v>
      </c>
      <c r="CU95" s="1136">
        <f t="shared" si="227"/>
        <v>0</v>
      </c>
      <c r="CV95" s="1136">
        <f t="shared" si="228"/>
        <v>0</v>
      </c>
      <c r="CW95" s="1136">
        <f t="shared" si="229"/>
        <v>0</v>
      </c>
      <c r="CX95" s="1136">
        <f t="shared" si="230"/>
        <v>0</v>
      </c>
      <c r="CY95" s="1136">
        <f t="shared" si="231"/>
        <v>0</v>
      </c>
      <c r="CZ95" s="1136">
        <f t="shared" si="232"/>
        <v>0</v>
      </c>
      <c r="DA95" s="1136">
        <f t="shared" si="233"/>
        <v>1.849218849335954E-2</v>
      </c>
      <c r="DB95" s="1136">
        <f t="shared" si="234"/>
        <v>0</v>
      </c>
      <c r="DC95" s="1136">
        <f t="shared" si="235"/>
        <v>0</v>
      </c>
      <c r="DD95" s="1136">
        <f t="shared" si="236"/>
        <v>0</v>
      </c>
      <c r="DE95" s="1136">
        <f t="shared" si="237"/>
        <v>0</v>
      </c>
      <c r="DF95" s="1136">
        <f t="shared" si="238"/>
        <v>0</v>
      </c>
      <c r="DG95" s="1136">
        <f t="shared" si="239"/>
        <v>0</v>
      </c>
      <c r="DH95" s="1136">
        <f t="shared" si="240"/>
        <v>0</v>
      </c>
      <c r="DI95" s="1136">
        <f t="shared" si="241"/>
        <v>0</v>
      </c>
      <c r="DJ95" s="1136">
        <f t="shared" si="242"/>
        <v>0</v>
      </c>
      <c r="DK95" s="1136">
        <f t="shared" si="243"/>
        <v>0</v>
      </c>
      <c r="DL95" s="1136">
        <f t="shared" si="244"/>
        <v>0</v>
      </c>
      <c r="DM95" s="1131" t="str">
        <f t="array" ref="DM95">IF(MAX(ABS(CD95:DL95))&gt;$DM$4,"EXPLAIN","")</f>
        <v/>
      </c>
      <c r="DN95" s="1131" t="str">
        <f t="shared" si="209"/>
        <v/>
      </c>
      <c r="DP95" s="1140">
        <f t="shared" si="205"/>
        <v>1</v>
      </c>
      <c r="DQ95" s="1140">
        <f t="shared" si="206"/>
        <v>1</v>
      </c>
      <c r="DR95" s="1140" t="str">
        <f t="shared" si="207"/>
        <v>ok</v>
      </c>
    </row>
    <row r="96" spans="2:122">
      <c r="B96" s="1111" t="str">
        <f>IF(Prop2021DUOSTariffs!B96="","",Prop2021DUOSTariffs!B96)</f>
        <v/>
      </c>
      <c r="C96" s="1111" t="str">
        <f>IF(Prop2021DUOSTariffs!C96="","",Prop2021DUOSTariffs!C96)</f>
        <v>East SAC&lt;100MWhpa VolumeUnmetered</v>
      </c>
      <c r="D96" s="1111" t="str">
        <f>IF(Prop2021DUOSTariffs!D96="","",Prop2021DUOSTariffs!D96)</f>
        <v>East SAC&lt;100MWhpa VolumeUnmetered</v>
      </c>
      <c r="E96" s="1111" t="str">
        <f>IF(Prop2021DUOSTariffs!E96="","",Prop2021DUOSTariffs!E96)</f>
        <v>SAC</v>
      </c>
      <c r="F96" s="1111" t="str">
        <f>IF(Prop2021DUOSTariffs!F96="","",Prop2021DUOSTariffs!F96)</f>
        <v>SACS Unm</v>
      </c>
      <c r="G96" s="1111" t="str">
        <f>IF(Prop2021DUOSTariffs!G96="","",Prop2021DUOSTariffs!G96)</f>
        <v>East</v>
      </c>
      <c r="H96" s="1111" t="str">
        <f>IF(Prop2021DUOSTariffs!H96="","",Prop2021DUOSTariffs!H96)</f>
        <v>EVU</v>
      </c>
      <c r="I96" s="1111" t="str">
        <f>IF(Prop2021DUOSTariffs!I96="","",Prop2021DUOSTariffs!I96)</f>
        <v>DUOS</v>
      </c>
      <c r="J96" s="1773">
        <v>0</v>
      </c>
      <c r="K96" s="1773">
        <v>0</v>
      </c>
      <c r="L96" s="1773">
        <v>0</v>
      </c>
      <c r="M96" s="1773">
        <v>0</v>
      </c>
      <c r="N96" s="1773">
        <v>0</v>
      </c>
      <c r="O96" s="1773">
        <v>0</v>
      </c>
      <c r="P96" s="1773">
        <v>0</v>
      </c>
      <c r="Q96" s="1773">
        <v>0</v>
      </c>
      <c r="R96" s="1773">
        <v>0</v>
      </c>
      <c r="S96" s="1773">
        <v>0</v>
      </c>
      <c r="T96" s="1773">
        <v>0</v>
      </c>
      <c r="U96" s="1773">
        <v>0</v>
      </c>
      <c r="V96" s="1773">
        <v>0</v>
      </c>
      <c r="W96" s="1773">
        <v>0</v>
      </c>
      <c r="X96" s="1773">
        <v>0</v>
      </c>
      <c r="Y96" s="1773">
        <v>0</v>
      </c>
      <c r="Z96" s="1773">
        <v>0</v>
      </c>
      <c r="AA96" s="1773">
        <v>0</v>
      </c>
      <c r="AB96" s="1773">
        <v>0</v>
      </c>
      <c r="AC96" s="1773">
        <v>0</v>
      </c>
      <c r="AD96" s="1773">
        <v>0</v>
      </c>
      <c r="AE96" s="1775">
        <v>0</v>
      </c>
      <c r="AF96" s="1775">
        <v>0</v>
      </c>
      <c r="AG96" s="1776">
        <v>0.12583084117939783</v>
      </c>
      <c r="AH96" s="1775">
        <v>0</v>
      </c>
      <c r="AI96" s="1775">
        <v>0</v>
      </c>
      <c r="AJ96" s="1775">
        <v>0</v>
      </c>
      <c r="AK96" s="1775">
        <v>0</v>
      </c>
      <c r="AL96" s="1775">
        <v>0</v>
      </c>
      <c r="AM96" s="1775">
        <v>0</v>
      </c>
      <c r="AN96" s="1775">
        <v>0</v>
      </c>
      <c r="AO96" s="1775">
        <v>0</v>
      </c>
      <c r="AP96" s="1775">
        <v>0</v>
      </c>
      <c r="AQ96" s="1775">
        <v>0</v>
      </c>
      <c r="AR96" s="1775">
        <v>0</v>
      </c>
      <c r="AS96" s="1594"/>
      <c r="AT96" s="1591"/>
      <c r="AU96" s="1135"/>
      <c r="AV96" s="1135"/>
      <c r="AW96" s="1135"/>
      <c r="AX96" s="1135"/>
      <c r="AY96" s="1135"/>
      <c r="AZ96" s="1135"/>
      <c r="BA96" s="1135"/>
      <c r="BB96" s="1135"/>
      <c r="BC96" s="1135"/>
      <c r="BD96" s="1135"/>
      <c r="BE96" s="1135"/>
      <c r="BF96" s="1135"/>
      <c r="BG96" s="1135"/>
      <c r="BH96" s="1135"/>
      <c r="BI96" s="1135"/>
      <c r="BJ96" s="1135"/>
      <c r="BK96" s="1135"/>
      <c r="BL96" s="1135"/>
      <c r="BM96" s="1135"/>
      <c r="BN96" s="1135"/>
      <c r="BO96" s="1005"/>
      <c r="BP96" s="1005"/>
      <c r="BQ96" s="1596">
        <v>0.12211258220985916</v>
      </c>
      <c r="BR96" s="1005"/>
      <c r="BS96" s="1005"/>
      <c r="BT96" s="1005"/>
      <c r="BU96" s="1005"/>
      <c r="BV96" s="1016"/>
      <c r="BW96" s="1016"/>
      <c r="BX96" s="1016"/>
      <c r="BY96" s="1016"/>
      <c r="BZ96" s="1016"/>
      <c r="CA96" s="1016"/>
      <c r="CB96" s="1016"/>
      <c r="CC96" s="1594"/>
      <c r="CD96" s="1136">
        <f t="shared" si="210"/>
        <v>0</v>
      </c>
      <c r="CE96" s="1136">
        <f t="shared" si="211"/>
        <v>0</v>
      </c>
      <c r="CF96" s="1136">
        <f t="shared" si="212"/>
        <v>0</v>
      </c>
      <c r="CG96" s="1136">
        <f t="shared" si="213"/>
        <v>0</v>
      </c>
      <c r="CH96" s="1136">
        <f t="shared" si="214"/>
        <v>0</v>
      </c>
      <c r="CI96" s="1136">
        <f t="shared" si="215"/>
        <v>0</v>
      </c>
      <c r="CJ96" s="1136">
        <f t="shared" si="216"/>
        <v>0</v>
      </c>
      <c r="CK96" s="1136">
        <f t="shared" si="217"/>
        <v>0</v>
      </c>
      <c r="CL96" s="1136">
        <f t="shared" si="218"/>
        <v>0</v>
      </c>
      <c r="CM96" s="1136">
        <f t="shared" si="219"/>
        <v>0</v>
      </c>
      <c r="CN96" s="1136">
        <f t="shared" si="220"/>
        <v>0</v>
      </c>
      <c r="CO96" s="1136">
        <f t="shared" si="221"/>
        <v>0</v>
      </c>
      <c r="CP96" s="1136">
        <f t="shared" si="222"/>
        <v>0</v>
      </c>
      <c r="CQ96" s="1136">
        <f t="shared" si="223"/>
        <v>0</v>
      </c>
      <c r="CR96" s="1136">
        <f t="shared" si="224"/>
        <v>0</v>
      </c>
      <c r="CS96" s="1136">
        <f t="shared" si="225"/>
        <v>0</v>
      </c>
      <c r="CT96" s="1136">
        <f t="shared" si="226"/>
        <v>0</v>
      </c>
      <c r="CU96" s="1136">
        <f t="shared" si="227"/>
        <v>0</v>
      </c>
      <c r="CV96" s="1136">
        <f t="shared" si="228"/>
        <v>0</v>
      </c>
      <c r="CW96" s="1136">
        <f t="shared" si="229"/>
        <v>0</v>
      </c>
      <c r="CX96" s="1136">
        <f t="shared" si="230"/>
        <v>0</v>
      </c>
      <c r="CY96" s="1136">
        <f t="shared" si="231"/>
        <v>0</v>
      </c>
      <c r="CZ96" s="1136">
        <f t="shared" si="232"/>
        <v>0</v>
      </c>
      <c r="DA96" s="1136">
        <f t="shared" si="233"/>
        <v>3.0449433647620205E-2</v>
      </c>
      <c r="DB96" s="1136">
        <f t="shared" si="234"/>
        <v>0</v>
      </c>
      <c r="DC96" s="1136">
        <f t="shared" si="235"/>
        <v>0</v>
      </c>
      <c r="DD96" s="1136">
        <f t="shared" si="236"/>
        <v>0</v>
      </c>
      <c r="DE96" s="1136">
        <f t="shared" si="237"/>
        <v>0</v>
      </c>
      <c r="DF96" s="1136">
        <f t="shared" si="238"/>
        <v>0</v>
      </c>
      <c r="DG96" s="1136">
        <f t="shared" si="239"/>
        <v>0</v>
      </c>
      <c r="DH96" s="1136">
        <f t="shared" si="240"/>
        <v>0</v>
      </c>
      <c r="DI96" s="1136">
        <f t="shared" si="241"/>
        <v>0</v>
      </c>
      <c r="DJ96" s="1136">
        <f t="shared" si="242"/>
        <v>0</v>
      </c>
      <c r="DK96" s="1136">
        <f t="shared" si="243"/>
        <v>0</v>
      </c>
      <c r="DL96" s="1136">
        <f t="shared" si="244"/>
        <v>0</v>
      </c>
      <c r="DM96" s="1131" t="str">
        <f t="array" ref="DM96">IF(MAX(ABS(CD96:DL96))&gt;$DM$4,"EXPLAIN","")</f>
        <v/>
      </c>
      <c r="DN96" s="1131" t="str">
        <f t="shared" si="209"/>
        <v/>
      </c>
      <c r="DP96" s="1140">
        <f t="shared" si="205"/>
        <v>1</v>
      </c>
      <c r="DQ96" s="1140">
        <f t="shared" si="206"/>
        <v>1</v>
      </c>
      <c r="DR96" s="1140" t="str">
        <f t="shared" si="207"/>
        <v>ok</v>
      </c>
    </row>
    <row r="97" spans="2:122">
      <c r="B97" s="1111" t="str">
        <f>IF(Prop2021DUOSTariffs!B97="","",Prop2021DUOSTariffs!B97)</f>
        <v/>
      </c>
      <c r="C97" s="1111" t="str">
        <f>IF(Prop2021DUOSTariffs!C97="","",Prop2021DUOSTariffs!C97)</f>
        <v>West SAC&lt;100MWhpa VolumeUnmetered</v>
      </c>
      <c r="D97" s="1111" t="str">
        <f>IF(Prop2021DUOSTariffs!D97="","",Prop2021DUOSTariffs!D97)</f>
        <v>West SAC&lt;100MWhpa VolumeUnmetered</v>
      </c>
      <c r="E97" s="1111" t="str">
        <f>IF(Prop2021DUOSTariffs!E97="","",Prop2021DUOSTariffs!E97)</f>
        <v>SAC</v>
      </c>
      <c r="F97" s="1111" t="str">
        <f>IF(Prop2021DUOSTariffs!F97="","",Prop2021DUOSTariffs!F97)</f>
        <v>SACS Unm</v>
      </c>
      <c r="G97" s="1111" t="str">
        <f>IF(Prop2021DUOSTariffs!G97="","",Prop2021DUOSTariffs!G97)</f>
        <v>West</v>
      </c>
      <c r="H97" s="1111" t="str">
        <f>IF(Prop2021DUOSTariffs!H97="","",Prop2021DUOSTariffs!H97)</f>
        <v>WVU</v>
      </c>
      <c r="I97" s="1111" t="str">
        <f>IF(Prop2021DUOSTariffs!I97="","",Prop2021DUOSTariffs!I97)</f>
        <v>DUOS</v>
      </c>
      <c r="J97" s="1773">
        <v>0</v>
      </c>
      <c r="K97" s="1773">
        <v>0</v>
      </c>
      <c r="L97" s="1773">
        <v>0</v>
      </c>
      <c r="M97" s="1773">
        <v>0</v>
      </c>
      <c r="N97" s="1773">
        <v>0</v>
      </c>
      <c r="O97" s="1773">
        <v>0</v>
      </c>
      <c r="P97" s="1773">
        <v>0</v>
      </c>
      <c r="Q97" s="1773">
        <v>0</v>
      </c>
      <c r="R97" s="1773">
        <v>0</v>
      </c>
      <c r="S97" s="1773">
        <v>0</v>
      </c>
      <c r="T97" s="1773">
        <v>0</v>
      </c>
      <c r="U97" s="1773">
        <v>0</v>
      </c>
      <c r="V97" s="1773">
        <v>0</v>
      </c>
      <c r="W97" s="1773">
        <v>0</v>
      </c>
      <c r="X97" s="1773">
        <v>0</v>
      </c>
      <c r="Y97" s="1773">
        <v>0</v>
      </c>
      <c r="Z97" s="1773">
        <v>0</v>
      </c>
      <c r="AA97" s="1773">
        <v>0</v>
      </c>
      <c r="AB97" s="1773">
        <v>0</v>
      </c>
      <c r="AC97" s="1773">
        <v>0</v>
      </c>
      <c r="AD97" s="1773">
        <v>0</v>
      </c>
      <c r="AE97" s="1775">
        <v>0</v>
      </c>
      <c r="AF97" s="1775">
        <v>0</v>
      </c>
      <c r="AG97" s="1776">
        <v>0.14489737464266658</v>
      </c>
      <c r="AH97" s="1775">
        <v>0</v>
      </c>
      <c r="AI97" s="1775">
        <v>0</v>
      </c>
      <c r="AJ97" s="1775">
        <v>0</v>
      </c>
      <c r="AK97" s="1775">
        <v>0</v>
      </c>
      <c r="AL97" s="1775">
        <v>0</v>
      </c>
      <c r="AM97" s="1775">
        <v>0</v>
      </c>
      <c r="AN97" s="1775">
        <v>0</v>
      </c>
      <c r="AO97" s="1775">
        <v>0</v>
      </c>
      <c r="AP97" s="1775">
        <v>0</v>
      </c>
      <c r="AQ97" s="1775">
        <v>0</v>
      </c>
      <c r="AR97" s="1775">
        <v>0</v>
      </c>
      <c r="AS97" s="1594"/>
      <c r="AT97" s="1591"/>
      <c r="AU97" s="1135"/>
      <c r="AV97" s="1135"/>
      <c r="AW97" s="1135"/>
      <c r="AX97" s="1135"/>
      <c r="AY97" s="1135"/>
      <c r="AZ97" s="1135"/>
      <c r="BA97" s="1135"/>
      <c r="BB97" s="1135"/>
      <c r="BC97" s="1135"/>
      <c r="BD97" s="1135"/>
      <c r="BE97" s="1135"/>
      <c r="BF97" s="1135"/>
      <c r="BG97" s="1135"/>
      <c r="BH97" s="1135"/>
      <c r="BI97" s="1135"/>
      <c r="BJ97" s="1135"/>
      <c r="BK97" s="1135"/>
      <c r="BL97" s="1135"/>
      <c r="BM97" s="1135"/>
      <c r="BN97" s="1135"/>
      <c r="BO97" s="1005"/>
      <c r="BP97" s="1005"/>
      <c r="BQ97" s="1596">
        <v>0.14214987740357787</v>
      </c>
      <c r="BR97" s="1005"/>
      <c r="BS97" s="1005"/>
      <c r="BT97" s="1005"/>
      <c r="BU97" s="1005"/>
      <c r="BV97" s="1016"/>
      <c r="BW97" s="1016"/>
      <c r="BX97" s="1016"/>
      <c r="BY97" s="1016"/>
      <c r="BZ97" s="1016"/>
      <c r="CA97" s="1016"/>
      <c r="CB97" s="1016"/>
      <c r="CC97" s="1594"/>
      <c r="CD97" s="1136">
        <f t="shared" si="210"/>
        <v>0</v>
      </c>
      <c r="CE97" s="1136">
        <f t="shared" si="211"/>
        <v>0</v>
      </c>
      <c r="CF97" s="1136">
        <f t="shared" si="212"/>
        <v>0</v>
      </c>
      <c r="CG97" s="1136">
        <f t="shared" si="213"/>
        <v>0</v>
      </c>
      <c r="CH97" s="1136">
        <f t="shared" si="214"/>
        <v>0</v>
      </c>
      <c r="CI97" s="1136">
        <f t="shared" si="215"/>
        <v>0</v>
      </c>
      <c r="CJ97" s="1136">
        <f t="shared" si="216"/>
        <v>0</v>
      </c>
      <c r="CK97" s="1136">
        <f t="shared" si="217"/>
        <v>0</v>
      </c>
      <c r="CL97" s="1136">
        <f t="shared" si="218"/>
        <v>0</v>
      </c>
      <c r="CM97" s="1136">
        <f t="shared" si="219"/>
        <v>0</v>
      </c>
      <c r="CN97" s="1136">
        <f t="shared" si="220"/>
        <v>0</v>
      </c>
      <c r="CO97" s="1136">
        <f t="shared" si="221"/>
        <v>0</v>
      </c>
      <c r="CP97" s="1136">
        <f t="shared" si="222"/>
        <v>0</v>
      </c>
      <c r="CQ97" s="1136">
        <f t="shared" si="223"/>
        <v>0</v>
      </c>
      <c r="CR97" s="1136">
        <f t="shared" si="224"/>
        <v>0</v>
      </c>
      <c r="CS97" s="1136">
        <f t="shared" si="225"/>
        <v>0</v>
      </c>
      <c r="CT97" s="1136">
        <f t="shared" si="226"/>
        <v>0</v>
      </c>
      <c r="CU97" s="1136">
        <f t="shared" si="227"/>
        <v>0</v>
      </c>
      <c r="CV97" s="1136">
        <f t="shared" si="228"/>
        <v>0</v>
      </c>
      <c r="CW97" s="1136">
        <f t="shared" si="229"/>
        <v>0</v>
      </c>
      <c r="CX97" s="1136">
        <f t="shared" si="230"/>
        <v>0</v>
      </c>
      <c r="CY97" s="1136">
        <f t="shared" si="231"/>
        <v>0</v>
      </c>
      <c r="CZ97" s="1136">
        <f t="shared" si="232"/>
        <v>0</v>
      </c>
      <c r="DA97" s="1136">
        <f t="shared" si="233"/>
        <v>1.9328171710541131E-2</v>
      </c>
      <c r="DB97" s="1136">
        <f t="shared" si="234"/>
        <v>0</v>
      </c>
      <c r="DC97" s="1136">
        <f t="shared" si="235"/>
        <v>0</v>
      </c>
      <c r="DD97" s="1136">
        <f t="shared" si="236"/>
        <v>0</v>
      </c>
      <c r="DE97" s="1136">
        <f t="shared" si="237"/>
        <v>0</v>
      </c>
      <c r="DF97" s="1136">
        <f t="shared" si="238"/>
        <v>0</v>
      </c>
      <c r="DG97" s="1136">
        <f t="shared" si="239"/>
        <v>0</v>
      </c>
      <c r="DH97" s="1136">
        <f t="shared" si="240"/>
        <v>0</v>
      </c>
      <c r="DI97" s="1136">
        <f t="shared" si="241"/>
        <v>0</v>
      </c>
      <c r="DJ97" s="1136">
        <f t="shared" si="242"/>
        <v>0</v>
      </c>
      <c r="DK97" s="1136">
        <f t="shared" si="243"/>
        <v>0</v>
      </c>
      <c r="DL97" s="1136">
        <f t="shared" si="244"/>
        <v>0</v>
      </c>
      <c r="DM97" s="1131" t="str">
        <f t="array" ref="DM97">IF(MAX(ABS(CD97:DL97))&gt;$DM$4,"EXPLAIN","")</f>
        <v/>
      </c>
      <c r="DN97" s="1131" t="str">
        <f t="shared" si="209"/>
        <v/>
      </c>
      <c r="DP97" s="1140">
        <f t="shared" si="205"/>
        <v>1</v>
      </c>
      <c r="DQ97" s="1140">
        <f t="shared" si="206"/>
        <v>1</v>
      </c>
      <c r="DR97" s="1140" t="str">
        <f t="shared" si="207"/>
        <v>ok</v>
      </c>
    </row>
    <row r="98" spans="2:122">
      <c r="B98" s="1111" t="str">
        <f>IF(Prop2021DUOSTariffs!B98="","",Prop2021DUOSTariffs!B98)</f>
        <v/>
      </c>
      <c r="C98" s="1111" t="str">
        <f>IF(Prop2021DUOSTariffs!C98="","",Prop2021DUOSTariffs!C98)</f>
        <v>MtIsa SAC&lt;100MWhpa VolumeUnmetered</v>
      </c>
      <c r="D98" s="1111" t="str">
        <f>IF(Prop2021DUOSTariffs!D98="","",Prop2021DUOSTariffs!D98)</f>
        <v>MtIsa SAC&lt;100MWhpa VolumeUnmetered</v>
      </c>
      <c r="E98" s="1111" t="str">
        <f>IF(Prop2021DUOSTariffs!E98="","",Prop2021DUOSTariffs!E98)</f>
        <v>SAC</v>
      </c>
      <c r="F98" s="1111" t="str">
        <f>IF(Prop2021DUOSTariffs!F98="","",Prop2021DUOSTariffs!F98)</f>
        <v>SACS Unm</v>
      </c>
      <c r="G98" s="1111" t="str">
        <f>IF(Prop2021DUOSTariffs!G98="","",Prop2021DUOSTariffs!G98)</f>
        <v>Mt Isa</v>
      </c>
      <c r="H98" s="1111" t="str">
        <f>IF(Prop2021DUOSTariffs!H98="","",Prop2021DUOSTariffs!H98)</f>
        <v>MVU</v>
      </c>
      <c r="I98" s="1111" t="str">
        <f>IF(Prop2021DUOSTariffs!I98="","",Prop2021DUOSTariffs!I98)</f>
        <v>DUOS</v>
      </c>
      <c r="J98" s="1773">
        <v>0</v>
      </c>
      <c r="K98" s="1773">
        <v>0</v>
      </c>
      <c r="L98" s="1773">
        <v>0</v>
      </c>
      <c r="M98" s="1773">
        <v>0</v>
      </c>
      <c r="N98" s="1773">
        <v>0</v>
      </c>
      <c r="O98" s="1773">
        <v>0</v>
      </c>
      <c r="P98" s="1773">
        <v>0</v>
      </c>
      <c r="Q98" s="1773">
        <v>0</v>
      </c>
      <c r="R98" s="1773">
        <v>0</v>
      </c>
      <c r="S98" s="1773">
        <v>0</v>
      </c>
      <c r="T98" s="1773">
        <v>0</v>
      </c>
      <c r="U98" s="1773">
        <v>0</v>
      </c>
      <c r="V98" s="1773">
        <v>0</v>
      </c>
      <c r="W98" s="1773">
        <v>0</v>
      </c>
      <c r="X98" s="1773">
        <v>0</v>
      </c>
      <c r="Y98" s="1773">
        <v>0</v>
      </c>
      <c r="Z98" s="1773">
        <v>0</v>
      </c>
      <c r="AA98" s="1773">
        <v>0</v>
      </c>
      <c r="AB98" s="1773">
        <v>0</v>
      </c>
      <c r="AC98" s="1773">
        <v>0</v>
      </c>
      <c r="AD98" s="1773">
        <v>0</v>
      </c>
      <c r="AE98" s="1775">
        <v>0</v>
      </c>
      <c r="AF98" s="1775">
        <v>0</v>
      </c>
      <c r="AG98" s="1776">
        <v>1.1646693769689723E-2</v>
      </c>
      <c r="AH98" s="1775">
        <v>0</v>
      </c>
      <c r="AI98" s="1775">
        <v>0</v>
      </c>
      <c r="AJ98" s="1775">
        <v>0</v>
      </c>
      <c r="AK98" s="1775">
        <v>0</v>
      </c>
      <c r="AL98" s="1775">
        <v>0</v>
      </c>
      <c r="AM98" s="1775">
        <v>0</v>
      </c>
      <c r="AN98" s="1775">
        <v>0</v>
      </c>
      <c r="AO98" s="1775">
        <v>0</v>
      </c>
      <c r="AP98" s="1775">
        <v>0</v>
      </c>
      <c r="AQ98" s="1775">
        <v>0</v>
      </c>
      <c r="AR98" s="1775">
        <v>0</v>
      </c>
      <c r="AS98" s="1594"/>
      <c r="AT98" s="1591"/>
      <c r="AU98" s="1135"/>
      <c r="AV98" s="1135"/>
      <c r="AW98" s="1135"/>
      <c r="AX98" s="1135"/>
      <c r="AY98" s="1135"/>
      <c r="AZ98" s="1135"/>
      <c r="BA98" s="1135"/>
      <c r="BB98" s="1135"/>
      <c r="BC98" s="1135"/>
      <c r="BD98" s="1135"/>
      <c r="BE98" s="1135"/>
      <c r="BF98" s="1135"/>
      <c r="BG98" s="1135"/>
      <c r="BH98" s="1135"/>
      <c r="BI98" s="1135"/>
      <c r="BJ98" s="1135"/>
      <c r="BK98" s="1135"/>
      <c r="BL98" s="1135"/>
      <c r="BM98" s="1135"/>
      <c r="BN98" s="1135"/>
      <c r="BO98" s="1005"/>
      <c r="BP98" s="1005"/>
      <c r="BQ98" s="1596">
        <v>1.1430980072394521E-2</v>
      </c>
      <c r="BR98" s="1005"/>
      <c r="BS98" s="1005"/>
      <c r="BT98" s="1005"/>
      <c r="BU98" s="1005"/>
      <c r="BV98" s="1016"/>
      <c r="BW98" s="1016"/>
      <c r="BX98" s="1016"/>
      <c r="BY98" s="1016"/>
      <c r="BZ98" s="1016"/>
      <c r="CA98" s="1016"/>
      <c r="CB98" s="1016"/>
      <c r="CC98" s="1594"/>
      <c r="CD98" s="1136">
        <f t="shared" si="210"/>
        <v>0</v>
      </c>
      <c r="CE98" s="1136">
        <f t="shared" si="211"/>
        <v>0</v>
      </c>
      <c r="CF98" s="1136">
        <f t="shared" si="212"/>
        <v>0</v>
      </c>
      <c r="CG98" s="1136">
        <f t="shared" si="213"/>
        <v>0</v>
      </c>
      <c r="CH98" s="1136">
        <f t="shared" si="214"/>
        <v>0</v>
      </c>
      <c r="CI98" s="1136">
        <f t="shared" si="215"/>
        <v>0</v>
      </c>
      <c r="CJ98" s="1136">
        <f t="shared" si="216"/>
        <v>0</v>
      </c>
      <c r="CK98" s="1136">
        <f t="shared" si="217"/>
        <v>0</v>
      </c>
      <c r="CL98" s="1136">
        <f t="shared" si="218"/>
        <v>0</v>
      </c>
      <c r="CM98" s="1136">
        <f t="shared" si="219"/>
        <v>0</v>
      </c>
      <c r="CN98" s="1136">
        <f t="shared" si="220"/>
        <v>0</v>
      </c>
      <c r="CO98" s="1136">
        <f t="shared" si="221"/>
        <v>0</v>
      </c>
      <c r="CP98" s="1136">
        <f t="shared" si="222"/>
        <v>0</v>
      </c>
      <c r="CQ98" s="1136">
        <f t="shared" si="223"/>
        <v>0</v>
      </c>
      <c r="CR98" s="1136">
        <f t="shared" si="224"/>
        <v>0</v>
      </c>
      <c r="CS98" s="1136">
        <f t="shared" si="225"/>
        <v>0</v>
      </c>
      <c r="CT98" s="1136">
        <f t="shared" si="226"/>
        <v>0</v>
      </c>
      <c r="CU98" s="1136">
        <f t="shared" si="227"/>
        <v>0</v>
      </c>
      <c r="CV98" s="1136">
        <f t="shared" si="228"/>
        <v>0</v>
      </c>
      <c r="CW98" s="1136">
        <f t="shared" si="229"/>
        <v>0</v>
      </c>
      <c r="CX98" s="1136">
        <f t="shared" si="230"/>
        <v>0</v>
      </c>
      <c r="CY98" s="1136">
        <f t="shared" si="231"/>
        <v>0</v>
      </c>
      <c r="CZ98" s="1136">
        <f t="shared" si="232"/>
        <v>0</v>
      </c>
      <c r="DA98" s="1136">
        <f t="shared" si="233"/>
        <v>1.8870971336582443E-2</v>
      </c>
      <c r="DB98" s="1136">
        <f t="shared" si="234"/>
        <v>0</v>
      </c>
      <c r="DC98" s="1136">
        <f t="shared" si="235"/>
        <v>0</v>
      </c>
      <c r="DD98" s="1136">
        <f t="shared" si="236"/>
        <v>0</v>
      </c>
      <c r="DE98" s="1136">
        <f t="shared" si="237"/>
        <v>0</v>
      </c>
      <c r="DF98" s="1136">
        <f t="shared" si="238"/>
        <v>0</v>
      </c>
      <c r="DG98" s="1136">
        <f t="shared" si="239"/>
        <v>0</v>
      </c>
      <c r="DH98" s="1136">
        <f t="shared" si="240"/>
        <v>0</v>
      </c>
      <c r="DI98" s="1136">
        <f t="shared" si="241"/>
        <v>0</v>
      </c>
      <c r="DJ98" s="1136">
        <f t="shared" si="242"/>
        <v>0</v>
      </c>
      <c r="DK98" s="1136">
        <f t="shared" si="243"/>
        <v>0</v>
      </c>
      <c r="DL98" s="1136">
        <f t="shared" si="244"/>
        <v>0</v>
      </c>
      <c r="DM98" s="1131" t="str">
        <f t="array" ref="DM98">IF(MAX(ABS(CD98:DL98))&gt;$DM$4,"EXPLAIN","")</f>
        <v/>
      </c>
      <c r="DN98" s="1131" t="str">
        <f t="shared" si="209"/>
        <v/>
      </c>
      <c r="DP98" s="1140">
        <f t="shared" si="205"/>
        <v>1</v>
      </c>
      <c r="DQ98" s="1140">
        <f t="shared" si="206"/>
        <v>1</v>
      </c>
      <c r="DR98" s="1140" t="str">
        <f t="shared" si="207"/>
        <v>ok</v>
      </c>
    </row>
    <row r="99" spans="2:122" ht="6" customHeight="1">
      <c r="B99" s="1579"/>
      <c r="C99" s="1579"/>
      <c r="D99" s="1579"/>
      <c r="E99" s="1579"/>
      <c r="F99" s="1579"/>
      <c r="G99" s="1579"/>
      <c r="H99" s="1579"/>
      <c r="I99" s="1579"/>
      <c r="J99" s="1579"/>
      <c r="K99" s="1579"/>
      <c r="L99" s="1579"/>
      <c r="M99" s="1579"/>
      <c r="N99" s="1579"/>
      <c r="O99" s="1579"/>
      <c r="P99" s="1579"/>
      <c r="Q99" s="1579"/>
      <c r="R99" s="1579"/>
      <c r="S99" s="1579"/>
      <c r="T99" s="1579"/>
      <c r="U99" s="1579"/>
      <c r="V99" s="1579"/>
      <c r="W99" s="1579"/>
      <c r="X99" s="1579"/>
      <c r="Y99" s="1579"/>
      <c r="Z99" s="1579"/>
      <c r="AA99" s="1579"/>
      <c r="AB99" s="1579"/>
      <c r="AC99" s="1579"/>
      <c r="AD99" s="1579"/>
      <c r="AE99" s="1579"/>
      <c r="AF99" s="1579"/>
      <c r="AG99" s="1579"/>
      <c r="AH99" s="1579"/>
      <c r="AI99" s="1579"/>
      <c r="AJ99" s="1579"/>
      <c r="AK99" s="1579"/>
      <c r="AL99" s="1579"/>
      <c r="AM99" s="1579"/>
      <c r="AN99" s="1579"/>
      <c r="AO99" s="1579"/>
      <c r="AP99" s="1579"/>
      <c r="AQ99" s="1579"/>
      <c r="AR99" s="1589"/>
      <c r="AS99" s="1594"/>
      <c r="AT99" s="1593"/>
      <c r="AU99" s="1579"/>
      <c r="AV99" s="1579"/>
      <c r="AW99" s="1579"/>
      <c r="AX99" s="1579"/>
      <c r="AY99" s="1579"/>
      <c r="AZ99" s="1579"/>
      <c r="BA99" s="1579"/>
      <c r="BB99" s="1579"/>
      <c r="BC99" s="1579"/>
      <c r="BD99" s="1579"/>
      <c r="BE99" s="1579"/>
      <c r="BF99" s="1579"/>
      <c r="BG99" s="1579"/>
      <c r="BH99" s="1579"/>
      <c r="BI99" s="1579"/>
      <c r="BJ99" s="1579"/>
      <c r="BK99" s="1579"/>
      <c r="BL99" s="1579"/>
      <c r="BM99" s="1579"/>
      <c r="BN99" s="1579"/>
      <c r="BO99" s="1597"/>
      <c r="BP99" s="1597"/>
      <c r="BQ99" s="1597"/>
      <c r="BR99" s="1597"/>
      <c r="BS99" s="1597"/>
      <c r="BT99" s="1597"/>
      <c r="BU99" s="1597"/>
      <c r="BV99" s="1597"/>
      <c r="BW99" s="1597"/>
      <c r="BX99" s="1597"/>
      <c r="BY99" s="1597"/>
      <c r="BZ99" s="1597"/>
      <c r="CA99" s="1597"/>
      <c r="CB99" s="1597"/>
      <c r="CC99" s="1594"/>
      <c r="CD99" s="1597"/>
      <c r="CE99" s="1597"/>
      <c r="CF99" s="1597"/>
      <c r="CG99" s="1597"/>
      <c r="CH99" s="1597"/>
      <c r="CI99" s="1597"/>
      <c r="CJ99" s="1597"/>
      <c r="CK99" s="1597"/>
      <c r="CL99" s="1597"/>
      <c r="CM99" s="1597"/>
      <c r="CN99" s="1597"/>
      <c r="CO99" s="1597"/>
      <c r="CP99" s="1597"/>
      <c r="CQ99" s="1597"/>
      <c r="CR99" s="1597"/>
      <c r="CS99" s="1597"/>
      <c r="CT99" s="1597"/>
      <c r="CU99" s="1597"/>
      <c r="CV99" s="1597"/>
      <c r="CW99" s="1597"/>
      <c r="CX99" s="1597"/>
      <c r="CY99" s="1597"/>
      <c r="CZ99" s="1597"/>
      <c r="DA99" s="1597"/>
      <c r="DB99" s="1597"/>
      <c r="DC99" s="1597"/>
      <c r="DD99" s="1597"/>
      <c r="DE99" s="1597"/>
      <c r="DF99" s="1597"/>
      <c r="DG99" s="1597"/>
      <c r="DH99" s="1597"/>
      <c r="DI99" s="1597"/>
      <c r="DJ99" s="1597"/>
      <c r="DK99" s="1597"/>
      <c r="DL99" s="1597"/>
      <c r="DM99" s="1597"/>
      <c r="DN99" s="1597"/>
    </row>
    <row r="111" spans="2:122" ht="13.8">
      <c r="AT111" s="1232" t="e">
        <f>#REF!</f>
        <v>#REF!</v>
      </c>
      <c r="AU111" s="1015" t="e">
        <f>$AT111</f>
        <v>#REF!</v>
      </c>
      <c r="AV111" s="1015" t="e">
        <f t="shared" ref="AV111:CB111" si="245">$AT111</f>
        <v>#REF!</v>
      </c>
      <c r="AW111" s="1015" t="e">
        <f t="shared" si="245"/>
        <v>#REF!</v>
      </c>
      <c r="AX111" s="1015" t="e">
        <f t="shared" si="245"/>
        <v>#REF!</v>
      </c>
      <c r="AY111" s="1015" t="e">
        <f t="shared" si="245"/>
        <v>#REF!</v>
      </c>
      <c r="AZ111" s="1015" t="e">
        <f t="shared" si="245"/>
        <v>#REF!</v>
      </c>
      <c r="BA111" s="1015" t="e">
        <f t="shared" si="245"/>
        <v>#REF!</v>
      </c>
      <c r="BB111" s="1015" t="e">
        <f t="shared" si="245"/>
        <v>#REF!</v>
      </c>
      <c r="BC111" s="1015" t="e">
        <f t="shared" si="245"/>
        <v>#REF!</v>
      </c>
      <c r="BD111" s="1015" t="e">
        <f t="shared" si="245"/>
        <v>#REF!</v>
      </c>
      <c r="BE111" s="1015" t="e">
        <f t="shared" si="245"/>
        <v>#REF!</v>
      </c>
      <c r="BF111" s="1015" t="e">
        <f t="shared" si="245"/>
        <v>#REF!</v>
      </c>
      <c r="BG111" s="1015" t="e">
        <f t="shared" si="245"/>
        <v>#REF!</v>
      </c>
      <c r="BH111" s="1015" t="e">
        <f t="shared" si="245"/>
        <v>#REF!</v>
      </c>
      <c r="BI111" s="1015" t="e">
        <f t="shared" si="245"/>
        <v>#REF!</v>
      </c>
      <c r="BJ111" s="1015" t="e">
        <f t="shared" si="245"/>
        <v>#REF!</v>
      </c>
      <c r="BK111" s="1015" t="e">
        <f t="shared" si="245"/>
        <v>#REF!</v>
      </c>
      <c r="BL111" s="1015" t="e">
        <f t="shared" si="245"/>
        <v>#REF!</v>
      </c>
      <c r="BM111" s="1015" t="e">
        <f t="shared" si="245"/>
        <v>#REF!</v>
      </c>
      <c r="BN111" s="1015" t="e">
        <f t="shared" si="245"/>
        <v>#REF!</v>
      </c>
      <c r="BO111" s="1015" t="e">
        <f t="shared" si="245"/>
        <v>#REF!</v>
      </c>
      <c r="BP111" s="1015" t="e">
        <f t="shared" si="245"/>
        <v>#REF!</v>
      </c>
      <c r="BQ111" s="1015" t="e">
        <f t="shared" si="245"/>
        <v>#REF!</v>
      </c>
      <c r="BR111" s="1015" t="e">
        <f t="shared" si="245"/>
        <v>#REF!</v>
      </c>
      <c r="BS111" s="1015" t="e">
        <f t="shared" si="245"/>
        <v>#REF!</v>
      </c>
      <c r="BT111" s="1015" t="e">
        <f t="shared" si="245"/>
        <v>#REF!</v>
      </c>
      <c r="BU111" s="1015" t="e">
        <f t="shared" si="245"/>
        <v>#REF!</v>
      </c>
      <c r="BV111" s="1015" t="e">
        <f t="shared" si="245"/>
        <v>#REF!</v>
      </c>
      <c r="BW111" s="1015" t="e">
        <f t="shared" si="245"/>
        <v>#REF!</v>
      </c>
      <c r="BX111" s="1015" t="e">
        <f t="shared" si="245"/>
        <v>#REF!</v>
      </c>
      <c r="BY111" s="1015" t="e">
        <f t="shared" si="245"/>
        <v>#REF!</v>
      </c>
      <c r="BZ111" s="1015" t="e">
        <f t="shared" si="245"/>
        <v>#REF!</v>
      </c>
      <c r="CA111" s="1015" t="e">
        <f t="shared" si="245"/>
        <v>#REF!</v>
      </c>
      <c r="CB111" s="1015" t="e">
        <f t="shared" si="245"/>
        <v>#REF!</v>
      </c>
    </row>
    <row r="112" spans="2:122">
      <c r="AT112" s="1015"/>
      <c r="AU112" s="1015"/>
      <c r="AV112" s="1015"/>
      <c r="AW112" s="1015"/>
      <c r="AX112" s="1015"/>
      <c r="AY112" s="1015"/>
      <c r="AZ112" s="1015"/>
      <c r="BA112" s="1015"/>
      <c r="BB112" s="1015"/>
      <c r="BC112" s="1015"/>
      <c r="BD112" s="1015"/>
      <c r="BE112" s="1015"/>
      <c r="BF112" s="1015"/>
      <c r="BG112" s="1015"/>
      <c r="BH112" s="1015"/>
      <c r="BI112" s="1015"/>
      <c r="BJ112" s="1015"/>
      <c r="BK112" s="1015"/>
      <c r="BL112" s="1015"/>
      <c r="BM112" s="1015"/>
      <c r="BN112" s="1015"/>
      <c r="BO112" s="1015"/>
      <c r="BP112" s="1015"/>
      <c r="BQ112" s="1015"/>
      <c r="BR112" s="1015"/>
      <c r="BS112" s="1015"/>
      <c r="BT112" s="1015"/>
      <c r="BU112" s="1015"/>
      <c r="BV112" s="1015"/>
      <c r="BW112" s="1015"/>
      <c r="BX112" s="1015"/>
      <c r="BY112" s="1015"/>
      <c r="BZ112" s="1015"/>
      <c r="CA112" s="1015"/>
      <c r="CB112" s="1015"/>
    </row>
    <row r="113" spans="46:80">
      <c r="AT113" s="1015"/>
      <c r="AU113" s="1015"/>
      <c r="AV113" s="1015"/>
      <c r="AW113" s="1015"/>
      <c r="AX113" s="1015"/>
      <c r="AY113" s="1015"/>
      <c r="AZ113" s="1015"/>
      <c r="BA113" s="1015"/>
      <c r="BB113" s="1015"/>
      <c r="BC113" s="1015"/>
      <c r="BD113" s="1015"/>
      <c r="BE113" s="1015"/>
      <c r="BF113" s="1015"/>
      <c r="BG113" s="1015"/>
      <c r="BH113" s="1015"/>
      <c r="BI113" s="1015"/>
      <c r="BJ113" s="1015"/>
      <c r="BK113" s="1015"/>
      <c r="BL113" s="1015"/>
      <c r="BM113" s="1015"/>
      <c r="BN113" s="1015"/>
      <c r="BO113" s="1015"/>
      <c r="BP113" s="1015"/>
      <c r="BQ113" s="1015"/>
      <c r="BR113" s="1015"/>
      <c r="BS113" s="1015"/>
      <c r="BT113" s="1015"/>
      <c r="BU113" s="1015"/>
      <c r="BV113" s="1015"/>
      <c r="BW113" s="1015"/>
      <c r="BX113" s="1015"/>
      <c r="BY113" s="1015"/>
      <c r="BZ113" s="1015"/>
      <c r="CA113" s="1015"/>
      <c r="CB113" s="1015"/>
    </row>
    <row r="114" spans="46:80">
      <c r="AT114" s="1015"/>
      <c r="AU114" s="1015" t="s">
        <v>1613</v>
      </c>
      <c r="AV114" s="1015"/>
      <c r="AW114" s="1015"/>
      <c r="AX114" s="1015"/>
      <c r="AY114" s="1015"/>
      <c r="AZ114" s="1015"/>
      <c r="BA114" s="1015"/>
      <c r="BB114" s="1015"/>
      <c r="BC114" s="1015"/>
      <c r="BD114" s="1015"/>
      <c r="BE114" s="1015"/>
      <c r="BF114" s="1015"/>
      <c r="BG114" s="1015"/>
      <c r="BH114" s="1015"/>
      <c r="BI114" s="1015"/>
      <c r="BJ114" s="1015"/>
      <c r="BK114" s="1015"/>
      <c r="BL114" s="1015"/>
      <c r="BM114" s="1015"/>
      <c r="BN114" s="1015"/>
      <c r="BO114" s="1015"/>
      <c r="BP114" s="1015"/>
      <c r="BQ114" s="1015"/>
      <c r="BR114" s="1015"/>
      <c r="BS114" s="1015"/>
      <c r="BT114" s="1015"/>
      <c r="BU114" s="1015"/>
      <c r="BV114" s="1015"/>
      <c r="BW114" s="1015"/>
      <c r="BX114" s="1015"/>
      <c r="BY114" s="1015"/>
      <c r="BZ114" s="1015"/>
      <c r="CA114" s="1015"/>
      <c r="CB114" s="1015"/>
    </row>
    <row r="115" spans="46:80">
      <c r="AT115" s="1015"/>
      <c r="AU115" s="1235" t="s">
        <v>1608</v>
      </c>
      <c r="AV115" s="1235" t="s">
        <v>1609</v>
      </c>
      <c r="AW115" s="1235" t="s">
        <v>1610</v>
      </c>
      <c r="AX115" s="1235" t="s">
        <v>1611</v>
      </c>
      <c r="AY115" s="1235" t="s">
        <v>1612</v>
      </c>
      <c r="AZ115" s="1015"/>
      <c r="BA115" s="1015"/>
      <c r="BB115" s="1015"/>
      <c r="BC115" s="1015"/>
      <c r="BD115" s="1015"/>
      <c r="BE115" s="1015"/>
      <c r="BF115" s="1015"/>
      <c r="BG115" s="1015"/>
      <c r="BH115" s="1015"/>
      <c r="BI115" s="1015"/>
      <c r="BJ115" s="1015"/>
      <c r="BK115" s="1015"/>
      <c r="BL115" s="1015"/>
      <c r="BM115" s="1015"/>
      <c r="BN115" s="1015"/>
      <c r="BO115" s="1015"/>
      <c r="BP115" s="1015"/>
      <c r="BQ115" s="1015"/>
      <c r="BR115" s="1015"/>
      <c r="BS115" s="1015"/>
      <c r="BT115" s="1015"/>
      <c r="BU115" s="1015"/>
      <c r="BV115" s="1015"/>
      <c r="BW115" s="1015"/>
      <c r="BX115" s="1015"/>
      <c r="BY115" s="1015"/>
      <c r="BZ115" s="1015"/>
      <c r="CA115" s="1015"/>
      <c r="CB115" s="1015"/>
    </row>
    <row r="1048392" spans="117:117">
      <c r="DM1048392" s="1116" t="s">
        <v>229</v>
      </c>
    </row>
  </sheetData>
  <conditionalFormatting sqref="DN5:DN7 DM10:DN98 DM8:DN8">
    <cfRule type="cellIs" dxfId="35" priority="8" operator="equal">
      <formula>"EXPLAIN"</formula>
    </cfRule>
  </conditionalFormatting>
  <conditionalFormatting sqref="DM9:DN9">
    <cfRule type="cellIs" dxfId="34" priority="1" operator="equal">
      <formula>"EXPLAIN"</formula>
    </cfRule>
  </conditionalFormatting>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45" max="65" man="1"/>
    <brk id="81"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2BB54-8B64-4889-994F-053AB4D2E719}">
  <sheetPr>
    <tabColor rgb="FFFFC000"/>
  </sheetPr>
  <dimension ref="A2"/>
  <sheetViews>
    <sheetView workbookViewId="0">
      <selection activeCell="I38" sqref="I38"/>
    </sheetView>
  </sheetViews>
  <sheetFormatPr defaultRowHeight="13.2"/>
  <sheetData>
    <row r="2" spans="1:1">
      <c r="A2" t="s">
        <v>1888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19BCA-FA3B-4E26-BAA4-072AD4B3BD33}">
  <sheetPr>
    <tabColor rgb="FFFFC000"/>
  </sheetPr>
  <dimension ref="A2:E10"/>
  <sheetViews>
    <sheetView zoomScale="90" zoomScaleNormal="90" workbookViewId="0">
      <selection activeCell="D13" sqref="D13"/>
    </sheetView>
  </sheetViews>
  <sheetFormatPr defaultColWidth="9.109375" defaultRowHeight="13.8"/>
  <cols>
    <col min="1" max="1" width="36.6640625" style="668" customWidth="1"/>
    <col min="2" max="2" width="35.33203125" style="668" bestFit="1" customWidth="1"/>
    <col min="3" max="3" width="9.109375" style="668"/>
    <col min="4" max="4" width="18.5546875" style="668" customWidth="1"/>
    <col min="5" max="5" width="14.88671875" style="668" customWidth="1"/>
    <col min="6" max="16384" width="9.109375" style="668"/>
  </cols>
  <sheetData>
    <row r="2" spans="1:5">
      <c r="A2" s="666" t="s">
        <v>1899</v>
      </c>
      <c r="B2" s="667"/>
    </row>
    <row r="3" spans="1:5" ht="7.2" customHeight="1"/>
    <row r="4" spans="1:5" ht="20.100000000000001" customHeight="1">
      <c r="A4" s="669" t="s">
        <v>1392</v>
      </c>
      <c r="B4" s="670" t="s">
        <v>1692</v>
      </c>
    </row>
    <row r="5" spans="1:5" ht="20.100000000000001" customHeight="1">
      <c r="A5" s="671" t="s">
        <v>1445</v>
      </c>
      <c r="B5" s="778">
        <f>'2021_DUOSRevCap'!C18</f>
        <v>1154190141.4760413</v>
      </c>
    </row>
    <row r="6" spans="1:5" ht="20.100000000000001" customHeight="1">
      <c r="A6" s="671" t="s">
        <v>1446</v>
      </c>
      <c r="B6" s="778">
        <f>'2021_TUOSRevCap'!C16</f>
        <v>273109580.31126088</v>
      </c>
    </row>
    <row r="7" spans="1:5" ht="20.100000000000001" customHeight="1">
      <c r="A7" s="671" t="s">
        <v>1447</v>
      </c>
      <c r="B7" s="778">
        <f>'2021_JSRevCap'!C18</f>
        <v>82045228.90529412</v>
      </c>
    </row>
    <row r="8" spans="1:5" ht="20.100000000000001" customHeight="1">
      <c r="A8" s="673" t="s">
        <v>1448</v>
      </c>
      <c r="B8" s="779">
        <f>SUM(B5:B7)</f>
        <v>1509344950.6925964</v>
      </c>
      <c r="E8" s="1714"/>
    </row>
    <row r="9" spans="1:5">
      <c r="A9" s="674"/>
      <c r="B9" s="672"/>
    </row>
    <row r="10" spans="1:5">
      <c r="A10" s="674"/>
      <c r="B10" s="67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8F681-65A5-4EDB-91D9-56DB25D35736}">
  <sheetPr>
    <tabColor rgb="FFFFC000"/>
  </sheetPr>
  <dimension ref="A2:C15"/>
  <sheetViews>
    <sheetView zoomScale="90" zoomScaleNormal="90" workbookViewId="0">
      <selection activeCell="A2" sqref="A2"/>
    </sheetView>
  </sheetViews>
  <sheetFormatPr defaultColWidth="9.109375" defaultRowHeight="13.8"/>
  <cols>
    <col min="1" max="1" width="42.44140625" style="668" customWidth="1"/>
    <col min="2" max="2" width="48.5546875" style="668" customWidth="1"/>
    <col min="3" max="3" width="24.44140625" style="668" customWidth="1"/>
    <col min="4" max="16384" width="9.109375" style="668"/>
  </cols>
  <sheetData>
    <row r="2" spans="1:3">
      <c r="A2" s="666" t="s">
        <v>1882</v>
      </c>
    </row>
    <row r="4" spans="1:3">
      <c r="A4" s="676" t="s">
        <v>1449</v>
      </c>
      <c r="B4" s="670" t="s">
        <v>1450</v>
      </c>
      <c r="C4" s="676" t="s">
        <v>1451</v>
      </c>
    </row>
    <row r="5" spans="1:3" ht="26.1" customHeight="1">
      <c r="A5" s="671" t="s">
        <v>1452</v>
      </c>
      <c r="B5" s="677"/>
      <c r="C5" s="837">
        <f>'2021_DUOSRevCap'!C21</f>
        <v>1205053524.3024337</v>
      </c>
    </row>
    <row r="6" spans="1:3" ht="26.1" customHeight="1">
      <c r="A6" s="671" t="s">
        <v>26</v>
      </c>
      <c r="B6" s="1540"/>
      <c r="C6" s="1541">
        <f>'2021_DUOSRevCap'!C22</f>
        <v>8.6058519793459354E-3</v>
      </c>
    </row>
    <row r="7" spans="1:3" ht="26.1" customHeight="1">
      <c r="A7" s="671" t="s">
        <v>1453</v>
      </c>
      <c r="B7" s="1540"/>
      <c r="C7" s="1541">
        <f>'2021_DUOSRevCap'!C23</f>
        <v>2.0350825128281194E-2</v>
      </c>
    </row>
    <row r="8" spans="1:3" ht="26.1" customHeight="1">
      <c r="A8" s="671" t="s">
        <v>1454</v>
      </c>
      <c r="B8" s="1540"/>
      <c r="C8" s="1541">
        <f>'2021_DUOSRevCap'!C24</f>
        <v>-2.1953231152414987E-2</v>
      </c>
    </row>
    <row r="9" spans="1:3" ht="26.1" customHeight="1">
      <c r="A9" s="671" t="s">
        <v>1455</v>
      </c>
      <c r="B9" s="679"/>
      <c r="C9" s="837">
        <f>'2021_DUOSRevCap'!C25</f>
        <v>1164549680.2948508</v>
      </c>
    </row>
    <row r="10" spans="1:3" ht="26.1" customHeight="1">
      <c r="A10" s="671" t="s">
        <v>1456</v>
      </c>
      <c r="B10" s="679"/>
      <c r="C10" s="837">
        <f>'2021_DUOSRevCap'!C15</f>
        <v>-1046714.3600000001</v>
      </c>
    </row>
    <row r="11" spans="1:3" ht="26.1" customHeight="1">
      <c r="A11" s="671" t="s">
        <v>1457</v>
      </c>
      <c r="B11" s="679"/>
      <c r="C11" s="837">
        <f>'2021_DUOSRevCap'!C17</f>
        <v>-9312824.4588096142</v>
      </c>
    </row>
    <row r="12" spans="1:3" ht="26.1" customHeight="1">
      <c r="A12" s="671" t="s">
        <v>1458</v>
      </c>
      <c r="B12" s="679"/>
      <c r="C12" s="837">
        <f>'2021_DUOSRevCap'!C16</f>
        <v>0</v>
      </c>
    </row>
    <row r="13" spans="1:3" ht="26.1" customHeight="1">
      <c r="A13" s="673" t="s">
        <v>1459</v>
      </c>
      <c r="B13" s="680"/>
      <c r="C13" s="837">
        <f>'2021_DUOSRevCap'!C18</f>
        <v>1154190141.4760413</v>
      </c>
    </row>
    <row r="14" spans="1:3" ht="26.1" customHeight="1">
      <c r="A14" s="671" t="s">
        <v>1460</v>
      </c>
      <c r="B14" s="1537"/>
      <c r="C14" s="837">
        <f>'2021_DUOSRevCap'!C9</f>
        <v>1154190141.5936508</v>
      </c>
    </row>
    <row r="15" spans="1:3" ht="26.1" customHeight="1">
      <c r="A15" s="673" t="s">
        <v>1461</v>
      </c>
      <c r="B15" s="1538" t="s">
        <v>1462</v>
      </c>
      <c r="C15" s="1700" t="str">
        <f>IF(C13&gt;=C14,"YES","NO")</f>
        <v>NO</v>
      </c>
    </row>
  </sheetData>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00353" r:id="rId4">
          <objectPr defaultSize="0" autoPict="0" r:id="rId5">
            <anchor moveWithCells="1" sizeWithCells="1">
              <from>
                <xdr:col>1</xdr:col>
                <xdr:colOff>152400</xdr:colOff>
                <xdr:row>5</xdr:row>
                <xdr:rowOff>68580</xdr:rowOff>
              </from>
              <to>
                <xdr:col>1</xdr:col>
                <xdr:colOff>731520</xdr:colOff>
                <xdr:row>5</xdr:row>
                <xdr:rowOff>297180</xdr:rowOff>
              </to>
            </anchor>
          </objectPr>
        </oleObject>
      </mc:Choice>
      <mc:Fallback>
        <oleObject progId="Equation.3" shapeId="100353" r:id="rId4"/>
      </mc:Fallback>
    </mc:AlternateContent>
    <mc:AlternateContent xmlns:mc="http://schemas.openxmlformats.org/markup-compatibility/2006">
      <mc:Choice Requires="x14">
        <oleObject progId="Equation.3" shapeId="100354" r:id="rId6">
          <objectPr defaultSize="0" autoPict="0" r:id="rId7">
            <anchor moveWithCells="1" sizeWithCells="1">
              <from>
                <xdr:col>1</xdr:col>
                <xdr:colOff>198120</xdr:colOff>
                <xdr:row>6</xdr:row>
                <xdr:rowOff>45720</xdr:rowOff>
              </from>
              <to>
                <xdr:col>1</xdr:col>
                <xdr:colOff>449580</xdr:colOff>
                <xdr:row>7</xdr:row>
                <xdr:rowOff>0</xdr:rowOff>
              </to>
            </anchor>
          </objectPr>
        </oleObject>
      </mc:Choice>
      <mc:Fallback>
        <oleObject progId="Equation.3" shapeId="100354" r:id="rId6"/>
      </mc:Fallback>
    </mc:AlternateContent>
    <mc:AlternateContent xmlns:mc="http://schemas.openxmlformats.org/markup-compatibility/2006">
      <mc:Choice Requires="x14">
        <oleObject progId="Equation.3" shapeId="100355" r:id="rId8">
          <objectPr defaultSize="0" autoPict="0" r:id="rId9">
            <anchor moveWithCells="1" sizeWithCells="1">
              <from>
                <xdr:col>1</xdr:col>
                <xdr:colOff>213360</xdr:colOff>
                <xdr:row>11</xdr:row>
                <xdr:rowOff>45720</xdr:rowOff>
              </from>
              <to>
                <xdr:col>1</xdr:col>
                <xdr:colOff>403860</xdr:colOff>
                <xdr:row>12</xdr:row>
                <xdr:rowOff>7620</xdr:rowOff>
              </to>
            </anchor>
          </objectPr>
        </oleObject>
      </mc:Choice>
      <mc:Fallback>
        <oleObject progId="Equation.3" shapeId="100355" r:id="rId8"/>
      </mc:Fallback>
    </mc:AlternateContent>
    <mc:AlternateContent xmlns:mc="http://schemas.openxmlformats.org/markup-compatibility/2006">
      <mc:Choice Requires="x14">
        <oleObject progId="Equation.3" shapeId="100356" r:id="rId10">
          <objectPr defaultSize="0" autoPict="0" r:id="rId11">
            <anchor moveWithCells="1" sizeWithCells="1">
              <from>
                <xdr:col>1</xdr:col>
                <xdr:colOff>228600</xdr:colOff>
                <xdr:row>9</xdr:row>
                <xdr:rowOff>45720</xdr:rowOff>
              </from>
              <to>
                <xdr:col>1</xdr:col>
                <xdr:colOff>381000</xdr:colOff>
                <xdr:row>10</xdr:row>
                <xdr:rowOff>0</xdr:rowOff>
              </to>
            </anchor>
          </objectPr>
        </oleObject>
      </mc:Choice>
      <mc:Fallback>
        <oleObject progId="Equation.3" shapeId="100356" r:id="rId10"/>
      </mc:Fallback>
    </mc:AlternateContent>
    <mc:AlternateContent xmlns:mc="http://schemas.openxmlformats.org/markup-compatibility/2006">
      <mc:Choice Requires="x14">
        <oleObject progId="Equation.3" shapeId="100357" r:id="rId12">
          <objectPr defaultSize="0" autoPict="0" r:id="rId13">
            <anchor moveWithCells="1" sizeWithCells="1">
              <from>
                <xdr:col>1</xdr:col>
                <xdr:colOff>190500</xdr:colOff>
                <xdr:row>10</xdr:row>
                <xdr:rowOff>45720</xdr:rowOff>
              </from>
              <to>
                <xdr:col>1</xdr:col>
                <xdr:colOff>541020</xdr:colOff>
                <xdr:row>10</xdr:row>
                <xdr:rowOff>304800</xdr:rowOff>
              </to>
            </anchor>
          </objectPr>
        </oleObject>
      </mc:Choice>
      <mc:Fallback>
        <oleObject progId="Equation.3" shapeId="100357" r:id="rId12"/>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5D90F-545A-41CE-954B-EA94C5A549FF}">
  <sheetPr>
    <tabColor rgb="FFFFC000"/>
  </sheetPr>
  <dimension ref="A2:D65"/>
  <sheetViews>
    <sheetView topLeftCell="A49" zoomScale="90" zoomScaleNormal="90" workbookViewId="0">
      <selection activeCell="E87" sqref="E87"/>
    </sheetView>
  </sheetViews>
  <sheetFormatPr defaultColWidth="9.109375" defaultRowHeight="13.8"/>
  <cols>
    <col min="1" max="1" width="65.33203125" style="668" customWidth="1"/>
    <col min="2" max="4" width="15.6640625" style="668" customWidth="1"/>
    <col min="5" max="16384" width="9.109375" style="668"/>
  </cols>
  <sheetData>
    <row r="2" spans="1:4">
      <c r="A2" s="666" t="s">
        <v>1875</v>
      </c>
    </row>
    <row r="3" spans="1:4" ht="8.4" customHeight="1"/>
    <row r="4" spans="1:4">
      <c r="A4" s="676"/>
      <c r="B4" s="681" t="s">
        <v>152</v>
      </c>
      <c r="C4" s="681" t="s">
        <v>294</v>
      </c>
      <c r="D4" s="681" t="s">
        <v>309</v>
      </c>
    </row>
    <row r="5" spans="1:4">
      <c r="A5" s="682" t="s">
        <v>1463</v>
      </c>
      <c r="B5" s="681" t="s">
        <v>57</v>
      </c>
      <c r="C5" s="681" t="s">
        <v>948</v>
      </c>
      <c r="D5" s="681" t="s">
        <v>7</v>
      </c>
    </row>
    <row r="6" spans="1:4">
      <c r="A6" s="676"/>
      <c r="B6" s="681" t="s">
        <v>6</v>
      </c>
      <c r="C6" s="681" t="s">
        <v>947</v>
      </c>
      <c r="D6" s="681" t="s">
        <v>8</v>
      </c>
    </row>
    <row r="7" spans="1:4">
      <c r="A7" s="669"/>
      <c r="B7" s="683" t="s">
        <v>757</v>
      </c>
      <c r="C7" s="683" t="s">
        <v>757</v>
      </c>
      <c r="D7" s="683" t="s">
        <v>757</v>
      </c>
    </row>
    <row r="8" spans="1:4">
      <c r="A8" s="684" t="s">
        <v>1464</v>
      </c>
      <c r="B8" s="685">
        <f>'2021_DUOSRevCap'!C37</f>
        <v>1317370915.1000001</v>
      </c>
      <c r="C8" s="685">
        <f>'2021_DUOSRevCap'!D37</f>
        <v>1157803000.0999999</v>
      </c>
      <c r="D8" s="685">
        <f>'2021_DUOSRevCap'!E37</f>
        <v>1154190141.4760413</v>
      </c>
    </row>
    <row r="9" spans="1:4">
      <c r="A9" s="686" t="s">
        <v>9</v>
      </c>
      <c r="B9" s="687">
        <f>SUM(B10:B13)</f>
        <v>1293364812.8654008</v>
      </c>
      <c r="C9" s="687">
        <f t="shared" ref="C9:D9" si="0">SUM(C10:C13)</f>
        <v>1205053524.3024337</v>
      </c>
      <c r="D9" s="687">
        <f t="shared" si="0"/>
        <v>1163502965.9348509</v>
      </c>
    </row>
    <row r="10" spans="1:4">
      <c r="A10" s="688" t="s">
        <v>972</v>
      </c>
      <c r="B10" s="689">
        <f>'2021_DUOSRevCap'!C41</f>
        <v>1325455729.0110989</v>
      </c>
      <c r="C10" s="689">
        <f>'2021_DUOSRevCap'!D41</f>
        <v>1205053524.3024337</v>
      </c>
      <c r="D10" s="689">
        <f>'2021_DUOSRevCap'!E41</f>
        <v>1164549680.2948508</v>
      </c>
    </row>
    <row r="11" spans="1:4">
      <c r="A11" s="688" t="s">
        <v>1895</v>
      </c>
      <c r="B11" s="689">
        <f>'2021_DUOSRevCap'!C42</f>
        <v>0</v>
      </c>
      <c r="C11" s="689">
        <f>'2021_DUOSRevCap'!D42</f>
        <v>0</v>
      </c>
      <c r="D11" s="689">
        <f>'2021_DUOSRevCap'!E42</f>
        <v>-1046714.3600000001</v>
      </c>
    </row>
    <row r="12" spans="1:4">
      <c r="A12" s="688" t="s">
        <v>1896</v>
      </c>
      <c r="B12" s="689">
        <f>'2021_DUOSRevCap'!C43</f>
        <v>-32090916.1456981</v>
      </c>
      <c r="C12" s="689">
        <f>'2021_DUOSRevCap'!D43</f>
        <v>0</v>
      </c>
      <c r="D12" s="689">
        <f>'2021_DUOSRevCap'!E43</f>
        <v>0</v>
      </c>
    </row>
    <row r="13" spans="1:4">
      <c r="A13" s="688" t="s">
        <v>973</v>
      </c>
      <c r="B13" s="689">
        <f>'2021_DUOSRevCap'!C44</f>
        <v>0</v>
      </c>
      <c r="C13" s="689">
        <f>'2021_DUOSRevCap'!D44</f>
        <v>0</v>
      </c>
      <c r="D13" s="689">
        <f>'2021_DUOSRevCap'!E44</f>
        <v>0</v>
      </c>
    </row>
    <row r="14" spans="1:4">
      <c r="A14" s="690"/>
      <c r="B14" s="691"/>
      <c r="C14" s="691"/>
      <c r="D14" s="692"/>
    </row>
    <row r="15" spans="1:4">
      <c r="A15" s="686" t="s">
        <v>967</v>
      </c>
      <c r="B15" s="689">
        <v>0</v>
      </c>
      <c r="C15" s="689">
        <v>0</v>
      </c>
      <c r="D15" s="689">
        <v>0</v>
      </c>
    </row>
    <row r="16" spans="1:4">
      <c r="A16" s="684" t="s">
        <v>958</v>
      </c>
      <c r="B16" s="685">
        <f>B8-B9</f>
        <v>24006102.234599352</v>
      </c>
      <c r="C16" s="685">
        <f t="shared" ref="C16:D16" si="1">C8-C9</f>
        <v>-47250524.202433825</v>
      </c>
      <c r="D16" s="685">
        <f t="shared" si="1"/>
        <v>-9312824.4588096142</v>
      </c>
    </row>
    <row r="17" spans="1:4">
      <c r="A17" s="693" t="s">
        <v>1465</v>
      </c>
      <c r="B17" s="694"/>
      <c r="C17" s="694"/>
      <c r="D17" s="694"/>
    </row>
    <row r="18" spans="1:4">
      <c r="A18" s="695" t="s">
        <v>959</v>
      </c>
      <c r="B18" s="696">
        <f>'2021_DUOSRevCap'!C55</f>
        <v>5.9824761261038563E-2</v>
      </c>
      <c r="C18" s="696">
        <f>'2021_DUOSRevCap'!D55</f>
        <v>4.2845042391632671E-2</v>
      </c>
      <c r="D18" s="696">
        <f>'2021_DUOSRevCap'!E55</f>
        <v>3.1228392305169494E-2</v>
      </c>
    </row>
    <row r="19" spans="1:4">
      <c r="A19" s="695" t="s">
        <v>1466</v>
      </c>
      <c r="B19" s="689">
        <f>'2021_DUOSRevCap'!C58</f>
        <v>28636723.350344006</v>
      </c>
      <c r="C19" s="689">
        <f>'2021_DUOSRevCap'!D58</f>
        <v>55063660.374810822</v>
      </c>
      <c r="D19" s="689">
        <f>'2021_DUOSRevCap'!E58</f>
        <v>9170731.6601986419</v>
      </c>
    </row>
    <row r="20" spans="1:4">
      <c r="A20" s="695" t="s">
        <v>949</v>
      </c>
      <c r="B20" s="689">
        <f>'2021_DUOSRevCap'!C59</f>
        <v>1713185.1377327386</v>
      </c>
      <c r="C20" s="689">
        <f>'2021_DUOSRevCap'!D59</f>
        <v>2359204.8629972339</v>
      </c>
      <c r="D20" s="689">
        <f>'2021_DUOSRevCap'!E59</f>
        <v>286387.20601012185</v>
      </c>
    </row>
    <row r="21" spans="1:4">
      <c r="A21" s="695" t="s">
        <v>12</v>
      </c>
      <c r="B21" s="689">
        <f>'2021_DUOSRevCap'!C60</f>
        <v>24006102.234599352</v>
      </c>
      <c r="C21" s="689">
        <f>'2021_DUOSRevCap'!D60</f>
        <v>-47250524.202433825</v>
      </c>
      <c r="D21" s="689">
        <f>'2021_DUOSRevCap'!E60</f>
        <v>-9312824.4588096142</v>
      </c>
    </row>
    <row r="22" spans="1:4">
      <c r="A22" s="695" t="s">
        <v>95</v>
      </c>
      <c r="B22" s="697">
        <f>'2021_DUOSRevCap'!C61</f>
        <v>707649.65213472047</v>
      </c>
      <c r="C22" s="697">
        <f>'2021_DUOSRevCap'!D61</f>
        <v>-1001609.37517559</v>
      </c>
      <c r="D22" s="697">
        <f>'2021_DUOSRevCap'!E61</f>
        <v>-144294.40739914816</v>
      </c>
    </row>
    <row r="23" spans="1:4">
      <c r="A23" s="698" t="s">
        <v>13</v>
      </c>
      <c r="B23" s="699">
        <f>SUM(B19:B22)</f>
        <v>55063660.374810822</v>
      </c>
      <c r="C23" s="699">
        <f t="shared" ref="C23:D23" si="2">SUM(C19:C22)</f>
        <v>9170731.6601986419</v>
      </c>
      <c r="D23" s="699">
        <f t="shared" si="2"/>
        <v>1.4551915228366852E-9</v>
      </c>
    </row>
    <row r="26" spans="1:4">
      <c r="A26" s="666" t="s">
        <v>1876</v>
      </c>
    </row>
    <row r="27" spans="1:4" ht="7.95" customHeight="1"/>
    <row r="28" spans="1:4">
      <c r="A28" s="670" t="s">
        <v>1897</v>
      </c>
      <c r="B28" s="700" t="s">
        <v>152</v>
      </c>
      <c r="C28" s="700" t="s">
        <v>294</v>
      </c>
      <c r="D28" s="700" t="s">
        <v>309</v>
      </c>
    </row>
    <row r="29" spans="1:4">
      <c r="A29" s="701" t="s">
        <v>1463</v>
      </c>
      <c r="B29" s="700" t="s">
        <v>57</v>
      </c>
      <c r="C29" s="700" t="s">
        <v>948</v>
      </c>
      <c r="D29" s="700" t="s">
        <v>7</v>
      </c>
    </row>
    <row r="30" spans="1:4">
      <c r="A30" s="670"/>
      <c r="B30" s="700" t="s">
        <v>6</v>
      </c>
      <c r="C30" s="700" t="s">
        <v>947</v>
      </c>
      <c r="D30" s="700" t="s">
        <v>8</v>
      </c>
    </row>
    <row r="31" spans="1:4">
      <c r="A31" s="702"/>
      <c r="B31" s="703" t="s">
        <v>757</v>
      </c>
      <c r="C31" s="703" t="s">
        <v>757</v>
      </c>
      <c r="D31" s="703" t="s">
        <v>757</v>
      </c>
    </row>
    <row r="32" spans="1:4">
      <c r="A32" s="704" t="s">
        <v>15</v>
      </c>
      <c r="B32" s="705">
        <f>'2021_TUOSRevCap'!C30</f>
        <v>249447329.50999999</v>
      </c>
      <c r="C32" s="705">
        <f>'2021_TUOSRevCap'!D30</f>
        <v>260124999.79509199</v>
      </c>
      <c r="D32" s="705">
        <f>'2021_TUOSRevCap'!E30</f>
        <v>273109580.31126088</v>
      </c>
    </row>
    <row r="33" spans="1:4">
      <c r="A33" s="706" t="s">
        <v>16</v>
      </c>
      <c r="B33" s="707">
        <f>SUM(B34:B36)</f>
        <v>256910556.18262067</v>
      </c>
      <c r="C33" s="707">
        <f>SUM(C34:C36)</f>
        <v>258549090.85540313</v>
      </c>
      <c r="D33" s="707">
        <f>SUM(D34:D36)</f>
        <v>268210091.47434035</v>
      </c>
    </row>
    <row r="34" spans="1:4">
      <c r="A34" s="708" t="s">
        <v>976</v>
      </c>
      <c r="B34" s="709">
        <f>'2021_TUOSRevCap'!C34</f>
        <v>250802589.61262068</v>
      </c>
      <c r="C34" s="709">
        <f>'2021_TUOSRevCap'!D34</f>
        <v>253129669.28280124</v>
      </c>
      <c r="D34" s="709">
        <f>'2021_TUOSRevCap'!E34</f>
        <v>262450965.55665201</v>
      </c>
    </row>
    <row r="35" spans="1:4">
      <c r="A35" s="708" t="s">
        <v>977</v>
      </c>
      <c r="B35" s="709">
        <f>'2021_TUOSRevCap'!C35</f>
        <v>2532451</v>
      </c>
      <c r="C35" s="709">
        <f>'2021_TUOSRevCap'!D35</f>
        <v>2239469.13260188</v>
      </c>
      <c r="D35" s="709">
        <f>'2021_TUOSRevCap'!E35</f>
        <v>2634104</v>
      </c>
    </row>
    <row r="36" spans="1:4">
      <c r="A36" s="708" t="s">
        <v>978</v>
      </c>
      <c r="B36" s="709">
        <f>'2021_TUOSRevCap'!C36</f>
        <v>3575515.57</v>
      </c>
      <c r="C36" s="709">
        <f>'2021_TUOSRevCap'!D36</f>
        <v>3179952.44</v>
      </c>
      <c r="D36" s="709">
        <f>'2021_TUOSRevCap'!E36</f>
        <v>3125021.9176883427</v>
      </c>
    </row>
    <row r="37" spans="1:4">
      <c r="A37" s="710" t="s">
        <v>10</v>
      </c>
      <c r="B37" s="705">
        <f>B32-B33</f>
        <v>-7463226.6726206839</v>
      </c>
      <c r="C37" s="705">
        <f>C32-C33</f>
        <v>1575908.9396888614</v>
      </c>
      <c r="D37" s="705">
        <f>D32-D33</f>
        <v>4899488.8369205296</v>
      </c>
    </row>
    <row r="38" spans="1:4">
      <c r="A38" s="711" t="s">
        <v>17</v>
      </c>
      <c r="B38" s="712"/>
      <c r="C38" s="712"/>
      <c r="D38" s="712"/>
    </row>
    <row r="39" spans="1:4">
      <c r="A39" s="713" t="s">
        <v>959</v>
      </c>
      <c r="B39" s="714">
        <f>'2021_TUOSRevCap'!C45</f>
        <v>5.9824761261038563E-2</v>
      </c>
      <c r="C39" s="714">
        <f>'2021_TUOSRevCap'!D45</f>
        <v>4.2845042391632671E-2</v>
      </c>
      <c r="D39" s="714">
        <f>'2021_TUOSRevCap'!E45</f>
        <v>3.1228392305169494E-2</v>
      </c>
    </row>
    <row r="40" spans="1:4">
      <c r="A40" s="713" t="s">
        <v>1466</v>
      </c>
      <c r="B40" s="709">
        <f>'2021_TUOSRevCap'!C48</f>
        <v>1428085.0402941508</v>
      </c>
      <c r="C40" s="709">
        <f>'2021_TUOSRevCap'!D48</f>
        <v>-6169707.0884481193</v>
      </c>
      <c r="D40" s="709">
        <f>'2021_TUOSRevCap'!E48</f>
        <v>-4824733.6341697071</v>
      </c>
    </row>
    <row r="41" spans="1:4">
      <c r="A41" s="713" t="s">
        <v>949</v>
      </c>
      <c r="B41" s="709">
        <f>'2021_TUOSRevCap'!C49</f>
        <v>85434.846596058211</v>
      </c>
      <c r="C41" s="709">
        <f>'2021_TUOSRevCap'!D49</f>
        <v>-264341.36174851627</v>
      </c>
      <c r="D41" s="709">
        <f>'2021_TUOSRevCap'!E49</f>
        <v>-150668.67469579773</v>
      </c>
    </row>
    <row r="42" spans="1:4">
      <c r="A42" s="713" t="s">
        <v>12</v>
      </c>
      <c r="B42" s="709">
        <f>'2021_TUOSRevCap'!C50</f>
        <v>-7463226.6726206839</v>
      </c>
      <c r="C42" s="709">
        <f>'2021_TUOSRevCap'!D50</f>
        <v>1575908.9396888614</v>
      </c>
      <c r="D42" s="709">
        <f>'2021_TUOSRevCap'!E50</f>
        <v>4899488.8369205296</v>
      </c>
    </row>
    <row r="43" spans="1:4">
      <c r="A43" s="713" t="s">
        <v>95</v>
      </c>
      <c r="B43" s="715">
        <f>'2021_TUOSRevCap'!C51</f>
        <v>-220000.30271764513</v>
      </c>
      <c r="C43" s="715">
        <f>'2021_TUOSRevCap'!D51</f>
        <v>33405.876338067865</v>
      </c>
      <c r="D43" s="715">
        <f>'2021_TUOSRevCap'!E51</f>
        <v>75913.471944960911</v>
      </c>
    </row>
    <row r="44" spans="1:4">
      <c r="A44" s="698" t="s">
        <v>13</v>
      </c>
      <c r="B44" s="699">
        <f>SUM(B40:B43)</f>
        <v>-6169707.0884481193</v>
      </c>
      <c r="C44" s="699">
        <f t="shared" ref="C44:D44" si="3">SUM(C40:C43)</f>
        <v>-4824733.6341697071</v>
      </c>
      <c r="D44" s="699">
        <f t="shared" si="3"/>
        <v>-1.3824319466948509E-8</v>
      </c>
    </row>
    <row r="47" spans="1:4">
      <c r="A47" s="666" t="s">
        <v>1877</v>
      </c>
    </row>
    <row r="48" spans="1:4" ht="7.95" customHeight="1"/>
    <row r="49" spans="1:4">
      <c r="A49" s="670"/>
      <c r="B49" s="700" t="s">
        <v>152</v>
      </c>
      <c r="C49" s="700" t="s">
        <v>294</v>
      </c>
      <c r="D49" s="700" t="s">
        <v>309</v>
      </c>
    </row>
    <row r="50" spans="1:4">
      <c r="A50" s="700" t="s">
        <v>1467</v>
      </c>
      <c r="B50" s="700" t="s">
        <v>57</v>
      </c>
      <c r="C50" s="700" t="s">
        <v>948</v>
      </c>
      <c r="D50" s="700" t="s">
        <v>7</v>
      </c>
    </row>
    <row r="51" spans="1:4">
      <c r="A51" s="670"/>
      <c r="B51" s="700" t="s">
        <v>6</v>
      </c>
      <c r="C51" s="700" t="s">
        <v>947</v>
      </c>
      <c r="D51" s="700" t="s">
        <v>8</v>
      </c>
    </row>
    <row r="52" spans="1:4">
      <c r="A52" s="702"/>
      <c r="B52" s="703" t="s">
        <v>757</v>
      </c>
      <c r="C52" s="703" t="s">
        <v>757</v>
      </c>
      <c r="D52" s="703" t="s">
        <v>757</v>
      </c>
    </row>
    <row r="53" spans="1:4">
      <c r="A53" s="704" t="s">
        <v>18</v>
      </c>
      <c r="B53" s="705">
        <f>'2021_JSRevCap'!C31</f>
        <v>91421930.890000001</v>
      </c>
      <c r="C53" s="705">
        <f>'2021_JSRevCap'!D31</f>
        <v>92626000</v>
      </c>
      <c r="D53" s="705">
        <f>'2021_JSRevCap'!E31</f>
        <v>82045225.005874738</v>
      </c>
    </row>
    <row r="54" spans="1:4">
      <c r="A54" s="706" t="s">
        <v>19</v>
      </c>
      <c r="B54" s="707">
        <f>SUM(B55:B57)</f>
        <v>91421930.890000001</v>
      </c>
      <c r="C54" s="707">
        <f>SUM(C55:C57)</f>
        <v>90501361</v>
      </c>
      <c r="D54" s="707">
        <f>SUM(D55:D57)</f>
        <v>84248523</v>
      </c>
    </row>
    <row r="55" spans="1:4">
      <c r="A55" s="708" t="s">
        <v>1748</v>
      </c>
      <c r="B55" s="709">
        <f>'2021_JSRevCap'!C36</f>
        <v>91316836.030000001</v>
      </c>
      <c r="C55" s="709">
        <f>'2021_JSRevCap'!D36</f>
        <v>90384082</v>
      </c>
      <c r="D55" s="709">
        <f>'2021_JSRevCap'!E36</f>
        <v>84131244</v>
      </c>
    </row>
    <row r="56" spans="1:4">
      <c r="A56" s="708" t="s">
        <v>1749</v>
      </c>
      <c r="B56" s="709">
        <f>'2021_JSRevCap'!C37</f>
        <v>114850.57</v>
      </c>
      <c r="C56" s="709">
        <f>'2021_JSRevCap'!D37</f>
        <v>117279</v>
      </c>
      <c r="D56" s="709">
        <f>'2021_JSRevCap'!E37</f>
        <v>117279</v>
      </c>
    </row>
    <row r="57" spans="1:4">
      <c r="A57" s="708" t="s">
        <v>123</v>
      </c>
      <c r="B57" s="709">
        <f>'2021_JSRevCap'!C39</f>
        <v>-9755.7099999934435</v>
      </c>
      <c r="C57" s="709">
        <f>'2021_JSRevCap'!D39</f>
        <v>0</v>
      </c>
      <c r="D57" s="709">
        <f>'2021_JSRevCap'!E39</f>
        <v>0</v>
      </c>
    </row>
    <row r="58" spans="1:4">
      <c r="A58" s="710" t="s">
        <v>10</v>
      </c>
      <c r="B58" s="705">
        <f>B53-B54</f>
        <v>0</v>
      </c>
      <c r="C58" s="705">
        <f t="shared" ref="C58:D58" si="4">C53-C54</f>
        <v>2124639</v>
      </c>
      <c r="D58" s="705">
        <f t="shared" si="4"/>
        <v>-2203297.9941252619</v>
      </c>
    </row>
    <row r="59" spans="1:4">
      <c r="A59" s="711" t="s">
        <v>20</v>
      </c>
      <c r="B59" s="712"/>
      <c r="C59" s="712"/>
      <c r="D59" s="712"/>
    </row>
    <row r="60" spans="1:4">
      <c r="A60" s="713" t="s">
        <v>959</v>
      </c>
      <c r="B60" s="714">
        <f>'2021_JSRevCap'!C48</f>
        <v>5.9824761261038563E-2</v>
      </c>
      <c r="C60" s="714">
        <f>'2021_JSRevCap'!D48</f>
        <v>4.2845042391632671E-2</v>
      </c>
      <c r="D60" s="714">
        <f>'2021_JSRevCap'!E48</f>
        <v>3.1228392305169494E-2</v>
      </c>
    </row>
    <row r="61" spans="1:4">
      <c r="A61" s="713" t="s">
        <v>1466</v>
      </c>
      <c r="B61" s="709">
        <f>'2021_JSRevCap'!C51</f>
        <v>0</v>
      </c>
      <c r="C61" s="709">
        <f>'2021_JSRevCap'!D51</f>
        <v>0</v>
      </c>
      <c r="D61" s="709">
        <f>'2021_JSRevCap'!E51</f>
        <v>2169676.7721133106</v>
      </c>
    </row>
    <row r="62" spans="1:4">
      <c r="A62" s="713" t="s">
        <v>949</v>
      </c>
      <c r="B62" s="709">
        <f>'2021_JSRevCap'!C52</f>
        <v>0</v>
      </c>
      <c r="C62" s="709">
        <f>'2021_JSRevCap'!D52</f>
        <v>0</v>
      </c>
      <c r="D62" s="709">
        <f>'2021_JSRevCap'!E52</f>
        <v>67755.517414968461</v>
      </c>
    </row>
    <row r="63" spans="1:4">
      <c r="A63" s="713" t="s">
        <v>12</v>
      </c>
      <c r="B63" s="709">
        <f>'2021_JSRevCap'!C53</f>
        <v>0</v>
      </c>
      <c r="C63" s="709">
        <f>'2021_JSRevCap'!D53</f>
        <v>2124639</v>
      </c>
      <c r="D63" s="709">
        <f>'2021_JSRevCap'!E53</f>
        <v>-2203297.9941252619</v>
      </c>
    </row>
    <row r="64" spans="1:4">
      <c r="A64" s="713" t="s">
        <v>95</v>
      </c>
      <c r="B64" s="715">
        <f>'2021_JSRevCap'!C54</f>
        <v>0</v>
      </c>
      <c r="C64" s="715">
        <f>'2021_JSRevCap'!D54</f>
        <v>45037.772113310784</v>
      </c>
      <c r="D64" s="715">
        <f>'2021_JSRevCap'!E54</f>
        <v>-34138.255240631283</v>
      </c>
    </row>
    <row r="65" spans="1:4">
      <c r="A65" s="698" t="s">
        <v>13</v>
      </c>
      <c r="B65" s="699">
        <f>SUM(B61:B64)</f>
        <v>0</v>
      </c>
      <c r="C65" s="699">
        <f>SUM(C61:C64)</f>
        <v>2169676.7721133106</v>
      </c>
      <c r="D65" s="699">
        <f>SUM(D61:D64)</f>
        <v>-3.9598376140856999</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F59A8-DC36-4DC8-B50A-6E236DE3E2CB}">
  <sheetPr>
    <tabColor rgb="FFFFC000"/>
  </sheetPr>
  <dimension ref="A2:D9"/>
  <sheetViews>
    <sheetView workbookViewId="0">
      <selection activeCell="C20" sqref="C20"/>
    </sheetView>
  </sheetViews>
  <sheetFormatPr defaultColWidth="9.109375" defaultRowHeight="13.8"/>
  <cols>
    <col min="1" max="4" width="20.6640625" style="668" customWidth="1"/>
    <col min="5" max="16384" width="9.109375" style="668"/>
  </cols>
  <sheetData>
    <row r="2" spans="1:4">
      <c r="A2" s="666" t="s">
        <v>1874</v>
      </c>
    </row>
    <row r="4" spans="1:4" ht="24.9" customHeight="1">
      <c r="A4" s="670" t="s">
        <v>740</v>
      </c>
      <c r="B4" s="716" t="s">
        <v>1468</v>
      </c>
      <c r="C4" s="716" t="s">
        <v>1469</v>
      </c>
      <c r="D4" s="717" t="s">
        <v>1470</v>
      </c>
    </row>
    <row r="5" spans="1:4" ht="24.9" customHeight="1">
      <c r="A5" s="718" t="s">
        <v>743</v>
      </c>
      <c r="B5" s="719">
        <f>'2021_DUOSTarRebal'!D21</f>
        <v>53756320.906186804</v>
      </c>
      <c r="C5" s="719">
        <f>'2021_DUOSTarRebal'!E21</f>
        <v>50787090.714867875</v>
      </c>
      <c r="D5" s="1713">
        <f>C5/B5-1</f>
        <v>-5.5234996392344304E-2</v>
      </c>
    </row>
    <row r="6" spans="1:4" ht="24.9" customHeight="1">
      <c r="A6" s="720" t="s">
        <v>762</v>
      </c>
      <c r="B6" s="719">
        <f>'2021_DUOSTarRebal'!D22</f>
        <v>60093676.71494361</v>
      </c>
      <c r="C6" s="719">
        <f>'2021_DUOSTarRebal'!E22</f>
        <v>61039862.889439188</v>
      </c>
      <c r="D6" s="1713">
        <f>C6/B6-1</f>
        <v>1.5745186951762635E-2</v>
      </c>
    </row>
    <row r="7" spans="1:4" ht="24.9" customHeight="1">
      <c r="A7" s="720" t="s">
        <v>765</v>
      </c>
      <c r="B7" s="719">
        <f>'2021_DUOSTarRebal'!D23</f>
        <v>1020413294.8092142</v>
      </c>
      <c r="C7" s="719">
        <f>'2021_DUOSTarRebal'!E23</f>
        <v>1042363187.989344</v>
      </c>
      <c r="D7" s="1713">
        <f>C7/B7-1</f>
        <v>2.1510787140649468E-2</v>
      </c>
    </row>
    <row r="8" spans="1:4" ht="24.9" customHeight="1">
      <c r="A8" s="721" t="s">
        <v>37</v>
      </c>
      <c r="B8" s="722">
        <f>SUM(B5:B7)</f>
        <v>1134263292.4303446</v>
      </c>
      <c r="C8" s="722">
        <f>SUM(C5:C7)</f>
        <v>1154190141.5936511</v>
      </c>
      <c r="D8" s="1713">
        <f>C8/B8-1</f>
        <v>1.7568098426785861E-2</v>
      </c>
    </row>
    <row r="9" spans="1:4" ht="24.9" customHeight="1">
      <c r="A9" s="1893" t="s">
        <v>1471</v>
      </c>
      <c r="B9" s="1894"/>
      <c r="C9" s="1894"/>
      <c r="D9" s="1895"/>
    </row>
  </sheetData>
  <mergeCells count="1">
    <mergeCell ref="A9:D9"/>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12C27-6223-409B-958B-502F6EF92CD7}">
  <sheetPr>
    <tabColor rgb="FFFFC000"/>
  </sheetPr>
  <dimension ref="B2:I14"/>
  <sheetViews>
    <sheetView zoomScale="90" zoomScaleNormal="90" workbookViewId="0">
      <selection activeCell="H34" sqref="H34"/>
    </sheetView>
  </sheetViews>
  <sheetFormatPr defaultColWidth="9.109375" defaultRowHeight="13.8"/>
  <cols>
    <col min="1" max="1" width="9.109375" style="668"/>
    <col min="2" max="2" width="36.6640625" style="668" bestFit="1" customWidth="1"/>
    <col min="3" max="3" width="54.88671875" style="668" customWidth="1"/>
    <col min="4" max="4" width="15.44140625" style="668" customWidth="1"/>
    <col min="5" max="6" width="9.109375" style="668"/>
    <col min="7" max="7" width="13.109375" style="668" customWidth="1"/>
    <col min="8" max="8" width="29.6640625" style="668" customWidth="1"/>
    <col min="9" max="9" width="28.6640625" style="668" customWidth="1"/>
    <col min="10" max="16384" width="9.109375" style="668"/>
  </cols>
  <sheetData>
    <row r="2" spans="2:9">
      <c r="B2" s="666" t="s">
        <v>1873</v>
      </c>
      <c r="G2" s="666" t="s">
        <v>1472</v>
      </c>
    </row>
    <row r="4" spans="2:9" ht="27" customHeight="1">
      <c r="B4" s="676" t="s">
        <v>1449</v>
      </c>
      <c r="C4" s="670" t="s">
        <v>1450</v>
      </c>
      <c r="D4" s="676" t="s">
        <v>920</v>
      </c>
      <c r="G4" s="670" t="s">
        <v>740</v>
      </c>
      <c r="H4" s="723" t="s">
        <v>1473</v>
      </c>
      <c r="I4" s="717" t="s">
        <v>1474</v>
      </c>
    </row>
    <row r="5" spans="2:9" ht="27" customHeight="1">
      <c r="B5" s="671" t="s">
        <v>26</v>
      </c>
      <c r="C5" s="678"/>
      <c r="D5" s="724">
        <f>'2021_DUOSTarRebal'!C8</f>
        <v>8.6058519793459354E-3</v>
      </c>
      <c r="G5" s="725" t="s">
        <v>743</v>
      </c>
      <c r="H5" s="726">
        <f>'TBL Wt average'!D5</f>
        <v>-5.5234996392344304E-2</v>
      </c>
      <c r="I5" s="727">
        <f>D11-1</f>
        <v>2.1758716011788026E-2</v>
      </c>
    </row>
    <row r="6" spans="2:9" ht="27" customHeight="1">
      <c r="B6" s="671" t="s">
        <v>1453</v>
      </c>
      <c r="C6" s="679"/>
      <c r="D6" s="724">
        <f>'2021_DUOSTarRebal'!C9</f>
        <v>0</v>
      </c>
      <c r="G6" s="728" t="s">
        <v>762</v>
      </c>
      <c r="H6" s="726">
        <f>'TBL Wt average'!D6</f>
        <v>1.5745186951762635E-2</v>
      </c>
      <c r="I6" s="727">
        <f>D11-1</f>
        <v>2.1758716011788026E-2</v>
      </c>
    </row>
    <row r="7" spans="2:9" ht="27" customHeight="1">
      <c r="B7" s="671" t="s">
        <v>1454</v>
      </c>
      <c r="C7" s="679"/>
      <c r="D7" s="724">
        <f>'2021_DUOSTarRebal'!C10</f>
        <v>-2.1953231152414987E-2</v>
      </c>
      <c r="G7" s="728" t="s">
        <v>765</v>
      </c>
      <c r="H7" s="726">
        <f>'TBL Wt average'!D7</f>
        <v>2.1510787140649468E-2</v>
      </c>
      <c r="I7" s="727">
        <f>D11-1</f>
        <v>2.1758716011788026E-2</v>
      </c>
    </row>
    <row r="8" spans="2:9" ht="27" customHeight="1">
      <c r="B8" s="671" t="s">
        <v>1456</v>
      </c>
      <c r="C8" s="679"/>
      <c r="D8" s="724">
        <f>'2021_DUOSTarRebal'!C11</f>
        <v>-9.22814276883847E-4</v>
      </c>
    </row>
    <row r="9" spans="2:9" ht="27" customHeight="1">
      <c r="B9" s="671" t="s">
        <v>1457</v>
      </c>
      <c r="C9" s="679"/>
      <c r="D9" s="729">
        <f>'2021_DUOSTarRebal'!C12</f>
        <v>1.6488561828123555E-2</v>
      </c>
    </row>
    <row r="10" spans="2:9" ht="27" customHeight="1">
      <c r="B10" s="671" t="s">
        <v>1458</v>
      </c>
      <c r="C10" s="679"/>
      <c r="D10" s="724">
        <f>'2021_DUOSTarRebal'!C13</f>
        <v>0</v>
      </c>
    </row>
    <row r="11" spans="2:9" ht="27" customHeight="1">
      <c r="B11" s="673" t="s">
        <v>1475</v>
      </c>
      <c r="C11" s="680"/>
      <c r="D11" s="730">
        <f>(1+D5)*(1-D6)*(1+0.02)*(1+D7)+D8+D9+D10</f>
        <v>1.021758716011788</v>
      </c>
    </row>
    <row r="12" spans="2:9" ht="27" customHeight="1">
      <c r="B12" s="731" t="s">
        <v>1476</v>
      </c>
    </row>
    <row r="14" spans="2:9">
      <c r="B14" s="732"/>
    </row>
  </sheetData>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01377" r:id="rId4">
          <objectPr defaultSize="0" autoPict="0" r:id="rId5">
            <anchor moveWithCells="1" sizeWithCells="1">
              <from>
                <xdr:col>2</xdr:col>
                <xdr:colOff>152400</xdr:colOff>
                <xdr:row>4</xdr:row>
                <xdr:rowOff>68580</xdr:rowOff>
              </from>
              <to>
                <xdr:col>2</xdr:col>
                <xdr:colOff>731520</xdr:colOff>
                <xdr:row>4</xdr:row>
                <xdr:rowOff>297180</xdr:rowOff>
              </to>
            </anchor>
          </objectPr>
        </oleObject>
      </mc:Choice>
      <mc:Fallback>
        <oleObject progId="Equation.3" shapeId="101377" r:id="rId4"/>
      </mc:Fallback>
    </mc:AlternateContent>
    <mc:AlternateContent xmlns:mc="http://schemas.openxmlformats.org/markup-compatibility/2006">
      <mc:Choice Requires="x14">
        <oleObject progId="Equation.3" shapeId="101378" r:id="rId6">
          <objectPr defaultSize="0" autoPict="0" r:id="rId7">
            <anchor moveWithCells="1" sizeWithCells="1">
              <from>
                <xdr:col>2</xdr:col>
                <xdr:colOff>198120</xdr:colOff>
                <xdr:row>5</xdr:row>
                <xdr:rowOff>45720</xdr:rowOff>
              </from>
              <to>
                <xdr:col>2</xdr:col>
                <xdr:colOff>449580</xdr:colOff>
                <xdr:row>6</xdr:row>
                <xdr:rowOff>0</xdr:rowOff>
              </to>
            </anchor>
          </objectPr>
        </oleObject>
      </mc:Choice>
      <mc:Fallback>
        <oleObject progId="Equation.3" shapeId="101378" r:id="rId6"/>
      </mc:Fallback>
    </mc:AlternateContent>
    <mc:AlternateContent xmlns:mc="http://schemas.openxmlformats.org/markup-compatibility/2006">
      <mc:Choice Requires="x14">
        <oleObject progId="Equation.3" shapeId="101379" r:id="rId8">
          <objectPr defaultSize="0" autoPict="0" r:id="rId9">
            <anchor moveWithCells="1" sizeWithCells="1">
              <from>
                <xdr:col>2</xdr:col>
                <xdr:colOff>220980</xdr:colOff>
                <xdr:row>9</xdr:row>
                <xdr:rowOff>45720</xdr:rowOff>
              </from>
              <to>
                <xdr:col>2</xdr:col>
                <xdr:colOff>426720</xdr:colOff>
                <xdr:row>10</xdr:row>
                <xdr:rowOff>7620</xdr:rowOff>
              </to>
            </anchor>
          </objectPr>
        </oleObject>
      </mc:Choice>
      <mc:Fallback>
        <oleObject progId="Equation.3" shapeId="101379" r:id="rId8"/>
      </mc:Fallback>
    </mc:AlternateContent>
    <mc:AlternateContent xmlns:mc="http://schemas.openxmlformats.org/markup-compatibility/2006">
      <mc:Choice Requires="x14">
        <oleObject progId="Equation.3" shapeId="101380" r:id="rId10">
          <objectPr defaultSize="0" autoPict="0" r:id="rId11">
            <anchor moveWithCells="1" sizeWithCells="1">
              <from>
                <xdr:col>2</xdr:col>
                <xdr:colOff>228600</xdr:colOff>
                <xdr:row>7</xdr:row>
                <xdr:rowOff>45720</xdr:rowOff>
              </from>
              <to>
                <xdr:col>2</xdr:col>
                <xdr:colOff>381000</xdr:colOff>
                <xdr:row>8</xdr:row>
                <xdr:rowOff>0</xdr:rowOff>
              </to>
            </anchor>
          </objectPr>
        </oleObject>
      </mc:Choice>
      <mc:Fallback>
        <oleObject progId="Equation.3" shapeId="101380" r:id="rId10"/>
      </mc:Fallback>
    </mc:AlternateContent>
    <mc:AlternateContent xmlns:mc="http://schemas.openxmlformats.org/markup-compatibility/2006">
      <mc:Choice Requires="x14">
        <oleObject progId="Equation.3" shapeId="101381" r:id="rId12">
          <objectPr defaultSize="0" autoPict="0" r:id="rId13">
            <anchor moveWithCells="1" sizeWithCells="1">
              <from>
                <xdr:col>2</xdr:col>
                <xdr:colOff>190500</xdr:colOff>
                <xdr:row>8</xdr:row>
                <xdr:rowOff>45720</xdr:rowOff>
              </from>
              <to>
                <xdr:col>2</xdr:col>
                <xdr:colOff>541020</xdr:colOff>
                <xdr:row>8</xdr:row>
                <xdr:rowOff>304800</xdr:rowOff>
              </to>
            </anchor>
          </objectPr>
        </oleObject>
      </mc:Choice>
      <mc:Fallback>
        <oleObject progId="Equation.3" shapeId="101381" r:id="rId12"/>
      </mc:Fallback>
    </mc:AlternateContent>
  </oleObjec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75713-6BE1-425A-BCA5-5F376845AAFA}">
  <sheetPr>
    <tabColor rgb="FFFFC000"/>
  </sheetPr>
  <dimension ref="A2:S56"/>
  <sheetViews>
    <sheetView zoomScaleNormal="100" workbookViewId="0">
      <selection activeCell="F22" sqref="F22"/>
    </sheetView>
  </sheetViews>
  <sheetFormatPr defaultColWidth="9.109375" defaultRowHeight="13.8"/>
  <cols>
    <col min="1" max="1" width="12" style="668" customWidth="1"/>
    <col min="2" max="6" width="15.6640625" style="668" customWidth="1"/>
    <col min="7" max="7" width="11.88671875" style="668" customWidth="1"/>
    <col min="8" max="16384" width="9.109375" style="668"/>
  </cols>
  <sheetData>
    <row r="2" spans="1:19">
      <c r="A2" s="666" t="s">
        <v>1878</v>
      </c>
      <c r="G2" s="732"/>
    </row>
    <row r="3" spans="1:19" ht="48">
      <c r="A3" s="732"/>
      <c r="B3" s="732"/>
      <c r="C3" s="732"/>
      <c r="D3" s="732"/>
      <c r="E3" s="732"/>
      <c r="F3" s="732"/>
      <c r="G3" s="732"/>
      <c r="J3" s="1546"/>
      <c r="K3" s="1546" t="s">
        <v>1750</v>
      </c>
      <c r="L3" s="1547" t="s">
        <v>1751</v>
      </c>
      <c r="M3" s="1547" t="s">
        <v>1752</v>
      </c>
      <c r="N3" s="1547" t="s">
        <v>1753</v>
      </c>
      <c r="O3" s="1547" t="s">
        <v>1754</v>
      </c>
      <c r="P3" s="1547" t="s">
        <v>1755</v>
      </c>
      <c r="Q3" s="1547" t="s">
        <v>1756</v>
      </c>
      <c r="R3" s="1547" t="s">
        <v>1757</v>
      </c>
      <c r="S3" s="1547" t="s">
        <v>1758</v>
      </c>
    </row>
    <row r="4" spans="1:19">
      <c r="A4" s="732"/>
      <c r="B4" s="1896" t="s">
        <v>1705</v>
      </c>
      <c r="C4" s="1896"/>
      <c r="D4" s="1897"/>
      <c r="E4" s="1500" t="s">
        <v>1479</v>
      </c>
      <c r="F4" s="670"/>
      <c r="G4" s="732"/>
      <c r="J4" s="1548" t="s">
        <v>1759</v>
      </c>
      <c r="K4" s="1548" t="s">
        <v>1711</v>
      </c>
      <c r="L4" s="1549">
        <v>13243.175958469006</v>
      </c>
      <c r="M4" s="1549">
        <v>13504</v>
      </c>
      <c r="N4" s="1549">
        <f>D9</f>
        <v>13567</v>
      </c>
      <c r="O4" s="1550">
        <f>C9</f>
        <v>13482</v>
      </c>
      <c r="P4" s="1551">
        <f>B9</f>
        <v>13253.956012636185</v>
      </c>
      <c r="Q4" s="1551">
        <v>13170</v>
      </c>
      <c r="R4" s="1551">
        <v>13141</v>
      </c>
      <c r="S4" s="1551">
        <v>13160</v>
      </c>
    </row>
    <row r="5" spans="1:19" ht="24">
      <c r="A5" s="701" t="s">
        <v>740</v>
      </c>
      <c r="B5" s="1485" t="s">
        <v>1477</v>
      </c>
      <c r="C5" s="1485" t="s">
        <v>1706</v>
      </c>
      <c r="D5" s="1486" t="s">
        <v>1478</v>
      </c>
      <c r="E5" s="1485" t="s">
        <v>1477</v>
      </c>
      <c r="F5" s="1485" t="s">
        <v>1706</v>
      </c>
      <c r="G5" s="732"/>
    </row>
    <row r="6" spans="1:19" ht="24.9" customHeight="1">
      <c r="A6" s="733" t="s">
        <v>765</v>
      </c>
      <c r="B6" s="734">
        <v>8061.3960126361844</v>
      </c>
      <c r="C6" s="735">
        <v>8063</v>
      </c>
      <c r="D6" s="1487">
        <v>8558</v>
      </c>
      <c r="E6" s="734">
        <v>765975.87999999989</v>
      </c>
      <c r="F6" s="735">
        <v>777786</v>
      </c>
      <c r="G6" s="732"/>
    </row>
    <row r="7" spans="1:19" ht="24.9" customHeight="1">
      <c r="A7" s="736" t="s">
        <v>762</v>
      </c>
      <c r="B7" s="734">
        <v>1251.5930000000001</v>
      </c>
      <c r="C7" s="735">
        <v>1381</v>
      </c>
      <c r="D7" s="1898">
        <v>5009</v>
      </c>
      <c r="E7" s="734">
        <v>179</v>
      </c>
      <c r="F7" s="735">
        <v>182</v>
      </c>
      <c r="G7" s="732"/>
    </row>
    <row r="8" spans="1:19" ht="24.9" customHeight="1">
      <c r="A8" s="736" t="s">
        <v>743</v>
      </c>
      <c r="B8" s="734">
        <v>3940.9670000000001</v>
      </c>
      <c r="C8" s="735">
        <v>4038</v>
      </c>
      <c r="D8" s="1899"/>
      <c r="E8" s="734">
        <v>115</v>
      </c>
      <c r="F8" s="735">
        <v>108</v>
      </c>
      <c r="G8" s="732"/>
    </row>
    <row r="9" spans="1:19" ht="24.9" customHeight="1">
      <c r="A9" s="737" t="s">
        <v>37</v>
      </c>
      <c r="B9" s="1488">
        <f>SUM(B6:B8)</f>
        <v>13253.956012636185</v>
      </c>
      <c r="C9" s="1489">
        <f>SUM(C6:C8)</f>
        <v>13482</v>
      </c>
      <c r="D9" s="1490">
        <f>SUM(D6:D8)</f>
        <v>13567</v>
      </c>
      <c r="E9" s="1488">
        <f>SUM(E6:E8)</f>
        <v>766269.87999999989</v>
      </c>
      <c r="F9" s="1491">
        <f t="shared" ref="F9" si="0">SUM(F6:F8)</f>
        <v>778076</v>
      </c>
      <c r="G9" s="732"/>
    </row>
    <row r="10" spans="1:19">
      <c r="A10" s="1900" t="s">
        <v>14</v>
      </c>
      <c r="B10" s="1900"/>
      <c r="C10" s="1900"/>
      <c r="D10" s="732"/>
      <c r="E10" s="732"/>
      <c r="F10" s="732"/>
      <c r="G10" s="732"/>
    </row>
    <row r="11" spans="1:19" ht="15" customHeight="1">
      <c r="A11" s="738" t="s">
        <v>1707</v>
      </c>
      <c r="B11" s="738"/>
      <c r="C11" s="738"/>
      <c r="D11" s="732"/>
      <c r="E11" s="732"/>
      <c r="F11" s="738"/>
      <c r="G11" s="732"/>
    </row>
    <row r="12" spans="1:19">
      <c r="A12" s="738" t="s">
        <v>1708</v>
      </c>
      <c r="B12" s="732"/>
      <c r="C12" s="732"/>
      <c r="D12" s="732"/>
      <c r="E12" s="732"/>
      <c r="F12" s="732"/>
      <c r="G12" s="732"/>
    </row>
    <row r="13" spans="1:19">
      <c r="A13" s="738" t="s">
        <v>1709</v>
      </c>
      <c r="B13" s="732"/>
      <c r="C13" s="732"/>
      <c r="D13" s="732"/>
      <c r="E13" s="732"/>
      <c r="F13" s="732"/>
      <c r="G13" s="732"/>
    </row>
    <row r="16" spans="1:19">
      <c r="A16" s="674"/>
      <c r="B16" s="763" t="s">
        <v>1715</v>
      </c>
      <c r="C16" s="674"/>
      <c r="D16" s="674"/>
      <c r="E16" s="674"/>
    </row>
    <row r="17" spans="1:5">
      <c r="A17" s="674"/>
      <c r="B17" s="674"/>
      <c r="C17" s="674"/>
      <c r="D17" s="674"/>
      <c r="E17" s="674"/>
    </row>
    <row r="18" spans="1:5">
      <c r="A18" s="674"/>
      <c r="B18" s="1497" t="s">
        <v>1714</v>
      </c>
      <c r="C18" s="1492"/>
      <c r="D18" s="1492"/>
      <c r="E18" s="674"/>
    </row>
    <row r="19" spans="1:5" ht="34.200000000000003">
      <c r="A19" s="674"/>
      <c r="B19" s="1498" t="s">
        <v>1710</v>
      </c>
      <c r="C19" s="1493" t="s">
        <v>1711</v>
      </c>
      <c r="D19" s="1494">
        <v>3964</v>
      </c>
      <c r="E19" s="674"/>
    </row>
    <row r="20" spans="1:5" ht="45.6">
      <c r="A20" s="674"/>
      <c r="B20" s="1498" t="s">
        <v>1712</v>
      </c>
      <c r="C20" s="1493" t="s">
        <v>1711</v>
      </c>
      <c r="D20" s="1494">
        <v>1382</v>
      </c>
      <c r="E20" s="674"/>
    </row>
    <row r="21" spans="1:5" ht="59.4">
      <c r="A21" s="674"/>
      <c r="B21" s="1498" t="s">
        <v>1716</v>
      </c>
      <c r="C21" s="1493" t="s">
        <v>1711</v>
      </c>
      <c r="D21" s="1494">
        <v>3069</v>
      </c>
      <c r="E21" s="674"/>
    </row>
    <row r="22" spans="1:5" ht="59.4">
      <c r="A22" s="674"/>
      <c r="B22" s="1498" t="s">
        <v>1717</v>
      </c>
      <c r="C22" s="1493" t="s">
        <v>1711</v>
      </c>
      <c r="D22" s="1494">
        <v>5009</v>
      </c>
      <c r="E22" s="674"/>
    </row>
    <row r="23" spans="1:5" ht="34.799999999999997" thickBot="1">
      <c r="A23" s="674"/>
      <c r="B23" s="1499" t="s">
        <v>1713</v>
      </c>
      <c r="C23" s="1495" t="s">
        <v>1711</v>
      </c>
      <c r="D23" s="1496">
        <v>143</v>
      </c>
      <c r="E23" s="674"/>
    </row>
    <row r="24" spans="1:5">
      <c r="A24" s="674"/>
      <c r="B24" s="674"/>
      <c r="C24" s="674"/>
      <c r="D24" s="674"/>
      <c r="E24" s="674"/>
    </row>
    <row r="25" spans="1:5">
      <c r="A25" s="674"/>
      <c r="B25" s="674"/>
      <c r="C25" s="674"/>
      <c r="D25" s="674"/>
      <c r="E25" s="674"/>
    </row>
    <row r="26" spans="1:5">
      <c r="A26" s="674"/>
      <c r="B26" s="674"/>
      <c r="C26" s="674"/>
      <c r="D26" s="674"/>
      <c r="E26" s="674"/>
    </row>
    <row r="27" spans="1:5">
      <c r="A27" s="674"/>
      <c r="B27" s="674"/>
      <c r="C27" s="674"/>
      <c r="D27" s="674"/>
      <c r="E27" s="674"/>
    </row>
    <row r="28" spans="1:5">
      <c r="A28" s="674"/>
      <c r="B28" s="674"/>
      <c r="C28" s="674"/>
      <c r="D28" s="674"/>
      <c r="E28" s="674"/>
    </row>
    <row r="29" spans="1:5">
      <c r="A29" s="674"/>
      <c r="B29" s="674"/>
      <c r="C29" s="674"/>
      <c r="D29" s="674"/>
      <c r="E29" s="674"/>
    </row>
    <row r="30" spans="1:5">
      <c r="A30" s="674"/>
      <c r="B30" s="674"/>
      <c r="C30" s="674"/>
      <c r="D30" s="674"/>
      <c r="E30" s="674"/>
    </row>
    <row r="31" spans="1:5">
      <c r="A31" s="674"/>
      <c r="B31" s="674"/>
      <c r="C31" s="674"/>
      <c r="D31" s="674"/>
      <c r="E31" s="674"/>
    </row>
    <row r="32" spans="1:5">
      <c r="A32" s="674"/>
      <c r="B32" s="674"/>
      <c r="C32" s="674"/>
      <c r="D32" s="674"/>
      <c r="E32" s="674"/>
    </row>
    <row r="33" spans="1:5">
      <c r="A33" s="674"/>
      <c r="B33" s="674"/>
      <c r="C33" s="674"/>
      <c r="D33" s="674"/>
      <c r="E33" s="674"/>
    </row>
    <row r="34" spans="1:5">
      <c r="A34" s="674"/>
      <c r="B34" s="674"/>
      <c r="C34" s="674"/>
      <c r="D34" s="674"/>
      <c r="E34" s="674"/>
    </row>
    <row r="35" spans="1:5">
      <c r="A35" s="674"/>
      <c r="B35" s="674"/>
      <c r="C35" s="674"/>
      <c r="D35" s="674"/>
      <c r="E35" s="674"/>
    </row>
    <row r="36" spans="1:5">
      <c r="A36" s="674"/>
      <c r="B36" s="674"/>
      <c r="C36" s="674"/>
      <c r="D36" s="674"/>
      <c r="E36" s="674"/>
    </row>
    <row r="37" spans="1:5">
      <c r="A37" s="674"/>
      <c r="B37" s="674"/>
      <c r="C37" s="674"/>
      <c r="D37" s="674"/>
      <c r="E37" s="674"/>
    </row>
    <row r="38" spans="1:5">
      <c r="A38" s="674"/>
      <c r="B38" s="674"/>
      <c r="C38" s="674"/>
      <c r="D38" s="674"/>
      <c r="E38" s="674"/>
    </row>
    <row r="39" spans="1:5">
      <c r="A39" s="674"/>
      <c r="B39" s="674"/>
      <c r="C39" s="674"/>
      <c r="D39" s="674"/>
      <c r="E39" s="674"/>
    </row>
    <row r="40" spans="1:5">
      <c r="A40" s="674"/>
      <c r="B40" s="674"/>
      <c r="C40" s="674"/>
      <c r="D40" s="674"/>
      <c r="E40" s="674"/>
    </row>
    <row r="41" spans="1:5">
      <c r="A41" s="674"/>
      <c r="B41" s="674"/>
      <c r="C41" s="674"/>
      <c r="D41" s="674"/>
      <c r="E41" s="674"/>
    </row>
    <row r="42" spans="1:5">
      <c r="A42" s="674"/>
      <c r="B42" s="674"/>
      <c r="C42" s="674"/>
      <c r="D42" s="674"/>
      <c r="E42" s="674"/>
    </row>
    <row r="43" spans="1:5">
      <c r="A43" s="674"/>
      <c r="B43" s="674"/>
      <c r="C43" s="674"/>
      <c r="D43" s="674"/>
      <c r="E43" s="674"/>
    </row>
    <row r="44" spans="1:5">
      <c r="A44" s="674"/>
      <c r="B44" s="674"/>
      <c r="C44" s="674"/>
      <c r="D44" s="674"/>
      <c r="E44" s="674"/>
    </row>
    <row r="45" spans="1:5">
      <c r="A45" s="674"/>
      <c r="B45" s="674"/>
      <c r="C45" s="674"/>
      <c r="D45" s="674"/>
      <c r="E45" s="674"/>
    </row>
    <row r="46" spans="1:5">
      <c r="A46" s="674"/>
      <c r="B46" s="674"/>
      <c r="C46" s="674"/>
      <c r="D46" s="674"/>
      <c r="E46" s="674"/>
    </row>
    <row r="47" spans="1:5">
      <c r="A47" s="674"/>
      <c r="B47" s="674"/>
      <c r="C47" s="674"/>
      <c r="D47" s="674"/>
      <c r="E47" s="674"/>
    </row>
    <row r="48" spans="1:5">
      <c r="A48" s="674"/>
      <c r="B48" s="674"/>
      <c r="C48" s="674"/>
      <c r="D48" s="674"/>
      <c r="E48" s="674"/>
    </row>
    <row r="49" spans="1:5">
      <c r="A49" s="674"/>
      <c r="B49" s="674"/>
      <c r="C49" s="674"/>
      <c r="D49" s="674"/>
      <c r="E49" s="674"/>
    </row>
    <row r="50" spans="1:5">
      <c r="A50" s="674"/>
      <c r="B50" s="674"/>
      <c r="C50" s="674"/>
      <c r="D50" s="674"/>
      <c r="E50" s="674"/>
    </row>
    <row r="51" spans="1:5">
      <c r="A51" s="674"/>
      <c r="B51" s="674"/>
      <c r="C51" s="674"/>
      <c r="D51" s="674"/>
      <c r="E51" s="674"/>
    </row>
    <row r="52" spans="1:5">
      <c r="A52" s="674"/>
      <c r="B52" s="674"/>
      <c r="C52" s="674"/>
      <c r="D52" s="674"/>
      <c r="E52" s="674"/>
    </row>
    <row r="53" spans="1:5">
      <c r="A53" s="674"/>
      <c r="B53" s="674"/>
      <c r="C53" s="674"/>
      <c r="D53" s="674"/>
      <c r="E53" s="674"/>
    </row>
    <row r="54" spans="1:5">
      <c r="A54" s="674"/>
      <c r="B54" s="674"/>
      <c r="C54" s="674"/>
      <c r="D54" s="674"/>
      <c r="E54" s="674"/>
    </row>
    <row r="55" spans="1:5">
      <c r="A55" s="674"/>
      <c r="B55" s="674"/>
      <c r="C55" s="674"/>
      <c r="D55" s="674"/>
      <c r="E55" s="674"/>
    </row>
    <row r="56" spans="1:5">
      <c r="A56" s="674"/>
      <c r="B56" s="674"/>
      <c r="C56" s="674"/>
      <c r="D56" s="674"/>
      <c r="E56" s="674"/>
    </row>
  </sheetData>
  <mergeCells count="3">
    <mergeCell ref="B4:D4"/>
    <mergeCell ref="D7:D8"/>
    <mergeCell ref="A10:C10"/>
  </mergeCells>
  <dataValidations count="5">
    <dataValidation type="custom" operator="greaterThanOrEqual" allowBlank="1" showInputMessage="1" showErrorMessage="1" errorTitle="Energy" error="Must be a number" promptTitle="Energy" prompt="Enter value in GWh" sqref="D23" xr:uid="{017FCE10-41BB-4C6F-86C0-D69D5CA723F8}">
      <formula1>ISNUMBER(D1048559)</formula1>
    </dataValidation>
    <dataValidation type="custom" operator="greaterThanOrEqual" allowBlank="1" showInputMessage="1" showErrorMessage="1" errorTitle="Energy" error="Must be a number" promptTitle="Energy" prompt="Enter value in GWh" sqref="D22" xr:uid="{A1E31982-2155-4304-922C-664AF1F5F65C}">
      <formula1>ISNUMBER(D1048559)</formula1>
    </dataValidation>
    <dataValidation type="custom" operator="greaterThanOrEqual" allowBlank="1" showInputMessage="1" showErrorMessage="1" errorTitle="Energy" error="Must be a number" promptTitle="Energy" prompt="Enter value in GWh" sqref="D21" xr:uid="{DEE605D8-5BA9-4EF4-802A-5E5418393808}">
      <formula1>ISNUMBER(D1048559)</formula1>
    </dataValidation>
    <dataValidation type="custom" operator="greaterThanOrEqual" allowBlank="1" showInputMessage="1" showErrorMessage="1" errorTitle="Energy" error="Must be a number" promptTitle="Energy" prompt="Enter value in GWh" sqref="D20" xr:uid="{B0499AB1-2FEB-445C-96EF-21A266F92BF4}">
      <formula1>ISNUMBER(D1048559)</formula1>
    </dataValidation>
    <dataValidation type="custom" operator="greaterThanOrEqual" allowBlank="1" showInputMessage="1" showErrorMessage="1" errorTitle="Energy" error="Must be a number" promptTitle="Energy" prompt="Enter value in GWh" sqref="D19" xr:uid="{4E6E0A3C-5D74-4E31-A61E-5A9672769163}">
      <formula1>ISNUMBER(D1048559)</formula1>
    </dataValidation>
  </dataValidation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97E8D-3B5B-45C7-BD14-BFD59145C457}">
  <sheetPr>
    <tabColor rgb="FFFFC000"/>
  </sheetPr>
  <dimension ref="A1:J17"/>
  <sheetViews>
    <sheetView zoomScale="90" zoomScaleNormal="90" workbookViewId="0">
      <selection activeCell="K9" sqref="K9"/>
    </sheetView>
  </sheetViews>
  <sheetFormatPr defaultColWidth="9.109375" defaultRowHeight="13.8"/>
  <cols>
    <col min="1" max="1" width="30.6640625" style="668" customWidth="1"/>
    <col min="2" max="2" width="4.6640625" style="668" customWidth="1"/>
    <col min="3" max="3" width="14.6640625" style="668" customWidth="1"/>
    <col min="4" max="4" width="13.109375" style="668" customWidth="1"/>
    <col min="5" max="5" width="46.6640625" style="668" customWidth="1"/>
    <col min="6" max="6" width="0" style="668" hidden="1" customWidth="1"/>
    <col min="7" max="9" width="9.109375" style="668" hidden="1" customWidth="1"/>
    <col min="10" max="11" width="9.109375" style="668" customWidth="1"/>
    <col min="12" max="16384" width="9.109375" style="668"/>
  </cols>
  <sheetData>
    <row r="1" spans="1:10" s="764" customFormat="1"/>
    <row r="2" spans="1:10">
      <c r="A2" s="1687" t="s">
        <v>1886</v>
      </c>
      <c r="B2" s="732"/>
      <c r="C2" s="732"/>
      <c r="D2" s="732"/>
      <c r="E2" s="732"/>
      <c r="F2" s="732"/>
      <c r="G2" s="732"/>
    </row>
    <row r="3" spans="1:10" ht="30" customHeight="1">
      <c r="A3" s="717" t="s">
        <v>1449</v>
      </c>
      <c r="B3" s="717" t="s">
        <v>1538</v>
      </c>
      <c r="C3" s="717" t="s">
        <v>1539</v>
      </c>
      <c r="D3" s="717" t="s">
        <v>1540</v>
      </c>
      <c r="E3" s="717" t="s">
        <v>1541</v>
      </c>
      <c r="F3" s="732"/>
      <c r="G3" s="732"/>
    </row>
    <row r="4" spans="1:10" ht="47.25" customHeight="1">
      <c r="A4" s="733" t="s">
        <v>1542</v>
      </c>
      <c r="B4" s="725" t="s">
        <v>1299</v>
      </c>
      <c r="C4" s="1470">
        <f>'Model update'!B30</f>
        <v>1.8404907975460238E-2</v>
      </c>
      <c r="D4" s="1471">
        <f>'Model update'!B31</f>
        <v>8.6058519793459354E-3</v>
      </c>
      <c r="E4" s="765" t="s">
        <v>1689</v>
      </c>
      <c r="F4" s="732"/>
      <c r="G4" s="732"/>
    </row>
    <row r="5" spans="1:10" ht="29.25" customHeight="1">
      <c r="A5" s="736" t="s">
        <v>1543</v>
      </c>
      <c r="B5" s="728" t="s">
        <v>1299</v>
      </c>
      <c r="C5" s="766" t="s">
        <v>110</v>
      </c>
      <c r="D5" s="1472">
        <f>'Model update'!J47</f>
        <v>2.0350825128281194E-2</v>
      </c>
      <c r="E5" s="767" t="s">
        <v>1544</v>
      </c>
      <c r="F5" s="732"/>
      <c r="G5" s="732"/>
    </row>
    <row r="6" spans="1:10" ht="36" customHeight="1">
      <c r="A6" s="736" t="s">
        <v>1545</v>
      </c>
      <c r="B6" s="728" t="s">
        <v>1546</v>
      </c>
      <c r="C6" s="768">
        <f>'Model update'!I62/1000000</f>
        <v>26.45481857004372</v>
      </c>
      <c r="D6" s="768">
        <f>'Model update'!J62/1000000</f>
        <v>0</v>
      </c>
      <c r="E6" s="769" t="str">
        <f>"The applicable S-factor for the year is "&amp;G6&amp;"%.  It has been adjusted to reflect the previous year’s S-factor."</f>
        <v>The applicable S-factor for the year is 0%.  It has been adjusted to reflect the previous year’s S-factor.</v>
      </c>
      <c r="F6" s="732"/>
      <c r="G6" s="770">
        <f>'Model update'!J60</f>
        <v>0</v>
      </c>
      <c r="H6" s="674" t="s">
        <v>1547</v>
      </c>
    </row>
    <row r="7" spans="1:10" ht="38.25" customHeight="1">
      <c r="A7" s="736" t="s">
        <v>1548</v>
      </c>
      <c r="B7" s="728" t="s">
        <v>1546</v>
      </c>
      <c r="C7" s="771">
        <f>'TAM 20-21 DUOS unders_overs'!C20/1000000</f>
        <v>-28.015194776801586</v>
      </c>
      <c r="D7" s="771">
        <f>'2021_DUOSRevCap'!C29/1000000</f>
        <v>-9.3128244588096134</v>
      </c>
      <c r="E7" s="767" t="s">
        <v>1690</v>
      </c>
      <c r="F7" s="732"/>
    </row>
    <row r="8" spans="1:10" ht="43.2" customHeight="1">
      <c r="A8" s="736" t="s">
        <v>1549</v>
      </c>
      <c r="B8" s="728" t="s">
        <v>1546</v>
      </c>
      <c r="C8" s="768">
        <f>'TAM 20-21 DUOS unders_overs'!C21/1000000</f>
        <v>1177.038329525632</v>
      </c>
      <c r="D8" s="768">
        <f>'2021_DUOSRevCap'!C18/1000000</f>
        <v>1154.1901414760414</v>
      </c>
      <c r="E8" s="767" t="str">
        <f>CONCATENATE(G8,"% decrease in the Total Allowable Revenuue between 2020-21 and 2021-22 in accordance with the AER's Final Determination.")</f>
        <v>1.9% decrease in the Total Allowable Revenuue between 2020-21 and 2021-22 in accordance with the AER's Final Determination.</v>
      </c>
      <c r="F8" s="732"/>
      <c r="G8" s="1706">
        <f>ABS(ROUND((D8/C8-1),3))*100</f>
        <v>1.9</v>
      </c>
      <c r="H8" s="674" t="s">
        <v>1547</v>
      </c>
    </row>
    <row r="9" spans="1:10" ht="31.95" customHeight="1">
      <c r="A9" s="736" t="s">
        <v>1550</v>
      </c>
      <c r="B9" s="728" t="s">
        <v>1546</v>
      </c>
      <c r="C9" s="768">
        <f>'TAM 2020-21 JS unders_overs'!C18/1000000</f>
        <v>90.501361000000003</v>
      </c>
      <c r="D9" s="768">
        <f>'2021_JSRevCap'!C18/1000000</f>
        <v>82.045228905294124</v>
      </c>
      <c r="E9" s="772" t="str">
        <f>CONCATENATE(G9,"% decrease between 2020-21 and 2021-22 in jurisdictional scheme amounts.")</f>
        <v>9% decrease between 2020-21 and 2021-22 in jurisdictional scheme amounts.</v>
      </c>
      <c r="F9" s="732"/>
      <c r="G9" s="1706">
        <f>ABS(ROUND((D9/C9-1),2))*100</f>
        <v>9</v>
      </c>
    </row>
    <row r="10" spans="1:10" ht="43.2" customHeight="1">
      <c r="A10" s="736" t="s">
        <v>1551</v>
      </c>
      <c r="B10" s="728" t="s">
        <v>1546</v>
      </c>
      <c r="C10" s="768">
        <f>'TAM 20-21 TUOS unders_overs'!C19/1000000</f>
        <v>259.37822952547793</v>
      </c>
      <c r="D10" s="768">
        <f>'2021_TUOSRevCap'!C16/1000000</f>
        <v>273.10958031126086</v>
      </c>
      <c r="E10" s="773" t="str">
        <f>CONCATENATE(G10,"% increase in Powerlink charges between 2020-21 and 2021-22 in accordance with the AER's Final Determination.")</f>
        <v>5.29% increase in Powerlink charges between 2020-21 and 2021-22 in accordance with the AER's Final Determination.</v>
      </c>
      <c r="F10" s="732"/>
      <c r="G10" s="1706">
        <f>ABS(ROUND((D10/C10-1)*100, 2))</f>
        <v>5.29</v>
      </c>
      <c r="H10" s="1473" t="s">
        <v>1547</v>
      </c>
      <c r="I10" s="1473"/>
      <c r="J10" s="1473"/>
    </row>
    <row r="11" spans="1:10">
      <c r="A11" s="774" t="s">
        <v>1552</v>
      </c>
      <c r="B11" s="732"/>
      <c r="C11" s="732"/>
      <c r="D11" s="732"/>
      <c r="E11" s="732"/>
      <c r="F11" s="732"/>
      <c r="G11" s="732"/>
    </row>
    <row r="12" spans="1:10" ht="28.5" customHeight="1">
      <c r="A12" s="1901" t="s">
        <v>1553</v>
      </c>
      <c r="B12" s="1901"/>
      <c r="C12" s="1901"/>
      <c r="D12" s="1901"/>
      <c r="E12" s="1901"/>
      <c r="F12" s="732"/>
      <c r="G12" s="732"/>
    </row>
    <row r="13" spans="1:10">
      <c r="A13" s="775"/>
      <c r="B13" s="775"/>
      <c r="C13" s="775"/>
      <c r="D13" s="775"/>
      <c r="E13" s="775"/>
      <c r="F13" s="732"/>
      <c r="G13" s="732"/>
    </row>
    <row r="14" spans="1:10">
      <c r="A14" s="732"/>
      <c r="B14" s="732"/>
      <c r="C14" s="732"/>
      <c r="D14" s="732"/>
      <c r="E14" s="732"/>
      <c r="F14" s="732"/>
      <c r="G14" s="732"/>
    </row>
    <row r="15" spans="1:10">
      <c r="A15" s="776"/>
      <c r="B15" s="776"/>
    </row>
    <row r="17" spans="1:2">
      <c r="A17" s="777"/>
      <c r="B17" s="777"/>
    </row>
  </sheetData>
  <mergeCells count="1">
    <mergeCell ref="A12:E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6899-5AF8-4BD0-A395-31E07673218A}">
  <sheetPr>
    <tabColor rgb="FFFFC000"/>
  </sheetPr>
  <dimension ref="A2:G11"/>
  <sheetViews>
    <sheetView workbookViewId="0">
      <selection activeCell="H18" sqref="H18"/>
    </sheetView>
  </sheetViews>
  <sheetFormatPr defaultRowHeight="13.2"/>
  <cols>
    <col min="1" max="1" width="21.109375" customWidth="1"/>
    <col min="2" max="2" width="17.6640625" customWidth="1"/>
    <col min="3" max="3" width="28.33203125" bestFit="1" customWidth="1"/>
    <col min="4" max="4" width="17.44140625" customWidth="1"/>
    <col min="7" max="7" width="16.5546875" customWidth="1"/>
  </cols>
  <sheetData>
    <row r="2" spans="1:7">
      <c r="A2" s="666" t="s">
        <v>1898</v>
      </c>
    </row>
    <row r="3" spans="1:7" ht="7.2" customHeight="1"/>
    <row r="4" spans="1:7">
      <c r="A4" s="676" t="s">
        <v>740</v>
      </c>
      <c r="B4" s="676" t="s">
        <v>1693</v>
      </c>
      <c r="C4" s="676" t="s">
        <v>1694</v>
      </c>
      <c r="D4" s="676" t="s">
        <v>1695</v>
      </c>
    </row>
    <row r="5" spans="1:7">
      <c r="A5" s="733" t="s">
        <v>765</v>
      </c>
      <c r="B5" s="719">
        <v>573288064.46380067</v>
      </c>
      <c r="C5" s="719">
        <f>'2021_DUOSTarRebal'!E23</f>
        <v>1042363187.989344</v>
      </c>
      <c r="D5" s="719">
        <v>1051700841.6815977</v>
      </c>
      <c r="G5" s="1686"/>
    </row>
    <row r="6" spans="1:7">
      <c r="A6" s="736" t="s">
        <v>762</v>
      </c>
      <c r="B6" s="719">
        <v>57810661.152154647</v>
      </c>
      <c r="C6" s="719">
        <f>'2021_DUOSTarRebal'!E22</f>
        <v>61039862.889439188</v>
      </c>
      <c r="D6" s="719">
        <v>757750970.20223546</v>
      </c>
      <c r="G6" s="1686"/>
    </row>
    <row r="7" spans="1:7">
      <c r="A7" s="736" t="s">
        <v>743</v>
      </c>
      <c r="B7" s="719">
        <v>48710068.482388407</v>
      </c>
      <c r="C7" s="719">
        <f>'2021_DUOSTarRebal'!E21</f>
        <v>50787090.714867875</v>
      </c>
      <c r="D7" s="719">
        <v>361046166.51866043</v>
      </c>
      <c r="G7" s="1686"/>
    </row>
    <row r="9" spans="1:7">
      <c r="B9" t="s">
        <v>1697</v>
      </c>
      <c r="C9" s="1477">
        <f>'2021_DUOSRevCap'!C10</f>
        <v>1154190141.4760413</v>
      </c>
    </row>
    <row r="10" spans="1:7">
      <c r="C10" s="1477"/>
    </row>
    <row r="11" spans="1:7">
      <c r="C11" s="147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9201F-A685-44E8-8E9C-5C4841937CC3}">
  <sheetPr>
    <tabColor rgb="FFFFC000"/>
  </sheetPr>
  <dimension ref="A1:AA63"/>
  <sheetViews>
    <sheetView zoomScale="80" zoomScaleNormal="80" workbookViewId="0">
      <pane ySplit="5" topLeftCell="A6" activePane="bottomLeft" state="frozen"/>
      <selection pane="bottomLeft" activeCell="AA36" sqref="AA36"/>
    </sheetView>
  </sheetViews>
  <sheetFormatPr defaultColWidth="9.109375" defaultRowHeight="11.4" outlineLevelCol="1"/>
  <cols>
    <col min="1" max="2" width="4.6640625" style="1697" customWidth="1"/>
    <col min="3" max="3" width="12.44140625" style="746" bestFit="1" customWidth="1"/>
    <col min="4" max="4" width="11.5546875" style="746" customWidth="1"/>
    <col min="5" max="5" width="47.33203125" style="746" bestFit="1" customWidth="1"/>
    <col min="6" max="6" width="10.6640625" style="746" customWidth="1"/>
    <col min="7" max="7" width="25.5546875" style="746" bestFit="1" customWidth="1"/>
    <col min="8" max="8" width="17" style="746" bestFit="1" customWidth="1"/>
    <col min="9" max="12" width="9.33203125" style="746" customWidth="1"/>
    <col min="13" max="14" width="15.6640625" style="746" hidden="1" customWidth="1" outlineLevel="1"/>
    <col min="15" max="15" width="16.6640625" style="746" customWidth="1" collapsed="1"/>
    <col min="16" max="16" width="15.6640625" style="746" customWidth="1"/>
    <col min="17" max="20" width="12.6640625" style="746" customWidth="1"/>
    <col min="21" max="21" width="4.6640625" style="746" customWidth="1"/>
    <col min="22" max="22" width="7.88671875" style="746" customWidth="1"/>
    <col min="23" max="23" width="3.5546875" style="746" bestFit="1" customWidth="1"/>
    <col min="24" max="16384" width="9.109375" style="747"/>
  </cols>
  <sheetData>
    <row r="1" spans="1:27">
      <c r="B1" s="1696"/>
      <c r="C1" s="1696"/>
      <c r="D1" s="1696"/>
      <c r="E1" s="1696"/>
      <c r="F1" s="1696"/>
      <c r="G1" s="1696"/>
      <c r="H1" s="1696"/>
      <c r="I1" s="1696"/>
      <c r="J1" s="1696"/>
      <c r="K1" s="1708" t="s">
        <v>26</v>
      </c>
      <c r="L1" s="1709">
        <v>8.6058519793459354E-3</v>
      </c>
      <c r="M1" s="1696"/>
      <c r="N1" s="1696"/>
      <c r="O1" s="1696"/>
      <c r="P1" s="1696"/>
      <c r="Q1" s="1696"/>
      <c r="R1" s="1697"/>
      <c r="S1" s="1697"/>
      <c r="T1" s="1697"/>
      <c r="U1" s="1697"/>
      <c r="V1" s="1697"/>
    </row>
    <row r="2" spans="1:27" ht="17.399999999999999">
      <c r="B2" s="1698"/>
      <c r="C2" s="666" t="s">
        <v>1879</v>
      </c>
      <c r="K2" s="748"/>
      <c r="L2" s="1641"/>
      <c r="M2" s="1902" t="s">
        <v>1489</v>
      </c>
      <c r="N2" s="1902"/>
      <c r="P2" s="749"/>
    </row>
    <row r="4" spans="1:27" s="753" customFormat="1" ht="50.1" customHeight="1" thickBot="1">
      <c r="A4" s="1699"/>
      <c r="B4" s="1699"/>
      <c r="C4" s="750" t="s">
        <v>931</v>
      </c>
      <c r="D4" s="750" t="s">
        <v>1490</v>
      </c>
      <c r="E4" s="751" t="s">
        <v>926</v>
      </c>
      <c r="F4" s="751" t="s">
        <v>1491</v>
      </c>
      <c r="G4" s="751" t="s">
        <v>936</v>
      </c>
      <c r="H4" s="750" t="s">
        <v>1492</v>
      </c>
      <c r="I4" s="1903" t="s">
        <v>1900</v>
      </c>
      <c r="J4" s="1904"/>
      <c r="K4" s="1903" t="s">
        <v>1901</v>
      </c>
      <c r="L4" s="1904"/>
      <c r="M4" s="750" t="s">
        <v>1493</v>
      </c>
      <c r="N4" s="750" t="s">
        <v>1494</v>
      </c>
      <c r="O4" s="750" t="s">
        <v>1495</v>
      </c>
      <c r="P4" s="750" t="s">
        <v>1496</v>
      </c>
      <c r="Q4" s="750" t="s">
        <v>1497</v>
      </c>
      <c r="R4" s="750" t="s">
        <v>1498</v>
      </c>
      <c r="S4" s="750" t="s">
        <v>1499</v>
      </c>
      <c r="T4" s="750" t="s">
        <v>1500</v>
      </c>
      <c r="U4" s="752"/>
      <c r="V4" s="1701"/>
      <c r="W4" s="1701"/>
    </row>
    <row r="5" spans="1:27" ht="20.100000000000001" customHeight="1" thickBot="1">
      <c r="C5" s="745"/>
      <c r="D5" s="745"/>
      <c r="E5" s="745"/>
      <c r="F5" s="745"/>
      <c r="G5" s="745"/>
      <c r="H5" s="745" t="s">
        <v>1501</v>
      </c>
      <c r="I5" s="745" t="s">
        <v>937</v>
      </c>
      <c r="J5" s="745" t="s">
        <v>1502</v>
      </c>
      <c r="K5" s="745" t="s">
        <v>937</v>
      </c>
      <c r="L5" s="745" t="s">
        <v>1502</v>
      </c>
      <c r="M5" s="745"/>
      <c r="N5" s="745"/>
      <c r="O5" s="745" t="s">
        <v>1503</v>
      </c>
      <c r="P5" s="745" t="s">
        <v>1299</v>
      </c>
      <c r="Q5" s="745" t="s">
        <v>757</v>
      </c>
      <c r="R5" s="745" t="s">
        <v>757</v>
      </c>
      <c r="S5" s="745" t="s">
        <v>757</v>
      </c>
      <c r="T5" s="745" t="s">
        <v>757</v>
      </c>
      <c r="U5" s="754"/>
      <c r="V5" s="1702"/>
    </row>
    <row r="6" spans="1:27" ht="15" customHeight="1">
      <c r="A6" s="1697" t="s">
        <v>1770</v>
      </c>
      <c r="C6" s="755" t="s">
        <v>789</v>
      </c>
      <c r="D6" s="755" t="s">
        <v>762</v>
      </c>
      <c r="E6" s="755" t="s">
        <v>792</v>
      </c>
      <c r="F6" s="755" t="s">
        <v>208</v>
      </c>
      <c r="G6" s="755" t="s">
        <v>1506</v>
      </c>
      <c r="H6" s="755" t="s">
        <v>1509</v>
      </c>
      <c r="I6" s="756"/>
      <c r="J6" s="756">
        <v>75.822000000000003</v>
      </c>
      <c r="K6" s="1710"/>
      <c r="L6" s="1710">
        <f t="shared" ref="L6:L13" si="0">IF(J6="","",J6*(1+$L$1))</f>
        <v>76.474512908777967</v>
      </c>
      <c r="M6" s="760"/>
      <c r="N6" s="760"/>
      <c r="O6" s="757">
        <f t="shared" ref="O6:O13" si="1">MAX(K6,L6)/12</f>
        <v>6.3728760757314973</v>
      </c>
      <c r="P6" s="758">
        <v>0.47298798684080856</v>
      </c>
      <c r="Q6" s="756">
        <f xml:space="preserve"> ROUND(O6*P6,3)</f>
        <v>3.0139999999999998</v>
      </c>
      <c r="R6" s="756">
        <v>3.089</v>
      </c>
      <c r="S6" s="756">
        <v>3.1659999999999999</v>
      </c>
      <c r="T6" s="756">
        <v>3.2450000000000001</v>
      </c>
      <c r="U6" s="759"/>
      <c r="V6" s="1703"/>
      <c r="X6" s="1711"/>
      <c r="Y6" s="1711"/>
      <c r="Z6" s="1711"/>
      <c r="AA6" s="1711"/>
    </row>
    <row r="7" spans="1:27" ht="15" customHeight="1">
      <c r="A7" s="1697" t="s">
        <v>1771</v>
      </c>
      <c r="C7" s="755" t="s">
        <v>789</v>
      </c>
      <c r="D7" s="755" t="s">
        <v>762</v>
      </c>
      <c r="E7" s="755" t="s">
        <v>794</v>
      </c>
      <c r="F7" s="755" t="s">
        <v>210</v>
      </c>
      <c r="G7" s="755" t="s">
        <v>1506</v>
      </c>
      <c r="H7" s="755" t="s">
        <v>1509</v>
      </c>
      <c r="I7" s="756"/>
      <c r="J7" s="756">
        <v>75.822000000000003</v>
      </c>
      <c r="K7" s="756" t="s">
        <v>230</v>
      </c>
      <c r="L7" s="1710">
        <f t="shared" si="0"/>
        <v>76.474512908777967</v>
      </c>
      <c r="M7" s="760"/>
      <c r="N7" s="760"/>
      <c r="O7" s="757">
        <f t="shared" si="1"/>
        <v>6.3728760757314973</v>
      </c>
      <c r="P7" s="758">
        <v>0.48994261626503915</v>
      </c>
      <c r="Q7" s="756">
        <f t="shared" ref="Q7:Q60" si="2" xml:space="preserve"> ROUND(O7*P7,3)</f>
        <v>3.1219999999999999</v>
      </c>
      <c r="R7" s="756">
        <v>3.2</v>
      </c>
      <c r="S7" s="756">
        <v>3.28</v>
      </c>
      <c r="T7" s="756">
        <v>3.3620000000000001</v>
      </c>
      <c r="U7" s="759"/>
      <c r="V7" s="1703"/>
      <c r="X7" s="1711"/>
      <c r="Y7" s="1711"/>
      <c r="Z7" s="1711"/>
      <c r="AA7" s="1711"/>
    </row>
    <row r="8" spans="1:27" ht="15" customHeight="1">
      <c r="A8" s="1697" t="s">
        <v>1772</v>
      </c>
      <c r="C8" s="755" t="s">
        <v>789</v>
      </c>
      <c r="D8" s="755" t="s">
        <v>762</v>
      </c>
      <c r="E8" s="755" t="s">
        <v>795</v>
      </c>
      <c r="F8" s="755" t="s">
        <v>211</v>
      </c>
      <c r="G8" s="755" t="s">
        <v>1506</v>
      </c>
      <c r="H8" s="755" t="s">
        <v>1903</v>
      </c>
      <c r="I8" s="756"/>
      <c r="J8" s="756">
        <v>127.024</v>
      </c>
      <c r="K8" s="756" t="s">
        <v>230</v>
      </c>
      <c r="L8" s="1710">
        <f t="shared" si="0"/>
        <v>128.11714974182445</v>
      </c>
      <c r="M8" s="760"/>
      <c r="N8" s="760"/>
      <c r="O8" s="757">
        <f t="shared" si="1"/>
        <v>10.676429145152037</v>
      </c>
      <c r="P8" s="758">
        <v>0.35460449640548963</v>
      </c>
      <c r="Q8" s="756">
        <f t="shared" si="2"/>
        <v>3.786</v>
      </c>
      <c r="R8" s="756">
        <v>3.8809999999999998</v>
      </c>
      <c r="S8" s="756">
        <v>3.9780000000000002</v>
      </c>
      <c r="T8" s="756">
        <v>4.0780000000000003</v>
      </c>
      <c r="U8" s="759"/>
      <c r="V8" s="1703"/>
      <c r="X8" s="1711"/>
      <c r="Y8" s="1711"/>
      <c r="Z8" s="1711"/>
      <c r="AA8" s="1711"/>
    </row>
    <row r="9" spans="1:27" ht="15" customHeight="1">
      <c r="A9" s="1697" t="s">
        <v>1773</v>
      </c>
      <c r="C9" s="755" t="s">
        <v>789</v>
      </c>
      <c r="D9" s="755" t="s">
        <v>762</v>
      </c>
      <c r="E9" s="755" t="s">
        <v>796</v>
      </c>
      <c r="F9" s="755" t="s">
        <v>212</v>
      </c>
      <c r="G9" s="755" t="s">
        <v>1506</v>
      </c>
      <c r="H9" s="755" t="s">
        <v>1902</v>
      </c>
      <c r="I9" s="756"/>
      <c r="J9" s="756">
        <v>150.84</v>
      </c>
      <c r="K9" s="756" t="s">
        <v>230</v>
      </c>
      <c r="L9" s="1710">
        <f t="shared" si="0"/>
        <v>152.13810671256454</v>
      </c>
      <c r="M9" s="760"/>
      <c r="N9" s="760"/>
      <c r="O9" s="757">
        <f t="shared" si="1"/>
        <v>12.678175559380378</v>
      </c>
      <c r="P9" s="758">
        <v>0.60228822351091571</v>
      </c>
      <c r="Q9" s="756">
        <f t="shared" si="2"/>
        <v>7.6360000000000001</v>
      </c>
      <c r="R9" s="756">
        <v>7.827</v>
      </c>
      <c r="S9" s="756">
        <v>8.0220000000000002</v>
      </c>
      <c r="T9" s="756">
        <v>8.2230000000000008</v>
      </c>
      <c r="U9" s="759"/>
      <c r="V9" s="1703"/>
      <c r="X9" s="1711"/>
      <c r="Y9" s="1711"/>
      <c r="Z9" s="1711"/>
      <c r="AA9" s="1711"/>
    </row>
    <row r="10" spans="1:27" ht="15" customHeight="1">
      <c r="A10" s="1697" t="s">
        <v>1774</v>
      </c>
      <c r="C10" s="755" t="s">
        <v>789</v>
      </c>
      <c r="D10" s="755" t="s">
        <v>762</v>
      </c>
      <c r="E10" s="762" t="s">
        <v>1510</v>
      </c>
      <c r="F10" s="755" t="s">
        <v>213</v>
      </c>
      <c r="G10" s="762" t="s">
        <v>1511</v>
      </c>
      <c r="H10" s="755" t="s">
        <v>1509</v>
      </c>
      <c r="I10" s="756"/>
      <c r="J10" s="756">
        <v>75.822000000000003</v>
      </c>
      <c r="K10" s="756" t="s">
        <v>230</v>
      </c>
      <c r="L10" s="1710">
        <f t="shared" si="0"/>
        <v>76.474512908777967</v>
      </c>
      <c r="M10" s="760"/>
      <c r="N10" s="760"/>
      <c r="O10" s="757">
        <f>MAX(K10,L10)/3</f>
        <v>25.491504302925989</v>
      </c>
      <c r="P10" s="758">
        <v>0.46007662184398551</v>
      </c>
      <c r="Q10" s="756">
        <f t="shared" si="2"/>
        <v>11.728</v>
      </c>
      <c r="R10" s="756">
        <v>12.021000000000001</v>
      </c>
      <c r="S10" s="756">
        <v>12.321999999999999</v>
      </c>
      <c r="T10" s="756">
        <v>12.63</v>
      </c>
      <c r="U10" s="759"/>
      <c r="V10" s="1703"/>
      <c r="X10" s="1711"/>
      <c r="Y10" s="1711"/>
      <c r="Z10" s="1711"/>
      <c r="AA10" s="1711"/>
    </row>
    <row r="11" spans="1:27" ht="15" customHeight="1">
      <c r="A11" s="1697" t="s">
        <v>1775</v>
      </c>
      <c r="C11" s="755" t="s">
        <v>789</v>
      </c>
      <c r="D11" s="755" t="s">
        <v>762</v>
      </c>
      <c r="E11" s="762" t="s">
        <v>1512</v>
      </c>
      <c r="F11" s="755" t="s">
        <v>214</v>
      </c>
      <c r="G11" s="762" t="s">
        <v>1511</v>
      </c>
      <c r="H11" s="755" t="s">
        <v>1903</v>
      </c>
      <c r="I11" s="756"/>
      <c r="J11" s="756">
        <v>127.024</v>
      </c>
      <c r="K11" s="756" t="s">
        <v>230</v>
      </c>
      <c r="L11" s="1710">
        <f t="shared" si="0"/>
        <v>128.11714974182445</v>
      </c>
      <c r="M11" s="760"/>
      <c r="N11" s="760"/>
      <c r="O11" s="757">
        <f t="shared" ref="O11:O12" si="3">MAX(K11,L11)/3</f>
        <v>42.705716580608147</v>
      </c>
      <c r="P11" s="758">
        <v>1.0355745608329587</v>
      </c>
      <c r="Q11" s="756">
        <f t="shared" si="2"/>
        <v>44.225000000000001</v>
      </c>
      <c r="R11" s="1712">
        <v>43.12</v>
      </c>
      <c r="S11" s="1712">
        <v>42.042000000000002</v>
      </c>
      <c r="T11" s="1712">
        <v>42.404000000000003</v>
      </c>
      <c r="U11" s="759"/>
      <c r="V11" s="1703"/>
      <c r="X11" s="1711"/>
      <c r="Y11" s="1711"/>
      <c r="Z11" s="1711"/>
      <c r="AA11" s="1711"/>
    </row>
    <row r="12" spans="1:27" ht="15" customHeight="1">
      <c r="A12" s="1697" t="s">
        <v>1776</v>
      </c>
      <c r="C12" s="755" t="s">
        <v>789</v>
      </c>
      <c r="D12" s="755" t="s">
        <v>762</v>
      </c>
      <c r="E12" s="762" t="s">
        <v>1513</v>
      </c>
      <c r="F12" s="755" t="s">
        <v>215</v>
      </c>
      <c r="G12" s="762" t="s">
        <v>1511</v>
      </c>
      <c r="H12" s="755" t="s">
        <v>1902</v>
      </c>
      <c r="I12" s="756"/>
      <c r="J12" s="756">
        <v>150.84</v>
      </c>
      <c r="K12" s="756" t="s">
        <v>230</v>
      </c>
      <c r="L12" s="1710">
        <f t="shared" si="0"/>
        <v>152.13810671256454</v>
      </c>
      <c r="M12" s="760"/>
      <c r="N12" s="760"/>
      <c r="O12" s="757">
        <f t="shared" si="3"/>
        <v>50.712702237521512</v>
      </c>
      <c r="P12" s="758">
        <v>1.4234</v>
      </c>
      <c r="Q12" s="756">
        <f t="shared" si="2"/>
        <v>72.183999999999997</v>
      </c>
      <c r="R12" s="756">
        <v>70.379000000000005</v>
      </c>
      <c r="S12" s="756">
        <v>68.62</v>
      </c>
      <c r="T12" s="756">
        <v>66.903999999999996</v>
      </c>
      <c r="U12" s="759"/>
      <c r="V12" s="1703"/>
      <c r="X12" s="1711"/>
      <c r="Y12" s="1711"/>
      <c r="Z12" s="1711"/>
      <c r="AA12" s="1711"/>
    </row>
    <row r="13" spans="1:27" ht="15" customHeight="1">
      <c r="A13" s="1697" t="s">
        <v>1777</v>
      </c>
      <c r="B13" s="1697" t="s">
        <v>1514</v>
      </c>
      <c r="C13" s="755" t="s">
        <v>789</v>
      </c>
      <c r="D13" s="755" t="s">
        <v>766</v>
      </c>
      <c r="E13" s="755" t="s">
        <v>1515</v>
      </c>
      <c r="F13" s="755" t="s">
        <v>803</v>
      </c>
      <c r="G13" s="755" t="s">
        <v>1504</v>
      </c>
      <c r="H13" s="755" t="s">
        <v>1505</v>
      </c>
      <c r="I13" s="756"/>
      <c r="J13" s="756">
        <v>226.142</v>
      </c>
      <c r="K13" s="756" t="s">
        <v>230</v>
      </c>
      <c r="L13" s="1710">
        <f t="shared" si="0"/>
        <v>228.08814457831323</v>
      </c>
      <c r="M13" s="760"/>
      <c r="N13" s="760"/>
      <c r="O13" s="757">
        <f t="shared" si="1"/>
        <v>19.007345381526104</v>
      </c>
      <c r="P13" s="758">
        <v>0.63674125931150782</v>
      </c>
      <c r="Q13" s="756">
        <f t="shared" si="2"/>
        <v>12.103</v>
      </c>
      <c r="R13" s="756">
        <v>12.406000000000001</v>
      </c>
      <c r="S13" s="756">
        <v>12.715999999999999</v>
      </c>
      <c r="T13" s="756">
        <v>13.034000000000001</v>
      </c>
      <c r="U13" s="759"/>
      <c r="V13" s="1703"/>
      <c r="X13" s="1711"/>
      <c r="Y13" s="1711"/>
      <c r="Z13" s="1711"/>
      <c r="AA13" s="1711"/>
    </row>
    <row r="14" spans="1:27" ht="15" customHeight="1">
      <c r="A14" s="1697" t="s">
        <v>1778</v>
      </c>
      <c r="B14" s="1697" t="str">
        <f>C14&amp;E14</f>
        <v>EastDemand Large</v>
      </c>
      <c r="C14" s="755" t="s">
        <v>789</v>
      </c>
      <c r="D14" s="755" t="s">
        <v>766</v>
      </c>
      <c r="E14" s="755" t="s">
        <v>767</v>
      </c>
      <c r="F14" s="755" t="s">
        <v>184</v>
      </c>
      <c r="G14" s="755" t="s">
        <v>1516</v>
      </c>
      <c r="H14" s="755" t="s">
        <v>1505</v>
      </c>
      <c r="I14" s="756">
        <f>J14/0.9</f>
        <v>251.26888888888888</v>
      </c>
      <c r="J14" s="756">
        <v>226.142</v>
      </c>
      <c r="K14" s="1710">
        <f>IF(I14="","",I14*(1+$L$1))</f>
        <v>253.43127175368139</v>
      </c>
      <c r="L14" s="756" t="s">
        <v>230</v>
      </c>
      <c r="M14" s="760"/>
      <c r="N14" s="760"/>
      <c r="O14" s="757">
        <f>MAX(K14,L14)/12</f>
        <v>21.119272646140114</v>
      </c>
      <c r="P14" s="758">
        <v>0.72952597402597397</v>
      </c>
      <c r="Q14" s="756">
        <f t="shared" si="2"/>
        <v>15.407</v>
      </c>
      <c r="R14" s="756">
        <v>15.792999999999999</v>
      </c>
      <c r="S14" s="756">
        <v>16.187000000000001</v>
      </c>
      <c r="T14" s="756">
        <v>16.591999999999999</v>
      </c>
      <c r="U14" s="759"/>
      <c r="V14" s="1703"/>
      <c r="X14" s="1711"/>
      <c r="Y14" s="1711"/>
      <c r="Z14" s="1711"/>
      <c r="AA14" s="1711"/>
    </row>
    <row r="15" spans="1:27" ht="15" customHeight="1">
      <c r="A15" s="1697" t="s">
        <v>1818</v>
      </c>
      <c r="C15" s="755" t="s">
        <v>789</v>
      </c>
      <c r="D15" s="755" t="s">
        <v>766</v>
      </c>
      <c r="E15" s="755" t="s">
        <v>767</v>
      </c>
      <c r="F15" s="755" t="s">
        <v>184</v>
      </c>
      <c r="G15" s="755" t="s">
        <v>1506</v>
      </c>
      <c r="H15" s="755" t="s">
        <v>1505</v>
      </c>
      <c r="I15" s="756"/>
      <c r="J15" s="756">
        <v>226.142</v>
      </c>
      <c r="K15" s="756" t="s">
        <v>230</v>
      </c>
      <c r="L15" s="1710">
        <f>IF(J15="","",J15*(1+$L$1))</f>
        <v>228.08814457831323</v>
      </c>
      <c r="M15" s="760"/>
      <c r="N15" s="760"/>
      <c r="O15" s="757">
        <f t="shared" ref="O15:O60" si="4">MAX(K15,L15)/12</f>
        <v>19.007345381526104</v>
      </c>
      <c r="P15" s="758">
        <v>0.73</v>
      </c>
      <c r="Q15" s="756">
        <f t="shared" si="2"/>
        <v>13.875</v>
      </c>
      <c r="R15" s="756">
        <v>14.214</v>
      </c>
      <c r="S15" s="756">
        <v>14.568</v>
      </c>
      <c r="T15" s="756">
        <v>14.933</v>
      </c>
      <c r="U15" s="759"/>
      <c r="V15" s="1703"/>
      <c r="X15" s="1711"/>
      <c r="Y15" s="1711"/>
      <c r="Z15" s="1711"/>
      <c r="AA15" s="1711"/>
    </row>
    <row r="16" spans="1:27" ht="15" customHeight="1">
      <c r="A16" s="1697" t="s">
        <v>1779</v>
      </c>
      <c r="B16" s="1697" t="str">
        <f>C16&amp;E16</f>
        <v>EastDemand Medium</v>
      </c>
      <c r="C16" s="755" t="s">
        <v>789</v>
      </c>
      <c r="D16" s="755" t="s">
        <v>766</v>
      </c>
      <c r="E16" s="755" t="s">
        <v>799</v>
      </c>
      <c r="F16" s="755" t="s">
        <v>185</v>
      </c>
      <c r="G16" s="755" t="s">
        <v>1516</v>
      </c>
      <c r="H16" s="755" t="s">
        <v>1505</v>
      </c>
      <c r="I16" s="756">
        <f>J16/0.9</f>
        <v>251.26888888888888</v>
      </c>
      <c r="J16" s="756">
        <v>226.142</v>
      </c>
      <c r="K16" s="1710">
        <f>IF(I16="","",I16*(1+$L$1))</f>
        <v>253.43127175368139</v>
      </c>
      <c r="L16" s="756" t="s">
        <v>230</v>
      </c>
      <c r="M16" s="760"/>
      <c r="N16" s="760"/>
      <c r="O16" s="757">
        <f t="shared" si="4"/>
        <v>21.119272646140114</v>
      </c>
      <c r="P16" s="758">
        <v>0.89943157894736847</v>
      </c>
      <c r="Q16" s="756">
        <f t="shared" si="2"/>
        <v>18.995000000000001</v>
      </c>
      <c r="R16" s="756">
        <v>19.47</v>
      </c>
      <c r="S16" s="756">
        <v>19.957000000000001</v>
      </c>
      <c r="T16" s="756">
        <v>20.456</v>
      </c>
      <c r="U16" s="759"/>
      <c r="V16" s="1703"/>
      <c r="X16" s="1711"/>
      <c r="Y16" s="1711"/>
      <c r="Z16" s="1711"/>
      <c r="AA16" s="1711"/>
    </row>
    <row r="17" spans="1:27" ht="15" customHeight="1">
      <c r="A17" s="1697" t="s">
        <v>1820</v>
      </c>
      <c r="C17" s="755" t="s">
        <v>789</v>
      </c>
      <c r="D17" s="755" t="s">
        <v>766</v>
      </c>
      <c r="E17" s="755" t="s">
        <v>799</v>
      </c>
      <c r="F17" s="755" t="s">
        <v>185</v>
      </c>
      <c r="G17" s="755" t="s">
        <v>1506</v>
      </c>
      <c r="H17" s="755" t="s">
        <v>1505</v>
      </c>
      <c r="I17" s="756"/>
      <c r="J17" s="756">
        <v>226.142</v>
      </c>
      <c r="K17" s="756" t="s">
        <v>230</v>
      </c>
      <c r="L17" s="1710">
        <f>IF(J17="","",J17*(1+$L$1))</f>
        <v>228.08814457831323</v>
      </c>
      <c r="M17" s="760"/>
      <c r="N17" s="760"/>
      <c r="O17" s="757">
        <f t="shared" si="4"/>
        <v>19.007345381526104</v>
      </c>
      <c r="P17" s="758">
        <v>0.9</v>
      </c>
      <c r="Q17" s="756">
        <f t="shared" si="2"/>
        <v>17.106999999999999</v>
      </c>
      <c r="R17" s="756">
        <v>17.523</v>
      </c>
      <c r="S17" s="756">
        <v>17.960999999999999</v>
      </c>
      <c r="T17" s="756">
        <v>18.41</v>
      </c>
      <c r="U17" s="759"/>
      <c r="V17" s="1703"/>
      <c r="X17" s="1711"/>
      <c r="Y17" s="1711"/>
      <c r="Z17" s="1711"/>
      <c r="AA17" s="1711"/>
    </row>
    <row r="18" spans="1:27" ht="15" customHeight="1">
      <c r="A18" s="1697" t="s">
        <v>1780</v>
      </c>
      <c r="B18" s="1697" t="str">
        <f>C18&amp;E18</f>
        <v>EastDemand Small</v>
      </c>
      <c r="C18" s="755" t="s">
        <v>789</v>
      </c>
      <c r="D18" s="755" t="s">
        <v>766</v>
      </c>
      <c r="E18" s="755" t="s">
        <v>768</v>
      </c>
      <c r="F18" s="755" t="s">
        <v>186</v>
      </c>
      <c r="G18" s="755" t="s">
        <v>1516</v>
      </c>
      <c r="H18" s="755" t="s">
        <v>1505</v>
      </c>
      <c r="I18" s="756">
        <f>J18/0.9</f>
        <v>251.26888888888888</v>
      </c>
      <c r="J18" s="756">
        <v>226.142</v>
      </c>
      <c r="K18" s="1710">
        <f>IF(I18="","",I18*(1+$L$1))</f>
        <v>253.43127175368139</v>
      </c>
      <c r="L18" s="756" t="s">
        <v>230</v>
      </c>
      <c r="M18" s="760"/>
      <c r="N18" s="760"/>
      <c r="O18" s="757">
        <f t="shared" si="4"/>
        <v>21.119272646140114</v>
      </c>
      <c r="P18" s="758">
        <v>1.1192911392405065</v>
      </c>
      <c r="Q18" s="756">
        <f t="shared" si="2"/>
        <v>23.638999999999999</v>
      </c>
      <c r="R18" s="756">
        <v>23.047999999999998</v>
      </c>
      <c r="S18" s="756">
        <v>22.471</v>
      </c>
      <c r="T18" s="756">
        <v>21.91</v>
      </c>
      <c r="U18" s="759"/>
      <c r="V18" s="1703"/>
      <c r="X18" s="1711"/>
      <c r="Y18" s="1711"/>
      <c r="Z18" s="1711"/>
      <c r="AA18" s="1711"/>
    </row>
    <row r="19" spans="1:27" ht="15" customHeight="1">
      <c r="A19" s="1697" t="s">
        <v>1817</v>
      </c>
      <c r="C19" s="755" t="s">
        <v>789</v>
      </c>
      <c r="D19" s="755" t="s">
        <v>766</v>
      </c>
      <c r="E19" s="755" t="s">
        <v>768</v>
      </c>
      <c r="F19" s="755" t="s">
        <v>186</v>
      </c>
      <c r="G19" s="755" t="s">
        <v>1506</v>
      </c>
      <c r="H19" s="755" t="s">
        <v>1505</v>
      </c>
      <c r="I19" s="756"/>
      <c r="J19" s="756">
        <v>226.142</v>
      </c>
      <c r="K19" s="756" t="s">
        <v>230</v>
      </c>
      <c r="L19" s="1710">
        <f>IF(J19="","",J19*(1+$L$1))</f>
        <v>228.08814457831323</v>
      </c>
      <c r="M19" s="760"/>
      <c r="N19" s="760"/>
      <c r="O19" s="757">
        <f t="shared" si="4"/>
        <v>19.007345381526104</v>
      </c>
      <c r="P19" s="758">
        <v>1.1200000000000001</v>
      </c>
      <c r="Q19" s="756">
        <f t="shared" si="2"/>
        <v>21.288</v>
      </c>
      <c r="R19" s="756">
        <v>20.742999999999999</v>
      </c>
      <c r="S19" s="756">
        <v>20.224</v>
      </c>
      <c r="T19" s="756">
        <v>19.719000000000001</v>
      </c>
      <c r="U19" s="759"/>
      <c r="V19" s="1703"/>
      <c r="X19" s="1711"/>
      <c r="Y19" s="1711"/>
      <c r="Z19" s="1711"/>
      <c r="AA19" s="1711"/>
    </row>
    <row r="20" spans="1:27" ht="15" customHeight="1">
      <c r="A20" s="1697" t="s">
        <v>1781</v>
      </c>
      <c r="B20" s="1697" t="str">
        <f t="shared" ref="B20:B26" si="5">C20&amp;E20</f>
        <v>EastSeasonal ToU Demand</v>
      </c>
      <c r="C20" s="755" t="s">
        <v>789</v>
      </c>
      <c r="D20" s="755" t="s">
        <v>766</v>
      </c>
      <c r="E20" s="755" t="s">
        <v>1517</v>
      </c>
      <c r="F20" s="755" t="s">
        <v>1518</v>
      </c>
      <c r="G20" s="755" t="s">
        <v>1519</v>
      </c>
      <c r="H20" s="755" t="s">
        <v>1505</v>
      </c>
      <c r="I20" s="756">
        <f>J20/0.9</f>
        <v>251.26888888888888</v>
      </c>
      <c r="J20" s="756">
        <v>226.142</v>
      </c>
      <c r="K20" s="1710">
        <f t="shared" ref="K20:K27" si="6">IF(I20="","",I20*(1+$L$1))</f>
        <v>253.43127175368139</v>
      </c>
      <c r="L20" s="756" t="s">
        <v>230</v>
      </c>
      <c r="M20" s="760"/>
      <c r="N20" s="760"/>
      <c r="O20" s="757">
        <f>MAX(K20,L20) * 0.76 /3</f>
        <v>64.202588844265946</v>
      </c>
      <c r="P20" s="758">
        <v>0.98549228271759748</v>
      </c>
      <c r="Q20" s="756">
        <f t="shared" si="2"/>
        <v>63.271000000000001</v>
      </c>
      <c r="R20" s="756">
        <v>64.852999999999994</v>
      </c>
      <c r="S20" s="756">
        <v>65.411000000000001</v>
      </c>
      <c r="T20" s="756">
        <v>65.974000000000004</v>
      </c>
      <c r="U20" s="759"/>
      <c r="V20" s="1703"/>
      <c r="X20" s="1711"/>
      <c r="Y20" s="1711"/>
      <c r="Z20" s="1711"/>
      <c r="AA20" s="1711"/>
    </row>
    <row r="21" spans="1:27" ht="15" customHeight="1">
      <c r="A21" s="1697" t="s">
        <v>1782</v>
      </c>
      <c r="B21" s="1697" t="str">
        <f t="shared" si="5"/>
        <v>EastSmall Business Demand</v>
      </c>
      <c r="C21" s="755" t="s">
        <v>789</v>
      </c>
      <c r="D21" s="755" t="s">
        <v>770</v>
      </c>
      <c r="E21" s="755" t="s">
        <v>782</v>
      </c>
      <c r="F21" s="755" t="s">
        <v>820</v>
      </c>
      <c r="G21" s="755" t="s">
        <v>1507</v>
      </c>
      <c r="H21" s="755" t="s">
        <v>1505</v>
      </c>
      <c r="I21" s="756">
        <f t="shared" ref="I21:I26" si="7">J21/0.9</f>
        <v>251.26888888888888</v>
      </c>
      <c r="J21" s="756">
        <v>226.142</v>
      </c>
      <c r="K21" s="1710">
        <f t="shared" si="6"/>
        <v>253.43127175368139</v>
      </c>
      <c r="L21" s="756" t="s">
        <v>230</v>
      </c>
      <c r="M21" s="760"/>
      <c r="N21" s="760"/>
      <c r="O21" s="757">
        <f t="shared" si="4"/>
        <v>21.119272646140114</v>
      </c>
      <c r="P21" s="758">
        <v>0.200042112096222</v>
      </c>
      <c r="Q21" s="756">
        <f t="shared" si="2"/>
        <v>4.2249999999999996</v>
      </c>
      <c r="R21" s="756">
        <v>4.3310000000000004</v>
      </c>
      <c r="S21" s="756">
        <v>4.4390000000000001</v>
      </c>
      <c r="T21" s="756">
        <v>4.55</v>
      </c>
      <c r="U21" s="759"/>
      <c r="V21" s="1703"/>
      <c r="X21" s="1711"/>
      <c r="Y21" s="1711"/>
      <c r="Z21" s="1711"/>
      <c r="AA21" s="1711"/>
    </row>
    <row r="22" spans="1:27" ht="15" customHeight="1">
      <c r="A22" s="1697" t="s">
        <v>1783</v>
      </c>
      <c r="B22" s="1697" t="str">
        <f t="shared" si="5"/>
        <v>EastSmall Business Transitional Demand</v>
      </c>
      <c r="C22" s="755" t="s">
        <v>789</v>
      </c>
      <c r="D22" s="755" t="s">
        <v>770</v>
      </c>
      <c r="E22" s="755" t="s">
        <v>780</v>
      </c>
      <c r="F22" s="755" t="s">
        <v>819</v>
      </c>
      <c r="G22" s="755" t="s">
        <v>1520</v>
      </c>
      <c r="H22" s="755" t="s">
        <v>1505</v>
      </c>
      <c r="I22" s="756">
        <f t="shared" si="7"/>
        <v>251.26888888888888</v>
      </c>
      <c r="J22" s="756">
        <v>226.142</v>
      </c>
      <c r="K22" s="1710">
        <f t="shared" si="6"/>
        <v>253.43127175368139</v>
      </c>
      <c r="L22" s="756" t="s">
        <v>230</v>
      </c>
      <c r="M22" s="760"/>
      <c r="N22" s="760"/>
      <c r="O22" s="757">
        <f t="shared" si="4"/>
        <v>21.119272646140114</v>
      </c>
      <c r="P22" s="758">
        <v>1.670554394907613E-2</v>
      </c>
      <c r="Q22" s="756">
        <f t="shared" si="2"/>
        <v>0.35299999999999998</v>
      </c>
      <c r="R22" s="756">
        <v>0.36099999999999999</v>
      </c>
      <c r="S22" s="756">
        <v>0.37</v>
      </c>
      <c r="T22" s="756">
        <v>0.38</v>
      </c>
      <c r="U22" s="759"/>
      <c r="V22" s="1703"/>
      <c r="X22" s="1711"/>
      <c r="Y22" s="1711"/>
      <c r="Z22" s="1711"/>
      <c r="AA22" s="1711"/>
    </row>
    <row r="23" spans="1:27" ht="15" customHeight="1">
      <c r="A23" s="1697" t="s">
        <v>1784</v>
      </c>
      <c r="B23" s="1697" t="str">
        <f t="shared" si="5"/>
        <v>EastSmall Business ToU Energy</v>
      </c>
      <c r="C23" s="755" t="s">
        <v>789</v>
      </c>
      <c r="D23" s="755" t="s">
        <v>770</v>
      </c>
      <c r="E23" s="755" t="s">
        <v>771</v>
      </c>
      <c r="F23" s="755" t="s">
        <v>817</v>
      </c>
      <c r="G23" s="755" t="s">
        <v>1508</v>
      </c>
      <c r="H23" s="755" t="s">
        <v>1505</v>
      </c>
      <c r="I23" s="756">
        <f t="shared" si="7"/>
        <v>251.26888888888888</v>
      </c>
      <c r="J23" s="756">
        <v>226.142</v>
      </c>
      <c r="K23" s="1710">
        <f t="shared" si="6"/>
        <v>253.43127175368139</v>
      </c>
      <c r="L23" s="756" t="s">
        <v>230</v>
      </c>
      <c r="M23" s="760">
        <v>542329.13800382277</v>
      </c>
      <c r="N23" s="760">
        <v>180130725.64630318</v>
      </c>
      <c r="O23" s="761">
        <f>MAX(K23,L23)*M23/N23</f>
        <v>0.76301898335358942</v>
      </c>
      <c r="P23" s="758">
        <v>0.32344000000000001</v>
      </c>
      <c r="Q23" s="761">
        <f xml:space="preserve"> ROUND(O23*P23,5)</f>
        <v>0.24679000000000001</v>
      </c>
      <c r="R23" s="761">
        <v>0.25296000000000002</v>
      </c>
      <c r="S23" s="761">
        <v>0.25928000000000001</v>
      </c>
      <c r="T23" s="761">
        <v>0.26577000000000001</v>
      </c>
      <c r="U23" s="1704"/>
      <c r="V23" s="1705"/>
      <c r="X23" s="1711"/>
      <c r="Y23" s="1711"/>
      <c r="Z23" s="1711"/>
      <c r="AA23" s="1711"/>
    </row>
    <row r="24" spans="1:27" ht="15" customHeight="1">
      <c r="A24" s="1697" t="s">
        <v>1785</v>
      </c>
      <c r="B24" s="1697" t="str">
        <f t="shared" si="5"/>
        <v>EastResidential Demand</v>
      </c>
      <c r="C24" s="755" t="s">
        <v>789</v>
      </c>
      <c r="D24" s="755" t="s">
        <v>784</v>
      </c>
      <c r="E24" s="755" t="s">
        <v>787</v>
      </c>
      <c r="F24" s="755" t="s">
        <v>837</v>
      </c>
      <c r="G24" s="755" t="s">
        <v>1507</v>
      </c>
      <c r="H24" s="755" t="s">
        <v>1505</v>
      </c>
      <c r="I24" s="756">
        <f t="shared" si="7"/>
        <v>251.26888888888888</v>
      </c>
      <c r="J24" s="756">
        <v>226.142</v>
      </c>
      <c r="K24" s="1710">
        <f t="shared" si="6"/>
        <v>253.43127175368139</v>
      </c>
      <c r="L24" s="756" t="s">
        <v>230</v>
      </c>
      <c r="M24" s="760"/>
      <c r="N24" s="760"/>
      <c r="O24" s="757">
        <f t="shared" si="4"/>
        <v>21.119272646140114</v>
      </c>
      <c r="P24" s="758">
        <v>0.20345677119317032</v>
      </c>
      <c r="Q24" s="756">
        <f t="shared" si="2"/>
        <v>4.2969999999999997</v>
      </c>
      <c r="R24" s="756">
        <v>4.4050000000000002</v>
      </c>
      <c r="S24" s="756">
        <v>4.5149999999999997</v>
      </c>
      <c r="T24" s="756">
        <v>4.6280000000000001</v>
      </c>
      <c r="U24" s="759"/>
      <c r="V24" s="1703"/>
      <c r="X24" s="1711"/>
      <c r="Y24" s="1711"/>
      <c r="Z24" s="1711"/>
      <c r="AA24" s="1711"/>
    </row>
    <row r="25" spans="1:27" ht="15" customHeight="1">
      <c r="A25" s="1697" t="s">
        <v>1786</v>
      </c>
      <c r="B25" s="1697" t="str">
        <f t="shared" si="5"/>
        <v>EastResidential Transitional Demand</v>
      </c>
      <c r="C25" s="755" t="s">
        <v>789</v>
      </c>
      <c r="D25" s="755" t="s">
        <v>784</v>
      </c>
      <c r="E25" s="755" t="s">
        <v>786</v>
      </c>
      <c r="F25" s="755" t="s">
        <v>836</v>
      </c>
      <c r="G25" s="755" t="s">
        <v>1507</v>
      </c>
      <c r="H25" s="755" t="s">
        <v>1505</v>
      </c>
      <c r="I25" s="756">
        <f t="shared" si="7"/>
        <v>251.26888888888888</v>
      </c>
      <c r="J25" s="756">
        <v>226.142</v>
      </c>
      <c r="K25" s="1710">
        <f t="shared" si="6"/>
        <v>253.43127175368139</v>
      </c>
      <c r="L25" s="756" t="s">
        <v>230</v>
      </c>
      <c r="M25" s="760"/>
      <c r="N25" s="760"/>
      <c r="O25" s="757">
        <f t="shared" si="4"/>
        <v>21.119272646140114</v>
      </c>
      <c r="P25" s="758">
        <v>4.1670049384415681E-2</v>
      </c>
      <c r="Q25" s="756">
        <f t="shared" si="2"/>
        <v>0.88</v>
      </c>
      <c r="R25" s="756">
        <v>0.90200000000000002</v>
      </c>
      <c r="S25" s="756">
        <v>0.92500000000000004</v>
      </c>
      <c r="T25" s="756">
        <v>0.94799999999999995</v>
      </c>
      <c r="U25" s="759"/>
      <c r="V25" s="1703"/>
      <c r="X25" s="1711"/>
      <c r="Y25" s="1711"/>
      <c r="Z25" s="1711"/>
      <c r="AA25" s="1711"/>
    </row>
    <row r="26" spans="1:27" ht="15" customHeight="1">
      <c r="A26" s="1697" t="s">
        <v>1787</v>
      </c>
      <c r="B26" s="1697" t="str">
        <f t="shared" si="5"/>
        <v>EastResidential ToU Energy</v>
      </c>
      <c r="C26" s="755" t="s">
        <v>789</v>
      </c>
      <c r="D26" s="755" t="s">
        <v>784</v>
      </c>
      <c r="E26" s="755" t="s">
        <v>785</v>
      </c>
      <c r="F26" s="755" t="s">
        <v>835</v>
      </c>
      <c r="G26" s="755" t="s">
        <v>1508</v>
      </c>
      <c r="H26" s="755" t="s">
        <v>1505</v>
      </c>
      <c r="I26" s="756">
        <f t="shared" si="7"/>
        <v>251.26888888888888</v>
      </c>
      <c r="J26" s="756">
        <v>226.142</v>
      </c>
      <c r="K26" s="1710">
        <f t="shared" si="6"/>
        <v>253.43127175368139</v>
      </c>
      <c r="L26" s="756" t="s">
        <v>230</v>
      </c>
      <c r="M26" s="760">
        <v>1992698.8172285091</v>
      </c>
      <c r="N26" s="760">
        <v>831095414.0689255</v>
      </c>
      <c r="O26" s="761">
        <f>MAX(K26,L26)*M26/N26</f>
        <v>0.60764647105897207</v>
      </c>
      <c r="P26" s="758">
        <v>0.20842343454291118</v>
      </c>
      <c r="Q26" s="761">
        <f xml:space="preserve"> ROUND(O26*P26,5)</f>
        <v>0.12665000000000001</v>
      </c>
      <c r="R26" s="761">
        <v>0.12981999999999999</v>
      </c>
      <c r="S26" s="761">
        <v>0.13306000000000001</v>
      </c>
      <c r="T26" s="761">
        <v>0.13639000000000001</v>
      </c>
      <c r="U26" s="1704"/>
      <c r="V26" s="1705"/>
      <c r="X26" s="1711"/>
      <c r="Y26" s="1711"/>
      <c r="Z26" s="1711"/>
      <c r="AA26" s="1711"/>
    </row>
    <row r="27" spans="1:27" ht="15" customHeight="1">
      <c r="A27" s="1697" t="s">
        <v>1788</v>
      </c>
      <c r="C27" s="755" t="s">
        <v>790</v>
      </c>
      <c r="D27" s="755" t="s">
        <v>762</v>
      </c>
      <c r="E27" s="755" t="s">
        <v>792</v>
      </c>
      <c r="F27" s="755" t="s">
        <v>209</v>
      </c>
      <c r="G27" s="755" t="s">
        <v>1506</v>
      </c>
      <c r="H27" s="755" t="s">
        <v>1509</v>
      </c>
      <c r="I27" s="756"/>
      <c r="J27" s="756">
        <v>160.994</v>
      </c>
      <c r="K27" s="756" t="str">
        <f t="shared" si="6"/>
        <v/>
      </c>
      <c r="L27" s="1710">
        <f t="shared" ref="L27:L34" si="8">IF(J27="","",J27*(1+$L$1))</f>
        <v>162.37949053356283</v>
      </c>
      <c r="M27" s="760"/>
      <c r="N27" s="760"/>
      <c r="O27" s="757">
        <f t="shared" si="4"/>
        <v>13.531624211130236</v>
      </c>
      <c r="P27" s="758">
        <v>0.5261606796168119</v>
      </c>
      <c r="Q27" s="756">
        <f t="shared" si="2"/>
        <v>7.12</v>
      </c>
      <c r="R27" s="756">
        <v>7.298</v>
      </c>
      <c r="S27" s="756">
        <v>7.48</v>
      </c>
      <c r="T27" s="756">
        <v>7.6669999999999998</v>
      </c>
      <c r="U27" s="759"/>
      <c r="V27" s="1703"/>
      <c r="X27" s="1711"/>
      <c r="Y27" s="1711"/>
      <c r="Z27" s="1711"/>
      <c r="AA27" s="1711"/>
    </row>
    <row r="28" spans="1:27" ht="15" customHeight="1">
      <c r="A28" s="1697" t="s">
        <v>1793</v>
      </c>
      <c r="C28" s="755" t="s">
        <v>790</v>
      </c>
      <c r="D28" s="755" t="s">
        <v>762</v>
      </c>
      <c r="E28" s="755" t="s">
        <v>794</v>
      </c>
      <c r="F28" s="755" t="s">
        <v>216</v>
      </c>
      <c r="G28" s="755" t="s">
        <v>1506</v>
      </c>
      <c r="H28" s="755" t="s">
        <v>1509</v>
      </c>
      <c r="I28" s="756"/>
      <c r="J28" s="756">
        <v>160.994</v>
      </c>
      <c r="K28" s="756" t="s">
        <v>230</v>
      </c>
      <c r="L28" s="1710">
        <f t="shared" si="8"/>
        <v>162.37949053356283</v>
      </c>
      <c r="M28" s="760"/>
      <c r="N28" s="760"/>
      <c r="O28" s="757">
        <f t="shared" si="4"/>
        <v>13.531624211130236</v>
      </c>
      <c r="P28" s="758">
        <v>1.3631355456194609</v>
      </c>
      <c r="Q28" s="756">
        <f t="shared" si="2"/>
        <v>18.445</v>
      </c>
      <c r="R28" s="1712">
        <v>17.984000000000002</v>
      </c>
      <c r="S28" s="1712">
        <v>17.533999999999999</v>
      </c>
      <c r="T28" s="1712">
        <v>17.096</v>
      </c>
      <c r="U28" s="759"/>
      <c r="V28" s="1703"/>
      <c r="X28" s="1711"/>
      <c r="Y28" s="1711"/>
      <c r="Z28" s="1711"/>
      <c r="AA28" s="1711"/>
    </row>
    <row r="29" spans="1:27" ht="15" customHeight="1">
      <c r="A29" s="1697" t="s">
        <v>1794</v>
      </c>
      <c r="C29" s="755" t="s">
        <v>790</v>
      </c>
      <c r="D29" s="755" t="s">
        <v>762</v>
      </c>
      <c r="E29" s="755" t="s">
        <v>795</v>
      </c>
      <c r="F29" s="755" t="s">
        <v>217</v>
      </c>
      <c r="G29" s="755" t="s">
        <v>1506</v>
      </c>
      <c r="H29" s="755" t="s">
        <v>1903</v>
      </c>
      <c r="I29" s="756"/>
      <c r="J29" s="756">
        <v>305.15600000000001</v>
      </c>
      <c r="K29" s="756" t="s">
        <v>230</v>
      </c>
      <c r="L29" s="1710">
        <f t="shared" si="8"/>
        <v>307.7821273666093</v>
      </c>
      <c r="M29" s="760"/>
      <c r="N29" s="760"/>
      <c r="O29" s="757">
        <f t="shared" si="4"/>
        <v>25.64851061388411</v>
      </c>
      <c r="P29" s="758">
        <v>1.2209882114019013</v>
      </c>
      <c r="Q29" s="756">
        <f t="shared" si="2"/>
        <v>31.317</v>
      </c>
      <c r="R29" s="1712">
        <v>30.533999999999999</v>
      </c>
      <c r="S29" s="1712">
        <v>29.771000000000001</v>
      </c>
      <c r="T29" s="1712">
        <v>29.027000000000001</v>
      </c>
      <c r="U29" s="759"/>
      <c r="V29" s="1703"/>
      <c r="X29" s="1711"/>
      <c r="Y29" s="1711"/>
      <c r="Z29" s="1711"/>
      <c r="AA29" s="1711"/>
    </row>
    <row r="30" spans="1:27" ht="15" customHeight="1">
      <c r="A30" s="1697" t="s">
        <v>1795</v>
      </c>
      <c r="C30" s="755" t="s">
        <v>790</v>
      </c>
      <c r="D30" s="755" t="s">
        <v>762</v>
      </c>
      <c r="E30" s="755" t="s">
        <v>796</v>
      </c>
      <c r="F30" s="755" t="s">
        <v>218</v>
      </c>
      <c r="G30" s="755" t="s">
        <v>1506</v>
      </c>
      <c r="H30" s="755" t="s">
        <v>1902</v>
      </c>
      <c r="I30" s="756"/>
      <c r="J30" s="756">
        <v>590.29100000000005</v>
      </c>
      <c r="K30" s="756" t="s">
        <v>230</v>
      </c>
      <c r="L30" s="1710">
        <f t="shared" si="8"/>
        <v>595.37095697074017</v>
      </c>
      <c r="M30" s="760"/>
      <c r="N30" s="760"/>
      <c r="O30" s="757">
        <f t="shared" si="4"/>
        <v>49.614246414228347</v>
      </c>
      <c r="P30" s="758">
        <v>0.63121902781990724</v>
      </c>
      <c r="Q30" s="756">
        <f t="shared" si="2"/>
        <v>31.317</v>
      </c>
      <c r="R30" s="1712">
        <v>32.1</v>
      </c>
      <c r="S30" s="1712">
        <v>32.902999999999999</v>
      </c>
      <c r="T30" s="1712">
        <v>33.725000000000001</v>
      </c>
      <c r="U30" s="759"/>
      <c r="V30" s="1703"/>
      <c r="X30" s="1711"/>
      <c r="Y30" s="1711"/>
      <c r="Z30" s="1711"/>
      <c r="AA30" s="1711"/>
    </row>
    <row r="31" spans="1:27" ht="15" customHeight="1">
      <c r="A31" s="1697" t="s">
        <v>1796</v>
      </c>
      <c r="C31" s="755" t="s">
        <v>790</v>
      </c>
      <c r="D31" s="755" t="s">
        <v>762</v>
      </c>
      <c r="E31" s="762" t="s">
        <v>1510</v>
      </c>
      <c r="F31" s="755" t="s">
        <v>213</v>
      </c>
      <c r="G31" s="762" t="s">
        <v>1511</v>
      </c>
      <c r="H31" s="755" t="s">
        <v>1509</v>
      </c>
      <c r="I31" s="756"/>
      <c r="J31" s="756">
        <v>160.994</v>
      </c>
      <c r="K31" s="756" t="s">
        <v>230</v>
      </c>
      <c r="L31" s="1710">
        <f t="shared" si="8"/>
        <v>162.37949053356283</v>
      </c>
      <c r="M31" s="760"/>
      <c r="N31" s="760"/>
      <c r="O31" s="757">
        <f>MAX(K31,L31)/3</f>
        <v>54.126496844520943</v>
      </c>
      <c r="P31" s="758">
        <v>0.54523359321100107</v>
      </c>
      <c r="Q31" s="756">
        <f t="shared" si="2"/>
        <v>29.512</v>
      </c>
      <c r="R31" s="756">
        <v>30.25</v>
      </c>
      <c r="S31" s="756">
        <v>31.006</v>
      </c>
      <c r="T31" s="756">
        <v>31.780999999999999</v>
      </c>
      <c r="U31" s="759"/>
      <c r="V31" s="1703"/>
      <c r="X31" s="1711"/>
      <c r="Y31" s="1711"/>
      <c r="Z31" s="1711"/>
      <c r="AA31" s="1711"/>
    </row>
    <row r="32" spans="1:27" ht="15" customHeight="1">
      <c r="A32" s="1697" t="s">
        <v>1797</v>
      </c>
      <c r="C32" s="755" t="s">
        <v>790</v>
      </c>
      <c r="D32" s="755" t="s">
        <v>762</v>
      </c>
      <c r="E32" s="762" t="s">
        <v>1512</v>
      </c>
      <c r="F32" s="755" t="s">
        <v>214</v>
      </c>
      <c r="G32" s="762" t="s">
        <v>1511</v>
      </c>
      <c r="H32" s="755" t="s">
        <v>1903</v>
      </c>
      <c r="I32" s="756"/>
      <c r="J32" s="756">
        <v>305.15600000000001</v>
      </c>
      <c r="K32" s="756" t="s">
        <v>230</v>
      </c>
      <c r="L32" s="1710">
        <f t="shared" si="8"/>
        <v>307.7821273666093</v>
      </c>
      <c r="M32" s="760"/>
      <c r="N32" s="760"/>
      <c r="O32" s="757">
        <f t="shared" ref="O32:O33" si="9">MAX(K32,L32)/3</f>
        <v>102.59404245553644</v>
      </c>
      <c r="P32" s="758">
        <v>1.2210197846765347</v>
      </c>
      <c r="Q32" s="756">
        <f t="shared" si="2"/>
        <v>125.26900000000001</v>
      </c>
      <c r="R32" s="1712">
        <v>122.137</v>
      </c>
      <c r="S32" s="1712">
        <v>119.084</v>
      </c>
      <c r="T32" s="1712">
        <v>116.107</v>
      </c>
      <c r="U32" s="759"/>
      <c r="V32" s="1703"/>
      <c r="X32" s="1711"/>
      <c r="Y32" s="1711"/>
      <c r="Z32" s="1711"/>
      <c r="AA32" s="1711"/>
    </row>
    <row r="33" spans="1:27" ht="15" customHeight="1">
      <c r="A33" s="1697" t="s">
        <v>1798</v>
      </c>
      <c r="C33" s="755" t="s">
        <v>790</v>
      </c>
      <c r="D33" s="755" t="s">
        <v>762</v>
      </c>
      <c r="E33" s="762" t="s">
        <v>1513</v>
      </c>
      <c r="F33" s="755" t="s">
        <v>215</v>
      </c>
      <c r="G33" s="762" t="s">
        <v>1511</v>
      </c>
      <c r="H33" s="755" t="s">
        <v>1902</v>
      </c>
      <c r="I33" s="756"/>
      <c r="J33" s="756">
        <v>590.29100000000005</v>
      </c>
      <c r="K33" s="756" t="s">
        <v>230</v>
      </c>
      <c r="L33" s="1710">
        <f t="shared" si="8"/>
        <v>595.37095697074017</v>
      </c>
      <c r="M33" s="760"/>
      <c r="N33" s="760"/>
      <c r="O33" s="757">
        <f t="shared" si="9"/>
        <v>198.45698565691339</v>
      </c>
      <c r="P33" s="758">
        <v>0.88369953225211895</v>
      </c>
      <c r="Q33" s="756">
        <f t="shared" si="2"/>
        <v>175.376</v>
      </c>
      <c r="R33" s="1712">
        <v>179.761</v>
      </c>
      <c r="S33" s="1712">
        <v>184.255</v>
      </c>
      <c r="T33" s="1712">
        <v>188.86099999999999</v>
      </c>
      <c r="U33" s="759"/>
      <c r="V33" s="1703"/>
      <c r="X33" s="1711"/>
      <c r="Y33" s="1711"/>
      <c r="Z33" s="1711"/>
      <c r="AA33" s="1711"/>
    </row>
    <row r="34" spans="1:27" ht="15" customHeight="1">
      <c r="A34" s="1697" t="s">
        <v>1799</v>
      </c>
      <c r="B34" s="1697" t="s">
        <v>1521</v>
      </c>
      <c r="C34" s="755" t="s">
        <v>790</v>
      </c>
      <c r="D34" s="755" t="s">
        <v>766</v>
      </c>
      <c r="E34" s="755" t="s">
        <v>1515</v>
      </c>
      <c r="F34" s="755" t="s">
        <v>807</v>
      </c>
      <c r="G34" s="755" t="s">
        <v>1504</v>
      </c>
      <c r="H34" s="755" t="s">
        <v>1505</v>
      </c>
      <c r="I34" s="756"/>
      <c r="J34" s="756">
        <v>659.84199999999998</v>
      </c>
      <c r="K34" s="1710" t="str">
        <f>IF(I34="","",I34*(1+$L$1))</f>
        <v/>
      </c>
      <c r="L34" s="1710">
        <f t="shared" si="8"/>
        <v>665.52050258175552</v>
      </c>
      <c r="M34" s="760"/>
      <c r="N34" s="760"/>
      <c r="O34" s="757">
        <f t="shared" si="4"/>
        <v>55.460041881812963</v>
      </c>
      <c r="P34" s="758">
        <v>0.62768369001724145</v>
      </c>
      <c r="Q34" s="756">
        <f t="shared" si="2"/>
        <v>34.811</v>
      </c>
      <c r="R34" s="756">
        <v>35.680999999999997</v>
      </c>
      <c r="S34" s="756">
        <v>36.573</v>
      </c>
      <c r="T34" s="756">
        <v>37.487000000000002</v>
      </c>
      <c r="U34" s="759"/>
      <c r="V34" s="1703"/>
      <c r="X34" s="1711"/>
      <c r="Y34" s="1711"/>
      <c r="Z34" s="1711"/>
      <c r="AA34" s="1711"/>
    </row>
    <row r="35" spans="1:27" ht="15" customHeight="1">
      <c r="A35" s="1697" t="s">
        <v>1800</v>
      </c>
      <c r="B35" s="1697" t="str">
        <f>C35&amp;E35</f>
        <v>WestDemand Large</v>
      </c>
      <c r="C35" s="755" t="s">
        <v>790</v>
      </c>
      <c r="D35" s="755" t="s">
        <v>766</v>
      </c>
      <c r="E35" s="755" t="s">
        <v>767</v>
      </c>
      <c r="F35" s="755" t="s">
        <v>187</v>
      </c>
      <c r="G35" s="755" t="s">
        <v>1516</v>
      </c>
      <c r="H35" s="755" t="s">
        <v>1505</v>
      </c>
      <c r="I35" s="756">
        <f>J35/0.9</f>
        <v>733.15777777777771</v>
      </c>
      <c r="J35" s="756">
        <v>659.84199999999998</v>
      </c>
      <c r="K35" s="1710">
        <f>IF(I35="","",I35*(1+$L$1))</f>
        <v>739.46722509083952</v>
      </c>
      <c r="L35" s="1710"/>
      <c r="M35" s="760"/>
      <c r="N35" s="760"/>
      <c r="O35" s="757">
        <f t="shared" si="4"/>
        <v>61.622268757569962</v>
      </c>
      <c r="P35" s="758">
        <v>0.9452273084445687</v>
      </c>
      <c r="Q35" s="756">
        <f t="shared" si="2"/>
        <v>58.247</v>
      </c>
      <c r="R35" s="1712">
        <v>59.703000000000003</v>
      </c>
      <c r="S35" s="1712">
        <v>61.195999999999998</v>
      </c>
      <c r="T35" s="1712">
        <v>62.725999999999999</v>
      </c>
      <c r="U35" s="759"/>
      <c r="V35" s="1703"/>
      <c r="X35" s="1711"/>
      <c r="Y35" s="1711"/>
      <c r="Z35" s="1711"/>
      <c r="AA35" s="1711"/>
    </row>
    <row r="36" spans="1:27" ht="15" customHeight="1">
      <c r="A36" s="1697" t="s">
        <v>1819</v>
      </c>
      <c r="C36" s="755" t="s">
        <v>790</v>
      </c>
      <c r="D36" s="755" t="s">
        <v>766</v>
      </c>
      <c r="E36" s="755" t="s">
        <v>767</v>
      </c>
      <c r="F36" s="755" t="s">
        <v>187</v>
      </c>
      <c r="G36" s="755" t="s">
        <v>1506</v>
      </c>
      <c r="H36" s="755" t="s">
        <v>1505</v>
      </c>
      <c r="I36" s="756"/>
      <c r="J36" s="756">
        <v>659.84199999999998</v>
      </c>
      <c r="K36" s="756" t="s">
        <v>230</v>
      </c>
      <c r="L36" s="1710">
        <f>IF(J36="","",J36*(1+$L$1))</f>
        <v>665.52050258175552</v>
      </c>
      <c r="M36" s="760"/>
      <c r="N36" s="760"/>
      <c r="O36" s="757">
        <f t="shared" si="4"/>
        <v>55.460041881812963</v>
      </c>
      <c r="P36" s="758">
        <f>P35</f>
        <v>0.9452273084445687</v>
      </c>
      <c r="Q36" s="756">
        <f t="shared" si="2"/>
        <v>52.421999999999997</v>
      </c>
      <c r="R36" s="756">
        <v>53.732999999999997</v>
      </c>
      <c r="S36" s="756">
        <v>55.076000000000001</v>
      </c>
      <c r="T36" s="756">
        <v>56.453000000000003</v>
      </c>
      <c r="U36" s="759"/>
      <c r="V36" s="1703"/>
      <c r="X36" s="1711"/>
      <c r="Y36" s="1711"/>
      <c r="Z36" s="1711"/>
      <c r="AA36" s="1711"/>
    </row>
    <row r="37" spans="1:27" ht="15" customHeight="1">
      <c r="A37" s="1697" t="s">
        <v>1801</v>
      </c>
      <c r="B37" s="1697" t="str">
        <f>C37&amp;E37</f>
        <v>WestDemand Medium</v>
      </c>
      <c r="C37" s="755" t="s">
        <v>790</v>
      </c>
      <c r="D37" s="755" t="s">
        <v>766</v>
      </c>
      <c r="E37" s="755" t="s">
        <v>799</v>
      </c>
      <c r="F37" s="755" t="s">
        <v>188</v>
      </c>
      <c r="G37" s="755" t="s">
        <v>1516</v>
      </c>
      <c r="H37" s="755" t="s">
        <v>1505</v>
      </c>
      <c r="I37" s="756">
        <f>J37/0.9</f>
        <v>733.15777777777771</v>
      </c>
      <c r="J37" s="756">
        <v>659.84199999999998</v>
      </c>
      <c r="K37" s="1710">
        <f>IF(I37="","",I37*(1+$L$1))</f>
        <v>739.46722509083952</v>
      </c>
      <c r="L37" s="756" t="s">
        <v>230</v>
      </c>
      <c r="M37" s="760"/>
      <c r="N37" s="760"/>
      <c r="O37" s="757">
        <f t="shared" si="4"/>
        <v>61.622268757569962</v>
      </c>
      <c r="P37" s="758">
        <v>1.1072595545222002</v>
      </c>
      <c r="Q37" s="756">
        <f t="shared" si="2"/>
        <v>68.231999999999999</v>
      </c>
      <c r="R37" s="756">
        <v>66.525999999999996</v>
      </c>
      <c r="S37" s="756">
        <v>64.863</v>
      </c>
      <c r="T37" s="756">
        <v>63.241999999999997</v>
      </c>
      <c r="U37" s="759"/>
      <c r="V37" s="1703"/>
      <c r="X37" s="1711"/>
      <c r="Y37" s="1711"/>
      <c r="Z37" s="1711"/>
      <c r="AA37" s="1711"/>
    </row>
    <row r="38" spans="1:27" ht="15" customHeight="1">
      <c r="A38" s="1697" t="s">
        <v>1821</v>
      </c>
      <c r="C38" s="755" t="s">
        <v>790</v>
      </c>
      <c r="D38" s="755" t="s">
        <v>766</v>
      </c>
      <c r="E38" s="755" t="s">
        <v>799</v>
      </c>
      <c r="F38" s="755" t="s">
        <v>188</v>
      </c>
      <c r="G38" s="755" t="s">
        <v>1506</v>
      </c>
      <c r="H38" s="755" t="s">
        <v>1505</v>
      </c>
      <c r="I38" s="756"/>
      <c r="J38" s="756">
        <v>659.84199999999998</v>
      </c>
      <c r="K38" s="756" t="s">
        <v>230</v>
      </c>
      <c r="L38" s="1710">
        <f>IF(J38="","",J38*(1+$L$1))</f>
        <v>665.52050258175552</v>
      </c>
      <c r="M38" s="760"/>
      <c r="N38" s="760"/>
      <c r="O38" s="757">
        <f t="shared" si="4"/>
        <v>55.460041881812963</v>
      </c>
      <c r="P38" s="758">
        <f>P37</f>
        <v>1.1072595545222002</v>
      </c>
      <c r="Q38" s="756">
        <f t="shared" si="2"/>
        <v>61.408999999999999</v>
      </c>
      <c r="R38" s="756">
        <v>59.872999999999998</v>
      </c>
      <c r="S38" s="756">
        <v>58.377000000000002</v>
      </c>
      <c r="T38" s="756">
        <v>56.917999999999999</v>
      </c>
      <c r="U38" s="759"/>
      <c r="V38" s="1703"/>
      <c r="X38" s="1711"/>
      <c r="Y38" s="1711"/>
      <c r="Z38" s="1711"/>
      <c r="AA38" s="1711"/>
    </row>
    <row r="39" spans="1:27" ht="15" customHeight="1">
      <c r="A39" s="1697" t="s">
        <v>1802</v>
      </c>
      <c r="B39" s="1697" t="str">
        <f>C39&amp;E39</f>
        <v>WestDemand Small</v>
      </c>
      <c r="C39" s="755" t="s">
        <v>790</v>
      </c>
      <c r="D39" s="755" t="s">
        <v>766</v>
      </c>
      <c r="E39" s="755" t="s">
        <v>768</v>
      </c>
      <c r="F39" s="755" t="s">
        <v>189</v>
      </c>
      <c r="G39" s="755" t="s">
        <v>1516</v>
      </c>
      <c r="H39" s="755" t="s">
        <v>1505</v>
      </c>
      <c r="I39" s="756">
        <f>J39/0.9</f>
        <v>733.15777777777771</v>
      </c>
      <c r="J39" s="756">
        <v>659.84199999999998</v>
      </c>
      <c r="K39" s="1710">
        <f>IF(I39="","",I39*(1+$L$1))</f>
        <v>739.46722509083952</v>
      </c>
      <c r="L39" s="756" t="s">
        <v>230</v>
      </c>
      <c r="M39" s="760"/>
      <c r="N39" s="760"/>
      <c r="O39" s="757">
        <f t="shared" si="4"/>
        <v>61.622268757569962</v>
      </c>
      <c r="P39" s="758">
        <v>1.057743541597711</v>
      </c>
      <c r="Q39" s="756">
        <f t="shared" si="2"/>
        <v>65.180999999999997</v>
      </c>
      <c r="R39" s="756">
        <v>63.552</v>
      </c>
      <c r="S39" s="756">
        <v>61.963000000000001</v>
      </c>
      <c r="T39" s="756">
        <v>60.414000000000001</v>
      </c>
      <c r="U39" s="759"/>
      <c r="V39" s="1703"/>
      <c r="X39" s="1711"/>
      <c r="Y39" s="1711"/>
      <c r="Z39" s="1711"/>
      <c r="AA39" s="1711"/>
    </row>
    <row r="40" spans="1:27" ht="15" customHeight="1">
      <c r="A40" s="1697" t="s">
        <v>1822</v>
      </c>
      <c r="C40" s="755" t="s">
        <v>790</v>
      </c>
      <c r="D40" s="755" t="s">
        <v>766</v>
      </c>
      <c r="E40" s="755" t="s">
        <v>768</v>
      </c>
      <c r="F40" s="755" t="s">
        <v>189</v>
      </c>
      <c r="G40" s="755" t="s">
        <v>1506</v>
      </c>
      <c r="H40" s="755" t="s">
        <v>1505</v>
      </c>
      <c r="I40" s="756"/>
      <c r="J40" s="756">
        <v>659.84199999999998</v>
      </c>
      <c r="K40" s="756" t="s">
        <v>230</v>
      </c>
      <c r="L40" s="1710">
        <f>IF(J40="","",J40*(1+$L$1))</f>
        <v>665.52050258175552</v>
      </c>
      <c r="M40" s="760"/>
      <c r="N40" s="760"/>
      <c r="O40" s="757">
        <f t="shared" si="4"/>
        <v>55.460041881812963</v>
      </c>
      <c r="P40" s="758">
        <f>P39</f>
        <v>1.057743541597711</v>
      </c>
      <c r="Q40" s="756">
        <f t="shared" si="2"/>
        <v>58.662999999999997</v>
      </c>
      <c r="R40" s="756">
        <v>57.197000000000003</v>
      </c>
      <c r="S40" s="756">
        <v>55.767000000000003</v>
      </c>
      <c r="T40" s="756">
        <v>54.372999999999998</v>
      </c>
      <c r="U40" s="759"/>
      <c r="V40" s="1703"/>
      <c r="X40" s="1711"/>
      <c r="Y40" s="1711"/>
      <c r="Z40" s="1711"/>
      <c r="AA40" s="1711"/>
    </row>
    <row r="41" spans="1:27" ht="15" customHeight="1">
      <c r="A41" s="1697" t="s">
        <v>1806</v>
      </c>
      <c r="B41" s="1697" t="str">
        <f t="shared" ref="B41:B49" si="10">C41&amp;E41</f>
        <v>WestSeasonal TOU Demand</v>
      </c>
      <c r="C41" s="755" t="s">
        <v>790</v>
      </c>
      <c r="D41" s="755" t="s">
        <v>766</v>
      </c>
      <c r="E41" s="755" t="s">
        <v>801</v>
      </c>
      <c r="F41" s="755" t="s">
        <v>1522</v>
      </c>
      <c r="G41" s="755" t="s">
        <v>1519</v>
      </c>
      <c r="H41" s="755" t="s">
        <v>1505</v>
      </c>
      <c r="I41" s="756">
        <f t="shared" ref="I41:I47" si="11">J41/0.9</f>
        <v>733.15777777777771</v>
      </c>
      <c r="J41" s="756">
        <v>659.84199999999998</v>
      </c>
      <c r="K41" s="1710">
        <f t="shared" ref="K41:K47" si="12">IF(I41="","",I41*(1+$L$1))</f>
        <v>739.46722509083952</v>
      </c>
      <c r="L41" s="756" t="s">
        <v>230</v>
      </c>
      <c r="M41" s="760"/>
      <c r="N41" s="760"/>
      <c r="O41" s="757">
        <f>MAX(K41,L41) * 0.76 /3</f>
        <v>187.33169702301268</v>
      </c>
      <c r="P41" s="758">
        <v>0.8719629881077805</v>
      </c>
      <c r="Q41" s="756">
        <f t="shared" si="2"/>
        <v>163.346</v>
      </c>
      <c r="R41" s="756">
        <v>167.43</v>
      </c>
      <c r="S41" s="756">
        <v>168.87100000000001</v>
      </c>
      <c r="T41" s="756">
        <v>170.32400000000001</v>
      </c>
      <c r="U41" s="759"/>
      <c r="V41" s="1703"/>
      <c r="X41" s="1711"/>
      <c r="Y41" s="1711"/>
      <c r="Z41" s="1711"/>
      <c r="AA41" s="1711"/>
    </row>
    <row r="42" spans="1:27" ht="15" customHeight="1">
      <c r="A42" s="1697" t="s">
        <v>1808</v>
      </c>
      <c r="B42" s="1697" t="str">
        <f t="shared" si="10"/>
        <v>WestSmall Business Demand</v>
      </c>
      <c r="C42" s="755" t="s">
        <v>790</v>
      </c>
      <c r="D42" s="755" t="s">
        <v>770</v>
      </c>
      <c r="E42" s="755" t="s">
        <v>782</v>
      </c>
      <c r="F42" s="755" t="s">
        <v>828</v>
      </c>
      <c r="G42" s="755" t="s">
        <v>1507</v>
      </c>
      <c r="H42" s="755" t="s">
        <v>1505</v>
      </c>
      <c r="I42" s="756">
        <f t="shared" si="11"/>
        <v>733.15777777777771</v>
      </c>
      <c r="J42" s="756">
        <v>659.84199999999998</v>
      </c>
      <c r="K42" s="1710">
        <f t="shared" si="12"/>
        <v>739.46722509083952</v>
      </c>
      <c r="L42" s="756" t="s">
        <v>230</v>
      </c>
      <c r="M42" s="760"/>
      <c r="N42" s="760"/>
      <c r="O42" s="757">
        <f t="shared" si="4"/>
        <v>61.622268757569962</v>
      </c>
      <c r="P42" s="758">
        <v>0.16896104367053949</v>
      </c>
      <c r="Q42" s="756">
        <f t="shared" si="2"/>
        <v>10.412000000000001</v>
      </c>
      <c r="R42" s="756">
        <v>10.673</v>
      </c>
      <c r="S42" s="756">
        <v>10.939</v>
      </c>
      <c r="T42" s="756">
        <v>11.212999999999999</v>
      </c>
      <c r="U42" s="759"/>
      <c r="V42" s="1703"/>
      <c r="X42" s="1711"/>
      <c r="Y42" s="1711"/>
      <c r="Z42" s="1711"/>
      <c r="AA42" s="1711"/>
    </row>
    <row r="43" spans="1:27" ht="15" customHeight="1">
      <c r="A43" s="1697" t="s">
        <v>1809</v>
      </c>
      <c r="B43" s="1697" t="str">
        <f t="shared" si="10"/>
        <v>WestSmall Business Transitional Demand</v>
      </c>
      <c r="C43" s="755" t="s">
        <v>790</v>
      </c>
      <c r="D43" s="755" t="s">
        <v>770</v>
      </c>
      <c r="E43" s="755" t="s">
        <v>780</v>
      </c>
      <c r="F43" s="755" t="s">
        <v>827</v>
      </c>
      <c r="G43" s="755" t="s">
        <v>1520</v>
      </c>
      <c r="H43" s="755" t="s">
        <v>1505</v>
      </c>
      <c r="I43" s="756">
        <f t="shared" si="11"/>
        <v>733.15777777777771</v>
      </c>
      <c r="J43" s="756">
        <v>659.84199999999998</v>
      </c>
      <c r="K43" s="1710">
        <f t="shared" si="12"/>
        <v>739.46722509083952</v>
      </c>
      <c r="L43" s="756" t="s">
        <v>230</v>
      </c>
      <c r="M43" s="760"/>
      <c r="N43" s="760"/>
      <c r="O43" s="757">
        <f t="shared" si="4"/>
        <v>61.622268757569962</v>
      </c>
      <c r="P43" s="758">
        <v>1.4071705161155263E-2</v>
      </c>
      <c r="Q43" s="756">
        <f t="shared" si="2"/>
        <v>0.86699999999999999</v>
      </c>
      <c r="R43" s="756">
        <v>0.88900000000000001</v>
      </c>
      <c r="S43" s="756">
        <v>0.91100000000000003</v>
      </c>
      <c r="T43" s="756">
        <v>0.93400000000000005</v>
      </c>
      <c r="U43" s="759"/>
      <c r="V43" s="1703"/>
      <c r="X43" s="1711"/>
      <c r="Y43" s="1711"/>
      <c r="Z43" s="1711"/>
      <c r="AA43" s="1711"/>
    </row>
    <row r="44" spans="1:27" ht="15" customHeight="1">
      <c r="A44" s="1697" t="s">
        <v>1810</v>
      </c>
      <c r="B44" s="1697" t="str">
        <f t="shared" si="10"/>
        <v>WestSmall Business ToU Energy</v>
      </c>
      <c r="C44" s="755" t="s">
        <v>790</v>
      </c>
      <c r="D44" s="755" t="s">
        <v>770</v>
      </c>
      <c r="E44" s="755" t="s">
        <v>771</v>
      </c>
      <c r="F44" s="755" t="s">
        <v>825</v>
      </c>
      <c r="G44" s="755" t="s">
        <v>1508</v>
      </c>
      <c r="H44" s="755" t="s">
        <v>1505</v>
      </c>
      <c r="I44" s="756">
        <f t="shared" si="11"/>
        <v>733.15777777777771</v>
      </c>
      <c r="J44" s="756">
        <v>659.84199999999998</v>
      </c>
      <c r="K44" s="1710">
        <f t="shared" si="12"/>
        <v>739.46722509083952</v>
      </c>
      <c r="L44" s="756" t="s">
        <v>230</v>
      </c>
      <c r="M44" s="760">
        <v>86054.579990188809</v>
      </c>
      <c r="N44" s="760">
        <v>27490537.943950608</v>
      </c>
      <c r="O44" s="761">
        <f>MAX(K44,L44)*M44/N44</f>
        <v>2.3147797835547856</v>
      </c>
      <c r="P44" s="758">
        <v>0.27314307006080502</v>
      </c>
      <c r="Q44" s="761">
        <f xml:space="preserve"> ROUND(O44*P44,5)</f>
        <v>0.63227</v>
      </c>
      <c r="R44" s="761">
        <v>0.64807999999999999</v>
      </c>
      <c r="S44" s="761">
        <v>0.66427999999999998</v>
      </c>
      <c r="T44" s="761">
        <v>0.68089</v>
      </c>
      <c r="U44" s="1704"/>
      <c r="V44" s="1705"/>
      <c r="X44" s="1711"/>
      <c r="Y44" s="1711"/>
      <c r="Z44" s="1711"/>
      <c r="AA44" s="1711"/>
    </row>
    <row r="45" spans="1:27" ht="15" customHeight="1">
      <c r="A45" s="1697" t="s">
        <v>1812</v>
      </c>
      <c r="B45" s="1697" t="str">
        <f t="shared" si="10"/>
        <v>WestResidential Demand</v>
      </c>
      <c r="C45" s="755" t="s">
        <v>790</v>
      </c>
      <c r="D45" s="755" t="s">
        <v>784</v>
      </c>
      <c r="E45" s="755" t="s">
        <v>787</v>
      </c>
      <c r="F45" s="755" t="s">
        <v>840</v>
      </c>
      <c r="G45" s="755" t="s">
        <v>1507</v>
      </c>
      <c r="H45" s="755" t="s">
        <v>1505</v>
      </c>
      <c r="I45" s="756">
        <f t="shared" si="11"/>
        <v>733.15777777777771</v>
      </c>
      <c r="J45" s="756">
        <v>659.84199999999998</v>
      </c>
      <c r="K45" s="1710">
        <f t="shared" si="12"/>
        <v>739.46722509083952</v>
      </c>
      <c r="L45" s="756" t="s">
        <v>230</v>
      </c>
      <c r="M45" s="760"/>
      <c r="N45" s="760"/>
      <c r="O45" s="757">
        <f t="shared" si="4"/>
        <v>61.622268757569962</v>
      </c>
      <c r="P45" s="758">
        <v>0.27639722364829067</v>
      </c>
      <c r="Q45" s="756">
        <f t="shared" si="2"/>
        <v>17.032</v>
      </c>
      <c r="R45" s="756">
        <v>17.457999999999998</v>
      </c>
      <c r="S45" s="756">
        <v>17.895</v>
      </c>
      <c r="T45" s="756">
        <v>18.341999999999999</v>
      </c>
      <c r="U45" s="759"/>
      <c r="V45" s="1703"/>
      <c r="X45" s="1711"/>
      <c r="Y45" s="1711"/>
      <c r="Z45" s="1711"/>
      <c r="AA45" s="1711"/>
    </row>
    <row r="46" spans="1:27" ht="15" customHeight="1">
      <c r="A46" s="1697" t="s">
        <v>1813</v>
      </c>
      <c r="B46" s="1697" t="str">
        <f t="shared" si="10"/>
        <v>WestResidential Transitional Demand</v>
      </c>
      <c r="C46" s="755" t="s">
        <v>790</v>
      </c>
      <c r="D46" s="755" t="s">
        <v>784</v>
      </c>
      <c r="E46" s="755" t="s">
        <v>786</v>
      </c>
      <c r="F46" s="755" t="s">
        <v>839</v>
      </c>
      <c r="G46" s="755" t="s">
        <v>1507</v>
      </c>
      <c r="H46" s="755" t="s">
        <v>1505</v>
      </c>
      <c r="I46" s="756">
        <f t="shared" si="11"/>
        <v>733.15777777777771</v>
      </c>
      <c r="J46" s="756">
        <v>659.84199999999998</v>
      </c>
      <c r="K46" s="1710">
        <f t="shared" si="12"/>
        <v>739.46722509083952</v>
      </c>
      <c r="L46" s="756" t="s">
        <v>230</v>
      </c>
      <c r="M46" s="760"/>
      <c r="N46" s="760"/>
      <c r="O46" s="757">
        <f t="shared" si="4"/>
        <v>61.622268757569962</v>
      </c>
      <c r="P46" s="758">
        <v>2.7643507461796255E-2</v>
      </c>
      <c r="Q46" s="756">
        <f t="shared" si="2"/>
        <v>1.7030000000000001</v>
      </c>
      <c r="R46" s="756">
        <v>1.7450000000000001</v>
      </c>
      <c r="S46" s="756">
        <v>1.7889999999999999</v>
      </c>
      <c r="T46" s="756">
        <v>1.8340000000000001</v>
      </c>
      <c r="U46" s="759"/>
      <c r="V46" s="1703"/>
      <c r="X46" s="1711"/>
      <c r="Y46" s="1711"/>
      <c r="Z46" s="1711"/>
      <c r="AA46" s="1711"/>
    </row>
    <row r="47" spans="1:27" ht="15" customHeight="1">
      <c r="A47" s="1697" t="s">
        <v>1814</v>
      </c>
      <c r="B47" s="1697" t="str">
        <f t="shared" si="10"/>
        <v>WestResidential ToU Energy</v>
      </c>
      <c r="C47" s="755" t="s">
        <v>790</v>
      </c>
      <c r="D47" s="755" t="s">
        <v>784</v>
      </c>
      <c r="E47" s="755" t="s">
        <v>785</v>
      </c>
      <c r="F47" s="755" t="s">
        <v>838</v>
      </c>
      <c r="G47" s="755" t="s">
        <v>1508</v>
      </c>
      <c r="H47" s="755" t="s">
        <v>1505</v>
      </c>
      <c r="I47" s="756">
        <f t="shared" si="11"/>
        <v>733.15777777777771</v>
      </c>
      <c r="J47" s="756">
        <v>659.84199999999998</v>
      </c>
      <c r="K47" s="1710">
        <f t="shared" si="12"/>
        <v>739.46722509083952</v>
      </c>
      <c r="L47" s="756" t="s">
        <v>230</v>
      </c>
      <c r="M47" s="760">
        <v>148767.87060729196</v>
      </c>
      <c r="N47" s="760">
        <v>66570103.096960232</v>
      </c>
      <c r="O47" s="761">
        <f>MAX(K47,L47)*M47/N47</f>
        <v>1.6525280770621273</v>
      </c>
      <c r="P47" s="758">
        <v>0.30404999999999999</v>
      </c>
      <c r="Q47" s="761">
        <f xml:space="preserve"> ROUND(O47*P47,5)</f>
        <v>0.50244999999999995</v>
      </c>
      <c r="R47" s="761">
        <v>0.51500999999999997</v>
      </c>
      <c r="S47" s="761">
        <v>0.52788999999999997</v>
      </c>
      <c r="T47" s="761">
        <v>0.54108000000000001</v>
      </c>
      <c r="U47" s="1704"/>
      <c r="V47" s="1705"/>
      <c r="X47" s="1711"/>
      <c r="Y47" s="1711"/>
      <c r="Z47" s="1711"/>
      <c r="AA47" s="1711"/>
    </row>
    <row r="48" spans="1:27" ht="15" customHeight="1">
      <c r="A48" s="1697" t="s">
        <v>1816</v>
      </c>
      <c r="B48" s="1697" t="s">
        <v>1523</v>
      </c>
      <c r="C48" s="755" t="s">
        <v>791</v>
      </c>
      <c r="D48" s="755" t="s">
        <v>766</v>
      </c>
      <c r="E48" s="755" t="s">
        <v>1515</v>
      </c>
      <c r="F48" s="755" t="s">
        <v>811</v>
      </c>
      <c r="G48" s="755" t="s">
        <v>1504</v>
      </c>
      <c r="H48" s="755" t="s">
        <v>1505</v>
      </c>
      <c r="I48" s="756"/>
      <c r="J48" s="756">
        <v>103.056</v>
      </c>
      <c r="K48" s="1710"/>
      <c r="L48" s="1710">
        <f>IF(J48="","",J48*(1+$L$1))</f>
        <v>103.94288468158348</v>
      </c>
      <c r="M48" s="760"/>
      <c r="N48" s="760"/>
      <c r="O48" s="757">
        <f t="shared" si="4"/>
        <v>8.6619070567986238</v>
      </c>
      <c r="P48" s="758">
        <v>1.3751905882352939</v>
      </c>
      <c r="Q48" s="756">
        <f t="shared" si="2"/>
        <v>11.912000000000001</v>
      </c>
      <c r="R48" s="1712">
        <v>11.614000000000001</v>
      </c>
      <c r="S48" s="1712">
        <v>11.324</v>
      </c>
      <c r="T48" s="1712">
        <v>11.041</v>
      </c>
      <c r="U48" s="759"/>
      <c r="V48" s="1703"/>
      <c r="X48" s="1711"/>
      <c r="Y48" s="1711"/>
      <c r="Z48" s="1711"/>
      <c r="AA48" s="1711"/>
    </row>
    <row r="49" spans="1:27" ht="15" customHeight="1">
      <c r="A49" s="1697" t="s">
        <v>1803</v>
      </c>
      <c r="B49" s="1697" t="str">
        <f t="shared" si="10"/>
        <v>Mt IsaDemand Large</v>
      </c>
      <c r="C49" s="755" t="s">
        <v>791</v>
      </c>
      <c r="D49" s="755" t="s">
        <v>766</v>
      </c>
      <c r="E49" s="755" t="s">
        <v>767</v>
      </c>
      <c r="F49" s="755" t="s">
        <v>190</v>
      </c>
      <c r="G49" s="755" t="s">
        <v>1516</v>
      </c>
      <c r="H49" s="755" t="s">
        <v>1505</v>
      </c>
      <c r="I49" s="756">
        <f>J49/0.9</f>
        <v>114.50666666666666</v>
      </c>
      <c r="J49" s="756">
        <v>103.056</v>
      </c>
      <c r="K49" s="1710">
        <f>IF(I49="","",I49*(1+$L$1))</f>
        <v>115.49209409064829</v>
      </c>
      <c r="L49" s="756" t="s">
        <v>230</v>
      </c>
      <c r="M49" s="760"/>
      <c r="N49" s="760"/>
      <c r="O49" s="757">
        <f t="shared" si="4"/>
        <v>9.6243411742206906</v>
      </c>
      <c r="P49" s="758">
        <v>1.0868099975787462</v>
      </c>
      <c r="Q49" s="756">
        <f t="shared" si="2"/>
        <v>10.46</v>
      </c>
      <c r="R49" s="1712">
        <v>10.199</v>
      </c>
      <c r="S49" s="1712">
        <v>9.9440000000000008</v>
      </c>
      <c r="T49" s="1712">
        <v>9.6950000000000003</v>
      </c>
      <c r="U49" s="759"/>
      <c r="V49" s="1703"/>
      <c r="X49" s="1711"/>
      <c r="Y49" s="1711"/>
      <c r="Z49" s="1711"/>
      <c r="AA49" s="1711"/>
    </row>
    <row r="50" spans="1:27" ht="15" customHeight="1">
      <c r="A50" s="1697" t="s">
        <v>1823</v>
      </c>
      <c r="C50" s="755" t="s">
        <v>791</v>
      </c>
      <c r="D50" s="755" t="s">
        <v>766</v>
      </c>
      <c r="E50" s="755" t="s">
        <v>767</v>
      </c>
      <c r="F50" s="755" t="s">
        <v>190</v>
      </c>
      <c r="G50" s="755" t="s">
        <v>1506</v>
      </c>
      <c r="H50" s="755" t="s">
        <v>1505</v>
      </c>
      <c r="I50" s="756"/>
      <c r="J50" s="756">
        <v>103.056</v>
      </c>
      <c r="K50" s="756" t="s">
        <v>230</v>
      </c>
      <c r="L50" s="1710">
        <f>IF(J50="","",J50*(1+$L$1))</f>
        <v>103.94288468158348</v>
      </c>
      <c r="M50" s="760"/>
      <c r="N50" s="760"/>
      <c r="O50" s="757">
        <f t="shared" si="4"/>
        <v>8.6619070567986238</v>
      </c>
      <c r="P50" s="758">
        <f>P49</f>
        <v>1.0868099975787462</v>
      </c>
      <c r="Q50" s="756">
        <f t="shared" si="2"/>
        <v>9.4139999999999997</v>
      </c>
      <c r="R50" s="756">
        <v>9.1790000000000003</v>
      </c>
      <c r="S50" s="756">
        <v>8.9499999999999993</v>
      </c>
      <c r="T50" s="756">
        <v>8.7260000000000009</v>
      </c>
      <c r="U50" s="759"/>
      <c r="V50" s="1703"/>
      <c r="X50" s="1711"/>
      <c r="Y50" s="1711"/>
      <c r="Z50" s="1711"/>
      <c r="AA50" s="1711"/>
    </row>
    <row r="51" spans="1:27" ht="15" customHeight="1">
      <c r="A51" s="1697" t="s">
        <v>1804</v>
      </c>
      <c r="B51" s="1697" t="str">
        <f>C51&amp;E51</f>
        <v>Mt IsaDemand Medium</v>
      </c>
      <c r="C51" s="755" t="s">
        <v>791</v>
      </c>
      <c r="D51" s="755" t="s">
        <v>766</v>
      </c>
      <c r="E51" s="755" t="s">
        <v>799</v>
      </c>
      <c r="F51" s="755" t="s">
        <v>191</v>
      </c>
      <c r="G51" s="755" t="s">
        <v>1516</v>
      </c>
      <c r="H51" s="755" t="s">
        <v>1505</v>
      </c>
      <c r="I51" s="756">
        <f>J51/0.9</f>
        <v>114.50666666666666</v>
      </c>
      <c r="J51" s="756">
        <v>103.056</v>
      </c>
      <c r="K51" s="1710">
        <f>IF(I51="","",I51*(1+$L$1))</f>
        <v>115.49209409064829</v>
      </c>
      <c r="L51" s="756" t="s">
        <v>230</v>
      </c>
      <c r="M51" s="760"/>
      <c r="N51" s="760"/>
      <c r="O51" s="757">
        <f t="shared" si="4"/>
        <v>9.6243411742206906</v>
      </c>
      <c r="P51" s="758">
        <v>1.3943712164179105</v>
      </c>
      <c r="Q51" s="756">
        <f t="shared" si="2"/>
        <v>13.42</v>
      </c>
      <c r="R51" s="1712">
        <v>13.085000000000001</v>
      </c>
      <c r="S51" s="1712">
        <v>12.757999999999999</v>
      </c>
      <c r="T51" s="1712">
        <v>12.439</v>
      </c>
      <c r="U51" s="759"/>
      <c r="V51" s="1703"/>
      <c r="X51" s="1711"/>
      <c r="Y51" s="1711"/>
      <c r="Z51" s="1711"/>
      <c r="AA51" s="1711"/>
    </row>
    <row r="52" spans="1:27" ht="15" customHeight="1">
      <c r="A52" s="1697" t="s">
        <v>1824</v>
      </c>
      <c r="C52" s="755" t="s">
        <v>791</v>
      </c>
      <c r="D52" s="755" t="s">
        <v>766</v>
      </c>
      <c r="E52" s="755" t="s">
        <v>799</v>
      </c>
      <c r="F52" s="755" t="s">
        <v>191</v>
      </c>
      <c r="G52" s="755" t="s">
        <v>1506</v>
      </c>
      <c r="H52" s="755" t="s">
        <v>1505</v>
      </c>
      <c r="I52" s="756"/>
      <c r="J52" s="756">
        <v>103.056</v>
      </c>
      <c r="K52" s="756" t="s">
        <v>230</v>
      </c>
      <c r="L52" s="1710">
        <f>IF(J52="","",J52*(1+$L$1))</f>
        <v>103.94288468158348</v>
      </c>
      <c r="M52" s="760"/>
      <c r="N52" s="760"/>
      <c r="O52" s="757">
        <f t="shared" si="4"/>
        <v>8.6619070567986238</v>
      </c>
      <c r="P52" s="758">
        <f>P51</f>
        <v>1.3943712164179105</v>
      </c>
      <c r="Q52" s="756">
        <f t="shared" si="2"/>
        <v>12.077999999999999</v>
      </c>
      <c r="R52" s="1712">
        <v>11.776999999999999</v>
      </c>
      <c r="S52" s="1712">
        <v>11.481999999999999</v>
      </c>
      <c r="T52" s="1712">
        <v>11.195</v>
      </c>
      <c r="U52" s="759"/>
      <c r="V52" s="1703"/>
      <c r="X52" s="1711"/>
      <c r="Y52" s="1711"/>
      <c r="Z52" s="1711"/>
      <c r="AA52" s="1711"/>
    </row>
    <row r="53" spans="1:27" ht="15" customHeight="1">
      <c r="A53" s="1697" t="s">
        <v>1805</v>
      </c>
      <c r="B53" s="1697" t="str">
        <f>C53&amp;E53</f>
        <v>Mt IsaDemand Small</v>
      </c>
      <c r="C53" s="755" t="s">
        <v>791</v>
      </c>
      <c r="D53" s="755" t="s">
        <v>766</v>
      </c>
      <c r="E53" s="755" t="s">
        <v>768</v>
      </c>
      <c r="F53" s="755" t="s">
        <v>192</v>
      </c>
      <c r="G53" s="755" t="s">
        <v>1516</v>
      </c>
      <c r="H53" s="755" t="s">
        <v>1505</v>
      </c>
      <c r="I53" s="756">
        <f>J53/0.9</f>
        <v>114.50666666666666</v>
      </c>
      <c r="J53" s="756">
        <v>103.056</v>
      </c>
      <c r="K53" s="1710">
        <f>IF(I53="","",I53*(1+$L$1))</f>
        <v>115.49209409064829</v>
      </c>
      <c r="L53" s="756" t="s">
        <v>230</v>
      </c>
      <c r="M53" s="760"/>
      <c r="N53" s="760"/>
      <c r="O53" s="757">
        <f t="shared" si="4"/>
        <v>9.6243411742206906</v>
      </c>
      <c r="P53" s="758">
        <v>1.5342645714285714</v>
      </c>
      <c r="Q53" s="756">
        <f t="shared" si="2"/>
        <v>14.766</v>
      </c>
      <c r="R53" s="1712">
        <v>14.396000000000001</v>
      </c>
      <c r="S53" s="1712">
        <v>14.036</v>
      </c>
      <c r="T53" s="1712">
        <v>13.686</v>
      </c>
      <c r="U53" s="759"/>
      <c r="V53" s="1703"/>
      <c r="X53" s="1711"/>
      <c r="Y53" s="1711"/>
      <c r="Z53" s="1711"/>
      <c r="AA53" s="1711"/>
    </row>
    <row r="54" spans="1:27" ht="15" customHeight="1">
      <c r="A54" s="1697" t="s">
        <v>1825</v>
      </c>
      <c r="C54" s="755" t="s">
        <v>791</v>
      </c>
      <c r="D54" s="755" t="s">
        <v>766</v>
      </c>
      <c r="E54" s="755" t="s">
        <v>768</v>
      </c>
      <c r="F54" s="755" t="s">
        <v>192</v>
      </c>
      <c r="G54" s="755" t="s">
        <v>1506</v>
      </c>
      <c r="H54" s="755" t="s">
        <v>1505</v>
      </c>
      <c r="I54" s="756"/>
      <c r="J54" s="756">
        <v>103.056</v>
      </c>
      <c r="K54" s="756" t="s">
        <v>230</v>
      </c>
      <c r="L54" s="1710">
        <f>IF(J54="","",J54*(1+$L$1))</f>
        <v>103.94288468158348</v>
      </c>
      <c r="M54" s="760"/>
      <c r="N54" s="760"/>
      <c r="O54" s="757">
        <f t="shared" si="4"/>
        <v>8.6619070567986238</v>
      </c>
      <c r="P54" s="758">
        <f>P53</f>
        <v>1.5342645714285714</v>
      </c>
      <c r="Q54" s="756">
        <f t="shared" si="2"/>
        <v>13.29</v>
      </c>
      <c r="R54" s="1712">
        <v>12.956</v>
      </c>
      <c r="S54" s="1712">
        <v>12.632</v>
      </c>
      <c r="T54" s="1712">
        <v>12.317</v>
      </c>
      <c r="U54" s="759"/>
      <c r="V54" s="1703"/>
      <c r="X54" s="1711"/>
      <c r="Y54" s="1711"/>
      <c r="Z54" s="1711"/>
      <c r="AA54" s="1711"/>
    </row>
    <row r="55" spans="1:27" ht="15" customHeight="1">
      <c r="A55" s="1697" t="s">
        <v>1807</v>
      </c>
      <c r="B55" s="1697" t="str">
        <f t="shared" ref="B55:B61" si="13">C55&amp;E55</f>
        <v>Mt IsaSeasonal TOU Demand</v>
      </c>
      <c r="C55" s="755" t="s">
        <v>791</v>
      </c>
      <c r="D55" s="755" t="s">
        <v>766</v>
      </c>
      <c r="E55" s="755" t="s">
        <v>801</v>
      </c>
      <c r="F55" s="755" t="s">
        <v>1524</v>
      </c>
      <c r="G55" s="755" t="s">
        <v>1519</v>
      </c>
      <c r="H55" s="755" t="s">
        <v>1505</v>
      </c>
      <c r="I55" s="756">
        <f t="shared" ref="I55:I61" si="14">J55/0.9</f>
        <v>114.50666666666666</v>
      </c>
      <c r="J55" s="756">
        <v>103.056</v>
      </c>
      <c r="K55" s="1710">
        <f t="shared" ref="K55:K61" si="15">IF(I55="","",I55*(1+$L$1))</f>
        <v>115.49209409064829</v>
      </c>
      <c r="L55" s="756" t="s">
        <v>230</v>
      </c>
      <c r="M55" s="760"/>
      <c r="N55" s="760"/>
      <c r="O55" s="757">
        <f>MAX(K55,L55) * 0.76 /3</f>
        <v>29.257997169630901</v>
      </c>
      <c r="P55" s="758">
        <v>2.1491376756756759</v>
      </c>
      <c r="Q55" s="756">
        <f t="shared" si="2"/>
        <v>62.878999999999998</v>
      </c>
      <c r="R55" s="1712">
        <v>61.307000000000002</v>
      </c>
      <c r="S55" s="1712">
        <v>59.774000000000001</v>
      </c>
      <c r="T55" s="1712">
        <v>58.28</v>
      </c>
      <c r="U55" s="759"/>
      <c r="V55" s="1703"/>
      <c r="X55" s="1711"/>
      <c r="Y55" s="1711"/>
      <c r="Z55" s="1711"/>
      <c r="AA55" s="1711"/>
    </row>
    <row r="56" spans="1:27" ht="15" customHeight="1">
      <c r="A56" s="1697" t="s">
        <v>1789</v>
      </c>
      <c r="B56" s="1697" t="str">
        <f t="shared" si="13"/>
        <v>Mt IsaSmall Business Demand</v>
      </c>
      <c r="C56" s="755" t="s">
        <v>791</v>
      </c>
      <c r="D56" s="755" t="s">
        <v>770</v>
      </c>
      <c r="E56" s="755" t="s">
        <v>782</v>
      </c>
      <c r="F56" s="755" t="s">
        <v>833</v>
      </c>
      <c r="G56" s="755" t="s">
        <v>1507</v>
      </c>
      <c r="H56" s="755" t="s">
        <v>1505</v>
      </c>
      <c r="I56" s="756">
        <f t="shared" si="14"/>
        <v>114.50666666666666</v>
      </c>
      <c r="J56" s="756">
        <v>103.056</v>
      </c>
      <c r="K56" s="1710">
        <f t="shared" si="15"/>
        <v>115.49209409064829</v>
      </c>
      <c r="L56" s="756" t="s">
        <v>230</v>
      </c>
      <c r="M56" s="760"/>
      <c r="N56" s="760"/>
      <c r="O56" s="757">
        <f t="shared" si="4"/>
        <v>9.6243411742206906</v>
      </c>
      <c r="P56" s="758">
        <v>0.37053065108342048</v>
      </c>
      <c r="Q56" s="756">
        <f t="shared" si="2"/>
        <v>3.5659999999999998</v>
      </c>
      <c r="R56" s="756">
        <v>3.6549999999999998</v>
      </c>
      <c r="S56" s="756">
        <v>3.746</v>
      </c>
      <c r="T56" s="756">
        <v>3.84</v>
      </c>
      <c r="U56" s="759"/>
      <c r="V56" s="1703"/>
      <c r="X56" s="1711"/>
      <c r="Y56" s="1711"/>
      <c r="Z56" s="1711"/>
      <c r="AA56" s="1711"/>
    </row>
    <row r="57" spans="1:27" ht="15" customHeight="1">
      <c r="A57" s="1697" t="s">
        <v>1790</v>
      </c>
      <c r="B57" s="1697" t="str">
        <f t="shared" si="13"/>
        <v>Mt IsaSmall Business Transitional Demand</v>
      </c>
      <c r="C57" s="755" t="s">
        <v>791</v>
      </c>
      <c r="D57" s="755" t="s">
        <v>770</v>
      </c>
      <c r="E57" s="755" t="s">
        <v>780</v>
      </c>
      <c r="F57" s="755" t="s">
        <v>832</v>
      </c>
      <c r="G57" s="755" t="s">
        <v>1520</v>
      </c>
      <c r="H57" s="755" t="s">
        <v>1505</v>
      </c>
      <c r="I57" s="756">
        <f t="shared" si="14"/>
        <v>114.50666666666666</v>
      </c>
      <c r="J57" s="756">
        <v>103.056</v>
      </c>
      <c r="K57" s="1710">
        <f t="shared" si="15"/>
        <v>115.49209409064829</v>
      </c>
      <c r="L57" s="756" t="s">
        <v>230</v>
      </c>
      <c r="M57" s="760"/>
      <c r="N57" s="760"/>
      <c r="O57" s="757">
        <f t="shared" si="4"/>
        <v>9.6243411742206906</v>
      </c>
      <c r="P57" s="758">
        <v>4.9436911809795481E-2</v>
      </c>
      <c r="Q57" s="756">
        <f t="shared" si="2"/>
        <v>0.47599999999999998</v>
      </c>
      <c r="R57" s="756">
        <v>0.48799999999999999</v>
      </c>
      <c r="S57" s="756">
        <v>0.5</v>
      </c>
      <c r="T57" s="756">
        <v>0.51200000000000001</v>
      </c>
      <c r="U57" s="759"/>
      <c r="V57" s="1703"/>
      <c r="X57" s="1711"/>
      <c r="Y57" s="1711"/>
      <c r="Z57" s="1711"/>
      <c r="AA57" s="1711"/>
    </row>
    <row r="58" spans="1:27" ht="15" customHeight="1">
      <c r="A58" s="1697" t="s">
        <v>1815</v>
      </c>
      <c r="B58" s="1697" t="str">
        <f t="shared" si="13"/>
        <v>Mt IsaSmall Business ToU Energy</v>
      </c>
      <c r="C58" s="755" t="s">
        <v>791</v>
      </c>
      <c r="D58" s="755" t="s">
        <v>770</v>
      </c>
      <c r="E58" s="755" t="s">
        <v>771</v>
      </c>
      <c r="F58" s="755" t="s">
        <v>830</v>
      </c>
      <c r="G58" s="755" t="s">
        <v>1508</v>
      </c>
      <c r="H58" s="755" t="s">
        <v>1505</v>
      </c>
      <c r="I58" s="756">
        <f t="shared" si="14"/>
        <v>114.50666666666666</v>
      </c>
      <c r="J58" s="756">
        <v>103.056</v>
      </c>
      <c r="K58" s="1710">
        <f t="shared" si="15"/>
        <v>115.49209409064829</v>
      </c>
      <c r="L58" s="756" t="s">
        <v>230</v>
      </c>
      <c r="M58" s="760">
        <v>12676.709927678357</v>
      </c>
      <c r="N58" s="760">
        <v>4155327.039492764</v>
      </c>
      <c r="O58" s="761">
        <f>MAX(K58,L58)*M58/N58</f>
        <v>0.35233322475287054</v>
      </c>
      <c r="P58" s="758">
        <v>0.52481999999999995</v>
      </c>
      <c r="Q58" s="761">
        <f xml:space="preserve"> ROUND(O58*P58,5)</f>
        <v>0.18490999999999999</v>
      </c>
      <c r="R58" s="761">
        <v>0.18953</v>
      </c>
      <c r="S58" s="761">
        <v>0.19427</v>
      </c>
      <c r="T58" s="761">
        <v>0.19911999999999999</v>
      </c>
      <c r="U58" s="1704"/>
      <c r="V58" s="1705"/>
      <c r="X58" s="1711"/>
      <c r="Y58" s="1711"/>
      <c r="Z58" s="1711"/>
      <c r="AA58" s="1711"/>
    </row>
    <row r="59" spans="1:27" ht="15" customHeight="1">
      <c r="A59" s="1697" t="s">
        <v>1791</v>
      </c>
      <c r="B59" s="1697" t="str">
        <f t="shared" si="13"/>
        <v>Mt IsaResidential Demand</v>
      </c>
      <c r="C59" s="755" t="s">
        <v>791</v>
      </c>
      <c r="D59" s="755" t="s">
        <v>784</v>
      </c>
      <c r="E59" s="755" t="s">
        <v>787</v>
      </c>
      <c r="F59" s="755" t="s">
        <v>843</v>
      </c>
      <c r="G59" s="755" t="s">
        <v>1507</v>
      </c>
      <c r="H59" s="755" t="s">
        <v>1505</v>
      </c>
      <c r="I59" s="756">
        <f t="shared" si="14"/>
        <v>114.50666666666666</v>
      </c>
      <c r="J59" s="756">
        <v>103.056</v>
      </c>
      <c r="K59" s="1710">
        <f t="shared" si="15"/>
        <v>115.49209409064829</v>
      </c>
      <c r="L59" s="756" t="s">
        <v>230</v>
      </c>
      <c r="M59" s="760"/>
      <c r="N59" s="760"/>
      <c r="O59" s="757">
        <f t="shared" si="4"/>
        <v>9.6243411742206906</v>
      </c>
      <c r="P59" s="758">
        <v>0.37574544647705249</v>
      </c>
      <c r="Q59" s="756">
        <f t="shared" si="2"/>
        <v>3.6160000000000001</v>
      </c>
      <c r="R59" s="756">
        <v>3.706</v>
      </c>
      <c r="S59" s="756">
        <v>3.7989999999999999</v>
      </c>
      <c r="T59" s="756">
        <v>3.8940000000000001</v>
      </c>
      <c r="U59" s="759"/>
      <c r="V59" s="1703"/>
      <c r="X59" s="1711"/>
      <c r="Y59" s="1711"/>
      <c r="Z59" s="1711"/>
      <c r="AA59" s="1711"/>
    </row>
    <row r="60" spans="1:27" ht="15" customHeight="1">
      <c r="A60" s="1697" t="s">
        <v>1792</v>
      </c>
      <c r="B60" s="1697" t="str">
        <f t="shared" si="13"/>
        <v>Mt IsaResidential Transitional Demand</v>
      </c>
      <c r="C60" s="755" t="s">
        <v>791</v>
      </c>
      <c r="D60" s="755" t="s">
        <v>784</v>
      </c>
      <c r="E60" s="755" t="s">
        <v>786</v>
      </c>
      <c r="F60" s="755" t="s">
        <v>842</v>
      </c>
      <c r="G60" s="755" t="s">
        <v>1507</v>
      </c>
      <c r="H60" s="755" t="s">
        <v>1505</v>
      </c>
      <c r="I60" s="756">
        <f t="shared" si="14"/>
        <v>114.50666666666666</v>
      </c>
      <c r="J60" s="756">
        <v>103.056</v>
      </c>
      <c r="K60" s="1710">
        <f t="shared" si="15"/>
        <v>115.49209409064829</v>
      </c>
      <c r="L60" s="756" t="s">
        <v>230</v>
      </c>
      <c r="M60" s="760"/>
      <c r="N60" s="760"/>
      <c r="O60" s="757">
        <f t="shared" si="4"/>
        <v>9.6243411742206906</v>
      </c>
      <c r="P60" s="758">
        <v>0.12130000000000001</v>
      </c>
      <c r="Q60" s="756">
        <f t="shared" si="2"/>
        <v>1.167</v>
      </c>
      <c r="R60" s="756">
        <v>1.196</v>
      </c>
      <c r="S60" s="756">
        <v>1.226</v>
      </c>
      <c r="T60" s="756">
        <v>1.2569999999999999</v>
      </c>
      <c r="U60" s="759"/>
      <c r="V60" s="1703"/>
      <c r="X60" s="1711"/>
      <c r="Y60" s="1711"/>
      <c r="Z60" s="1711"/>
      <c r="AA60" s="1711"/>
    </row>
    <row r="61" spans="1:27" ht="15" customHeight="1">
      <c r="A61" s="1697" t="s">
        <v>1811</v>
      </c>
      <c r="B61" s="1697" t="str">
        <f t="shared" si="13"/>
        <v>Mt IsaResidential ToU Energy</v>
      </c>
      <c r="C61" s="755" t="s">
        <v>791</v>
      </c>
      <c r="D61" s="755" t="s">
        <v>784</v>
      </c>
      <c r="E61" s="755" t="s">
        <v>785</v>
      </c>
      <c r="F61" s="755" t="s">
        <v>841</v>
      </c>
      <c r="G61" s="755" t="s">
        <v>1508</v>
      </c>
      <c r="H61" s="755" t="s">
        <v>1505</v>
      </c>
      <c r="I61" s="756">
        <f t="shared" si="14"/>
        <v>114.50666666666666</v>
      </c>
      <c r="J61" s="756">
        <v>103.056</v>
      </c>
      <c r="K61" s="1710">
        <f t="shared" si="15"/>
        <v>115.49209409064829</v>
      </c>
      <c r="L61" s="756" t="s">
        <v>230</v>
      </c>
      <c r="M61" s="760">
        <v>35020.73514845295</v>
      </c>
      <c r="N61" s="760">
        <v>16413666.221978063</v>
      </c>
      <c r="O61" s="761">
        <f>MAX(K61,L61)*M61/N61</f>
        <v>0.24641770974195989</v>
      </c>
      <c r="P61" s="758">
        <v>0.31509999999999999</v>
      </c>
      <c r="Q61" s="761">
        <f xml:space="preserve"> ROUND(O61*P61,5)</f>
        <v>7.7649999999999997E-2</v>
      </c>
      <c r="R61" s="761">
        <v>7.9589999999999994E-2</v>
      </c>
      <c r="S61" s="761">
        <v>8.158E-2</v>
      </c>
      <c r="T61" s="761">
        <v>8.362E-2</v>
      </c>
      <c r="U61" s="1704"/>
      <c r="V61" s="1705"/>
      <c r="X61" s="1711"/>
      <c r="Y61" s="1711"/>
      <c r="Z61" s="1711"/>
      <c r="AA61" s="1711"/>
    </row>
    <row r="62" spans="1:27" ht="15" customHeight="1"/>
    <row r="63" spans="1:27" ht="15" customHeight="1"/>
  </sheetData>
  <mergeCells count="3">
    <mergeCell ref="M2:N2"/>
    <mergeCell ref="K4:L4"/>
    <mergeCell ref="I4:J4"/>
  </mergeCells>
  <conditionalFormatting sqref="P6:P9 P34:P61 P13:P30">
    <cfRule type="dataBar" priority="61">
      <dataBar>
        <cfvo type="num" val="0"/>
        <cfvo type="num" val="1"/>
        <color rgb="FF638EC6"/>
      </dataBar>
      <extLst>
        <ext xmlns:x14="http://schemas.microsoft.com/office/spreadsheetml/2009/9/main" uri="{B025F937-C7B1-47D3-B67F-A62EFF666E3E}">
          <x14:id>{D95182C8-333A-4564-8F97-0AAC7F97416E}</x14:id>
        </ext>
      </extLst>
    </cfRule>
  </conditionalFormatting>
  <conditionalFormatting sqref="P10:P12">
    <cfRule type="dataBar" priority="60">
      <dataBar>
        <cfvo type="num" val="0"/>
        <cfvo type="num" val="1"/>
        <color rgb="FF638EC6"/>
      </dataBar>
      <extLst>
        <ext xmlns:x14="http://schemas.microsoft.com/office/spreadsheetml/2009/9/main" uri="{B025F937-C7B1-47D3-B67F-A62EFF666E3E}">
          <x14:id>{AAE9F062-0EEA-44D2-A8A5-5FA4468D10B7}</x14:id>
        </ext>
      </extLst>
    </cfRule>
  </conditionalFormatting>
  <conditionalFormatting sqref="P31:P33">
    <cfRule type="dataBar" priority="59">
      <dataBar>
        <cfvo type="num" val="0"/>
        <cfvo type="num" val="1"/>
        <color rgb="FF638EC6"/>
      </dataBar>
      <extLst>
        <ext xmlns:x14="http://schemas.microsoft.com/office/spreadsheetml/2009/9/main" uri="{B025F937-C7B1-47D3-B67F-A62EFF666E3E}">
          <x14:id>{E3AE47F7-2305-4CF0-84E0-5F1DC9C524F0}</x14:id>
        </ext>
      </extLst>
    </cfRule>
  </conditionalFormatting>
  <conditionalFormatting sqref="W6:W61">
    <cfRule type="cellIs" dxfId="33" priority="57" operator="equal">
      <formula>"Error"</formula>
    </cfRule>
    <cfRule type="cellIs" dxfId="32" priority="58" operator="equal">
      <formula>"Ok"</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D95182C8-333A-4564-8F97-0AAC7F97416E}">
            <x14:dataBar minLength="0" maxLength="100" gradient="0">
              <x14:cfvo type="num">
                <xm:f>0</xm:f>
              </x14:cfvo>
              <x14:cfvo type="num">
                <xm:f>1</xm:f>
              </x14:cfvo>
              <x14:negativeFillColor rgb="FFFF0000"/>
              <x14:axisColor rgb="FF000000"/>
            </x14:dataBar>
          </x14:cfRule>
          <xm:sqref>P6:P9 P34:P61 P13:P30</xm:sqref>
        </x14:conditionalFormatting>
        <x14:conditionalFormatting xmlns:xm="http://schemas.microsoft.com/office/excel/2006/main">
          <x14:cfRule type="dataBar" id="{AAE9F062-0EEA-44D2-A8A5-5FA4468D10B7}">
            <x14:dataBar minLength="0" maxLength="100" gradient="0">
              <x14:cfvo type="num">
                <xm:f>0</xm:f>
              </x14:cfvo>
              <x14:cfvo type="num">
                <xm:f>1</xm:f>
              </x14:cfvo>
              <x14:negativeFillColor rgb="FFFF0000"/>
              <x14:axisColor rgb="FF000000"/>
            </x14:dataBar>
          </x14:cfRule>
          <xm:sqref>P10:P12</xm:sqref>
        </x14:conditionalFormatting>
        <x14:conditionalFormatting xmlns:xm="http://schemas.microsoft.com/office/excel/2006/main">
          <x14:cfRule type="dataBar" id="{E3AE47F7-2305-4CF0-84E0-5F1DC9C524F0}">
            <x14:dataBar minLength="0" maxLength="100" gradient="0">
              <x14:cfvo type="num">
                <xm:f>0</xm:f>
              </x14:cfvo>
              <x14:cfvo type="num">
                <xm:f>1</xm:f>
              </x14:cfvo>
              <x14:negativeFillColor rgb="FFFF0000"/>
              <x14:axisColor rgb="FF000000"/>
            </x14:dataBar>
          </x14:cfRule>
          <xm:sqref>P31:P33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F6852-F7E4-4A86-8B2A-7939BF9B0684}">
  <sheetPr>
    <tabColor rgb="FFFFC000"/>
  </sheetPr>
  <dimension ref="A1:Q8"/>
  <sheetViews>
    <sheetView zoomScale="90" zoomScaleNormal="90" workbookViewId="0">
      <selection activeCell="V27" sqref="V27"/>
    </sheetView>
  </sheetViews>
  <sheetFormatPr defaultColWidth="9.109375" defaultRowHeight="11.4"/>
  <cols>
    <col min="1" max="6" width="14.6640625" style="674" customWidth="1"/>
    <col min="7" max="7" width="4.6640625" style="674" customWidth="1"/>
    <col min="8" max="8" width="9.109375" style="674"/>
    <col min="9" max="9" width="16.109375" style="674" hidden="1" customWidth="1"/>
    <col min="10" max="10" width="12.6640625" style="674" hidden="1" customWidth="1"/>
    <col min="11" max="11" width="13" style="674" hidden="1" customWidth="1"/>
    <col min="12" max="12" width="15.109375" style="674" hidden="1" customWidth="1"/>
    <col min="13" max="13" width="0" style="674" hidden="1" customWidth="1"/>
    <col min="14" max="14" width="20" style="674" hidden="1" customWidth="1"/>
    <col min="15" max="15" width="16.6640625" style="674" hidden="1" customWidth="1"/>
    <col min="16" max="16" width="13.33203125" style="674" hidden="1" customWidth="1"/>
    <col min="17" max="17" width="14.109375" style="674" hidden="1" customWidth="1"/>
    <col min="18" max="19" width="0" style="674" hidden="1" customWidth="1"/>
    <col min="20" max="16384" width="9.109375" style="674"/>
  </cols>
  <sheetData>
    <row r="1" spans="1:17">
      <c r="A1" s="1695">
        <v>14</v>
      </c>
      <c r="B1" s="1695">
        <v>14</v>
      </c>
      <c r="C1" s="1695">
        <v>14</v>
      </c>
      <c r="D1" s="1695">
        <v>14</v>
      </c>
      <c r="E1" s="1695">
        <v>14</v>
      </c>
      <c r="F1" s="1695">
        <v>14</v>
      </c>
      <c r="G1" s="739"/>
    </row>
    <row r="2" spans="1:17" ht="12">
      <c r="A2" s="741" t="s">
        <v>1880</v>
      </c>
      <c r="B2" s="740"/>
      <c r="C2" s="740"/>
      <c r="D2" s="740"/>
      <c r="E2" s="740"/>
      <c r="F2" s="740"/>
      <c r="G2" s="739"/>
    </row>
    <row r="3" spans="1:17" ht="12">
      <c r="A3" s="739"/>
      <c r="B3" s="739"/>
      <c r="C3" s="739"/>
      <c r="D3" s="739"/>
      <c r="E3" s="739"/>
      <c r="F3" s="739"/>
      <c r="G3" s="739"/>
      <c r="I3" s="763" t="s">
        <v>1698</v>
      </c>
      <c r="N3" s="763" t="s">
        <v>1699</v>
      </c>
    </row>
    <row r="4" spans="1:17" ht="50.1" customHeight="1">
      <c r="A4" s="742" t="s">
        <v>1481</v>
      </c>
      <c r="B4" s="742" t="s">
        <v>1482</v>
      </c>
      <c r="C4" s="742" t="s">
        <v>1483</v>
      </c>
      <c r="D4" s="742" t="s">
        <v>1484</v>
      </c>
      <c r="E4" s="742" t="s">
        <v>1485</v>
      </c>
      <c r="F4" s="742" t="s">
        <v>1486</v>
      </c>
      <c r="G4" s="739"/>
      <c r="I4" s="1478" t="s">
        <v>1700</v>
      </c>
      <c r="J4" s="1478" t="s">
        <v>1701</v>
      </c>
      <c r="K4" s="1478" t="s">
        <v>1702</v>
      </c>
      <c r="L4" s="1478" t="s">
        <v>1703</v>
      </c>
      <c r="N4" s="1478" t="s">
        <v>1700</v>
      </c>
      <c r="O4" s="1478" t="s">
        <v>1701</v>
      </c>
      <c r="P4" s="1478" t="s">
        <v>1702</v>
      </c>
      <c r="Q4" s="1478" t="s">
        <v>1704</v>
      </c>
    </row>
    <row r="5" spans="1:17" ht="15" customHeight="1">
      <c r="A5" s="743" t="s">
        <v>743</v>
      </c>
      <c r="B5" s="743" t="s">
        <v>1487</v>
      </c>
      <c r="C5" s="744">
        <f t="shared" ref="C5:F6" si="0">(I5-N5)/N5</f>
        <v>-5.5234996392344277E-2</v>
      </c>
      <c r="D5" s="744">
        <f t="shared" si="0"/>
        <v>-9.2078392248459345E-2</v>
      </c>
      <c r="E5" s="744">
        <f t="shared" si="0"/>
        <v>7.6440751934481549E-2</v>
      </c>
      <c r="F5" s="744">
        <f t="shared" si="0"/>
        <v>8.5648962306809351E-3</v>
      </c>
      <c r="G5" s="739"/>
      <c r="I5" s="1479">
        <f>SUMIF(Prop2021DUOSTariffs!$E$8:$E$98,'TBL ICC_CAC'!$A5,Prop2021DUOSTariffs!$EZ$8:$EZ$98)</f>
        <v>50787090.714867875</v>
      </c>
      <c r="J5" s="1479">
        <f>SUMIF(Prop2021JSTar!$E$8:$E$98,'TBL ICC_CAC'!$A5,Prop2021JSTar!$EY$8:$EY$98)</f>
        <v>3703511.9902411732</v>
      </c>
      <c r="K5" s="1479">
        <f>SUMIF(Prop2021TUOSTariffs!$E$8:$E$220,'TBL ICC_CAC'!$A5,Prop2021TUOSTariffs!$FA$8:$FA$220)</f>
        <v>60901316.534434579</v>
      </c>
      <c r="L5" s="1483">
        <f>I5+J5+K5</f>
        <v>115391919.23954362</v>
      </c>
      <c r="N5" s="1479">
        <f>SUMIF(Prop2021DUOSTariffs!$E$8:$E$98,'TBL ICC_CAC'!$A5,Prop2021DUOSTariffs!$GK$8:$GK$98)</f>
        <v>53756320.906186804</v>
      </c>
      <c r="O5" s="1479">
        <f>SUMIF(Prop2021JSTar!$E$8:$E$98,'TBL ICC_CAC'!$A5,Prop2021JSTar!$GJ$8:$GJ$98)</f>
        <v>4079109.8687615618</v>
      </c>
      <c r="P5" s="1479">
        <f>SUMIF(Prop2021TUOSTariffs!$E$8:$E$220,'TBL ICC_CAC'!$A5,Prop2021TUOSTariffs!$GL$8:$GL$220)</f>
        <v>56576561.622168489</v>
      </c>
      <c r="Q5" s="1483">
        <f>N5+O5+P5</f>
        <v>114411992.39711685</v>
      </c>
    </row>
    <row r="6" spans="1:17" ht="15" customHeight="1">
      <c r="A6" s="743" t="s">
        <v>762</v>
      </c>
      <c r="B6" s="743" t="s">
        <v>1487</v>
      </c>
      <c r="C6" s="744">
        <f t="shared" si="0"/>
        <v>1.5745186951762729E-2</v>
      </c>
      <c r="D6" s="744">
        <f t="shared" si="0"/>
        <v>-0.11454933881607982</v>
      </c>
      <c r="E6" s="744">
        <f t="shared" si="0"/>
        <v>2.2254810297306277E-2</v>
      </c>
      <c r="F6" s="744">
        <f t="shared" si="0"/>
        <v>1.5746331845070575E-2</v>
      </c>
      <c r="G6" s="739"/>
      <c r="I6" s="1479">
        <f>SUMIF(Prop2021DUOSTariffs!$E$8:$E$98,'TBL ICC_CAC'!$A6,Prop2021DUOSTariffs!$EZ$8:$EZ$98)</f>
        <v>61039862.889439188</v>
      </c>
      <c r="J6" s="1479">
        <f>SUMIF(Prop2021JSTar!$E$8:$E$98,'TBL ICC_CAC'!$A6,Prop2021JSTar!$EY$8:$EY$98)</f>
        <v>1184704.605194923</v>
      </c>
      <c r="K6" s="1479">
        <f>SUMIF(Prop2021TUOSTariffs!$E$8:$E$220,'TBL ICC_CAC'!$A6,Prop2021TUOSTariffs!$FA$8:$FA$220)</f>
        <v>27392189.663405046</v>
      </c>
      <c r="L6" s="1483">
        <f>I6+J6+K6</f>
        <v>89616757.158039153</v>
      </c>
      <c r="N6" s="1479">
        <f>SUMIF(Prop2021DUOSTariffs!$E$8:$E$98,'TBL ICC_CAC'!$A6,Prop2021DUOSTariffs!$GK$8:$GK$98)</f>
        <v>60093676.71494361</v>
      </c>
      <c r="O6" s="1479">
        <f>SUMIF(Prop2021JSTar!$E$8:$E$98,'TBL ICC_CAC'!$A6,Prop2021JSTar!$GJ$8:$GJ$98)</f>
        <v>1337967.9491242073</v>
      </c>
      <c r="P6" s="1479">
        <f>SUMIF(Prop2021TUOSTariffs!$E$8:$E$220,'TBL ICC_CAC'!$A6,Prop2021TUOSTariffs!$GL$8:$GL$220)</f>
        <v>26795853.037305318</v>
      </c>
      <c r="Q6" s="1483">
        <f>N6+O6+P6</f>
        <v>88227497.70137313</v>
      </c>
    </row>
    <row r="7" spans="1:17" ht="15" customHeight="1">
      <c r="A7" s="739" t="s">
        <v>1488</v>
      </c>
      <c r="B7" s="739"/>
      <c r="C7" s="739"/>
      <c r="D7" s="739"/>
      <c r="E7" s="739"/>
      <c r="F7" s="739"/>
      <c r="G7" s="739"/>
    </row>
    <row r="8" spans="1:17">
      <c r="A8" s="739"/>
      <c r="B8" s="739"/>
      <c r="C8" s="739"/>
      <c r="D8" s="739"/>
      <c r="E8" s="739"/>
      <c r="F8" s="739"/>
      <c r="G8" s="739"/>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452A4-4AA2-45B7-9563-6761BF7FF9F6}">
  <sheetPr>
    <tabColor theme="4"/>
  </sheetPr>
  <dimension ref="A1:N57"/>
  <sheetViews>
    <sheetView topLeftCell="A7" zoomScale="90" zoomScaleNormal="90" workbookViewId="0">
      <selection activeCell="I25" sqref="I25"/>
    </sheetView>
  </sheetViews>
  <sheetFormatPr defaultColWidth="9.109375" defaultRowHeight="11.4"/>
  <cols>
    <col min="1" max="1" width="4.6640625" style="1503" customWidth="1"/>
    <col min="2" max="2" width="5.109375" style="1503" customWidth="1"/>
    <col min="3" max="3" width="4.6640625" style="1503" customWidth="1"/>
    <col min="4" max="4" width="40.6640625" style="1503" customWidth="1"/>
    <col min="5" max="9" width="16.6640625" style="1503" customWidth="1"/>
    <col min="10" max="10" width="9.109375" style="1503"/>
    <col min="11" max="13" width="16.6640625" style="1503" customWidth="1"/>
    <col min="14" max="16384" width="9.109375" style="1503"/>
  </cols>
  <sheetData>
    <row r="1" spans="1:11">
      <c r="A1" s="1501"/>
      <c r="B1" s="1501"/>
      <c r="C1" s="1501"/>
      <c r="D1" s="1501"/>
      <c r="E1" s="1501"/>
      <c r="F1" s="1501"/>
      <c r="G1" s="1501"/>
      <c r="H1" s="1501"/>
      <c r="I1" s="1501"/>
      <c r="J1" s="1501"/>
    </row>
    <row r="2" spans="1:11" s="1506" customFormat="1" ht="12">
      <c r="A2" s="1504"/>
      <c r="B2" s="1504"/>
      <c r="C2" s="1504" t="s">
        <v>1480</v>
      </c>
      <c r="D2" s="1504"/>
      <c r="E2" s="1504"/>
      <c r="F2" s="1504"/>
      <c r="G2" s="1504"/>
      <c r="H2" s="1504"/>
      <c r="I2" s="1504"/>
      <c r="J2" s="1504"/>
      <c r="K2" s="1505"/>
    </row>
    <row r="3" spans="1:11" ht="12">
      <c r="A3" s="1501"/>
      <c r="B3" s="1501"/>
      <c r="C3" s="1504" t="s">
        <v>1881</v>
      </c>
      <c r="D3" s="1501"/>
      <c r="E3" s="1501"/>
      <c r="F3" s="1501"/>
      <c r="G3" s="1501"/>
      <c r="H3" s="1501"/>
      <c r="I3" s="1501"/>
      <c r="J3" s="1501"/>
    </row>
    <row r="4" spans="1:11">
      <c r="A4" s="1501"/>
      <c r="B4" s="1501"/>
      <c r="C4" s="1501"/>
      <c r="D4" s="1501"/>
      <c r="E4" s="1501"/>
      <c r="F4" s="1501"/>
      <c r="G4" s="1501"/>
      <c r="H4" s="1501"/>
      <c r="I4" s="1501"/>
      <c r="J4" s="1501"/>
    </row>
    <row r="5" spans="1:11" ht="24">
      <c r="A5" s="1501"/>
      <c r="B5" s="1508"/>
      <c r="C5" s="1501"/>
      <c r="D5" s="1501"/>
      <c r="E5" s="1507" t="s">
        <v>1718</v>
      </c>
      <c r="F5" s="1507" t="s">
        <v>1719</v>
      </c>
      <c r="G5" s="1507" t="s">
        <v>1525</v>
      </c>
      <c r="I5" s="1507" t="s">
        <v>1720</v>
      </c>
      <c r="J5" s="1501"/>
    </row>
    <row r="6" spans="1:11">
      <c r="A6" s="1501"/>
      <c r="B6" s="1501"/>
      <c r="C6" s="1501"/>
      <c r="D6" s="1501"/>
      <c r="E6" s="1509">
        <f>'TAM 20-21 DUOS unders_overs'!C13</f>
        <v>1177038329.5256319</v>
      </c>
      <c r="F6" s="1509">
        <f>'2021_DUOSRevCap'!C9</f>
        <v>1154190141.5936508</v>
      </c>
      <c r="G6" s="1510">
        <f>F6/E6-1</f>
        <v>-1.9411592094192298E-2</v>
      </c>
      <c r="H6" s="1501"/>
      <c r="I6" s="1511">
        <f>G6+0.025</f>
        <v>5.5884079058077032E-3</v>
      </c>
      <c r="J6" s="1501"/>
    </row>
    <row r="7" spans="1:11">
      <c r="A7" s="1501"/>
      <c r="B7" s="1501"/>
      <c r="C7" s="1501"/>
      <c r="D7" s="1501"/>
      <c r="E7" s="1501"/>
      <c r="F7" s="1501"/>
      <c r="G7" s="1501"/>
      <c r="H7" s="1501"/>
      <c r="I7" s="1501"/>
      <c r="J7" s="1501"/>
    </row>
    <row r="8" spans="1:11" ht="36">
      <c r="A8" s="1501"/>
      <c r="B8" s="1508"/>
      <c r="C8" s="1501"/>
      <c r="D8" s="1512" t="s">
        <v>1536</v>
      </c>
      <c r="E8" s="1507" t="s">
        <v>1526</v>
      </c>
      <c r="F8" s="1507" t="s">
        <v>1721</v>
      </c>
      <c r="G8" s="1507" t="s">
        <v>1722</v>
      </c>
      <c r="H8" s="1507" t="s">
        <v>1527</v>
      </c>
      <c r="I8" s="1507" t="s">
        <v>1723</v>
      </c>
      <c r="J8" s="1501"/>
    </row>
    <row r="9" spans="1:11">
      <c r="A9" s="1501"/>
      <c r="B9" s="1501"/>
      <c r="C9" s="1501"/>
      <c r="D9" s="1513" t="s">
        <v>768</v>
      </c>
      <c r="E9" s="1513" t="s">
        <v>1724</v>
      </c>
      <c r="F9" s="1514">
        <f>$G$6</f>
        <v>-1.9411592094192298E-2</v>
      </c>
      <c r="G9" s="1515">
        <v>115017432.70269611</v>
      </c>
      <c r="H9" s="1515">
        <v>116264892.47247183</v>
      </c>
      <c r="I9" s="1514">
        <f>H9/G9-1</f>
        <v>1.0845832153115742E-2</v>
      </c>
      <c r="J9" s="1501"/>
    </row>
    <row r="10" spans="1:11">
      <c r="A10" s="1501"/>
      <c r="B10" s="1501"/>
      <c r="C10" s="1501"/>
      <c r="D10" s="1513" t="s">
        <v>799</v>
      </c>
      <c r="E10" s="1513" t="s">
        <v>1724</v>
      </c>
      <c r="F10" s="1514">
        <f t="shared" ref="F10:F15" si="0">$G$6</f>
        <v>-1.9411592094192298E-2</v>
      </c>
      <c r="G10" s="1515">
        <v>107843611.95542243</v>
      </c>
      <c r="H10" s="1515">
        <v>109913688.2305173</v>
      </c>
      <c r="I10" s="1514">
        <f>H10/G10-1</f>
        <v>1.9195168240011773E-2</v>
      </c>
      <c r="J10" s="1501"/>
    </row>
    <row r="11" spans="1:11">
      <c r="A11" s="1501"/>
      <c r="B11" s="1501"/>
      <c r="C11" s="1501"/>
      <c r="D11" s="1513" t="s">
        <v>767</v>
      </c>
      <c r="E11" s="1513" t="s">
        <v>1724</v>
      </c>
      <c r="F11" s="1514">
        <f t="shared" si="0"/>
        <v>-1.9411592094192298E-2</v>
      </c>
      <c r="G11" s="1515">
        <v>44791311.377521448</v>
      </c>
      <c r="H11" s="1515">
        <v>45532147.464215994</v>
      </c>
      <c r="I11" s="1514">
        <f>H11/G11-1</f>
        <v>1.6539727547837169E-2</v>
      </c>
      <c r="J11" s="1501"/>
    </row>
    <row r="12" spans="1:11">
      <c r="A12" s="1501"/>
      <c r="B12" s="1501"/>
      <c r="C12" s="1501"/>
      <c r="D12" s="1513" t="s">
        <v>1537</v>
      </c>
      <c r="E12" s="1513" t="s">
        <v>1724</v>
      </c>
      <c r="F12" s="1514">
        <f t="shared" si="0"/>
        <v>-1.9411592094192298E-2</v>
      </c>
      <c r="G12" s="1515">
        <v>10292386.901158638</v>
      </c>
      <c r="H12" s="1515">
        <v>10545831.811901243</v>
      </c>
      <c r="I12" s="1514">
        <f>H12/G12-1</f>
        <v>2.4624502865712827E-2</v>
      </c>
      <c r="J12" s="1501"/>
    </row>
    <row r="13" spans="1:11">
      <c r="A13" s="1501"/>
      <c r="B13" s="1501"/>
      <c r="C13" s="1501"/>
      <c r="D13" s="1513" t="s">
        <v>1725</v>
      </c>
      <c r="E13" s="1513" t="s">
        <v>1724</v>
      </c>
      <c r="F13" s="1514">
        <f t="shared" si="0"/>
        <v>-1.9411592094192298E-2</v>
      </c>
      <c r="G13" s="1515">
        <v>0</v>
      </c>
      <c r="H13" s="1515">
        <v>0</v>
      </c>
      <c r="I13" s="1514">
        <f>IFERROR(H13/G13-1,0)</f>
        <v>0</v>
      </c>
      <c r="J13" s="1501"/>
    </row>
    <row r="14" spans="1:11">
      <c r="A14" s="1501"/>
      <c r="B14" s="1501"/>
      <c r="C14" s="1501"/>
      <c r="D14" s="1513" t="s">
        <v>1726</v>
      </c>
      <c r="E14" s="1513" t="s">
        <v>1724</v>
      </c>
      <c r="F14" s="1514">
        <f t="shared" si="0"/>
        <v>-1.9411592094192298E-2</v>
      </c>
      <c r="G14" s="1515">
        <v>4788068.6652043965</v>
      </c>
      <c r="H14" s="1515">
        <v>4842994.6032033628</v>
      </c>
      <c r="I14" s="1514">
        <f>H14/G14-1</f>
        <v>1.1471418193753413E-2</v>
      </c>
      <c r="J14" s="1501"/>
    </row>
    <row r="15" spans="1:11">
      <c r="A15" s="1501"/>
      <c r="B15" s="1501"/>
      <c r="C15" s="1501"/>
      <c r="D15" s="1513" t="s">
        <v>769</v>
      </c>
      <c r="E15" s="1513" t="s">
        <v>1724</v>
      </c>
      <c r="F15" s="1514">
        <f t="shared" si="0"/>
        <v>-1.9411592094192298E-2</v>
      </c>
      <c r="G15" s="1515">
        <v>1382665.5783346917</v>
      </c>
      <c r="H15" s="1515">
        <v>1412901.2677430196</v>
      </c>
      <c r="I15" s="1514">
        <f>H15/G15-1</f>
        <v>2.1867680719110938E-2</v>
      </c>
      <c r="J15" s="1501"/>
    </row>
    <row r="16" spans="1:11">
      <c r="A16" s="1501"/>
      <c r="B16" s="1501"/>
      <c r="C16" s="1501"/>
      <c r="D16" s="1501"/>
      <c r="E16" s="1501"/>
      <c r="F16" s="1501"/>
      <c r="G16" s="1501"/>
      <c r="H16" s="1501"/>
      <c r="I16" s="1501"/>
      <c r="J16" s="1501"/>
      <c r="K16" s="1518"/>
    </row>
    <row r="17" spans="1:14" ht="36">
      <c r="A17" s="1501"/>
      <c r="B17" s="1501"/>
      <c r="C17" s="1501"/>
      <c r="D17" s="1512" t="s">
        <v>1727</v>
      </c>
      <c r="E17" s="1507" t="s">
        <v>1526</v>
      </c>
      <c r="F17" s="1507" t="s">
        <v>1721</v>
      </c>
      <c r="G17" s="1507" t="s">
        <v>1722</v>
      </c>
      <c r="H17" s="1507" t="s">
        <v>1527</v>
      </c>
      <c r="I17" s="1507" t="s">
        <v>1723</v>
      </c>
      <c r="J17" s="1501"/>
      <c r="K17" s="1519"/>
      <c r="L17" s="1520"/>
      <c r="M17" s="1520"/>
      <c r="N17" s="1520"/>
    </row>
    <row r="18" spans="1:14">
      <c r="A18" s="1501"/>
      <c r="B18" s="1501"/>
      <c r="C18" s="1501"/>
      <c r="D18" s="1513" t="s">
        <v>1728</v>
      </c>
      <c r="E18" s="1513" t="s">
        <v>1528</v>
      </c>
      <c r="F18" s="1514">
        <f>$G$6+0.01</f>
        <v>-9.4115920941922979E-3</v>
      </c>
      <c r="G18" s="1515">
        <v>388398580.4771899</v>
      </c>
      <c r="H18" s="1515">
        <v>398367939.49451417</v>
      </c>
      <c r="I18" s="1514">
        <f t="shared" ref="I18:I26" si="1">H18/G18-1</f>
        <v>2.5667856471246253E-2</v>
      </c>
      <c r="J18" s="1501"/>
      <c r="K18" s="1521"/>
      <c r="L18" s="1521"/>
      <c r="M18" s="1522"/>
    </row>
    <row r="19" spans="1:14">
      <c r="A19" s="1501"/>
      <c r="B19" s="1501"/>
      <c r="C19" s="1501"/>
      <c r="D19" s="1513" t="s">
        <v>1729</v>
      </c>
      <c r="E19" s="1513" t="s">
        <v>1528</v>
      </c>
      <c r="F19" s="1514">
        <f>$G$6+0.01</f>
        <v>-9.4115920941922979E-3</v>
      </c>
      <c r="G19" s="1515">
        <v>60197563.928407028</v>
      </c>
      <c r="H19" s="1515">
        <v>61686880.610854015</v>
      </c>
      <c r="I19" s="1514">
        <f t="shared" si="1"/>
        <v>2.4740480930727227E-2</v>
      </c>
      <c r="J19" s="1501"/>
      <c r="K19" s="1521"/>
      <c r="L19" s="1521"/>
      <c r="M19" s="1522"/>
    </row>
    <row r="20" spans="1:14">
      <c r="A20" s="1501"/>
      <c r="B20" s="1501"/>
      <c r="C20" s="1501"/>
      <c r="D20" s="1513" t="s">
        <v>1529</v>
      </c>
      <c r="E20" s="1513" t="s">
        <v>1528</v>
      </c>
      <c r="F20" s="1514">
        <f>$G$6+0.01</f>
        <v>-9.4115920941922979E-3</v>
      </c>
      <c r="G20" s="1515">
        <v>95127868.770055264</v>
      </c>
      <c r="H20" s="1515">
        <v>96996650.999009535</v>
      </c>
      <c r="I20" s="1514">
        <f t="shared" si="1"/>
        <v>1.964495003532063E-2</v>
      </c>
      <c r="J20" s="1501"/>
      <c r="K20" s="1521"/>
      <c r="L20" s="1521"/>
      <c r="M20" s="1522"/>
    </row>
    <row r="21" spans="1:14">
      <c r="A21" s="1501"/>
      <c r="B21" s="1501"/>
      <c r="C21" s="1501"/>
      <c r="D21" s="1513" t="s">
        <v>785</v>
      </c>
      <c r="E21" s="1513" t="s">
        <v>1530</v>
      </c>
      <c r="F21" s="1514">
        <f>$G$6+0.01</f>
        <v>-9.4115920941922979E-3</v>
      </c>
      <c r="G21" s="1515">
        <v>292778.57623465452</v>
      </c>
      <c r="H21" s="1515">
        <v>300365.89657621185</v>
      </c>
      <c r="I21" s="1514">
        <f t="shared" si="1"/>
        <v>2.5914875463689313E-2</v>
      </c>
      <c r="J21" s="1501"/>
      <c r="K21" s="1521"/>
      <c r="L21" s="1521"/>
      <c r="M21" s="1522"/>
    </row>
    <row r="22" spans="1:14">
      <c r="A22" s="1501"/>
      <c r="B22" s="1501"/>
      <c r="C22" s="1501"/>
      <c r="D22" s="1513" t="s">
        <v>771</v>
      </c>
      <c r="E22" s="1513" t="s">
        <v>1530</v>
      </c>
      <c r="F22" s="1514">
        <f>$G$6+0.01</f>
        <v>-9.4115920941922979E-3</v>
      </c>
      <c r="G22" s="1515">
        <v>1165625.4684866923</v>
      </c>
      <c r="H22" s="1515">
        <v>1195919.7545521921</v>
      </c>
      <c r="I22" s="1514">
        <f t="shared" si="1"/>
        <v>2.5989725588983825E-2</v>
      </c>
      <c r="J22" s="1501"/>
      <c r="K22" s="1521"/>
      <c r="L22" s="1521"/>
      <c r="M22" s="1522"/>
    </row>
    <row r="23" spans="1:14">
      <c r="A23" s="1501"/>
      <c r="B23" s="1501"/>
      <c r="C23" s="1501"/>
      <c r="D23" s="1513" t="s">
        <v>786</v>
      </c>
      <c r="E23" s="1513" t="s">
        <v>1531</v>
      </c>
      <c r="F23" s="1514">
        <f>$G$6</f>
        <v>-1.9411592094192298E-2</v>
      </c>
      <c r="G23" s="1515">
        <v>76409787.469559297</v>
      </c>
      <c r="H23" s="1515">
        <v>78070265.563211218</v>
      </c>
      <c r="I23" s="1514">
        <f t="shared" si="1"/>
        <v>2.1731222512736847E-2</v>
      </c>
      <c r="J23" s="1501"/>
    </row>
    <row r="24" spans="1:14">
      <c r="A24" s="1501"/>
      <c r="B24" s="1501"/>
      <c r="C24" s="1501"/>
      <c r="D24" s="1513" t="s">
        <v>780</v>
      </c>
      <c r="E24" s="1513" t="s">
        <v>1531</v>
      </c>
      <c r="F24" s="1514">
        <f>$G$6</f>
        <v>-1.9411592094192298E-2</v>
      </c>
      <c r="G24" s="1515">
        <v>25112781.519321576</v>
      </c>
      <c r="H24" s="1515">
        <v>25645345.224712115</v>
      </c>
      <c r="I24" s="1514">
        <f t="shared" si="1"/>
        <v>2.1206878456724754E-2</v>
      </c>
      <c r="J24" s="1501"/>
    </row>
    <row r="25" spans="1:14">
      <c r="A25" s="1501"/>
      <c r="B25" s="1501"/>
      <c r="C25" s="1501"/>
      <c r="D25" s="1513" t="s">
        <v>787</v>
      </c>
      <c r="E25" s="1513" t="s">
        <v>1532</v>
      </c>
      <c r="F25" s="1514">
        <f>$G$6-0.01</f>
        <v>-2.94115920941923E-2</v>
      </c>
      <c r="G25" s="1515">
        <v>369639.09760439803</v>
      </c>
      <c r="H25" s="1515">
        <v>374343.91199452931</v>
      </c>
      <c r="I25" s="1514">
        <f t="shared" si="1"/>
        <v>1.272812973687798E-2</v>
      </c>
      <c r="J25" s="1501"/>
    </row>
    <row r="26" spans="1:14">
      <c r="A26" s="1501"/>
      <c r="B26" s="1501"/>
      <c r="C26" s="1501"/>
      <c r="D26" s="1513" t="s">
        <v>782</v>
      </c>
      <c r="E26" s="1513" t="s">
        <v>1532</v>
      </c>
      <c r="F26" s="1514">
        <f>$G$6-0.01</f>
        <v>-2.94115920941923E-2</v>
      </c>
      <c r="G26" s="1515">
        <v>159041.17428390577</v>
      </c>
      <c r="H26" s="1515">
        <v>161407.95641614008</v>
      </c>
      <c r="I26" s="1514">
        <f t="shared" si="1"/>
        <v>1.4881568517655319E-2</v>
      </c>
      <c r="J26" s="1501"/>
    </row>
    <row r="27" spans="1:14">
      <c r="A27" s="1501"/>
      <c r="B27" s="1501"/>
      <c r="C27" s="1501"/>
      <c r="D27" s="1501"/>
      <c r="E27" s="1501"/>
      <c r="F27" s="1516"/>
      <c r="G27" s="1517"/>
      <c r="H27" s="1517"/>
      <c r="I27" s="1516"/>
      <c r="J27" s="1501"/>
    </row>
    <row r="28" spans="1:14">
      <c r="A28" s="1501"/>
      <c r="B28" s="1501"/>
      <c r="C28" s="1502"/>
      <c r="D28" s="1501"/>
      <c r="E28" s="1501"/>
      <c r="F28" s="1501"/>
      <c r="G28" s="1501"/>
      <c r="H28" s="1501"/>
      <c r="I28" s="1501"/>
      <c r="J28" s="1501"/>
    </row>
    <row r="29" spans="1:14" ht="24">
      <c r="A29" s="1501"/>
      <c r="B29" s="1523"/>
      <c r="C29" s="1501"/>
      <c r="D29" s="1512" t="s">
        <v>1730</v>
      </c>
      <c r="E29" s="1507" t="s">
        <v>1731</v>
      </c>
      <c r="F29" s="1507" t="s">
        <v>1721</v>
      </c>
      <c r="G29" s="1507" t="s">
        <v>1533</v>
      </c>
      <c r="H29" s="1507" t="s">
        <v>1534</v>
      </c>
      <c r="I29" s="1507" t="s">
        <v>1535</v>
      </c>
      <c r="J29" s="1501"/>
    </row>
    <row r="30" spans="1:14" ht="15" customHeight="1">
      <c r="A30" s="1501"/>
      <c r="B30" s="1502"/>
      <c r="C30" s="1501"/>
      <c r="D30" s="1525" t="s">
        <v>1732</v>
      </c>
      <c r="E30" s="1526"/>
      <c r="F30" s="1526"/>
      <c r="G30" s="1526"/>
      <c r="H30" s="1526"/>
      <c r="I30" s="1526"/>
      <c r="J30" s="1501"/>
    </row>
    <row r="31" spans="1:14" ht="15" customHeight="1">
      <c r="A31" s="1501"/>
      <c r="B31" s="1501"/>
      <c r="C31" s="1501"/>
      <c r="D31" s="1513" t="s">
        <v>1733</v>
      </c>
      <c r="E31" s="1513" t="s">
        <v>1734</v>
      </c>
      <c r="F31" s="1514">
        <v>0.05</v>
      </c>
      <c r="G31" s="1524">
        <v>1.1000000000000001</v>
      </c>
      <c r="H31" s="1524">
        <v>1.105</v>
      </c>
      <c r="I31" s="1514">
        <f>H31/G31-1</f>
        <v>4.5454545454544082E-3</v>
      </c>
      <c r="J31" s="1501"/>
    </row>
    <row r="32" spans="1:14" ht="15" customHeight="1">
      <c r="A32" s="1501"/>
      <c r="B32" s="1501"/>
      <c r="C32" s="1501"/>
      <c r="D32" s="1513" t="s">
        <v>1735</v>
      </c>
      <c r="E32" s="1513" t="s">
        <v>1736</v>
      </c>
      <c r="F32" s="1528">
        <v>8.6058519793459354E-3</v>
      </c>
      <c r="G32" s="1527">
        <v>2.1940000000000001E-2</v>
      </c>
      <c r="H32" s="1527">
        <v>2.2128812392426853E-2</v>
      </c>
      <c r="I32" s="1514">
        <f>H32/G32-1</f>
        <v>8.6058519793459354E-3</v>
      </c>
      <c r="J32" s="1501"/>
    </row>
    <row r="33" spans="1:10" ht="15" customHeight="1">
      <c r="A33" s="1501"/>
      <c r="B33" s="1501"/>
      <c r="C33" s="1501"/>
      <c r="D33" s="1513" t="s">
        <v>1737</v>
      </c>
      <c r="E33" s="1513" t="s">
        <v>1738</v>
      </c>
      <c r="F33" s="1513"/>
      <c r="G33" s="1527">
        <v>4.4024331018695489E-2</v>
      </c>
      <c r="H33" s="1527">
        <v>4.993090310510663E-2</v>
      </c>
      <c r="I33" s="1514">
        <f>H33/G33-1</f>
        <v>0.13416608383902173</v>
      </c>
      <c r="J33" s="1501"/>
    </row>
    <row r="34" spans="1:10">
      <c r="A34" s="1501"/>
      <c r="B34" s="1501"/>
      <c r="C34" s="1501"/>
      <c r="D34" s="1513" t="s">
        <v>1739</v>
      </c>
      <c r="E34" s="1513" t="s">
        <v>1740</v>
      </c>
      <c r="F34" s="1513"/>
      <c r="G34" s="1527">
        <v>8.6155499999999996E-2</v>
      </c>
      <c r="H34" s="1527">
        <v>8.6155499999999996E-2</v>
      </c>
      <c r="I34" s="1514">
        <f>H34/G34-1</f>
        <v>0</v>
      </c>
      <c r="J34" s="1501"/>
    </row>
    <row r="35" spans="1:10" ht="15" customHeight="1">
      <c r="A35" s="1501"/>
      <c r="B35" s="1501"/>
      <c r="C35" s="1501"/>
      <c r="D35" s="1525" t="s">
        <v>1741</v>
      </c>
      <c r="E35" s="1526"/>
      <c r="F35" s="1526"/>
      <c r="G35" s="1529"/>
      <c r="H35" s="1529"/>
      <c r="I35" s="1529"/>
      <c r="J35" s="1501"/>
    </row>
    <row r="36" spans="1:10" ht="15" customHeight="1">
      <c r="A36" s="1501"/>
      <c r="B36" s="1501"/>
      <c r="C36" s="1501"/>
      <c r="D36" s="1513" t="s">
        <v>1733</v>
      </c>
      <c r="E36" s="1513" t="s">
        <v>1734</v>
      </c>
      <c r="F36" s="1514">
        <v>0.05</v>
      </c>
      <c r="G36" s="1524">
        <v>1.1000000000000001</v>
      </c>
      <c r="H36" s="1524">
        <v>1.105</v>
      </c>
      <c r="I36" s="1514">
        <f>H36/G36-1</f>
        <v>4.5454545454544082E-3</v>
      </c>
      <c r="J36" s="1501"/>
    </row>
    <row r="37" spans="1:10" ht="15" customHeight="1">
      <c r="A37" s="1501"/>
      <c r="B37" s="1501"/>
      <c r="C37" s="1501"/>
      <c r="D37" s="1513" t="s">
        <v>1735</v>
      </c>
      <c r="E37" s="1513" t="s">
        <v>1736</v>
      </c>
      <c r="F37" s="1528">
        <v>8.6058519793459354E-3</v>
      </c>
      <c r="G37" s="1527">
        <v>2.5499999999999998E-2</v>
      </c>
      <c r="H37" s="1527">
        <v>2.5719449225473319E-2</v>
      </c>
      <c r="I37" s="1514">
        <f>H37/G37-1</f>
        <v>8.6058519793459354E-3</v>
      </c>
      <c r="J37" s="1501"/>
    </row>
    <row r="38" spans="1:10">
      <c r="A38" s="1501"/>
      <c r="B38" s="1501"/>
      <c r="C38" s="1501"/>
      <c r="D38" s="1513" t="s">
        <v>1737</v>
      </c>
      <c r="E38" s="1513" t="s">
        <v>1738</v>
      </c>
      <c r="F38" s="1513"/>
      <c r="G38" s="1527">
        <v>6.5717799196422885E-2</v>
      </c>
      <c r="H38" s="1527">
        <v>7.4874913368164833E-2</v>
      </c>
      <c r="I38" s="1514">
        <f>H38/G38-1</f>
        <v>0.13933993961624291</v>
      </c>
      <c r="J38" s="1501"/>
    </row>
    <row r="39" spans="1:10" ht="15" customHeight="1">
      <c r="A39" s="1501"/>
      <c r="B39" s="1501"/>
      <c r="C39" s="1501"/>
      <c r="D39" s="1513" t="s">
        <v>1739</v>
      </c>
      <c r="E39" s="1513" t="s">
        <v>1740</v>
      </c>
      <c r="F39" s="1513"/>
      <c r="G39" s="1527">
        <v>0.113658</v>
      </c>
      <c r="H39" s="1527">
        <v>0.113658</v>
      </c>
      <c r="I39" s="1514">
        <f>H39/G39-1</f>
        <v>0</v>
      </c>
      <c r="J39" s="1501"/>
    </row>
    <row r="40" spans="1:10">
      <c r="A40" s="1501"/>
      <c r="B40" s="1501"/>
      <c r="C40" s="1501"/>
      <c r="D40" s="1501"/>
      <c r="E40" s="1501"/>
      <c r="F40" s="1501"/>
      <c r="G40" s="1501"/>
      <c r="H40" s="1501"/>
      <c r="I40" s="1501"/>
      <c r="J40" s="1501"/>
    </row>
    <row r="41" spans="1:10">
      <c r="A41" s="1501"/>
      <c r="B41" s="1501"/>
      <c r="C41" s="1501"/>
      <c r="D41" s="1501"/>
      <c r="E41" s="1501"/>
      <c r="F41" s="1501"/>
      <c r="G41" s="1501"/>
      <c r="H41" s="1501"/>
      <c r="I41" s="1501"/>
      <c r="J41" s="1501"/>
    </row>
    <row r="42" spans="1:10" ht="24">
      <c r="A42" s="1501"/>
      <c r="B42" s="1501"/>
      <c r="C42" s="1501"/>
      <c r="D42" s="1512" t="s">
        <v>1536</v>
      </c>
      <c r="E42" s="1905" t="s">
        <v>1742</v>
      </c>
      <c r="F42" s="1905"/>
      <c r="G42" s="1507" t="s">
        <v>1743</v>
      </c>
      <c r="H42" s="1507" t="s">
        <v>1533</v>
      </c>
      <c r="I42" s="1507" t="s">
        <v>1534</v>
      </c>
      <c r="J42" s="1501"/>
    </row>
    <row r="43" spans="1:10" ht="15" customHeight="1">
      <c r="A43" s="1501"/>
      <c r="B43" s="1501"/>
      <c r="C43" s="1501"/>
      <c r="D43" s="1530" t="s">
        <v>789</v>
      </c>
      <c r="E43" s="1531"/>
      <c r="F43" s="1531"/>
      <c r="G43" s="1531"/>
      <c r="H43" s="1531"/>
      <c r="I43" s="1531"/>
      <c r="J43" s="1501"/>
    </row>
    <row r="44" spans="1:10" ht="15" customHeight="1">
      <c r="A44" s="1501"/>
      <c r="B44" s="1501"/>
      <c r="C44" s="1501"/>
      <c r="D44" s="1532" t="s">
        <v>1744</v>
      </c>
      <c r="E44" s="1533"/>
      <c r="F44" s="1532"/>
      <c r="G44" s="1532"/>
      <c r="H44" s="1534">
        <v>11.865</v>
      </c>
      <c r="I44" s="1534">
        <v>12.10310995746123</v>
      </c>
      <c r="J44" s="1501"/>
    </row>
    <row r="45" spans="1:10" ht="15.75" customHeight="1">
      <c r="A45" s="1501"/>
      <c r="B45" s="1501"/>
      <c r="C45" s="1501"/>
      <c r="D45" s="1532" t="s">
        <v>1745</v>
      </c>
      <c r="E45" s="1906" t="s">
        <v>1746</v>
      </c>
      <c r="F45" s="1906"/>
      <c r="G45" s="1535"/>
      <c r="H45" s="1534">
        <v>2.3730000000000002</v>
      </c>
      <c r="I45" s="1534">
        <v>2.4206219914922462</v>
      </c>
      <c r="J45" s="1501"/>
    </row>
    <row r="46" spans="1:10">
      <c r="A46" s="1501"/>
      <c r="B46" s="1501"/>
      <c r="C46" s="1501"/>
      <c r="D46" s="1532" t="s">
        <v>1747</v>
      </c>
      <c r="E46" s="1533"/>
      <c r="F46" s="1532"/>
      <c r="G46" s="1535">
        <v>0.3</v>
      </c>
      <c r="H46" s="1535">
        <f>H45/H44</f>
        <v>0.2</v>
      </c>
      <c r="I46" s="1535">
        <f>I45/I44</f>
        <v>0.2</v>
      </c>
      <c r="J46" s="1501"/>
    </row>
    <row r="47" spans="1:10" ht="15" customHeight="1">
      <c r="A47" s="1501"/>
      <c r="B47" s="1501"/>
      <c r="C47" s="1501"/>
      <c r="D47" s="1530" t="s">
        <v>790</v>
      </c>
      <c r="E47" s="1531"/>
      <c r="F47" s="1531"/>
      <c r="G47" s="1531"/>
      <c r="H47" s="1531"/>
      <c r="I47" s="1531"/>
      <c r="J47" s="1501"/>
    </row>
    <row r="48" spans="1:10" ht="15" customHeight="1">
      <c r="A48" s="1501"/>
      <c r="B48" s="1501"/>
      <c r="C48" s="1501"/>
      <c r="D48" s="1532" t="s">
        <v>1744</v>
      </c>
      <c r="E48" s="1533"/>
      <c r="F48" s="1532"/>
      <c r="G48" s="1532"/>
      <c r="H48" s="1534">
        <v>34.1</v>
      </c>
      <c r="I48" s="1534">
        <v>34.810696595524959</v>
      </c>
      <c r="J48" s="1501"/>
    </row>
    <row r="49" spans="1:10" ht="15" customHeight="1">
      <c r="A49" s="1501"/>
      <c r="B49" s="1501"/>
      <c r="C49" s="1501"/>
      <c r="D49" s="1532" t="s">
        <v>1745</v>
      </c>
      <c r="E49" s="1906" t="s">
        <v>1746</v>
      </c>
      <c r="F49" s="1906"/>
      <c r="G49" s="1535"/>
      <c r="H49" s="1534">
        <v>6.82</v>
      </c>
      <c r="I49" s="1534">
        <v>6.9621393191049918</v>
      </c>
      <c r="J49" s="1501"/>
    </row>
    <row r="50" spans="1:10">
      <c r="A50" s="1501"/>
      <c r="B50" s="1501"/>
      <c r="C50" s="1501"/>
      <c r="D50" s="1532" t="s">
        <v>1747</v>
      </c>
      <c r="E50" s="1533"/>
      <c r="F50" s="1532"/>
      <c r="G50" s="1535">
        <v>0.3</v>
      </c>
      <c r="H50" s="1535">
        <f>H49/H48</f>
        <v>0.2</v>
      </c>
      <c r="I50" s="1535">
        <f>I49/I48</f>
        <v>0.2</v>
      </c>
      <c r="J50" s="1501"/>
    </row>
    <row r="51" spans="1:10" ht="15" customHeight="1">
      <c r="A51" s="1501"/>
      <c r="B51" s="1501"/>
      <c r="C51" s="1501"/>
      <c r="D51" s="1530" t="s">
        <v>791</v>
      </c>
      <c r="E51" s="1531"/>
      <c r="F51" s="1531"/>
      <c r="G51" s="1531"/>
      <c r="H51" s="1531"/>
      <c r="I51" s="1531"/>
      <c r="J51" s="1501"/>
    </row>
    <row r="52" spans="1:10" ht="15" customHeight="1">
      <c r="A52" s="1501"/>
      <c r="B52" s="1501"/>
      <c r="C52" s="1501"/>
      <c r="D52" s="1532" t="s">
        <v>1744</v>
      </c>
      <c r="E52" s="1533"/>
      <c r="F52" s="1532"/>
      <c r="G52" s="1532"/>
      <c r="H52" s="1534">
        <v>11.677</v>
      </c>
      <c r="I52" s="1534">
        <v>11.911792072674743</v>
      </c>
      <c r="J52" s="1501"/>
    </row>
    <row r="53" spans="1:10" ht="15" customHeight="1">
      <c r="A53" s="1501"/>
      <c r="B53" s="1501"/>
      <c r="C53" s="1501"/>
      <c r="D53" s="1532" t="s">
        <v>1745</v>
      </c>
      <c r="E53" s="1906" t="s">
        <v>1746</v>
      </c>
      <c r="F53" s="1906"/>
      <c r="G53" s="1535"/>
      <c r="H53" s="1534">
        <v>2.3353999999999999</v>
      </c>
      <c r="I53" s="1534">
        <v>2.3823584145349486</v>
      </c>
      <c r="J53" s="1501"/>
    </row>
    <row r="54" spans="1:10">
      <c r="A54" s="1501"/>
      <c r="B54" s="1501"/>
      <c r="C54" s="1501"/>
      <c r="D54" s="1532" t="s">
        <v>1747</v>
      </c>
      <c r="E54" s="1533"/>
      <c r="F54" s="1532"/>
      <c r="G54" s="1535">
        <v>0.3</v>
      </c>
      <c r="H54" s="1535">
        <f>H53/H52</f>
        <v>0.2</v>
      </c>
      <c r="I54" s="1535">
        <f>I53/I52</f>
        <v>0.2</v>
      </c>
      <c r="J54" s="1501"/>
    </row>
    <row r="55" spans="1:10">
      <c r="A55" s="1501"/>
      <c r="B55" s="1501"/>
      <c r="C55" s="1501"/>
      <c r="D55" s="1501"/>
      <c r="E55" s="1536"/>
      <c r="F55" s="1501"/>
      <c r="G55" s="1516"/>
      <c r="H55" s="1516"/>
      <c r="I55" s="1516"/>
      <c r="J55" s="1501"/>
    </row>
    <row r="56" spans="1:10">
      <c r="A56" s="1501"/>
      <c r="B56" s="1501"/>
      <c r="C56" s="1501"/>
      <c r="D56" s="1501"/>
      <c r="E56" s="1501"/>
      <c r="F56" s="1501"/>
      <c r="G56" s="1501"/>
      <c r="H56" s="1501"/>
      <c r="I56" s="1501"/>
      <c r="J56" s="1501"/>
    </row>
    <row r="57" spans="1:10">
      <c r="D57" s="1501"/>
      <c r="E57" s="1501"/>
      <c r="F57" s="1501"/>
      <c r="G57" s="1501"/>
      <c r="H57" s="1501"/>
      <c r="I57" s="1501"/>
    </row>
  </sheetData>
  <mergeCells count="4">
    <mergeCell ref="E42:F42"/>
    <mergeCell ref="E45:F45"/>
    <mergeCell ref="E49:F49"/>
    <mergeCell ref="E53:F5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D237B-7240-41C8-BCEB-FD4F71538F3B}">
  <sheetPr>
    <tabColor rgb="FF92D050"/>
  </sheetPr>
  <dimension ref="A2"/>
  <sheetViews>
    <sheetView workbookViewId="0">
      <selection activeCell="L5" sqref="L5"/>
    </sheetView>
  </sheetViews>
  <sheetFormatPr defaultRowHeight="13.2"/>
  <sheetData>
    <row r="2" spans="1:1">
      <c r="A2" t="s">
        <v>1687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D8B0-2677-42A3-9515-2005AE0A8AAE}">
  <sheetPr>
    <tabColor rgb="FF92D050"/>
  </sheetPr>
  <dimension ref="A1:U25"/>
  <sheetViews>
    <sheetView workbookViewId="0">
      <selection activeCell="L42" sqref="L42"/>
    </sheetView>
  </sheetViews>
  <sheetFormatPr defaultColWidth="8.88671875" defaultRowHeight="13.2"/>
  <cols>
    <col min="1" max="1" width="1.6640625" style="838" customWidth="1"/>
    <col min="2" max="2" width="26.5546875" style="838" customWidth="1"/>
    <col min="3" max="5" width="1.6640625" style="838" customWidth="1"/>
    <col min="6" max="6" width="10.6640625" style="838" customWidth="1"/>
    <col min="7" max="16" width="12.6640625" style="838" customWidth="1"/>
    <col min="17" max="16384" width="8.88671875" style="838"/>
  </cols>
  <sheetData>
    <row r="1" spans="1:21">
      <c r="B1" s="838" t="s">
        <v>1870</v>
      </c>
    </row>
    <row r="2" spans="1:21" s="1610" customFormat="1">
      <c r="A2" s="1609"/>
      <c r="B2" s="1609" t="s">
        <v>1871</v>
      </c>
      <c r="C2" s="1609"/>
      <c r="D2" s="1609"/>
      <c r="E2" s="1609"/>
      <c r="F2" s="1609"/>
      <c r="G2" s="1609"/>
      <c r="H2" s="1609"/>
      <c r="I2" s="1609"/>
      <c r="J2" s="1609"/>
      <c r="K2" s="1609"/>
      <c r="L2" s="1609"/>
      <c r="M2" s="1609"/>
      <c r="N2" s="1609"/>
      <c r="O2" s="1609"/>
      <c r="P2" s="1609"/>
      <c r="Q2" s="1609"/>
      <c r="R2" s="1609"/>
      <c r="S2" s="1609"/>
      <c r="T2" s="1609"/>
      <c r="U2" s="1609"/>
    </row>
    <row r="3" spans="1:21" s="1610" customFormat="1" ht="15.6">
      <c r="A3" s="1609"/>
      <c r="B3" s="1611" t="s">
        <v>1889</v>
      </c>
      <c r="C3" s="1609"/>
      <c r="D3" s="1609"/>
      <c r="E3" s="1609"/>
      <c r="F3" s="1609"/>
      <c r="G3" s="1609"/>
      <c r="H3" s="1609"/>
      <c r="I3" s="1609"/>
      <c r="J3" s="1609"/>
      <c r="K3" s="1609"/>
      <c r="L3" s="1609"/>
      <c r="M3" s="1609"/>
      <c r="N3" s="1609"/>
      <c r="O3" s="1609"/>
      <c r="P3" s="1609"/>
      <c r="Q3" s="1609"/>
      <c r="R3" s="1609"/>
      <c r="S3" s="1609"/>
      <c r="T3" s="1609"/>
      <c r="U3" s="1609"/>
    </row>
    <row r="4" spans="1:21" s="1610" customFormat="1">
      <c r="A4" s="1609"/>
      <c r="B4" s="1609"/>
      <c r="C4" s="1609"/>
      <c r="D4" s="1609"/>
      <c r="E4" s="1609"/>
      <c r="F4" s="1609"/>
      <c r="G4" s="1609"/>
      <c r="H4" s="1609"/>
      <c r="I4" s="1609"/>
      <c r="J4" s="1609"/>
      <c r="K4" s="1609"/>
      <c r="L4" s="1609"/>
      <c r="M4" s="1609"/>
      <c r="N4" s="1609"/>
      <c r="O4" s="1609"/>
      <c r="P4" s="1609"/>
      <c r="Q4" s="1609"/>
      <c r="R4" s="1609"/>
      <c r="S4" s="1609"/>
      <c r="T4" s="1609"/>
      <c r="U4" s="1609"/>
    </row>
    <row r="5" spans="1:21" s="1620" customFormat="1" ht="15" customHeight="1">
      <c r="A5" s="1612"/>
      <c r="B5" s="1613" t="s">
        <v>910</v>
      </c>
      <c r="C5" s="1612"/>
      <c r="D5" s="1614"/>
      <c r="E5" s="1614"/>
      <c r="F5" s="1614"/>
      <c r="G5" s="1615" t="s">
        <v>294</v>
      </c>
      <c r="H5" s="1615" t="s">
        <v>309</v>
      </c>
      <c r="I5" s="1615" t="s">
        <v>310</v>
      </c>
      <c r="J5" s="1615" t="s">
        <v>311</v>
      </c>
      <c r="K5" s="1615" t="s">
        <v>312</v>
      </c>
      <c r="L5" s="1615" t="s">
        <v>1890</v>
      </c>
      <c r="M5" s="1615" t="s">
        <v>1891</v>
      </c>
      <c r="N5" s="1615" t="s">
        <v>1892</v>
      </c>
      <c r="O5" s="1615" t="s">
        <v>1893</v>
      </c>
      <c r="P5" s="1615" t="s">
        <v>1894</v>
      </c>
      <c r="Q5" s="1616"/>
      <c r="R5" s="1617" t="s">
        <v>1409</v>
      </c>
      <c r="S5" s="1618"/>
      <c r="T5" s="1619"/>
      <c r="U5" s="1619"/>
    </row>
    <row r="6" spans="1:21" s="1620" customFormat="1">
      <c r="A6" s="1621"/>
      <c r="B6" s="1622" t="s">
        <v>1410</v>
      </c>
      <c r="C6" s="1621"/>
      <c r="D6" s="1621"/>
      <c r="E6" s="1621"/>
      <c r="F6" s="1622" t="s">
        <v>1411</v>
      </c>
      <c r="G6" s="1630">
        <v>4.7284068405475013E-2</v>
      </c>
      <c r="H6" s="1631">
        <v>4.5679461090448806E-2</v>
      </c>
      <c r="I6" s="1631">
        <v>4.4721187865585064E-2</v>
      </c>
      <c r="J6" s="1631">
        <v>4.3439747595640094E-2</v>
      </c>
      <c r="K6" s="1631">
        <v>4.2158307325695123E-2</v>
      </c>
      <c r="L6" s="1631">
        <v>4.2158307325695123E-2</v>
      </c>
      <c r="M6" s="1631">
        <v>4.2158307325695123E-2</v>
      </c>
      <c r="N6" s="1631">
        <v>4.2158307325695123E-2</v>
      </c>
      <c r="O6" s="1631">
        <v>4.2158307325695123E-2</v>
      </c>
      <c r="P6" s="1631">
        <v>4.2158307325695123E-2</v>
      </c>
      <c r="Q6" s="1623"/>
      <c r="R6" s="1638">
        <v>4.2899792757882027E-2</v>
      </c>
      <c r="S6" s="1621"/>
      <c r="T6" s="1621"/>
      <c r="U6" s="1621"/>
    </row>
    <row r="7" spans="1:21" s="1620" customFormat="1">
      <c r="A7" s="1621"/>
      <c r="B7" s="1621" t="s">
        <v>1412</v>
      </c>
      <c r="C7" s="1621"/>
      <c r="D7" s="1621"/>
      <c r="E7" s="1621"/>
      <c r="F7" s="1621" t="s">
        <v>1411</v>
      </c>
      <c r="G7" s="1632">
        <v>2.3998445239976629E-2</v>
      </c>
      <c r="H7" s="1633">
        <v>2.2429515237719279E-2</v>
      </c>
      <c r="I7" s="1633">
        <v>2.149254854264715E-2</v>
      </c>
      <c r="J7" s="1633">
        <v>2.023960019398241E-2</v>
      </c>
      <c r="K7" s="1633">
        <v>1.8986651845317538E-2</v>
      </c>
      <c r="L7" s="1633">
        <v>1.8986651845317538E-2</v>
      </c>
      <c r="M7" s="1633">
        <v>1.8986651845317538E-2</v>
      </c>
      <c r="N7" s="1633">
        <v>1.8986651845317538E-2</v>
      </c>
      <c r="O7" s="1633">
        <v>1.8986651845317538E-2</v>
      </c>
      <c r="P7" s="1633">
        <v>1.8986651845317538E-2</v>
      </c>
      <c r="Q7" s="1624"/>
      <c r="R7" s="1639">
        <v>1.971165087151161E-2</v>
      </c>
      <c r="S7" s="1621"/>
      <c r="T7" s="1621"/>
      <c r="U7" s="1621"/>
    </row>
    <row r="8" spans="1:21" s="1620" customFormat="1">
      <c r="A8" s="1621"/>
      <c r="B8" s="1621" t="s">
        <v>1413</v>
      </c>
      <c r="C8" s="1621"/>
      <c r="D8" s="1625"/>
      <c r="E8" s="1625"/>
      <c r="F8" s="1621" t="s">
        <v>1411</v>
      </c>
      <c r="G8" s="1632">
        <v>4.3700606561479505E-2</v>
      </c>
      <c r="H8" s="1633">
        <v>4.2297449143954252E-2</v>
      </c>
      <c r="I8" s="1633">
        <v>4.1459482015865065E-2</v>
      </c>
      <c r="J8" s="1633">
        <v>4.0338919743057845E-2</v>
      </c>
      <c r="K8" s="1633">
        <v>3.9218357470250625E-2</v>
      </c>
      <c r="L8" s="1633">
        <v>3.9218357470250625E-2</v>
      </c>
      <c r="M8" s="1633">
        <v>3.9218357470250625E-2</v>
      </c>
      <c r="N8" s="1633">
        <v>3.9218357470250625E-2</v>
      </c>
      <c r="O8" s="1633">
        <v>3.9218357470250625E-2</v>
      </c>
      <c r="P8" s="1633">
        <v>3.9218357470250625E-2</v>
      </c>
      <c r="Q8" s="1624"/>
      <c r="R8" s="1639">
        <v>3.9145574454845455E-2</v>
      </c>
      <c r="S8" s="1625"/>
      <c r="T8" s="1621"/>
      <c r="U8" s="1621"/>
    </row>
    <row r="9" spans="1:21" s="1620" customFormat="1">
      <c r="A9" s="1621"/>
      <c r="B9" s="1621" t="s">
        <v>1414</v>
      </c>
      <c r="C9" s="1621"/>
      <c r="D9" s="1625"/>
      <c r="E9" s="1625"/>
      <c r="F9" s="1621" t="s">
        <v>1411</v>
      </c>
      <c r="G9" s="1632">
        <v>2.0494659144562277E-2</v>
      </c>
      <c r="H9" s="1633">
        <v>1.912269994331095E-2</v>
      </c>
      <c r="I9" s="1633">
        <v>1.830336442373981E-2</v>
      </c>
      <c r="J9" s="1633">
        <v>1.7207717063328687E-2</v>
      </c>
      <c r="K9" s="1633">
        <v>1.6112069702917342E-2</v>
      </c>
      <c r="L9" s="1633">
        <v>1.6112069702917342E-2</v>
      </c>
      <c r="M9" s="1633">
        <v>1.6112069702917342E-2</v>
      </c>
      <c r="N9" s="1633">
        <v>1.6112069702917342E-2</v>
      </c>
      <c r="O9" s="1633">
        <v>1.6112069702917342E-2</v>
      </c>
      <c r="P9" s="1633">
        <v>1.6112069702917342E-2</v>
      </c>
      <c r="Q9" s="1624"/>
      <c r="R9" s="1639">
        <v>1.6040904966563962E-2</v>
      </c>
      <c r="S9" s="1621"/>
      <c r="T9" s="1621"/>
      <c r="U9" s="1621"/>
    </row>
    <row r="10" spans="1:21" s="1620" customFormat="1">
      <c r="A10" s="1621"/>
      <c r="B10" s="1621" t="s">
        <v>1415</v>
      </c>
      <c r="C10" s="1621"/>
      <c r="D10" s="1625"/>
      <c r="E10" s="1625"/>
      <c r="F10" s="1621" t="s">
        <v>1411</v>
      </c>
      <c r="G10" s="1632">
        <v>4.9852054364000892E-2</v>
      </c>
      <c r="H10" s="1633">
        <v>4.8247447048974684E-2</v>
      </c>
      <c r="I10" s="1633">
        <v>4.7289173824110943E-2</v>
      </c>
      <c r="J10" s="1633">
        <v>4.6007733554165972E-2</v>
      </c>
      <c r="K10" s="1633">
        <v>4.4726293284221001E-2</v>
      </c>
      <c r="L10" s="1633">
        <v>4.4726293284221001E-2</v>
      </c>
      <c r="M10" s="1633">
        <v>4.4726293284221001E-2</v>
      </c>
      <c r="N10" s="1633">
        <v>4.4726293284221001E-2</v>
      </c>
      <c r="O10" s="1633">
        <v>4.4726293284221001E-2</v>
      </c>
      <c r="P10" s="1633">
        <v>4.4726293284221001E-2</v>
      </c>
      <c r="Q10" s="1624"/>
      <c r="R10" s="1639">
        <v>4.5407522630218189E-2</v>
      </c>
      <c r="S10" s="1621"/>
      <c r="T10" s="1621"/>
      <c r="U10" s="1621"/>
    </row>
    <row r="11" spans="1:21" s="1620" customFormat="1">
      <c r="A11" s="1621"/>
      <c r="B11" s="1621" t="s">
        <v>1416</v>
      </c>
      <c r="C11" s="1621"/>
      <c r="D11" s="1625"/>
      <c r="E11" s="1625"/>
      <c r="F11" s="1621" t="s">
        <v>1411</v>
      </c>
      <c r="G11" s="1632">
        <v>2.650933384055687E-2</v>
      </c>
      <c r="H11" s="1633">
        <v>2.494040383829943E-2</v>
      </c>
      <c r="I11" s="1633">
        <v>2.4003437143227391E-2</v>
      </c>
      <c r="J11" s="1633">
        <v>2.2750488794562651E-2</v>
      </c>
      <c r="K11" s="1633">
        <v>2.1497540445897689E-2</v>
      </c>
      <c r="L11" s="1633">
        <v>2.1497540445897689E-2</v>
      </c>
      <c r="M11" s="1633">
        <v>2.1497540445897689E-2</v>
      </c>
      <c r="N11" s="1633">
        <v>2.1497540445897689E-2</v>
      </c>
      <c r="O11" s="1633">
        <v>2.1497540445897689E-2</v>
      </c>
      <c r="P11" s="1633">
        <v>2.1497540445897689E-2</v>
      </c>
      <c r="Q11" s="1624"/>
      <c r="R11" s="1639">
        <v>2.2163623137224198E-2</v>
      </c>
      <c r="S11" s="1621"/>
      <c r="T11" s="1621"/>
      <c r="U11" s="1621"/>
    </row>
    <row r="12" spans="1:21" s="1620" customFormat="1">
      <c r="A12" s="1621"/>
      <c r="B12" s="1621" t="s">
        <v>1417</v>
      </c>
      <c r="C12" s="1621"/>
      <c r="D12" s="1621"/>
      <c r="E12" s="1621"/>
      <c r="F12" s="1621" t="s">
        <v>1411</v>
      </c>
      <c r="G12" s="1634">
        <v>6.151447802521387E-3</v>
      </c>
      <c r="H12" s="1635">
        <v>5.9499979050204321E-3</v>
      </c>
      <c r="I12" s="1635">
        <v>5.8296918082458779E-3</v>
      </c>
      <c r="J12" s="1635">
        <v>5.6688138111081268E-3</v>
      </c>
      <c r="K12" s="1635">
        <v>5.5079358139703757E-3</v>
      </c>
      <c r="L12" s="1635">
        <v>5.5079358139703757E-3</v>
      </c>
      <c r="M12" s="1635">
        <v>5.5079358139703757E-3</v>
      </c>
      <c r="N12" s="1635">
        <v>5.5079358139703757E-3</v>
      </c>
      <c r="O12" s="1635">
        <v>5.5079358139703757E-3</v>
      </c>
      <c r="P12" s="1635">
        <v>5.5079358139703757E-3</v>
      </c>
      <c r="Q12" s="1626"/>
      <c r="R12" s="1640">
        <v>6.2619481753727335E-3</v>
      </c>
      <c r="S12" s="1621"/>
      <c r="T12" s="1621"/>
      <c r="U12" s="1621"/>
    </row>
    <row r="13" spans="1:21" s="1620" customFormat="1">
      <c r="A13" s="1621"/>
      <c r="B13" s="1621" t="s">
        <v>1418</v>
      </c>
      <c r="C13" s="1621"/>
      <c r="D13" s="1621"/>
      <c r="E13" s="1621"/>
      <c r="F13" s="1621" t="s">
        <v>1411</v>
      </c>
      <c r="G13" s="1634">
        <v>6.0146746959945929E-3</v>
      </c>
      <c r="H13" s="1635">
        <v>5.8177038949884796E-3</v>
      </c>
      <c r="I13" s="1635">
        <v>5.7000727194875811E-3</v>
      </c>
      <c r="J13" s="1635">
        <v>5.5427717312339642E-3</v>
      </c>
      <c r="K13" s="1635">
        <v>5.3854707429803472E-3</v>
      </c>
      <c r="L13" s="1635">
        <v>5.3854707429803472E-3</v>
      </c>
      <c r="M13" s="1635">
        <v>5.3854707429803472E-3</v>
      </c>
      <c r="N13" s="1635">
        <v>5.3854707429803472E-3</v>
      </c>
      <c r="O13" s="1635">
        <v>5.3854707429803472E-3</v>
      </c>
      <c r="P13" s="1635">
        <v>5.3854707429803472E-3</v>
      </c>
      <c r="Q13" s="1626"/>
      <c r="R13" s="1639">
        <v>6.1227181706602352E-3</v>
      </c>
      <c r="S13" s="1621"/>
      <c r="T13" s="1621"/>
      <c r="U13" s="1621"/>
    </row>
    <row r="15" spans="1:21">
      <c r="A15" s="1627"/>
      <c r="B15" s="1627"/>
      <c r="C15" s="1628" t="s">
        <v>1421</v>
      </c>
      <c r="D15" s="1627"/>
      <c r="E15" s="1627"/>
      <c r="G15" s="1325" t="s">
        <v>1422</v>
      </c>
      <c r="H15" s="340" t="s">
        <v>1423</v>
      </c>
      <c r="I15" s="340" t="s">
        <v>1424</v>
      </c>
      <c r="J15" s="340" t="s">
        <v>1425</v>
      </c>
      <c r="K15" s="340" t="s">
        <v>1426</v>
      </c>
    </row>
    <row r="16" spans="1:21">
      <c r="A16" s="1627"/>
      <c r="B16" s="1627"/>
      <c r="C16" s="1629" t="s">
        <v>1427</v>
      </c>
      <c r="D16" s="1627"/>
      <c r="E16" s="1627"/>
      <c r="G16" s="1636">
        <v>0.10899255106646009</v>
      </c>
      <c r="H16" s="1637">
        <v>2.0350825128281194E-2</v>
      </c>
      <c r="I16" s="1637">
        <v>1.950812381200235E-2</v>
      </c>
      <c r="J16" s="1637">
        <v>1.950812381200235E-2</v>
      </c>
      <c r="K16" s="1637">
        <v>1.950812381200235E-2</v>
      </c>
    </row>
    <row r="19" spans="2:12">
      <c r="B19" s="840"/>
      <c r="C19" s="840"/>
      <c r="D19" s="840"/>
      <c r="E19" s="840"/>
      <c r="F19" s="840"/>
      <c r="G19" s="840"/>
      <c r="H19" s="840"/>
      <c r="I19" s="840"/>
      <c r="J19" s="840"/>
      <c r="K19" s="840"/>
      <c r="L19" s="840"/>
    </row>
    <row r="20" spans="2:12">
      <c r="B20" s="840"/>
      <c r="C20" s="840"/>
      <c r="D20" s="840"/>
      <c r="E20" s="840"/>
      <c r="F20" s="840"/>
      <c r="G20" s="840"/>
      <c r="H20" s="840"/>
      <c r="I20" s="840"/>
      <c r="J20" s="840"/>
      <c r="K20" s="840"/>
      <c r="L20" s="840"/>
    </row>
    <row r="21" spans="2:12">
      <c r="B21" s="840"/>
      <c r="C21" s="840"/>
      <c r="D21" s="840"/>
      <c r="E21" s="840"/>
      <c r="F21" s="840"/>
      <c r="G21" s="840"/>
      <c r="H21" s="840"/>
      <c r="I21" s="840"/>
      <c r="J21" s="840"/>
      <c r="K21" s="840"/>
      <c r="L21" s="840"/>
    </row>
    <row r="22" spans="2:12">
      <c r="B22" s="840"/>
      <c r="C22" s="840"/>
      <c r="D22" s="840"/>
      <c r="E22" s="840"/>
      <c r="F22" s="840"/>
      <c r="G22" s="840"/>
      <c r="H22" s="840"/>
      <c r="I22" s="840"/>
      <c r="J22" s="840"/>
      <c r="K22" s="840"/>
      <c r="L22" s="840"/>
    </row>
    <row r="23" spans="2:12">
      <c r="B23" s="840"/>
      <c r="C23" s="840"/>
      <c r="D23" s="840"/>
      <c r="E23" s="840"/>
      <c r="F23" s="840"/>
      <c r="G23" s="840"/>
      <c r="H23" s="840"/>
      <c r="I23" s="840"/>
      <c r="J23" s="840"/>
      <c r="K23" s="840"/>
      <c r="L23" s="840"/>
    </row>
    <row r="24" spans="2:12">
      <c r="B24" s="840"/>
      <c r="C24" s="840"/>
      <c r="D24" s="840"/>
      <c r="E24" s="840"/>
      <c r="F24" s="840"/>
      <c r="G24" s="840"/>
      <c r="H24" s="840"/>
      <c r="I24" s="840"/>
      <c r="J24" s="840"/>
      <c r="K24" s="840"/>
      <c r="L24" s="840"/>
    </row>
    <row r="25" spans="2:12">
      <c r="B25" s="840"/>
      <c r="C25" s="840"/>
      <c r="D25" s="840"/>
      <c r="E25" s="840"/>
      <c r="F25" s="840"/>
      <c r="G25" s="840"/>
      <c r="H25" s="840"/>
      <c r="I25" s="840"/>
      <c r="J25" s="840"/>
      <c r="K25" s="840"/>
      <c r="L25" s="84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5C91-02C6-438E-B2A2-CD945C634723}">
  <sheetPr>
    <tabColor rgb="FF92D050"/>
  </sheetPr>
  <dimension ref="A1:N35"/>
  <sheetViews>
    <sheetView workbookViewId="0">
      <selection activeCell="G52" sqref="G52"/>
    </sheetView>
  </sheetViews>
  <sheetFormatPr defaultColWidth="9.109375" defaultRowHeight="10.199999999999999"/>
  <cols>
    <col min="1" max="1" width="1.6640625" style="781" customWidth="1"/>
    <col min="2" max="2" width="46.109375" style="781" customWidth="1"/>
    <col min="3" max="3" width="14.6640625" style="783" customWidth="1"/>
    <col min="4" max="5" width="9.109375" style="783"/>
    <col min="6" max="8" width="9.109375" style="781"/>
    <col min="9" max="9" width="13.88671875" style="781" customWidth="1"/>
    <col min="10" max="13" width="9.109375" style="781"/>
    <col min="14" max="14" width="13" style="781" customWidth="1"/>
    <col min="15" max="16384" width="9.109375" style="781"/>
  </cols>
  <sheetData>
    <row r="1" spans="1:14" s="780" customFormat="1" ht="13.2">
      <c r="A1" s="139" t="s">
        <v>1600</v>
      </c>
    </row>
    <row r="2" spans="1:14" s="780" customFormat="1" ht="13.2">
      <c r="A2" s="139"/>
    </row>
    <row r="3" spans="1:14" ht="17.399999999999999">
      <c r="B3" s="782" t="s">
        <v>179</v>
      </c>
    </row>
    <row r="4" spans="1:14" ht="17.399999999999999">
      <c r="B4" s="782" t="s">
        <v>1554</v>
      </c>
    </row>
    <row r="5" spans="1:14" ht="17.399999999999999">
      <c r="B5" s="782" t="s">
        <v>1555</v>
      </c>
      <c r="E5" s="784"/>
      <c r="F5" s="1907" t="s">
        <v>1556</v>
      </c>
      <c r="G5" s="1908"/>
      <c r="H5" s="1908"/>
      <c r="I5" s="1908"/>
      <c r="J5" s="1907" t="s">
        <v>1557</v>
      </c>
      <c r="K5" s="1908"/>
      <c r="L5" s="1908"/>
      <c r="M5" s="1908"/>
      <c r="N5" s="1908"/>
    </row>
    <row r="6" spans="1:14">
      <c r="D6" s="785" t="s">
        <v>1558</v>
      </c>
      <c r="E6" s="786" t="s">
        <v>1559</v>
      </c>
      <c r="F6" s="786" t="s">
        <v>1560</v>
      </c>
      <c r="G6" s="786" t="s">
        <v>1561</v>
      </c>
      <c r="H6" s="786" t="s">
        <v>1562</v>
      </c>
      <c r="I6" s="786" t="s">
        <v>153</v>
      </c>
      <c r="J6" s="786" t="s">
        <v>149</v>
      </c>
      <c r="K6" s="786" t="s">
        <v>139</v>
      </c>
      <c r="L6" s="786" t="s">
        <v>150</v>
      </c>
      <c r="M6" s="786" t="s">
        <v>151</v>
      </c>
      <c r="N6" s="786" t="s">
        <v>152</v>
      </c>
    </row>
    <row r="7" spans="1:14">
      <c r="B7" s="780" t="s">
        <v>1563</v>
      </c>
      <c r="C7" s="787"/>
      <c r="D7" s="1907" t="s">
        <v>1556</v>
      </c>
      <c r="E7" s="1908"/>
      <c r="F7" s="1908"/>
      <c r="G7" s="1908"/>
      <c r="H7" s="1907" t="s">
        <v>1557</v>
      </c>
      <c r="I7" s="1908"/>
      <c r="J7" s="1908"/>
      <c r="K7" s="1908"/>
      <c r="L7" s="1908"/>
      <c r="M7" s="1907" t="s">
        <v>1564</v>
      </c>
      <c r="N7" s="1908"/>
    </row>
    <row r="8" spans="1:14">
      <c r="B8" s="780" t="s">
        <v>1565</v>
      </c>
      <c r="C8" s="780"/>
      <c r="D8" s="785" t="s">
        <v>1566</v>
      </c>
      <c r="E8" s="786" t="s">
        <v>1561</v>
      </c>
      <c r="F8" s="786" t="s">
        <v>1562</v>
      </c>
      <c r="G8" s="786" t="s">
        <v>153</v>
      </c>
      <c r="H8" s="788" t="s">
        <v>149</v>
      </c>
      <c r="I8" s="786" t="s">
        <v>139</v>
      </c>
      <c r="J8" s="786" t="s">
        <v>150</v>
      </c>
      <c r="K8" s="786" t="s">
        <v>151</v>
      </c>
      <c r="L8" s="786" t="s">
        <v>152</v>
      </c>
      <c r="M8" s="786" t="s">
        <v>294</v>
      </c>
      <c r="N8" s="786" t="s">
        <v>309</v>
      </c>
    </row>
    <row r="9" spans="1:14">
      <c r="B9" s="789" t="s">
        <v>1567</v>
      </c>
      <c r="C9" s="790"/>
      <c r="D9" s="790"/>
      <c r="E9" s="790"/>
      <c r="F9" s="790"/>
      <c r="G9" s="790"/>
      <c r="H9" s="791"/>
      <c r="I9" s="790"/>
      <c r="J9" s="790"/>
      <c r="K9" s="790"/>
      <c r="L9" s="790"/>
      <c r="M9" s="790"/>
      <c r="N9" s="790"/>
    </row>
    <row r="10" spans="1:14">
      <c r="B10" s="781" t="s">
        <v>1568</v>
      </c>
      <c r="C10" s="792"/>
      <c r="D10" s="792"/>
      <c r="E10" s="793"/>
      <c r="F10" s="794"/>
      <c r="G10" s="794"/>
      <c r="H10" s="795"/>
      <c r="I10" s="796"/>
      <c r="J10" s="797"/>
      <c r="K10" s="797"/>
      <c r="L10" s="797"/>
      <c r="M10" s="797"/>
      <c r="N10" s="797"/>
    </row>
    <row r="11" spans="1:14">
      <c r="B11" s="781" t="s">
        <v>1569</v>
      </c>
      <c r="E11" s="798"/>
      <c r="F11" s="799">
        <v>1.3079999999999999E-3</v>
      </c>
      <c r="G11" s="799">
        <v>2.8320390965223597E-3</v>
      </c>
      <c r="H11" s="800">
        <v>7.6226097999999931E-3</v>
      </c>
      <c r="I11" s="801">
        <v>6.0007706816217641E-3</v>
      </c>
      <c r="J11" s="799">
        <v>5.1073600690592705E-3</v>
      </c>
      <c r="K11" s="799">
        <v>7.5214627477730913E-3</v>
      </c>
      <c r="L11" s="799">
        <v>6.7063877029452622E-3</v>
      </c>
      <c r="M11" s="799">
        <v>3.7608915746700062E-3</v>
      </c>
      <c r="N11" s="799">
        <v>7.8035782037999741E-4</v>
      </c>
    </row>
    <row r="12" spans="1:14">
      <c r="B12" s="781" t="s">
        <v>1570</v>
      </c>
      <c r="E12" s="798"/>
      <c r="F12" s="799">
        <v>-5.6700000000000001E-4</v>
      </c>
      <c r="G12" s="799">
        <v>4.3762303452048084E-3</v>
      </c>
      <c r="H12" s="800">
        <v>9.8599977000000255E-3</v>
      </c>
      <c r="I12" s="801">
        <v>1.137644297928874E-3</v>
      </c>
      <c r="J12" s="799">
        <v>6.4040591811657986E-3</v>
      </c>
      <c r="K12" s="799">
        <v>1.6523922637731392E-2</v>
      </c>
      <c r="L12" s="799">
        <v>1.3116744382276861E-2</v>
      </c>
      <c r="M12" s="799">
        <v>4.6754602504199966E-3</v>
      </c>
      <c r="N12" s="799">
        <v>8.8898372053799798E-3</v>
      </c>
    </row>
    <row r="13" spans="1:14">
      <c r="B13" s="781" t="s">
        <v>1571</v>
      </c>
      <c r="E13" s="798"/>
      <c r="F13" s="799">
        <v>-7.1380000000000002E-3</v>
      </c>
      <c r="G13" s="799">
        <v>-3.5089109904751252E-3</v>
      </c>
      <c r="H13" s="800">
        <v>2.9951220000000683E-4</v>
      </c>
      <c r="I13" s="801">
        <v>-1.0251721591783248E-2</v>
      </c>
      <c r="J13" s="799">
        <v>-2.6953949281344554E-3</v>
      </c>
      <c r="K13" s="799">
        <v>4.0116983602014123E-3</v>
      </c>
      <c r="L13" s="799">
        <v>2.0703008361670642E-3</v>
      </c>
      <c r="M13" s="799">
        <v>6.6253093124000919E-4</v>
      </c>
      <c r="N13" s="799">
        <v>-3.26612151500015E-4</v>
      </c>
    </row>
    <row r="14" spans="1:14">
      <c r="B14" s="781" t="s">
        <v>1572</v>
      </c>
      <c r="E14" s="798"/>
      <c r="F14" s="799"/>
      <c r="G14" s="799"/>
      <c r="H14" s="800"/>
      <c r="I14" s="801"/>
      <c r="J14" s="798"/>
      <c r="K14" s="798"/>
      <c r="L14" s="798"/>
      <c r="M14" s="798"/>
      <c r="N14" s="798"/>
    </row>
    <row r="15" spans="1:14">
      <c r="B15" s="781" t="s">
        <v>1573</v>
      </c>
      <c r="E15" s="798"/>
      <c r="F15" s="799">
        <v>5.6928299999999977E-3</v>
      </c>
      <c r="G15" s="799">
        <v>5.690586061148137E-3</v>
      </c>
      <c r="H15" s="800">
        <v>7.3696272000000271E-3</v>
      </c>
      <c r="I15" s="801">
        <v>9.0221628492578032E-3</v>
      </c>
      <c r="J15" s="799">
        <v>5.9792580101353035E-3</v>
      </c>
      <c r="K15" s="799">
        <v>8.0345717660572028E-3</v>
      </c>
      <c r="L15" s="799">
        <v>3.7270889987621497E-3</v>
      </c>
      <c r="M15" s="799">
        <v>5.9112808518500069E-3</v>
      </c>
      <c r="N15" s="799">
        <v>1.9764375596300122E-3</v>
      </c>
    </row>
    <row r="16" spans="1:14">
      <c r="B16" s="781" t="s">
        <v>1574</v>
      </c>
      <c r="E16" s="798"/>
      <c r="F16" s="799">
        <v>1.7766899999999972E-3</v>
      </c>
      <c r="G16" s="799">
        <v>8.2747429942867396E-3</v>
      </c>
      <c r="H16" s="800">
        <v>1.1031270800000039E-2</v>
      </c>
      <c r="I16" s="801">
        <v>3.4813446677671696E-3</v>
      </c>
      <c r="J16" s="799">
        <v>7.8190204434355221E-3</v>
      </c>
      <c r="K16" s="799">
        <v>1.3731369897384087E-2</v>
      </c>
      <c r="L16" s="799">
        <v>1.3878034657910659E-2</v>
      </c>
      <c r="M16" s="799">
        <v>8.1748998980100442E-3</v>
      </c>
      <c r="N16" s="799">
        <v>9.8245897347200555E-3</v>
      </c>
    </row>
    <row r="17" spans="2:14">
      <c r="B17" s="781" t="s">
        <v>1575</v>
      </c>
      <c r="E17" s="798"/>
      <c r="F17" s="799">
        <v>-1.8416000000000016E-3</v>
      </c>
      <c r="G17" s="799">
        <v>1.0924706618401336E-3</v>
      </c>
      <c r="H17" s="800">
        <v>6.7448600000000745E-4</v>
      </c>
      <c r="I17" s="801">
        <v>-3.6102321053309884E-3</v>
      </c>
      <c r="J17" s="799">
        <v>-3.5480407917698412E-3</v>
      </c>
      <c r="K17" s="799">
        <v>2.355669594933084E-3</v>
      </c>
      <c r="L17" s="799">
        <v>4.178814966780014E-3</v>
      </c>
      <c r="M17" s="799">
        <v>4.6164755779200088E-3</v>
      </c>
      <c r="N17" s="799">
        <v>7.4119653937999689E-4</v>
      </c>
    </row>
    <row r="18" spans="2:14">
      <c r="B18" s="781" t="s">
        <v>1576</v>
      </c>
      <c r="C18" s="792" t="s">
        <v>1577</v>
      </c>
      <c r="D18" s="792"/>
      <c r="E18" s="802"/>
      <c r="F18" s="799">
        <v>2E-3</v>
      </c>
      <c r="G18" s="799">
        <v>1.9302454769848396E-3</v>
      </c>
      <c r="H18" s="800">
        <v>1.6104829770387937E-3</v>
      </c>
      <c r="I18" s="801">
        <v>1.2930203128083348E-3</v>
      </c>
      <c r="J18" s="799">
        <v>8.7428029704534542E-4</v>
      </c>
      <c r="K18" s="799">
        <v>1.1610329087510308E-3</v>
      </c>
      <c r="L18" s="799">
        <v>9.3768415197969829E-4</v>
      </c>
      <c r="M18" s="799">
        <v>9.5006732172048486E-4</v>
      </c>
      <c r="N18" s="799">
        <v>2E-3</v>
      </c>
    </row>
    <row r="19" spans="2:14">
      <c r="E19" s="798"/>
      <c r="F19" s="803"/>
      <c r="G19" s="798"/>
      <c r="H19" s="804"/>
      <c r="I19" s="805"/>
      <c r="J19" s="798"/>
      <c r="K19" s="798"/>
      <c r="L19" s="798"/>
      <c r="M19" s="798"/>
      <c r="N19" s="798"/>
    </row>
    <row r="20" spans="2:14">
      <c r="B20" s="781" t="s">
        <v>1578</v>
      </c>
      <c r="C20" s="792" t="s">
        <v>1579</v>
      </c>
      <c r="D20" s="792"/>
      <c r="E20" s="802"/>
      <c r="F20" s="799">
        <v>-7.6908000000000662E-4</v>
      </c>
      <c r="G20" s="799">
        <v>1.8757158168527053E-2</v>
      </c>
      <c r="H20" s="800">
        <v>3.6857503700000099E-2</v>
      </c>
      <c r="I20" s="801">
        <v>5.7799687994613755E-3</v>
      </c>
      <c r="J20" s="799">
        <v>1.9066261983891601E-2</v>
      </c>
      <c r="K20" s="799">
        <v>5.2178695004080268E-2</v>
      </c>
      <c r="L20" s="799">
        <v>4.3677371544842004E-2</v>
      </c>
      <c r="M20" s="799">
        <v>2.780153908411007E-2</v>
      </c>
      <c r="N20" s="799">
        <v>2.1885806707990028E-2</v>
      </c>
    </row>
    <row r="21" spans="2:14">
      <c r="C21" s="792"/>
      <c r="D21" s="792"/>
      <c r="E21" s="802"/>
      <c r="F21" s="803"/>
      <c r="G21" s="806"/>
      <c r="H21" s="807"/>
      <c r="I21" s="808"/>
      <c r="J21" s="798"/>
      <c r="K21" s="798"/>
      <c r="L21" s="798"/>
      <c r="M21" s="798"/>
      <c r="N21" s="798"/>
    </row>
    <row r="22" spans="2:14">
      <c r="B22" s="781" t="s">
        <v>1580</v>
      </c>
      <c r="C22" s="792" t="s">
        <v>1581</v>
      </c>
      <c r="D22" s="792"/>
      <c r="E22" s="802"/>
      <c r="F22" s="799">
        <v>2E-3</v>
      </c>
      <c r="G22" s="799">
        <v>1.9302454769848396E-3</v>
      </c>
      <c r="H22" s="800">
        <v>1.6104829770387937E-3</v>
      </c>
      <c r="I22" s="801">
        <v>1.2930203128083348E-3</v>
      </c>
      <c r="J22" s="799">
        <v>8.7428029704534542E-4</v>
      </c>
      <c r="K22" s="799">
        <v>1.1610329087510308E-3</v>
      </c>
      <c r="L22" s="799">
        <v>9.3768415197969829E-4</v>
      </c>
      <c r="M22" s="799">
        <v>9.5006732172048486E-4</v>
      </c>
      <c r="N22" s="799">
        <v>2E-3</v>
      </c>
    </row>
    <row r="23" spans="2:14">
      <c r="C23" s="792"/>
      <c r="D23" s="792"/>
      <c r="E23" s="802"/>
      <c r="F23" s="809"/>
      <c r="G23" s="806"/>
      <c r="H23" s="807"/>
      <c r="I23" s="808"/>
      <c r="J23" s="798"/>
      <c r="K23" s="798"/>
      <c r="L23" s="798"/>
      <c r="M23" s="798"/>
      <c r="N23" s="798"/>
    </row>
    <row r="24" spans="2:14">
      <c r="B24" s="780" t="s">
        <v>1582</v>
      </c>
      <c r="C24" s="792" t="s">
        <v>1583</v>
      </c>
      <c r="D24" s="792"/>
      <c r="E24" s="802"/>
      <c r="F24" s="799">
        <v>1.2309199999999934E-3</v>
      </c>
      <c r="G24" s="799">
        <v>0.02</v>
      </c>
      <c r="H24" s="800">
        <v>0.02</v>
      </c>
      <c r="I24" s="801">
        <v>7.07298911226971E-3</v>
      </c>
      <c r="J24" s="799">
        <v>1.9940542280936946E-2</v>
      </c>
      <c r="K24" s="799">
        <v>0.02</v>
      </c>
      <c r="L24" s="799">
        <v>0.02</v>
      </c>
      <c r="M24" s="799">
        <v>0.02</v>
      </c>
      <c r="N24" s="799">
        <v>0.02</v>
      </c>
    </row>
    <row r="25" spans="2:14">
      <c r="E25" s="810"/>
      <c r="F25" s="811"/>
      <c r="G25" s="810"/>
      <c r="H25" s="812"/>
      <c r="I25" s="813"/>
      <c r="J25" s="810"/>
      <c r="K25" s="810"/>
      <c r="L25" s="810"/>
      <c r="M25" s="810"/>
      <c r="N25" s="810"/>
    </row>
    <row r="26" spans="2:14">
      <c r="B26" s="789" t="s">
        <v>1584</v>
      </c>
      <c r="C26" s="789"/>
      <c r="D26" s="789"/>
      <c r="E26" s="814"/>
      <c r="F26" s="814"/>
      <c r="G26" s="814"/>
      <c r="H26" s="815"/>
      <c r="I26" s="814"/>
      <c r="J26" s="814"/>
      <c r="K26" s="814"/>
      <c r="L26" s="814"/>
      <c r="M26" s="814"/>
      <c r="N26" s="814"/>
    </row>
    <row r="27" spans="2:14">
      <c r="B27" s="780" t="s">
        <v>1585</v>
      </c>
      <c r="C27" s="792" t="s">
        <v>1586</v>
      </c>
      <c r="D27" s="816"/>
      <c r="E27" s="810"/>
      <c r="F27" s="799">
        <v>1.2309199999999934E-3</v>
      </c>
      <c r="G27" s="799">
        <v>0.02</v>
      </c>
      <c r="H27" s="800">
        <v>1.4100000000000001E-2</v>
      </c>
      <c r="I27" s="801">
        <v>1.297298911226971E-2</v>
      </c>
      <c r="J27" s="799">
        <v>1.9940542280936946E-2</v>
      </c>
      <c r="K27" s="799">
        <v>0.02</v>
      </c>
      <c r="L27" s="799">
        <v>0.02</v>
      </c>
      <c r="M27" s="799">
        <v>0.02</v>
      </c>
      <c r="N27" s="799">
        <v>0</v>
      </c>
    </row>
    <row r="28" spans="2:14" s="780" customFormat="1">
      <c r="C28" s="792"/>
      <c r="D28" s="792"/>
      <c r="E28" s="810"/>
      <c r="F28" s="810"/>
      <c r="G28" s="810"/>
      <c r="H28" s="812"/>
      <c r="I28" s="813"/>
      <c r="J28" s="810"/>
      <c r="K28" s="810"/>
      <c r="L28" s="810"/>
      <c r="M28" s="810"/>
      <c r="N28" s="810"/>
    </row>
    <row r="29" spans="2:14" s="780" customFormat="1" ht="30.6">
      <c r="B29" s="817" t="s">
        <v>1587</v>
      </c>
      <c r="C29" s="818" t="s">
        <v>1588</v>
      </c>
      <c r="D29" s="818"/>
      <c r="E29" s="810"/>
      <c r="F29" s="799">
        <v>1.2309199999999934E-3</v>
      </c>
      <c r="G29" s="799">
        <v>0.02</v>
      </c>
      <c r="H29" s="819">
        <v>2.0004038010837499E-2</v>
      </c>
      <c r="I29" s="820">
        <v>1.8405118249363424E-2</v>
      </c>
      <c r="J29" s="799">
        <v>1.994054228093689E-2</v>
      </c>
      <c r="K29" s="799">
        <v>2.0000000000000018E-2</v>
      </c>
      <c r="L29" s="799">
        <v>2.0000000000000018E-2</v>
      </c>
      <c r="M29" s="821">
        <v>2.2445993230244134E-2</v>
      </c>
      <c r="N29" s="822">
        <v>0</v>
      </c>
    </row>
    <row r="30" spans="2:14">
      <c r="C30" s="781"/>
      <c r="D30" s="781"/>
      <c r="E30" s="810"/>
      <c r="F30" s="810"/>
      <c r="G30" s="810"/>
      <c r="H30" s="812"/>
      <c r="I30" s="813"/>
      <c r="J30" s="810"/>
      <c r="K30" s="810"/>
      <c r="L30" s="810"/>
      <c r="M30" s="810"/>
      <c r="N30" s="810"/>
    </row>
    <row r="31" spans="2:14">
      <c r="B31" s="823" t="s">
        <v>1589</v>
      </c>
      <c r="C31" s="824" t="s">
        <v>1590</v>
      </c>
      <c r="D31" s="823"/>
      <c r="E31" s="825"/>
      <c r="F31" s="826">
        <v>1.2309199999999934E-3</v>
      </c>
      <c r="G31" s="827">
        <v>1.8746005167319391E-2</v>
      </c>
      <c r="H31" s="828">
        <v>2.0004038010837499E-2</v>
      </c>
      <c r="I31" s="836">
        <v>-1.5675621878833423E-3</v>
      </c>
      <c r="J31" s="827">
        <v>1.5076750932014882E-3</v>
      </c>
      <c r="K31" s="827">
        <v>5.8295279576014991E-5</v>
      </c>
      <c r="L31" s="827">
        <v>0</v>
      </c>
      <c r="M31" s="835">
        <v>2.2445993230244134E-2</v>
      </c>
      <c r="N31" s="827">
        <v>-2.1953231152414987E-2</v>
      </c>
    </row>
    <row r="32" spans="2:14">
      <c r="B32" s="829"/>
      <c r="C32" s="792"/>
      <c r="D32" s="792"/>
      <c r="E32" s="810"/>
      <c r="F32" s="810"/>
      <c r="G32" s="810"/>
      <c r="H32" s="812"/>
      <c r="I32" s="813"/>
      <c r="J32" s="810"/>
      <c r="K32" s="810"/>
      <c r="L32" s="810"/>
      <c r="M32" s="810"/>
      <c r="N32" s="810"/>
    </row>
    <row r="33" spans="2:14">
      <c r="B33" s="789" t="s">
        <v>1591</v>
      </c>
      <c r="C33" s="789"/>
      <c r="D33" s="789"/>
      <c r="E33" s="814"/>
      <c r="F33" s="814"/>
      <c r="G33" s="814"/>
      <c r="H33" s="815"/>
      <c r="I33" s="814"/>
      <c r="J33" s="814"/>
      <c r="K33" s="814"/>
      <c r="L33" s="814"/>
      <c r="M33" s="814"/>
      <c r="N33" s="814"/>
    </row>
    <row r="34" spans="2:14">
      <c r="B34" s="780" t="s">
        <v>1565</v>
      </c>
      <c r="C34" s="780"/>
      <c r="D34" s="830"/>
      <c r="E34" s="786" t="s">
        <v>1561</v>
      </c>
      <c r="F34" s="786" t="s">
        <v>1562</v>
      </c>
      <c r="G34" s="786" t="s">
        <v>153</v>
      </c>
      <c r="H34" s="788" t="s">
        <v>149</v>
      </c>
      <c r="I34" s="786" t="s">
        <v>139</v>
      </c>
      <c r="J34" s="786" t="s">
        <v>150</v>
      </c>
      <c r="K34" s="786" t="s">
        <v>151</v>
      </c>
      <c r="L34" s="786" t="s">
        <v>152</v>
      </c>
      <c r="M34" s="786" t="s">
        <v>294</v>
      </c>
      <c r="N34" s="786" t="s">
        <v>309</v>
      </c>
    </row>
    <row r="35" spans="2:14">
      <c r="B35" s="781" t="s">
        <v>1592</v>
      </c>
      <c r="C35" s="831"/>
      <c r="D35" s="831"/>
      <c r="E35" s="832">
        <v>0</v>
      </c>
      <c r="F35" s="833">
        <v>0</v>
      </c>
      <c r="G35" s="833">
        <v>0</v>
      </c>
      <c r="H35" s="834">
        <v>5.8999999999999999E-3</v>
      </c>
      <c r="I35" s="832">
        <v>0</v>
      </c>
      <c r="J35" s="833">
        <v>0</v>
      </c>
      <c r="K35" s="833">
        <v>0</v>
      </c>
      <c r="L35" s="833">
        <v>0</v>
      </c>
      <c r="M35" s="833">
        <v>0</v>
      </c>
      <c r="N35" s="833">
        <v>0.02</v>
      </c>
    </row>
  </sheetData>
  <mergeCells count="5">
    <mergeCell ref="F5:I5"/>
    <mergeCell ref="J5:N5"/>
    <mergeCell ref="D7:G7"/>
    <mergeCell ref="H7:L7"/>
    <mergeCell ref="M7:N7"/>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86480-7A08-4786-8F2E-DD9A6A5FA377}">
  <sheetPr>
    <tabColor rgb="FF92D050"/>
  </sheetPr>
  <dimension ref="A1:AC80"/>
  <sheetViews>
    <sheetView topLeftCell="A10" workbookViewId="0">
      <selection activeCell="G47" sqref="G47"/>
    </sheetView>
  </sheetViews>
  <sheetFormatPr defaultRowHeight="13.2"/>
  <cols>
    <col min="1" max="1" width="5.44140625" style="139" customWidth="1"/>
    <col min="2" max="2" width="71.44140625" customWidth="1"/>
    <col min="3" max="4" width="18.6640625" style="538" customWidth="1"/>
    <col min="5" max="5" width="18.6640625" style="534" customWidth="1"/>
    <col min="6" max="6" width="14.88671875" style="534" customWidth="1"/>
    <col min="7" max="7" width="23.33203125" style="534" bestFit="1" customWidth="1"/>
    <col min="8" max="8" width="16.5546875" style="534" customWidth="1"/>
    <col min="9" max="9" width="14.33203125" style="534" customWidth="1"/>
    <col min="10" max="10" width="15.33203125" style="539" customWidth="1"/>
    <col min="11" max="11" width="14.6640625" style="539" customWidth="1"/>
    <col min="12" max="12" width="15.6640625" style="534" customWidth="1"/>
    <col min="13" max="13" width="12" style="534" bestFit="1" customWidth="1"/>
    <col min="14" max="17" width="9.109375" style="534" customWidth="1"/>
    <col min="18" max="21" width="8.88671875" style="534"/>
    <col min="22" max="22" width="9.109375" style="534" customWidth="1"/>
    <col min="23" max="256" width="8.88671875" style="534"/>
    <col min="257" max="257" width="2.6640625" style="534" customWidth="1"/>
    <col min="258" max="258" width="114.44140625" style="534" customWidth="1"/>
    <col min="259" max="259" width="0" style="534" hidden="1" customWidth="1"/>
    <col min="260" max="260" width="27.5546875" style="534" customWidth="1"/>
    <col min="261" max="261" width="20" style="534" customWidth="1"/>
    <col min="262" max="262" width="18.33203125" style="534" customWidth="1"/>
    <col min="263" max="263" width="20.109375" style="534" customWidth="1"/>
    <col min="264" max="264" width="10.6640625" style="534" customWidth="1"/>
    <col min="265" max="265" width="14.44140625" style="534" bestFit="1" customWidth="1"/>
    <col min="266" max="266" width="10.6640625" style="534" customWidth="1"/>
    <col min="267" max="267" width="12.6640625" style="534" bestFit="1" customWidth="1"/>
    <col min="268" max="270" width="8.44140625" style="534" customWidth="1"/>
    <col min="271" max="273" width="13" style="534" customWidth="1"/>
    <col min="274" max="277" width="8.88671875" style="534"/>
    <col min="278" max="278" width="8.6640625" style="534" customWidth="1"/>
    <col min="279" max="512" width="8.88671875" style="534"/>
    <col min="513" max="513" width="2.6640625" style="534" customWidth="1"/>
    <col min="514" max="514" width="114.44140625" style="534" customWidth="1"/>
    <col min="515" max="515" width="0" style="534" hidden="1" customWidth="1"/>
    <col min="516" max="516" width="27.5546875" style="534" customWidth="1"/>
    <col min="517" max="517" width="20" style="534" customWidth="1"/>
    <col min="518" max="518" width="18.33203125" style="534" customWidth="1"/>
    <col min="519" max="519" width="20.109375" style="534" customWidth="1"/>
    <col min="520" max="520" width="10.6640625" style="534" customWidth="1"/>
    <col min="521" max="521" width="14.44140625" style="534" bestFit="1" customWidth="1"/>
    <col min="522" max="522" width="10.6640625" style="534" customWidth="1"/>
    <col min="523" max="523" width="12.6640625" style="534" bestFit="1" customWidth="1"/>
    <col min="524" max="526" width="8.44140625" style="534" customWidth="1"/>
    <col min="527" max="529" width="13" style="534" customWidth="1"/>
    <col min="530" max="533" width="8.88671875" style="534"/>
    <col min="534" max="534" width="8.6640625" style="534" customWidth="1"/>
    <col min="535" max="768" width="8.88671875" style="534"/>
    <col min="769" max="769" width="2.6640625" style="534" customWidth="1"/>
    <col min="770" max="770" width="114.44140625" style="534" customWidth="1"/>
    <col min="771" max="771" width="0" style="534" hidden="1" customWidth="1"/>
    <col min="772" max="772" width="27.5546875" style="534" customWidth="1"/>
    <col min="773" max="773" width="20" style="534" customWidth="1"/>
    <col min="774" max="774" width="18.33203125" style="534" customWidth="1"/>
    <col min="775" max="775" width="20.109375" style="534" customWidth="1"/>
    <col min="776" max="776" width="10.6640625" style="534" customWidth="1"/>
    <col min="777" max="777" width="14.44140625" style="534" bestFit="1" customWidth="1"/>
    <col min="778" max="778" width="10.6640625" style="534" customWidth="1"/>
    <col min="779" max="779" width="12.6640625" style="534" bestFit="1" customWidth="1"/>
    <col min="780" max="782" width="8.44140625" style="534" customWidth="1"/>
    <col min="783" max="785" width="13" style="534" customWidth="1"/>
    <col min="786" max="789" width="8.88671875" style="534"/>
    <col min="790" max="790" width="8.6640625" style="534" customWidth="1"/>
    <col min="791" max="1024" width="8.88671875" style="534"/>
    <col min="1025" max="1025" width="2.6640625" style="534" customWidth="1"/>
    <col min="1026" max="1026" width="114.44140625" style="534" customWidth="1"/>
    <col min="1027" max="1027" width="0" style="534" hidden="1" customWidth="1"/>
    <col min="1028" max="1028" width="27.5546875" style="534" customWidth="1"/>
    <col min="1029" max="1029" width="20" style="534" customWidth="1"/>
    <col min="1030" max="1030" width="18.33203125" style="534" customWidth="1"/>
    <col min="1031" max="1031" width="20.109375" style="534" customWidth="1"/>
    <col min="1032" max="1032" width="10.6640625" style="534" customWidth="1"/>
    <col min="1033" max="1033" width="14.44140625" style="534" bestFit="1" customWidth="1"/>
    <col min="1034" max="1034" width="10.6640625" style="534" customWidth="1"/>
    <col min="1035" max="1035" width="12.6640625" style="534" bestFit="1" customWidth="1"/>
    <col min="1036" max="1038" width="8.44140625" style="534" customWidth="1"/>
    <col min="1039" max="1041" width="13" style="534" customWidth="1"/>
    <col min="1042" max="1045" width="8.88671875" style="534"/>
    <col min="1046" max="1046" width="8.6640625" style="534" customWidth="1"/>
    <col min="1047" max="1280" width="8.88671875" style="534"/>
    <col min="1281" max="1281" width="2.6640625" style="534" customWidth="1"/>
    <col min="1282" max="1282" width="114.44140625" style="534" customWidth="1"/>
    <col min="1283" max="1283" width="0" style="534" hidden="1" customWidth="1"/>
    <col min="1284" max="1284" width="27.5546875" style="534" customWidth="1"/>
    <col min="1285" max="1285" width="20" style="534" customWidth="1"/>
    <col min="1286" max="1286" width="18.33203125" style="534" customWidth="1"/>
    <col min="1287" max="1287" width="20.109375" style="534" customWidth="1"/>
    <col min="1288" max="1288" width="10.6640625" style="534" customWidth="1"/>
    <col min="1289" max="1289" width="14.44140625" style="534" bestFit="1" customWidth="1"/>
    <col min="1290" max="1290" width="10.6640625" style="534" customWidth="1"/>
    <col min="1291" max="1291" width="12.6640625" style="534" bestFit="1" customWidth="1"/>
    <col min="1292" max="1294" width="8.44140625" style="534" customWidth="1"/>
    <col min="1295" max="1297" width="13" style="534" customWidth="1"/>
    <col min="1298" max="1301" width="8.88671875" style="534"/>
    <col min="1302" max="1302" width="8.6640625" style="534" customWidth="1"/>
    <col min="1303" max="1536" width="8.88671875" style="534"/>
    <col min="1537" max="1537" width="2.6640625" style="534" customWidth="1"/>
    <col min="1538" max="1538" width="114.44140625" style="534" customWidth="1"/>
    <col min="1539" max="1539" width="0" style="534" hidden="1" customWidth="1"/>
    <col min="1540" max="1540" width="27.5546875" style="534" customWidth="1"/>
    <col min="1541" max="1541" width="20" style="534" customWidth="1"/>
    <col min="1542" max="1542" width="18.33203125" style="534" customWidth="1"/>
    <col min="1543" max="1543" width="20.109375" style="534" customWidth="1"/>
    <col min="1544" max="1544" width="10.6640625" style="534" customWidth="1"/>
    <col min="1545" max="1545" width="14.44140625" style="534" bestFit="1" customWidth="1"/>
    <col min="1546" max="1546" width="10.6640625" style="534" customWidth="1"/>
    <col min="1547" max="1547" width="12.6640625" style="534" bestFit="1" customWidth="1"/>
    <col min="1548" max="1550" width="8.44140625" style="534" customWidth="1"/>
    <col min="1551" max="1553" width="13" style="534" customWidth="1"/>
    <col min="1554" max="1557" width="8.88671875" style="534"/>
    <col min="1558" max="1558" width="8.6640625" style="534" customWidth="1"/>
    <col min="1559" max="1792" width="8.88671875" style="534"/>
    <col min="1793" max="1793" width="2.6640625" style="534" customWidth="1"/>
    <col min="1794" max="1794" width="114.44140625" style="534" customWidth="1"/>
    <col min="1795" max="1795" width="0" style="534" hidden="1" customWidth="1"/>
    <col min="1796" max="1796" width="27.5546875" style="534" customWidth="1"/>
    <col min="1797" max="1797" width="20" style="534" customWidth="1"/>
    <col min="1798" max="1798" width="18.33203125" style="534" customWidth="1"/>
    <col min="1799" max="1799" width="20.109375" style="534" customWidth="1"/>
    <col min="1800" max="1800" width="10.6640625" style="534" customWidth="1"/>
    <col min="1801" max="1801" width="14.44140625" style="534" bestFit="1" customWidth="1"/>
    <col min="1802" max="1802" width="10.6640625" style="534" customWidth="1"/>
    <col min="1803" max="1803" width="12.6640625" style="534" bestFit="1" customWidth="1"/>
    <col min="1804" max="1806" width="8.44140625" style="534" customWidth="1"/>
    <col min="1807" max="1809" width="13" style="534" customWidth="1"/>
    <col min="1810" max="1813" width="8.88671875" style="534"/>
    <col min="1814" max="1814" width="8.6640625" style="534" customWidth="1"/>
    <col min="1815" max="2048" width="8.88671875" style="534"/>
    <col min="2049" max="2049" width="2.6640625" style="534" customWidth="1"/>
    <col min="2050" max="2050" width="114.44140625" style="534" customWidth="1"/>
    <col min="2051" max="2051" width="0" style="534" hidden="1" customWidth="1"/>
    <col min="2052" max="2052" width="27.5546875" style="534" customWidth="1"/>
    <col min="2053" max="2053" width="20" style="534" customWidth="1"/>
    <col min="2054" max="2054" width="18.33203125" style="534" customWidth="1"/>
    <col min="2055" max="2055" width="20.109375" style="534" customWidth="1"/>
    <col min="2056" max="2056" width="10.6640625" style="534" customWidth="1"/>
    <col min="2057" max="2057" width="14.44140625" style="534" bestFit="1" customWidth="1"/>
    <col min="2058" max="2058" width="10.6640625" style="534" customWidth="1"/>
    <col min="2059" max="2059" width="12.6640625" style="534" bestFit="1" customWidth="1"/>
    <col min="2060" max="2062" width="8.44140625" style="534" customWidth="1"/>
    <col min="2063" max="2065" width="13" style="534" customWidth="1"/>
    <col min="2066" max="2069" width="8.88671875" style="534"/>
    <col min="2070" max="2070" width="8.6640625" style="534" customWidth="1"/>
    <col min="2071" max="2304" width="8.88671875" style="534"/>
    <col min="2305" max="2305" width="2.6640625" style="534" customWidth="1"/>
    <col min="2306" max="2306" width="114.44140625" style="534" customWidth="1"/>
    <col min="2307" max="2307" width="0" style="534" hidden="1" customWidth="1"/>
    <col min="2308" max="2308" width="27.5546875" style="534" customWidth="1"/>
    <col min="2309" max="2309" width="20" style="534" customWidth="1"/>
    <col min="2310" max="2310" width="18.33203125" style="534" customWidth="1"/>
    <col min="2311" max="2311" width="20.109375" style="534" customWidth="1"/>
    <col min="2312" max="2312" width="10.6640625" style="534" customWidth="1"/>
    <col min="2313" max="2313" width="14.44140625" style="534" bestFit="1" customWidth="1"/>
    <col min="2314" max="2314" width="10.6640625" style="534" customWidth="1"/>
    <col min="2315" max="2315" width="12.6640625" style="534" bestFit="1" customWidth="1"/>
    <col min="2316" max="2318" width="8.44140625" style="534" customWidth="1"/>
    <col min="2319" max="2321" width="13" style="534" customWidth="1"/>
    <col min="2322" max="2325" width="8.88671875" style="534"/>
    <col min="2326" max="2326" width="8.6640625" style="534" customWidth="1"/>
    <col min="2327" max="2560" width="8.88671875" style="534"/>
    <col min="2561" max="2561" width="2.6640625" style="534" customWidth="1"/>
    <col min="2562" max="2562" width="114.44140625" style="534" customWidth="1"/>
    <col min="2563" max="2563" width="0" style="534" hidden="1" customWidth="1"/>
    <col min="2564" max="2564" width="27.5546875" style="534" customWidth="1"/>
    <col min="2565" max="2565" width="20" style="534" customWidth="1"/>
    <col min="2566" max="2566" width="18.33203125" style="534" customWidth="1"/>
    <col min="2567" max="2567" width="20.109375" style="534" customWidth="1"/>
    <col min="2568" max="2568" width="10.6640625" style="534" customWidth="1"/>
    <col min="2569" max="2569" width="14.44140625" style="534" bestFit="1" customWidth="1"/>
    <col min="2570" max="2570" width="10.6640625" style="534" customWidth="1"/>
    <col min="2571" max="2571" width="12.6640625" style="534" bestFit="1" customWidth="1"/>
    <col min="2572" max="2574" width="8.44140625" style="534" customWidth="1"/>
    <col min="2575" max="2577" width="13" style="534" customWidth="1"/>
    <col min="2578" max="2581" width="8.88671875" style="534"/>
    <col min="2582" max="2582" width="8.6640625" style="534" customWidth="1"/>
    <col min="2583" max="2816" width="8.88671875" style="534"/>
    <col min="2817" max="2817" width="2.6640625" style="534" customWidth="1"/>
    <col min="2818" max="2818" width="114.44140625" style="534" customWidth="1"/>
    <col min="2819" max="2819" width="0" style="534" hidden="1" customWidth="1"/>
    <col min="2820" max="2820" width="27.5546875" style="534" customWidth="1"/>
    <col min="2821" max="2821" width="20" style="534" customWidth="1"/>
    <col min="2822" max="2822" width="18.33203125" style="534" customWidth="1"/>
    <col min="2823" max="2823" width="20.109375" style="534" customWidth="1"/>
    <col min="2824" max="2824" width="10.6640625" style="534" customWidth="1"/>
    <col min="2825" max="2825" width="14.44140625" style="534" bestFit="1" customWidth="1"/>
    <col min="2826" max="2826" width="10.6640625" style="534" customWidth="1"/>
    <col min="2827" max="2827" width="12.6640625" style="534" bestFit="1" customWidth="1"/>
    <col min="2828" max="2830" width="8.44140625" style="534" customWidth="1"/>
    <col min="2831" max="2833" width="13" style="534" customWidth="1"/>
    <col min="2834" max="2837" width="8.88671875" style="534"/>
    <col min="2838" max="2838" width="8.6640625" style="534" customWidth="1"/>
    <col min="2839" max="3072" width="8.88671875" style="534"/>
    <col min="3073" max="3073" width="2.6640625" style="534" customWidth="1"/>
    <col min="3074" max="3074" width="114.44140625" style="534" customWidth="1"/>
    <col min="3075" max="3075" width="0" style="534" hidden="1" customWidth="1"/>
    <col min="3076" max="3076" width="27.5546875" style="534" customWidth="1"/>
    <col min="3077" max="3077" width="20" style="534" customWidth="1"/>
    <col min="3078" max="3078" width="18.33203125" style="534" customWidth="1"/>
    <col min="3079" max="3079" width="20.109375" style="534" customWidth="1"/>
    <col min="3080" max="3080" width="10.6640625" style="534" customWidth="1"/>
    <col min="3081" max="3081" width="14.44140625" style="534" bestFit="1" customWidth="1"/>
    <col min="3082" max="3082" width="10.6640625" style="534" customWidth="1"/>
    <col min="3083" max="3083" width="12.6640625" style="534" bestFit="1" customWidth="1"/>
    <col min="3084" max="3086" width="8.44140625" style="534" customWidth="1"/>
    <col min="3087" max="3089" width="13" style="534" customWidth="1"/>
    <col min="3090" max="3093" width="8.88671875" style="534"/>
    <col min="3094" max="3094" width="8.6640625" style="534" customWidth="1"/>
    <col min="3095" max="3328" width="8.88671875" style="534"/>
    <col min="3329" max="3329" width="2.6640625" style="534" customWidth="1"/>
    <col min="3330" max="3330" width="114.44140625" style="534" customWidth="1"/>
    <col min="3331" max="3331" width="0" style="534" hidden="1" customWidth="1"/>
    <col min="3332" max="3332" width="27.5546875" style="534" customWidth="1"/>
    <col min="3333" max="3333" width="20" style="534" customWidth="1"/>
    <col min="3334" max="3334" width="18.33203125" style="534" customWidth="1"/>
    <col min="3335" max="3335" width="20.109375" style="534" customWidth="1"/>
    <col min="3336" max="3336" width="10.6640625" style="534" customWidth="1"/>
    <col min="3337" max="3337" width="14.44140625" style="534" bestFit="1" customWidth="1"/>
    <col min="3338" max="3338" width="10.6640625" style="534" customWidth="1"/>
    <col min="3339" max="3339" width="12.6640625" style="534" bestFit="1" customWidth="1"/>
    <col min="3340" max="3342" width="8.44140625" style="534" customWidth="1"/>
    <col min="3343" max="3345" width="13" style="534" customWidth="1"/>
    <col min="3346" max="3349" width="8.88671875" style="534"/>
    <col min="3350" max="3350" width="8.6640625" style="534" customWidth="1"/>
    <col min="3351" max="3584" width="8.88671875" style="534"/>
    <col min="3585" max="3585" width="2.6640625" style="534" customWidth="1"/>
    <col min="3586" max="3586" width="114.44140625" style="534" customWidth="1"/>
    <col min="3587" max="3587" width="0" style="534" hidden="1" customWidth="1"/>
    <col min="3588" max="3588" width="27.5546875" style="534" customWidth="1"/>
    <col min="3589" max="3589" width="20" style="534" customWidth="1"/>
    <col min="3590" max="3590" width="18.33203125" style="534" customWidth="1"/>
    <col min="3591" max="3591" width="20.109375" style="534" customWidth="1"/>
    <col min="3592" max="3592" width="10.6640625" style="534" customWidth="1"/>
    <col min="3593" max="3593" width="14.44140625" style="534" bestFit="1" customWidth="1"/>
    <col min="3594" max="3594" width="10.6640625" style="534" customWidth="1"/>
    <col min="3595" max="3595" width="12.6640625" style="534" bestFit="1" customWidth="1"/>
    <col min="3596" max="3598" width="8.44140625" style="534" customWidth="1"/>
    <col min="3599" max="3601" width="13" style="534" customWidth="1"/>
    <col min="3602" max="3605" width="8.88671875" style="534"/>
    <col min="3606" max="3606" width="8.6640625" style="534" customWidth="1"/>
    <col min="3607" max="3840" width="8.88671875" style="534"/>
    <col min="3841" max="3841" width="2.6640625" style="534" customWidth="1"/>
    <col min="3842" max="3842" width="114.44140625" style="534" customWidth="1"/>
    <col min="3843" max="3843" width="0" style="534" hidden="1" customWidth="1"/>
    <col min="3844" max="3844" width="27.5546875" style="534" customWidth="1"/>
    <col min="3845" max="3845" width="20" style="534" customWidth="1"/>
    <col min="3846" max="3846" width="18.33203125" style="534" customWidth="1"/>
    <col min="3847" max="3847" width="20.109375" style="534" customWidth="1"/>
    <col min="3848" max="3848" width="10.6640625" style="534" customWidth="1"/>
    <col min="3849" max="3849" width="14.44140625" style="534" bestFit="1" customWidth="1"/>
    <col min="3850" max="3850" width="10.6640625" style="534" customWidth="1"/>
    <col min="3851" max="3851" width="12.6640625" style="534" bestFit="1" customWidth="1"/>
    <col min="3852" max="3854" width="8.44140625" style="534" customWidth="1"/>
    <col min="3855" max="3857" width="13" style="534" customWidth="1"/>
    <col min="3858" max="3861" width="8.88671875" style="534"/>
    <col min="3862" max="3862" width="8.6640625" style="534" customWidth="1"/>
    <col min="3863" max="4096" width="8.88671875" style="534"/>
    <col min="4097" max="4097" width="2.6640625" style="534" customWidth="1"/>
    <col min="4098" max="4098" width="114.44140625" style="534" customWidth="1"/>
    <col min="4099" max="4099" width="0" style="534" hidden="1" customWidth="1"/>
    <col min="4100" max="4100" width="27.5546875" style="534" customWidth="1"/>
    <col min="4101" max="4101" width="20" style="534" customWidth="1"/>
    <col min="4102" max="4102" width="18.33203125" style="534" customWidth="1"/>
    <col min="4103" max="4103" width="20.109375" style="534" customWidth="1"/>
    <col min="4104" max="4104" width="10.6640625" style="534" customWidth="1"/>
    <col min="4105" max="4105" width="14.44140625" style="534" bestFit="1" customWidth="1"/>
    <col min="4106" max="4106" width="10.6640625" style="534" customWidth="1"/>
    <col min="4107" max="4107" width="12.6640625" style="534" bestFit="1" customWidth="1"/>
    <col min="4108" max="4110" width="8.44140625" style="534" customWidth="1"/>
    <col min="4111" max="4113" width="13" style="534" customWidth="1"/>
    <col min="4114" max="4117" width="8.88671875" style="534"/>
    <col min="4118" max="4118" width="8.6640625" style="534" customWidth="1"/>
    <col min="4119" max="4352" width="8.88671875" style="534"/>
    <col min="4353" max="4353" width="2.6640625" style="534" customWidth="1"/>
    <col min="4354" max="4354" width="114.44140625" style="534" customWidth="1"/>
    <col min="4355" max="4355" width="0" style="534" hidden="1" customWidth="1"/>
    <col min="4356" max="4356" width="27.5546875" style="534" customWidth="1"/>
    <col min="4357" max="4357" width="20" style="534" customWidth="1"/>
    <col min="4358" max="4358" width="18.33203125" style="534" customWidth="1"/>
    <col min="4359" max="4359" width="20.109375" style="534" customWidth="1"/>
    <col min="4360" max="4360" width="10.6640625" style="534" customWidth="1"/>
    <col min="4361" max="4361" width="14.44140625" style="534" bestFit="1" customWidth="1"/>
    <col min="4362" max="4362" width="10.6640625" style="534" customWidth="1"/>
    <col min="4363" max="4363" width="12.6640625" style="534" bestFit="1" customWidth="1"/>
    <col min="4364" max="4366" width="8.44140625" style="534" customWidth="1"/>
    <col min="4367" max="4369" width="13" style="534" customWidth="1"/>
    <col min="4370" max="4373" width="8.88671875" style="534"/>
    <col min="4374" max="4374" width="8.6640625" style="534" customWidth="1"/>
    <col min="4375" max="4608" width="8.88671875" style="534"/>
    <col min="4609" max="4609" width="2.6640625" style="534" customWidth="1"/>
    <col min="4610" max="4610" width="114.44140625" style="534" customWidth="1"/>
    <col min="4611" max="4611" width="0" style="534" hidden="1" customWidth="1"/>
    <col min="4612" max="4612" width="27.5546875" style="534" customWidth="1"/>
    <col min="4613" max="4613" width="20" style="534" customWidth="1"/>
    <col min="4614" max="4614" width="18.33203125" style="534" customWidth="1"/>
    <col min="4615" max="4615" width="20.109375" style="534" customWidth="1"/>
    <col min="4616" max="4616" width="10.6640625" style="534" customWidth="1"/>
    <col min="4617" max="4617" width="14.44140625" style="534" bestFit="1" customWidth="1"/>
    <col min="4618" max="4618" width="10.6640625" style="534" customWidth="1"/>
    <col min="4619" max="4619" width="12.6640625" style="534" bestFit="1" customWidth="1"/>
    <col min="4620" max="4622" width="8.44140625" style="534" customWidth="1"/>
    <col min="4623" max="4625" width="13" style="534" customWidth="1"/>
    <col min="4626" max="4629" width="8.88671875" style="534"/>
    <col min="4630" max="4630" width="8.6640625" style="534" customWidth="1"/>
    <col min="4631" max="4864" width="8.88671875" style="534"/>
    <col min="4865" max="4865" width="2.6640625" style="534" customWidth="1"/>
    <col min="4866" max="4866" width="114.44140625" style="534" customWidth="1"/>
    <col min="4867" max="4867" width="0" style="534" hidden="1" customWidth="1"/>
    <col min="4868" max="4868" width="27.5546875" style="534" customWidth="1"/>
    <col min="4869" max="4869" width="20" style="534" customWidth="1"/>
    <col min="4870" max="4870" width="18.33203125" style="534" customWidth="1"/>
    <col min="4871" max="4871" width="20.109375" style="534" customWidth="1"/>
    <col min="4872" max="4872" width="10.6640625" style="534" customWidth="1"/>
    <col min="4873" max="4873" width="14.44140625" style="534" bestFit="1" customWidth="1"/>
    <col min="4874" max="4874" width="10.6640625" style="534" customWidth="1"/>
    <col min="4875" max="4875" width="12.6640625" style="534" bestFit="1" customWidth="1"/>
    <col min="4876" max="4878" width="8.44140625" style="534" customWidth="1"/>
    <col min="4879" max="4881" width="13" style="534" customWidth="1"/>
    <col min="4882" max="4885" width="8.88671875" style="534"/>
    <col min="4886" max="4886" width="8.6640625" style="534" customWidth="1"/>
    <col min="4887" max="5120" width="8.88671875" style="534"/>
    <col min="5121" max="5121" width="2.6640625" style="534" customWidth="1"/>
    <col min="5122" max="5122" width="114.44140625" style="534" customWidth="1"/>
    <col min="5123" max="5123" width="0" style="534" hidden="1" customWidth="1"/>
    <col min="5124" max="5124" width="27.5546875" style="534" customWidth="1"/>
    <col min="5125" max="5125" width="20" style="534" customWidth="1"/>
    <col min="5126" max="5126" width="18.33203125" style="534" customWidth="1"/>
    <col min="5127" max="5127" width="20.109375" style="534" customWidth="1"/>
    <col min="5128" max="5128" width="10.6640625" style="534" customWidth="1"/>
    <col min="5129" max="5129" width="14.44140625" style="534" bestFit="1" customWidth="1"/>
    <col min="5130" max="5130" width="10.6640625" style="534" customWidth="1"/>
    <col min="5131" max="5131" width="12.6640625" style="534" bestFit="1" customWidth="1"/>
    <col min="5132" max="5134" width="8.44140625" style="534" customWidth="1"/>
    <col min="5135" max="5137" width="13" style="534" customWidth="1"/>
    <col min="5138" max="5141" width="8.88671875" style="534"/>
    <col min="5142" max="5142" width="8.6640625" style="534" customWidth="1"/>
    <col min="5143" max="5376" width="8.88671875" style="534"/>
    <col min="5377" max="5377" width="2.6640625" style="534" customWidth="1"/>
    <col min="5378" max="5378" width="114.44140625" style="534" customWidth="1"/>
    <col min="5379" max="5379" width="0" style="534" hidden="1" customWidth="1"/>
    <col min="5380" max="5380" width="27.5546875" style="534" customWidth="1"/>
    <col min="5381" max="5381" width="20" style="534" customWidth="1"/>
    <col min="5382" max="5382" width="18.33203125" style="534" customWidth="1"/>
    <col min="5383" max="5383" width="20.109375" style="534" customWidth="1"/>
    <col min="5384" max="5384" width="10.6640625" style="534" customWidth="1"/>
    <col min="5385" max="5385" width="14.44140625" style="534" bestFit="1" customWidth="1"/>
    <col min="5386" max="5386" width="10.6640625" style="534" customWidth="1"/>
    <col min="5387" max="5387" width="12.6640625" style="534" bestFit="1" customWidth="1"/>
    <col min="5388" max="5390" width="8.44140625" style="534" customWidth="1"/>
    <col min="5391" max="5393" width="13" style="534" customWidth="1"/>
    <col min="5394" max="5397" width="8.88671875" style="534"/>
    <col min="5398" max="5398" width="8.6640625" style="534" customWidth="1"/>
    <col min="5399" max="5632" width="8.88671875" style="534"/>
    <col min="5633" max="5633" width="2.6640625" style="534" customWidth="1"/>
    <col min="5634" max="5634" width="114.44140625" style="534" customWidth="1"/>
    <col min="5635" max="5635" width="0" style="534" hidden="1" customWidth="1"/>
    <col min="5636" max="5636" width="27.5546875" style="534" customWidth="1"/>
    <col min="5637" max="5637" width="20" style="534" customWidth="1"/>
    <col min="5638" max="5638" width="18.33203125" style="534" customWidth="1"/>
    <col min="5639" max="5639" width="20.109375" style="534" customWidth="1"/>
    <col min="5640" max="5640" width="10.6640625" style="534" customWidth="1"/>
    <col min="5641" max="5641" width="14.44140625" style="534" bestFit="1" customWidth="1"/>
    <col min="5642" max="5642" width="10.6640625" style="534" customWidth="1"/>
    <col min="5643" max="5643" width="12.6640625" style="534" bestFit="1" customWidth="1"/>
    <col min="5644" max="5646" width="8.44140625" style="534" customWidth="1"/>
    <col min="5647" max="5649" width="13" style="534" customWidth="1"/>
    <col min="5650" max="5653" width="8.88671875" style="534"/>
    <col min="5654" max="5654" width="8.6640625" style="534" customWidth="1"/>
    <col min="5655" max="5888" width="8.88671875" style="534"/>
    <col min="5889" max="5889" width="2.6640625" style="534" customWidth="1"/>
    <col min="5890" max="5890" width="114.44140625" style="534" customWidth="1"/>
    <col min="5891" max="5891" width="0" style="534" hidden="1" customWidth="1"/>
    <col min="5892" max="5892" width="27.5546875" style="534" customWidth="1"/>
    <col min="5893" max="5893" width="20" style="534" customWidth="1"/>
    <col min="5894" max="5894" width="18.33203125" style="534" customWidth="1"/>
    <col min="5895" max="5895" width="20.109375" style="534" customWidth="1"/>
    <col min="5896" max="5896" width="10.6640625" style="534" customWidth="1"/>
    <col min="5897" max="5897" width="14.44140625" style="534" bestFit="1" customWidth="1"/>
    <col min="5898" max="5898" width="10.6640625" style="534" customWidth="1"/>
    <col min="5899" max="5899" width="12.6640625" style="534" bestFit="1" customWidth="1"/>
    <col min="5900" max="5902" width="8.44140625" style="534" customWidth="1"/>
    <col min="5903" max="5905" width="13" style="534" customWidth="1"/>
    <col min="5906" max="5909" width="8.88671875" style="534"/>
    <col min="5910" max="5910" width="8.6640625" style="534" customWidth="1"/>
    <col min="5911" max="6144" width="8.88671875" style="534"/>
    <col min="6145" max="6145" width="2.6640625" style="534" customWidth="1"/>
    <col min="6146" max="6146" width="114.44140625" style="534" customWidth="1"/>
    <col min="6147" max="6147" width="0" style="534" hidden="1" customWidth="1"/>
    <col min="6148" max="6148" width="27.5546875" style="534" customWidth="1"/>
    <col min="6149" max="6149" width="20" style="534" customWidth="1"/>
    <col min="6150" max="6150" width="18.33203125" style="534" customWidth="1"/>
    <col min="6151" max="6151" width="20.109375" style="534" customWidth="1"/>
    <col min="6152" max="6152" width="10.6640625" style="534" customWidth="1"/>
    <col min="6153" max="6153" width="14.44140625" style="534" bestFit="1" customWidth="1"/>
    <col min="6154" max="6154" width="10.6640625" style="534" customWidth="1"/>
    <col min="6155" max="6155" width="12.6640625" style="534" bestFit="1" customWidth="1"/>
    <col min="6156" max="6158" width="8.44140625" style="534" customWidth="1"/>
    <col min="6159" max="6161" width="13" style="534" customWidth="1"/>
    <col min="6162" max="6165" width="8.88671875" style="534"/>
    <col min="6166" max="6166" width="8.6640625" style="534" customWidth="1"/>
    <col min="6167" max="6400" width="8.88671875" style="534"/>
    <col min="6401" max="6401" width="2.6640625" style="534" customWidth="1"/>
    <col min="6402" max="6402" width="114.44140625" style="534" customWidth="1"/>
    <col min="6403" max="6403" width="0" style="534" hidden="1" customWidth="1"/>
    <col min="6404" max="6404" width="27.5546875" style="534" customWidth="1"/>
    <col min="6405" max="6405" width="20" style="534" customWidth="1"/>
    <col min="6406" max="6406" width="18.33203125" style="534" customWidth="1"/>
    <col min="6407" max="6407" width="20.109375" style="534" customWidth="1"/>
    <col min="6408" max="6408" width="10.6640625" style="534" customWidth="1"/>
    <col min="6409" max="6409" width="14.44140625" style="534" bestFit="1" customWidth="1"/>
    <col min="6410" max="6410" width="10.6640625" style="534" customWidth="1"/>
    <col min="6411" max="6411" width="12.6640625" style="534" bestFit="1" customWidth="1"/>
    <col min="6412" max="6414" width="8.44140625" style="534" customWidth="1"/>
    <col min="6415" max="6417" width="13" style="534" customWidth="1"/>
    <col min="6418" max="6421" width="8.88671875" style="534"/>
    <col min="6422" max="6422" width="8.6640625" style="534" customWidth="1"/>
    <col min="6423" max="6656" width="8.88671875" style="534"/>
    <col min="6657" max="6657" width="2.6640625" style="534" customWidth="1"/>
    <col min="6658" max="6658" width="114.44140625" style="534" customWidth="1"/>
    <col min="6659" max="6659" width="0" style="534" hidden="1" customWidth="1"/>
    <col min="6660" max="6660" width="27.5546875" style="534" customWidth="1"/>
    <col min="6661" max="6661" width="20" style="534" customWidth="1"/>
    <col min="6662" max="6662" width="18.33203125" style="534" customWidth="1"/>
    <col min="6663" max="6663" width="20.109375" style="534" customWidth="1"/>
    <col min="6664" max="6664" width="10.6640625" style="534" customWidth="1"/>
    <col min="6665" max="6665" width="14.44140625" style="534" bestFit="1" customWidth="1"/>
    <col min="6666" max="6666" width="10.6640625" style="534" customWidth="1"/>
    <col min="6667" max="6667" width="12.6640625" style="534" bestFit="1" customWidth="1"/>
    <col min="6668" max="6670" width="8.44140625" style="534" customWidth="1"/>
    <col min="6671" max="6673" width="13" style="534" customWidth="1"/>
    <col min="6674" max="6677" width="8.88671875" style="534"/>
    <col min="6678" max="6678" width="8.6640625" style="534" customWidth="1"/>
    <col min="6679" max="6912" width="8.88671875" style="534"/>
    <col min="6913" max="6913" width="2.6640625" style="534" customWidth="1"/>
    <col min="6914" max="6914" width="114.44140625" style="534" customWidth="1"/>
    <col min="6915" max="6915" width="0" style="534" hidden="1" customWidth="1"/>
    <col min="6916" max="6916" width="27.5546875" style="534" customWidth="1"/>
    <col min="6917" max="6917" width="20" style="534" customWidth="1"/>
    <col min="6918" max="6918" width="18.33203125" style="534" customWidth="1"/>
    <col min="6919" max="6919" width="20.109375" style="534" customWidth="1"/>
    <col min="6920" max="6920" width="10.6640625" style="534" customWidth="1"/>
    <col min="6921" max="6921" width="14.44140625" style="534" bestFit="1" customWidth="1"/>
    <col min="6922" max="6922" width="10.6640625" style="534" customWidth="1"/>
    <col min="6923" max="6923" width="12.6640625" style="534" bestFit="1" customWidth="1"/>
    <col min="6924" max="6926" width="8.44140625" style="534" customWidth="1"/>
    <col min="6927" max="6929" width="13" style="534" customWidth="1"/>
    <col min="6930" max="6933" width="8.88671875" style="534"/>
    <col min="6934" max="6934" width="8.6640625" style="534" customWidth="1"/>
    <col min="6935" max="7168" width="8.88671875" style="534"/>
    <col min="7169" max="7169" width="2.6640625" style="534" customWidth="1"/>
    <col min="7170" max="7170" width="114.44140625" style="534" customWidth="1"/>
    <col min="7171" max="7171" width="0" style="534" hidden="1" customWidth="1"/>
    <col min="7172" max="7172" width="27.5546875" style="534" customWidth="1"/>
    <col min="7173" max="7173" width="20" style="534" customWidth="1"/>
    <col min="7174" max="7174" width="18.33203125" style="534" customWidth="1"/>
    <col min="7175" max="7175" width="20.109375" style="534" customWidth="1"/>
    <col min="7176" max="7176" width="10.6640625" style="534" customWidth="1"/>
    <col min="7177" max="7177" width="14.44140625" style="534" bestFit="1" customWidth="1"/>
    <col min="7178" max="7178" width="10.6640625" style="534" customWidth="1"/>
    <col min="7179" max="7179" width="12.6640625" style="534" bestFit="1" customWidth="1"/>
    <col min="7180" max="7182" width="8.44140625" style="534" customWidth="1"/>
    <col min="7183" max="7185" width="13" style="534" customWidth="1"/>
    <col min="7186" max="7189" width="8.88671875" style="534"/>
    <col min="7190" max="7190" width="8.6640625" style="534" customWidth="1"/>
    <col min="7191" max="7424" width="8.88671875" style="534"/>
    <col min="7425" max="7425" width="2.6640625" style="534" customWidth="1"/>
    <col min="7426" max="7426" width="114.44140625" style="534" customWidth="1"/>
    <col min="7427" max="7427" width="0" style="534" hidden="1" customWidth="1"/>
    <col min="7428" max="7428" width="27.5546875" style="534" customWidth="1"/>
    <col min="7429" max="7429" width="20" style="534" customWidth="1"/>
    <col min="7430" max="7430" width="18.33203125" style="534" customWidth="1"/>
    <col min="7431" max="7431" width="20.109375" style="534" customWidth="1"/>
    <col min="7432" max="7432" width="10.6640625" style="534" customWidth="1"/>
    <col min="7433" max="7433" width="14.44140625" style="534" bestFit="1" customWidth="1"/>
    <col min="7434" max="7434" width="10.6640625" style="534" customWidth="1"/>
    <col min="7435" max="7435" width="12.6640625" style="534" bestFit="1" customWidth="1"/>
    <col min="7436" max="7438" width="8.44140625" style="534" customWidth="1"/>
    <col min="7439" max="7441" width="13" style="534" customWidth="1"/>
    <col min="7442" max="7445" width="8.88671875" style="534"/>
    <col min="7446" max="7446" width="8.6640625" style="534" customWidth="1"/>
    <col min="7447" max="7680" width="8.88671875" style="534"/>
    <col min="7681" max="7681" width="2.6640625" style="534" customWidth="1"/>
    <col min="7682" max="7682" width="114.44140625" style="534" customWidth="1"/>
    <col min="7683" max="7683" width="0" style="534" hidden="1" customWidth="1"/>
    <col min="7684" max="7684" width="27.5546875" style="534" customWidth="1"/>
    <col min="7685" max="7685" width="20" style="534" customWidth="1"/>
    <col min="7686" max="7686" width="18.33203125" style="534" customWidth="1"/>
    <col min="7687" max="7687" width="20.109375" style="534" customWidth="1"/>
    <col min="7688" max="7688" width="10.6640625" style="534" customWidth="1"/>
    <col min="7689" max="7689" width="14.44140625" style="534" bestFit="1" customWidth="1"/>
    <col min="7690" max="7690" width="10.6640625" style="534" customWidth="1"/>
    <col min="7691" max="7691" width="12.6640625" style="534" bestFit="1" customWidth="1"/>
    <col min="7692" max="7694" width="8.44140625" style="534" customWidth="1"/>
    <col min="7695" max="7697" width="13" style="534" customWidth="1"/>
    <col min="7698" max="7701" width="8.88671875" style="534"/>
    <col min="7702" max="7702" width="8.6640625" style="534" customWidth="1"/>
    <col min="7703" max="7936" width="8.88671875" style="534"/>
    <col min="7937" max="7937" width="2.6640625" style="534" customWidth="1"/>
    <col min="7938" max="7938" width="114.44140625" style="534" customWidth="1"/>
    <col min="7939" max="7939" width="0" style="534" hidden="1" customWidth="1"/>
    <col min="7940" max="7940" width="27.5546875" style="534" customWidth="1"/>
    <col min="7941" max="7941" width="20" style="534" customWidth="1"/>
    <col min="7942" max="7942" width="18.33203125" style="534" customWidth="1"/>
    <col min="7943" max="7943" width="20.109375" style="534" customWidth="1"/>
    <col min="7944" max="7944" width="10.6640625" style="534" customWidth="1"/>
    <col min="7945" max="7945" width="14.44140625" style="534" bestFit="1" customWidth="1"/>
    <col min="7946" max="7946" width="10.6640625" style="534" customWidth="1"/>
    <col min="7947" max="7947" width="12.6640625" style="534" bestFit="1" customWidth="1"/>
    <col min="7948" max="7950" width="8.44140625" style="534" customWidth="1"/>
    <col min="7951" max="7953" width="13" style="534" customWidth="1"/>
    <col min="7954" max="7957" width="8.88671875" style="534"/>
    <col min="7958" max="7958" width="8.6640625" style="534" customWidth="1"/>
    <col min="7959" max="8192" width="8.88671875" style="534"/>
    <col min="8193" max="8193" width="2.6640625" style="534" customWidth="1"/>
    <col min="8194" max="8194" width="114.44140625" style="534" customWidth="1"/>
    <col min="8195" max="8195" width="0" style="534" hidden="1" customWidth="1"/>
    <col min="8196" max="8196" width="27.5546875" style="534" customWidth="1"/>
    <col min="8197" max="8197" width="20" style="534" customWidth="1"/>
    <col min="8198" max="8198" width="18.33203125" style="534" customWidth="1"/>
    <col min="8199" max="8199" width="20.109375" style="534" customWidth="1"/>
    <col min="8200" max="8200" width="10.6640625" style="534" customWidth="1"/>
    <col min="8201" max="8201" width="14.44140625" style="534" bestFit="1" customWidth="1"/>
    <col min="8202" max="8202" width="10.6640625" style="534" customWidth="1"/>
    <col min="8203" max="8203" width="12.6640625" style="534" bestFit="1" customWidth="1"/>
    <col min="8204" max="8206" width="8.44140625" style="534" customWidth="1"/>
    <col min="8207" max="8209" width="13" style="534" customWidth="1"/>
    <col min="8210" max="8213" width="8.88671875" style="534"/>
    <col min="8214" max="8214" width="8.6640625" style="534" customWidth="1"/>
    <col min="8215" max="8448" width="8.88671875" style="534"/>
    <col min="8449" max="8449" width="2.6640625" style="534" customWidth="1"/>
    <col min="8450" max="8450" width="114.44140625" style="534" customWidth="1"/>
    <col min="8451" max="8451" width="0" style="534" hidden="1" customWidth="1"/>
    <col min="8452" max="8452" width="27.5546875" style="534" customWidth="1"/>
    <col min="8453" max="8453" width="20" style="534" customWidth="1"/>
    <col min="8454" max="8454" width="18.33203125" style="534" customWidth="1"/>
    <col min="8455" max="8455" width="20.109375" style="534" customWidth="1"/>
    <col min="8456" max="8456" width="10.6640625" style="534" customWidth="1"/>
    <col min="8457" max="8457" width="14.44140625" style="534" bestFit="1" customWidth="1"/>
    <col min="8458" max="8458" width="10.6640625" style="534" customWidth="1"/>
    <col min="8459" max="8459" width="12.6640625" style="534" bestFit="1" customWidth="1"/>
    <col min="8460" max="8462" width="8.44140625" style="534" customWidth="1"/>
    <col min="8463" max="8465" width="13" style="534" customWidth="1"/>
    <col min="8466" max="8469" width="8.88671875" style="534"/>
    <col min="8470" max="8470" width="8.6640625" style="534" customWidth="1"/>
    <col min="8471" max="8704" width="8.88671875" style="534"/>
    <col min="8705" max="8705" width="2.6640625" style="534" customWidth="1"/>
    <col min="8706" max="8706" width="114.44140625" style="534" customWidth="1"/>
    <col min="8707" max="8707" width="0" style="534" hidden="1" customWidth="1"/>
    <col min="8708" max="8708" width="27.5546875" style="534" customWidth="1"/>
    <col min="8709" max="8709" width="20" style="534" customWidth="1"/>
    <col min="8710" max="8710" width="18.33203125" style="534" customWidth="1"/>
    <col min="8711" max="8711" width="20.109375" style="534" customWidth="1"/>
    <col min="8712" max="8712" width="10.6640625" style="534" customWidth="1"/>
    <col min="8713" max="8713" width="14.44140625" style="534" bestFit="1" customWidth="1"/>
    <col min="8714" max="8714" width="10.6640625" style="534" customWidth="1"/>
    <col min="8715" max="8715" width="12.6640625" style="534" bestFit="1" customWidth="1"/>
    <col min="8716" max="8718" width="8.44140625" style="534" customWidth="1"/>
    <col min="8719" max="8721" width="13" style="534" customWidth="1"/>
    <col min="8722" max="8725" width="8.88671875" style="534"/>
    <col min="8726" max="8726" width="8.6640625" style="534" customWidth="1"/>
    <col min="8727" max="8960" width="8.88671875" style="534"/>
    <col min="8961" max="8961" width="2.6640625" style="534" customWidth="1"/>
    <col min="8962" max="8962" width="114.44140625" style="534" customWidth="1"/>
    <col min="8963" max="8963" width="0" style="534" hidden="1" customWidth="1"/>
    <col min="8964" max="8964" width="27.5546875" style="534" customWidth="1"/>
    <col min="8965" max="8965" width="20" style="534" customWidth="1"/>
    <col min="8966" max="8966" width="18.33203125" style="534" customWidth="1"/>
    <col min="8967" max="8967" width="20.109375" style="534" customWidth="1"/>
    <col min="8968" max="8968" width="10.6640625" style="534" customWidth="1"/>
    <col min="8969" max="8969" width="14.44140625" style="534" bestFit="1" customWidth="1"/>
    <col min="8970" max="8970" width="10.6640625" style="534" customWidth="1"/>
    <col min="8971" max="8971" width="12.6640625" style="534" bestFit="1" customWidth="1"/>
    <col min="8972" max="8974" width="8.44140625" style="534" customWidth="1"/>
    <col min="8975" max="8977" width="13" style="534" customWidth="1"/>
    <col min="8978" max="8981" width="8.88671875" style="534"/>
    <col min="8982" max="8982" width="8.6640625" style="534" customWidth="1"/>
    <col min="8983" max="9216" width="8.88671875" style="534"/>
    <col min="9217" max="9217" width="2.6640625" style="534" customWidth="1"/>
    <col min="9218" max="9218" width="114.44140625" style="534" customWidth="1"/>
    <col min="9219" max="9219" width="0" style="534" hidden="1" customWidth="1"/>
    <col min="9220" max="9220" width="27.5546875" style="534" customWidth="1"/>
    <col min="9221" max="9221" width="20" style="534" customWidth="1"/>
    <col min="9222" max="9222" width="18.33203125" style="534" customWidth="1"/>
    <col min="9223" max="9223" width="20.109375" style="534" customWidth="1"/>
    <col min="9224" max="9224" width="10.6640625" style="534" customWidth="1"/>
    <col min="9225" max="9225" width="14.44140625" style="534" bestFit="1" customWidth="1"/>
    <col min="9226" max="9226" width="10.6640625" style="534" customWidth="1"/>
    <col min="9227" max="9227" width="12.6640625" style="534" bestFit="1" customWidth="1"/>
    <col min="9228" max="9230" width="8.44140625" style="534" customWidth="1"/>
    <col min="9231" max="9233" width="13" style="534" customWidth="1"/>
    <col min="9234" max="9237" width="8.88671875" style="534"/>
    <col min="9238" max="9238" width="8.6640625" style="534" customWidth="1"/>
    <col min="9239" max="9472" width="8.88671875" style="534"/>
    <col min="9473" max="9473" width="2.6640625" style="534" customWidth="1"/>
    <col min="9474" max="9474" width="114.44140625" style="534" customWidth="1"/>
    <col min="9475" max="9475" width="0" style="534" hidden="1" customWidth="1"/>
    <col min="9476" max="9476" width="27.5546875" style="534" customWidth="1"/>
    <col min="9477" max="9477" width="20" style="534" customWidth="1"/>
    <col min="9478" max="9478" width="18.33203125" style="534" customWidth="1"/>
    <col min="9479" max="9479" width="20.109375" style="534" customWidth="1"/>
    <col min="9480" max="9480" width="10.6640625" style="534" customWidth="1"/>
    <col min="9481" max="9481" width="14.44140625" style="534" bestFit="1" customWidth="1"/>
    <col min="9482" max="9482" width="10.6640625" style="534" customWidth="1"/>
    <col min="9483" max="9483" width="12.6640625" style="534" bestFit="1" customWidth="1"/>
    <col min="9484" max="9486" width="8.44140625" style="534" customWidth="1"/>
    <col min="9487" max="9489" width="13" style="534" customWidth="1"/>
    <col min="9490" max="9493" width="8.88671875" style="534"/>
    <col min="9494" max="9494" width="8.6640625" style="534" customWidth="1"/>
    <col min="9495" max="9728" width="8.88671875" style="534"/>
    <col min="9729" max="9729" width="2.6640625" style="534" customWidth="1"/>
    <col min="9730" max="9730" width="114.44140625" style="534" customWidth="1"/>
    <col min="9731" max="9731" width="0" style="534" hidden="1" customWidth="1"/>
    <col min="9732" max="9732" width="27.5546875" style="534" customWidth="1"/>
    <col min="9733" max="9733" width="20" style="534" customWidth="1"/>
    <col min="9734" max="9734" width="18.33203125" style="534" customWidth="1"/>
    <col min="9735" max="9735" width="20.109375" style="534" customWidth="1"/>
    <col min="9736" max="9736" width="10.6640625" style="534" customWidth="1"/>
    <col min="9737" max="9737" width="14.44140625" style="534" bestFit="1" customWidth="1"/>
    <col min="9738" max="9738" width="10.6640625" style="534" customWidth="1"/>
    <col min="9739" max="9739" width="12.6640625" style="534" bestFit="1" customWidth="1"/>
    <col min="9740" max="9742" width="8.44140625" style="534" customWidth="1"/>
    <col min="9743" max="9745" width="13" style="534" customWidth="1"/>
    <col min="9746" max="9749" width="8.88671875" style="534"/>
    <col min="9750" max="9750" width="8.6640625" style="534" customWidth="1"/>
    <col min="9751" max="9984" width="8.88671875" style="534"/>
    <col min="9985" max="9985" width="2.6640625" style="534" customWidth="1"/>
    <col min="9986" max="9986" width="114.44140625" style="534" customWidth="1"/>
    <col min="9987" max="9987" width="0" style="534" hidden="1" customWidth="1"/>
    <col min="9988" max="9988" width="27.5546875" style="534" customWidth="1"/>
    <col min="9989" max="9989" width="20" style="534" customWidth="1"/>
    <col min="9990" max="9990" width="18.33203125" style="534" customWidth="1"/>
    <col min="9991" max="9991" width="20.109375" style="534" customWidth="1"/>
    <col min="9992" max="9992" width="10.6640625" style="534" customWidth="1"/>
    <col min="9993" max="9993" width="14.44140625" style="534" bestFit="1" customWidth="1"/>
    <col min="9994" max="9994" width="10.6640625" style="534" customWidth="1"/>
    <col min="9995" max="9995" width="12.6640625" style="534" bestFit="1" customWidth="1"/>
    <col min="9996" max="9998" width="8.44140625" style="534" customWidth="1"/>
    <col min="9999" max="10001" width="13" style="534" customWidth="1"/>
    <col min="10002" max="10005" width="8.88671875" style="534"/>
    <col min="10006" max="10006" width="8.6640625" style="534" customWidth="1"/>
    <col min="10007" max="10240" width="8.88671875" style="534"/>
    <col min="10241" max="10241" width="2.6640625" style="534" customWidth="1"/>
    <col min="10242" max="10242" width="114.44140625" style="534" customWidth="1"/>
    <col min="10243" max="10243" width="0" style="534" hidden="1" customWidth="1"/>
    <col min="10244" max="10244" width="27.5546875" style="534" customWidth="1"/>
    <col min="10245" max="10245" width="20" style="534" customWidth="1"/>
    <col min="10246" max="10246" width="18.33203125" style="534" customWidth="1"/>
    <col min="10247" max="10247" width="20.109375" style="534" customWidth="1"/>
    <col min="10248" max="10248" width="10.6640625" style="534" customWidth="1"/>
    <col min="10249" max="10249" width="14.44140625" style="534" bestFit="1" customWidth="1"/>
    <col min="10250" max="10250" width="10.6640625" style="534" customWidth="1"/>
    <col min="10251" max="10251" width="12.6640625" style="534" bestFit="1" customWidth="1"/>
    <col min="10252" max="10254" width="8.44140625" style="534" customWidth="1"/>
    <col min="10255" max="10257" width="13" style="534" customWidth="1"/>
    <col min="10258" max="10261" width="8.88671875" style="534"/>
    <col min="10262" max="10262" width="8.6640625" style="534" customWidth="1"/>
    <col min="10263" max="10496" width="8.88671875" style="534"/>
    <col min="10497" max="10497" width="2.6640625" style="534" customWidth="1"/>
    <col min="10498" max="10498" width="114.44140625" style="534" customWidth="1"/>
    <col min="10499" max="10499" width="0" style="534" hidden="1" customWidth="1"/>
    <col min="10500" max="10500" width="27.5546875" style="534" customWidth="1"/>
    <col min="10501" max="10501" width="20" style="534" customWidth="1"/>
    <col min="10502" max="10502" width="18.33203125" style="534" customWidth="1"/>
    <col min="10503" max="10503" width="20.109375" style="534" customWidth="1"/>
    <col min="10504" max="10504" width="10.6640625" style="534" customWidth="1"/>
    <col min="10505" max="10505" width="14.44140625" style="534" bestFit="1" customWidth="1"/>
    <col min="10506" max="10506" width="10.6640625" style="534" customWidth="1"/>
    <col min="10507" max="10507" width="12.6640625" style="534" bestFit="1" customWidth="1"/>
    <col min="10508" max="10510" width="8.44140625" style="534" customWidth="1"/>
    <col min="10511" max="10513" width="13" style="534" customWidth="1"/>
    <col min="10514" max="10517" width="8.88671875" style="534"/>
    <col min="10518" max="10518" width="8.6640625" style="534" customWidth="1"/>
    <col min="10519" max="10752" width="8.88671875" style="534"/>
    <col min="10753" max="10753" width="2.6640625" style="534" customWidth="1"/>
    <col min="10754" max="10754" width="114.44140625" style="534" customWidth="1"/>
    <col min="10755" max="10755" width="0" style="534" hidden="1" customWidth="1"/>
    <col min="10756" max="10756" width="27.5546875" style="534" customWidth="1"/>
    <col min="10757" max="10757" width="20" style="534" customWidth="1"/>
    <col min="10758" max="10758" width="18.33203125" style="534" customWidth="1"/>
    <col min="10759" max="10759" width="20.109375" style="534" customWidth="1"/>
    <col min="10760" max="10760" width="10.6640625" style="534" customWidth="1"/>
    <col min="10761" max="10761" width="14.44140625" style="534" bestFit="1" customWidth="1"/>
    <col min="10762" max="10762" width="10.6640625" style="534" customWidth="1"/>
    <col min="10763" max="10763" width="12.6640625" style="534" bestFit="1" customWidth="1"/>
    <col min="10764" max="10766" width="8.44140625" style="534" customWidth="1"/>
    <col min="10767" max="10769" width="13" style="534" customWidth="1"/>
    <col min="10770" max="10773" width="8.88671875" style="534"/>
    <col min="10774" max="10774" width="8.6640625" style="534" customWidth="1"/>
    <col min="10775" max="11008" width="8.88671875" style="534"/>
    <col min="11009" max="11009" width="2.6640625" style="534" customWidth="1"/>
    <col min="11010" max="11010" width="114.44140625" style="534" customWidth="1"/>
    <col min="11011" max="11011" width="0" style="534" hidden="1" customWidth="1"/>
    <col min="11012" max="11012" width="27.5546875" style="534" customWidth="1"/>
    <col min="11013" max="11013" width="20" style="534" customWidth="1"/>
    <col min="11014" max="11014" width="18.33203125" style="534" customWidth="1"/>
    <col min="11015" max="11015" width="20.109375" style="534" customWidth="1"/>
    <col min="11016" max="11016" width="10.6640625" style="534" customWidth="1"/>
    <col min="11017" max="11017" width="14.44140625" style="534" bestFit="1" customWidth="1"/>
    <col min="11018" max="11018" width="10.6640625" style="534" customWidth="1"/>
    <col min="11019" max="11019" width="12.6640625" style="534" bestFit="1" customWidth="1"/>
    <col min="11020" max="11022" width="8.44140625" style="534" customWidth="1"/>
    <col min="11023" max="11025" width="13" style="534" customWidth="1"/>
    <col min="11026" max="11029" width="8.88671875" style="534"/>
    <col min="11030" max="11030" width="8.6640625" style="534" customWidth="1"/>
    <col min="11031" max="11264" width="8.88671875" style="534"/>
    <col min="11265" max="11265" width="2.6640625" style="534" customWidth="1"/>
    <col min="11266" max="11266" width="114.44140625" style="534" customWidth="1"/>
    <col min="11267" max="11267" width="0" style="534" hidden="1" customWidth="1"/>
    <col min="11268" max="11268" width="27.5546875" style="534" customWidth="1"/>
    <col min="11269" max="11269" width="20" style="534" customWidth="1"/>
    <col min="11270" max="11270" width="18.33203125" style="534" customWidth="1"/>
    <col min="11271" max="11271" width="20.109375" style="534" customWidth="1"/>
    <col min="11272" max="11272" width="10.6640625" style="534" customWidth="1"/>
    <col min="11273" max="11273" width="14.44140625" style="534" bestFit="1" customWidth="1"/>
    <col min="11274" max="11274" width="10.6640625" style="534" customWidth="1"/>
    <col min="11275" max="11275" width="12.6640625" style="534" bestFit="1" customWidth="1"/>
    <col min="11276" max="11278" width="8.44140625" style="534" customWidth="1"/>
    <col min="11279" max="11281" width="13" style="534" customWidth="1"/>
    <col min="11282" max="11285" width="8.88671875" style="534"/>
    <col min="11286" max="11286" width="8.6640625" style="534" customWidth="1"/>
    <col min="11287" max="11520" width="8.88671875" style="534"/>
    <col min="11521" max="11521" width="2.6640625" style="534" customWidth="1"/>
    <col min="11522" max="11522" width="114.44140625" style="534" customWidth="1"/>
    <col min="11523" max="11523" width="0" style="534" hidden="1" customWidth="1"/>
    <col min="11524" max="11524" width="27.5546875" style="534" customWidth="1"/>
    <col min="11525" max="11525" width="20" style="534" customWidth="1"/>
    <col min="11526" max="11526" width="18.33203125" style="534" customWidth="1"/>
    <col min="11527" max="11527" width="20.109375" style="534" customWidth="1"/>
    <col min="11528" max="11528" width="10.6640625" style="534" customWidth="1"/>
    <col min="11529" max="11529" width="14.44140625" style="534" bestFit="1" customWidth="1"/>
    <col min="11530" max="11530" width="10.6640625" style="534" customWidth="1"/>
    <col min="11531" max="11531" width="12.6640625" style="534" bestFit="1" customWidth="1"/>
    <col min="11532" max="11534" width="8.44140625" style="534" customWidth="1"/>
    <col min="11535" max="11537" width="13" style="534" customWidth="1"/>
    <col min="11538" max="11541" width="8.88671875" style="534"/>
    <col min="11542" max="11542" width="8.6640625" style="534" customWidth="1"/>
    <col min="11543" max="11776" width="8.88671875" style="534"/>
    <col min="11777" max="11777" width="2.6640625" style="534" customWidth="1"/>
    <col min="11778" max="11778" width="114.44140625" style="534" customWidth="1"/>
    <col min="11779" max="11779" width="0" style="534" hidden="1" customWidth="1"/>
    <col min="11780" max="11780" width="27.5546875" style="534" customWidth="1"/>
    <col min="11781" max="11781" width="20" style="534" customWidth="1"/>
    <col min="11782" max="11782" width="18.33203125" style="534" customWidth="1"/>
    <col min="11783" max="11783" width="20.109375" style="534" customWidth="1"/>
    <col min="11784" max="11784" width="10.6640625" style="534" customWidth="1"/>
    <col min="11785" max="11785" width="14.44140625" style="534" bestFit="1" customWidth="1"/>
    <col min="11786" max="11786" width="10.6640625" style="534" customWidth="1"/>
    <col min="11787" max="11787" width="12.6640625" style="534" bestFit="1" customWidth="1"/>
    <col min="11788" max="11790" width="8.44140625" style="534" customWidth="1"/>
    <col min="11791" max="11793" width="13" style="534" customWidth="1"/>
    <col min="11794" max="11797" width="8.88671875" style="534"/>
    <col min="11798" max="11798" width="8.6640625" style="534" customWidth="1"/>
    <col min="11799" max="12032" width="8.88671875" style="534"/>
    <col min="12033" max="12033" width="2.6640625" style="534" customWidth="1"/>
    <col min="12034" max="12034" width="114.44140625" style="534" customWidth="1"/>
    <col min="12035" max="12035" width="0" style="534" hidden="1" customWidth="1"/>
    <col min="12036" max="12036" width="27.5546875" style="534" customWidth="1"/>
    <col min="12037" max="12037" width="20" style="534" customWidth="1"/>
    <col min="12038" max="12038" width="18.33203125" style="534" customWidth="1"/>
    <col min="12039" max="12039" width="20.109375" style="534" customWidth="1"/>
    <col min="12040" max="12040" width="10.6640625" style="534" customWidth="1"/>
    <col min="12041" max="12041" width="14.44140625" style="534" bestFit="1" customWidth="1"/>
    <col min="12042" max="12042" width="10.6640625" style="534" customWidth="1"/>
    <col min="12043" max="12043" width="12.6640625" style="534" bestFit="1" customWidth="1"/>
    <col min="12044" max="12046" width="8.44140625" style="534" customWidth="1"/>
    <col min="12047" max="12049" width="13" style="534" customWidth="1"/>
    <col min="12050" max="12053" width="8.88671875" style="534"/>
    <col min="12054" max="12054" width="8.6640625" style="534" customWidth="1"/>
    <col min="12055" max="12288" width="8.88671875" style="534"/>
    <col min="12289" max="12289" width="2.6640625" style="534" customWidth="1"/>
    <col min="12290" max="12290" width="114.44140625" style="534" customWidth="1"/>
    <col min="12291" max="12291" width="0" style="534" hidden="1" customWidth="1"/>
    <col min="12292" max="12292" width="27.5546875" style="534" customWidth="1"/>
    <col min="12293" max="12293" width="20" style="534" customWidth="1"/>
    <col min="12294" max="12294" width="18.33203125" style="534" customWidth="1"/>
    <col min="12295" max="12295" width="20.109375" style="534" customWidth="1"/>
    <col min="12296" max="12296" width="10.6640625" style="534" customWidth="1"/>
    <col min="12297" max="12297" width="14.44140625" style="534" bestFit="1" customWidth="1"/>
    <col min="12298" max="12298" width="10.6640625" style="534" customWidth="1"/>
    <col min="12299" max="12299" width="12.6640625" style="534" bestFit="1" customWidth="1"/>
    <col min="12300" max="12302" width="8.44140625" style="534" customWidth="1"/>
    <col min="12303" max="12305" width="13" style="534" customWidth="1"/>
    <col min="12306" max="12309" width="8.88671875" style="534"/>
    <col min="12310" max="12310" width="8.6640625" style="534" customWidth="1"/>
    <col min="12311" max="12544" width="8.88671875" style="534"/>
    <col min="12545" max="12545" width="2.6640625" style="534" customWidth="1"/>
    <col min="12546" max="12546" width="114.44140625" style="534" customWidth="1"/>
    <col min="12547" max="12547" width="0" style="534" hidden="1" customWidth="1"/>
    <col min="12548" max="12548" width="27.5546875" style="534" customWidth="1"/>
    <col min="12549" max="12549" width="20" style="534" customWidth="1"/>
    <col min="12550" max="12550" width="18.33203125" style="534" customWidth="1"/>
    <col min="12551" max="12551" width="20.109375" style="534" customWidth="1"/>
    <col min="12552" max="12552" width="10.6640625" style="534" customWidth="1"/>
    <col min="12553" max="12553" width="14.44140625" style="534" bestFit="1" customWidth="1"/>
    <col min="12554" max="12554" width="10.6640625" style="534" customWidth="1"/>
    <col min="12555" max="12555" width="12.6640625" style="534" bestFit="1" customWidth="1"/>
    <col min="12556" max="12558" width="8.44140625" style="534" customWidth="1"/>
    <col min="12559" max="12561" width="13" style="534" customWidth="1"/>
    <col min="12562" max="12565" width="8.88671875" style="534"/>
    <col min="12566" max="12566" width="8.6640625" style="534" customWidth="1"/>
    <col min="12567" max="12800" width="8.88671875" style="534"/>
    <col min="12801" max="12801" width="2.6640625" style="534" customWidth="1"/>
    <col min="12802" max="12802" width="114.44140625" style="534" customWidth="1"/>
    <col min="12803" max="12803" width="0" style="534" hidden="1" customWidth="1"/>
    <col min="12804" max="12804" width="27.5546875" style="534" customWidth="1"/>
    <col min="12805" max="12805" width="20" style="534" customWidth="1"/>
    <col min="12806" max="12806" width="18.33203125" style="534" customWidth="1"/>
    <col min="12807" max="12807" width="20.109375" style="534" customWidth="1"/>
    <col min="12808" max="12808" width="10.6640625" style="534" customWidth="1"/>
    <col min="12809" max="12809" width="14.44140625" style="534" bestFit="1" customWidth="1"/>
    <col min="12810" max="12810" width="10.6640625" style="534" customWidth="1"/>
    <col min="12811" max="12811" width="12.6640625" style="534" bestFit="1" customWidth="1"/>
    <col min="12812" max="12814" width="8.44140625" style="534" customWidth="1"/>
    <col min="12815" max="12817" width="13" style="534" customWidth="1"/>
    <col min="12818" max="12821" width="8.88671875" style="534"/>
    <col min="12822" max="12822" width="8.6640625" style="534" customWidth="1"/>
    <col min="12823" max="13056" width="8.88671875" style="534"/>
    <col min="13057" max="13057" width="2.6640625" style="534" customWidth="1"/>
    <col min="13058" max="13058" width="114.44140625" style="534" customWidth="1"/>
    <col min="13059" max="13059" width="0" style="534" hidden="1" customWidth="1"/>
    <col min="13060" max="13060" width="27.5546875" style="534" customWidth="1"/>
    <col min="13061" max="13061" width="20" style="534" customWidth="1"/>
    <col min="13062" max="13062" width="18.33203125" style="534" customWidth="1"/>
    <col min="13063" max="13063" width="20.109375" style="534" customWidth="1"/>
    <col min="13064" max="13064" width="10.6640625" style="534" customWidth="1"/>
    <col min="13065" max="13065" width="14.44140625" style="534" bestFit="1" customWidth="1"/>
    <col min="13066" max="13066" width="10.6640625" style="534" customWidth="1"/>
    <col min="13067" max="13067" width="12.6640625" style="534" bestFit="1" customWidth="1"/>
    <col min="13068" max="13070" width="8.44140625" style="534" customWidth="1"/>
    <col min="13071" max="13073" width="13" style="534" customWidth="1"/>
    <col min="13074" max="13077" width="8.88671875" style="534"/>
    <col min="13078" max="13078" width="8.6640625" style="534" customWidth="1"/>
    <col min="13079" max="13312" width="8.88671875" style="534"/>
    <col min="13313" max="13313" width="2.6640625" style="534" customWidth="1"/>
    <col min="13314" max="13314" width="114.44140625" style="534" customWidth="1"/>
    <col min="13315" max="13315" width="0" style="534" hidden="1" customWidth="1"/>
    <col min="13316" max="13316" width="27.5546875" style="534" customWidth="1"/>
    <col min="13317" max="13317" width="20" style="534" customWidth="1"/>
    <col min="13318" max="13318" width="18.33203125" style="534" customWidth="1"/>
    <col min="13319" max="13319" width="20.109375" style="534" customWidth="1"/>
    <col min="13320" max="13320" width="10.6640625" style="534" customWidth="1"/>
    <col min="13321" max="13321" width="14.44140625" style="534" bestFit="1" customWidth="1"/>
    <col min="13322" max="13322" width="10.6640625" style="534" customWidth="1"/>
    <col min="13323" max="13323" width="12.6640625" style="534" bestFit="1" customWidth="1"/>
    <col min="13324" max="13326" width="8.44140625" style="534" customWidth="1"/>
    <col min="13327" max="13329" width="13" style="534" customWidth="1"/>
    <col min="13330" max="13333" width="8.88671875" style="534"/>
    <col min="13334" max="13334" width="8.6640625" style="534" customWidth="1"/>
    <col min="13335" max="13568" width="8.88671875" style="534"/>
    <col min="13569" max="13569" width="2.6640625" style="534" customWidth="1"/>
    <col min="13570" max="13570" width="114.44140625" style="534" customWidth="1"/>
    <col min="13571" max="13571" width="0" style="534" hidden="1" customWidth="1"/>
    <col min="13572" max="13572" width="27.5546875" style="534" customWidth="1"/>
    <col min="13573" max="13573" width="20" style="534" customWidth="1"/>
    <col min="13574" max="13574" width="18.33203125" style="534" customWidth="1"/>
    <col min="13575" max="13575" width="20.109375" style="534" customWidth="1"/>
    <col min="13576" max="13576" width="10.6640625" style="534" customWidth="1"/>
    <col min="13577" max="13577" width="14.44140625" style="534" bestFit="1" customWidth="1"/>
    <col min="13578" max="13578" width="10.6640625" style="534" customWidth="1"/>
    <col min="13579" max="13579" width="12.6640625" style="534" bestFit="1" customWidth="1"/>
    <col min="13580" max="13582" width="8.44140625" style="534" customWidth="1"/>
    <col min="13583" max="13585" width="13" style="534" customWidth="1"/>
    <col min="13586" max="13589" width="8.88671875" style="534"/>
    <col min="13590" max="13590" width="8.6640625" style="534" customWidth="1"/>
    <col min="13591" max="13824" width="8.88671875" style="534"/>
    <col min="13825" max="13825" width="2.6640625" style="534" customWidth="1"/>
    <col min="13826" max="13826" width="114.44140625" style="534" customWidth="1"/>
    <col min="13827" max="13827" width="0" style="534" hidden="1" customWidth="1"/>
    <col min="13828" max="13828" width="27.5546875" style="534" customWidth="1"/>
    <col min="13829" max="13829" width="20" style="534" customWidth="1"/>
    <col min="13830" max="13830" width="18.33203125" style="534" customWidth="1"/>
    <col min="13831" max="13831" width="20.109375" style="534" customWidth="1"/>
    <col min="13832" max="13832" width="10.6640625" style="534" customWidth="1"/>
    <col min="13833" max="13833" width="14.44140625" style="534" bestFit="1" customWidth="1"/>
    <col min="13834" max="13834" width="10.6640625" style="534" customWidth="1"/>
    <col min="13835" max="13835" width="12.6640625" style="534" bestFit="1" customWidth="1"/>
    <col min="13836" max="13838" width="8.44140625" style="534" customWidth="1"/>
    <col min="13839" max="13841" width="13" style="534" customWidth="1"/>
    <col min="13842" max="13845" width="8.88671875" style="534"/>
    <col min="13846" max="13846" width="8.6640625" style="534" customWidth="1"/>
    <col min="13847" max="14080" width="8.88671875" style="534"/>
    <col min="14081" max="14081" width="2.6640625" style="534" customWidth="1"/>
    <col min="14082" max="14082" width="114.44140625" style="534" customWidth="1"/>
    <col min="14083" max="14083" width="0" style="534" hidden="1" customWidth="1"/>
    <col min="14084" max="14084" width="27.5546875" style="534" customWidth="1"/>
    <col min="14085" max="14085" width="20" style="534" customWidth="1"/>
    <col min="14086" max="14086" width="18.33203125" style="534" customWidth="1"/>
    <col min="14087" max="14087" width="20.109375" style="534" customWidth="1"/>
    <col min="14088" max="14088" width="10.6640625" style="534" customWidth="1"/>
    <col min="14089" max="14089" width="14.44140625" style="534" bestFit="1" customWidth="1"/>
    <col min="14090" max="14090" width="10.6640625" style="534" customWidth="1"/>
    <col min="14091" max="14091" width="12.6640625" style="534" bestFit="1" customWidth="1"/>
    <col min="14092" max="14094" width="8.44140625" style="534" customWidth="1"/>
    <col min="14095" max="14097" width="13" style="534" customWidth="1"/>
    <col min="14098" max="14101" width="8.88671875" style="534"/>
    <col min="14102" max="14102" width="8.6640625" style="534" customWidth="1"/>
    <col min="14103" max="14336" width="8.88671875" style="534"/>
    <col min="14337" max="14337" width="2.6640625" style="534" customWidth="1"/>
    <col min="14338" max="14338" width="114.44140625" style="534" customWidth="1"/>
    <col min="14339" max="14339" width="0" style="534" hidden="1" customWidth="1"/>
    <col min="14340" max="14340" width="27.5546875" style="534" customWidth="1"/>
    <col min="14341" max="14341" width="20" style="534" customWidth="1"/>
    <col min="14342" max="14342" width="18.33203125" style="534" customWidth="1"/>
    <col min="14343" max="14343" width="20.109375" style="534" customWidth="1"/>
    <col min="14344" max="14344" width="10.6640625" style="534" customWidth="1"/>
    <col min="14345" max="14345" width="14.44140625" style="534" bestFit="1" customWidth="1"/>
    <col min="14346" max="14346" width="10.6640625" style="534" customWidth="1"/>
    <col min="14347" max="14347" width="12.6640625" style="534" bestFit="1" customWidth="1"/>
    <col min="14348" max="14350" width="8.44140625" style="534" customWidth="1"/>
    <col min="14351" max="14353" width="13" style="534" customWidth="1"/>
    <col min="14354" max="14357" width="8.88671875" style="534"/>
    <col min="14358" max="14358" width="8.6640625" style="534" customWidth="1"/>
    <col min="14359" max="14592" width="8.88671875" style="534"/>
    <col min="14593" max="14593" width="2.6640625" style="534" customWidth="1"/>
    <col min="14594" max="14594" width="114.44140625" style="534" customWidth="1"/>
    <col min="14595" max="14595" width="0" style="534" hidden="1" customWidth="1"/>
    <col min="14596" max="14596" width="27.5546875" style="534" customWidth="1"/>
    <col min="14597" max="14597" width="20" style="534" customWidth="1"/>
    <col min="14598" max="14598" width="18.33203125" style="534" customWidth="1"/>
    <col min="14599" max="14599" width="20.109375" style="534" customWidth="1"/>
    <col min="14600" max="14600" width="10.6640625" style="534" customWidth="1"/>
    <col min="14601" max="14601" width="14.44140625" style="534" bestFit="1" customWidth="1"/>
    <col min="14602" max="14602" width="10.6640625" style="534" customWidth="1"/>
    <col min="14603" max="14603" width="12.6640625" style="534" bestFit="1" customWidth="1"/>
    <col min="14604" max="14606" width="8.44140625" style="534" customWidth="1"/>
    <col min="14607" max="14609" width="13" style="534" customWidth="1"/>
    <col min="14610" max="14613" width="8.88671875" style="534"/>
    <col min="14614" max="14614" width="8.6640625" style="534" customWidth="1"/>
    <col min="14615" max="14848" width="8.88671875" style="534"/>
    <col min="14849" max="14849" width="2.6640625" style="534" customWidth="1"/>
    <col min="14850" max="14850" width="114.44140625" style="534" customWidth="1"/>
    <col min="14851" max="14851" width="0" style="534" hidden="1" customWidth="1"/>
    <col min="14852" max="14852" width="27.5546875" style="534" customWidth="1"/>
    <col min="14853" max="14853" width="20" style="534" customWidth="1"/>
    <col min="14854" max="14854" width="18.33203125" style="534" customWidth="1"/>
    <col min="14855" max="14855" width="20.109375" style="534" customWidth="1"/>
    <col min="14856" max="14856" width="10.6640625" style="534" customWidth="1"/>
    <col min="14857" max="14857" width="14.44140625" style="534" bestFit="1" customWidth="1"/>
    <col min="14858" max="14858" width="10.6640625" style="534" customWidth="1"/>
    <col min="14859" max="14859" width="12.6640625" style="534" bestFit="1" customWidth="1"/>
    <col min="14860" max="14862" width="8.44140625" style="534" customWidth="1"/>
    <col min="14863" max="14865" width="13" style="534" customWidth="1"/>
    <col min="14866" max="14869" width="8.88671875" style="534"/>
    <col min="14870" max="14870" width="8.6640625" style="534" customWidth="1"/>
    <col min="14871" max="15104" width="8.88671875" style="534"/>
    <col min="15105" max="15105" width="2.6640625" style="534" customWidth="1"/>
    <col min="15106" max="15106" width="114.44140625" style="534" customWidth="1"/>
    <col min="15107" max="15107" width="0" style="534" hidden="1" customWidth="1"/>
    <col min="15108" max="15108" width="27.5546875" style="534" customWidth="1"/>
    <col min="15109" max="15109" width="20" style="534" customWidth="1"/>
    <col min="15110" max="15110" width="18.33203125" style="534" customWidth="1"/>
    <col min="15111" max="15111" width="20.109375" style="534" customWidth="1"/>
    <col min="15112" max="15112" width="10.6640625" style="534" customWidth="1"/>
    <col min="15113" max="15113" width="14.44140625" style="534" bestFit="1" customWidth="1"/>
    <col min="15114" max="15114" width="10.6640625" style="534" customWidth="1"/>
    <col min="15115" max="15115" width="12.6640625" style="534" bestFit="1" customWidth="1"/>
    <col min="15116" max="15118" width="8.44140625" style="534" customWidth="1"/>
    <col min="15119" max="15121" width="13" style="534" customWidth="1"/>
    <col min="15122" max="15125" width="8.88671875" style="534"/>
    <col min="15126" max="15126" width="8.6640625" style="534" customWidth="1"/>
    <col min="15127" max="15360" width="8.88671875" style="534"/>
    <col min="15361" max="15361" width="2.6640625" style="534" customWidth="1"/>
    <col min="15362" max="15362" width="114.44140625" style="534" customWidth="1"/>
    <col min="15363" max="15363" width="0" style="534" hidden="1" customWidth="1"/>
    <col min="15364" max="15364" width="27.5546875" style="534" customWidth="1"/>
    <col min="15365" max="15365" width="20" style="534" customWidth="1"/>
    <col min="15366" max="15366" width="18.33203125" style="534" customWidth="1"/>
    <col min="15367" max="15367" width="20.109375" style="534" customWidth="1"/>
    <col min="15368" max="15368" width="10.6640625" style="534" customWidth="1"/>
    <col min="15369" max="15369" width="14.44140625" style="534" bestFit="1" customWidth="1"/>
    <col min="15370" max="15370" width="10.6640625" style="534" customWidth="1"/>
    <col min="15371" max="15371" width="12.6640625" style="534" bestFit="1" customWidth="1"/>
    <col min="15372" max="15374" width="8.44140625" style="534" customWidth="1"/>
    <col min="15375" max="15377" width="13" style="534" customWidth="1"/>
    <col min="15378" max="15381" width="8.88671875" style="534"/>
    <col min="15382" max="15382" width="8.6640625" style="534" customWidth="1"/>
    <col min="15383" max="15616" width="8.88671875" style="534"/>
    <col min="15617" max="15617" width="2.6640625" style="534" customWidth="1"/>
    <col min="15618" max="15618" width="114.44140625" style="534" customWidth="1"/>
    <col min="15619" max="15619" width="0" style="534" hidden="1" customWidth="1"/>
    <col min="15620" max="15620" width="27.5546875" style="534" customWidth="1"/>
    <col min="15621" max="15621" width="20" style="534" customWidth="1"/>
    <col min="15622" max="15622" width="18.33203125" style="534" customWidth="1"/>
    <col min="15623" max="15623" width="20.109375" style="534" customWidth="1"/>
    <col min="15624" max="15624" width="10.6640625" style="534" customWidth="1"/>
    <col min="15625" max="15625" width="14.44140625" style="534" bestFit="1" customWidth="1"/>
    <col min="15626" max="15626" width="10.6640625" style="534" customWidth="1"/>
    <col min="15627" max="15627" width="12.6640625" style="534" bestFit="1" customWidth="1"/>
    <col min="15628" max="15630" width="8.44140625" style="534" customWidth="1"/>
    <col min="15631" max="15633" width="13" style="534" customWidth="1"/>
    <col min="15634" max="15637" width="8.88671875" style="534"/>
    <col min="15638" max="15638" width="8.6640625" style="534" customWidth="1"/>
    <col min="15639" max="15872" width="8.88671875" style="534"/>
    <col min="15873" max="15873" width="2.6640625" style="534" customWidth="1"/>
    <col min="15874" max="15874" width="114.44140625" style="534" customWidth="1"/>
    <col min="15875" max="15875" width="0" style="534" hidden="1" customWidth="1"/>
    <col min="15876" max="15876" width="27.5546875" style="534" customWidth="1"/>
    <col min="15877" max="15877" width="20" style="534" customWidth="1"/>
    <col min="15878" max="15878" width="18.33203125" style="534" customWidth="1"/>
    <col min="15879" max="15879" width="20.109375" style="534" customWidth="1"/>
    <col min="15880" max="15880" width="10.6640625" style="534" customWidth="1"/>
    <col min="15881" max="15881" width="14.44140625" style="534" bestFit="1" customWidth="1"/>
    <col min="15882" max="15882" width="10.6640625" style="534" customWidth="1"/>
    <col min="15883" max="15883" width="12.6640625" style="534" bestFit="1" customWidth="1"/>
    <col min="15884" max="15886" width="8.44140625" style="534" customWidth="1"/>
    <col min="15887" max="15889" width="13" style="534" customWidth="1"/>
    <col min="15890" max="15893" width="8.88671875" style="534"/>
    <col min="15894" max="15894" width="8.6640625" style="534" customWidth="1"/>
    <col min="15895" max="16128" width="8.88671875" style="534"/>
    <col min="16129" max="16129" width="2.6640625" style="534" customWidth="1"/>
    <col min="16130" max="16130" width="114.44140625" style="534" customWidth="1"/>
    <col min="16131" max="16131" width="0" style="534" hidden="1" customWidth="1"/>
    <col min="16132" max="16132" width="27.5546875" style="534" customWidth="1"/>
    <col min="16133" max="16133" width="20" style="534" customWidth="1"/>
    <col min="16134" max="16134" width="18.33203125" style="534" customWidth="1"/>
    <col min="16135" max="16135" width="20.109375" style="534" customWidth="1"/>
    <col min="16136" max="16136" width="10.6640625" style="534" customWidth="1"/>
    <col min="16137" max="16137" width="14.44140625" style="534" bestFit="1" customWidth="1"/>
    <col min="16138" max="16138" width="10.6640625" style="534" customWidth="1"/>
    <col min="16139" max="16139" width="12.6640625" style="534" bestFit="1" customWidth="1"/>
    <col min="16140" max="16142" width="8.44140625" style="534" customWidth="1"/>
    <col min="16143" max="16145" width="13" style="534" customWidth="1"/>
    <col min="16146" max="16149" width="8.88671875" style="534"/>
    <col min="16150" max="16150" width="8.6640625" style="534" customWidth="1"/>
    <col min="16151" max="16384" width="8.88671875" style="534"/>
  </cols>
  <sheetData>
    <row r="1" spans="1:25">
      <c r="A1" s="139" t="s">
        <v>1433</v>
      </c>
    </row>
    <row r="3" spans="1:25">
      <c r="B3" s="140" t="s">
        <v>1428</v>
      </c>
      <c r="C3" s="208" t="s">
        <v>179</v>
      </c>
      <c r="D3" s="373"/>
      <c r="E3" s="142"/>
      <c r="H3" s="540"/>
    </row>
    <row r="4" spans="1:25">
      <c r="B4" s="146"/>
      <c r="E4" s="142"/>
    </row>
    <row r="5" spans="1:25">
      <c r="B5" s="147" t="s">
        <v>62</v>
      </c>
      <c r="C5" s="541"/>
      <c r="E5" s="142"/>
    </row>
    <row r="6" spans="1:25">
      <c r="B6" s="148"/>
      <c r="E6" s="142"/>
    </row>
    <row r="7" spans="1:25">
      <c r="B7" s="201" t="s">
        <v>58</v>
      </c>
      <c r="C7" s="202" t="s">
        <v>294</v>
      </c>
      <c r="D7" s="202"/>
      <c r="F7" s="542"/>
      <c r="G7" s="539"/>
      <c r="H7" s="539"/>
      <c r="J7" s="534"/>
      <c r="K7" s="534"/>
    </row>
    <row r="8" spans="1:25">
      <c r="B8" s="201" t="s">
        <v>158</v>
      </c>
      <c r="C8" s="202" t="s">
        <v>152</v>
      </c>
      <c r="D8" s="202"/>
      <c r="F8" s="542"/>
      <c r="G8" s="539"/>
      <c r="H8" s="539"/>
      <c r="J8" s="534"/>
      <c r="K8" s="534"/>
    </row>
    <row r="9" spans="1:25">
      <c r="B9" s="201" t="s">
        <v>161</v>
      </c>
      <c r="C9" s="202" t="s">
        <v>151</v>
      </c>
      <c r="D9" s="202"/>
      <c r="F9" s="542"/>
      <c r="G9" s="539"/>
      <c r="H9" s="539"/>
      <c r="J9" s="534"/>
      <c r="K9" s="534"/>
    </row>
    <row r="10" spans="1:25">
      <c r="B10" s="149"/>
      <c r="C10" s="543"/>
      <c r="D10" s="543"/>
      <c r="E10" s="142"/>
      <c r="F10" s="139"/>
      <c r="G10" s="139"/>
      <c r="H10" s="139"/>
      <c r="I10" s="139"/>
      <c r="J10" s="151"/>
      <c r="K10" s="151"/>
      <c r="L10" s="139"/>
      <c r="M10" s="139"/>
      <c r="N10" s="139"/>
      <c r="O10" s="139"/>
      <c r="P10" s="139"/>
      <c r="Q10" s="139"/>
      <c r="R10" s="139"/>
      <c r="S10" s="139"/>
      <c r="T10" s="139"/>
    </row>
    <row r="11" spans="1:25" ht="18" customHeight="1">
      <c r="A11" s="153"/>
      <c r="B11" s="544" t="s">
        <v>27</v>
      </c>
      <c r="C11" s="545" t="s">
        <v>294</v>
      </c>
      <c r="D11" s="546"/>
    </row>
    <row r="12" spans="1:25" ht="18" customHeight="1">
      <c r="A12" s="153"/>
      <c r="B12" s="547" t="s">
        <v>34</v>
      </c>
      <c r="C12" s="548">
        <v>1177038329.5256319</v>
      </c>
      <c r="D12" s="549"/>
      <c r="E12" s="550"/>
      <c r="F12" s="539"/>
      <c r="I12" s="539"/>
      <c r="J12" s="534"/>
      <c r="K12" s="534"/>
    </row>
    <row r="13" spans="1:25" ht="18" customHeight="1">
      <c r="A13" s="153"/>
      <c r="B13" s="551" t="s">
        <v>35</v>
      </c>
      <c r="C13" s="552">
        <v>1177038329.5256319</v>
      </c>
      <c r="D13" s="549"/>
      <c r="E13" s="553"/>
      <c r="F13" s="539"/>
      <c r="I13" s="539"/>
      <c r="J13" s="534"/>
      <c r="K13" s="534"/>
    </row>
    <row r="14" spans="1:25" ht="18" customHeight="1">
      <c r="A14" s="153"/>
      <c r="B14" s="554"/>
      <c r="C14" s="555" t="s">
        <v>1429</v>
      </c>
      <c r="D14" s="556"/>
      <c r="E14" s="550"/>
      <c r="G14" s="557"/>
      <c r="H14" s="558"/>
      <c r="I14" s="539"/>
      <c r="J14" s="559"/>
      <c r="K14" s="558"/>
      <c r="L14" s="558"/>
      <c r="M14" s="558"/>
      <c r="W14" s="560"/>
      <c r="X14" s="560"/>
      <c r="Y14" s="560"/>
    </row>
    <row r="15" spans="1:25" ht="18" customHeight="1">
      <c r="A15" s="153"/>
      <c r="B15" s="550"/>
      <c r="C15" s="550"/>
      <c r="D15" s="550"/>
      <c r="E15" s="550"/>
      <c r="F15" s="557"/>
      <c r="G15" s="558"/>
      <c r="H15" s="558"/>
      <c r="I15" s="558"/>
      <c r="J15" s="558"/>
      <c r="K15" s="558"/>
      <c r="L15" s="558"/>
      <c r="V15" s="560"/>
      <c r="W15" s="560"/>
      <c r="X15" s="560"/>
    </row>
    <row r="16" spans="1:25" ht="18" customHeight="1">
      <c r="A16" s="153"/>
      <c r="B16" s="544" t="s">
        <v>33</v>
      </c>
      <c r="C16" s="561" t="s">
        <v>294</v>
      </c>
      <c r="D16" s="562"/>
      <c r="E16" s="550"/>
      <c r="F16" s="542"/>
      <c r="G16" s="542"/>
      <c r="H16" s="542"/>
      <c r="I16" s="542"/>
      <c r="J16" s="542"/>
      <c r="K16" s="542"/>
      <c r="L16" s="558"/>
      <c r="V16" s="560"/>
      <c r="W16" s="560"/>
      <c r="X16" s="560"/>
    </row>
    <row r="17" spans="1:29" ht="18" customHeight="1">
      <c r="A17" s="153"/>
      <c r="B17" s="547" t="s">
        <v>36</v>
      </c>
      <c r="C17" s="563">
        <v>1205053524.3024335</v>
      </c>
      <c r="D17" s="363"/>
      <c r="E17" s="550"/>
      <c r="F17" s="557"/>
      <c r="G17" s="558"/>
      <c r="H17" s="558"/>
      <c r="I17" s="558"/>
      <c r="J17" s="558"/>
      <c r="K17" s="558"/>
      <c r="L17" s="558"/>
      <c r="V17" s="560"/>
      <c r="W17" s="560"/>
      <c r="X17" s="560"/>
    </row>
    <row r="18" spans="1:29" ht="18" customHeight="1">
      <c r="A18" s="153"/>
      <c r="B18" s="564" t="s">
        <v>929</v>
      </c>
      <c r="C18" s="563">
        <v>0</v>
      </c>
      <c r="D18" s="363"/>
      <c r="E18" s="550"/>
      <c r="F18" s="557"/>
      <c r="G18" s="558"/>
      <c r="H18" s="558"/>
      <c r="I18" s="558"/>
      <c r="J18" s="558"/>
      <c r="K18" s="558"/>
      <c r="L18" s="558"/>
      <c r="V18" s="560"/>
      <c r="W18" s="560"/>
      <c r="X18" s="560"/>
    </row>
    <row r="19" spans="1:29" ht="18" customHeight="1">
      <c r="A19" s="153"/>
      <c r="B19" s="564" t="s">
        <v>111</v>
      </c>
      <c r="C19" s="166">
        <v>0</v>
      </c>
      <c r="D19" s="363"/>
      <c r="E19" s="550"/>
      <c r="F19" s="557"/>
      <c r="G19" s="558"/>
      <c r="H19" s="558"/>
      <c r="I19" s="558"/>
      <c r="J19" s="558"/>
      <c r="K19" s="558"/>
      <c r="L19" s="558"/>
      <c r="V19" s="560"/>
      <c r="W19" s="560"/>
      <c r="X19" s="560"/>
    </row>
    <row r="20" spans="1:29" ht="18" customHeight="1">
      <c r="A20" s="153"/>
      <c r="B20" s="564" t="s">
        <v>183</v>
      </c>
      <c r="C20" s="166">
        <v>-28015194.776801586</v>
      </c>
      <c r="D20" s="363"/>
      <c r="E20" s="550"/>
      <c r="F20" s="557"/>
      <c r="G20" s="558"/>
      <c r="H20" s="558"/>
      <c r="I20" s="558"/>
      <c r="J20" s="558"/>
      <c r="K20" s="558"/>
      <c r="L20" s="558"/>
      <c r="V20" s="560"/>
      <c r="W20" s="560"/>
      <c r="X20" s="560"/>
    </row>
    <row r="21" spans="1:29" ht="18" customHeight="1">
      <c r="A21" s="153"/>
      <c r="B21" s="565" t="s">
        <v>35</v>
      </c>
      <c r="C21" s="198">
        <v>1177038329.5256319</v>
      </c>
      <c r="D21" s="348"/>
      <c r="E21" s="550"/>
      <c r="F21" s="566"/>
      <c r="G21" s="558"/>
      <c r="H21" s="558"/>
      <c r="I21" s="558"/>
      <c r="J21" s="558"/>
      <c r="K21" s="558"/>
      <c r="L21" s="558"/>
      <c r="V21" s="560"/>
      <c r="W21" s="560"/>
      <c r="X21" s="560"/>
    </row>
    <row r="22" spans="1:29" ht="17.399999999999999" customHeight="1">
      <c r="A22" s="153"/>
      <c r="B22" s="567"/>
      <c r="C22" s="168"/>
      <c r="D22" s="169"/>
      <c r="E22" s="550"/>
      <c r="F22" s="345"/>
      <c r="G22" s="345"/>
      <c r="H22" s="345"/>
      <c r="I22" s="345"/>
      <c r="J22" s="345"/>
      <c r="K22" s="568"/>
      <c r="L22" s="558"/>
      <c r="V22" s="560"/>
      <c r="W22" s="560"/>
      <c r="X22" s="560"/>
    </row>
    <row r="23" spans="1:29" ht="18" customHeight="1">
      <c r="A23" s="153"/>
      <c r="B23" s="544" t="s">
        <v>32</v>
      </c>
      <c r="C23" s="258" t="s">
        <v>294</v>
      </c>
      <c r="D23" s="169"/>
      <c r="E23" s="550"/>
      <c r="F23" s="345"/>
      <c r="G23" s="345"/>
      <c r="H23" s="345"/>
      <c r="I23" s="345"/>
      <c r="J23" s="345"/>
      <c r="K23" s="345"/>
      <c r="L23" s="558"/>
      <c r="M23" s="256"/>
      <c r="V23" s="560"/>
      <c r="W23" s="560"/>
      <c r="X23" s="560"/>
    </row>
    <row r="24" spans="1:29" ht="18" customHeight="1">
      <c r="A24" s="153"/>
      <c r="B24" s="547" t="s">
        <v>162</v>
      </c>
      <c r="C24" s="569">
        <v>1178598705.7323899</v>
      </c>
      <c r="D24" s="570"/>
      <c r="E24" s="550"/>
      <c r="F24" s="345"/>
      <c r="G24" s="345"/>
      <c r="H24" s="345"/>
      <c r="I24" s="345"/>
      <c r="J24" s="345"/>
      <c r="K24" s="345"/>
      <c r="S24" s="560"/>
      <c r="T24" s="560"/>
      <c r="U24" s="560"/>
    </row>
    <row r="25" spans="1:29" ht="18" customHeight="1">
      <c r="A25" s="153"/>
      <c r="B25" s="547" t="s">
        <v>29</v>
      </c>
      <c r="C25" s="356">
        <v>0</v>
      </c>
      <c r="D25" s="550" t="s">
        <v>1430</v>
      </c>
      <c r="G25" s="348"/>
      <c r="H25" s="348"/>
      <c r="I25" s="348"/>
      <c r="J25" s="348"/>
      <c r="K25" s="348"/>
      <c r="S25" s="560"/>
      <c r="T25" s="560"/>
      <c r="U25" s="560"/>
    </row>
    <row r="26" spans="1:29" ht="18" customHeight="1">
      <c r="A26" s="153"/>
      <c r="B26" s="547" t="s">
        <v>30</v>
      </c>
      <c r="C26" s="170">
        <v>0</v>
      </c>
      <c r="D26" s="550" t="s">
        <v>1430</v>
      </c>
      <c r="J26" s="534"/>
      <c r="K26" s="534"/>
      <c r="S26" s="560"/>
      <c r="T26" s="560"/>
      <c r="U26" s="560"/>
    </row>
    <row r="27" spans="1:29" ht="18" customHeight="1">
      <c r="A27" s="153"/>
      <c r="B27" s="547" t="s">
        <v>940</v>
      </c>
      <c r="C27" s="170">
        <v>2.2445993230244134E-2</v>
      </c>
      <c r="D27" s="438">
        <v>26454818.57004372</v>
      </c>
      <c r="J27" s="534"/>
      <c r="K27" s="534"/>
      <c r="S27" s="560"/>
      <c r="T27" s="560"/>
      <c r="U27" s="560"/>
    </row>
    <row r="28" spans="1:29" ht="18" customHeight="1">
      <c r="A28" s="153"/>
      <c r="B28" s="565" t="s">
        <v>36</v>
      </c>
      <c r="C28" s="198">
        <v>1205053524.3024335</v>
      </c>
      <c r="D28" s="348"/>
      <c r="E28" s="550"/>
      <c r="J28" s="534"/>
      <c r="K28" s="534"/>
      <c r="L28" s="256"/>
      <c r="S28" s="560"/>
      <c r="T28" s="560"/>
      <c r="U28" s="560"/>
    </row>
    <row r="29" spans="1:29" ht="18" customHeight="1">
      <c r="A29" s="153"/>
      <c r="B29" s="510"/>
      <c r="C29" s="172"/>
      <c r="D29" s="172"/>
      <c r="E29" s="550"/>
      <c r="F29" s="558"/>
      <c r="G29" s="558"/>
      <c r="H29" s="558"/>
      <c r="I29" s="558"/>
      <c r="J29" s="558"/>
      <c r="K29" s="558"/>
      <c r="L29" s="558"/>
      <c r="V29" s="560"/>
      <c r="W29" s="560"/>
      <c r="X29" s="560"/>
    </row>
    <row r="30" spans="1:29" ht="18" customHeight="1">
      <c r="A30" s="510"/>
      <c r="B30" s="571" t="s">
        <v>93</v>
      </c>
      <c r="C30" s="561" t="s">
        <v>294</v>
      </c>
      <c r="D30" s="562"/>
      <c r="E30" s="550"/>
      <c r="H30" s="572"/>
      <c r="I30" s="572"/>
      <c r="L30" s="558"/>
      <c r="V30" s="560"/>
      <c r="W30" s="560"/>
      <c r="X30" s="560"/>
    </row>
    <row r="31" spans="1:29" ht="18" customHeight="1">
      <c r="A31" s="153"/>
      <c r="B31" s="573" t="s">
        <v>31</v>
      </c>
      <c r="C31" s="574">
        <v>-28015194.776801586</v>
      </c>
      <c r="D31" s="575"/>
      <c r="E31" s="550"/>
      <c r="F31" s="557"/>
      <c r="G31" s="558"/>
      <c r="H31" s="558"/>
      <c r="I31" s="558"/>
      <c r="J31" s="558"/>
      <c r="K31" s="558"/>
      <c r="L31" s="558"/>
      <c r="V31" s="560"/>
      <c r="W31" s="560"/>
      <c r="X31" s="560"/>
    </row>
    <row r="32" spans="1:29" ht="18" customHeight="1">
      <c r="A32" s="153"/>
      <c r="B32" s="573" t="s">
        <v>113</v>
      </c>
      <c r="C32" s="574">
        <v>0</v>
      </c>
      <c r="D32" s="575"/>
      <c r="E32" s="550"/>
      <c r="F32" s="557"/>
      <c r="G32" s="557"/>
      <c r="H32" s="557"/>
      <c r="I32" s="557"/>
      <c r="J32" s="557"/>
      <c r="K32" s="558"/>
      <c r="L32" s="558"/>
      <c r="M32" s="558"/>
      <c r="N32" s="558"/>
      <c r="O32" s="558"/>
      <c r="P32" s="558"/>
      <c r="Q32" s="558"/>
      <c r="AA32" s="560"/>
      <c r="AB32" s="560"/>
      <c r="AC32" s="560"/>
    </row>
    <row r="33" spans="1:29" ht="18" customHeight="1">
      <c r="A33" s="153"/>
      <c r="B33" s="576" t="s">
        <v>28</v>
      </c>
      <c r="C33" s="198">
        <v>-28015194.776801586</v>
      </c>
      <c r="D33" s="348"/>
      <c r="E33" s="550"/>
      <c r="F33" s="557"/>
      <c r="G33" s="558"/>
      <c r="H33" s="557"/>
      <c r="I33" s="557"/>
      <c r="J33" s="557"/>
      <c r="K33" s="558"/>
      <c r="L33" s="558"/>
      <c r="M33" s="558"/>
      <c r="N33" s="558"/>
      <c r="O33" s="558"/>
      <c r="P33" s="558"/>
      <c r="Q33" s="558"/>
      <c r="AA33" s="560"/>
      <c r="AB33" s="560"/>
      <c r="AC33" s="560"/>
    </row>
    <row r="34" spans="1:29" ht="18" customHeight="1">
      <c r="A34" s="153"/>
      <c r="B34" s="544"/>
      <c r="C34" s="169"/>
      <c r="D34" s="169"/>
      <c r="E34" s="550"/>
      <c r="F34" s="558"/>
      <c r="G34" s="558"/>
      <c r="H34" s="263"/>
      <c r="I34" s="557"/>
      <c r="J34" s="557"/>
      <c r="K34" s="558"/>
      <c r="L34" s="558"/>
      <c r="M34" s="558"/>
      <c r="N34" s="558"/>
      <c r="O34" s="558"/>
      <c r="P34" s="558"/>
      <c r="Q34" s="558"/>
      <c r="AA34" s="560"/>
      <c r="AB34" s="560"/>
      <c r="AC34" s="560"/>
    </row>
    <row r="35" spans="1:29" ht="18" customHeight="1">
      <c r="A35" s="153"/>
      <c r="E35" s="550"/>
      <c r="F35" s="558"/>
      <c r="G35" s="558"/>
      <c r="H35" s="558"/>
      <c r="I35" s="557"/>
      <c r="J35" s="558"/>
      <c r="K35" s="558"/>
      <c r="L35" s="558"/>
      <c r="M35" s="558"/>
      <c r="N35" s="558"/>
      <c r="O35" s="558"/>
      <c r="P35" s="558"/>
      <c r="Z35" s="560"/>
      <c r="AA35" s="560"/>
      <c r="AB35" s="560"/>
    </row>
    <row r="36" spans="1:29" ht="18" customHeight="1">
      <c r="B36" s="292" t="s">
        <v>112</v>
      </c>
      <c r="I36" s="557"/>
      <c r="J36" s="558"/>
      <c r="K36" s="558"/>
      <c r="L36" s="558"/>
      <c r="M36" s="558"/>
      <c r="N36" s="558"/>
      <c r="O36" s="558"/>
      <c r="P36" s="558"/>
      <c r="Z36" s="560"/>
      <c r="AA36" s="560"/>
      <c r="AB36" s="560"/>
    </row>
    <row r="37" spans="1:29">
      <c r="B37" s="577"/>
      <c r="C37" s="578" t="s">
        <v>57</v>
      </c>
      <c r="D37" s="578" t="s">
        <v>946</v>
      </c>
      <c r="E37" s="578" t="s">
        <v>7</v>
      </c>
      <c r="I37" s="539"/>
      <c r="K37" s="534"/>
    </row>
    <row r="38" spans="1:29">
      <c r="B38" s="98"/>
      <c r="C38" s="579" t="s">
        <v>6</v>
      </c>
      <c r="D38" s="579" t="s">
        <v>947</v>
      </c>
      <c r="E38" s="579" t="s">
        <v>8</v>
      </c>
      <c r="J38" s="534"/>
      <c r="K38" s="534"/>
    </row>
    <row r="39" spans="1:29">
      <c r="B39" s="100"/>
      <c r="C39" s="580" t="s">
        <v>151</v>
      </c>
      <c r="D39" s="580" t="s">
        <v>152</v>
      </c>
      <c r="E39" s="580" t="s">
        <v>294</v>
      </c>
      <c r="J39" s="534"/>
      <c r="K39" s="534"/>
    </row>
    <row r="40" spans="1:29" ht="14.25" customHeight="1">
      <c r="B40" s="577"/>
      <c r="C40" s="98"/>
      <c r="D40" s="98"/>
      <c r="E40" s="581"/>
      <c r="J40" s="534"/>
      <c r="K40" s="534"/>
    </row>
    <row r="41" spans="1:29" ht="15" customHeight="1">
      <c r="B41" s="582" t="s">
        <v>56</v>
      </c>
      <c r="C41" s="219">
        <v>1311959955.0799999</v>
      </c>
      <c r="D41" s="219">
        <v>1290532068.0200114</v>
      </c>
      <c r="E41" s="186">
        <v>1177038329.5256319</v>
      </c>
      <c r="J41" s="534"/>
      <c r="K41" s="534"/>
    </row>
    <row r="42" spans="1:29" ht="15" customHeight="1">
      <c r="B42" s="583" t="s">
        <v>970</v>
      </c>
      <c r="C42" s="441">
        <v>1309118439.6799998</v>
      </c>
      <c r="D42" s="441">
        <v>1287770551.9648347</v>
      </c>
      <c r="E42" s="380"/>
      <c r="J42" s="534"/>
      <c r="K42" s="534"/>
    </row>
    <row r="43" spans="1:29" ht="14.25" customHeight="1">
      <c r="B43" s="583" t="s">
        <v>971</v>
      </c>
      <c r="C43" s="441">
        <v>2841515.4</v>
      </c>
      <c r="D43" s="441">
        <v>2761516.0551767889</v>
      </c>
      <c r="E43" s="584"/>
      <c r="J43" s="534"/>
      <c r="K43" s="534"/>
    </row>
    <row r="44" spans="1:29" ht="15" customHeight="1">
      <c r="B44" s="585" t="s">
        <v>68</v>
      </c>
      <c r="C44" s="186">
        <v>1284147452.6453428</v>
      </c>
      <c r="D44" s="186">
        <v>1293364812.8699119</v>
      </c>
      <c r="E44" s="186">
        <v>1205053524.3024335</v>
      </c>
      <c r="J44" s="534"/>
      <c r="K44" s="534"/>
    </row>
    <row r="45" spans="1:29" ht="14.25" customHeight="1">
      <c r="A45" s="534"/>
      <c r="B45" s="586" t="s">
        <v>972</v>
      </c>
      <c r="C45" s="584">
        <v>1306448908.6330948</v>
      </c>
      <c r="D45" s="584">
        <v>1299466339.2853911</v>
      </c>
      <c r="E45" s="584">
        <v>1178598705.7323899</v>
      </c>
      <c r="G45" s="256"/>
      <c r="J45" s="534"/>
      <c r="K45" s="534"/>
    </row>
    <row r="46" spans="1:29" ht="14.25" customHeight="1">
      <c r="A46" s="534"/>
      <c r="B46" s="586" t="s">
        <v>1431</v>
      </c>
      <c r="C46" s="584">
        <v>26129086.886319801</v>
      </c>
      <c r="D46" s="584">
        <v>25989389.730218802</v>
      </c>
      <c r="E46" s="584">
        <v>26454818.570043683</v>
      </c>
      <c r="G46" s="439"/>
      <c r="J46" s="534"/>
      <c r="K46" s="534"/>
    </row>
    <row r="47" spans="1:29" ht="14.25" customHeight="1">
      <c r="A47" s="534"/>
      <c r="B47" s="586" t="s">
        <v>1432</v>
      </c>
      <c r="C47" s="584">
        <v>-45974864.311179198</v>
      </c>
      <c r="D47" s="584">
        <v>-32090916.1456981</v>
      </c>
      <c r="E47" s="584"/>
      <c r="G47" s="439"/>
      <c r="J47" s="534"/>
      <c r="K47" s="534"/>
    </row>
    <row r="48" spans="1:29" ht="14.25" customHeight="1">
      <c r="A48" s="534"/>
      <c r="B48" s="586" t="s">
        <v>973</v>
      </c>
      <c r="C48" s="584">
        <v>-2455678.5628925744</v>
      </c>
      <c r="D48" s="584">
        <v>0</v>
      </c>
      <c r="E48" s="584">
        <v>0</v>
      </c>
      <c r="J48" s="534"/>
      <c r="K48" s="534"/>
    </row>
    <row r="49" spans="1:11" ht="14.25" customHeight="1">
      <c r="A49" s="534"/>
      <c r="B49" s="586"/>
      <c r="C49" s="189"/>
      <c r="D49" s="189"/>
      <c r="E49" s="587"/>
      <c r="J49" s="534"/>
      <c r="K49" s="534"/>
    </row>
    <row r="50" spans="1:11">
      <c r="A50" s="534"/>
      <c r="B50" s="588" t="s">
        <v>956</v>
      </c>
      <c r="C50" s="380">
        <v>0</v>
      </c>
      <c r="D50" s="585">
        <v>0</v>
      </c>
      <c r="E50" s="380">
        <v>0</v>
      </c>
      <c r="J50" s="534"/>
      <c r="K50" s="534"/>
    </row>
    <row r="51" spans="1:11" ht="15" customHeight="1">
      <c r="A51" s="534"/>
      <c r="B51" s="589" t="s">
        <v>958</v>
      </c>
      <c r="C51" s="186">
        <v>27812502.434657097</v>
      </c>
      <c r="D51" s="186">
        <v>-2832744.8499004841</v>
      </c>
      <c r="E51" s="186">
        <v>-28015194.776801586</v>
      </c>
      <c r="F51" s="256"/>
      <c r="J51" s="534"/>
      <c r="K51" s="534"/>
    </row>
    <row r="52" spans="1:11">
      <c r="A52" s="534"/>
      <c r="B52" s="590"/>
      <c r="J52" s="534"/>
      <c r="K52" s="534"/>
    </row>
    <row r="53" spans="1:11" ht="14.25" customHeight="1">
      <c r="A53" s="534"/>
      <c r="B53" s="590"/>
      <c r="E53" s="538"/>
      <c r="J53" s="534"/>
      <c r="K53" s="534"/>
    </row>
    <row r="54" spans="1:11" ht="14.25" customHeight="1">
      <c r="A54" s="534"/>
      <c r="B54" s="590"/>
      <c r="E54" s="538"/>
      <c r="J54" s="534"/>
      <c r="K54" s="534"/>
    </row>
    <row r="55" spans="1:11" ht="14.25" customHeight="1">
      <c r="A55" s="534"/>
      <c r="B55" s="292" t="s">
        <v>114</v>
      </c>
      <c r="E55" s="538"/>
      <c r="J55" s="534"/>
      <c r="K55" s="534"/>
    </row>
    <row r="56" spans="1:11">
      <c r="A56" s="534"/>
      <c r="B56" s="591"/>
      <c r="C56" s="578" t="s">
        <v>57</v>
      </c>
      <c r="D56" s="578" t="s">
        <v>948</v>
      </c>
      <c r="E56" s="578" t="s">
        <v>7</v>
      </c>
      <c r="J56" s="534"/>
      <c r="K56" s="534"/>
    </row>
    <row r="57" spans="1:11" ht="14.25" customHeight="1">
      <c r="A57" s="534"/>
      <c r="B57" s="592"/>
      <c r="C57" s="579" t="s">
        <v>6</v>
      </c>
      <c r="D57" s="579" t="s">
        <v>6</v>
      </c>
      <c r="E57" s="579" t="s">
        <v>8</v>
      </c>
      <c r="J57" s="534"/>
      <c r="K57" s="534"/>
    </row>
    <row r="58" spans="1:11" ht="15.75" customHeight="1">
      <c r="A58" s="534"/>
      <c r="B58" s="593" t="s">
        <v>115</v>
      </c>
      <c r="C58" s="580" t="s">
        <v>151</v>
      </c>
      <c r="D58" s="580" t="s">
        <v>152</v>
      </c>
      <c r="E58" s="580" t="s">
        <v>294</v>
      </c>
      <c r="J58" s="534"/>
      <c r="K58" s="534"/>
    </row>
    <row r="59" spans="1:11">
      <c r="A59" s="534"/>
      <c r="B59" s="592" t="s">
        <v>157</v>
      </c>
      <c r="C59" s="374">
        <v>6.0148041164888158E-2</v>
      </c>
      <c r="D59" s="374">
        <v>5.9824761261038563E-2</v>
      </c>
      <c r="E59" s="374">
        <v>4.2845042391632671E-2</v>
      </c>
      <c r="J59" s="534"/>
      <c r="K59" s="534"/>
    </row>
    <row r="60" spans="1:11">
      <c r="A60" s="534"/>
      <c r="B60" s="592" t="s">
        <v>954</v>
      </c>
      <c r="C60" s="374"/>
      <c r="D60" s="374"/>
      <c r="E60" s="374">
        <v>2.3998445239976629E-2</v>
      </c>
      <c r="G60" s="594"/>
      <c r="J60" s="534"/>
      <c r="K60" s="534"/>
    </row>
    <row r="61" spans="1:11">
      <c r="A61" s="534"/>
      <c r="B61" s="592" t="s">
        <v>955</v>
      </c>
      <c r="C61" s="377"/>
      <c r="D61" s="377"/>
      <c r="E61" s="377">
        <v>1.8404907975460238E-2</v>
      </c>
      <c r="J61" s="534"/>
      <c r="K61" s="534"/>
    </row>
    <row r="62" spans="1:11" ht="14.25" customHeight="1">
      <c r="A62" s="534"/>
      <c r="B62" s="592" t="s">
        <v>11</v>
      </c>
      <c r="C62" s="378">
        <v>0</v>
      </c>
      <c r="D62" s="378">
        <v>28636723.350344006</v>
      </c>
      <c r="E62" s="595">
        <v>27433660.248578541</v>
      </c>
      <c r="J62" s="534"/>
      <c r="K62" s="534"/>
    </row>
    <row r="63" spans="1:11" ht="14.25" customHeight="1">
      <c r="A63" s="534"/>
      <c r="B63" s="592" t="s">
        <v>949</v>
      </c>
      <c r="C63" s="378">
        <v>0</v>
      </c>
      <c r="D63" s="378">
        <v>1713185.1377327386</v>
      </c>
      <c r="E63" s="378">
        <v>1175396.336307995</v>
      </c>
      <c r="J63" s="534"/>
      <c r="K63" s="534"/>
    </row>
    <row r="64" spans="1:11" ht="14.25" customHeight="1">
      <c r="A64" s="534"/>
      <c r="B64" s="592" t="s">
        <v>12</v>
      </c>
      <c r="C64" s="595">
        <v>27812502.434657097</v>
      </c>
      <c r="D64" s="595">
        <v>-2832744.8499004841</v>
      </c>
      <c r="E64" s="596">
        <v>-28015194.776801586</v>
      </c>
      <c r="G64" s="540"/>
      <c r="J64" s="534"/>
      <c r="K64" s="534"/>
    </row>
    <row r="65" spans="1:11" ht="14.25" customHeight="1">
      <c r="A65" s="534"/>
      <c r="B65" s="592" t="s">
        <v>95</v>
      </c>
      <c r="C65" s="379">
        <v>824220.91568690829</v>
      </c>
      <c r="D65" s="379">
        <v>-83503.389597722184</v>
      </c>
      <c r="E65" s="379">
        <v>-593861.808084858</v>
      </c>
      <c r="J65" s="534"/>
      <c r="K65" s="534"/>
    </row>
    <row r="66" spans="1:11" ht="14.25" customHeight="1">
      <c r="A66" s="534"/>
      <c r="B66" s="589" t="s">
        <v>60</v>
      </c>
      <c r="C66" s="186">
        <v>28636723.350344006</v>
      </c>
      <c r="D66" s="186">
        <v>27433660.248578541</v>
      </c>
      <c r="E66" s="186">
        <v>9.1851688921451569E-8</v>
      </c>
      <c r="J66" s="534"/>
      <c r="K66" s="534"/>
    </row>
    <row r="67" spans="1:11" ht="14.25" customHeight="1">
      <c r="A67" s="534"/>
      <c r="J67" s="534"/>
      <c r="K67" s="534"/>
    </row>
    <row r="68" spans="1:11" ht="14.25" customHeight="1">
      <c r="A68" s="534"/>
      <c r="B68" s="93"/>
      <c r="J68" s="534"/>
      <c r="K68" s="534"/>
    </row>
    <row r="69" spans="1:11" ht="14.25" customHeight="1">
      <c r="A69" s="534"/>
      <c r="J69" s="534"/>
      <c r="K69" s="534"/>
    </row>
    <row r="70" spans="1:11" ht="15" customHeight="1">
      <c r="A70" s="534"/>
      <c r="C70" s="196"/>
      <c r="D70" s="196"/>
      <c r="J70" s="534"/>
      <c r="K70" s="534"/>
    </row>
    <row r="71" spans="1:11" ht="14.25" customHeight="1">
      <c r="C71" s="196"/>
      <c r="D71" s="196"/>
      <c r="E71" s="597"/>
      <c r="F71" s="197"/>
      <c r="J71" s="534"/>
      <c r="K71" s="534"/>
    </row>
    <row r="73" spans="1:11" ht="14.25" customHeight="1"/>
    <row r="75" spans="1:11" ht="14.25" customHeight="1"/>
    <row r="76" spans="1:11" ht="14.25" customHeight="1"/>
    <row r="77" spans="1:11" ht="14.25" customHeight="1"/>
    <row r="79" spans="1:11" ht="14.25" customHeight="1"/>
    <row r="80" spans="1:11" ht="14.25" customHeight="1"/>
  </sheetData>
  <conditionalFormatting sqref="C32:D32">
    <cfRule type="cellIs" dxfId="31" priority="3" stopIfTrue="1" operator="equal">
      <formula>"YES"</formula>
    </cfRule>
    <cfRule type="cellIs" dxfId="30" priority="4" stopIfTrue="1" operator="equal">
      <formula>"NO"</formula>
    </cfRule>
  </conditionalFormatting>
  <conditionalFormatting sqref="C31:D31">
    <cfRule type="cellIs" dxfId="29" priority="1" stopIfTrue="1" operator="equal">
      <formula>"YES"</formula>
    </cfRule>
    <cfRule type="cellIs" dxfId="28" priority="2" stopIfTrue="1" operator="equal">
      <formula>"NO"</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91032-1591-4C88-8CDB-3FDB97F2FB47}">
  <sheetPr>
    <tabColor rgb="FF92D050"/>
  </sheetPr>
  <dimension ref="A1:F28"/>
  <sheetViews>
    <sheetView workbookViewId="0">
      <selection activeCell="I18" sqref="I18"/>
    </sheetView>
  </sheetViews>
  <sheetFormatPr defaultRowHeight="13.2"/>
  <cols>
    <col min="4" max="4" width="21.33203125" customWidth="1"/>
    <col min="5" max="5" width="18.5546875" customWidth="1"/>
    <col min="6" max="6" width="12.44140625" customWidth="1"/>
  </cols>
  <sheetData>
    <row r="1" spans="1:6" ht="13.8">
      <c r="A1" s="1402"/>
      <c r="B1" s="1403" t="s">
        <v>1428</v>
      </c>
      <c r="C1" s="1403"/>
      <c r="D1" s="1404"/>
      <c r="E1" s="1404"/>
      <c r="F1" s="1404"/>
    </row>
    <row r="2" spans="1:6">
      <c r="A2" s="1402"/>
      <c r="B2" s="1404"/>
      <c r="C2" s="1404"/>
      <c r="D2" s="1404"/>
      <c r="E2" s="1404"/>
      <c r="F2" s="1404"/>
    </row>
    <row r="3" spans="1:6">
      <c r="A3" s="1402"/>
      <c r="B3" s="1405" t="s">
        <v>1675</v>
      </c>
      <c r="C3" s="1405"/>
      <c r="D3" s="1404"/>
      <c r="E3" s="1404"/>
      <c r="F3" s="1404"/>
    </row>
    <row r="4" spans="1:6" ht="13.8" thickBot="1">
      <c r="A4" s="1402"/>
      <c r="B4" s="1405"/>
      <c r="C4" s="1405"/>
      <c r="D4" s="1404"/>
      <c r="E4" s="1404"/>
      <c r="F4" s="1404"/>
    </row>
    <row r="5" spans="1:6">
      <c r="A5" s="1402"/>
      <c r="B5" s="1406"/>
      <c r="C5" s="1407"/>
      <c r="D5" s="1407"/>
      <c r="E5" s="1408"/>
      <c r="F5" s="1404"/>
    </row>
    <row r="6" spans="1:6">
      <c r="A6" s="1402"/>
      <c r="B6" s="1409" t="s">
        <v>48</v>
      </c>
      <c r="C6" s="1410"/>
      <c r="D6" s="1411"/>
      <c r="E6" s="1412"/>
      <c r="F6" s="1404"/>
    </row>
    <row r="7" spans="1:6">
      <c r="A7" s="1402"/>
      <c r="B7" s="1413"/>
      <c r="C7" s="1411"/>
      <c r="D7" s="1411"/>
      <c r="E7" s="1412"/>
      <c r="F7" s="1404"/>
    </row>
    <row r="8" spans="1:6">
      <c r="A8" s="1402"/>
      <c r="B8" s="1413" t="s">
        <v>303</v>
      </c>
      <c r="C8" s="1414">
        <v>1.8404907975460238E-2</v>
      </c>
      <c r="D8" s="1415"/>
      <c r="E8" s="1416"/>
      <c r="F8" s="1404"/>
    </row>
    <row r="9" spans="1:6">
      <c r="A9" s="1402"/>
      <c r="B9" s="1413" t="s">
        <v>1676</v>
      </c>
      <c r="C9" s="1417">
        <v>0</v>
      </c>
      <c r="D9" s="1415" t="s">
        <v>930</v>
      </c>
      <c r="E9" s="1416"/>
      <c r="F9" s="1404"/>
    </row>
    <row r="10" spans="1:6">
      <c r="A10" s="1402"/>
      <c r="B10" s="1413" t="s">
        <v>1677</v>
      </c>
      <c r="C10" s="1418">
        <v>-2.4395996749325959E-2</v>
      </c>
      <c r="D10" s="1909" t="s">
        <v>1678</v>
      </c>
      <c r="E10" s="1910"/>
      <c r="F10" s="1419"/>
    </row>
    <row r="11" spans="1:6">
      <c r="A11" s="1402"/>
      <c r="B11" s="1413"/>
      <c r="C11" s="1411"/>
      <c r="D11" s="1415"/>
      <c r="E11" s="1416"/>
      <c r="F11" s="1404"/>
    </row>
    <row r="12" spans="1:6">
      <c r="A12" s="1402"/>
      <c r="B12" s="1413"/>
      <c r="C12" s="1411"/>
      <c r="D12" s="1415"/>
      <c r="E12" s="1416"/>
      <c r="F12" s="1404"/>
    </row>
    <row r="13" spans="1:6">
      <c r="A13" s="1402"/>
      <c r="B13" s="1420"/>
      <c r="C13" s="1421">
        <v>1.4377009385643458E-2</v>
      </c>
      <c r="D13" s="1415"/>
      <c r="E13" s="1422"/>
      <c r="F13" s="1404"/>
    </row>
    <row r="14" spans="1:6" ht="13.8" thickBot="1">
      <c r="A14" s="1402"/>
      <c r="B14" s="1423"/>
      <c r="C14" s="1424"/>
      <c r="D14" s="1424"/>
      <c r="E14" s="1425"/>
      <c r="F14" s="1404"/>
    </row>
    <row r="15" spans="1:6" ht="13.8" thickBot="1">
      <c r="A15" s="1402"/>
      <c r="B15" s="1404"/>
      <c r="C15" s="1404"/>
      <c r="D15" s="1404"/>
      <c r="E15" s="1404"/>
      <c r="F15" s="1404"/>
    </row>
    <row r="16" spans="1:6">
      <c r="A16" s="1426"/>
      <c r="B16" s="1406"/>
      <c r="C16" s="1407"/>
      <c r="D16" s="1407"/>
      <c r="E16" s="1407"/>
      <c r="F16" s="1407"/>
    </row>
    <row r="17" spans="1:6">
      <c r="A17" s="1426"/>
      <c r="B17" s="1409" t="s">
        <v>49</v>
      </c>
      <c r="C17" s="1410"/>
      <c r="D17" s="1427" t="s">
        <v>1679</v>
      </c>
      <c r="E17" s="1427" t="s">
        <v>1680</v>
      </c>
      <c r="F17" s="1411"/>
    </row>
    <row r="18" spans="1:6">
      <c r="A18" s="1426"/>
      <c r="B18" s="1428" t="s">
        <v>50</v>
      </c>
      <c r="C18" s="1429" t="s">
        <v>903</v>
      </c>
      <c r="D18" s="1430" t="s">
        <v>51</v>
      </c>
      <c r="E18" s="1430" t="s">
        <v>52</v>
      </c>
      <c r="F18" s="1430" t="s">
        <v>53</v>
      </c>
    </row>
    <row r="19" spans="1:6">
      <c r="A19" s="1426"/>
      <c r="B19" s="1431" t="s">
        <v>743</v>
      </c>
      <c r="C19" s="1432" t="s">
        <v>789</v>
      </c>
      <c r="D19" s="1433">
        <v>39043235.932510406</v>
      </c>
      <c r="E19" s="1433">
        <v>37415659.494806133</v>
      </c>
      <c r="F19" s="1414">
        <v>-4.168651493225814E-2</v>
      </c>
    </row>
    <row r="20" spans="1:6">
      <c r="A20" s="1426"/>
      <c r="B20" s="1431" t="s">
        <v>743</v>
      </c>
      <c r="C20" s="1432" t="s">
        <v>790</v>
      </c>
      <c r="D20" s="1434">
        <v>14280496.675227202</v>
      </c>
      <c r="E20" s="1434">
        <v>13282444.995444894</v>
      </c>
      <c r="F20" s="1417">
        <v>-6.9889143387684705E-2</v>
      </c>
    </row>
    <row r="21" spans="1:6">
      <c r="A21" s="1426"/>
      <c r="B21" s="1431" t="s">
        <v>743</v>
      </c>
      <c r="C21" s="1432" t="s">
        <v>791</v>
      </c>
      <c r="D21" s="1434">
        <v>0</v>
      </c>
      <c r="E21" s="1434">
        <v>0</v>
      </c>
      <c r="F21" s="1417" t="s">
        <v>230</v>
      </c>
    </row>
    <row r="22" spans="1:6">
      <c r="A22" s="1426"/>
      <c r="B22" s="1431" t="s">
        <v>762</v>
      </c>
      <c r="C22" s="1435" t="s">
        <v>789</v>
      </c>
      <c r="D22" s="1434">
        <v>73524728.945999995</v>
      </c>
      <c r="E22" s="1434">
        <v>66584412.328705087</v>
      </c>
      <c r="F22" s="1417">
        <v>-9.4394317623288371E-2</v>
      </c>
    </row>
    <row r="23" spans="1:6">
      <c r="A23" s="1426"/>
      <c r="B23" s="1431" t="s">
        <v>762</v>
      </c>
      <c r="C23" s="1435" t="s">
        <v>790</v>
      </c>
      <c r="D23" s="1434">
        <v>11520353.895</v>
      </c>
      <c r="E23" s="1434">
        <v>9968181.3808989227</v>
      </c>
      <c r="F23" s="1417">
        <v>-0.13473305839803604</v>
      </c>
    </row>
    <row r="24" spans="1:6">
      <c r="A24" s="1426"/>
      <c r="B24" s="1431" t="s">
        <v>762</v>
      </c>
      <c r="C24" s="1435" t="s">
        <v>791</v>
      </c>
      <c r="D24" s="1434">
        <v>0</v>
      </c>
      <c r="E24" s="1434">
        <v>0</v>
      </c>
      <c r="F24" s="1417" t="s">
        <v>230</v>
      </c>
    </row>
    <row r="25" spans="1:6">
      <c r="A25" s="1426"/>
      <c r="B25" s="1431" t="s">
        <v>765</v>
      </c>
      <c r="C25" s="1435" t="s">
        <v>789</v>
      </c>
      <c r="D25" s="1434">
        <v>785092938.55709875</v>
      </c>
      <c r="E25" s="1434">
        <v>808347501.02936399</v>
      </c>
      <c r="F25" s="1417">
        <v>2.9620139642325887E-2</v>
      </c>
    </row>
    <row r="26" spans="1:6">
      <c r="A26" s="1426"/>
      <c r="B26" s="1431" t="s">
        <v>765</v>
      </c>
      <c r="C26" s="1435" t="s">
        <v>790</v>
      </c>
      <c r="D26" s="1434">
        <v>213561393.48076957</v>
      </c>
      <c r="E26" s="1434">
        <v>229081625.02223754</v>
      </c>
      <c r="F26" s="1417">
        <v>7.2673395169925714E-2</v>
      </c>
    </row>
    <row r="27" spans="1:6">
      <c r="A27" s="1426"/>
      <c r="B27" s="1431" t="s">
        <v>765</v>
      </c>
      <c r="C27" s="1435" t="s">
        <v>791</v>
      </c>
      <c r="D27" s="1434">
        <v>11328980.309756199</v>
      </c>
      <c r="E27" s="1434">
        <v>12358505.274175612</v>
      </c>
      <c r="F27" s="1417">
        <v>9.0875342375943177E-2</v>
      </c>
    </row>
    <row r="28" spans="1:6" ht="13.8" thickBot="1">
      <c r="A28" s="1426"/>
      <c r="B28" s="1436"/>
      <c r="C28" s="1437"/>
      <c r="D28" s="1438" t="s">
        <v>230</v>
      </c>
      <c r="E28" s="1438" t="s">
        <v>230</v>
      </c>
      <c r="F28" s="1439" t="s">
        <v>230</v>
      </c>
    </row>
  </sheetData>
  <mergeCells count="1">
    <mergeCell ref="D10:E10"/>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F6CF7-3310-4860-85B3-49F8B687D59C}">
  <sheetPr>
    <tabColor rgb="FF92D050"/>
  </sheetPr>
  <dimension ref="A1:Y62"/>
  <sheetViews>
    <sheetView topLeftCell="A28" workbookViewId="0">
      <selection activeCell="D37" sqref="D37"/>
    </sheetView>
  </sheetViews>
  <sheetFormatPr defaultRowHeight="13.8"/>
  <cols>
    <col min="1" max="1" width="5.44140625" style="6" customWidth="1"/>
    <col min="2" max="2" width="78.44140625" style="357" customWidth="1"/>
    <col min="3" max="4" width="18.5546875" style="607" customWidth="1"/>
    <col min="5" max="5" width="18.5546875" style="9" customWidth="1"/>
    <col min="6" max="6" width="18.6640625" style="9" customWidth="1"/>
    <col min="7" max="9" width="9" style="9" customWidth="1"/>
    <col min="10" max="11" width="9" style="10" customWidth="1"/>
    <col min="12" max="19" width="9" style="9" customWidth="1"/>
    <col min="20" max="21" width="8.88671875" style="9"/>
    <col min="22" max="22" width="8.6640625" style="9" customWidth="1"/>
    <col min="23" max="256" width="8.88671875" style="9"/>
    <col min="257" max="257" width="2.6640625" style="9" customWidth="1"/>
    <col min="258" max="258" width="114.44140625" style="9" customWidth="1"/>
    <col min="259" max="259" width="0" style="9" hidden="1" customWidth="1"/>
    <col min="260" max="260" width="27.5546875" style="9" customWidth="1"/>
    <col min="261" max="261" width="20" style="9" customWidth="1"/>
    <col min="262" max="262" width="18.33203125" style="9" customWidth="1"/>
    <col min="263" max="263" width="20.109375" style="9" customWidth="1"/>
    <col min="264" max="264" width="10.6640625" style="9" customWidth="1"/>
    <col min="265" max="265" width="14.44140625" style="9" bestFit="1" customWidth="1"/>
    <col min="266" max="266" width="10.6640625" style="9" customWidth="1"/>
    <col min="267" max="267" width="12.6640625" style="9" bestFit="1" customWidth="1"/>
    <col min="268" max="270" width="8.44140625" style="9" customWidth="1"/>
    <col min="271" max="273" width="13" style="9" customWidth="1"/>
    <col min="274" max="277" width="8.88671875" style="9"/>
    <col min="278" max="278" width="8.6640625" style="9" customWidth="1"/>
    <col min="279" max="512" width="8.88671875" style="9"/>
    <col min="513" max="513" width="2.6640625" style="9" customWidth="1"/>
    <col min="514" max="514" width="114.44140625" style="9" customWidth="1"/>
    <col min="515" max="515" width="0" style="9" hidden="1" customWidth="1"/>
    <col min="516" max="516" width="27.5546875" style="9" customWidth="1"/>
    <col min="517" max="517" width="20" style="9" customWidth="1"/>
    <col min="518" max="518" width="18.33203125" style="9" customWidth="1"/>
    <col min="519" max="519" width="20.109375" style="9" customWidth="1"/>
    <col min="520" max="520" width="10.6640625" style="9" customWidth="1"/>
    <col min="521" max="521" width="14.44140625" style="9" bestFit="1" customWidth="1"/>
    <col min="522" max="522" width="10.6640625" style="9" customWidth="1"/>
    <col min="523" max="523" width="12.6640625" style="9" bestFit="1" customWidth="1"/>
    <col min="524" max="526" width="8.44140625" style="9" customWidth="1"/>
    <col min="527" max="529" width="13" style="9" customWidth="1"/>
    <col min="530" max="533" width="8.88671875" style="9"/>
    <col min="534" max="534" width="8.6640625" style="9" customWidth="1"/>
    <col min="535" max="768" width="8.88671875" style="9"/>
    <col min="769" max="769" width="2.6640625" style="9" customWidth="1"/>
    <col min="770" max="770" width="114.44140625" style="9" customWidth="1"/>
    <col min="771" max="771" width="0" style="9" hidden="1" customWidth="1"/>
    <col min="772" max="772" width="27.5546875" style="9" customWidth="1"/>
    <col min="773" max="773" width="20" style="9" customWidth="1"/>
    <col min="774" max="774" width="18.33203125" style="9" customWidth="1"/>
    <col min="775" max="775" width="20.109375" style="9" customWidth="1"/>
    <col min="776" max="776" width="10.6640625" style="9" customWidth="1"/>
    <col min="777" max="777" width="14.44140625" style="9" bestFit="1" customWidth="1"/>
    <col min="778" max="778" width="10.6640625" style="9" customWidth="1"/>
    <col min="779" max="779" width="12.6640625" style="9" bestFit="1" customWidth="1"/>
    <col min="780" max="782" width="8.44140625" style="9" customWidth="1"/>
    <col min="783" max="785" width="13" style="9" customWidth="1"/>
    <col min="786" max="789" width="8.88671875" style="9"/>
    <col min="790" max="790" width="8.6640625" style="9" customWidth="1"/>
    <col min="791" max="1024" width="8.88671875" style="9"/>
    <col min="1025" max="1025" width="2.6640625" style="9" customWidth="1"/>
    <col min="1026" max="1026" width="114.44140625" style="9" customWidth="1"/>
    <col min="1027" max="1027" width="0" style="9" hidden="1" customWidth="1"/>
    <col min="1028" max="1028" width="27.5546875" style="9" customWidth="1"/>
    <col min="1029" max="1029" width="20" style="9" customWidth="1"/>
    <col min="1030" max="1030" width="18.33203125" style="9" customWidth="1"/>
    <col min="1031" max="1031" width="20.109375" style="9" customWidth="1"/>
    <col min="1032" max="1032" width="10.6640625" style="9" customWidth="1"/>
    <col min="1033" max="1033" width="14.44140625" style="9" bestFit="1" customWidth="1"/>
    <col min="1034" max="1034" width="10.6640625" style="9" customWidth="1"/>
    <col min="1035" max="1035" width="12.6640625" style="9" bestFit="1" customWidth="1"/>
    <col min="1036" max="1038" width="8.44140625" style="9" customWidth="1"/>
    <col min="1039" max="1041" width="13" style="9" customWidth="1"/>
    <col min="1042" max="1045" width="8.88671875" style="9"/>
    <col min="1046" max="1046" width="8.6640625" style="9" customWidth="1"/>
    <col min="1047" max="1280" width="8.88671875" style="9"/>
    <col min="1281" max="1281" width="2.6640625" style="9" customWidth="1"/>
    <col min="1282" max="1282" width="114.44140625" style="9" customWidth="1"/>
    <col min="1283" max="1283" width="0" style="9" hidden="1" customWidth="1"/>
    <col min="1284" max="1284" width="27.5546875" style="9" customWidth="1"/>
    <col min="1285" max="1285" width="20" style="9" customWidth="1"/>
    <col min="1286" max="1286" width="18.33203125" style="9" customWidth="1"/>
    <col min="1287" max="1287" width="20.109375" style="9" customWidth="1"/>
    <col min="1288" max="1288" width="10.6640625" style="9" customWidth="1"/>
    <col min="1289" max="1289" width="14.44140625" style="9" bestFit="1" customWidth="1"/>
    <col min="1290" max="1290" width="10.6640625" style="9" customWidth="1"/>
    <col min="1291" max="1291" width="12.6640625" style="9" bestFit="1" customWidth="1"/>
    <col min="1292" max="1294" width="8.44140625" style="9" customWidth="1"/>
    <col min="1295" max="1297" width="13" style="9" customWidth="1"/>
    <col min="1298" max="1301" width="8.88671875" style="9"/>
    <col min="1302" max="1302" width="8.6640625" style="9" customWidth="1"/>
    <col min="1303" max="1536" width="8.88671875" style="9"/>
    <col min="1537" max="1537" width="2.6640625" style="9" customWidth="1"/>
    <col min="1538" max="1538" width="114.44140625" style="9" customWidth="1"/>
    <col min="1539" max="1539" width="0" style="9" hidden="1" customWidth="1"/>
    <col min="1540" max="1540" width="27.5546875" style="9" customWidth="1"/>
    <col min="1541" max="1541" width="20" style="9" customWidth="1"/>
    <col min="1542" max="1542" width="18.33203125" style="9" customWidth="1"/>
    <col min="1543" max="1543" width="20.109375" style="9" customWidth="1"/>
    <col min="1544" max="1544" width="10.6640625" style="9" customWidth="1"/>
    <col min="1545" max="1545" width="14.44140625" style="9" bestFit="1" customWidth="1"/>
    <col min="1546" max="1546" width="10.6640625" style="9" customWidth="1"/>
    <col min="1547" max="1547" width="12.6640625" style="9" bestFit="1" customWidth="1"/>
    <col min="1548" max="1550" width="8.44140625" style="9" customWidth="1"/>
    <col min="1551" max="1553" width="13" style="9" customWidth="1"/>
    <col min="1554" max="1557" width="8.88671875" style="9"/>
    <col min="1558" max="1558" width="8.6640625" style="9" customWidth="1"/>
    <col min="1559" max="1792" width="8.88671875" style="9"/>
    <col min="1793" max="1793" width="2.6640625" style="9" customWidth="1"/>
    <col min="1794" max="1794" width="114.44140625" style="9" customWidth="1"/>
    <col min="1795" max="1795" width="0" style="9" hidden="1" customWidth="1"/>
    <col min="1796" max="1796" width="27.5546875" style="9" customWidth="1"/>
    <col min="1797" max="1797" width="20" style="9" customWidth="1"/>
    <col min="1798" max="1798" width="18.33203125" style="9" customWidth="1"/>
    <col min="1799" max="1799" width="20.109375" style="9" customWidth="1"/>
    <col min="1800" max="1800" width="10.6640625" style="9" customWidth="1"/>
    <col min="1801" max="1801" width="14.44140625" style="9" bestFit="1" customWidth="1"/>
    <col min="1802" max="1802" width="10.6640625" style="9" customWidth="1"/>
    <col min="1803" max="1803" width="12.6640625" style="9" bestFit="1" customWidth="1"/>
    <col min="1804" max="1806" width="8.44140625" style="9" customWidth="1"/>
    <col min="1807" max="1809" width="13" style="9" customWidth="1"/>
    <col min="1810" max="1813" width="8.88671875" style="9"/>
    <col min="1814" max="1814" width="8.6640625" style="9" customWidth="1"/>
    <col min="1815" max="2048" width="8.88671875" style="9"/>
    <col min="2049" max="2049" width="2.6640625" style="9" customWidth="1"/>
    <col min="2050" max="2050" width="114.44140625" style="9" customWidth="1"/>
    <col min="2051" max="2051" width="0" style="9" hidden="1" customWidth="1"/>
    <col min="2052" max="2052" width="27.5546875" style="9" customWidth="1"/>
    <col min="2053" max="2053" width="20" style="9" customWidth="1"/>
    <col min="2054" max="2054" width="18.33203125" style="9" customWidth="1"/>
    <col min="2055" max="2055" width="20.109375" style="9" customWidth="1"/>
    <col min="2056" max="2056" width="10.6640625" style="9" customWidth="1"/>
    <col min="2057" max="2057" width="14.44140625" style="9" bestFit="1" customWidth="1"/>
    <col min="2058" max="2058" width="10.6640625" style="9" customWidth="1"/>
    <col min="2059" max="2059" width="12.6640625" style="9" bestFit="1" customWidth="1"/>
    <col min="2060" max="2062" width="8.44140625" style="9" customWidth="1"/>
    <col min="2063" max="2065" width="13" style="9" customWidth="1"/>
    <col min="2066" max="2069" width="8.88671875" style="9"/>
    <col min="2070" max="2070" width="8.6640625" style="9" customWidth="1"/>
    <col min="2071" max="2304" width="8.88671875" style="9"/>
    <col min="2305" max="2305" width="2.6640625" style="9" customWidth="1"/>
    <col min="2306" max="2306" width="114.44140625" style="9" customWidth="1"/>
    <col min="2307" max="2307" width="0" style="9" hidden="1" customWidth="1"/>
    <col min="2308" max="2308" width="27.5546875" style="9" customWidth="1"/>
    <col min="2309" max="2309" width="20" style="9" customWidth="1"/>
    <col min="2310" max="2310" width="18.33203125" style="9" customWidth="1"/>
    <col min="2311" max="2311" width="20.109375" style="9" customWidth="1"/>
    <col min="2312" max="2312" width="10.6640625" style="9" customWidth="1"/>
    <col min="2313" max="2313" width="14.44140625" style="9" bestFit="1" customWidth="1"/>
    <col min="2314" max="2314" width="10.6640625" style="9" customWidth="1"/>
    <col min="2315" max="2315" width="12.6640625" style="9" bestFit="1" customWidth="1"/>
    <col min="2316" max="2318" width="8.44140625" style="9" customWidth="1"/>
    <col min="2319" max="2321" width="13" style="9" customWidth="1"/>
    <col min="2322" max="2325" width="8.88671875" style="9"/>
    <col min="2326" max="2326" width="8.6640625" style="9" customWidth="1"/>
    <col min="2327" max="2560" width="8.88671875" style="9"/>
    <col min="2561" max="2561" width="2.6640625" style="9" customWidth="1"/>
    <col min="2562" max="2562" width="114.44140625" style="9" customWidth="1"/>
    <col min="2563" max="2563" width="0" style="9" hidden="1" customWidth="1"/>
    <col min="2564" max="2564" width="27.5546875" style="9" customWidth="1"/>
    <col min="2565" max="2565" width="20" style="9" customWidth="1"/>
    <col min="2566" max="2566" width="18.33203125" style="9" customWidth="1"/>
    <col min="2567" max="2567" width="20.109375" style="9" customWidth="1"/>
    <col min="2568" max="2568" width="10.6640625" style="9" customWidth="1"/>
    <col min="2569" max="2569" width="14.44140625" style="9" bestFit="1" customWidth="1"/>
    <col min="2570" max="2570" width="10.6640625" style="9" customWidth="1"/>
    <col min="2571" max="2571" width="12.6640625" style="9" bestFit="1" customWidth="1"/>
    <col min="2572" max="2574" width="8.44140625" style="9" customWidth="1"/>
    <col min="2575" max="2577" width="13" style="9" customWidth="1"/>
    <col min="2578" max="2581" width="8.88671875" style="9"/>
    <col min="2582" max="2582" width="8.6640625" style="9" customWidth="1"/>
    <col min="2583" max="2816" width="8.88671875" style="9"/>
    <col min="2817" max="2817" width="2.6640625" style="9" customWidth="1"/>
    <col min="2818" max="2818" width="114.44140625" style="9" customWidth="1"/>
    <col min="2819" max="2819" width="0" style="9" hidden="1" customWidth="1"/>
    <col min="2820" max="2820" width="27.5546875" style="9" customWidth="1"/>
    <col min="2821" max="2821" width="20" style="9" customWidth="1"/>
    <col min="2822" max="2822" width="18.33203125" style="9" customWidth="1"/>
    <col min="2823" max="2823" width="20.109375" style="9" customWidth="1"/>
    <col min="2824" max="2824" width="10.6640625" style="9" customWidth="1"/>
    <col min="2825" max="2825" width="14.44140625" style="9" bestFit="1" customWidth="1"/>
    <col min="2826" max="2826" width="10.6640625" style="9" customWidth="1"/>
    <col min="2827" max="2827" width="12.6640625" style="9" bestFit="1" customWidth="1"/>
    <col min="2828" max="2830" width="8.44140625" style="9" customWidth="1"/>
    <col min="2831" max="2833" width="13" style="9" customWidth="1"/>
    <col min="2834" max="2837" width="8.88671875" style="9"/>
    <col min="2838" max="2838" width="8.6640625" style="9" customWidth="1"/>
    <col min="2839" max="3072" width="8.88671875" style="9"/>
    <col min="3073" max="3073" width="2.6640625" style="9" customWidth="1"/>
    <col min="3074" max="3074" width="114.44140625" style="9" customWidth="1"/>
    <col min="3075" max="3075" width="0" style="9" hidden="1" customWidth="1"/>
    <col min="3076" max="3076" width="27.5546875" style="9" customWidth="1"/>
    <col min="3077" max="3077" width="20" style="9" customWidth="1"/>
    <col min="3078" max="3078" width="18.33203125" style="9" customWidth="1"/>
    <col min="3079" max="3079" width="20.109375" style="9" customWidth="1"/>
    <col min="3080" max="3080" width="10.6640625" style="9" customWidth="1"/>
    <col min="3081" max="3081" width="14.44140625" style="9" bestFit="1" customWidth="1"/>
    <col min="3082" max="3082" width="10.6640625" style="9" customWidth="1"/>
    <col min="3083" max="3083" width="12.6640625" style="9" bestFit="1" customWidth="1"/>
    <col min="3084" max="3086" width="8.44140625" style="9" customWidth="1"/>
    <col min="3087" max="3089" width="13" style="9" customWidth="1"/>
    <col min="3090" max="3093" width="8.88671875" style="9"/>
    <col min="3094" max="3094" width="8.6640625" style="9" customWidth="1"/>
    <col min="3095" max="3328" width="8.88671875" style="9"/>
    <col min="3329" max="3329" width="2.6640625" style="9" customWidth="1"/>
    <col min="3330" max="3330" width="114.44140625" style="9" customWidth="1"/>
    <col min="3331" max="3331" width="0" style="9" hidden="1" customWidth="1"/>
    <col min="3332" max="3332" width="27.5546875" style="9" customWidth="1"/>
    <col min="3333" max="3333" width="20" style="9" customWidth="1"/>
    <col min="3334" max="3334" width="18.33203125" style="9" customWidth="1"/>
    <col min="3335" max="3335" width="20.109375" style="9" customWidth="1"/>
    <col min="3336" max="3336" width="10.6640625" style="9" customWidth="1"/>
    <col min="3337" max="3337" width="14.44140625" style="9" bestFit="1" customWidth="1"/>
    <col min="3338" max="3338" width="10.6640625" style="9" customWidth="1"/>
    <col min="3339" max="3339" width="12.6640625" style="9" bestFit="1" customWidth="1"/>
    <col min="3340" max="3342" width="8.44140625" style="9" customWidth="1"/>
    <col min="3343" max="3345" width="13" style="9" customWidth="1"/>
    <col min="3346" max="3349" width="8.88671875" style="9"/>
    <col min="3350" max="3350" width="8.6640625" style="9" customWidth="1"/>
    <col min="3351" max="3584" width="8.88671875" style="9"/>
    <col min="3585" max="3585" width="2.6640625" style="9" customWidth="1"/>
    <col min="3586" max="3586" width="114.44140625" style="9" customWidth="1"/>
    <col min="3587" max="3587" width="0" style="9" hidden="1" customWidth="1"/>
    <col min="3588" max="3588" width="27.5546875" style="9" customWidth="1"/>
    <col min="3589" max="3589" width="20" style="9" customWidth="1"/>
    <col min="3590" max="3590" width="18.33203125" style="9" customWidth="1"/>
    <col min="3591" max="3591" width="20.109375" style="9" customWidth="1"/>
    <col min="3592" max="3592" width="10.6640625" style="9" customWidth="1"/>
    <col min="3593" max="3593" width="14.44140625" style="9" bestFit="1" customWidth="1"/>
    <col min="3594" max="3594" width="10.6640625" style="9" customWidth="1"/>
    <col min="3595" max="3595" width="12.6640625" style="9" bestFit="1" customWidth="1"/>
    <col min="3596" max="3598" width="8.44140625" style="9" customWidth="1"/>
    <col min="3599" max="3601" width="13" style="9" customWidth="1"/>
    <col min="3602" max="3605" width="8.88671875" style="9"/>
    <col min="3606" max="3606" width="8.6640625" style="9" customWidth="1"/>
    <col min="3607" max="3840" width="8.88671875" style="9"/>
    <col min="3841" max="3841" width="2.6640625" style="9" customWidth="1"/>
    <col min="3842" max="3842" width="114.44140625" style="9" customWidth="1"/>
    <col min="3843" max="3843" width="0" style="9" hidden="1" customWidth="1"/>
    <col min="3844" max="3844" width="27.5546875" style="9" customWidth="1"/>
    <col min="3845" max="3845" width="20" style="9" customWidth="1"/>
    <col min="3846" max="3846" width="18.33203125" style="9" customWidth="1"/>
    <col min="3847" max="3847" width="20.109375" style="9" customWidth="1"/>
    <col min="3848" max="3848" width="10.6640625" style="9" customWidth="1"/>
    <col min="3849" max="3849" width="14.44140625" style="9" bestFit="1" customWidth="1"/>
    <col min="3850" max="3850" width="10.6640625" style="9" customWidth="1"/>
    <col min="3851" max="3851" width="12.6640625" style="9" bestFit="1" customWidth="1"/>
    <col min="3852" max="3854" width="8.44140625" style="9" customWidth="1"/>
    <col min="3855" max="3857" width="13" style="9" customWidth="1"/>
    <col min="3858" max="3861" width="8.88671875" style="9"/>
    <col min="3862" max="3862" width="8.6640625" style="9" customWidth="1"/>
    <col min="3863" max="4096" width="8.88671875" style="9"/>
    <col min="4097" max="4097" width="2.6640625" style="9" customWidth="1"/>
    <col min="4098" max="4098" width="114.44140625" style="9" customWidth="1"/>
    <col min="4099" max="4099" width="0" style="9" hidden="1" customWidth="1"/>
    <col min="4100" max="4100" width="27.5546875" style="9" customWidth="1"/>
    <col min="4101" max="4101" width="20" style="9" customWidth="1"/>
    <col min="4102" max="4102" width="18.33203125" style="9" customWidth="1"/>
    <col min="4103" max="4103" width="20.109375" style="9" customWidth="1"/>
    <col min="4104" max="4104" width="10.6640625" style="9" customWidth="1"/>
    <col min="4105" max="4105" width="14.44140625" style="9" bestFit="1" customWidth="1"/>
    <col min="4106" max="4106" width="10.6640625" style="9" customWidth="1"/>
    <col min="4107" max="4107" width="12.6640625" style="9" bestFit="1" customWidth="1"/>
    <col min="4108" max="4110" width="8.44140625" style="9" customWidth="1"/>
    <col min="4111" max="4113" width="13" style="9" customWidth="1"/>
    <col min="4114" max="4117" width="8.88671875" style="9"/>
    <col min="4118" max="4118" width="8.6640625" style="9" customWidth="1"/>
    <col min="4119" max="4352" width="8.88671875" style="9"/>
    <col min="4353" max="4353" width="2.6640625" style="9" customWidth="1"/>
    <col min="4354" max="4354" width="114.44140625" style="9" customWidth="1"/>
    <col min="4355" max="4355" width="0" style="9" hidden="1" customWidth="1"/>
    <col min="4356" max="4356" width="27.5546875" style="9" customWidth="1"/>
    <col min="4357" max="4357" width="20" style="9" customWidth="1"/>
    <col min="4358" max="4358" width="18.33203125" style="9" customWidth="1"/>
    <col min="4359" max="4359" width="20.109375" style="9" customWidth="1"/>
    <col min="4360" max="4360" width="10.6640625" style="9" customWidth="1"/>
    <col min="4361" max="4361" width="14.44140625" style="9" bestFit="1" customWidth="1"/>
    <col min="4362" max="4362" width="10.6640625" style="9" customWidth="1"/>
    <col min="4363" max="4363" width="12.6640625" style="9" bestFit="1" customWidth="1"/>
    <col min="4364" max="4366" width="8.44140625" style="9" customWidth="1"/>
    <col min="4367" max="4369" width="13" style="9" customWidth="1"/>
    <col min="4370" max="4373" width="8.88671875" style="9"/>
    <col min="4374" max="4374" width="8.6640625" style="9" customWidth="1"/>
    <col min="4375" max="4608" width="8.88671875" style="9"/>
    <col min="4609" max="4609" width="2.6640625" style="9" customWidth="1"/>
    <col min="4610" max="4610" width="114.44140625" style="9" customWidth="1"/>
    <col min="4611" max="4611" width="0" style="9" hidden="1" customWidth="1"/>
    <col min="4612" max="4612" width="27.5546875" style="9" customWidth="1"/>
    <col min="4613" max="4613" width="20" style="9" customWidth="1"/>
    <col min="4614" max="4614" width="18.33203125" style="9" customWidth="1"/>
    <col min="4615" max="4615" width="20.109375" style="9" customWidth="1"/>
    <col min="4616" max="4616" width="10.6640625" style="9" customWidth="1"/>
    <col min="4617" max="4617" width="14.44140625" style="9" bestFit="1" customWidth="1"/>
    <col min="4618" max="4618" width="10.6640625" style="9" customWidth="1"/>
    <col min="4619" max="4619" width="12.6640625" style="9" bestFit="1" customWidth="1"/>
    <col min="4620" max="4622" width="8.44140625" style="9" customWidth="1"/>
    <col min="4623" max="4625" width="13" style="9" customWidth="1"/>
    <col min="4626" max="4629" width="8.88671875" style="9"/>
    <col min="4630" max="4630" width="8.6640625" style="9" customWidth="1"/>
    <col min="4631" max="4864" width="8.88671875" style="9"/>
    <col min="4865" max="4865" width="2.6640625" style="9" customWidth="1"/>
    <col min="4866" max="4866" width="114.44140625" style="9" customWidth="1"/>
    <col min="4867" max="4867" width="0" style="9" hidden="1" customWidth="1"/>
    <col min="4868" max="4868" width="27.5546875" style="9" customWidth="1"/>
    <col min="4869" max="4869" width="20" style="9" customWidth="1"/>
    <col min="4870" max="4870" width="18.33203125" style="9" customWidth="1"/>
    <col min="4871" max="4871" width="20.109375" style="9" customWidth="1"/>
    <col min="4872" max="4872" width="10.6640625" style="9" customWidth="1"/>
    <col min="4873" max="4873" width="14.44140625" style="9" bestFit="1" customWidth="1"/>
    <col min="4874" max="4874" width="10.6640625" style="9" customWidth="1"/>
    <col min="4875" max="4875" width="12.6640625" style="9" bestFit="1" customWidth="1"/>
    <col min="4876" max="4878" width="8.44140625" style="9" customWidth="1"/>
    <col min="4879" max="4881" width="13" style="9" customWidth="1"/>
    <col min="4882" max="4885" width="8.88671875" style="9"/>
    <col min="4886" max="4886" width="8.6640625" style="9" customWidth="1"/>
    <col min="4887" max="5120" width="8.88671875" style="9"/>
    <col min="5121" max="5121" width="2.6640625" style="9" customWidth="1"/>
    <col min="5122" max="5122" width="114.44140625" style="9" customWidth="1"/>
    <col min="5123" max="5123" width="0" style="9" hidden="1" customWidth="1"/>
    <col min="5124" max="5124" width="27.5546875" style="9" customWidth="1"/>
    <col min="5125" max="5125" width="20" style="9" customWidth="1"/>
    <col min="5126" max="5126" width="18.33203125" style="9" customWidth="1"/>
    <col min="5127" max="5127" width="20.109375" style="9" customWidth="1"/>
    <col min="5128" max="5128" width="10.6640625" style="9" customWidth="1"/>
    <col min="5129" max="5129" width="14.44140625" style="9" bestFit="1" customWidth="1"/>
    <col min="5130" max="5130" width="10.6640625" style="9" customWidth="1"/>
    <col min="5131" max="5131" width="12.6640625" style="9" bestFit="1" customWidth="1"/>
    <col min="5132" max="5134" width="8.44140625" style="9" customWidth="1"/>
    <col min="5135" max="5137" width="13" style="9" customWidth="1"/>
    <col min="5138" max="5141" width="8.88671875" style="9"/>
    <col min="5142" max="5142" width="8.6640625" style="9" customWidth="1"/>
    <col min="5143" max="5376" width="8.88671875" style="9"/>
    <col min="5377" max="5377" width="2.6640625" style="9" customWidth="1"/>
    <col min="5378" max="5378" width="114.44140625" style="9" customWidth="1"/>
    <col min="5379" max="5379" width="0" style="9" hidden="1" customWidth="1"/>
    <col min="5380" max="5380" width="27.5546875" style="9" customWidth="1"/>
    <col min="5381" max="5381" width="20" style="9" customWidth="1"/>
    <col min="5382" max="5382" width="18.33203125" style="9" customWidth="1"/>
    <col min="5383" max="5383" width="20.109375" style="9" customWidth="1"/>
    <col min="5384" max="5384" width="10.6640625" style="9" customWidth="1"/>
    <col min="5385" max="5385" width="14.44140625" style="9" bestFit="1" customWidth="1"/>
    <col min="5386" max="5386" width="10.6640625" style="9" customWidth="1"/>
    <col min="5387" max="5387" width="12.6640625" style="9" bestFit="1" customWidth="1"/>
    <col min="5388" max="5390" width="8.44140625" style="9" customWidth="1"/>
    <col min="5391" max="5393" width="13" style="9" customWidth="1"/>
    <col min="5394" max="5397" width="8.88671875" style="9"/>
    <col min="5398" max="5398" width="8.6640625" style="9" customWidth="1"/>
    <col min="5399" max="5632" width="8.88671875" style="9"/>
    <col min="5633" max="5633" width="2.6640625" style="9" customWidth="1"/>
    <col min="5634" max="5634" width="114.44140625" style="9" customWidth="1"/>
    <col min="5635" max="5635" width="0" style="9" hidden="1" customWidth="1"/>
    <col min="5636" max="5636" width="27.5546875" style="9" customWidth="1"/>
    <col min="5637" max="5637" width="20" style="9" customWidth="1"/>
    <col min="5638" max="5638" width="18.33203125" style="9" customWidth="1"/>
    <col min="5639" max="5639" width="20.109375" style="9" customWidth="1"/>
    <col min="5640" max="5640" width="10.6640625" style="9" customWidth="1"/>
    <col min="5641" max="5641" width="14.44140625" style="9" bestFit="1" customWidth="1"/>
    <col min="5642" max="5642" width="10.6640625" style="9" customWidth="1"/>
    <col min="5643" max="5643" width="12.6640625" style="9" bestFit="1" customWidth="1"/>
    <col min="5644" max="5646" width="8.44140625" style="9" customWidth="1"/>
    <col min="5647" max="5649" width="13" style="9" customWidth="1"/>
    <col min="5650" max="5653" width="8.88671875" style="9"/>
    <col min="5654" max="5654" width="8.6640625" style="9" customWidth="1"/>
    <col min="5655" max="5888" width="8.88671875" style="9"/>
    <col min="5889" max="5889" width="2.6640625" style="9" customWidth="1"/>
    <col min="5890" max="5890" width="114.44140625" style="9" customWidth="1"/>
    <col min="5891" max="5891" width="0" style="9" hidden="1" customWidth="1"/>
    <col min="5892" max="5892" width="27.5546875" style="9" customWidth="1"/>
    <col min="5893" max="5893" width="20" style="9" customWidth="1"/>
    <col min="5894" max="5894" width="18.33203125" style="9" customWidth="1"/>
    <col min="5895" max="5895" width="20.109375" style="9" customWidth="1"/>
    <col min="5896" max="5896" width="10.6640625" style="9" customWidth="1"/>
    <col min="5897" max="5897" width="14.44140625" style="9" bestFit="1" customWidth="1"/>
    <col min="5898" max="5898" width="10.6640625" style="9" customWidth="1"/>
    <col min="5899" max="5899" width="12.6640625" style="9" bestFit="1" customWidth="1"/>
    <col min="5900" max="5902" width="8.44140625" style="9" customWidth="1"/>
    <col min="5903" max="5905" width="13" style="9" customWidth="1"/>
    <col min="5906" max="5909" width="8.88671875" style="9"/>
    <col min="5910" max="5910" width="8.6640625" style="9" customWidth="1"/>
    <col min="5911" max="6144" width="8.88671875" style="9"/>
    <col min="6145" max="6145" width="2.6640625" style="9" customWidth="1"/>
    <col min="6146" max="6146" width="114.44140625" style="9" customWidth="1"/>
    <col min="6147" max="6147" width="0" style="9" hidden="1" customWidth="1"/>
    <col min="6148" max="6148" width="27.5546875" style="9" customWidth="1"/>
    <col min="6149" max="6149" width="20" style="9" customWidth="1"/>
    <col min="6150" max="6150" width="18.33203125" style="9" customWidth="1"/>
    <col min="6151" max="6151" width="20.109375" style="9" customWidth="1"/>
    <col min="6152" max="6152" width="10.6640625" style="9" customWidth="1"/>
    <col min="6153" max="6153" width="14.44140625" style="9" bestFit="1" customWidth="1"/>
    <col min="6154" max="6154" width="10.6640625" style="9" customWidth="1"/>
    <col min="6155" max="6155" width="12.6640625" style="9" bestFit="1" customWidth="1"/>
    <col min="6156" max="6158" width="8.44140625" style="9" customWidth="1"/>
    <col min="6159" max="6161" width="13" style="9" customWidth="1"/>
    <col min="6162" max="6165" width="8.88671875" style="9"/>
    <col min="6166" max="6166" width="8.6640625" style="9" customWidth="1"/>
    <col min="6167" max="6400" width="8.88671875" style="9"/>
    <col min="6401" max="6401" width="2.6640625" style="9" customWidth="1"/>
    <col min="6402" max="6402" width="114.44140625" style="9" customWidth="1"/>
    <col min="6403" max="6403" width="0" style="9" hidden="1" customWidth="1"/>
    <col min="6404" max="6404" width="27.5546875" style="9" customWidth="1"/>
    <col min="6405" max="6405" width="20" style="9" customWidth="1"/>
    <col min="6406" max="6406" width="18.33203125" style="9" customWidth="1"/>
    <col min="6407" max="6407" width="20.109375" style="9" customWidth="1"/>
    <col min="6408" max="6408" width="10.6640625" style="9" customWidth="1"/>
    <col min="6409" max="6409" width="14.44140625" style="9" bestFit="1" customWidth="1"/>
    <col min="6410" max="6410" width="10.6640625" style="9" customWidth="1"/>
    <col min="6411" max="6411" width="12.6640625" style="9" bestFit="1" customWidth="1"/>
    <col min="6412" max="6414" width="8.44140625" style="9" customWidth="1"/>
    <col min="6415" max="6417" width="13" style="9" customWidth="1"/>
    <col min="6418" max="6421" width="8.88671875" style="9"/>
    <col min="6422" max="6422" width="8.6640625" style="9" customWidth="1"/>
    <col min="6423" max="6656" width="8.88671875" style="9"/>
    <col min="6657" max="6657" width="2.6640625" style="9" customWidth="1"/>
    <col min="6658" max="6658" width="114.44140625" style="9" customWidth="1"/>
    <col min="6659" max="6659" width="0" style="9" hidden="1" customWidth="1"/>
    <col min="6660" max="6660" width="27.5546875" style="9" customWidth="1"/>
    <col min="6661" max="6661" width="20" style="9" customWidth="1"/>
    <col min="6662" max="6662" width="18.33203125" style="9" customWidth="1"/>
    <col min="6663" max="6663" width="20.109375" style="9" customWidth="1"/>
    <col min="6664" max="6664" width="10.6640625" style="9" customWidth="1"/>
    <col min="6665" max="6665" width="14.44140625" style="9" bestFit="1" customWidth="1"/>
    <col min="6666" max="6666" width="10.6640625" style="9" customWidth="1"/>
    <col min="6667" max="6667" width="12.6640625" style="9" bestFit="1" customWidth="1"/>
    <col min="6668" max="6670" width="8.44140625" style="9" customWidth="1"/>
    <col min="6671" max="6673" width="13" style="9" customWidth="1"/>
    <col min="6674" max="6677" width="8.88671875" style="9"/>
    <col min="6678" max="6678" width="8.6640625" style="9" customWidth="1"/>
    <col min="6679" max="6912" width="8.88671875" style="9"/>
    <col min="6913" max="6913" width="2.6640625" style="9" customWidth="1"/>
    <col min="6914" max="6914" width="114.44140625" style="9" customWidth="1"/>
    <col min="6915" max="6915" width="0" style="9" hidden="1" customWidth="1"/>
    <col min="6916" max="6916" width="27.5546875" style="9" customWidth="1"/>
    <col min="6917" max="6917" width="20" style="9" customWidth="1"/>
    <col min="6918" max="6918" width="18.33203125" style="9" customWidth="1"/>
    <col min="6919" max="6919" width="20.109375" style="9" customWidth="1"/>
    <col min="6920" max="6920" width="10.6640625" style="9" customWidth="1"/>
    <col min="6921" max="6921" width="14.44140625" style="9" bestFit="1" customWidth="1"/>
    <col min="6922" max="6922" width="10.6640625" style="9" customWidth="1"/>
    <col min="6923" max="6923" width="12.6640625" style="9" bestFit="1" customWidth="1"/>
    <col min="6924" max="6926" width="8.44140625" style="9" customWidth="1"/>
    <col min="6927" max="6929" width="13" style="9" customWidth="1"/>
    <col min="6930" max="6933" width="8.88671875" style="9"/>
    <col min="6934" max="6934" width="8.6640625" style="9" customWidth="1"/>
    <col min="6935" max="7168" width="8.88671875" style="9"/>
    <col min="7169" max="7169" width="2.6640625" style="9" customWidth="1"/>
    <col min="7170" max="7170" width="114.44140625" style="9" customWidth="1"/>
    <col min="7171" max="7171" width="0" style="9" hidden="1" customWidth="1"/>
    <col min="7172" max="7172" width="27.5546875" style="9" customWidth="1"/>
    <col min="7173" max="7173" width="20" style="9" customWidth="1"/>
    <col min="7174" max="7174" width="18.33203125" style="9" customWidth="1"/>
    <col min="7175" max="7175" width="20.109375" style="9" customWidth="1"/>
    <col min="7176" max="7176" width="10.6640625" style="9" customWidth="1"/>
    <col min="7177" max="7177" width="14.44140625" style="9" bestFit="1" customWidth="1"/>
    <col min="7178" max="7178" width="10.6640625" style="9" customWidth="1"/>
    <col min="7179" max="7179" width="12.6640625" style="9" bestFit="1" customWidth="1"/>
    <col min="7180" max="7182" width="8.44140625" style="9" customWidth="1"/>
    <col min="7183" max="7185" width="13" style="9" customWidth="1"/>
    <col min="7186" max="7189" width="8.88671875" style="9"/>
    <col min="7190" max="7190" width="8.6640625" style="9" customWidth="1"/>
    <col min="7191" max="7424" width="8.88671875" style="9"/>
    <col min="7425" max="7425" width="2.6640625" style="9" customWidth="1"/>
    <col min="7426" max="7426" width="114.44140625" style="9" customWidth="1"/>
    <col min="7427" max="7427" width="0" style="9" hidden="1" customWidth="1"/>
    <col min="7428" max="7428" width="27.5546875" style="9" customWidth="1"/>
    <col min="7429" max="7429" width="20" style="9" customWidth="1"/>
    <col min="7430" max="7430" width="18.33203125" style="9" customWidth="1"/>
    <col min="7431" max="7431" width="20.109375" style="9" customWidth="1"/>
    <col min="7432" max="7432" width="10.6640625" style="9" customWidth="1"/>
    <col min="7433" max="7433" width="14.44140625" style="9" bestFit="1" customWidth="1"/>
    <col min="7434" max="7434" width="10.6640625" style="9" customWidth="1"/>
    <col min="7435" max="7435" width="12.6640625" style="9" bestFit="1" customWidth="1"/>
    <col min="7436" max="7438" width="8.44140625" style="9" customWidth="1"/>
    <col min="7439" max="7441" width="13" style="9" customWidth="1"/>
    <col min="7442" max="7445" width="8.88671875" style="9"/>
    <col min="7446" max="7446" width="8.6640625" style="9" customWidth="1"/>
    <col min="7447" max="7680" width="8.88671875" style="9"/>
    <col min="7681" max="7681" width="2.6640625" style="9" customWidth="1"/>
    <col min="7682" max="7682" width="114.44140625" style="9" customWidth="1"/>
    <col min="7683" max="7683" width="0" style="9" hidden="1" customWidth="1"/>
    <col min="7684" max="7684" width="27.5546875" style="9" customWidth="1"/>
    <col min="7685" max="7685" width="20" style="9" customWidth="1"/>
    <col min="7686" max="7686" width="18.33203125" style="9" customWidth="1"/>
    <col min="7687" max="7687" width="20.109375" style="9" customWidth="1"/>
    <col min="7688" max="7688" width="10.6640625" style="9" customWidth="1"/>
    <col min="7689" max="7689" width="14.44140625" style="9" bestFit="1" customWidth="1"/>
    <col min="7690" max="7690" width="10.6640625" style="9" customWidth="1"/>
    <col min="7691" max="7691" width="12.6640625" style="9" bestFit="1" customWidth="1"/>
    <col min="7692" max="7694" width="8.44140625" style="9" customWidth="1"/>
    <col min="7695" max="7697" width="13" style="9" customWidth="1"/>
    <col min="7698" max="7701" width="8.88671875" style="9"/>
    <col min="7702" max="7702" width="8.6640625" style="9" customWidth="1"/>
    <col min="7703" max="7936" width="8.88671875" style="9"/>
    <col min="7937" max="7937" width="2.6640625" style="9" customWidth="1"/>
    <col min="7938" max="7938" width="114.44140625" style="9" customWidth="1"/>
    <col min="7939" max="7939" width="0" style="9" hidden="1" customWidth="1"/>
    <col min="7940" max="7940" width="27.5546875" style="9" customWidth="1"/>
    <col min="7941" max="7941" width="20" style="9" customWidth="1"/>
    <col min="7942" max="7942" width="18.33203125" style="9" customWidth="1"/>
    <col min="7943" max="7943" width="20.109375" style="9" customWidth="1"/>
    <col min="7944" max="7944" width="10.6640625" style="9" customWidth="1"/>
    <col min="7945" max="7945" width="14.44140625" style="9" bestFit="1" customWidth="1"/>
    <col min="7946" max="7946" width="10.6640625" style="9" customWidth="1"/>
    <col min="7947" max="7947" width="12.6640625" style="9" bestFit="1" customWidth="1"/>
    <col min="7948" max="7950" width="8.44140625" style="9" customWidth="1"/>
    <col min="7951" max="7953" width="13" style="9" customWidth="1"/>
    <col min="7954" max="7957" width="8.88671875" style="9"/>
    <col min="7958" max="7958" width="8.6640625" style="9" customWidth="1"/>
    <col min="7959" max="8192" width="8.88671875" style="9"/>
    <col min="8193" max="8193" width="2.6640625" style="9" customWidth="1"/>
    <col min="8194" max="8194" width="114.44140625" style="9" customWidth="1"/>
    <col min="8195" max="8195" width="0" style="9" hidden="1" customWidth="1"/>
    <col min="8196" max="8196" width="27.5546875" style="9" customWidth="1"/>
    <col min="8197" max="8197" width="20" style="9" customWidth="1"/>
    <col min="8198" max="8198" width="18.33203125" style="9" customWidth="1"/>
    <col min="8199" max="8199" width="20.109375" style="9" customWidth="1"/>
    <col min="8200" max="8200" width="10.6640625" style="9" customWidth="1"/>
    <col min="8201" max="8201" width="14.44140625" style="9" bestFit="1" customWidth="1"/>
    <col min="8202" max="8202" width="10.6640625" style="9" customWidth="1"/>
    <col min="8203" max="8203" width="12.6640625" style="9" bestFit="1" customWidth="1"/>
    <col min="8204" max="8206" width="8.44140625" style="9" customWidth="1"/>
    <col min="8207" max="8209" width="13" style="9" customWidth="1"/>
    <col min="8210" max="8213" width="8.88671875" style="9"/>
    <col min="8214" max="8214" width="8.6640625" style="9" customWidth="1"/>
    <col min="8215" max="8448" width="8.88671875" style="9"/>
    <col min="8449" max="8449" width="2.6640625" style="9" customWidth="1"/>
    <col min="8450" max="8450" width="114.44140625" style="9" customWidth="1"/>
    <col min="8451" max="8451" width="0" style="9" hidden="1" customWidth="1"/>
    <col min="8452" max="8452" width="27.5546875" style="9" customWidth="1"/>
    <col min="8453" max="8453" width="20" style="9" customWidth="1"/>
    <col min="8454" max="8454" width="18.33203125" style="9" customWidth="1"/>
    <col min="8455" max="8455" width="20.109375" style="9" customWidth="1"/>
    <col min="8456" max="8456" width="10.6640625" style="9" customWidth="1"/>
    <col min="8457" max="8457" width="14.44140625" style="9" bestFit="1" customWidth="1"/>
    <col min="8458" max="8458" width="10.6640625" style="9" customWidth="1"/>
    <col min="8459" max="8459" width="12.6640625" style="9" bestFit="1" customWidth="1"/>
    <col min="8460" max="8462" width="8.44140625" style="9" customWidth="1"/>
    <col min="8463" max="8465" width="13" style="9" customWidth="1"/>
    <col min="8466" max="8469" width="8.88671875" style="9"/>
    <col min="8470" max="8470" width="8.6640625" style="9" customWidth="1"/>
    <col min="8471" max="8704" width="8.88671875" style="9"/>
    <col min="8705" max="8705" width="2.6640625" style="9" customWidth="1"/>
    <col min="8706" max="8706" width="114.44140625" style="9" customWidth="1"/>
    <col min="8707" max="8707" width="0" style="9" hidden="1" customWidth="1"/>
    <col min="8708" max="8708" width="27.5546875" style="9" customWidth="1"/>
    <col min="8709" max="8709" width="20" style="9" customWidth="1"/>
    <col min="8710" max="8710" width="18.33203125" style="9" customWidth="1"/>
    <col min="8711" max="8711" width="20.109375" style="9" customWidth="1"/>
    <col min="8712" max="8712" width="10.6640625" style="9" customWidth="1"/>
    <col min="8713" max="8713" width="14.44140625" style="9" bestFit="1" customWidth="1"/>
    <col min="8714" max="8714" width="10.6640625" style="9" customWidth="1"/>
    <col min="8715" max="8715" width="12.6640625" style="9" bestFit="1" customWidth="1"/>
    <col min="8716" max="8718" width="8.44140625" style="9" customWidth="1"/>
    <col min="8719" max="8721" width="13" style="9" customWidth="1"/>
    <col min="8722" max="8725" width="8.88671875" style="9"/>
    <col min="8726" max="8726" width="8.6640625" style="9" customWidth="1"/>
    <col min="8727" max="8960" width="8.88671875" style="9"/>
    <col min="8961" max="8961" width="2.6640625" style="9" customWidth="1"/>
    <col min="8962" max="8962" width="114.44140625" style="9" customWidth="1"/>
    <col min="8963" max="8963" width="0" style="9" hidden="1" customWidth="1"/>
    <col min="8964" max="8964" width="27.5546875" style="9" customWidth="1"/>
    <col min="8965" max="8965" width="20" style="9" customWidth="1"/>
    <col min="8966" max="8966" width="18.33203125" style="9" customWidth="1"/>
    <col min="8967" max="8967" width="20.109375" style="9" customWidth="1"/>
    <col min="8968" max="8968" width="10.6640625" style="9" customWidth="1"/>
    <col min="8969" max="8969" width="14.44140625" style="9" bestFit="1" customWidth="1"/>
    <col min="8970" max="8970" width="10.6640625" style="9" customWidth="1"/>
    <col min="8971" max="8971" width="12.6640625" style="9" bestFit="1" customWidth="1"/>
    <col min="8972" max="8974" width="8.44140625" style="9" customWidth="1"/>
    <col min="8975" max="8977" width="13" style="9" customWidth="1"/>
    <col min="8978" max="8981" width="8.88671875" style="9"/>
    <col min="8982" max="8982" width="8.6640625" style="9" customWidth="1"/>
    <col min="8983" max="9216" width="8.88671875" style="9"/>
    <col min="9217" max="9217" width="2.6640625" style="9" customWidth="1"/>
    <col min="9218" max="9218" width="114.44140625" style="9" customWidth="1"/>
    <col min="9219" max="9219" width="0" style="9" hidden="1" customWidth="1"/>
    <col min="9220" max="9220" width="27.5546875" style="9" customWidth="1"/>
    <col min="9221" max="9221" width="20" style="9" customWidth="1"/>
    <col min="9222" max="9222" width="18.33203125" style="9" customWidth="1"/>
    <col min="9223" max="9223" width="20.109375" style="9" customWidth="1"/>
    <col min="9224" max="9224" width="10.6640625" style="9" customWidth="1"/>
    <col min="9225" max="9225" width="14.44140625" style="9" bestFit="1" customWidth="1"/>
    <col min="9226" max="9226" width="10.6640625" style="9" customWidth="1"/>
    <col min="9227" max="9227" width="12.6640625" style="9" bestFit="1" customWidth="1"/>
    <col min="9228" max="9230" width="8.44140625" style="9" customWidth="1"/>
    <col min="9231" max="9233" width="13" style="9" customWidth="1"/>
    <col min="9234" max="9237" width="8.88671875" style="9"/>
    <col min="9238" max="9238" width="8.6640625" style="9" customWidth="1"/>
    <col min="9239" max="9472" width="8.88671875" style="9"/>
    <col min="9473" max="9473" width="2.6640625" style="9" customWidth="1"/>
    <col min="9474" max="9474" width="114.44140625" style="9" customWidth="1"/>
    <col min="9475" max="9475" width="0" style="9" hidden="1" customWidth="1"/>
    <col min="9476" max="9476" width="27.5546875" style="9" customWidth="1"/>
    <col min="9477" max="9477" width="20" style="9" customWidth="1"/>
    <col min="9478" max="9478" width="18.33203125" style="9" customWidth="1"/>
    <col min="9479" max="9479" width="20.109375" style="9" customWidth="1"/>
    <col min="9480" max="9480" width="10.6640625" style="9" customWidth="1"/>
    <col min="9481" max="9481" width="14.44140625" style="9" bestFit="1" customWidth="1"/>
    <col min="9482" max="9482" width="10.6640625" style="9" customWidth="1"/>
    <col min="9483" max="9483" width="12.6640625" style="9" bestFit="1" customWidth="1"/>
    <col min="9484" max="9486" width="8.44140625" style="9" customWidth="1"/>
    <col min="9487" max="9489" width="13" style="9" customWidth="1"/>
    <col min="9490" max="9493" width="8.88671875" style="9"/>
    <col min="9494" max="9494" width="8.6640625" style="9" customWidth="1"/>
    <col min="9495" max="9728" width="8.88671875" style="9"/>
    <col min="9729" max="9729" width="2.6640625" style="9" customWidth="1"/>
    <col min="9730" max="9730" width="114.44140625" style="9" customWidth="1"/>
    <col min="9731" max="9731" width="0" style="9" hidden="1" customWidth="1"/>
    <col min="9732" max="9732" width="27.5546875" style="9" customWidth="1"/>
    <col min="9733" max="9733" width="20" style="9" customWidth="1"/>
    <col min="9734" max="9734" width="18.33203125" style="9" customWidth="1"/>
    <col min="9735" max="9735" width="20.109375" style="9" customWidth="1"/>
    <col min="9736" max="9736" width="10.6640625" style="9" customWidth="1"/>
    <col min="9737" max="9737" width="14.44140625" style="9" bestFit="1" customWidth="1"/>
    <col min="9738" max="9738" width="10.6640625" style="9" customWidth="1"/>
    <col min="9739" max="9739" width="12.6640625" style="9" bestFit="1" customWidth="1"/>
    <col min="9740" max="9742" width="8.44140625" style="9" customWidth="1"/>
    <col min="9743" max="9745" width="13" style="9" customWidth="1"/>
    <col min="9746" max="9749" width="8.88671875" style="9"/>
    <col min="9750" max="9750" width="8.6640625" style="9" customWidth="1"/>
    <col min="9751" max="9984" width="8.88671875" style="9"/>
    <col min="9985" max="9985" width="2.6640625" style="9" customWidth="1"/>
    <col min="9986" max="9986" width="114.44140625" style="9" customWidth="1"/>
    <col min="9987" max="9987" width="0" style="9" hidden="1" customWidth="1"/>
    <col min="9988" max="9988" width="27.5546875" style="9" customWidth="1"/>
    <col min="9989" max="9989" width="20" style="9" customWidth="1"/>
    <col min="9990" max="9990" width="18.33203125" style="9" customWidth="1"/>
    <col min="9991" max="9991" width="20.109375" style="9" customWidth="1"/>
    <col min="9992" max="9992" width="10.6640625" style="9" customWidth="1"/>
    <col min="9993" max="9993" width="14.44140625" style="9" bestFit="1" customWidth="1"/>
    <col min="9994" max="9994" width="10.6640625" style="9" customWidth="1"/>
    <col min="9995" max="9995" width="12.6640625" style="9" bestFit="1" customWidth="1"/>
    <col min="9996" max="9998" width="8.44140625" style="9" customWidth="1"/>
    <col min="9999" max="10001" width="13" style="9" customWidth="1"/>
    <col min="10002" max="10005" width="8.88671875" style="9"/>
    <col min="10006" max="10006" width="8.6640625" style="9" customWidth="1"/>
    <col min="10007" max="10240" width="8.88671875" style="9"/>
    <col min="10241" max="10241" width="2.6640625" style="9" customWidth="1"/>
    <col min="10242" max="10242" width="114.44140625" style="9" customWidth="1"/>
    <col min="10243" max="10243" width="0" style="9" hidden="1" customWidth="1"/>
    <col min="10244" max="10244" width="27.5546875" style="9" customWidth="1"/>
    <col min="10245" max="10245" width="20" style="9" customWidth="1"/>
    <col min="10246" max="10246" width="18.33203125" style="9" customWidth="1"/>
    <col min="10247" max="10247" width="20.109375" style="9" customWidth="1"/>
    <col min="10248" max="10248" width="10.6640625" style="9" customWidth="1"/>
    <col min="10249" max="10249" width="14.44140625" style="9" bestFit="1" customWidth="1"/>
    <col min="10250" max="10250" width="10.6640625" style="9" customWidth="1"/>
    <col min="10251" max="10251" width="12.6640625" style="9" bestFit="1" customWidth="1"/>
    <col min="10252" max="10254" width="8.44140625" style="9" customWidth="1"/>
    <col min="10255" max="10257" width="13" style="9" customWidth="1"/>
    <col min="10258" max="10261" width="8.88671875" style="9"/>
    <col min="10262" max="10262" width="8.6640625" style="9" customWidth="1"/>
    <col min="10263" max="10496" width="8.88671875" style="9"/>
    <col min="10497" max="10497" width="2.6640625" style="9" customWidth="1"/>
    <col min="10498" max="10498" width="114.44140625" style="9" customWidth="1"/>
    <col min="10499" max="10499" width="0" style="9" hidden="1" customWidth="1"/>
    <col min="10500" max="10500" width="27.5546875" style="9" customWidth="1"/>
    <col min="10501" max="10501" width="20" style="9" customWidth="1"/>
    <col min="10502" max="10502" width="18.33203125" style="9" customWidth="1"/>
    <col min="10503" max="10503" width="20.109375" style="9" customWidth="1"/>
    <col min="10504" max="10504" width="10.6640625" style="9" customWidth="1"/>
    <col min="10505" max="10505" width="14.44140625" style="9" bestFit="1" customWidth="1"/>
    <col min="10506" max="10506" width="10.6640625" style="9" customWidth="1"/>
    <col min="10507" max="10507" width="12.6640625" style="9" bestFit="1" customWidth="1"/>
    <col min="10508" max="10510" width="8.44140625" style="9" customWidth="1"/>
    <col min="10511" max="10513" width="13" style="9" customWidth="1"/>
    <col min="10514" max="10517" width="8.88671875" style="9"/>
    <col min="10518" max="10518" width="8.6640625" style="9" customWidth="1"/>
    <col min="10519" max="10752" width="8.88671875" style="9"/>
    <col min="10753" max="10753" width="2.6640625" style="9" customWidth="1"/>
    <col min="10754" max="10754" width="114.44140625" style="9" customWidth="1"/>
    <col min="10755" max="10755" width="0" style="9" hidden="1" customWidth="1"/>
    <col min="10756" max="10756" width="27.5546875" style="9" customWidth="1"/>
    <col min="10757" max="10757" width="20" style="9" customWidth="1"/>
    <col min="10758" max="10758" width="18.33203125" style="9" customWidth="1"/>
    <col min="10759" max="10759" width="20.109375" style="9" customWidth="1"/>
    <col min="10760" max="10760" width="10.6640625" style="9" customWidth="1"/>
    <col min="10761" max="10761" width="14.44140625" style="9" bestFit="1" customWidth="1"/>
    <col min="10762" max="10762" width="10.6640625" style="9" customWidth="1"/>
    <col min="10763" max="10763" width="12.6640625" style="9" bestFit="1" customWidth="1"/>
    <col min="10764" max="10766" width="8.44140625" style="9" customWidth="1"/>
    <col min="10767" max="10769" width="13" style="9" customWidth="1"/>
    <col min="10770" max="10773" width="8.88671875" style="9"/>
    <col min="10774" max="10774" width="8.6640625" style="9" customWidth="1"/>
    <col min="10775" max="11008" width="8.88671875" style="9"/>
    <col min="11009" max="11009" width="2.6640625" style="9" customWidth="1"/>
    <col min="11010" max="11010" width="114.44140625" style="9" customWidth="1"/>
    <col min="11011" max="11011" width="0" style="9" hidden="1" customWidth="1"/>
    <col min="11012" max="11012" width="27.5546875" style="9" customWidth="1"/>
    <col min="11013" max="11013" width="20" style="9" customWidth="1"/>
    <col min="11014" max="11014" width="18.33203125" style="9" customWidth="1"/>
    <col min="11015" max="11015" width="20.109375" style="9" customWidth="1"/>
    <col min="11016" max="11016" width="10.6640625" style="9" customWidth="1"/>
    <col min="11017" max="11017" width="14.44140625" style="9" bestFit="1" customWidth="1"/>
    <col min="11018" max="11018" width="10.6640625" style="9" customWidth="1"/>
    <col min="11019" max="11019" width="12.6640625" style="9" bestFit="1" customWidth="1"/>
    <col min="11020" max="11022" width="8.44140625" style="9" customWidth="1"/>
    <col min="11023" max="11025" width="13" style="9" customWidth="1"/>
    <col min="11026" max="11029" width="8.88671875" style="9"/>
    <col min="11030" max="11030" width="8.6640625" style="9" customWidth="1"/>
    <col min="11031" max="11264" width="8.88671875" style="9"/>
    <col min="11265" max="11265" width="2.6640625" style="9" customWidth="1"/>
    <col min="11266" max="11266" width="114.44140625" style="9" customWidth="1"/>
    <col min="11267" max="11267" width="0" style="9" hidden="1" customWidth="1"/>
    <col min="11268" max="11268" width="27.5546875" style="9" customWidth="1"/>
    <col min="11269" max="11269" width="20" style="9" customWidth="1"/>
    <col min="11270" max="11270" width="18.33203125" style="9" customWidth="1"/>
    <col min="11271" max="11271" width="20.109375" style="9" customWidth="1"/>
    <col min="11272" max="11272" width="10.6640625" style="9" customWidth="1"/>
    <col min="11273" max="11273" width="14.44140625" style="9" bestFit="1" customWidth="1"/>
    <col min="11274" max="11274" width="10.6640625" style="9" customWidth="1"/>
    <col min="11275" max="11275" width="12.6640625" style="9" bestFit="1" customWidth="1"/>
    <col min="11276" max="11278" width="8.44140625" style="9" customWidth="1"/>
    <col min="11279" max="11281" width="13" style="9" customWidth="1"/>
    <col min="11282" max="11285" width="8.88671875" style="9"/>
    <col min="11286" max="11286" width="8.6640625" style="9" customWidth="1"/>
    <col min="11287" max="11520" width="8.88671875" style="9"/>
    <col min="11521" max="11521" width="2.6640625" style="9" customWidth="1"/>
    <col min="11522" max="11522" width="114.44140625" style="9" customWidth="1"/>
    <col min="11523" max="11523" width="0" style="9" hidden="1" customWidth="1"/>
    <col min="11524" max="11524" width="27.5546875" style="9" customWidth="1"/>
    <col min="11525" max="11525" width="20" style="9" customWidth="1"/>
    <col min="11526" max="11526" width="18.33203125" style="9" customWidth="1"/>
    <col min="11527" max="11527" width="20.109375" style="9" customWidth="1"/>
    <col min="11528" max="11528" width="10.6640625" style="9" customWidth="1"/>
    <col min="11529" max="11529" width="14.44140625" style="9" bestFit="1" customWidth="1"/>
    <col min="11530" max="11530" width="10.6640625" style="9" customWidth="1"/>
    <col min="11531" max="11531" width="12.6640625" style="9" bestFit="1" customWidth="1"/>
    <col min="11532" max="11534" width="8.44140625" style="9" customWidth="1"/>
    <col min="11535" max="11537" width="13" style="9" customWidth="1"/>
    <col min="11538" max="11541" width="8.88671875" style="9"/>
    <col min="11542" max="11542" width="8.6640625" style="9" customWidth="1"/>
    <col min="11543" max="11776" width="8.88671875" style="9"/>
    <col min="11777" max="11777" width="2.6640625" style="9" customWidth="1"/>
    <col min="11778" max="11778" width="114.44140625" style="9" customWidth="1"/>
    <col min="11779" max="11779" width="0" style="9" hidden="1" customWidth="1"/>
    <col min="11780" max="11780" width="27.5546875" style="9" customWidth="1"/>
    <col min="11781" max="11781" width="20" style="9" customWidth="1"/>
    <col min="11782" max="11782" width="18.33203125" style="9" customWidth="1"/>
    <col min="11783" max="11783" width="20.109375" style="9" customWidth="1"/>
    <col min="11784" max="11784" width="10.6640625" style="9" customWidth="1"/>
    <col min="11785" max="11785" width="14.44140625" style="9" bestFit="1" customWidth="1"/>
    <col min="11786" max="11786" width="10.6640625" style="9" customWidth="1"/>
    <col min="11787" max="11787" width="12.6640625" style="9" bestFit="1" customWidth="1"/>
    <col min="11788" max="11790" width="8.44140625" style="9" customWidth="1"/>
    <col min="11791" max="11793" width="13" style="9" customWidth="1"/>
    <col min="11794" max="11797" width="8.88671875" style="9"/>
    <col min="11798" max="11798" width="8.6640625" style="9" customWidth="1"/>
    <col min="11799" max="12032" width="8.88671875" style="9"/>
    <col min="12033" max="12033" width="2.6640625" style="9" customWidth="1"/>
    <col min="12034" max="12034" width="114.44140625" style="9" customWidth="1"/>
    <col min="12035" max="12035" width="0" style="9" hidden="1" customWidth="1"/>
    <col min="12036" max="12036" width="27.5546875" style="9" customWidth="1"/>
    <col min="12037" max="12037" width="20" style="9" customWidth="1"/>
    <col min="12038" max="12038" width="18.33203125" style="9" customWidth="1"/>
    <col min="12039" max="12039" width="20.109375" style="9" customWidth="1"/>
    <col min="12040" max="12040" width="10.6640625" style="9" customWidth="1"/>
    <col min="12041" max="12041" width="14.44140625" style="9" bestFit="1" customWidth="1"/>
    <col min="12042" max="12042" width="10.6640625" style="9" customWidth="1"/>
    <col min="12043" max="12043" width="12.6640625" style="9" bestFit="1" customWidth="1"/>
    <col min="12044" max="12046" width="8.44140625" style="9" customWidth="1"/>
    <col min="12047" max="12049" width="13" style="9" customWidth="1"/>
    <col min="12050" max="12053" width="8.88671875" style="9"/>
    <col min="12054" max="12054" width="8.6640625" style="9" customWidth="1"/>
    <col min="12055" max="12288" width="8.88671875" style="9"/>
    <col min="12289" max="12289" width="2.6640625" style="9" customWidth="1"/>
    <col min="12290" max="12290" width="114.44140625" style="9" customWidth="1"/>
    <col min="12291" max="12291" width="0" style="9" hidden="1" customWidth="1"/>
    <col min="12292" max="12292" width="27.5546875" style="9" customWidth="1"/>
    <col min="12293" max="12293" width="20" style="9" customWidth="1"/>
    <col min="12294" max="12294" width="18.33203125" style="9" customWidth="1"/>
    <col min="12295" max="12295" width="20.109375" style="9" customWidth="1"/>
    <col min="12296" max="12296" width="10.6640625" style="9" customWidth="1"/>
    <col min="12297" max="12297" width="14.44140625" style="9" bestFit="1" customWidth="1"/>
    <col min="12298" max="12298" width="10.6640625" style="9" customWidth="1"/>
    <col min="12299" max="12299" width="12.6640625" style="9" bestFit="1" customWidth="1"/>
    <col min="12300" max="12302" width="8.44140625" style="9" customWidth="1"/>
    <col min="12303" max="12305" width="13" style="9" customWidth="1"/>
    <col min="12306" max="12309" width="8.88671875" style="9"/>
    <col min="12310" max="12310" width="8.6640625" style="9" customWidth="1"/>
    <col min="12311" max="12544" width="8.88671875" style="9"/>
    <col min="12545" max="12545" width="2.6640625" style="9" customWidth="1"/>
    <col min="12546" max="12546" width="114.44140625" style="9" customWidth="1"/>
    <col min="12547" max="12547" width="0" style="9" hidden="1" customWidth="1"/>
    <col min="12548" max="12548" width="27.5546875" style="9" customWidth="1"/>
    <col min="12549" max="12549" width="20" style="9" customWidth="1"/>
    <col min="12550" max="12550" width="18.33203125" style="9" customWidth="1"/>
    <col min="12551" max="12551" width="20.109375" style="9" customWidth="1"/>
    <col min="12552" max="12552" width="10.6640625" style="9" customWidth="1"/>
    <col min="12553" max="12553" width="14.44140625" style="9" bestFit="1" customWidth="1"/>
    <col min="12554" max="12554" width="10.6640625" style="9" customWidth="1"/>
    <col min="12555" max="12555" width="12.6640625" style="9" bestFit="1" customWidth="1"/>
    <col min="12556" max="12558" width="8.44140625" style="9" customWidth="1"/>
    <col min="12559" max="12561" width="13" style="9" customWidth="1"/>
    <col min="12562" max="12565" width="8.88671875" style="9"/>
    <col min="12566" max="12566" width="8.6640625" style="9" customWidth="1"/>
    <col min="12567" max="12800" width="8.88671875" style="9"/>
    <col min="12801" max="12801" width="2.6640625" style="9" customWidth="1"/>
    <col min="12802" max="12802" width="114.44140625" style="9" customWidth="1"/>
    <col min="12803" max="12803" width="0" style="9" hidden="1" customWidth="1"/>
    <col min="12804" max="12804" width="27.5546875" style="9" customWidth="1"/>
    <col min="12805" max="12805" width="20" style="9" customWidth="1"/>
    <col min="12806" max="12806" width="18.33203125" style="9" customWidth="1"/>
    <col min="12807" max="12807" width="20.109375" style="9" customWidth="1"/>
    <col min="12808" max="12808" width="10.6640625" style="9" customWidth="1"/>
    <col min="12809" max="12809" width="14.44140625" style="9" bestFit="1" customWidth="1"/>
    <col min="12810" max="12810" width="10.6640625" style="9" customWidth="1"/>
    <col min="12811" max="12811" width="12.6640625" style="9" bestFit="1" customWidth="1"/>
    <col min="12812" max="12814" width="8.44140625" style="9" customWidth="1"/>
    <col min="12815" max="12817" width="13" style="9" customWidth="1"/>
    <col min="12818" max="12821" width="8.88671875" style="9"/>
    <col min="12822" max="12822" width="8.6640625" style="9" customWidth="1"/>
    <col min="12823" max="13056" width="8.88671875" style="9"/>
    <col min="13057" max="13057" width="2.6640625" style="9" customWidth="1"/>
    <col min="13058" max="13058" width="114.44140625" style="9" customWidth="1"/>
    <col min="13059" max="13059" width="0" style="9" hidden="1" customWidth="1"/>
    <col min="13060" max="13060" width="27.5546875" style="9" customWidth="1"/>
    <col min="13061" max="13061" width="20" style="9" customWidth="1"/>
    <col min="13062" max="13062" width="18.33203125" style="9" customWidth="1"/>
    <col min="13063" max="13063" width="20.109375" style="9" customWidth="1"/>
    <col min="13064" max="13064" width="10.6640625" style="9" customWidth="1"/>
    <col min="13065" max="13065" width="14.44140625" style="9" bestFit="1" customWidth="1"/>
    <col min="13066" max="13066" width="10.6640625" style="9" customWidth="1"/>
    <col min="13067" max="13067" width="12.6640625" style="9" bestFit="1" customWidth="1"/>
    <col min="13068" max="13070" width="8.44140625" style="9" customWidth="1"/>
    <col min="13071" max="13073" width="13" style="9" customWidth="1"/>
    <col min="13074" max="13077" width="8.88671875" style="9"/>
    <col min="13078" max="13078" width="8.6640625" style="9" customWidth="1"/>
    <col min="13079" max="13312" width="8.88671875" style="9"/>
    <col min="13313" max="13313" width="2.6640625" style="9" customWidth="1"/>
    <col min="13314" max="13314" width="114.44140625" style="9" customWidth="1"/>
    <col min="13315" max="13315" width="0" style="9" hidden="1" customWidth="1"/>
    <col min="13316" max="13316" width="27.5546875" style="9" customWidth="1"/>
    <col min="13317" max="13317" width="20" style="9" customWidth="1"/>
    <col min="13318" max="13318" width="18.33203125" style="9" customWidth="1"/>
    <col min="13319" max="13319" width="20.109375" style="9" customWidth="1"/>
    <col min="13320" max="13320" width="10.6640625" style="9" customWidth="1"/>
    <col min="13321" max="13321" width="14.44140625" style="9" bestFit="1" customWidth="1"/>
    <col min="13322" max="13322" width="10.6640625" style="9" customWidth="1"/>
    <col min="13323" max="13323" width="12.6640625" style="9" bestFit="1" customWidth="1"/>
    <col min="13324" max="13326" width="8.44140625" style="9" customWidth="1"/>
    <col min="13327" max="13329" width="13" style="9" customWidth="1"/>
    <col min="13330" max="13333" width="8.88671875" style="9"/>
    <col min="13334" max="13334" width="8.6640625" style="9" customWidth="1"/>
    <col min="13335" max="13568" width="8.88671875" style="9"/>
    <col min="13569" max="13569" width="2.6640625" style="9" customWidth="1"/>
    <col min="13570" max="13570" width="114.44140625" style="9" customWidth="1"/>
    <col min="13571" max="13571" width="0" style="9" hidden="1" customWidth="1"/>
    <col min="13572" max="13572" width="27.5546875" style="9" customWidth="1"/>
    <col min="13573" max="13573" width="20" style="9" customWidth="1"/>
    <col min="13574" max="13574" width="18.33203125" style="9" customWidth="1"/>
    <col min="13575" max="13575" width="20.109375" style="9" customWidth="1"/>
    <col min="13576" max="13576" width="10.6640625" style="9" customWidth="1"/>
    <col min="13577" max="13577" width="14.44140625" style="9" bestFit="1" customWidth="1"/>
    <col min="13578" max="13578" width="10.6640625" style="9" customWidth="1"/>
    <col min="13579" max="13579" width="12.6640625" style="9" bestFit="1" customWidth="1"/>
    <col min="13580" max="13582" width="8.44140625" style="9" customWidth="1"/>
    <col min="13583" max="13585" width="13" style="9" customWidth="1"/>
    <col min="13586" max="13589" width="8.88671875" style="9"/>
    <col min="13590" max="13590" width="8.6640625" style="9" customWidth="1"/>
    <col min="13591" max="13824" width="8.88671875" style="9"/>
    <col min="13825" max="13825" width="2.6640625" style="9" customWidth="1"/>
    <col min="13826" max="13826" width="114.44140625" style="9" customWidth="1"/>
    <col min="13827" max="13827" width="0" style="9" hidden="1" customWidth="1"/>
    <col min="13828" max="13828" width="27.5546875" style="9" customWidth="1"/>
    <col min="13829" max="13829" width="20" style="9" customWidth="1"/>
    <col min="13830" max="13830" width="18.33203125" style="9" customWidth="1"/>
    <col min="13831" max="13831" width="20.109375" style="9" customWidth="1"/>
    <col min="13832" max="13832" width="10.6640625" style="9" customWidth="1"/>
    <col min="13833" max="13833" width="14.44140625" style="9" bestFit="1" customWidth="1"/>
    <col min="13834" max="13834" width="10.6640625" style="9" customWidth="1"/>
    <col min="13835" max="13835" width="12.6640625" style="9" bestFit="1" customWidth="1"/>
    <col min="13836" max="13838" width="8.44140625" style="9" customWidth="1"/>
    <col min="13839" max="13841" width="13" style="9" customWidth="1"/>
    <col min="13842" max="13845" width="8.88671875" style="9"/>
    <col min="13846" max="13846" width="8.6640625" style="9" customWidth="1"/>
    <col min="13847" max="14080" width="8.88671875" style="9"/>
    <col min="14081" max="14081" width="2.6640625" style="9" customWidth="1"/>
    <col min="14082" max="14082" width="114.44140625" style="9" customWidth="1"/>
    <col min="14083" max="14083" width="0" style="9" hidden="1" customWidth="1"/>
    <col min="14084" max="14084" width="27.5546875" style="9" customWidth="1"/>
    <col min="14085" max="14085" width="20" style="9" customWidth="1"/>
    <col min="14086" max="14086" width="18.33203125" style="9" customWidth="1"/>
    <col min="14087" max="14087" width="20.109375" style="9" customWidth="1"/>
    <col min="14088" max="14088" width="10.6640625" style="9" customWidth="1"/>
    <col min="14089" max="14089" width="14.44140625" style="9" bestFit="1" customWidth="1"/>
    <col min="14090" max="14090" width="10.6640625" style="9" customWidth="1"/>
    <col min="14091" max="14091" width="12.6640625" style="9" bestFit="1" customWidth="1"/>
    <col min="14092" max="14094" width="8.44140625" style="9" customWidth="1"/>
    <col min="14095" max="14097" width="13" style="9" customWidth="1"/>
    <col min="14098" max="14101" width="8.88671875" style="9"/>
    <col min="14102" max="14102" width="8.6640625" style="9" customWidth="1"/>
    <col min="14103" max="14336" width="8.88671875" style="9"/>
    <col min="14337" max="14337" width="2.6640625" style="9" customWidth="1"/>
    <col min="14338" max="14338" width="114.44140625" style="9" customWidth="1"/>
    <col min="14339" max="14339" width="0" style="9" hidden="1" customWidth="1"/>
    <col min="14340" max="14340" width="27.5546875" style="9" customWidth="1"/>
    <col min="14341" max="14341" width="20" style="9" customWidth="1"/>
    <col min="14342" max="14342" width="18.33203125" style="9" customWidth="1"/>
    <col min="14343" max="14343" width="20.109375" style="9" customWidth="1"/>
    <col min="14344" max="14344" width="10.6640625" style="9" customWidth="1"/>
    <col min="14345" max="14345" width="14.44140625" style="9" bestFit="1" customWidth="1"/>
    <col min="14346" max="14346" width="10.6640625" style="9" customWidth="1"/>
    <col min="14347" max="14347" width="12.6640625" style="9" bestFit="1" customWidth="1"/>
    <col min="14348" max="14350" width="8.44140625" style="9" customWidth="1"/>
    <col min="14351" max="14353" width="13" style="9" customWidth="1"/>
    <col min="14354" max="14357" width="8.88671875" style="9"/>
    <col min="14358" max="14358" width="8.6640625" style="9" customWidth="1"/>
    <col min="14359" max="14592" width="8.88671875" style="9"/>
    <col min="14593" max="14593" width="2.6640625" style="9" customWidth="1"/>
    <col min="14594" max="14594" width="114.44140625" style="9" customWidth="1"/>
    <col min="14595" max="14595" width="0" style="9" hidden="1" customWidth="1"/>
    <col min="14596" max="14596" width="27.5546875" style="9" customWidth="1"/>
    <col min="14597" max="14597" width="20" style="9" customWidth="1"/>
    <col min="14598" max="14598" width="18.33203125" style="9" customWidth="1"/>
    <col min="14599" max="14599" width="20.109375" style="9" customWidth="1"/>
    <col min="14600" max="14600" width="10.6640625" style="9" customWidth="1"/>
    <col min="14601" max="14601" width="14.44140625" style="9" bestFit="1" customWidth="1"/>
    <col min="14602" max="14602" width="10.6640625" style="9" customWidth="1"/>
    <col min="14603" max="14603" width="12.6640625" style="9" bestFit="1" customWidth="1"/>
    <col min="14604" max="14606" width="8.44140625" style="9" customWidth="1"/>
    <col min="14607" max="14609" width="13" style="9" customWidth="1"/>
    <col min="14610" max="14613" width="8.88671875" style="9"/>
    <col min="14614" max="14614" width="8.6640625" style="9" customWidth="1"/>
    <col min="14615" max="14848" width="8.88671875" style="9"/>
    <col min="14849" max="14849" width="2.6640625" style="9" customWidth="1"/>
    <col min="14850" max="14850" width="114.44140625" style="9" customWidth="1"/>
    <col min="14851" max="14851" width="0" style="9" hidden="1" customWidth="1"/>
    <col min="14852" max="14852" width="27.5546875" style="9" customWidth="1"/>
    <col min="14853" max="14853" width="20" style="9" customWidth="1"/>
    <col min="14854" max="14854" width="18.33203125" style="9" customWidth="1"/>
    <col min="14855" max="14855" width="20.109375" style="9" customWidth="1"/>
    <col min="14856" max="14856" width="10.6640625" style="9" customWidth="1"/>
    <col min="14857" max="14857" width="14.44140625" style="9" bestFit="1" customWidth="1"/>
    <col min="14858" max="14858" width="10.6640625" style="9" customWidth="1"/>
    <col min="14859" max="14859" width="12.6640625" style="9" bestFit="1" customWidth="1"/>
    <col min="14860" max="14862" width="8.44140625" style="9" customWidth="1"/>
    <col min="14863" max="14865" width="13" style="9" customWidth="1"/>
    <col min="14866" max="14869" width="8.88671875" style="9"/>
    <col min="14870" max="14870" width="8.6640625" style="9" customWidth="1"/>
    <col min="14871" max="15104" width="8.88671875" style="9"/>
    <col min="15105" max="15105" width="2.6640625" style="9" customWidth="1"/>
    <col min="15106" max="15106" width="114.44140625" style="9" customWidth="1"/>
    <col min="15107" max="15107" width="0" style="9" hidden="1" customWidth="1"/>
    <col min="15108" max="15108" width="27.5546875" style="9" customWidth="1"/>
    <col min="15109" max="15109" width="20" style="9" customWidth="1"/>
    <col min="15110" max="15110" width="18.33203125" style="9" customWidth="1"/>
    <col min="15111" max="15111" width="20.109375" style="9" customWidth="1"/>
    <col min="15112" max="15112" width="10.6640625" style="9" customWidth="1"/>
    <col min="15113" max="15113" width="14.44140625" style="9" bestFit="1" customWidth="1"/>
    <col min="15114" max="15114" width="10.6640625" style="9" customWidth="1"/>
    <col min="15115" max="15115" width="12.6640625" style="9" bestFit="1" customWidth="1"/>
    <col min="15116" max="15118" width="8.44140625" style="9" customWidth="1"/>
    <col min="15119" max="15121" width="13" style="9" customWidth="1"/>
    <col min="15122" max="15125" width="8.88671875" style="9"/>
    <col min="15126" max="15126" width="8.6640625" style="9" customWidth="1"/>
    <col min="15127" max="15360" width="8.88671875" style="9"/>
    <col min="15361" max="15361" width="2.6640625" style="9" customWidth="1"/>
    <col min="15362" max="15362" width="114.44140625" style="9" customWidth="1"/>
    <col min="15363" max="15363" width="0" style="9" hidden="1" customWidth="1"/>
    <col min="15364" max="15364" width="27.5546875" style="9" customWidth="1"/>
    <col min="15365" max="15365" width="20" style="9" customWidth="1"/>
    <col min="15366" max="15366" width="18.33203125" style="9" customWidth="1"/>
    <col min="15367" max="15367" width="20.109375" style="9" customWidth="1"/>
    <col min="15368" max="15368" width="10.6640625" style="9" customWidth="1"/>
    <col min="15369" max="15369" width="14.44140625" style="9" bestFit="1" customWidth="1"/>
    <col min="15370" max="15370" width="10.6640625" style="9" customWidth="1"/>
    <col min="15371" max="15371" width="12.6640625" style="9" bestFit="1" customWidth="1"/>
    <col min="15372" max="15374" width="8.44140625" style="9" customWidth="1"/>
    <col min="15375" max="15377" width="13" style="9" customWidth="1"/>
    <col min="15378" max="15381" width="8.88671875" style="9"/>
    <col min="15382" max="15382" width="8.6640625" style="9" customWidth="1"/>
    <col min="15383" max="15616" width="8.88671875" style="9"/>
    <col min="15617" max="15617" width="2.6640625" style="9" customWidth="1"/>
    <col min="15618" max="15618" width="114.44140625" style="9" customWidth="1"/>
    <col min="15619" max="15619" width="0" style="9" hidden="1" customWidth="1"/>
    <col min="15620" max="15620" width="27.5546875" style="9" customWidth="1"/>
    <col min="15621" max="15621" width="20" style="9" customWidth="1"/>
    <col min="15622" max="15622" width="18.33203125" style="9" customWidth="1"/>
    <col min="15623" max="15623" width="20.109375" style="9" customWidth="1"/>
    <col min="15624" max="15624" width="10.6640625" style="9" customWidth="1"/>
    <col min="15625" max="15625" width="14.44140625" style="9" bestFit="1" customWidth="1"/>
    <col min="15626" max="15626" width="10.6640625" style="9" customWidth="1"/>
    <col min="15627" max="15627" width="12.6640625" style="9" bestFit="1" customWidth="1"/>
    <col min="15628" max="15630" width="8.44140625" style="9" customWidth="1"/>
    <col min="15631" max="15633" width="13" style="9" customWidth="1"/>
    <col min="15634" max="15637" width="8.88671875" style="9"/>
    <col min="15638" max="15638" width="8.6640625" style="9" customWidth="1"/>
    <col min="15639" max="15872" width="8.88671875" style="9"/>
    <col min="15873" max="15873" width="2.6640625" style="9" customWidth="1"/>
    <col min="15874" max="15874" width="114.44140625" style="9" customWidth="1"/>
    <col min="15875" max="15875" width="0" style="9" hidden="1" customWidth="1"/>
    <col min="15876" max="15876" width="27.5546875" style="9" customWidth="1"/>
    <col min="15877" max="15877" width="20" style="9" customWidth="1"/>
    <col min="15878" max="15878" width="18.33203125" style="9" customWidth="1"/>
    <col min="15879" max="15879" width="20.109375" style="9" customWidth="1"/>
    <col min="15880" max="15880" width="10.6640625" style="9" customWidth="1"/>
    <col min="15881" max="15881" width="14.44140625" style="9" bestFit="1" customWidth="1"/>
    <col min="15882" max="15882" width="10.6640625" style="9" customWidth="1"/>
    <col min="15883" max="15883" width="12.6640625" style="9" bestFit="1" customWidth="1"/>
    <col min="15884" max="15886" width="8.44140625" style="9" customWidth="1"/>
    <col min="15887" max="15889" width="13" style="9" customWidth="1"/>
    <col min="15890" max="15893" width="8.88671875" style="9"/>
    <col min="15894" max="15894" width="8.6640625" style="9" customWidth="1"/>
    <col min="15895" max="16128" width="8.88671875" style="9"/>
    <col min="16129" max="16129" width="2.6640625" style="9" customWidth="1"/>
    <col min="16130" max="16130" width="114.44140625" style="9" customWidth="1"/>
    <col min="16131" max="16131" width="0" style="9" hidden="1" customWidth="1"/>
    <col min="16132" max="16132" width="27.5546875" style="9" customWidth="1"/>
    <col min="16133" max="16133" width="20" style="9" customWidth="1"/>
    <col min="16134" max="16134" width="18.33203125" style="9" customWidth="1"/>
    <col min="16135" max="16135" width="20.109375" style="9" customWidth="1"/>
    <col min="16136" max="16136" width="10.6640625" style="9" customWidth="1"/>
    <col min="16137" max="16137" width="14.44140625" style="9" bestFit="1" customWidth="1"/>
    <col min="16138" max="16138" width="10.6640625" style="9" customWidth="1"/>
    <col min="16139" max="16139" width="12.6640625" style="9" bestFit="1" customWidth="1"/>
    <col min="16140" max="16142" width="8.44140625" style="9" customWidth="1"/>
    <col min="16143" max="16145" width="13" style="9" customWidth="1"/>
    <col min="16146" max="16149" width="8.88671875" style="9"/>
    <col min="16150" max="16150" width="8.6640625" style="9" customWidth="1"/>
    <col min="16151" max="16384" width="8.88671875" style="9"/>
  </cols>
  <sheetData>
    <row r="1" spans="1:25">
      <c r="A1" s="6" t="s">
        <v>1437</v>
      </c>
    </row>
    <row r="3" spans="1:25">
      <c r="B3" s="28" t="s">
        <v>1428</v>
      </c>
      <c r="C3" s="606" t="s">
        <v>179</v>
      </c>
      <c r="D3" s="606"/>
      <c r="E3" s="12"/>
      <c r="H3" s="61"/>
    </row>
    <row r="4" spans="1:25">
      <c r="B4" s="57"/>
      <c r="E4" s="12"/>
    </row>
    <row r="5" spans="1:25" ht="17.399999999999999">
      <c r="B5" s="58" t="s">
        <v>67</v>
      </c>
      <c r="C5" s="608"/>
      <c r="D5" s="608"/>
      <c r="E5" s="12"/>
    </row>
    <row r="6" spans="1:25" ht="14.4">
      <c r="B6" s="13"/>
      <c r="E6" s="12"/>
    </row>
    <row r="7" spans="1:25">
      <c r="B7" s="32" t="s">
        <v>58</v>
      </c>
      <c r="C7" s="40" t="s">
        <v>294</v>
      </c>
      <c r="D7" s="40"/>
      <c r="E7" s="12"/>
    </row>
    <row r="8" spans="1:25">
      <c r="B8" s="32" t="s">
        <v>158</v>
      </c>
      <c r="C8" s="40" t="s">
        <v>152</v>
      </c>
      <c r="D8" s="40"/>
      <c r="E8" s="12"/>
    </row>
    <row r="9" spans="1:25">
      <c r="B9" s="32" t="s">
        <v>161</v>
      </c>
      <c r="C9" s="40" t="s">
        <v>151</v>
      </c>
      <c r="D9" s="40"/>
      <c r="E9" s="12"/>
    </row>
    <row r="10" spans="1:25">
      <c r="B10" s="11"/>
      <c r="C10" s="609"/>
      <c r="D10" s="609"/>
      <c r="E10" s="12"/>
      <c r="F10" s="6"/>
      <c r="G10" s="6"/>
      <c r="H10" s="6"/>
      <c r="I10" s="6"/>
      <c r="J10" s="16"/>
      <c r="K10" s="16"/>
      <c r="L10" s="6"/>
      <c r="M10" s="6"/>
      <c r="N10" s="6"/>
      <c r="O10" s="6"/>
      <c r="P10" s="6"/>
      <c r="Q10" s="6"/>
      <c r="R10" s="6"/>
      <c r="S10" s="6"/>
      <c r="T10" s="6"/>
    </row>
    <row r="11" spans="1:25" ht="18" customHeight="1">
      <c r="A11" s="17"/>
      <c r="B11" s="610" t="s">
        <v>75</v>
      </c>
      <c r="C11" s="611"/>
      <c r="D11" s="611"/>
    </row>
    <row r="12" spans="1:25" ht="18" customHeight="1">
      <c r="A12" s="17"/>
      <c r="B12" s="612" t="s">
        <v>74</v>
      </c>
      <c r="C12" s="613">
        <v>259378229.52547795</v>
      </c>
      <c r="D12" s="614"/>
      <c r="F12" s="10"/>
      <c r="J12" s="9"/>
      <c r="K12" s="9"/>
    </row>
    <row r="13" spans="1:25" ht="18" customHeight="1">
      <c r="A13" s="17"/>
      <c r="B13" s="615" t="s">
        <v>72</v>
      </c>
      <c r="C13" s="616">
        <v>259378229.52547795</v>
      </c>
      <c r="D13" s="614"/>
      <c r="E13" s="617"/>
      <c r="F13" s="61"/>
      <c r="J13" s="9"/>
      <c r="K13" s="9"/>
    </row>
    <row r="14" spans="1:25" ht="18" customHeight="1">
      <c r="A14" s="17"/>
      <c r="B14" s="618"/>
      <c r="C14" s="555" t="s">
        <v>1436</v>
      </c>
      <c r="D14" s="556"/>
      <c r="E14" s="619"/>
      <c r="F14" s="620"/>
      <c r="G14" s="621"/>
      <c r="H14" s="621"/>
      <c r="I14" s="621"/>
      <c r="J14" s="621"/>
      <c r="K14" s="621"/>
      <c r="L14" s="621"/>
      <c r="M14" s="621"/>
      <c r="W14" s="622"/>
      <c r="X14" s="622"/>
      <c r="Y14" s="622"/>
    </row>
    <row r="15" spans="1:25" ht="18" customHeight="1">
      <c r="A15" s="17"/>
      <c r="B15" s="619"/>
      <c r="C15" s="619"/>
      <c r="D15" s="619"/>
      <c r="E15" s="619"/>
      <c r="F15" s="620"/>
      <c r="G15" s="621"/>
      <c r="H15" s="621"/>
      <c r="I15" s="621"/>
      <c r="J15" s="621"/>
      <c r="K15" s="621"/>
      <c r="L15" s="621"/>
      <c r="M15" s="621"/>
      <c r="W15" s="622"/>
      <c r="X15" s="622"/>
      <c r="Y15" s="622"/>
    </row>
    <row r="16" spans="1:25" ht="18" customHeight="1">
      <c r="A16" s="17"/>
      <c r="B16" s="610" t="s">
        <v>64</v>
      </c>
      <c r="C16" s="619"/>
      <c r="D16" s="619"/>
      <c r="E16" s="619"/>
      <c r="F16" s="620"/>
      <c r="G16" s="621"/>
      <c r="H16" s="621"/>
      <c r="I16" s="621"/>
      <c r="J16" s="621"/>
      <c r="K16" s="621"/>
      <c r="L16" s="621"/>
      <c r="M16" s="621"/>
      <c r="W16" s="622"/>
      <c r="X16" s="622"/>
      <c r="Y16" s="622"/>
    </row>
    <row r="17" spans="1:25" ht="18" customHeight="1">
      <c r="A17" s="17"/>
      <c r="B17" s="612" t="s">
        <v>65</v>
      </c>
      <c r="C17" s="29">
        <v>258549090.85540313</v>
      </c>
      <c r="D17" s="368"/>
      <c r="E17" s="619"/>
      <c r="F17" s="623"/>
      <c r="G17" s="621"/>
      <c r="H17" s="621"/>
      <c r="I17" s="621"/>
      <c r="J17" s="621"/>
      <c r="K17" s="621"/>
      <c r="L17" s="621"/>
      <c r="M17" s="621"/>
      <c r="W17" s="622"/>
      <c r="X17" s="622"/>
      <c r="Y17" s="622"/>
    </row>
    <row r="18" spans="1:25" ht="18" customHeight="1">
      <c r="A18" s="17"/>
      <c r="B18" s="624" t="s">
        <v>66</v>
      </c>
      <c r="C18" s="29">
        <v>829138.67007482052</v>
      </c>
      <c r="D18" s="368"/>
      <c r="E18" s="619"/>
      <c r="F18" s="623"/>
      <c r="G18" s="621"/>
      <c r="H18" s="621"/>
      <c r="I18" s="621"/>
      <c r="J18" s="621"/>
      <c r="K18" s="621"/>
      <c r="L18" s="621"/>
      <c r="M18" s="621"/>
      <c r="W18" s="622"/>
      <c r="X18" s="622"/>
      <c r="Y18" s="622"/>
    </row>
    <row r="19" spans="1:25" ht="18" customHeight="1">
      <c r="A19" s="17"/>
      <c r="B19" s="612" t="s">
        <v>72</v>
      </c>
      <c r="C19" s="30">
        <v>259378229.52547795</v>
      </c>
      <c r="D19" s="371"/>
      <c r="E19" s="619"/>
      <c r="F19" s="623"/>
      <c r="G19" s="621"/>
      <c r="H19" s="621"/>
      <c r="I19" s="621"/>
      <c r="J19" s="621"/>
      <c r="K19" s="621"/>
      <c r="L19" s="621"/>
      <c r="M19" s="621"/>
      <c r="W19" s="622"/>
      <c r="X19" s="622"/>
      <c r="Y19" s="622"/>
    </row>
    <row r="20" spans="1:25" ht="18" customHeight="1">
      <c r="A20" s="17"/>
      <c r="B20" s="625"/>
      <c r="C20" s="39"/>
      <c r="D20" s="369"/>
      <c r="E20" s="619"/>
      <c r="F20" s="620"/>
      <c r="G20" s="621"/>
      <c r="H20" s="621"/>
      <c r="I20" s="621"/>
      <c r="J20" s="621"/>
      <c r="K20" s="621"/>
      <c r="L20" s="621"/>
      <c r="M20" s="621"/>
      <c r="W20" s="622"/>
      <c r="X20" s="622"/>
      <c r="Y20" s="622"/>
    </row>
    <row r="21" spans="1:25" ht="18" customHeight="1">
      <c r="A21" s="17"/>
      <c r="B21" s="610" t="s">
        <v>63</v>
      </c>
      <c r="C21" s="619"/>
      <c r="D21" s="619"/>
      <c r="E21" s="619"/>
      <c r="F21" s="620"/>
      <c r="G21" s="621"/>
      <c r="H21" s="621"/>
      <c r="I21" s="621"/>
      <c r="J21" s="621"/>
      <c r="K21" s="621"/>
      <c r="L21" s="621"/>
      <c r="M21" s="621"/>
      <c r="W21" s="622"/>
      <c r="X21" s="622"/>
      <c r="Y21" s="622"/>
    </row>
    <row r="22" spans="1:25" ht="18" customHeight="1">
      <c r="A22" s="17"/>
      <c r="B22" s="612" t="s">
        <v>128</v>
      </c>
      <c r="C22" s="29">
        <v>253129669.28280124</v>
      </c>
      <c r="D22" s="368"/>
      <c r="E22" s="619"/>
      <c r="F22" s="620"/>
      <c r="G22" s="621"/>
      <c r="H22" s="621"/>
      <c r="I22" s="621"/>
      <c r="J22" s="621"/>
      <c r="K22" s="621"/>
      <c r="L22" s="621"/>
      <c r="M22" s="621"/>
      <c r="W22" s="622"/>
      <c r="X22" s="622"/>
      <c r="Y22" s="622"/>
    </row>
    <row r="23" spans="1:25" ht="18" customHeight="1">
      <c r="A23" s="17"/>
      <c r="B23" s="624" t="s">
        <v>61</v>
      </c>
      <c r="C23" s="29">
        <v>2239469.13260188</v>
      </c>
      <c r="D23" s="368"/>
      <c r="E23" s="619"/>
      <c r="F23" s="620"/>
      <c r="G23" s="621"/>
      <c r="H23" s="621"/>
      <c r="I23" s="621"/>
      <c r="J23" s="621"/>
      <c r="K23" s="621"/>
      <c r="L23" s="621"/>
      <c r="M23" s="621"/>
      <c r="W23" s="622"/>
      <c r="X23" s="622"/>
      <c r="Y23" s="622"/>
    </row>
    <row r="24" spans="1:25" ht="18" customHeight="1">
      <c r="A24" s="17"/>
      <c r="B24" s="624" t="s">
        <v>966</v>
      </c>
      <c r="C24" s="29">
        <v>3179952.44</v>
      </c>
      <c r="D24" s="368"/>
      <c r="E24" s="619"/>
      <c r="F24" s="620"/>
      <c r="G24" s="621"/>
      <c r="H24" s="621"/>
      <c r="I24" s="621"/>
      <c r="J24" s="621"/>
      <c r="K24" s="621"/>
      <c r="L24" s="621"/>
      <c r="M24" s="621"/>
      <c r="W24" s="622"/>
      <c r="X24" s="622"/>
      <c r="Y24" s="622"/>
    </row>
    <row r="25" spans="1:25" ht="18" customHeight="1">
      <c r="A25" s="17"/>
      <c r="B25" s="612" t="s">
        <v>65</v>
      </c>
      <c r="C25" s="30">
        <v>258549090.85540313</v>
      </c>
      <c r="D25" s="371"/>
      <c r="E25" s="619"/>
      <c r="F25" s="620"/>
      <c r="G25" s="621"/>
      <c r="H25" s="621"/>
      <c r="I25" s="621"/>
      <c r="J25" s="621"/>
      <c r="K25" s="621"/>
      <c r="L25" s="621"/>
      <c r="M25" s="621"/>
      <c r="W25" s="622"/>
      <c r="X25" s="622"/>
      <c r="Y25" s="622"/>
    </row>
    <row r="26" spans="1:25" ht="18" customHeight="1">
      <c r="A26" s="17"/>
      <c r="B26" s="3"/>
      <c r="C26" s="31"/>
      <c r="D26" s="31"/>
      <c r="E26" s="619"/>
      <c r="F26" s="620"/>
      <c r="G26" s="621"/>
      <c r="H26" s="621"/>
      <c r="I26" s="621"/>
      <c r="J26" s="621"/>
      <c r="K26" s="621"/>
      <c r="L26" s="621"/>
      <c r="M26" s="621"/>
      <c r="W26" s="622"/>
      <c r="X26" s="622"/>
      <c r="Y26" s="622"/>
    </row>
    <row r="28" spans="1:25" ht="15.6">
      <c r="B28" s="626" t="s">
        <v>70</v>
      </c>
      <c r="I28" s="10"/>
      <c r="K28" s="9"/>
    </row>
    <row r="29" spans="1:25">
      <c r="B29" s="627"/>
      <c r="C29" s="628" t="s">
        <v>57</v>
      </c>
      <c r="D29" s="628" t="s">
        <v>948</v>
      </c>
      <c r="E29" s="628" t="s">
        <v>7</v>
      </c>
      <c r="I29" s="10"/>
      <c r="K29" s="9"/>
    </row>
    <row r="30" spans="1:25">
      <c r="B30" s="629"/>
      <c r="C30" s="630" t="s">
        <v>6</v>
      </c>
      <c r="D30" s="630" t="s">
        <v>947</v>
      </c>
      <c r="E30" s="630" t="s">
        <v>8</v>
      </c>
      <c r="I30" s="10"/>
      <c r="K30" s="9"/>
    </row>
    <row r="31" spans="1:25">
      <c r="B31" s="629"/>
      <c r="C31" s="631" t="s">
        <v>151</v>
      </c>
      <c r="D31" s="631" t="s">
        <v>152</v>
      </c>
      <c r="E31" s="631" t="s">
        <v>294</v>
      </c>
      <c r="I31" s="10"/>
      <c r="K31" s="9"/>
    </row>
    <row r="32" spans="1:25">
      <c r="B32" s="632"/>
      <c r="C32" s="633"/>
      <c r="D32" s="633"/>
      <c r="E32" s="52"/>
      <c r="I32" s="10"/>
      <c r="K32" s="9"/>
    </row>
    <row r="33" spans="1:11">
      <c r="B33" s="634" t="s">
        <v>73</v>
      </c>
      <c r="C33" s="247">
        <v>254166965.12</v>
      </c>
      <c r="D33" s="247">
        <v>254454253.44973299</v>
      </c>
      <c r="E33" s="42">
        <v>259378229.52547795</v>
      </c>
      <c r="I33" s="10"/>
      <c r="K33" s="9"/>
    </row>
    <row r="34" spans="1:11">
      <c r="A34" s="449"/>
      <c r="B34" s="440" t="s">
        <v>974</v>
      </c>
      <c r="C34" s="441">
        <v>252531311.78999999</v>
      </c>
      <c r="D34" s="441">
        <v>252822803.08833414</v>
      </c>
      <c r="E34" s="51"/>
      <c r="I34" s="10"/>
      <c r="K34" s="9"/>
    </row>
    <row r="35" spans="1:11">
      <c r="A35" s="449"/>
      <c r="B35" s="440" t="s">
        <v>975</v>
      </c>
      <c r="C35" s="441">
        <v>1635653.33</v>
      </c>
      <c r="D35" s="441">
        <v>1652820.7175800002</v>
      </c>
      <c r="E35" s="51"/>
      <c r="I35" s="10"/>
      <c r="K35" s="9"/>
    </row>
    <row r="36" spans="1:11">
      <c r="B36" s="635" t="s">
        <v>69</v>
      </c>
      <c r="C36" s="42">
        <v>252779983.16071096</v>
      </c>
      <c r="D36" s="42">
        <v>256713114.39752975</v>
      </c>
      <c r="E36" s="42">
        <v>258549090.85540313</v>
      </c>
      <c r="I36" s="10"/>
      <c r="K36" s="9"/>
    </row>
    <row r="37" spans="1:11">
      <c r="B37" s="636" t="s">
        <v>976</v>
      </c>
      <c r="C37" s="443">
        <v>246627484.59999999</v>
      </c>
      <c r="D37" s="443">
        <v>245128116</v>
      </c>
      <c r="E37" s="444">
        <v>253129669.28280124</v>
      </c>
      <c r="I37" s="10"/>
      <c r="K37" s="9"/>
    </row>
    <row r="38" spans="1:11">
      <c r="B38" s="636" t="s">
        <v>977</v>
      </c>
      <c r="C38" s="60">
        <v>2234695.4300000002</v>
      </c>
      <c r="D38" s="60">
        <v>1764102</v>
      </c>
      <c r="E38" s="51">
        <v>2239469.13260188</v>
      </c>
      <c r="I38" s="10"/>
      <c r="K38" s="9"/>
    </row>
    <row r="39" spans="1:11">
      <c r="B39" s="636" t="s">
        <v>978</v>
      </c>
      <c r="C39" s="60">
        <v>4188945.4</v>
      </c>
      <c r="D39" s="60">
        <v>3866593</v>
      </c>
      <c r="E39" s="51">
        <v>3179952.44</v>
      </c>
      <c r="I39" s="10"/>
      <c r="K39" s="9"/>
    </row>
    <row r="40" spans="1:11">
      <c r="B40" s="636" t="s">
        <v>979</v>
      </c>
      <c r="C40" s="60">
        <v>-271142.26928906096</v>
      </c>
      <c r="D40" s="60">
        <v>5954303.3975297585</v>
      </c>
      <c r="E40" s="51">
        <v>0</v>
      </c>
      <c r="I40" s="10"/>
      <c r="K40" s="9"/>
    </row>
    <row r="41" spans="1:11">
      <c r="B41" s="636"/>
      <c r="C41" s="111"/>
      <c r="D41" s="111"/>
      <c r="E41" s="56"/>
      <c r="I41" s="10"/>
      <c r="K41" s="9"/>
    </row>
    <row r="42" spans="1:11">
      <c r="B42" s="637" t="s">
        <v>10</v>
      </c>
      <c r="C42" s="42">
        <v>1386981.9592890441</v>
      </c>
      <c r="D42" s="42">
        <v>-2258860.947796762</v>
      </c>
      <c r="E42" s="42">
        <v>829138.67007482052</v>
      </c>
      <c r="F42" s="284"/>
      <c r="I42" s="10"/>
      <c r="K42" s="9"/>
    </row>
    <row r="43" spans="1:11">
      <c r="B43" s="638"/>
      <c r="I43" s="10"/>
      <c r="K43" s="9"/>
    </row>
    <row r="44" spans="1:11">
      <c r="B44" s="638"/>
      <c r="I44" s="10"/>
      <c r="K44" s="9"/>
    </row>
    <row r="45" spans="1:11" ht="15.6">
      <c r="B45" s="626" t="s">
        <v>71</v>
      </c>
      <c r="I45" s="10"/>
      <c r="K45" s="9"/>
    </row>
    <row r="46" spans="1:11">
      <c r="B46" s="639"/>
      <c r="C46" s="628" t="s">
        <v>57</v>
      </c>
      <c r="D46" s="628" t="s">
        <v>948</v>
      </c>
      <c r="E46" s="628" t="s">
        <v>7</v>
      </c>
      <c r="I46" s="10"/>
      <c r="K46" s="9"/>
    </row>
    <row r="47" spans="1:11">
      <c r="B47" s="640"/>
      <c r="C47" s="630" t="s">
        <v>6</v>
      </c>
      <c r="D47" s="630" t="s">
        <v>947</v>
      </c>
      <c r="E47" s="630" t="s">
        <v>8</v>
      </c>
      <c r="I47" s="10"/>
      <c r="K47" s="9"/>
    </row>
    <row r="48" spans="1:11">
      <c r="B48" s="641" t="s">
        <v>59</v>
      </c>
      <c r="C48" s="631" t="s">
        <v>151</v>
      </c>
      <c r="D48" s="631" t="s">
        <v>152</v>
      </c>
      <c r="E48" s="631" t="s">
        <v>294</v>
      </c>
      <c r="I48" s="10"/>
      <c r="K48" s="9"/>
    </row>
    <row r="49" spans="1:25">
      <c r="B49" s="640" t="s">
        <v>959</v>
      </c>
      <c r="C49" s="381">
        <v>6.0148041164888158E-2</v>
      </c>
      <c r="D49" s="381">
        <v>5.9824761261038563E-2</v>
      </c>
      <c r="E49" s="381">
        <v>4.2845042391632671E-2</v>
      </c>
      <c r="I49" s="10"/>
      <c r="K49" s="9"/>
    </row>
    <row r="50" spans="1:25">
      <c r="B50" s="640" t="s">
        <v>960</v>
      </c>
      <c r="C50" s="382"/>
      <c r="D50" s="271"/>
      <c r="E50" s="84">
        <v>2.3998445239976629E-2</v>
      </c>
      <c r="I50" s="10"/>
      <c r="K50" s="9"/>
    </row>
    <row r="51" spans="1:25">
      <c r="B51" s="640" t="s">
        <v>961</v>
      </c>
      <c r="C51" s="382"/>
      <c r="D51" s="271"/>
      <c r="E51" s="84">
        <v>1.8404907975460238E-2</v>
      </c>
      <c r="I51" s="10"/>
      <c r="K51" s="9"/>
    </row>
    <row r="52" spans="1:25">
      <c r="B52" s="640" t="s">
        <v>11</v>
      </c>
      <c r="C52" s="383">
        <v>0</v>
      </c>
      <c r="D52" s="431">
        <v>1428085.0402941508</v>
      </c>
      <c r="E52" s="51">
        <v>-811927.55413681315</v>
      </c>
      <c r="I52" s="10"/>
      <c r="K52" s="9"/>
    </row>
    <row r="53" spans="1:25">
      <c r="B53" s="640" t="s">
        <v>949</v>
      </c>
      <c r="C53" s="383">
        <v>0</v>
      </c>
      <c r="D53" s="383">
        <v>85434.846596058211</v>
      </c>
      <c r="E53" s="383">
        <v>-34787.07047592639</v>
      </c>
      <c r="I53" s="10"/>
      <c r="K53" s="9"/>
    </row>
    <row r="54" spans="1:25">
      <c r="B54" s="640" t="s">
        <v>12</v>
      </c>
      <c r="C54" s="51">
        <v>1386981.9592890441</v>
      </c>
      <c r="D54" s="51">
        <v>-2258860.947796762</v>
      </c>
      <c r="E54" s="51">
        <v>829138.67007482052</v>
      </c>
      <c r="I54" s="10"/>
      <c r="K54" s="9"/>
    </row>
    <row r="55" spans="1:25">
      <c r="B55" s="640" t="s">
        <v>103</v>
      </c>
      <c r="C55" s="60">
        <v>41103.081005106702</v>
      </c>
      <c r="D55" s="60">
        <v>-66586.493230260181</v>
      </c>
      <c r="E55" s="60">
        <v>17575.954537765403</v>
      </c>
      <c r="I55" s="10"/>
      <c r="K55" s="9"/>
    </row>
    <row r="56" spans="1:25">
      <c r="B56" s="637" t="s">
        <v>90</v>
      </c>
      <c r="C56" s="42">
        <v>1428085.0402941508</v>
      </c>
      <c r="D56" s="42">
        <v>-811927.55413681315</v>
      </c>
      <c r="E56" s="42">
        <v>-1.5362093108706176E-7</v>
      </c>
      <c r="I56" s="10"/>
      <c r="K56" s="9"/>
    </row>
    <row r="57" spans="1:25">
      <c r="I57" s="10"/>
      <c r="K57" s="9"/>
    </row>
    <row r="58" spans="1:25" s="607" customFormat="1">
      <c r="A58" s="6"/>
      <c r="B58" s="93"/>
      <c r="E58" s="9"/>
      <c r="F58" s="9"/>
      <c r="G58" s="9"/>
      <c r="H58" s="9"/>
      <c r="I58" s="9"/>
      <c r="J58" s="10"/>
      <c r="K58" s="10"/>
      <c r="L58" s="9"/>
      <c r="M58" s="9"/>
      <c r="N58" s="9"/>
      <c r="O58" s="9"/>
      <c r="P58" s="9"/>
      <c r="Q58" s="9"/>
      <c r="R58" s="9"/>
      <c r="S58" s="9"/>
      <c r="T58" s="9"/>
      <c r="U58" s="9"/>
      <c r="V58" s="9"/>
      <c r="W58" s="9"/>
      <c r="X58" s="9"/>
      <c r="Y58" s="9"/>
    </row>
    <row r="60" spans="1:25">
      <c r="D60" s="642"/>
    </row>
    <row r="61" spans="1:25">
      <c r="E61" s="446"/>
    </row>
    <row r="62" spans="1:25">
      <c r="E62" s="448"/>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D44ED-94CF-42DB-8F8F-31BC94C15CF2}">
  <sheetPr>
    <tabColor rgb="FF92D050"/>
  </sheetPr>
  <dimension ref="A1:Y60"/>
  <sheetViews>
    <sheetView workbookViewId="0"/>
  </sheetViews>
  <sheetFormatPr defaultRowHeight="13.8"/>
  <cols>
    <col min="1" max="1" width="5.44140625" style="6" customWidth="1"/>
    <col min="2" max="2" width="78.44140625" style="357" customWidth="1"/>
    <col min="3" max="4" width="18.5546875" style="607" customWidth="1"/>
    <col min="5" max="5" width="18.5546875" style="9" customWidth="1"/>
    <col min="6" max="6" width="18.6640625" style="9" customWidth="1"/>
    <col min="7" max="9" width="9" style="9" customWidth="1"/>
    <col min="10" max="11" width="9" style="10" customWidth="1"/>
    <col min="12" max="20" width="9" style="9" customWidth="1"/>
    <col min="21" max="21" width="8.88671875" style="9"/>
    <col min="22" max="22" width="8.6640625" style="9" customWidth="1"/>
    <col min="23" max="256" width="8.88671875" style="9"/>
    <col min="257" max="257" width="2.6640625" style="9" customWidth="1"/>
    <col min="258" max="258" width="114.44140625" style="9" customWidth="1"/>
    <col min="259" max="259" width="0" style="9" hidden="1" customWidth="1"/>
    <col min="260" max="260" width="27.5546875" style="9" customWidth="1"/>
    <col min="261" max="261" width="20" style="9" customWidth="1"/>
    <col min="262" max="262" width="18.33203125" style="9" customWidth="1"/>
    <col min="263" max="263" width="20.109375" style="9" customWidth="1"/>
    <col min="264" max="264" width="10.6640625" style="9" customWidth="1"/>
    <col min="265" max="265" width="14.44140625" style="9" bestFit="1" customWidth="1"/>
    <col min="266" max="266" width="10.6640625" style="9" customWidth="1"/>
    <col min="267" max="267" width="12.6640625" style="9" bestFit="1" customWidth="1"/>
    <col min="268" max="270" width="8.44140625" style="9" customWidth="1"/>
    <col min="271" max="273" width="13" style="9" customWidth="1"/>
    <col min="274" max="277" width="8.88671875" style="9"/>
    <col min="278" max="278" width="8.6640625" style="9" customWidth="1"/>
    <col min="279" max="512" width="8.88671875" style="9"/>
    <col min="513" max="513" width="2.6640625" style="9" customWidth="1"/>
    <col min="514" max="514" width="114.44140625" style="9" customWidth="1"/>
    <col min="515" max="515" width="0" style="9" hidden="1" customWidth="1"/>
    <col min="516" max="516" width="27.5546875" style="9" customWidth="1"/>
    <col min="517" max="517" width="20" style="9" customWidth="1"/>
    <col min="518" max="518" width="18.33203125" style="9" customWidth="1"/>
    <col min="519" max="519" width="20.109375" style="9" customWidth="1"/>
    <col min="520" max="520" width="10.6640625" style="9" customWidth="1"/>
    <col min="521" max="521" width="14.44140625" style="9" bestFit="1" customWidth="1"/>
    <col min="522" max="522" width="10.6640625" style="9" customWidth="1"/>
    <col min="523" max="523" width="12.6640625" style="9" bestFit="1" customWidth="1"/>
    <col min="524" max="526" width="8.44140625" style="9" customWidth="1"/>
    <col min="527" max="529" width="13" style="9" customWidth="1"/>
    <col min="530" max="533" width="8.88671875" style="9"/>
    <col min="534" max="534" width="8.6640625" style="9" customWidth="1"/>
    <col min="535" max="768" width="8.88671875" style="9"/>
    <col min="769" max="769" width="2.6640625" style="9" customWidth="1"/>
    <col min="770" max="770" width="114.44140625" style="9" customWidth="1"/>
    <col min="771" max="771" width="0" style="9" hidden="1" customWidth="1"/>
    <col min="772" max="772" width="27.5546875" style="9" customWidth="1"/>
    <col min="773" max="773" width="20" style="9" customWidth="1"/>
    <col min="774" max="774" width="18.33203125" style="9" customWidth="1"/>
    <col min="775" max="775" width="20.109375" style="9" customWidth="1"/>
    <col min="776" max="776" width="10.6640625" style="9" customWidth="1"/>
    <col min="777" max="777" width="14.44140625" style="9" bestFit="1" customWidth="1"/>
    <col min="778" max="778" width="10.6640625" style="9" customWidth="1"/>
    <col min="779" max="779" width="12.6640625" style="9" bestFit="1" customWidth="1"/>
    <col min="780" max="782" width="8.44140625" style="9" customWidth="1"/>
    <col min="783" max="785" width="13" style="9" customWidth="1"/>
    <col min="786" max="789" width="8.88671875" style="9"/>
    <col min="790" max="790" width="8.6640625" style="9" customWidth="1"/>
    <col min="791" max="1024" width="8.88671875" style="9"/>
    <col min="1025" max="1025" width="2.6640625" style="9" customWidth="1"/>
    <col min="1026" max="1026" width="114.44140625" style="9" customWidth="1"/>
    <col min="1027" max="1027" width="0" style="9" hidden="1" customWidth="1"/>
    <col min="1028" max="1028" width="27.5546875" style="9" customWidth="1"/>
    <col min="1029" max="1029" width="20" style="9" customWidth="1"/>
    <col min="1030" max="1030" width="18.33203125" style="9" customWidth="1"/>
    <col min="1031" max="1031" width="20.109375" style="9" customWidth="1"/>
    <col min="1032" max="1032" width="10.6640625" style="9" customWidth="1"/>
    <col min="1033" max="1033" width="14.44140625" style="9" bestFit="1" customWidth="1"/>
    <col min="1034" max="1034" width="10.6640625" style="9" customWidth="1"/>
    <col min="1035" max="1035" width="12.6640625" style="9" bestFit="1" customWidth="1"/>
    <col min="1036" max="1038" width="8.44140625" style="9" customWidth="1"/>
    <col min="1039" max="1041" width="13" style="9" customWidth="1"/>
    <col min="1042" max="1045" width="8.88671875" style="9"/>
    <col min="1046" max="1046" width="8.6640625" style="9" customWidth="1"/>
    <col min="1047" max="1280" width="8.88671875" style="9"/>
    <col min="1281" max="1281" width="2.6640625" style="9" customWidth="1"/>
    <col min="1282" max="1282" width="114.44140625" style="9" customWidth="1"/>
    <col min="1283" max="1283" width="0" style="9" hidden="1" customWidth="1"/>
    <col min="1284" max="1284" width="27.5546875" style="9" customWidth="1"/>
    <col min="1285" max="1285" width="20" style="9" customWidth="1"/>
    <col min="1286" max="1286" width="18.33203125" style="9" customWidth="1"/>
    <col min="1287" max="1287" width="20.109375" style="9" customWidth="1"/>
    <col min="1288" max="1288" width="10.6640625" style="9" customWidth="1"/>
    <col min="1289" max="1289" width="14.44140625" style="9" bestFit="1" customWidth="1"/>
    <col min="1290" max="1290" width="10.6640625" style="9" customWidth="1"/>
    <col min="1291" max="1291" width="12.6640625" style="9" bestFit="1" customWidth="1"/>
    <col min="1292" max="1294" width="8.44140625" style="9" customWidth="1"/>
    <col min="1295" max="1297" width="13" style="9" customWidth="1"/>
    <col min="1298" max="1301" width="8.88671875" style="9"/>
    <col min="1302" max="1302" width="8.6640625" style="9" customWidth="1"/>
    <col min="1303" max="1536" width="8.88671875" style="9"/>
    <col min="1537" max="1537" width="2.6640625" style="9" customWidth="1"/>
    <col min="1538" max="1538" width="114.44140625" style="9" customWidth="1"/>
    <col min="1539" max="1539" width="0" style="9" hidden="1" customWidth="1"/>
    <col min="1540" max="1540" width="27.5546875" style="9" customWidth="1"/>
    <col min="1541" max="1541" width="20" style="9" customWidth="1"/>
    <col min="1542" max="1542" width="18.33203125" style="9" customWidth="1"/>
    <col min="1543" max="1543" width="20.109375" style="9" customWidth="1"/>
    <col min="1544" max="1544" width="10.6640625" style="9" customWidth="1"/>
    <col min="1545" max="1545" width="14.44140625" style="9" bestFit="1" customWidth="1"/>
    <col min="1546" max="1546" width="10.6640625" style="9" customWidth="1"/>
    <col min="1547" max="1547" width="12.6640625" style="9" bestFit="1" customWidth="1"/>
    <col min="1548" max="1550" width="8.44140625" style="9" customWidth="1"/>
    <col min="1551" max="1553" width="13" style="9" customWidth="1"/>
    <col min="1554" max="1557" width="8.88671875" style="9"/>
    <col min="1558" max="1558" width="8.6640625" style="9" customWidth="1"/>
    <col min="1559" max="1792" width="8.88671875" style="9"/>
    <col min="1793" max="1793" width="2.6640625" style="9" customWidth="1"/>
    <col min="1794" max="1794" width="114.44140625" style="9" customWidth="1"/>
    <col min="1795" max="1795" width="0" style="9" hidden="1" customWidth="1"/>
    <col min="1796" max="1796" width="27.5546875" style="9" customWidth="1"/>
    <col min="1797" max="1797" width="20" style="9" customWidth="1"/>
    <col min="1798" max="1798" width="18.33203125" style="9" customWidth="1"/>
    <col min="1799" max="1799" width="20.109375" style="9" customWidth="1"/>
    <col min="1800" max="1800" width="10.6640625" style="9" customWidth="1"/>
    <col min="1801" max="1801" width="14.44140625" style="9" bestFit="1" customWidth="1"/>
    <col min="1802" max="1802" width="10.6640625" style="9" customWidth="1"/>
    <col min="1803" max="1803" width="12.6640625" style="9" bestFit="1" customWidth="1"/>
    <col min="1804" max="1806" width="8.44140625" style="9" customWidth="1"/>
    <col min="1807" max="1809" width="13" style="9" customWidth="1"/>
    <col min="1810" max="1813" width="8.88671875" style="9"/>
    <col min="1814" max="1814" width="8.6640625" style="9" customWidth="1"/>
    <col min="1815" max="2048" width="8.88671875" style="9"/>
    <col min="2049" max="2049" width="2.6640625" style="9" customWidth="1"/>
    <col min="2050" max="2050" width="114.44140625" style="9" customWidth="1"/>
    <col min="2051" max="2051" width="0" style="9" hidden="1" customWidth="1"/>
    <col min="2052" max="2052" width="27.5546875" style="9" customWidth="1"/>
    <col min="2053" max="2053" width="20" style="9" customWidth="1"/>
    <col min="2054" max="2054" width="18.33203125" style="9" customWidth="1"/>
    <col min="2055" max="2055" width="20.109375" style="9" customWidth="1"/>
    <col min="2056" max="2056" width="10.6640625" style="9" customWidth="1"/>
    <col min="2057" max="2057" width="14.44140625" style="9" bestFit="1" customWidth="1"/>
    <col min="2058" max="2058" width="10.6640625" style="9" customWidth="1"/>
    <col min="2059" max="2059" width="12.6640625" style="9" bestFit="1" customWidth="1"/>
    <col min="2060" max="2062" width="8.44140625" style="9" customWidth="1"/>
    <col min="2063" max="2065" width="13" style="9" customWidth="1"/>
    <col min="2066" max="2069" width="8.88671875" style="9"/>
    <col min="2070" max="2070" width="8.6640625" style="9" customWidth="1"/>
    <col min="2071" max="2304" width="8.88671875" style="9"/>
    <col min="2305" max="2305" width="2.6640625" style="9" customWidth="1"/>
    <col min="2306" max="2306" width="114.44140625" style="9" customWidth="1"/>
    <col min="2307" max="2307" width="0" style="9" hidden="1" customWidth="1"/>
    <col min="2308" max="2308" width="27.5546875" style="9" customWidth="1"/>
    <col min="2309" max="2309" width="20" style="9" customWidth="1"/>
    <col min="2310" max="2310" width="18.33203125" style="9" customWidth="1"/>
    <col min="2311" max="2311" width="20.109375" style="9" customWidth="1"/>
    <col min="2312" max="2312" width="10.6640625" style="9" customWidth="1"/>
    <col min="2313" max="2313" width="14.44140625" style="9" bestFit="1" customWidth="1"/>
    <col min="2314" max="2314" width="10.6640625" style="9" customWidth="1"/>
    <col min="2315" max="2315" width="12.6640625" style="9" bestFit="1" customWidth="1"/>
    <col min="2316" max="2318" width="8.44140625" style="9" customWidth="1"/>
    <col min="2319" max="2321" width="13" style="9" customWidth="1"/>
    <col min="2322" max="2325" width="8.88671875" style="9"/>
    <col min="2326" max="2326" width="8.6640625" style="9" customWidth="1"/>
    <col min="2327" max="2560" width="8.88671875" style="9"/>
    <col min="2561" max="2561" width="2.6640625" style="9" customWidth="1"/>
    <col min="2562" max="2562" width="114.44140625" style="9" customWidth="1"/>
    <col min="2563" max="2563" width="0" style="9" hidden="1" customWidth="1"/>
    <col min="2564" max="2564" width="27.5546875" style="9" customWidth="1"/>
    <col min="2565" max="2565" width="20" style="9" customWidth="1"/>
    <col min="2566" max="2566" width="18.33203125" style="9" customWidth="1"/>
    <col min="2567" max="2567" width="20.109375" style="9" customWidth="1"/>
    <col min="2568" max="2568" width="10.6640625" style="9" customWidth="1"/>
    <col min="2569" max="2569" width="14.44140625" style="9" bestFit="1" customWidth="1"/>
    <col min="2570" max="2570" width="10.6640625" style="9" customWidth="1"/>
    <col min="2571" max="2571" width="12.6640625" style="9" bestFit="1" customWidth="1"/>
    <col min="2572" max="2574" width="8.44140625" style="9" customWidth="1"/>
    <col min="2575" max="2577" width="13" style="9" customWidth="1"/>
    <col min="2578" max="2581" width="8.88671875" style="9"/>
    <col min="2582" max="2582" width="8.6640625" style="9" customWidth="1"/>
    <col min="2583" max="2816" width="8.88671875" style="9"/>
    <col min="2817" max="2817" width="2.6640625" style="9" customWidth="1"/>
    <col min="2818" max="2818" width="114.44140625" style="9" customWidth="1"/>
    <col min="2819" max="2819" width="0" style="9" hidden="1" customWidth="1"/>
    <col min="2820" max="2820" width="27.5546875" style="9" customWidth="1"/>
    <col min="2821" max="2821" width="20" style="9" customWidth="1"/>
    <col min="2822" max="2822" width="18.33203125" style="9" customWidth="1"/>
    <col min="2823" max="2823" width="20.109375" style="9" customWidth="1"/>
    <col min="2824" max="2824" width="10.6640625" style="9" customWidth="1"/>
    <col min="2825" max="2825" width="14.44140625" style="9" bestFit="1" customWidth="1"/>
    <col min="2826" max="2826" width="10.6640625" style="9" customWidth="1"/>
    <col min="2827" max="2827" width="12.6640625" style="9" bestFit="1" customWidth="1"/>
    <col min="2828" max="2830" width="8.44140625" style="9" customWidth="1"/>
    <col min="2831" max="2833" width="13" style="9" customWidth="1"/>
    <col min="2834" max="2837" width="8.88671875" style="9"/>
    <col min="2838" max="2838" width="8.6640625" style="9" customWidth="1"/>
    <col min="2839" max="3072" width="8.88671875" style="9"/>
    <col min="3073" max="3073" width="2.6640625" style="9" customWidth="1"/>
    <col min="3074" max="3074" width="114.44140625" style="9" customWidth="1"/>
    <col min="3075" max="3075" width="0" style="9" hidden="1" customWidth="1"/>
    <col min="3076" max="3076" width="27.5546875" style="9" customWidth="1"/>
    <col min="3077" max="3077" width="20" style="9" customWidth="1"/>
    <col min="3078" max="3078" width="18.33203125" style="9" customWidth="1"/>
    <col min="3079" max="3079" width="20.109375" style="9" customWidth="1"/>
    <col min="3080" max="3080" width="10.6640625" style="9" customWidth="1"/>
    <col min="3081" max="3081" width="14.44140625" style="9" bestFit="1" customWidth="1"/>
    <col min="3082" max="3082" width="10.6640625" style="9" customWidth="1"/>
    <col min="3083" max="3083" width="12.6640625" style="9" bestFit="1" customWidth="1"/>
    <col min="3084" max="3086" width="8.44140625" style="9" customWidth="1"/>
    <col min="3087" max="3089" width="13" style="9" customWidth="1"/>
    <col min="3090" max="3093" width="8.88671875" style="9"/>
    <col min="3094" max="3094" width="8.6640625" style="9" customWidth="1"/>
    <col min="3095" max="3328" width="8.88671875" style="9"/>
    <col min="3329" max="3329" width="2.6640625" style="9" customWidth="1"/>
    <col min="3330" max="3330" width="114.44140625" style="9" customWidth="1"/>
    <col min="3331" max="3331" width="0" style="9" hidden="1" customWidth="1"/>
    <col min="3332" max="3332" width="27.5546875" style="9" customWidth="1"/>
    <col min="3333" max="3333" width="20" style="9" customWidth="1"/>
    <col min="3334" max="3334" width="18.33203125" style="9" customWidth="1"/>
    <col min="3335" max="3335" width="20.109375" style="9" customWidth="1"/>
    <col min="3336" max="3336" width="10.6640625" style="9" customWidth="1"/>
    <col min="3337" max="3337" width="14.44140625" style="9" bestFit="1" customWidth="1"/>
    <col min="3338" max="3338" width="10.6640625" style="9" customWidth="1"/>
    <col min="3339" max="3339" width="12.6640625" style="9" bestFit="1" customWidth="1"/>
    <col min="3340" max="3342" width="8.44140625" style="9" customWidth="1"/>
    <col min="3343" max="3345" width="13" style="9" customWidth="1"/>
    <col min="3346" max="3349" width="8.88671875" style="9"/>
    <col min="3350" max="3350" width="8.6640625" style="9" customWidth="1"/>
    <col min="3351" max="3584" width="8.88671875" style="9"/>
    <col min="3585" max="3585" width="2.6640625" style="9" customWidth="1"/>
    <col min="3586" max="3586" width="114.44140625" style="9" customWidth="1"/>
    <col min="3587" max="3587" width="0" style="9" hidden="1" customWidth="1"/>
    <col min="3588" max="3588" width="27.5546875" style="9" customWidth="1"/>
    <col min="3589" max="3589" width="20" style="9" customWidth="1"/>
    <col min="3590" max="3590" width="18.33203125" style="9" customWidth="1"/>
    <col min="3591" max="3591" width="20.109375" style="9" customWidth="1"/>
    <col min="3592" max="3592" width="10.6640625" style="9" customWidth="1"/>
    <col min="3593" max="3593" width="14.44140625" style="9" bestFit="1" customWidth="1"/>
    <col min="3594" max="3594" width="10.6640625" style="9" customWidth="1"/>
    <col min="3595" max="3595" width="12.6640625" style="9" bestFit="1" customWidth="1"/>
    <col min="3596" max="3598" width="8.44140625" style="9" customWidth="1"/>
    <col min="3599" max="3601" width="13" style="9" customWidth="1"/>
    <col min="3602" max="3605" width="8.88671875" style="9"/>
    <col min="3606" max="3606" width="8.6640625" style="9" customWidth="1"/>
    <col min="3607" max="3840" width="8.88671875" style="9"/>
    <col min="3841" max="3841" width="2.6640625" style="9" customWidth="1"/>
    <col min="3842" max="3842" width="114.44140625" style="9" customWidth="1"/>
    <col min="3843" max="3843" width="0" style="9" hidden="1" customWidth="1"/>
    <col min="3844" max="3844" width="27.5546875" style="9" customWidth="1"/>
    <col min="3845" max="3845" width="20" style="9" customWidth="1"/>
    <col min="3846" max="3846" width="18.33203125" style="9" customWidth="1"/>
    <col min="3847" max="3847" width="20.109375" style="9" customWidth="1"/>
    <col min="3848" max="3848" width="10.6640625" style="9" customWidth="1"/>
    <col min="3849" max="3849" width="14.44140625" style="9" bestFit="1" customWidth="1"/>
    <col min="3850" max="3850" width="10.6640625" style="9" customWidth="1"/>
    <col min="3851" max="3851" width="12.6640625" style="9" bestFit="1" customWidth="1"/>
    <col min="3852" max="3854" width="8.44140625" style="9" customWidth="1"/>
    <col min="3855" max="3857" width="13" style="9" customWidth="1"/>
    <col min="3858" max="3861" width="8.88671875" style="9"/>
    <col min="3862" max="3862" width="8.6640625" style="9" customWidth="1"/>
    <col min="3863" max="4096" width="8.88671875" style="9"/>
    <col min="4097" max="4097" width="2.6640625" style="9" customWidth="1"/>
    <col min="4098" max="4098" width="114.44140625" style="9" customWidth="1"/>
    <col min="4099" max="4099" width="0" style="9" hidden="1" customWidth="1"/>
    <col min="4100" max="4100" width="27.5546875" style="9" customWidth="1"/>
    <col min="4101" max="4101" width="20" style="9" customWidth="1"/>
    <col min="4102" max="4102" width="18.33203125" style="9" customWidth="1"/>
    <col min="4103" max="4103" width="20.109375" style="9" customWidth="1"/>
    <col min="4104" max="4104" width="10.6640625" style="9" customWidth="1"/>
    <col min="4105" max="4105" width="14.44140625" style="9" bestFit="1" customWidth="1"/>
    <col min="4106" max="4106" width="10.6640625" style="9" customWidth="1"/>
    <col min="4107" max="4107" width="12.6640625" style="9" bestFit="1" customWidth="1"/>
    <col min="4108" max="4110" width="8.44140625" style="9" customWidth="1"/>
    <col min="4111" max="4113" width="13" style="9" customWidth="1"/>
    <col min="4114" max="4117" width="8.88671875" style="9"/>
    <col min="4118" max="4118" width="8.6640625" style="9" customWidth="1"/>
    <col min="4119" max="4352" width="8.88671875" style="9"/>
    <col min="4353" max="4353" width="2.6640625" style="9" customWidth="1"/>
    <col min="4354" max="4354" width="114.44140625" style="9" customWidth="1"/>
    <col min="4355" max="4355" width="0" style="9" hidden="1" customWidth="1"/>
    <col min="4356" max="4356" width="27.5546875" style="9" customWidth="1"/>
    <col min="4357" max="4357" width="20" style="9" customWidth="1"/>
    <col min="4358" max="4358" width="18.33203125" style="9" customWidth="1"/>
    <col min="4359" max="4359" width="20.109375" style="9" customWidth="1"/>
    <col min="4360" max="4360" width="10.6640625" style="9" customWidth="1"/>
    <col min="4361" max="4361" width="14.44140625" style="9" bestFit="1" customWidth="1"/>
    <col min="4362" max="4362" width="10.6640625" style="9" customWidth="1"/>
    <col min="4363" max="4363" width="12.6640625" style="9" bestFit="1" customWidth="1"/>
    <col min="4364" max="4366" width="8.44140625" style="9" customWidth="1"/>
    <col min="4367" max="4369" width="13" style="9" customWidth="1"/>
    <col min="4370" max="4373" width="8.88671875" style="9"/>
    <col min="4374" max="4374" width="8.6640625" style="9" customWidth="1"/>
    <col min="4375" max="4608" width="8.88671875" style="9"/>
    <col min="4609" max="4609" width="2.6640625" style="9" customWidth="1"/>
    <col min="4610" max="4610" width="114.44140625" style="9" customWidth="1"/>
    <col min="4611" max="4611" width="0" style="9" hidden="1" customWidth="1"/>
    <col min="4612" max="4612" width="27.5546875" style="9" customWidth="1"/>
    <col min="4613" max="4613" width="20" style="9" customWidth="1"/>
    <col min="4614" max="4614" width="18.33203125" style="9" customWidth="1"/>
    <col min="4615" max="4615" width="20.109375" style="9" customWidth="1"/>
    <col min="4616" max="4616" width="10.6640625" style="9" customWidth="1"/>
    <col min="4617" max="4617" width="14.44140625" style="9" bestFit="1" customWidth="1"/>
    <col min="4618" max="4618" width="10.6640625" style="9" customWidth="1"/>
    <col min="4619" max="4619" width="12.6640625" style="9" bestFit="1" customWidth="1"/>
    <col min="4620" max="4622" width="8.44140625" style="9" customWidth="1"/>
    <col min="4623" max="4625" width="13" style="9" customWidth="1"/>
    <col min="4626" max="4629" width="8.88671875" style="9"/>
    <col min="4630" max="4630" width="8.6640625" style="9" customWidth="1"/>
    <col min="4631" max="4864" width="8.88671875" style="9"/>
    <col min="4865" max="4865" width="2.6640625" style="9" customWidth="1"/>
    <col min="4866" max="4866" width="114.44140625" style="9" customWidth="1"/>
    <col min="4867" max="4867" width="0" style="9" hidden="1" customWidth="1"/>
    <col min="4868" max="4868" width="27.5546875" style="9" customWidth="1"/>
    <col min="4869" max="4869" width="20" style="9" customWidth="1"/>
    <col min="4870" max="4870" width="18.33203125" style="9" customWidth="1"/>
    <col min="4871" max="4871" width="20.109375" style="9" customWidth="1"/>
    <col min="4872" max="4872" width="10.6640625" style="9" customWidth="1"/>
    <col min="4873" max="4873" width="14.44140625" style="9" bestFit="1" customWidth="1"/>
    <col min="4874" max="4874" width="10.6640625" style="9" customWidth="1"/>
    <col min="4875" max="4875" width="12.6640625" style="9" bestFit="1" customWidth="1"/>
    <col min="4876" max="4878" width="8.44140625" style="9" customWidth="1"/>
    <col min="4879" max="4881" width="13" style="9" customWidth="1"/>
    <col min="4882" max="4885" width="8.88671875" style="9"/>
    <col min="4886" max="4886" width="8.6640625" style="9" customWidth="1"/>
    <col min="4887" max="5120" width="8.88671875" style="9"/>
    <col min="5121" max="5121" width="2.6640625" style="9" customWidth="1"/>
    <col min="5122" max="5122" width="114.44140625" style="9" customWidth="1"/>
    <col min="5123" max="5123" width="0" style="9" hidden="1" customWidth="1"/>
    <col min="5124" max="5124" width="27.5546875" style="9" customWidth="1"/>
    <col min="5125" max="5125" width="20" style="9" customWidth="1"/>
    <col min="5126" max="5126" width="18.33203125" style="9" customWidth="1"/>
    <col min="5127" max="5127" width="20.109375" style="9" customWidth="1"/>
    <col min="5128" max="5128" width="10.6640625" style="9" customWidth="1"/>
    <col min="5129" max="5129" width="14.44140625" style="9" bestFit="1" customWidth="1"/>
    <col min="5130" max="5130" width="10.6640625" style="9" customWidth="1"/>
    <col min="5131" max="5131" width="12.6640625" style="9" bestFit="1" customWidth="1"/>
    <col min="5132" max="5134" width="8.44140625" style="9" customWidth="1"/>
    <col min="5135" max="5137" width="13" style="9" customWidth="1"/>
    <col min="5138" max="5141" width="8.88671875" style="9"/>
    <col min="5142" max="5142" width="8.6640625" style="9" customWidth="1"/>
    <col min="5143" max="5376" width="8.88671875" style="9"/>
    <col min="5377" max="5377" width="2.6640625" style="9" customWidth="1"/>
    <col min="5378" max="5378" width="114.44140625" style="9" customWidth="1"/>
    <col min="5379" max="5379" width="0" style="9" hidden="1" customWidth="1"/>
    <col min="5380" max="5380" width="27.5546875" style="9" customWidth="1"/>
    <col min="5381" max="5381" width="20" style="9" customWidth="1"/>
    <col min="5382" max="5382" width="18.33203125" style="9" customWidth="1"/>
    <col min="5383" max="5383" width="20.109375" style="9" customWidth="1"/>
    <col min="5384" max="5384" width="10.6640625" style="9" customWidth="1"/>
    <col min="5385" max="5385" width="14.44140625" style="9" bestFit="1" customWidth="1"/>
    <col min="5386" max="5386" width="10.6640625" style="9" customWidth="1"/>
    <col min="5387" max="5387" width="12.6640625" style="9" bestFit="1" customWidth="1"/>
    <col min="5388" max="5390" width="8.44140625" style="9" customWidth="1"/>
    <col min="5391" max="5393" width="13" style="9" customWidth="1"/>
    <col min="5394" max="5397" width="8.88671875" style="9"/>
    <col min="5398" max="5398" width="8.6640625" style="9" customWidth="1"/>
    <col min="5399" max="5632" width="8.88671875" style="9"/>
    <col min="5633" max="5633" width="2.6640625" style="9" customWidth="1"/>
    <col min="5634" max="5634" width="114.44140625" style="9" customWidth="1"/>
    <col min="5635" max="5635" width="0" style="9" hidden="1" customWidth="1"/>
    <col min="5636" max="5636" width="27.5546875" style="9" customWidth="1"/>
    <col min="5637" max="5637" width="20" style="9" customWidth="1"/>
    <col min="5638" max="5638" width="18.33203125" style="9" customWidth="1"/>
    <col min="5639" max="5639" width="20.109375" style="9" customWidth="1"/>
    <col min="5640" max="5640" width="10.6640625" style="9" customWidth="1"/>
    <col min="5641" max="5641" width="14.44140625" style="9" bestFit="1" customWidth="1"/>
    <col min="5642" max="5642" width="10.6640625" style="9" customWidth="1"/>
    <col min="5643" max="5643" width="12.6640625" style="9" bestFit="1" customWidth="1"/>
    <col min="5644" max="5646" width="8.44140625" style="9" customWidth="1"/>
    <col min="5647" max="5649" width="13" style="9" customWidth="1"/>
    <col min="5650" max="5653" width="8.88671875" style="9"/>
    <col min="5654" max="5654" width="8.6640625" style="9" customWidth="1"/>
    <col min="5655" max="5888" width="8.88671875" style="9"/>
    <col min="5889" max="5889" width="2.6640625" style="9" customWidth="1"/>
    <col min="5890" max="5890" width="114.44140625" style="9" customWidth="1"/>
    <col min="5891" max="5891" width="0" style="9" hidden="1" customWidth="1"/>
    <col min="5892" max="5892" width="27.5546875" style="9" customWidth="1"/>
    <col min="5893" max="5893" width="20" style="9" customWidth="1"/>
    <col min="5894" max="5894" width="18.33203125" style="9" customWidth="1"/>
    <col min="5895" max="5895" width="20.109375" style="9" customWidth="1"/>
    <col min="5896" max="5896" width="10.6640625" style="9" customWidth="1"/>
    <col min="5897" max="5897" width="14.44140625" style="9" bestFit="1" customWidth="1"/>
    <col min="5898" max="5898" width="10.6640625" style="9" customWidth="1"/>
    <col min="5899" max="5899" width="12.6640625" style="9" bestFit="1" customWidth="1"/>
    <col min="5900" max="5902" width="8.44140625" style="9" customWidth="1"/>
    <col min="5903" max="5905" width="13" style="9" customWidth="1"/>
    <col min="5906" max="5909" width="8.88671875" style="9"/>
    <col min="5910" max="5910" width="8.6640625" style="9" customWidth="1"/>
    <col min="5911" max="6144" width="8.88671875" style="9"/>
    <col min="6145" max="6145" width="2.6640625" style="9" customWidth="1"/>
    <col min="6146" max="6146" width="114.44140625" style="9" customWidth="1"/>
    <col min="6147" max="6147" width="0" style="9" hidden="1" customWidth="1"/>
    <col min="6148" max="6148" width="27.5546875" style="9" customWidth="1"/>
    <col min="6149" max="6149" width="20" style="9" customWidth="1"/>
    <col min="6150" max="6150" width="18.33203125" style="9" customWidth="1"/>
    <col min="6151" max="6151" width="20.109375" style="9" customWidth="1"/>
    <col min="6152" max="6152" width="10.6640625" style="9" customWidth="1"/>
    <col min="6153" max="6153" width="14.44140625" style="9" bestFit="1" customWidth="1"/>
    <col min="6154" max="6154" width="10.6640625" style="9" customWidth="1"/>
    <col min="6155" max="6155" width="12.6640625" style="9" bestFit="1" customWidth="1"/>
    <col min="6156" max="6158" width="8.44140625" style="9" customWidth="1"/>
    <col min="6159" max="6161" width="13" style="9" customWidth="1"/>
    <col min="6162" max="6165" width="8.88671875" style="9"/>
    <col min="6166" max="6166" width="8.6640625" style="9" customWidth="1"/>
    <col min="6167" max="6400" width="8.88671875" style="9"/>
    <col min="6401" max="6401" width="2.6640625" style="9" customWidth="1"/>
    <col min="6402" max="6402" width="114.44140625" style="9" customWidth="1"/>
    <col min="6403" max="6403" width="0" style="9" hidden="1" customWidth="1"/>
    <col min="6404" max="6404" width="27.5546875" style="9" customWidth="1"/>
    <col min="6405" max="6405" width="20" style="9" customWidth="1"/>
    <col min="6406" max="6406" width="18.33203125" style="9" customWidth="1"/>
    <col min="6407" max="6407" width="20.109375" style="9" customWidth="1"/>
    <col min="6408" max="6408" width="10.6640625" style="9" customWidth="1"/>
    <col min="6409" max="6409" width="14.44140625" style="9" bestFit="1" customWidth="1"/>
    <col min="6410" max="6410" width="10.6640625" style="9" customWidth="1"/>
    <col min="6411" max="6411" width="12.6640625" style="9" bestFit="1" customWidth="1"/>
    <col min="6412" max="6414" width="8.44140625" style="9" customWidth="1"/>
    <col min="6415" max="6417" width="13" style="9" customWidth="1"/>
    <col min="6418" max="6421" width="8.88671875" style="9"/>
    <col min="6422" max="6422" width="8.6640625" style="9" customWidth="1"/>
    <col min="6423" max="6656" width="8.88671875" style="9"/>
    <col min="6657" max="6657" width="2.6640625" style="9" customWidth="1"/>
    <col min="6658" max="6658" width="114.44140625" style="9" customWidth="1"/>
    <col min="6659" max="6659" width="0" style="9" hidden="1" customWidth="1"/>
    <col min="6660" max="6660" width="27.5546875" style="9" customWidth="1"/>
    <col min="6661" max="6661" width="20" style="9" customWidth="1"/>
    <col min="6662" max="6662" width="18.33203125" style="9" customWidth="1"/>
    <col min="6663" max="6663" width="20.109375" style="9" customWidth="1"/>
    <col min="6664" max="6664" width="10.6640625" style="9" customWidth="1"/>
    <col min="6665" max="6665" width="14.44140625" style="9" bestFit="1" customWidth="1"/>
    <col min="6666" max="6666" width="10.6640625" style="9" customWidth="1"/>
    <col min="6667" max="6667" width="12.6640625" style="9" bestFit="1" customWidth="1"/>
    <col min="6668" max="6670" width="8.44140625" style="9" customWidth="1"/>
    <col min="6671" max="6673" width="13" style="9" customWidth="1"/>
    <col min="6674" max="6677" width="8.88671875" style="9"/>
    <col min="6678" max="6678" width="8.6640625" style="9" customWidth="1"/>
    <col min="6679" max="6912" width="8.88671875" style="9"/>
    <col min="6913" max="6913" width="2.6640625" style="9" customWidth="1"/>
    <col min="6914" max="6914" width="114.44140625" style="9" customWidth="1"/>
    <col min="6915" max="6915" width="0" style="9" hidden="1" customWidth="1"/>
    <col min="6916" max="6916" width="27.5546875" style="9" customWidth="1"/>
    <col min="6917" max="6917" width="20" style="9" customWidth="1"/>
    <col min="6918" max="6918" width="18.33203125" style="9" customWidth="1"/>
    <col min="6919" max="6919" width="20.109375" style="9" customWidth="1"/>
    <col min="6920" max="6920" width="10.6640625" style="9" customWidth="1"/>
    <col min="6921" max="6921" width="14.44140625" style="9" bestFit="1" customWidth="1"/>
    <col min="6922" max="6922" width="10.6640625" style="9" customWidth="1"/>
    <col min="6923" max="6923" width="12.6640625" style="9" bestFit="1" customWidth="1"/>
    <col min="6924" max="6926" width="8.44140625" style="9" customWidth="1"/>
    <col min="6927" max="6929" width="13" style="9" customWidth="1"/>
    <col min="6930" max="6933" width="8.88671875" style="9"/>
    <col min="6934" max="6934" width="8.6640625" style="9" customWidth="1"/>
    <col min="6935" max="7168" width="8.88671875" style="9"/>
    <col min="7169" max="7169" width="2.6640625" style="9" customWidth="1"/>
    <col min="7170" max="7170" width="114.44140625" style="9" customWidth="1"/>
    <col min="7171" max="7171" width="0" style="9" hidden="1" customWidth="1"/>
    <col min="7172" max="7172" width="27.5546875" style="9" customWidth="1"/>
    <col min="7173" max="7173" width="20" style="9" customWidth="1"/>
    <col min="7174" max="7174" width="18.33203125" style="9" customWidth="1"/>
    <col min="7175" max="7175" width="20.109375" style="9" customWidth="1"/>
    <col min="7176" max="7176" width="10.6640625" style="9" customWidth="1"/>
    <col min="7177" max="7177" width="14.44140625" style="9" bestFit="1" customWidth="1"/>
    <col min="7178" max="7178" width="10.6640625" style="9" customWidth="1"/>
    <col min="7179" max="7179" width="12.6640625" style="9" bestFit="1" customWidth="1"/>
    <col min="7180" max="7182" width="8.44140625" style="9" customWidth="1"/>
    <col min="7183" max="7185" width="13" style="9" customWidth="1"/>
    <col min="7186" max="7189" width="8.88671875" style="9"/>
    <col min="7190" max="7190" width="8.6640625" style="9" customWidth="1"/>
    <col min="7191" max="7424" width="8.88671875" style="9"/>
    <col min="7425" max="7425" width="2.6640625" style="9" customWidth="1"/>
    <col min="7426" max="7426" width="114.44140625" style="9" customWidth="1"/>
    <col min="7427" max="7427" width="0" style="9" hidden="1" customWidth="1"/>
    <col min="7428" max="7428" width="27.5546875" style="9" customWidth="1"/>
    <col min="7429" max="7429" width="20" style="9" customWidth="1"/>
    <col min="7430" max="7430" width="18.33203125" style="9" customWidth="1"/>
    <col min="7431" max="7431" width="20.109375" style="9" customWidth="1"/>
    <col min="7432" max="7432" width="10.6640625" style="9" customWidth="1"/>
    <col min="7433" max="7433" width="14.44140625" style="9" bestFit="1" customWidth="1"/>
    <col min="7434" max="7434" width="10.6640625" style="9" customWidth="1"/>
    <col min="7435" max="7435" width="12.6640625" style="9" bestFit="1" customWidth="1"/>
    <col min="7436" max="7438" width="8.44140625" style="9" customWidth="1"/>
    <col min="7439" max="7441" width="13" style="9" customWidth="1"/>
    <col min="7442" max="7445" width="8.88671875" style="9"/>
    <col min="7446" max="7446" width="8.6640625" style="9" customWidth="1"/>
    <col min="7447" max="7680" width="8.88671875" style="9"/>
    <col min="7681" max="7681" width="2.6640625" style="9" customWidth="1"/>
    <col min="7682" max="7682" width="114.44140625" style="9" customWidth="1"/>
    <col min="7683" max="7683" width="0" style="9" hidden="1" customWidth="1"/>
    <col min="7684" max="7684" width="27.5546875" style="9" customWidth="1"/>
    <col min="7685" max="7685" width="20" style="9" customWidth="1"/>
    <col min="7686" max="7686" width="18.33203125" style="9" customWidth="1"/>
    <col min="7687" max="7687" width="20.109375" style="9" customWidth="1"/>
    <col min="7688" max="7688" width="10.6640625" style="9" customWidth="1"/>
    <col min="7689" max="7689" width="14.44140625" style="9" bestFit="1" customWidth="1"/>
    <col min="7690" max="7690" width="10.6640625" style="9" customWidth="1"/>
    <col min="7691" max="7691" width="12.6640625" style="9" bestFit="1" customWidth="1"/>
    <col min="7692" max="7694" width="8.44140625" style="9" customWidth="1"/>
    <col min="7695" max="7697" width="13" style="9" customWidth="1"/>
    <col min="7698" max="7701" width="8.88671875" style="9"/>
    <col min="7702" max="7702" width="8.6640625" style="9" customWidth="1"/>
    <col min="7703" max="7936" width="8.88671875" style="9"/>
    <col min="7937" max="7937" width="2.6640625" style="9" customWidth="1"/>
    <col min="7938" max="7938" width="114.44140625" style="9" customWidth="1"/>
    <col min="7939" max="7939" width="0" style="9" hidden="1" customWidth="1"/>
    <col min="7940" max="7940" width="27.5546875" style="9" customWidth="1"/>
    <col min="7941" max="7941" width="20" style="9" customWidth="1"/>
    <col min="7942" max="7942" width="18.33203125" style="9" customWidth="1"/>
    <col min="7943" max="7943" width="20.109375" style="9" customWidth="1"/>
    <col min="7944" max="7944" width="10.6640625" style="9" customWidth="1"/>
    <col min="7945" max="7945" width="14.44140625" style="9" bestFit="1" customWidth="1"/>
    <col min="7946" max="7946" width="10.6640625" style="9" customWidth="1"/>
    <col min="7947" max="7947" width="12.6640625" style="9" bestFit="1" customWidth="1"/>
    <col min="7948" max="7950" width="8.44140625" style="9" customWidth="1"/>
    <col min="7951" max="7953" width="13" style="9" customWidth="1"/>
    <col min="7954" max="7957" width="8.88671875" style="9"/>
    <col min="7958" max="7958" width="8.6640625" style="9" customWidth="1"/>
    <col min="7959" max="8192" width="8.88671875" style="9"/>
    <col min="8193" max="8193" width="2.6640625" style="9" customWidth="1"/>
    <col min="8194" max="8194" width="114.44140625" style="9" customWidth="1"/>
    <col min="8195" max="8195" width="0" style="9" hidden="1" customWidth="1"/>
    <col min="8196" max="8196" width="27.5546875" style="9" customWidth="1"/>
    <col min="8197" max="8197" width="20" style="9" customWidth="1"/>
    <col min="8198" max="8198" width="18.33203125" style="9" customWidth="1"/>
    <col min="8199" max="8199" width="20.109375" style="9" customWidth="1"/>
    <col min="8200" max="8200" width="10.6640625" style="9" customWidth="1"/>
    <col min="8201" max="8201" width="14.44140625" style="9" bestFit="1" customWidth="1"/>
    <col min="8202" max="8202" width="10.6640625" style="9" customWidth="1"/>
    <col min="8203" max="8203" width="12.6640625" style="9" bestFit="1" customWidth="1"/>
    <col min="8204" max="8206" width="8.44140625" style="9" customWidth="1"/>
    <col min="8207" max="8209" width="13" style="9" customWidth="1"/>
    <col min="8210" max="8213" width="8.88671875" style="9"/>
    <col min="8214" max="8214" width="8.6640625" style="9" customWidth="1"/>
    <col min="8215" max="8448" width="8.88671875" style="9"/>
    <col min="8449" max="8449" width="2.6640625" style="9" customWidth="1"/>
    <col min="8450" max="8450" width="114.44140625" style="9" customWidth="1"/>
    <col min="8451" max="8451" width="0" style="9" hidden="1" customWidth="1"/>
    <col min="8452" max="8452" width="27.5546875" style="9" customWidth="1"/>
    <col min="8453" max="8453" width="20" style="9" customWidth="1"/>
    <col min="8454" max="8454" width="18.33203125" style="9" customWidth="1"/>
    <col min="8455" max="8455" width="20.109375" style="9" customWidth="1"/>
    <col min="8456" max="8456" width="10.6640625" style="9" customWidth="1"/>
    <col min="8457" max="8457" width="14.44140625" style="9" bestFit="1" customWidth="1"/>
    <col min="8458" max="8458" width="10.6640625" style="9" customWidth="1"/>
    <col min="8459" max="8459" width="12.6640625" style="9" bestFit="1" customWidth="1"/>
    <col min="8460" max="8462" width="8.44140625" style="9" customWidth="1"/>
    <col min="8463" max="8465" width="13" style="9" customWidth="1"/>
    <col min="8466" max="8469" width="8.88671875" style="9"/>
    <col min="8470" max="8470" width="8.6640625" style="9" customWidth="1"/>
    <col min="8471" max="8704" width="8.88671875" style="9"/>
    <col min="8705" max="8705" width="2.6640625" style="9" customWidth="1"/>
    <col min="8706" max="8706" width="114.44140625" style="9" customWidth="1"/>
    <col min="8707" max="8707" width="0" style="9" hidden="1" customWidth="1"/>
    <col min="8708" max="8708" width="27.5546875" style="9" customWidth="1"/>
    <col min="8709" max="8709" width="20" style="9" customWidth="1"/>
    <col min="8710" max="8710" width="18.33203125" style="9" customWidth="1"/>
    <col min="8711" max="8711" width="20.109375" style="9" customWidth="1"/>
    <col min="8712" max="8712" width="10.6640625" style="9" customWidth="1"/>
    <col min="8713" max="8713" width="14.44140625" style="9" bestFit="1" customWidth="1"/>
    <col min="8714" max="8714" width="10.6640625" style="9" customWidth="1"/>
    <col min="8715" max="8715" width="12.6640625" style="9" bestFit="1" customWidth="1"/>
    <col min="8716" max="8718" width="8.44140625" style="9" customWidth="1"/>
    <col min="8719" max="8721" width="13" style="9" customWidth="1"/>
    <col min="8722" max="8725" width="8.88671875" style="9"/>
    <col min="8726" max="8726" width="8.6640625" style="9" customWidth="1"/>
    <col min="8727" max="8960" width="8.88671875" style="9"/>
    <col min="8961" max="8961" width="2.6640625" style="9" customWidth="1"/>
    <col min="8962" max="8962" width="114.44140625" style="9" customWidth="1"/>
    <col min="8963" max="8963" width="0" style="9" hidden="1" customWidth="1"/>
    <col min="8964" max="8964" width="27.5546875" style="9" customWidth="1"/>
    <col min="8965" max="8965" width="20" style="9" customWidth="1"/>
    <col min="8966" max="8966" width="18.33203125" style="9" customWidth="1"/>
    <col min="8967" max="8967" width="20.109375" style="9" customWidth="1"/>
    <col min="8968" max="8968" width="10.6640625" style="9" customWidth="1"/>
    <col min="8969" max="8969" width="14.44140625" style="9" bestFit="1" customWidth="1"/>
    <col min="8970" max="8970" width="10.6640625" style="9" customWidth="1"/>
    <col min="8971" max="8971" width="12.6640625" style="9" bestFit="1" customWidth="1"/>
    <col min="8972" max="8974" width="8.44140625" style="9" customWidth="1"/>
    <col min="8975" max="8977" width="13" style="9" customWidth="1"/>
    <col min="8978" max="8981" width="8.88671875" style="9"/>
    <col min="8982" max="8982" width="8.6640625" style="9" customWidth="1"/>
    <col min="8983" max="9216" width="8.88671875" style="9"/>
    <col min="9217" max="9217" width="2.6640625" style="9" customWidth="1"/>
    <col min="9218" max="9218" width="114.44140625" style="9" customWidth="1"/>
    <col min="9219" max="9219" width="0" style="9" hidden="1" customWidth="1"/>
    <col min="9220" max="9220" width="27.5546875" style="9" customWidth="1"/>
    <col min="9221" max="9221" width="20" style="9" customWidth="1"/>
    <col min="9222" max="9222" width="18.33203125" style="9" customWidth="1"/>
    <col min="9223" max="9223" width="20.109375" style="9" customWidth="1"/>
    <col min="9224" max="9224" width="10.6640625" style="9" customWidth="1"/>
    <col min="9225" max="9225" width="14.44140625" style="9" bestFit="1" customWidth="1"/>
    <col min="9226" max="9226" width="10.6640625" style="9" customWidth="1"/>
    <col min="9227" max="9227" width="12.6640625" style="9" bestFit="1" customWidth="1"/>
    <col min="9228" max="9230" width="8.44140625" style="9" customWidth="1"/>
    <col min="9231" max="9233" width="13" style="9" customWidth="1"/>
    <col min="9234" max="9237" width="8.88671875" style="9"/>
    <col min="9238" max="9238" width="8.6640625" style="9" customWidth="1"/>
    <col min="9239" max="9472" width="8.88671875" style="9"/>
    <col min="9473" max="9473" width="2.6640625" style="9" customWidth="1"/>
    <col min="9474" max="9474" width="114.44140625" style="9" customWidth="1"/>
    <col min="9475" max="9475" width="0" style="9" hidden="1" customWidth="1"/>
    <col min="9476" max="9476" width="27.5546875" style="9" customWidth="1"/>
    <col min="9477" max="9477" width="20" style="9" customWidth="1"/>
    <col min="9478" max="9478" width="18.33203125" style="9" customWidth="1"/>
    <col min="9479" max="9479" width="20.109375" style="9" customWidth="1"/>
    <col min="9480" max="9480" width="10.6640625" style="9" customWidth="1"/>
    <col min="9481" max="9481" width="14.44140625" style="9" bestFit="1" customWidth="1"/>
    <col min="9482" max="9482" width="10.6640625" style="9" customWidth="1"/>
    <col min="9483" max="9483" width="12.6640625" style="9" bestFit="1" customWidth="1"/>
    <col min="9484" max="9486" width="8.44140625" style="9" customWidth="1"/>
    <col min="9487" max="9489" width="13" style="9" customWidth="1"/>
    <col min="9490" max="9493" width="8.88671875" style="9"/>
    <col min="9494" max="9494" width="8.6640625" style="9" customWidth="1"/>
    <col min="9495" max="9728" width="8.88671875" style="9"/>
    <col min="9729" max="9729" width="2.6640625" style="9" customWidth="1"/>
    <col min="9730" max="9730" width="114.44140625" style="9" customWidth="1"/>
    <col min="9731" max="9731" width="0" style="9" hidden="1" customWidth="1"/>
    <col min="9732" max="9732" width="27.5546875" style="9" customWidth="1"/>
    <col min="9733" max="9733" width="20" style="9" customWidth="1"/>
    <col min="9734" max="9734" width="18.33203125" style="9" customWidth="1"/>
    <col min="9735" max="9735" width="20.109375" style="9" customWidth="1"/>
    <col min="9736" max="9736" width="10.6640625" style="9" customWidth="1"/>
    <col min="9737" max="9737" width="14.44140625" style="9" bestFit="1" customWidth="1"/>
    <col min="9738" max="9738" width="10.6640625" style="9" customWidth="1"/>
    <col min="9739" max="9739" width="12.6640625" style="9" bestFit="1" customWidth="1"/>
    <col min="9740" max="9742" width="8.44140625" style="9" customWidth="1"/>
    <col min="9743" max="9745" width="13" style="9" customWidth="1"/>
    <col min="9746" max="9749" width="8.88671875" style="9"/>
    <col min="9750" max="9750" width="8.6640625" style="9" customWidth="1"/>
    <col min="9751" max="9984" width="8.88671875" style="9"/>
    <col min="9985" max="9985" width="2.6640625" style="9" customWidth="1"/>
    <col min="9986" max="9986" width="114.44140625" style="9" customWidth="1"/>
    <col min="9987" max="9987" width="0" style="9" hidden="1" customWidth="1"/>
    <col min="9988" max="9988" width="27.5546875" style="9" customWidth="1"/>
    <col min="9989" max="9989" width="20" style="9" customWidth="1"/>
    <col min="9990" max="9990" width="18.33203125" style="9" customWidth="1"/>
    <col min="9991" max="9991" width="20.109375" style="9" customWidth="1"/>
    <col min="9992" max="9992" width="10.6640625" style="9" customWidth="1"/>
    <col min="9993" max="9993" width="14.44140625" style="9" bestFit="1" customWidth="1"/>
    <col min="9994" max="9994" width="10.6640625" style="9" customWidth="1"/>
    <col min="9995" max="9995" width="12.6640625" style="9" bestFit="1" customWidth="1"/>
    <col min="9996" max="9998" width="8.44140625" style="9" customWidth="1"/>
    <col min="9999" max="10001" width="13" style="9" customWidth="1"/>
    <col min="10002" max="10005" width="8.88671875" style="9"/>
    <col min="10006" max="10006" width="8.6640625" style="9" customWidth="1"/>
    <col min="10007" max="10240" width="8.88671875" style="9"/>
    <col min="10241" max="10241" width="2.6640625" style="9" customWidth="1"/>
    <col min="10242" max="10242" width="114.44140625" style="9" customWidth="1"/>
    <col min="10243" max="10243" width="0" style="9" hidden="1" customWidth="1"/>
    <col min="10244" max="10244" width="27.5546875" style="9" customWidth="1"/>
    <col min="10245" max="10245" width="20" style="9" customWidth="1"/>
    <col min="10246" max="10246" width="18.33203125" style="9" customWidth="1"/>
    <col min="10247" max="10247" width="20.109375" style="9" customWidth="1"/>
    <col min="10248" max="10248" width="10.6640625" style="9" customWidth="1"/>
    <col min="10249" max="10249" width="14.44140625" style="9" bestFit="1" customWidth="1"/>
    <col min="10250" max="10250" width="10.6640625" style="9" customWidth="1"/>
    <col min="10251" max="10251" width="12.6640625" style="9" bestFit="1" customWidth="1"/>
    <col min="10252" max="10254" width="8.44140625" style="9" customWidth="1"/>
    <col min="10255" max="10257" width="13" style="9" customWidth="1"/>
    <col min="10258" max="10261" width="8.88671875" style="9"/>
    <col min="10262" max="10262" width="8.6640625" style="9" customWidth="1"/>
    <col min="10263" max="10496" width="8.88671875" style="9"/>
    <col min="10497" max="10497" width="2.6640625" style="9" customWidth="1"/>
    <col min="10498" max="10498" width="114.44140625" style="9" customWidth="1"/>
    <col min="10499" max="10499" width="0" style="9" hidden="1" customWidth="1"/>
    <col min="10500" max="10500" width="27.5546875" style="9" customWidth="1"/>
    <col min="10501" max="10501" width="20" style="9" customWidth="1"/>
    <col min="10502" max="10502" width="18.33203125" style="9" customWidth="1"/>
    <col min="10503" max="10503" width="20.109375" style="9" customWidth="1"/>
    <col min="10504" max="10504" width="10.6640625" style="9" customWidth="1"/>
    <col min="10505" max="10505" width="14.44140625" style="9" bestFit="1" customWidth="1"/>
    <col min="10506" max="10506" width="10.6640625" style="9" customWidth="1"/>
    <col min="10507" max="10507" width="12.6640625" style="9" bestFit="1" customWidth="1"/>
    <col min="10508" max="10510" width="8.44140625" style="9" customWidth="1"/>
    <col min="10511" max="10513" width="13" style="9" customWidth="1"/>
    <col min="10514" max="10517" width="8.88671875" style="9"/>
    <col min="10518" max="10518" width="8.6640625" style="9" customWidth="1"/>
    <col min="10519" max="10752" width="8.88671875" style="9"/>
    <col min="10753" max="10753" width="2.6640625" style="9" customWidth="1"/>
    <col min="10754" max="10754" width="114.44140625" style="9" customWidth="1"/>
    <col min="10755" max="10755" width="0" style="9" hidden="1" customWidth="1"/>
    <col min="10756" max="10756" width="27.5546875" style="9" customWidth="1"/>
    <col min="10757" max="10757" width="20" style="9" customWidth="1"/>
    <col min="10758" max="10758" width="18.33203125" style="9" customWidth="1"/>
    <col min="10759" max="10759" width="20.109375" style="9" customWidth="1"/>
    <col min="10760" max="10760" width="10.6640625" style="9" customWidth="1"/>
    <col min="10761" max="10761" width="14.44140625" style="9" bestFit="1" customWidth="1"/>
    <col min="10762" max="10762" width="10.6640625" style="9" customWidth="1"/>
    <col min="10763" max="10763" width="12.6640625" style="9" bestFit="1" customWidth="1"/>
    <col min="10764" max="10766" width="8.44140625" style="9" customWidth="1"/>
    <col min="10767" max="10769" width="13" style="9" customWidth="1"/>
    <col min="10770" max="10773" width="8.88671875" style="9"/>
    <col min="10774" max="10774" width="8.6640625" style="9" customWidth="1"/>
    <col min="10775" max="11008" width="8.88671875" style="9"/>
    <col min="11009" max="11009" width="2.6640625" style="9" customWidth="1"/>
    <col min="11010" max="11010" width="114.44140625" style="9" customWidth="1"/>
    <col min="11011" max="11011" width="0" style="9" hidden="1" customWidth="1"/>
    <col min="11012" max="11012" width="27.5546875" style="9" customWidth="1"/>
    <col min="11013" max="11013" width="20" style="9" customWidth="1"/>
    <col min="11014" max="11014" width="18.33203125" style="9" customWidth="1"/>
    <col min="11015" max="11015" width="20.109375" style="9" customWidth="1"/>
    <col min="11016" max="11016" width="10.6640625" style="9" customWidth="1"/>
    <col min="11017" max="11017" width="14.44140625" style="9" bestFit="1" customWidth="1"/>
    <col min="11018" max="11018" width="10.6640625" style="9" customWidth="1"/>
    <col min="11019" max="11019" width="12.6640625" style="9" bestFit="1" customWidth="1"/>
    <col min="11020" max="11022" width="8.44140625" style="9" customWidth="1"/>
    <col min="11023" max="11025" width="13" style="9" customWidth="1"/>
    <col min="11026" max="11029" width="8.88671875" style="9"/>
    <col min="11030" max="11030" width="8.6640625" style="9" customWidth="1"/>
    <col min="11031" max="11264" width="8.88671875" style="9"/>
    <col min="11265" max="11265" width="2.6640625" style="9" customWidth="1"/>
    <col min="11266" max="11266" width="114.44140625" style="9" customWidth="1"/>
    <col min="11267" max="11267" width="0" style="9" hidden="1" customWidth="1"/>
    <col min="11268" max="11268" width="27.5546875" style="9" customWidth="1"/>
    <col min="11269" max="11269" width="20" style="9" customWidth="1"/>
    <col min="11270" max="11270" width="18.33203125" style="9" customWidth="1"/>
    <col min="11271" max="11271" width="20.109375" style="9" customWidth="1"/>
    <col min="11272" max="11272" width="10.6640625" style="9" customWidth="1"/>
    <col min="11273" max="11273" width="14.44140625" style="9" bestFit="1" customWidth="1"/>
    <col min="11274" max="11274" width="10.6640625" style="9" customWidth="1"/>
    <col min="11275" max="11275" width="12.6640625" style="9" bestFit="1" customWidth="1"/>
    <col min="11276" max="11278" width="8.44140625" style="9" customWidth="1"/>
    <col min="11279" max="11281" width="13" style="9" customWidth="1"/>
    <col min="11282" max="11285" width="8.88671875" style="9"/>
    <col min="11286" max="11286" width="8.6640625" style="9" customWidth="1"/>
    <col min="11287" max="11520" width="8.88671875" style="9"/>
    <col min="11521" max="11521" width="2.6640625" style="9" customWidth="1"/>
    <col min="11522" max="11522" width="114.44140625" style="9" customWidth="1"/>
    <col min="11523" max="11523" width="0" style="9" hidden="1" customWidth="1"/>
    <col min="11524" max="11524" width="27.5546875" style="9" customWidth="1"/>
    <col min="11525" max="11525" width="20" style="9" customWidth="1"/>
    <col min="11526" max="11526" width="18.33203125" style="9" customWidth="1"/>
    <col min="11527" max="11527" width="20.109375" style="9" customWidth="1"/>
    <col min="11528" max="11528" width="10.6640625" style="9" customWidth="1"/>
    <col min="11529" max="11529" width="14.44140625" style="9" bestFit="1" customWidth="1"/>
    <col min="11530" max="11530" width="10.6640625" style="9" customWidth="1"/>
    <col min="11531" max="11531" width="12.6640625" style="9" bestFit="1" customWidth="1"/>
    <col min="11532" max="11534" width="8.44140625" style="9" customWidth="1"/>
    <col min="11535" max="11537" width="13" style="9" customWidth="1"/>
    <col min="11538" max="11541" width="8.88671875" style="9"/>
    <col min="11542" max="11542" width="8.6640625" style="9" customWidth="1"/>
    <col min="11543" max="11776" width="8.88671875" style="9"/>
    <col min="11777" max="11777" width="2.6640625" style="9" customWidth="1"/>
    <col min="11778" max="11778" width="114.44140625" style="9" customWidth="1"/>
    <col min="11779" max="11779" width="0" style="9" hidden="1" customWidth="1"/>
    <col min="11780" max="11780" width="27.5546875" style="9" customWidth="1"/>
    <col min="11781" max="11781" width="20" style="9" customWidth="1"/>
    <col min="11782" max="11782" width="18.33203125" style="9" customWidth="1"/>
    <col min="11783" max="11783" width="20.109375" style="9" customWidth="1"/>
    <col min="11784" max="11784" width="10.6640625" style="9" customWidth="1"/>
    <col min="11785" max="11785" width="14.44140625" style="9" bestFit="1" customWidth="1"/>
    <col min="11786" max="11786" width="10.6640625" style="9" customWidth="1"/>
    <col min="11787" max="11787" width="12.6640625" style="9" bestFit="1" customWidth="1"/>
    <col min="11788" max="11790" width="8.44140625" style="9" customWidth="1"/>
    <col min="11791" max="11793" width="13" style="9" customWidth="1"/>
    <col min="11794" max="11797" width="8.88671875" style="9"/>
    <col min="11798" max="11798" width="8.6640625" style="9" customWidth="1"/>
    <col min="11799" max="12032" width="8.88671875" style="9"/>
    <col min="12033" max="12033" width="2.6640625" style="9" customWidth="1"/>
    <col min="12034" max="12034" width="114.44140625" style="9" customWidth="1"/>
    <col min="12035" max="12035" width="0" style="9" hidden="1" customWidth="1"/>
    <col min="12036" max="12036" width="27.5546875" style="9" customWidth="1"/>
    <col min="12037" max="12037" width="20" style="9" customWidth="1"/>
    <col min="12038" max="12038" width="18.33203125" style="9" customWidth="1"/>
    <col min="12039" max="12039" width="20.109375" style="9" customWidth="1"/>
    <col min="12040" max="12040" width="10.6640625" style="9" customWidth="1"/>
    <col min="12041" max="12041" width="14.44140625" style="9" bestFit="1" customWidth="1"/>
    <col min="12042" max="12042" width="10.6640625" style="9" customWidth="1"/>
    <col min="12043" max="12043" width="12.6640625" style="9" bestFit="1" customWidth="1"/>
    <col min="12044" max="12046" width="8.44140625" style="9" customWidth="1"/>
    <col min="12047" max="12049" width="13" style="9" customWidth="1"/>
    <col min="12050" max="12053" width="8.88671875" style="9"/>
    <col min="12054" max="12054" width="8.6640625" style="9" customWidth="1"/>
    <col min="12055" max="12288" width="8.88671875" style="9"/>
    <col min="12289" max="12289" width="2.6640625" style="9" customWidth="1"/>
    <col min="12290" max="12290" width="114.44140625" style="9" customWidth="1"/>
    <col min="12291" max="12291" width="0" style="9" hidden="1" customWidth="1"/>
    <col min="12292" max="12292" width="27.5546875" style="9" customWidth="1"/>
    <col min="12293" max="12293" width="20" style="9" customWidth="1"/>
    <col min="12294" max="12294" width="18.33203125" style="9" customWidth="1"/>
    <col min="12295" max="12295" width="20.109375" style="9" customWidth="1"/>
    <col min="12296" max="12296" width="10.6640625" style="9" customWidth="1"/>
    <col min="12297" max="12297" width="14.44140625" style="9" bestFit="1" customWidth="1"/>
    <col min="12298" max="12298" width="10.6640625" style="9" customWidth="1"/>
    <col min="12299" max="12299" width="12.6640625" style="9" bestFit="1" customWidth="1"/>
    <col min="12300" max="12302" width="8.44140625" style="9" customWidth="1"/>
    <col min="12303" max="12305" width="13" style="9" customWidth="1"/>
    <col min="12306" max="12309" width="8.88671875" style="9"/>
    <col min="12310" max="12310" width="8.6640625" style="9" customWidth="1"/>
    <col min="12311" max="12544" width="8.88671875" style="9"/>
    <col min="12545" max="12545" width="2.6640625" style="9" customWidth="1"/>
    <col min="12546" max="12546" width="114.44140625" style="9" customWidth="1"/>
    <col min="12547" max="12547" width="0" style="9" hidden="1" customWidth="1"/>
    <col min="12548" max="12548" width="27.5546875" style="9" customWidth="1"/>
    <col min="12549" max="12549" width="20" style="9" customWidth="1"/>
    <col min="12550" max="12550" width="18.33203125" style="9" customWidth="1"/>
    <col min="12551" max="12551" width="20.109375" style="9" customWidth="1"/>
    <col min="12552" max="12552" width="10.6640625" style="9" customWidth="1"/>
    <col min="12553" max="12553" width="14.44140625" style="9" bestFit="1" customWidth="1"/>
    <col min="12554" max="12554" width="10.6640625" style="9" customWidth="1"/>
    <col min="12555" max="12555" width="12.6640625" style="9" bestFit="1" customWidth="1"/>
    <col min="12556" max="12558" width="8.44140625" style="9" customWidth="1"/>
    <col min="12559" max="12561" width="13" style="9" customWidth="1"/>
    <col min="12562" max="12565" width="8.88671875" style="9"/>
    <col min="12566" max="12566" width="8.6640625" style="9" customWidth="1"/>
    <col min="12567" max="12800" width="8.88671875" style="9"/>
    <col min="12801" max="12801" width="2.6640625" style="9" customWidth="1"/>
    <col min="12802" max="12802" width="114.44140625" style="9" customWidth="1"/>
    <col min="12803" max="12803" width="0" style="9" hidden="1" customWidth="1"/>
    <col min="12804" max="12804" width="27.5546875" style="9" customWidth="1"/>
    <col min="12805" max="12805" width="20" style="9" customWidth="1"/>
    <col min="12806" max="12806" width="18.33203125" style="9" customWidth="1"/>
    <col min="12807" max="12807" width="20.109375" style="9" customWidth="1"/>
    <col min="12808" max="12808" width="10.6640625" style="9" customWidth="1"/>
    <col min="12809" max="12809" width="14.44140625" style="9" bestFit="1" customWidth="1"/>
    <col min="12810" max="12810" width="10.6640625" style="9" customWidth="1"/>
    <col min="12811" max="12811" width="12.6640625" style="9" bestFit="1" customWidth="1"/>
    <col min="12812" max="12814" width="8.44140625" style="9" customWidth="1"/>
    <col min="12815" max="12817" width="13" style="9" customWidth="1"/>
    <col min="12818" max="12821" width="8.88671875" style="9"/>
    <col min="12822" max="12822" width="8.6640625" style="9" customWidth="1"/>
    <col min="12823" max="13056" width="8.88671875" style="9"/>
    <col min="13057" max="13057" width="2.6640625" style="9" customWidth="1"/>
    <col min="13058" max="13058" width="114.44140625" style="9" customWidth="1"/>
    <col min="13059" max="13059" width="0" style="9" hidden="1" customWidth="1"/>
    <col min="13060" max="13060" width="27.5546875" style="9" customWidth="1"/>
    <col min="13061" max="13061" width="20" style="9" customWidth="1"/>
    <col min="13062" max="13062" width="18.33203125" style="9" customWidth="1"/>
    <col min="13063" max="13063" width="20.109375" style="9" customWidth="1"/>
    <col min="13064" max="13064" width="10.6640625" style="9" customWidth="1"/>
    <col min="13065" max="13065" width="14.44140625" style="9" bestFit="1" customWidth="1"/>
    <col min="13066" max="13066" width="10.6640625" style="9" customWidth="1"/>
    <col min="13067" max="13067" width="12.6640625" style="9" bestFit="1" customWidth="1"/>
    <col min="13068" max="13070" width="8.44140625" style="9" customWidth="1"/>
    <col min="13071" max="13073" width="13" style="9" customWidth="1"/>
    <col min="13074" max="13077" width="8.88671875" style="9"/>
    <col min="13078" max="13078" width="8.6640625" style="9" customWidth="1"/>
    <col min="13079" max="13312" width="8.88671875" style="9"/>
    <col min="13313" max="13313" width="2.6640625" style="9" customWidth="1"/>
    <col min="13314" max="13314" width="114.44140625" style="9" customWidth="1"/>
    <col min="13315" max="13315" width="0" style="9" hidden="1" customWidth="1"/>
    <col min="13316" max="13316" width="27.5546875" style="9" customWidth="1"/>
    <col min="13317" max="13317" width="20" style="9" customWidth="1"/>
    <col min="13318" max="13318" width="18.33203125" style="9" customWidth="1"/>
    <col min="13319" max="13319" width="20.109375" style="9" customWidth="1"/>
    <col min="13320" max="13320" width="10.6640625" style="9" customWidth="1"/>
    <col min="13321" max="13321" width="14.44140625" style="9" bestFit="1" customWidth="1"/>
    <col min="13322" max="13322" width="10.6640625" style="9" customWidth="1"/>
    <col min="13323" max="13323" width="12.6640625" style="9" bestFit="1" customWidth="1"/>
    <col min="13324" max="13326" width="8.44140625" style="9" customWidth="1"/>
    <col min="13327" max="13329" width="13" style="9" customWidth="1"/>
    <col min="13330" max="13333" width="8.88671875" style="9"/>
    <col min="13334" max="13334" width="8.6640625" style="9" customWidth="1"/>
    <col min="13335" max="13568" width="8.88671875" style="9"/>
    <col min="13569" max="13569" width="2.6640625" style="9" customWidth="1"/>
    <col min="13570" max="13570" width="114.44140625" style="9" customWidth="1"/>
    <col min="13571" max="13571" width="0" style="9" hidden="1" customWidth="1"/>
    <col min="13572" max="13572" width="27.5546875" style="9" customWidth="1"/>
    <col min="13573" max="13573" width="20" style="9" customWidth="1"/>
    <col min="13574" max="13574" width="18.33203125" style="9" customWidth="1"/>
    <col min="13575" max="13575" width="20.109375" style="9" customWidth="1"/>
    <col min="13576" max="13576" width="10.6640625" style="9" customWidth="1"/>
    <col min="13577" max="13577" width="14.44140625" style="9" bestFit="1" customWidth="1"/>
    <col min="13578" max="13578" width="10.6640625" style="9" customWidth="1"/>
    <col min="13579" max="13579" width="12.6640625" style="9" bestFit="1" customWidth="1"/>
    <col min="13580" max="13582" width="8.44140625" style="9" customWidth="1"/>
    <col min="13583" max="13585" width="13" style="9" customWidth="1"/>
    <col min="13586" max="13589" width="8.88671875" style="9"/>
    <col min="13590" max="13590" width="8.6640625" style="9" customWidth="1"/>
    <col min="13591" max="13824" width="8.88671875" style="9"/>
    <col min="13825" max="13825" width="2.6640625" style="9" customWidth="1"/>
    <col min="13826" max="13826" width="114.44140625" style="9" customWidth="1"/>
    <col min="13827" max="13827" width="0" style="9" hidden="1" customWidth="1"/>
    <col min="13828" max="13828" width="27.5546875" style="9" customWidth="1"/>
    <col min="13829" max="13829" width="20" style="9" customWidth="1"/>
    <col min="13830" max="13830" width="18.33203125" style="9" customWidth="1"/>
    <col min="13831" max="13831" width="20.109375" style="9" customWidth="1"/>
    <col min="13832" max="13832" width="10.6640625" style="9" customWidth="1"/>
    <col min="13833" max="13833" width="14.44140625" style="9" bestFit="1" customWidth="1"/>
    <col min="13834" max="13834" width="10.6640625" style="9" customWidth="1"/>
    <col min="13835" max="13835" width="12.6640625" style="9" bestFit="1" customWidth="1"/>
    <col min="13836" max="13838" width="8.44140625" style="9" customWidth="1"/>
    <col min="13839" max="13841" width="13" style="9" customWidth="1"/>
    <col min="13842" max="13845" width="8.88671875" style="9"/>
    <col min="13846" max="13846" width="8.6640625" style="9" customWidth="1"/>
    <col min="13847" max="14080" width="8.88671875" style="9"/>
    <col min="14081" max="14081" width="2.6640625" style="9" customWidth="1"/>
    <col min="14082" max="14082" width="114.44140625" style="9" customWidth="1"/>
    <col min="14083" max="14083" width="0" style="9" hidden="1" customWidth="1"/>
    <col min="14084" max="14084" width="27.5546875" style="9" customWidth="1"/>
    <col min="14085" max="14085" width="20" style="9" customWidth="1"/>
    <col min="14086" max="14086" width="18.33203125" style="9" customWidth="1"/>
    <col min="14087" max="14087" width="20.109375" style="9" customWidth="1"/>
    <col min="14088" max="14088" width="10.6640625" style="9" customWidth="1"/>
    <col min="14089" max="14089" width="14.44140625" style="9" bestFit="1" customWidth="1"/>
    <col min="14090" max="14090" width="10.6640625" style="9" customWidth="1"/>
    <col min="14091" max="14091" width="12.6640625" style="9" bestFit="1" customWidth="1"/>
    <col min="14092" max="14094" width="8.44140625" style="9" customWidth="1"/>
    <col min="14095" max="14097" width="13" style="9" customWidth="1"/>
    <col min="14098" max="14101" width="8.88671875" style="9"/>
    <col min="14102" max="14102" width="8.6640625" style="9" customWidth="1"/>
    <col min="14103" max="14336" width="8.88671875" style="9"/>
    <col min="14337" max="14337" width="2.6640625" style="9" customWidth="1"/>
    <col min="14338" max="14338" width="114.44140625" style="9" customWidth="1"/>
    <col min="14339" max="14339" width="0" style="9" hidden="1" customWidth="1"/>
    <col min="14340" max="14340" width="27.5546875" style="9" customWidth="1"/>
    <col min="14341" max="14341" width="20" style="9" customWidth="1"/>
    <col min="14342" max="14342" width="18.33203125" style="9" customWidth="1"/>
    <col min="14343" max="14343" width="20.109375" style="9" customWidth="1"/>
    <col min="14344" max="14344" width="10.6640625" style="9" customWidth="1"/>
    <col min="14345" max="14345" width="14.44140625" style="9" bestFit="1" customWidth="1"/>
    <col min="14346" max="14346" width="10.6640625" style="9" customWidth="1"/>
    <col min="14347" max="14347" width="12.6640625" style="9" bestFit="1" customWidth="1"/>
    <col min="14348" max="14350" width="8.44140625" style="9" customWidth="1"/>
    <col min="14351" max="14353" width="13" style="9" customWidth="1"/>
    <col min="14354" max="14357" width="8.88671875" style="9"/>
    <col min="14358" max="14358" width="8.6640625" style="9" customWidth="1"/>
    <col min="14359" max="14592" width="8.88671875" style="9"/>
    <col min="14593" max="14593" width="2.6640625" style="9" customWidth="1"/>
    <col min="14594" max="14594" width="114.44140625" style="9" customWidth="1"/>
    <col min="14595" max="14595" width="0" style="9" hidden="1" customWidth="1"/>
    <col min="14596" max="14596" width="27.5546875" style="9" customWidth="1"/>
    <col min="14597" max="14597" width="20" style="9" customWidth="1"/>
    <col min="14598" max="14598" width="18.33203125" style="9" customWidth="1"/>
    <col min="14599" max="14599" width="20.109375" style="9" customWidth="1"/>
    <col min="14600" max="14600" width="10.6640625" style="9" customWidth="1"/>
    <col min="14601" max="14601" width="14.44140625" style="9" bestFit="1" customWidth="1"/>
    <col min="14602" max="14602" width="10.6640625" style="9" customWidth="1"/>
    <col min="14603" max="14603" width="12.6640625" style="9" bestFit="1" customWidth="1"/>
    <col min="14604" max="14606" width="8.44140625" style="9" customWidth="1"/>
    <col min="14607" max="14609" width="13" style="9" customWidth="1"/>
    <col min="14610" max="14613" width="8.88671875" style="9"/>
    <col min="14614" max="14614" width="8.6640625" style="9" customWidth="1"/>
    <col min="14615" max="14848" width="8.88671875" style="9"/>
    <col min="14849" max="14849" width="2.6640625" style="9" customWidth="1"/>
    <col min="14850" max="14850" width="114.44140625" style="9" customWidth="1"/>
    <col min="14851" max="14851" width="0" style="9" hidden="1" customWidth="1"/>
    <col min="14852" max="14852" width="27.5546875" style="9" customWidth="1"/>
    <col min="14853" max="14853" width="20" style="9" customWidth="1"/>
    <col min="14854" max="14854" width="18.33203125" style="9" customWidth="1"/>
    <col min="14855" max="14855" width="20.109375" style="9" customWidth="1"/>
    <col min="14856" max="14856" width="10.6640625" style="9" customWidth="1"/>
    <col min="14857" max="14857" width="14.44140625" style="9" bestFit="1" customWidth="1"/>
    <col min="14858" max="14858" width="10.6640625" style="9" customWidth="1"/>
    <col min="14859" max="14859" width="12.6640625" style="9" bestFit="1" customWidth="1"/>
    <col min="14860" max="14862" width="8.44140625" style="9" customWidth="1"/>
    <col min="14863" max="14865" width="13" style="9" customWidth="1"/>
    <col min="14866" max="14869" width="8.88671875" style="9"/>
    <col min="14870" max="14870" width="8.6640625" style="9" customWidth="1"/>
    <col min="14871" max="15104" width="8.88671875" style="9"/>
    <col min="15105" max="15105" width="2.6640625" style="9" customWidth="1"/>
    <col min="15106" max="15106" width="114.44140625" style="9" customWidth="1"/>
    <col min="15107" max="15107" width="0" style="9" hidden="1" customWidth="1"/>
    <col min="15108" max="15108" width="27.5546875" style="9" customWidth="1"/>
    <col min="15109" max="15109" width="20" style="9" customWidth="1"/>
    <col min="15110" max="15110" width="18.33203125" style="9" customWidth="1"/>
    <col min="15111" max="15111" width="20.109375" style="9" customWidth="1"/>
    <col min="15112" max="15112" width="10.6640625" style="9" customWidth="1"/>
    <col min="15113" max="15113" width="14.44140625" style="9" bestFit="1" customWidth="1"/>
    <col min="15114" max="15114" width="10.6640625" style="9" customWidth="1"/>
    <col min="15115" max="15115" width="12.6640625" style="9" bestFit="1" customWidth="1"/>
    <col min="15116" max="15118" width="8.44140625" style="9" customWidth="1"/>
    <col min="15119" max="15121" width="13" style="9" customWidth="1"/>
    <col min="15122" max="15125" width="8.88671875" style="9"/>
    <col min="15126" max="15126" width="8.6640625" style="9" customWidth="1"/>
    <col min="15127" max="15360" width="8.88671875" style="9"/>
    <col min="15361" max="15361" width="2.6640625" style="9" customWidth="1"/>
    <col min="15362" max="15362" width="114.44140625" style="9" customWidth="1"/>
    <col min="15363" max="15363" width="0" style="9" hidden="1" customWidth="1"/>
    <col min="15364" max="15364" width="27.5546875" style="9" customWidth="1"/>
    <col min="15365" max="15365" width="20" style="9" customWidth="1"/>
    <col min="15366" max="15366" width="18.33203125" style="9" customWidth="1"/>
    <col min="15367" max="15367" width="20.109375" style="9" customWidth="1"/>
    <col min="15368" max="15368" width="10.6640625" style="9" customWidth="1"/>
    <col min="15369" max="15369" width="14.44140625" style="9" bestFit="1" customWidth="1"/>
    <col min="15370" max="15370" width="10.6640625" style="9" customWidth="1"/>
    <col min="15371" max="15371" width="12.6640625" style="9" bestFit="1" customWidth="1"/>
    <col min="15372" max="15374" width="8.44140625" style="9" customWidth="1"/>
    <col min="15375" max="15377" width="13" style="9" customWidth="1"/>
    <col min="15378" max="15381" width="8.88671875" style="9"/>
    <col min="15382" max="15382" width="8.6640625" style="9" customWidth="1"/>
    <col min="15383" max="15616" width="8.88671875" style="9"/>
    <col min="15617" max="15617" width="2.6640625" style="9" customWidth="1"/>
    <col min="15618" max="15618" width="114.44140625" style="9" customWidth="1"/>
    <col min="15619" max="15619" width="0" style="9" hidden="1" customWidth="1"/>
    <col min="15620" max="15620" width="27.5546875" style="9" customWidth="1"/>
    <col min="15621" max="15621" width="20" style="9" customWidth="1"/>
    <col min="15622" max="15622" width="18.33203125" style="9" customWidth="1"/>
    <col min="15623" max="15623" width="20.109375" style="9" customWidth="1"/>
    <col min="15624" max="15624" width="10.6640625" style="9" customWidth="1"/>
    <col min="15625" max="15625" width="14.44140625" style="9" bestFit="1" customWidth="1"/>
    <col min="15626" max="15626" width="10.6640625" style="9" customWidth="1"/>
    <col min="15627" max="15627" width="12.6640625" style="9" bestFit="1" customWidth="1"/>
    <col min="15628" max="15630" width="8.44140625" style="9" customWidth="1"/>
    <col min="15631" max="15633" width="13" style="9" customWidth="1"/>
    <col min="15634" max="15637" width="8.88671875" style="9"/>
    <col min="15638" max="15638" width="8.6640625" style="9" customWidth="1"/>
    <col min="15639" max="15872" width="8.88671875" style="9"/>
    <col min="15873" max="15873" width="2.6640625" style="9" customWidth="1"/>
    <col min="15874" max="15874" width="114.44140625" style="9" customWidth="1"/>
    <col min="15875" max="15875" width="0" style="9" hidden="1" customWidth="1"/>
    <col min="15876" max="15876" width="27.5546875" style="9" customWidth="1"/>
    <col min="15877" max="15877" width="20" style="9" customWidth="1"/>
    <col min="15878" max="15878" width="18.33203125" style="9" customWidth="1"/>
    <col min="15879" max="15879" width="20.109375" style="9" customWidth="1"/>
    <col min="15880" max="15880" width="10.6640625" style="9" customWidth="1"/>
    <col min="15881" max="15881" width="14.44140625" style="9" bestFit="1" customWidth="1"/>
    <col min="15882" max="15882" width="10.6640625" style="9" customWidth="1"/>
    <col min="15883" max="15883" width="12.6640625" style="9" bestFit="1" customWidth="1"/>
    <col min="15884" max="15886" width="8.44140625" style="9" customWidth="1"/>
    <col min="15887" max="15889" width="13" style="9" customWidth="1"/>
    <col min="15890" max="15893" width="8.88671875" style="9"/>
    <col min="15894" max="15894" width="8.6640625" style="9" customWidth="1"/>
    <col min="15895" max="16128" width="8.88671875" style="9"/>
    <col min="16129" max="16129" width="2.6640625" style="9" customWidth="1"/>
    <col min="16130" max="16130" width="114.44140625" style="9" customWidth="1"/>
    <col min="16131" max="16131" width="0" style="9" hidden="1" customWidth="1"/>
    <col min="16132" max="16132" width="27.5546875" style="9" customWidth="1"/>
    <col min="16133" max="16133" width="20" style="9" customWidth="1"/>
    <col min="16134" max="16134" width="18.33203125" style="9" customWidth="1"/>
    <col min="16135" max="16135" width="20.109375" style="9" customWidth="1"/>
    <col min="16136" max="16136" width="10.6640625" style="9" customWidth="1"/>
    <col min="16137" max="16137" width="14.44140625" style="9" bestFit="1" customWidth="1"/>
    <col min="16138" max="16138" width="10.6640625" style="9" customWidth="1"/>
    <col min="16139" max="16139" width="12.6640625" style="9" bestFit="1" customWidth="1"/>
    <col min="16140" max="16142" width="8.44140625" style="9" customWidth="1"/>
    <col min="16143" max="16145" width="13" style="9" customWidth="1"/>
    <col min="16146" max="16149" width="8.88671875" style="9"/>
    <col min="16150" max="16150" width="8.6640625" style="9" customWidth="1"/>
    <col min="16151" max="16384" width="8.88671875" style="9"/>
  </cols>
  <sheetData>
    <row r="1" spans="1:25">
      <c r="A1" s="6" t="s">
        <v>1444</v>
      </c>
    </row>
    <row r="2" spans="1:25">
      <c r="B2" s="28" t="s">
        <v>1428</v>
      </c>
      <c r="C2" s="659" t="s">
        <v>179</v>
      </c>
      <c r="D2" s="659"/>
      <c r="E2" s="12"/>
      <c r="H2" s="61"/>
    </row>
    <row r="3" spans="1:25">
      <c r="B3" s="57"/>
      <c r="E3" s="12"/>
    </row>
    <row r="4" spans="1:25" ht="17.399999999999999">
      <c r="B4" s="58" t="s">
        <v>76</v>
      </c>
      <c r="C4" s="608"/>
      <c r="E4" s="12"/>
    </row>
    <row r="5" spans="1:25" ht="14.4">
      <c r="B5" s="13"/>
      <c r="E5" s="12"/>
    </row>
    <row r="6" spans="1:25">
      <c r="B6" s="206" t="s">
        <v>58</v>
      </c>
      <c r="C6" s="207" t="s">
        <v>294</v>
      </c>
      <c r="D6" s="427"/>
      <c r="E6" s="12"/>
    </row>
    <row r="7" spans="1:25">
      <c r="B7" s="206" t="s">
        <v>158</v>
      </c>
      <c r="C7" s="207" t="s">
        <v>152</v>
      </c>
      <c r="D7" s="427"/>
      <c r="E7" s="12"/>
    </row>
    <row r="8" spans="1:25">
      <c r="B8" s="206" t="s">
        <v>161</v>
      </c>
      <c r="C8" s="207" t="s">
        <v>151</v>
      </c>
      <c r="D8" s="427"/>
      <c r="E8" s="12"/>
    </row>
    <row r="9" spans="1:25">
      <c r="B9" s="11"/>
      <c r="C9" s="609"/>
      <c r="D9" s="609"/>
      <c r="E9" s="12"/>
      <c r="F9" s="6"/>
      <c r="G9" s="6"/>
      <c r="H9" s="6"/>
      <c r="I9" s="6"/>
      <c r="J9" s="16"/>
      <c r="K9" s="16"/>
      <c r="L9" s="6"/>
      <c r="M9" s="6"/>
      <c r="N9" s="6"/>
      <c r="O9" s="6"/>
      <c r="P9" s="6"/>
      <c r="Q9" s="6"/>
      <c r="R9" s="6"/>
      <c r="S9" s="6"/>
      <c r="T9" s="6"/>
    </row>
    <row r="10" spans="1:25" ht="18" customHeight="1">
      <c r="A10" s="17"/>
      <c r="B10" s="610" t="s">
        <v>77</v>
      </c>
      <c r="C10" s="611"/>
      <c r="D10" s="611"/>
    </row>
    <row r="11" spans="1:25" ht="18" customHeight="1">
      <c r="A11" s="17"/>
      <c r="B11" s="612" t="s">
        <v>78</v>
      </c>
      <c r="C11" s="613">
        <v>90501359.894716069</v>
      </c>
      <c r="D11" s="614"/>
      <c r="F11" s="10"/>
      <c r="J11" s="9"/>
      <c r="K11" s="9"/>
    </row>
    <row r="12" spans="1:25" ht="18" customHeight="1">
      <c r="A12" s="17"/>
      <c r="B12" s="615" t="s">
        <v>928</v>
      </c>
      <c r="C12" s="660">
        <v>90501361</v>
      </c>
      <c r="D12" s="614"/>
      <c r="F12" s="61"/>
      <c r="J12" s="9"/>
      <c r="K12" s="9"/>
    </row>
    <row r="13" spans="1:25" ht="18" customHeight="1">
      <c r="A13" s="17"/>
      <c r="B13" s="618"/>
      <c r="C13" s="555" t="s">
        <v>1443</v>
      </c>
      <c r="D13" s="556"/>
      <c r="E13" s="619"/>
      <c r="F13" s="661"/>
      <c r="G13" s="621"/>
      <c r="H13" s="621"/>
      <c r="I13" s="621"/>
      <c r="J13" s="621"/>
      <c r="K13" s="621"/>
      <c r="L13" s="621"/>
      <c r="M13" s="621"/>
      <c r="W13" s="622"/>
      <c r="X13" s="622"/>
      <c r="Y13" s="622"/>
    </row>
    <row r="14" spans="1:25" ht="18" customHeight="1">
      <c r="A14" s="17"/>
      <c r="B14" s="619"/>
      <c r="C14" s="619"/>
      <c r="D14" s="619"/>
      <c r="E14" s="619"/>
      <c r="F14" s="620"/>
      <c r="G14" s="621"/>
      <c r="H14" s="621"/>
      <c r="I14" s="621"/>
      <c r="J14" s="621"/>
      <c r="K14" s="621"/>
      <c r="L14" s="621"/>
      <c r="M14" s="621"/>
      <c r="W14" s="622"/>
      <c r="X14" s="622"/>
      <c r="Y14" s="622"/>
    </row>
    <row r="15" spans="1:25" ht="18" customHeight="1">
      <c r="A15" s="17"/>
      <c r="B15" s="610" t="s">
        <v>81</v>
      </c>
      <c r="C15" s="619"/>
      <c r="D15" s="619"/>
      <c r="E15" s="619"/>
      <c r="F15" s="620"/>
      <c r="G15" s="621"/>
      <c r="H15" s="621"/>
      <c r="I15" s="621"/>
      <c r="J15" s="621"/>
      <c r="K15" s="621"/>
      <c r="L15" s="621"/>
      <c r="M15" s="621"/>
      <c r="W15" s="622"/>
      <c r="X15" s="622"/>
      <c r="Y15" s="622"/>
    </row>
    <row r="16" spans="1:25" ht="18" customHeight="1">
      <c r="A16" s="17"/>
      <c r="B16" s="612" t="s">
        <v>120</v>
      </c>
      <c r="C16" s="29">
        <v>90501361</v>
      </c>
      <c r="D16" s="368"/>
      <c r="E16" s="619"/>
      <c r="F16" s="620"/>
      <c r="G16" s="621"/>
      <c r="H16" s="621"/>
      <c r="I16" s="621"/>
      <c r="J16" s="621"/>
      <c r="K16" s="621"/>
      <c r="L16" s="621"/>
      <c r="M16" s="621"/>
      <c r="W16" s="622"/>
      <c r="X16" s="622"/>
      <c r="Y16" s="622"/>
    </row>
    <row r="17" spans="1:25" ht="18" customHeight="1">
      <c r="A17" s="17"/>
      <c r="B17" s="624" t="s">
        <v>80</v>
      </c>
      <c r="C17" s="29">
        <v>0</v>
      </c>
      <c r="D17" s="368"/>
      <c r="E17" s="619"/>
      <c r="F17" s="620"/>
      <c r="G17" s="621"/>
      <c r="H17" s="621"/>
      <c r="I17" s="621"/>
      <c r="J17" s="621"/>
      <c r="K17" s="621"/>
      <c r="L17" s="621"/>
      <c r="M17" s="621"/>
      <c r="W17" s="622"/>
      <c r="X17" s="622"/>
      <c r="Y17" s="622"/>
    </row>
    <row r="18" spans="1:25" ht="18" customHeight="1">
      <c r="A18" s="17"/>
      <c r="B18" s="612" t="s">
        <v>79</v>
      </c>
      <c r="C18" s="30">
        <v>90501361</v>
      </c>
      <c r="D18" s="371"/>
      <c r="E18" s="619"/>
      <c r="F18" s="620"/>
      <c r="G18" s="621"/>
      <c r="H18" s="621"/>
      <c r="I18" s="621"/>
      <c r="J18" s="621"/>
      <c r="K18" s="621"/>
      <c r="L18" s="621"/>
      <c r="M18" s="621"/>
      <c r="W18" s="622"/>
      <c r="X18" s="622"/>
      <c r="Y18" s="622"/>
    </row>
    <row r="19" spans="1:25" ht="18" customHeight="1">
      <c r="A19" s="17"/>
      <c r="B19" s="625"/>
      <c r="C19" s="39"/>
      <c r="D19" s="369"/>
      <c r="E19" s="619"/>
      <c r="F19" s="620"/>
      <c r="G19" s="621"/>
      <c r="H19" s="621"/>
      <c r="I19" s="621"/>
      <c r="J19" s="621"/>
      <c r="K19" s="621"/>
      <c r="L19" s="621"/>
      <c r="M19" s="621"/>
      <c r="W19" s="622"/>
      <c r="X19" s="622"/>
      <c r="Y19" s="622"/>
    </row>
    <row r="20" spans="1:25" ht="18" customHeight="1">
      <c r="A20" s="17"/>
      <c r="B20" s="610" t="s">
        <v>82</v>
      </c>
      <c r="C20" s="619"/>
      <c r="D20" s="619"/>
      <c r="E20" s="619"/>
      <c r="F20" s="620"/>
      <c r="G20" s="621"/>
      <c r="H20" s="621"/>
      <c r="I20" s="621"/>
      <c r="J20" s="621"/>
      <c r="K20" s="621"/>
      <c r="L20" s="621"/>
      <c r="M20" s="621"/>
      <c r="W20" s="622"/>
      <c r="X20" s="622"/>
      <c r="Y20" s="622"/>
    </row>
    <row r="21" spans="1:25" ht="18" customHeight="1">
      <c r="A21" s="17"/>
      <c r="B21" s="612" t="s">
        <v>117</v>
      </c>
      <c r="C21" s="29">
        <v>90384082</v>
      </c>
      <c r="D21" s="368"/>
      <c r="E21" s="619"/>
      <c r="F21" s="620"/>
      <c r="G21" s="621"/>
      <c r="H21" s="621"/>
      <c r="I21" s="621"/>
      <c r="J21" s="621"/>
      <c r="K21" s="621"/>
      <c r="L21" s="621"/>
      <c r="M21" s="621"/>
      <c r="W21" s="622"/>
      <c r="X21" s="622"/>
      <c r="Y21" s="622"/>
    </row>
    <row r="22" spans="1:25" ht="18" customHeight="1">
      <c r="A22" s="17"/>
      <c r="B22" s="624" t="s">
        <v>118</v>
      </c>
      <c r="C22" s="29">
        <v>117279</v>
      </c>
      <c r="D22" s="368"/>
      <c r="E22" s="619"/>
      <c r="F22" s="620"/>
      <c r="G22" s="621"/>
      <c r="H22" s="621"/>
      <c r="I22" s="621"/>
      <c r="J22" s="621"/>
      <c r="K22" s="621"/>
      <c r="L22" s="621"/>
      <c r="M22" s="621"/>
      <c r="W22" s="622"/>
      <c r="X22" s="622"/>
      <c r="Y22" s="622"/>
    </row>
    <row r="23" spans="1:25" ht="18" customHeight="1">
      <c r="A23" s="17"/>
      <c r="B23" s="612" t="s">
        <v>121</v>
      </c>
      <c r="C23" s="30">
        <v>90501361</v>
      </c>
      <c r="D23" s="371"/>
      <c r="E23" s="619"/>
      <c r="F23" s="620"/>
      <c r="G23" s="621"/>
      <c r="H23" s="621"/>
      <c r="I23" s="621"/>
      <c r="J23" s="621"/>
      <c r="K23" s="621"/>
      <c r="L23" s="621"/>
      <c r="M23" s="621"/>
      <c r="W23" s="622"/>
      <c r="X23" s="622"/>
      <c r="Y23" s="622"/>
    </row>
    <row r="24" spans="1:25" ht="18" customHeight="1">
      <c r="A24" s="17"/>
      <c r="B24" s="3"/>
      <c r="C24" s="31"/>
      <c r="D24" s="31"/>
      <c r="E24" s="619"/>
      <c r="F24" s="620"/>
      <c r="G24" s="621"/>
      <c r="H24" s="621"/>
      <c r="I24" s="621"/>
      <c r="J24" s="621"/>
      <c r="K24" s="621"/>
      <c r="L24" s="621"/>
      <c r="M24" s="621"/>
      <c r="W24" s="622"/>
      <c r="X24" s="622"/>
      <c r="Y24" s="622"/>
    </row>
    <row r="26" spans="1:25" ht="15.6">
      <c r="B26" s="626" t="s">
        <v>83</v>
      </c>
    </row>
    <row r="27" spans="1:25">
      <c r="B27" s="627"/>
      <c r="C27" s="628" t="s">
        <v>57</v>
      </c>
      <c r="D27" s="628" t="s">
        <v>948</v>
      </c>
      <c r="E27" s="628" t="s">
        <v>7</v>
      </c>
      <c r="I27" s="10"/>
      <c r="K27" s="9"/>
    </row>
    <row r="28" spans="1:25">
      <c r="B28" s="629"/>
      <c r="C28" s="630" t="s">
        <v>6</v>
      </c>
      <c r="D28" s="630" t="s">
        <v>947</v>
      </c>
      <c r="E28" s="630" t="s">
        <v>8</v>
      </c>
      <c r="I28" s="10"/>
      <c r="K28" s="9"/>
    </row>
    <row r="29" spans="1:25">
      <c r="B29" s="629"/>
      <c r="C29" s="631" t="s">
        <v>151</v>
      </c>
      <c r="D29" s="631" t="s">
        <v>152</v>
      </c>
      <c r="E29" s="631" t="s">
        <v>294</v>
      </c>
      <c r="I29" s="10"/>
      <c r="K29" s="9"/>
    </row>
    <row r="30" spans="1:25">
      <c r="B30" s="629"/>
      <c r="C30" s="633"/>
      <c r="D30" s="633"/>
      <c r="E30" s="52"/>
      <c r="I30" s="10"/>
      <c r="K30" s="9"/>
    </row>
    <row r="31" spans="1:25">
      <c r="B31" s="634" t="s">
        <v>84</v>
      </c>
      <c r="C31" s="42">
        <v>94922178.13000001</v>
      </c>
      <c r="D31" s="42">
        <v>92907000</v>
      </c>
      <c r="E31" s="42">
        <v>90501359.894716069</v>
      </c>
      <c r="I31" s="10"/>
      <c r="K31" s="9"/>
    </row>
    <row r="32" spans="1:25">
      <c r="B32" s="662"/>
      <c r="C32" s="633"/>
      <c r="D32" s="633"/>
      <c r="E32" s="51"/>
      <c r="I32" s="10"/>
      <c r="K32" s="9"/>
    </row>
    <row r="33" spans="2:11">
      <c r="B33" s="663"/>
      <c r="C33" s="633"/>
      <c r="D33" s="633"/>
      <c r="E33" s="51"/>
      <c r="I33" s="10"/>
      <c r="K33" s="9"/>
    </row>
    <row r="34" spans="2:11">
      <c r="B34" s="635" t="s">
        <v>85</v>
      </c>
      <c r="C34" s="42">
        <v>94922178.13000001</v>
      </c>
      <c r="D34" s="42">
        <v>92907000</v>
      </c>
      <c r="E34" s="42">
        <v>90501361</v>
      </c>
      <c r="I34" s="10"/>
      <c r="K34" s="9"/>
    </row>
    <row r="35" spans="2:11">
      <c r="B35" s="635"/>
      <c r="C35" s="42"/>
      <c r="D35" s="42"/>
      <c r="E35" s="42"/>
      <c r="I35" s="10"/>
      <c r="K35" s="9"/>
    </row>
    <row r="36" spans="2:11">
      <c r="B36" s="636" t="s">
        <v>124</v>
      </c>
      <c r="C36" s="41">
        <v>94922178.13000001</v>
      </c>
      <c r="D36" s="41">
        <v>92907000</v>
      </c>
      <c r="E36" s="41">
        <v>90501361</v>
      </c>
      <c r="I36" s="10"/>
      <c r="K36" s="9"/>
    </row>
    <row r="37" spans="2:11" ht="14.4">
      <c r="B37" s="664" t="s">
        <v>125</v>
      </c>
      <c r="C37" s="60">
        <v>94815139.980000004</v>
      </c>
      <c r="D37" s="60">
        <v>92800000</v>
      </c>
      <c r="E37" s="59">
        <v>90384082</v>
      </c>
      <c r="I37" s="10"/>
      <c r="K37" s="9"/>
    </row>
    <row r="38" spans="2:11" ht="14.4">
      <c r="B38" s="664" t="s">
        <v>126</v>
      </c>
      <c r="C38" s="111">
        <v>107038.15</v>
      </c>
      <c r="D38" s="111">
        <v>107000</v>
      </c>
      <c r="E38" s="56">
        <v>117279</v>
      </c>
      <c r="I38" s="10"/>
      <c r="K38" s="9"/>
    </row>
    <row r="39" spans="2:11" ht="6.6" customHeight="1">
      <c r="B39" s="664"/>
      <c r="C39" s="60"/>
      <c r="D39" s="60"/>
      <c r="E39" s="51"/>
      <c r="I39" s="10"/>
      <c r="K39" s="9"/>
    </row>
    <row r="40" spans="2:11">
      <c r="B40" s="665" t="s">
        <v>123</v>
      </c>
      <c r="C40" s="111">
        <v>0</v>
      </c>
      <c r="D40" s="111">
        <v>0</v>
      </c>
      <c r="E40" s="111">
        <v>0</v>
      </c>
      <c r="I40" s="10"/>
      <c r="K40" s="9"/>
    </row>
    <row r="41" spans="2:11">
      <c r="B41" s="665"/>
      <c r="C41" s="60"/>
      <c r="D41" s="60"/>
      <c r="E41" s="60"/>
      <c r="I41" s="10"/>
      <c r="K41" s="9"/>
    </row>
    <row r="42" spans="2:11">
      <c r="B42" s="635" t="s">
        <v>967</v>
      </c>
      <c r="C42" s="437">
        <v>0</v>
      </c>
      <c r="D42" s="437">
        <v>0</v>
      </c>
      <c r="E42" s="437">
        <v>0</v>
      </c>
      <c r="I42" s="10"/>
      <c r="K42" s="9"/>
    </row>
    <row r="43" spans="2:11">
      <c r="B43" s="640"/>
      <c r="C43" s="633"/>
      <c r="D43" s="633"/>
      <c r="E43" s="51"/>
      <c r="I43" s="10"/>
      <c r="K43" s="9"/>
    </row>
    <row r="44" spans="2:11">
      <c r="B44" s="637" t="s">
        <v>958</v>
      </c>
      <c r="C44" s="42">
        <v>0</v>
      </c>
      <c r="D44" s="42">
        <v>0</v>
      </c>
      <c r="E44" s="42">
        <v>-1.1052839308977127</v>
      </c>
      <c r="I44" s="10"/>
      <c r="K44" s="9"/>
    </row>
    <row r="45" spans="2:11">
      <c r="B45" s="638"/>
      <c r="I45" s="10"/>
      <c r="K45" s="9"/>
    </row>
    <row r="46" spans="2:11">
      <c r="B46" s="638"/>
      <c r="I46" s="10"/>
      <c r="K46" s="9"/>
    </row>
    <row r="47" spans="2:11" ht="15.6">
      <c r="B47" s="626" t="s">
        <v>86</v>
      </c>
      <c r="I47" s="10"/>
      <c r="K47" s="9"/>
    </row>
    <row r="48" spans="2:11">
      <c r="B48" s="639"/>
      <c r="C48" s="628" t="s">
        <v>57</v>
      </c>
      <c r="D48" s="628" t="s">
        <v>948</v>
      </c>
      <c r="E48" s="628" t="s">
        <v>7</v>
      </c>
      <c r="I48" s="10"/>
      <c r="K48" s="9"/>
    </row>
    <row r="49" spans="2:11">
      <c r="B49" s="640"/>
      <c r="C49" s="630" t="s">
        <v>6</v>
      </c>
      <c r="D49" s="630" t="s">
        <v>947</v>
      </c>
      <c r="E49" s="630" t="s">
        <v>8</v>
      </c>
      <c r="I49" s="10"/>
      <c r="K49" s="9"/>
    </row>
    <row r="50" spans="2:11">
      <c r="B50" s="641" t="s">
        <v>122</v>
      </c>
      <c r="C50" s="631" t="s">
        <v>151</v>
      </c>
      <c r="D50" s="631" t="s">
        <v>152</v>
      </c>
      <c r="E50" s="631" t="s">
        <v>294</v>
      </c>
      <c r="I50" s="10"/>
      <c r="K50" s="9"/>
    </row>
    <row r="51" spans="2:11">
      <c r="B51" s="640" t="s">
        <v>959</v>
      </c>
      <c r="C51" s="381">
        <v>6.0148041164888158E-2</v>
      </c>
      <c r="D51" s="381">
        <v>5.9824761261038563E-2</v>
      </c>
      <c r="E51" s="381">
        <v>4.2845042391632671E-2</v>
      </c>
      <c r="I51" s="10"/>
      <c r="K51" s="9"/>
    </row>
    <row r="52" spans="2:11">
      <c r="B52" s="640" t="s">
        <v>960</v>
      </c>
      <c r="C52" s="382"/>
      <c r="D52" s="271"/>
      <c r="E52" s="381">
        <v>2.3998445239976629E-2</v>
      </c>
      <c r="I52" s="10"/>
      <c r="K52" s="9"/>
    </row>
    <row r="53" spans="2:11">
      <c r="B53" s="640" t="s">
        <v>961</v>
      </c>
      <c r="C53" s="382"/>
      <c r="D53" s="271"/>
      <c r="E53" s="381">
        <v>1.8404907975460238E-2</v>
      </c>
      <c r="I53" s="10"/>
      <c r="K53" s="9"/>
    </row>
    <row r="54" spans="2:11">
      <c r="B54" s="640" t="s">
        <v>11</v>
      </c>
      <c r="C54" s="51">
        <v>0</v>
      </c>
      <c r="D54" s="51">
        <v>0</v>
      </c>
      <c r="E54" s="52"/>
      <c r="I54" s="10"/>
      <c r="K54" s="9"/>
    </row>
    <row r="55" spans="2:11">
      <c r="B55" s="640" t="s">
        <v>949</v>
      </c>
      <c r="C55" s="60">
        <v>0</v>
      </c>
      <c r="D55" s="60">
        <v>0</v>
      </c>
      <c r="E55" s="60">
        <v>0</v>
      </c>
      <c r="I55" s="10"/>
      <c r="K55" s="9"/>
    </row>
    <row r="56" spans="2:11">
      <c r="B56" s="640" t="s">
        <v>12</v>
      </c>
      <c r="C56" s="51">
        <v>0</v>
      </c>
      <c r="D56" s="51">
        <v>0</v>
      </c>
      <c r="E56" s="51">
        <v>-1.1052839308977127</v>
      </c>
      <c r="I56" s="10"/>
      <c r="K56" s="9"/>
    </row>
    <row r="57" spans="2:11">
      <c r="B57" s="640" t="s">
        <v>103</v>
      </c>
      <c r="C57" s="60">
        <v>0</v>
      </c>
      <c r="D57" s="60">
        <v>0</v>
      </c>
      <c r="E57" s="60">
        <v>-1.3183918507777217E-2</v>
      </c>
      <c r="I57" s="10"/>
      <c r="K57" s="9"/>
    </row>
    <row r="58" spans="2:11">
      <c r="B58" s="637" t="s">
        <v>91</v>
      </c>
      <c r="C58" s="42">
        <v>0</v>
      </c>
      <c r="D58" s="42">
        <v>0</v>
      </c>
      <c r="E58" s="42">
        <v>-1.1184678494054898</v>
      </c>
      <c r="I58" s="10"/>
      <c r="K58" s="9"/>
    </row>
    <row r="60" spans="2:11">
      <c r="B60" s="93"/>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10374-59AC-492D-BDD4-6D6B4D4C3C66}">
  <sheetPr>
    <tabColor rgb="FF92D050"/>
  </sheetPr>
  <dimension ref="B1:O184"/>
  <sheetViews>
    <sheetView topLeftCell="A163" workbookViewId="0">
      <selection activeCell="F165" sqref="F165"/>
    </sheetView>
  </sheetViews>
  <sheetFormatPr defaultColWidth="8.88671875" defaultRowHeight="13.2"/>
  <cols>
    <col min="1" max="1" width="1.77734375" style="838" customWidth="1"/>
    <col min="2" max="2" width="25.5546875" style="838" customWidth="1"/>
    <col min="3" max="11" width="16.6640625" style="946" customWidth="1"/>
    <col min="12" max="12" width="16.6640625" style="901" customWidth="1"/>
    <col min="13" max="13" width="20.6640625" style="838" customWidth="1"/>
    <col min="14" max="14" width="34.6640625" style="838" customWidth="1"/>
    <col min="15" max="15" width="19.5546875" style="838" customWidth="1"/>
    <col min="16" max="16384" width="8.88671875" style="838"/>
  </cols>
  <sheetData>
    <row r="1" spans="2:12">
      <c r="B1" s="838" t="s">
        <v>1868</v>
      </c>
    </row>
    <row r="2" spans="2:12">
      <c r="B2" s="838" t="s">
        <v>1867</v>
      </c>
      <c r="C2" s="1675" t="s">
        <v>1869</v>
      </c>
    </row>
    <row r="3" spans="2:12" ht="13.8" thickBot="1"/>
    <row r="4" spans="2:12" ht="21">
      <c r="B4" s="852" t="s">
        <v>1341</v>
      </c>
      <c r="C4" s="937"/>
      <c r="D4" s="937"/>
      <c r="E4" s="937"/>
      <c r="F4" s="937"/>
      <c r="G4" s="937"/>
      <c r="H4" s="937"/>
      <c r="I4" s="937"/>
      <c r="J4" s="937"/>
      <c r="K4" s="937"/>
      <c r="L4" s="896"/>
    </row>
    <row r="5" spans="2:12" ht="21">
      <c r="B5" s="853" t="s">
        <v>179</v>
      </c>
      <c r="C5" s="938"/>
      <c r="D5" s="938"/>
      <c r="E5" s="938"/>
      <c r="F5" s="938"/>
      <c r="G5" s="938"/>
      <c r="H5" s="938"/>
      <c r="I5" s="938"/>
      <c r="J5" s="938"/>
      <c r="K5" s="938"/>
      <c r="L5" s="897"/>
    </row>
    <row r="6" spans="2:12" ht="21">
      <c r="B6" s="853" t="s">
        <v>1342</v>
      </c>
      <c r="C6" s="938"/>
      <c r="D6" s="938"/>
      <c r="E6" s="938"/>
      <c r="F6" s="938"/>
      <c r="G6" s="938"/>
      <c r="H6" s="938"/>
      <c r="I6" s="938"/>
      <c r="J6" s="938"/>
      <c r="K6" s="938"/>
      <c r="L6" s="897"/>
    </row>
    <row r="7" spans="2:12" ht="21">
      <c r="B7" s="854" t="s">
        <v>1343</v>
      </c>
      <c r="C7" s="939"/>
      <c r="D7" s="939"/>
      <c r="E7" s="939"/>
      <c r="F7" s="939"/>
      <c r="G7" s="939"/>
      <c r="H7" s="939"/>
      <c r="I7" s="939"/>
      <c r="J7" s="939"/>
      <c r="K7" s="939"/>
      <c r="L7" s="898"/>
    </row>
    <row r="8" spans="2:12" ht="13.8" thickBot="1">
      <c r="B8" s="855"/>
      <c r="C8" s="940"/>
      <c r="D8" s="940"/>
      <c r="E8" s="940"/>
      <c r="F8" s="940"/>
      <c r="G8" s="940"/>
      <c r="H8" s="940"/>
      <c r="I8" s="940"/>
      <c r="J8" s="940"/>
      <c r="K8" s="940"/>
      <c r="L8" s="899"/>
    </row>
    <row r="9" spans="2:12" ht="16.2" thickBot="1">
      <c r="B9" s="856" t="s">
        <v>1344</v>
      </c>
      <c r="C9" s="941"/>
      <c r="D9" s="941"/>
      <c r="E9" s="941"/>
      <c r="F9" s="941"/>
      <c r="G9" s="941"/>
      <c r="H9" s="941"/>
      <c r="I9" s="941"/>
      <c r="J9" s="941"/>
      <c r="K9" s="941"/>
      <c r="L9" s="900"/>
    </row>
    <row r="10" spans="2:12">
      <c r="B10" s="1946" t="s">
        <v>1345</v>
      </c>
      <c r="C10" s="1952" t="s">
        <v>1346</v>
      </c>
      <c r="D10" s="1952" t="s">
        <v>1347</v>
      </c>
      <c r="E10" s="1952" t="s">
        <v>1348</v>
      </c>
      <c r="F10" s="1955" t="s">
        <v>877</v>
      </c>
      <c r="G10" s="1962" t="s">
        <v>878</v>
      </c>
      <c r="H10" s="1963"/>
      <c r="I10" s="1963"/>
      <c r="J10" s="1963"/>
      <c r="K10" s="1963"/>
      <c r="L10" s="1959" t="s">
        <v>1349</v>
      </c>
    </row>
    <row r="11" spans="2:12">
      <c r="B11" s="1947"/>
      <c r="C11" s="1953"/>
      <c r="D11" s="1953"/>
      <c r="E11" s="1953"/>
      <c r="F11" s="1956"/>
      <c r="G11" s="1935" t="s">
        <v>1350</v>
      </c>
      <c r="H11" s="1936"/>
      <c r="I11" s="1937" t="s">
        <v>938</v>
      </c>
      <c r="J11" s="1938"/>
      <c r="K11" s="1938"/>
      <c r="L11" s="1960"/>
    </row>
    <row r="12" spans="2:12" ht="39.6">
      <c r="B12" s="1947"/>
      <c r="C12" s="1954"/>
      <c r="D12" s="1954"/>
      <c r="E12" s="1954"/>
      <c r="F12" s="1957"/>
      <c r="G12" s="942" t="s">
        <v>230</v>
      </c>
      <c r="H12" s="943" t="s">
        <v>230</v>
      </c>
      <c r="I12" s="944" t="s">
        <v>1351</v>
      </c>
      <c r="J12" s="944" t="s">
        <v>1352</v>
      </c>
      <c r="K12" s="945" t="s">
        <v>1353</v>
      </c>
      <c r="L12" s="1961"/>
    </row>
    <row r="13" spans="2:12" ht="13.8" thickBot="1">
      <c r="B13" s="1948"/>
      <c r="C13" s="1958" t="s">
        <v>1354</v>
      </c>
      <c r="D13" s="1939"/>
      <c r="E13" s="1939"/>
      <c r="F13" s="1939"/>
      <c r="G13" s="1939"/>
      <c r="H13" s="1939"/>
      <c r="I13" s="1939"/>
      <c r="J13" s="1939"/>
      <c r="K13" s="1939"/>
      <c r="L13" s="1940"/>
    </row>
    <row r="14" spans="2:12" ht="13.8" thickBot="1"/>
    <row r="15" spans="2:12" ht="13.8" thickBot="1">
      <c r="B15" s="857" t="s">
        <v>1355</v>
      </c>
      <c r="C15" s="947"/>
      <c r="D15" s="947"/>
      <c r="E15" s="947"/>
      <c r="F15" s="947"/>
      <c r="G15" s="947"/>
      <c r="H15" s="947"/>
      <c r="I15" s="947"/>
      <c r="J15" s="947"/>
      <c r="K15" s="947"/>
      <c r="L15" s="902"/>
    </row>
    <row r="16" spans="2:12">
      <c r="B16" s="858" t="s">
        <v>1356</v>
      </c>
      <c r="C16" s="948">
        <v>1408540423.8799996</v>
      </c>
      <c r="D16" s="948">
        <v>96391628.802727699</v>
      </c>
      <c r="E16" s="948">
        <v>1504932052.6827273</v>
      </c>
      <c r="F16" s="948">
        <v>1447653418.9827273</v>
      </c>
      <c r="G16" s="948">
        <v>30432986.449999999</v>
      </c>
      <c r="H16" s="949"/>
      <c r="I16" s="948">
        <v>0</v>
      </c>
      <c r="J16" s="948">
        <v>26845647.25</v>
      </c>
      <c r="K16" s="948">
        <v>0</v>
      </c>
      <c r="L16" s="903"/>
    </row>
    <row r="17" spans="2:12">
      <c r="B17" s="859" t="s">
        <v>1357</v>
      </c>
      <c r="C17" s="950">
        <v>0</v>
      </c>
      <c r="D17" s="950">
        <v>4218966.6018181816</v>
      </c>
      <c r="E17" s="950">
        <v>4218966.6018181816</v>
      </c>
      <c r="F17" s="950">
        <v>4218966.6018181816</v>
      </c>
      <c r="G17" s="950">
        <v>0</v>
      </c>
      <c r="H17" s="951"/>
      <c r="I17" s="950">
        <v>0</v>
      </c>
      <c r="J17" s="950">
        <v>0</v>
      </c>
      <c r="K17" s="950">
        <v>0</v>
      </c>
      <c r="L17" s="904"/>
    </row>
    <row r="18" spans="2:12">
      <c r="B18" s="859" t="s">
        <v>1358</v>
      </c>
      <c r="C18" s="950">
        <v>44653810.20000001</v>
      </c>
      <c r="D18" s="950">
        <v>-1350951.9400000051</v>
      </c>
      <c r="E18" s="950">
        <v>43302858.260000005</v>
      </c>
      <c r="F18" s="950">
        <v>25621828.049999997</v>
      </c>
      <c r="G18" s="950">
        <v>5447694.6300000008</v>
      </c>
      <c r="H18" s="951"/>
      <c r="I18" s="950">
        <v>6725337.3000000007</v>
      </c>
      <c r="J18" s="950">
        <v>5507998.2800000003</v>
      </c>
      <c r="K18" s="950">
        <v>0</v>
      </c>
      <c r="L18" s="904"/>
    </row>
    <row r="19" spans="2:12">
      <c r="B19" s="859" t="s">
        <v>1359</v>
      </c>
      <c r="C19" s="950">
        <v>6987695.2700000005</v>
      </c>
      <c r="D19" s="950">
        <v>-6987695.2700000005</v>
      </c>
      <c r="E19" s="950">
        <v>0</v>
      </c>
      <c r="F19" s="950">
        <v>0</v>
      </c>
      <c r="G19" s="950">
        <v>0</v>
      </c>
      <c r="H19" s="951"/>
      <c r="I19" s="950">
        <v>0</v>
      </c>
      <c r="J19" s="950">
        <v>0</v>
      </c>
      <c r="K19" s="950">
        <v>0</v>
      </c>
      <c r="L19" s="904"/>
    </row>
    <row r="20" spans="2:12" ht="26.4">
      <c r="B20" s="859" t="s">
        <v>1360</v>
      </c>
      <c r="C20" s="950">
        <v>114138412.89</v>
      </c>
      <c r="D20" s="950">
        <v>-74186.014545455575</v>
      </c>
      <c r="E20" s="950">
        <v>114064226.87545455</v>
      </c>
      <c r="F20" s="950">
        <v>114064226.87545455</v>
      </c>
      <c r="G20" s="950">
        <v>0</v>
      </c>
      <c r="H20" s="951"/>
      <c r="I20" s="950">
        <v>0</v>
      </c>
      <c r="J20" s="950">
        <v>0</v>
      </c>
      <c r="K20" s="950">
        <v>0</v>
      </c>
      <c r="L20" s="904"/>
    </row>
    <row r="21" spans="2:12" ht="26.4">
      <c r="B21" s="859" t="s">
        <v>1361</v>
      </c>
      <c r="C21" s="950">
        <v>1473798.6799999997</v>
      </c>
      <c r="D21" s="950">
        <v>-1473798.6799999997</v>
      </c>
      <c r="E21" s="950">
        <v>0</v>
      </c>
      <c r="F21" s="950">
        <v>0</v>
      </c>
      <c r="G21" s="950">
        <v>0</v>
      </c>
      <c r="H21" s="951"/>
      <c r="I21" s="950">
        <v>0</v>
      </c>
      <c r="J21" s="950">
        <v>0</v>
      </c>
      <c r="K21" s="950">
        <v>0</v>
      </c>
      <c r="L21" s="904"/>
    </row>
    <row r="22" spans="2:12">
      <c r="B22" s="859" t="s">
        <v>1362</v>
      </c>
      <c r="C22" s="950">
        <v>371007570.52999997</v>
      </c>
      <c r="D22" s="950">
        <v>-2437924.9700000286</v>
      </c>
      <c r="E22" s="950">
        <v>368569645.55999994</v>
      </c>
      <c r="F22" s="950">
        <v>368569645.55999994</v>
      </c>
      <c r="G22" s="950">
        <v>0</v>
      </c>
      <c r="H22" s="951"/>
      <c r="I22" s="950">
        <v>0</v>
      </c>
      <c r="J22" s="950">
        <v>0</v>
      </c>
      <c r="K22" s="950">
        <v>0</v>
      </c>
      <c r="L22" s="904"/>
    </row>
    <row r="23" spans="2:12" ht="26.4">
      <c r="B23" s="860" t="s">
        <v>1363</v>
      </c>
      <c r="C23" s="952">
        <v>0</v>
      </c>
      <c r="D23" s="952">
        <v>0</v>
      </c>
      <c r="E23" s="952">
        <v>0</v>
      </c>
      <c r="F23" s="952">
        <v>0</v>
      </c>
      <c r="G23" s="952">
        <v>0</v>
      </c>
      <c r="H23" s="953"/>
      <c r="I23" s="952">
        <v>0</v>
      </c>
      <c r="J23" s="952">
        <v>0</v>
      </c>
      <c r="K23" s="952">
        <v>0</v>
      </c>
      <c r="L23" s="905"/>
    </row>
    <row r="24" spans="2:12" ht="13.8" thickBot="1">
      <c r="B24" s="860" t="s">
        <v>1364</v>
      </c>
      <c r="C24" s="952">
        <v>348252818.31</v>
      </c>
      <c r="D24" s="952">
        <v>-330626120.5</v>
      </c>
      <c r="E24" s="952">
        <v>17626697.809999995</v>
      </c>
      <c r="F24" s="952">
        <v>0</v>
      </c>
      <c r="G24" s="952">
        <v>1325684.73</v>
      </c>
      <c r="H24" s="953"/>
      <c r="I24" s="952">
        <v>6039180.4399999985</v>
      </c>
      <c r="J24" s="952">
        <v>769591.37</v>
      </c>
      <c r="K24" s="952">
        <v>9492241.2699999977</v>
      </c>
      <c r="L24" s="905"/>
    </row>
    <row r="25" spans="2:12" ht="13.8" thickBot="1">
      <c r="B25" s="861" t="s">
        <v>1365</v>
      </c>
      <c r="C25" s="954">
        <v>2295054529.7599998</v>
      </c>
      <c r="D25" s="954">
        <v>-242340081.96999961</v>
      </c>
      <c r="E25" s="954">
        <v>2052714447.79</v>
      </c>
      <c r="F25" s="954">
        <v>1960128086.0699997</v>
      </c>
      <c r="G25" s="954">
        <v>37206365.809999995</v>
      </c>
      <c r="H25" s="954">
        <v>0</v>
      </c>
      <c r="I25" s="954">
        <v>12764517.739999998</v>
      </c>
      <c r="J25" s="954">
        <v>33123236.900000002</v>
      </c>
      <c r="K25" s="954">
        <v>9492241.2699999977</v>
      </c>
      <c r="L25" s="907">
        <v>0</v>
      </c>
    </row>
    <row r="26" spans="2:12" ht="13.8" thickBot="1"/>
    <row r="27" spans="2:12" ht="13.8" thickBot="1">
      <c r="B27" s="857" t="s">
        <v>1366</v>
      </c>
      <c r="C27" s="947"/>
      <c r="D27" s="947"/>
      <c r="E27" s="947"/>
      <c r="F27" s="947"/>
      <c r="G27" s="947"/>
      <c r="H27" s="947"/>
      <c r="I27" s="947"/>
      <c r="J27" s="947"/>
      <c r="K27" s="947"/>
      <c r="L27" s="902"/>
    </row>
    <row r="28" spans="2:12">
      <c r="B28" s="858" t="s">
        <v>1367</v>
      </c>
      <c r="C28" s="948">
        <v>353874105.05000007</v>
      </c>
      <c r="D28" s="948">
        <v>-6293588.5699999928</v>
      </c>
      <c r="E28" s="948">
        <v>347580516.48000008</v>
      </c>
      <c r="F28" s="948">
        <v>347580516.48000008</v>
      </c>
      <c r="G28" s="948">
        <v>0</v>
      </c>
      <c r="H28" s="949"/>
      <c r="I28" s="948">
        <v>0</v>
      </c>
      <c r="J28" s="948">
        <v>0</v>
      </c>
      <c r="K28" s="948">
        <v>0</v>
      </c>
      <c r="L28" s="908"/>
    </row>
    <row r="29" spans="2:12">
      <c r="B29" s="862" t="s">
        <v>1368</v>
      </c>
      <c r="C29" s="955">
        <v>2151821.48</v>
      </c>
      <c r="D29" s="955">
        <v>-79382.60999999987</v>
      </c>
      <c r="E29" s="955">
        <v>2072438.87</v>
      </c>
      <c r="F29" s="955">
        <v>2072438.87</v>
      </c>
      <c r="G29" s="955">
        <v>0</v>
      </c>
      <c r="H29" s="956"/>
      <c r="I29" s="955">
        <v>0</v>
      </c>
      <c r="J29" s="955">
        <v>0</v>
      </c>
      <c r="K29" s="955">
        <v>0</v>
      </c>
      <c r="L29" s="909"/>
    </row>
    <row r="30" spans="2:12" ht="26.4">
      <c r="B30" s="859" t="s">
        <v>966</v>
      </c>
      <c r="C30" s="950">
        <v>0</v>
      </c>
      <c r="D30" s="950">
        <v>6293588.5699999994</v>
      </c>
      <c r="E30" s="950">
        <v>6293588.5699999994</v>
      </c>
      <c r="F30" s="950">
        <v>6293588.5699999994</v>
      </c>
      <c r="G30" s="950">
        <v>0</v>
      </c>
      <c r="H30" s="951"/>
      <c r="I30" s="950">
        <v>0</v>
      </c>
      <c r="J30" s="950">
        <v>0</v>
      </c>
      <c r="K30" s="950">
        <v>0</v>
      </c>
      <c r="L30" s="910"/>
    </row>
    <row r="31" spans="2:12">
      <c r="B31" s="859" t="s">
        <v>1369</v>
      </c>
      <c r="C31" s="950">
        <v>431857281</v>
      </c>
      <c r="D31" s="950">
        <v>-24012704.440000057</v>
      </c>
      <c r="E31" s="950">
        <v>407844576.55999994</v>
      </c>
      <c r="F31" s="950">
        <v>392924119</v>
      </c>
      <c r="G31" s="950">
        <v>9231589.3399999999</v>
      </c>
      <c r="H31" s="951"/>
      <c r="I31" s="950">
        <v>1040989.5700000001</v>
      </c>
      <c r="J31" s="950">
        <v>4647878.6500000004</v>
      </c>
      <c r="K31" s="950">
        <v>0</v>
      </c>
      <c r="L31" s="910"/>
    </row>
    <row r="32" spans="2:12">
      <c r="B32" s="859" t="s">
        <v>1370</v>
      </c>
      <c r="C32" s="950">
        <v>295854376</v>
      </c>
      <c r="D32" s="950">
        <v>-292891059.3303315</v>
      </c>
      <c r="E32" s="950">
        <v>2963316.6696684943</v>
      </c>
      <c r="F32" s="950">
        <v>2891775.9260100331</v>
      </c>
      <c r="G32" s="950">
        <v>38230.00184895096</v>
      </c>
      <c r="H32" s="951"/>
      <c r="I32" s="950">
        <v>14095.4400021042</v>
      </c>
      <c r="J32" s="950">
        <v>19215.3018074057</v>
      </c>
      <c r="K32" s="950">
        <v>0</v>
      </c>
      <c r="L32" s="910"/>
    </row>
    <row r="33" spans="2:12">
      <c r="B33" s="859" t="s">
        <v>1371</v>
      </c>
      <c r="C33" s="950">
        <v>14590968.300000001</v>
      </c>
      <c r="D33" s="950">
        <v>-14590968.300000001</v>
      </c>
      <c r="E33" s="950">
        <v>0</v>
      </c>
      <c r="F33" s="950">
        <v>0</v>
      </c>
      <c r="G33" s="950">
        <v>0</v>
      </c>
      <c r="H33" s="951"/>
      <c r="I33" s="950">
        <v>0</v>
      </c>
      <c r="J33" s="950">
        <v>0</v>
      </c>
      <c r="K33" s="950">
        <v>0</v>
      </c>
      <c r="L33" s="910"/>
    </row>
    <row r="34" spans="2:12" ht="26.4">
      <c r="B34" s="859" t="s">
        <v>1360</v>
      </c>
      <c r="C34" s="950">
        <v>0</v>
      </c>
      <c r="D34" s="950">
        <v>109121883.96999998</v>
      </c>
      <c r="E34" s="950">
        <v>109121883.96999998</v>
      </c>
      <c r="F34" s="950">
        <v>109121883.96999998</v>
      </c>
      <c r="G34" s="950">
        <v>0</v>
      </c>
      <c r="H34" s="951"/>
      <c r="I34" s="950">
        <v>0</v>
      </c>
      <c r="J34" s="950">
        <v>0</v>
      </c>
      <c r="K34" s="950">
        <v>0</v>
      </c>
      <c r="L34" s="910"/>
    </row>
    <row r="35" spans="2:12" ht="26.4">
      <c r="B35" s="859" t="s">
        <v>1372</v>
      </c>
      <c r="C35" s="950">
        <v>5105674</v>
      </c>
      <c r="D35" s="950">
        <v>-5105674</v>
      </c>
      <c r="E35" s="950">
        <v>0</v>
      </c>
      <c r="F35" s="950">
        <v>0</v>
      </c>
      <c r="G35" s="950">
        <v>0</v>
      </c>
      <c r="H35" s="951"/>
      <c r="I35" s="950">
        <v>0</v>
      </c>
      <c r="J35" s="950">
        <v>0</v>
      </c>
      <c r="K35" s="950">
        <v>0</v>
      </c>
      <c r="L35" s="910"/>
    </row>
    <row r="36" spans="2:12">
      <c r="B36" s="859" t="s">
        <v>1373</v>
      </c>
      <c r="C36" s="950">
        <v>281518252</v>
      </c>
      <c r="D36" s="950">
        <v>-11570377.697423995</v>
      </c>
      <c r="E36" s="950">
        <v>269947874.30257601</v>
      </c>
      <c r="F36" s="950">
        <v>252840784.71650577</v>
      </c>
      <c r="G36" s="950">
        <v>10953357.6</v>
      </c>
      <c r="H36" s="951"/>
      <c r="I36" s="950">
        <v>0</v>
      </c>
      <c r="J36" s="950">
        <v>6153731.9860702418</v>
      </c>
      <c r="K36" s="950">
        <v>0</v>
      </c>
      <c r="L36" s="910"/>
    </row>
    <row r="37" spans="2:12" ht="39.6">
      <c r="B37" s="859" t="s">
        <v>1374</v>
      </c>
      <c r="C37" s="950">
        <v>287762705</v>
      </c>
      <c r="D37" s="950">
        <v>-96480423.130011976</v>
      </c>
      <c r="E37" s="950">
        <v>191282281.86998802</v>
      </c>
      <c r="F37" s="950">
        <v>138369670</v>
      </c>
      <c r="G37" s="950">
        <v>3451369.7</v>
      </c>
      <c r="H37" s="951"/>
      <c r="I37" s="950">
        <v>7374708.6513861883</v>
      </c>
      <c r="J37" s="950">
        <v>28371661.179910265</v>
      </c>
      <c r="K37" s="950">
        <v>13714872.33869157</v>
      </c>
      <c r="L37" s="910"/>
    </row>
    <row r="38" spans="2:12" ht="13.8" thickBot="1">
      <c r="B38" s="863" t="s">
        <v>1375</v>
      </c>
      <c r="C38" s="957">
        <v>67123759.561823398</v>
      </c>
      <c r="D38" s="957">
        <v>-67123759.561823398</v>
      </c>
      <c r="E38" s="957">
        <v>0</v>
      </c>
      <c r="F38" s="957">
        <v>0</v>
      </c>
      <c r="G38" s="957" t="s">
        <v>230</v>
      </c>
      <c r="H38" s="958"/>
      <c r="I38" s="957" t="s">
        <v>230</v>
      </c>
      <c r="J38" s="957" t="s">
        <v>230</v>
      </c>
      <c r="K38" s="957" t="s">
        <v>230</v>
      </c>
      <c r="L38" s="911"/>
    </row>
    <row r="39" spans="2:12" ht="13.8" thickBot="1"/>
    <row r="40" spans="2:12" ht="21">
      <c r="B40" s="852" t="s">
        <v>1341</v>
      </c>
      <c r="C40" s="937"/>
      <c r="D40" s="937"/>
      <c r="E40" s="937"/>
      <c r="F40" s="937"/>
      <c r="G40" s="937"/>
      <c r="H40" s="937"/>
      <c r="I40" s="937"/>
      <c r="J40" s="937"/>
      <c r="K40" s="937"/>
      <c r="L40" s="896"/>
    </row>
    <row r="41" spans="2:12" ht="21">
      <c r="B41" s="853" t="s">
        <v>179</v>
      </c>
      <c r="C41" s="938"/>
      <c r="D41" s="938"/>
      <c r="E41" s="938"/>
      <c r="F41" s="938"/>
      <c r="G41" s="938"/>
      <c r="H41" s="938"/>
      <c r="I41" s="938"/>
      <c r="J41" s="938"/>
      <c r="K41" s="938"/>
      <c r="L41" s="897"/>
    </row>
    <row r="42" spans="2:12" ht="21">
      <c r="B42" s="853" t="s">
        <v>1376</v>
      </c>
      <c r="C42" s="938"/>
      <c r="D42" s="938"/>
      <c r="E42" s="938"/>
      <c r="F42" s="938"/>
      <c r="G42" s="938"/>
      <c r="H42" s="938"/>
      <c r="I42" s="938"/>
      <c r="J42" s="938"/>
      <c r="K42" s="938"/>
      <c r="L42" s="897"/>
    </row>
    <row r="43" spans="2:12" ht="21">
      <c r="B43" s="854" t="s">
        <v>1343</v>
      </c>
      <c r="C43" s="939"/>
      <c r="D43" s="939"/>
      <c r="E43" s="939"/>
      <c r="F43" s="939"/>
      <c r="G43" s="939"/>
      <c r="H43" s="939"/>
      <c r="I43" s="939"/>
      <c r="J43" s="939"/>
      <c r="K43" s="939"/>
      <c r="L43" s="898"/>
    </row>
    <row r="44" spans="2:12" ht="13.8" thickBot="1">
      <c r="B44" s="855"/>
      <c r="C44" s="940"/>
      <c r="D44" s="940"/>
      <c r="E44" s="940"/>
      <c r="F44" s="940"/>
      <c r="G44" s="940"/>
      <c r="H44" s="940"/>
      <c r="I44" s="940"/>
      <c r="J44" s="940"/>
      <c r="K44" s="940"/>
      <c r="L44" s="899"/>
    </row>
    <row r="45" spans="2:12" ht="16.2" thickBot="1">
      <c r="B45" s="856" t="s">
        <v>1344</v>
      </c>
      <c r="C45" s="941"/>
      <c r="D45" s="941"/>
      <c r="E45" s="941"/>
      <c r="F45" s="941"/>
      <c r="G45" s="941"/>
      <c r="H45" s="941"/>
      <c r="I45" s="941"/>
      <c r="J45" s="941"/>
      <c r="K45" s="941"/>
      <c r="L45" s="900"/>
    </row>
    <row r="46" spans="2:12" ht="13.2" customHeight="1">
      <c r="B46" s="1946" t="s">
        <v>1345</v>
      </c>
      <c r="C46" s="1952" t="s">
        <v>1346</v>
      </c>
      <c r="D46" s="1952" t="s">
        <v>1347</v>
      </c>
      <c r="E46" s="1952" t="s">
        <v>1348</v>
      </c>
      <c r="F46" s="1955" t="s">
        <v>877</v>
      </c>
      <c r="G46" s="1962" t="s">
        <v>878</v>
      </c>
      <c r="H46" s="1963"/>
      <c r="I46" s="1963"/>
      <c r="J46" s="1963"/>
      <c r="K46" s="1963"/>
      <c r="L46" s="1959" t="s">
        <v>1349</v>
      </c>
    </row>
    <row r="47" spans="2:12">
      <c r="B47" s="1947"/>
      <c r="C47" s="1953"/>
      <c r="D47" s="1953"/>
      <c r="E47" s="1953"/>
      <c r="F47" s="1956"/>
      <c r="G47" s="1935" t="s">
        <v>1350</v>
      </c>
      <c r="H47" s="1936"/>
      <c r="I47" s="1937" t="s">
        <v>938</v>
      </c>
      <c r="J47" s="1938"/>
      <c r="K47" s="1938"/>
      <c r="L47" s="1960"/>
    </row>
    <row r="48" spans="2:12" ht="39.6">
      <c r="B48" s="1947"/>
      <c r="C48" s="1954"/>
      <c r="D48" s="1954"/>
      <c r="E48" s="1954"/>
      <c r="F48" s="1957"/>
      <c r="G48" s="942" t="s">
        <v>230</v>
      </c>
      <c r="H48" s="943" t="s">
        <v>230</v>
      </c>
      <c r="I48" s="944" t="s">
        <v>1351</v>
      </c>
      <c r="J48" s="944" t="s">
        <v>1352</v>
      </c>
      <c r="K48" s="945" t="s">
        <v>1353</v>
      </c>
      <c r="L48" s="1961"/>
    </row>
    <row r="49" spans="2:15" ht="13.8" thickBot="1">
      <c r="B49" s="1948"/>
      <c r="C49" s="1958" t="s">
        <v>1354</v>
      </c>
      <c r="D49" s="1939"/>
      <c r="E49" s="1939"/>
      <c r="F49" s="1939"/>
      <c r="G49" s="1939"/>
      <c r="H49" s="1939"/>
      <c r="I49" s="1939"/>
      <c r="J49" s="1939"/>
      <c r="K49" s="1939"/>
      <c r="L49" s="1940"/>
      <c r="N49" s="864" t="s">
        <v>1391</v>
      </c>
      <c r="O49" s="865"/>
    </row>
    <row r="50" spans="2:15" ht="27" thickBot="1">
      <c r="N50" s="866" t="s">
        <v>1392</v>
      </c>
      <c r="O50" s="867" t="s">
        <v>877</v>
      </c>
    </row>
    <row r="51" spans="2:15" ht="13.8" thickBot="1">
      <c r="B51" s="857" t="s">
        <v>1355</v>
      </c>
      <c r="C51" s="947"/>
      <c r="D51" s="947"/>
      <c r="E51" s="947"/>
      <c r="F51" s="947"/>
      <c r="G51" s="947"/>
      <c r="H51" s="947"/>
      <c r="I51" s="947"/>
      <c r="J51" s="947"/>
      <c r="K51" s="947"/>
      <c r="L51" s="902"/>
      <c r="N51" s="868"/>
      <c r="O51" s="869" t="s">
        <v>1354</v>
      </c>
    </row>
    <row r="52" spans="2:15">
      <c r="B52" s="858" t="s">
        <v>1356</v>
      </c>
      <c r="C52" s="948">
        <v>1587403464.3999999</v>
      </c>
      <c r="D52" s="948">
        <v>-9256916.5500000007</v>
      </c>
      <c r="E52" s="948">
        <v>1578146547.8500001</v>
      </c>
      <c r="F52" s="948">
        <v>1500905751.7900002</v>
      </c>
      <c r="G52" s="948">
        <v>31938161.57</v>
      </c>
      <c r="H52" s="949"/>
      <c r="I52" s="948">
        <v>0</v>
      </c>
      <c r="J52" s="948">
        <v>45302634.489999987</v>
      </c>
      <c r="K52" s="948">
        <v>0</v>
      </c>
      <c r="L52" s="903"/>
      <c r="N52" s="862" t="s">
        <v>1356</v>
      </c>
      <c r="O52" s="870">
        <v>3179321.6100000003</v>
      </c>
    </row>
    <row r="53" spans="2:15">
      <c r="B53" s="859" t="s">
        <v>1357</v>
      </c>
      <c r="C53" s="950">
        <v>0</v>
      </c>
      <c r="D53" s="950">
        <v>5425915.5100000007</v>
      </c>
      <c r="E53" s="950">
        <v>5425915.5100000007</v>
      </c>
      <c r="F53" s="950">
        <v>5425915.5100000007</v>
      </c>
      <c r="G53" s="950">
        <v>0</v>
      </c>
      <c r="H53" s="951"/>
      <c r="I53" s="950">
        <v>0</v>
      </c>
      <c r="J53" s="950">
        <v>0</v>
      </c>
      <c r="K53" s="950">
        <v>0</v>
      </c>
      <c r="L53" s="904"/>
      <c r="N53" s="859" t="s">
        <v>1362</v>
      </c>
      <c r="O53" s="871">
        <v>2156198.35</v>
      </c>
    </row>
    <row r="54" spans="2:15" ht="13.8" thickBot="1">
      <c r="B54" s="859" t="s">
        <v>1358</v>
      </c>
      <c r="C54" s="950">
        <v>48458721.680000007</v>
      </c>
      <c r="D54" s="950">
        <v>-8829214.0300000012</v>
      </c>
      <c r="E54" s="950">
        <v>39629507.650000006</v>
      </c>
      <c r="F54" s="950">
        <v>9320548.5700000003</v>
      </c>
      <c r="G54" s="950">
        <v>5073841.17</v>
      </c>
      <c r="H54" s="951"/>
      <c r="I54" s="950">
        <v>18102367.989999998</v>
      </c>
      <c r="J54" s="950">
        <v>7132749.9200000018</v>
      </c>
      <c r="K54" s="950">
        <v>0</v>
      </c>
      <c r="L54" s="904"/>
      <c r="N54" s="863" t="s">
        <v>1393</v>
      </c>
      <c r="O54" s="872">
        <v>90395.549999999988</v>
      </c>
    </row>
    <row r="55" spans="2:15" ht="13.8" thickBot="1">
      <c r="B55" s="859" t="s">
        <v>1359</v>
      </c>
      <c r="C55" s="950">
        <v>8789185.75</v>
      </c>
      <c r="D55" s="950">
        <v>-8789185.75</v>
      </c>
      <c r="E55" s="950">
        <v>0</v>
      </c>
      <c r="F55" s="950">
        <v>0</v>
      </c>
      <c r="G55" s="950">
        <v>0</v>
      </c>
      <c r="H55" s="951"/>
      <c r="I55" s="950">
        <v>0</v>
      </c>
      <c r="J55" s="950">
        <v>0</v>
      </c>
      <c r="K55" s="950">
        <v>0</v>
      </c>
      <c r="L55" s="904"/>
      <c r="N55" s="861" t="s">
        <v>1394</v>
      </c>
      <c r="O55" s="873">
        <v>5425915.5100000007</v>
      </c>
    </row>
    <row r="56" spans="2:15" ht="26.4">
      <c r="B56" s="859" t="s">
        <v>1360</v>
      </c>
      <c r="C56" s="950">
        <v>106860917.76000001</v>
      </c>
      <c r="D56" s="950">
        <v>-90395.549999999988</v>
      </c>
      <c r="E56" s="950">
        <v>106770522.21000001</v>
      </c>
      <c r="F56" s="950">
        <v>106770522.21000001</v>
      </c>
      <c r="G56" s="950">
        <v>0</v>
      </c>
      <c r="H56" s="951"/>
      <c r="I56" s="950">
        <v>0</v>
      </c>
      <c r="J56" s="950">
        <v>0</v>
      </c>
      <c r="K56" s="950" t="s">
        <v>230</v>
      </c>
      <c r="L56" s="904"/>
    </row>
    <row r="57" spans="2:15" ht="26.4">
      <c r="B57" s="859" t="s">
        <v>1361</v>
      </c>
      <c r="C57" s="950">
        <v>1277855.53</v>
      </c>
      <c r="D57" s="950">
        <v>-1277855.53</v>
      </c>
      <c r="E57" s="950">
        <v>0</v>
      </c>
      <c r="F57" s="950" t="s">
        <v>230</v>
      </c>
      <c r="G57" s="950">
        <v>0</v>
      </c>
      <c r="H57" s="951"/>
      <c r="I57" s="950">
        <v>0</v>
      </c>
      <c r="J57" s="950">
        <v>0</v>
      </c>
      <c r="K57" s="950" t="s">
        <v>230</v>
      </c>
      <c r="L57" s="904"/>
    </row>
    <row r="58" spans="2:15">
      <c r="B58" s="859" t="s">
        <v>1362</v>
      </c>
      <c r="C58" s="950">
        <v>394196905.73000002</v>
      </c>
      <c r="D58" s="950">
        <v>-3062232.31</v>
      </c>
      <c r="E58" s="950">
        <v>391134673.41999996</v>
      </c>
      <c r="F58" s="950">
        <v>391134673.41999996</v>
      </c>
      <c r="G58" s="950">
        <v>0</v>
      </c>
      <c r="H58" s="951"/>
      <c r="I58" s="950">
        <v>0</v>
      </c>
      <c r="J58" s="950">
        <v>0</v>
      </c>
      <c r="K58" s="950" t="s">
        <v>230</v>
      </c>
      <c r="L58" s="904"/>
    </row>
    <row r="59" spans="2:15" ht="26.4">
      <c r="B59" s="860" t="s">
        <v>1363</v>
      </c>
      <c r="C59" s="952">
        <v>0</v>
      </c>
      <c r="D59" s="952" t="s">
        <v>230</v>
      </c>
      <c r="E59" s="952" t="s">
        <v>230</v>
      </c>
      <c r="F59" s="952" t="s">
        <v>230</v>
      </c>
      <c r="G59" s="952">
        <v>0</v>
      </c>
      <c r="H59" s="953"/>
      <c r="I59" s="952">
        <v>0</v>
      </c>
      <c r="J59" s="952">
        <v>0</v>
      </c>
      <c r="K59" s="952" t="s">
        <v>230</v>
      </c>
      <c r="L59" s="905"/>
    </row>
    <row r="60" spans="2:15" ht="13.8" thickBot="1">
      <c r="B60" s="860" t="s">
        <v>1364</v>
      </c>
      <c r="C60" s="952">
        <v>426053506.06999999</v>
      </c>
      <c r="D60" s="952">
        <v>-400882845.40000004</v>
      </c>
      <c r="E60" s="952">
        <v>25170660.670000002</v>
      </c>
      <c r="F60" s="952">
        <v>0</v>
      </c>
      <c r="G60" s="952">
        <v>0</v>
      </c>
      <c r="H60" s="953"/>
      <c r="I60" s="952">
        <v>11024612.600000001</v>
      </c>
      <c r="J60" s="952">
        <v>1407330.42</v>
      </c>
      <c r="K60" s="952">
        <v>12738717.650000002</v>
      </c>
      <c r="L60" s="905"/>
    </row>
    <row r="61" spans="2:15" ht="13.8" thickBot="1">
      <c r="B61" s="861" t="s">
        <v>1365</v>
      </c>
      <c r="C61" s="954">
        <v>2573040556.9200001</v>
      </c>
      <c r="D61" s="954">
        <v>-426762729.61000001</v>
      </c>
      <c r="E61" s="954">
        <v>2146277827.3100004</v>
      </c>
      <c r="F61" s="954">
        <v>2013557411.5</v>
      </c>
      <c r="G61" s="954">
        <v>37012002.740000002</v>
      </c>
      <c r="H61" s="954">
        <v>0</v>
      </c>
      <c r="I61" s="954">
        <v>29126980.59</v>
      </c>
      <c r="J61" s="954">
        <v>53842714.829999991</v>
      </c>
      <c r="K61" s="954">
        <v>12738717.650000002</v>
      </c>
      <c r="L61" s="907">
        <v>0</v>
      </c>
    </row>
    <row r="62" spans="2:15" ht="13.8" thickBot="1"/>
    <row r="63" spans="2:15" ht="13.8" thickBot="1">
      <c r="B63" s="857" t="s">
        <v>1366</v>
      </c>
      <c r="C63" s="947"/>
      <c r="D63" s="947"/>
      <c r="E63" s="947"/>
      <c r="F63" s="947"/>
      <c r="G63" s="947"/>
      <c r="H63" s="947"/>
      <c r="I63" s="947"/>
      <c r="J63" s="947"/>
      <c r="K63" s="947"/>
      <c r="L63" s="902"/>
    </row>
    <row r="64" spans="2:15">
      <c r="B64" s="858" t="s">
        <v>1367</v>
      </c>
      <c r="C64" s="948">
        <v>383829967.11999995</v>
      </c>
      <c r="D64" s="948">
        <v>-5259435.1500000004</v>
      </c>
      <c r="E64" s="948">
        <v>378570531.96999997</v>
      </c>
      <c r="F64" s="948">
        <v>378570531.96999997</v>
      </c>
      <c r="G64" s="948">
        <v>0</v>
      </c>
      <c r="H64" s="949"/>
      <c r="I64" s="948">
        <v>0</v>
      </c>
      <c r="J64" s="948">
        <v>0</v>
      </c>
      <c r="K64" s="948">
        <v>0</v>
      </c>
      <c r="L64" s="903"/>
    </row>
    <row r="65" spans="2:12">
      <c r="B65" s="862" t="s">
        <v>1368</v>
      </c>
      <c r="C65" s="955">
        <v>3086515.93</v>
      </c>
      <c r="D65" s="955">
        <v>52088.851818181109</v>
      </c>
      <c r="E65" s="955">
        <v>3138604.78</v>
      </c>
      <c r="F65" s="955">
        <v>3138604.78</v>
      </c>
      <c r="G65" s="955">
        <v>0</v>
      </c>
      <c r="H65" s="956"/>
      <c r="I65" s="955">
        <v>0</v>
      </c>
      <c r="J65" s="955">
        <v>0</v>
      </c>
      <c r="K65" s="955">
        <v>0</v>
      </c>
      <c r="L65" s="912"/>
    </row>
    <row r="66" spans="2:12" ht="26.4">
      <c r="B66" s="859" t="s">
        <v>966</v>
      </c>
      <c r="C66" s="950">
        <v>0</v>
      </c>
      <c r="D66" s="950">
        <v>5259435.1500000004</v>
      </c>
      <c r="E66" s="950">
        <v>5259435.1500000004</v>
      </c>
      <c r="F66" s="950">
        <v>5259435.1500000004</v>
      </c>
      <c r="G66" s="950">
        <v>0</v>
      </c>
      <c r="H66" s="951"/>
      <c r="I66" s="950">
        <v>0</v>
      </c>
      <c r="J66" s="950">
        <v>0</v>
      </c>
      <c r="K66" s="950">
        <v>0</v>
      </c>
      <c r="L66" s="904"/>
    </row>
    <row r="67" spans="2:12">
      <c r="B67" s="859" t="s">
        <v>1369</v>
      </c>
      <c r="C67" s="950">
        <v>440553764.94999999</v>
      </c>
      <c r="D67" s="950">
        <v>-22291914.640000001</v>
      </c>
      <c r="E67" s="950">
        <v>418261850.31</v>
      </c>
      <c r="F67" s="950">
        <v>401767779.60000002</v>
      </c>
      <c r="G67" s="950">
        <v>9959446.8399999999</v>
      </c>
      <c r="H67" s="951"/>
      <c r="I67" s="950">
        <v>1422299.29</v>
      </c>
      <c r="J67" s="950">
        <v>5112324.58</v>
      </c>
      <c r="K67" s="950">
        <v>0</v>
      </c>
      <c r="L67" s="904"/>
    </row>
    <row r="68" spans="2:12">
      <c r="B68" s="859" t="s">
        <v>1370</v>
      </c>
      <c r="C68" s="950">
        <v>-11337320.93</v>
      </c>
      <c r="D68" s="950">
        <v>11337320.93</v>
      </c>
      <c r="E68" s="950">
        <v>0</v>
      </c>
      <c r="F68" s="950">
        <v>0</v>
      </c>
      <c r="G68" s="950">
        <v>0</v>
      </c>
      <c r="H68" s="951"/>
      <c r="I68" s="950">
        <v>0</v>
      </c>
      <c r="J68" s="950">
        <v>0</v>
      </c>
      <c r="K68" s="950">
        <v>0</v>
      </c>
      <c r="L68" s="904"/>
    </row>
    <row r="69" spans="2:12">
      <c r="B69" s="859" t="s">
        <v>1371</v>
      </c>
      <c r="C69" s="950">
        <v>0</v>
      </c>
      <c r="D69" s="950">
        <v>0</v>
      </c>
      <c r="E69" s="950">
        <v>0</v>
      </c>
      <c r="F69" s="950">
        <v>0</v>
      </c>
      <c r="G69" s="950">
        <v>0</v>
      </c>
      <c r="H69" s="951"/>
      <c r="I69" s="950">
        <v>0</v>
      </c>
      <c r="J69" s="950">
        <v>0</v>
      </c>
      <c r="K69" s="950">
        <v>0</v>
      </c>
      <c r="L69" s="904"/>
    </row>
    <row r="70" spans="2:12" ht="26.4">
      <c r="B70" s="859" t="s">
        <v>1360</v>
      </c>
      <c r="C70" s="950">
        <v>100267732.34999999</v>
      </c>
      <c r="D70" s="950">
        <v>-30492.37000000001</v>
      </c>
      <c r="E70" s="950">
        <v>100237239.98000017</v>
      </c>
      <c r="F70" s="950">
        <v>100237239.98000017</v>
      </c>
      <c r="G70" s="950">
        <v>0</v>
      </c>
      <c r="H70" s="951"/>
      <c r="I70" s="950">
        <v>0</v>
      </c>
      <c r="J70" s="950">
        <v>0</v>
      </c>
      <c r="K70" s="950" t="s">
        <v>230</v>
      </c>
      <c r="L70" s="904"/>
    </row>
    <row r="71" spans="2:12" ht="26.4">
      <c r="B71" s="859" t="s">
        <v>1372</v>
      </c>
      <c r="C71" s="950">
        <v>4969784.09</v>
      </c>
      <c r="D71" s="950">
        <v>-4969784.09</v>
      </c>
      <c r="E71" s="950">
        <v>0</v>
      </c>
      <c r="F71" s="950">
        <v>0</v>
      </c>
      <c r="G71" s="950">
        <v>0</v>
      </c>
      <c r="H71" s="951"/>
      <c r="I71" s="950">
        <v>0</v>
      </c>
      <c r="J71" s="950">
        <v>0</v>
      </c>
      <c r="K71" s="950">
        <v>0</v>
      </c>
      <c r="L71" s="904"/>
    </row>
    <row r="72" spans="2:12">
      <c r="B72" s="859" t="s">
        <v>1373</v>
      </c>
      <c r="C72" s="950">
        <v>285614026.00999999</v>
      </c>
      <c r="D72" s="950">
        <v>-11259341.880000003</v>
      </c>
      <c r="E72" s="950">
        <v>274354684.13</v>
      </c>
      <c r="F72" s="950">
        <v>256616521.95000002</v>
      </c>
      <c r="G72" s="950">
        <v>11510908.370000001</v>
      </c>
      <c r="H72" s="951"/>
      <c r="I72" s="950">
        <v>0</v>
      </c>
      <c r="J72" s="950">
        <v>6227253.8100000005</v>
      </c>
      <c r="K72" s="950">
        <v>0</v>
      </c>
      <c r="L72" s="904"/>
    </row>
    <row r="73" spans="2:12" ht="39.6">
      <c r="B73" s="859" t="s">
        <v>1374</v>
      </c>
      <c r="C73" s="950">
        <v>272851690.28000009</v>
      </c>
      <c r="D73" s="950">
        <v>-108037848.01000006</v>
      </c>
      <c r="E73" s="950">
        <v>164813842.26999998</v>
      </c>
      <c r="F73" s="950">
        <v>98824774.169999987</v>
      </c>
      <c r="G73" s="950">
        <v>1486103.3099999996</v>
      </c>
      <c r="H73" s="951"/>
      <c r="I73" s="950">
        <v>9101062.2200000025</v>
      </c>
      <c r="J73" s="950">
        <v>31988746.339999989</v>
      </c>
      <c r="K73" s="950">
        <v>23413156.230000004</v>
      </c>
      <c r="L73" s="904"/>
    </row>
    <row r="74" spans="2:12" ht="13.8" thickBot="1">
      <c r="B74" s="863" t="s">
        <v>1375</v>
      </c>
      <c r="C74" s="957">
        <v>59497510.920000002</v>
      </c>
      <c r="D74" s="957">
        <v>-59497510.920000002</v>
      </c>
      <c r="E74" s="957">
        <v>0</v>
      </c>
      <c r="F74" s="957">
        <v>0</v>
      </c>
      <c r="G74" s="957">
        <v>0</v>
      </c>
      <c r="H74" s="958"/>
      <c r="I74" s="957">
        <v>0</v>
      </c>
      <c r="J74" s="957">
        <v>0</v>
      </c>
      <c r="K74" s="957">
        <v>0</v>
      </c>
      <c r="L74" s="913"/>
    </row>
    <row r="75" spans="2:12" ht="13.8" thickBot="1"/>
    <row r="76" spans="2:12" ht="21">
      <c r="B76" s="852" t="s">
        <v>1377</v>
      </c>
      <c r="C76" s="937"/>
      <c r="D76" s="937"/>
      <c r="E76" s="937"/>
      <c r="F76" s="937"/>
      <c r="G76" s="937"/>
      <c r="H76" s="937"/>
      <c r="I76" s="937"/>
      <c r="J76" s="937"/>
      <c r="K76" s="937"/>
      <c r="L76" s="896"/>
    </row>
    <row r="77" spans="2:12" ht="21">
      <c r="B77" s="853" t="s">
        <v>179</v>
      </c>
      <c r="C77" s="938"/>
      <c r="D77" s="938"/>
      <c r="E77" s="938"/>
      <c r="F77" s="938"/>
      <c r="G77" s="938"/>
      <c r="H77" s="938"/>
      <c r="I77" s="938"/>
      <c r="J77" s="938"/>
      <c r="K77" s="938"/>
      <c r="L77" s="897"/>
    </row>
    <row r="78" spans="2:12" ht="21">
      <c r="B78" s="853" t="s">
        <v>1378</v>
      </c>
      <c r="C78" s="938"/>
      <c r="D78" s="938"/>
      <c r="E78" s="938"/>
      <c r="F78" s="938"/>
      <c r="G78" s="938"/>
      <c r="H78" s="938"/>
      <c r="I78" s="938"/>
      <c r="J78" s="938"/>
      <c r="K78" s="938"/>
      <c r="L78" s="897"/>
    </row>
    <row r="79" spans="2:12" ht="21">
      <c r="B79" s="854" t="s">
        <v>1343</v>
      </c>
      <c r="C79" s="939"/>
      <c r="D79" s="939"/>
      <c r="E79" s="939"/>
      <c r="F79" s="939"/>
      <c r="G79" s="939"/>
      <c r="H79" s="939"/>
      <c r="I79" s="939"/>
      <c r="J79" s="939"/>
      <c r="K79" s="939"/>
      <c r="L79" s="898"/>
    </row>
    <row r="80" spans="2:12" ht="13.8" thickBot="1"/>
    <row r="81" spans="2:15" ht="16.2" thickBot="1">
      <c r="B81" s="856" t="s">
        <v>1344</v>
      </c>
      <c r="C81" s="941"/>
      <c r="D81" s="941"/>
      <c r="E81" s="941"/>
      <c r="F81" s="941"/>
      <c r="G81" s="941"/>
      <c r="H81" s="941"/>
      <c r="I81" s="941"/>
      <c r="J81" s="941"/>
      <c r="K81" s="941"/>
      <c r="L81" s="900"/>
    </row>
    <row r="82" spans="2:15">
      <c r="B82" s="1946"/>
      <c r="C82" s="1952" t="s">
        <v>1346</v>
      </c>
      <c r="D82" s="1952" t="s">
        <v>1347</v>
      </c>
      <c r="E82" s="1952" t="s">
        <v>1379</v>
      </c>
      <c r="F82" s="1955" t="s">
        <v>1380</v>
      </c>
      <c r="G82" s="1962" t="s">
        <v>878</v>
      </c>
      <c r="H82" s="1963"/>
      <c r="I82" s="1963"/>
      <c r="J82" s="1963"/>
      <c r="K82" s="1963"/>
      <c r="L82" s="1959" t="s">
        <v>1381</v>
      </c>
    </row>
    <row r="83" spans="2:15">
      <c r="B83" s="1947"/>
      <c r="C83" s="1953"/>
      <c r="D83" s="1953"/>
      <c r="E83" s="1953"/>
      <c r="F83" s="1956"/>
      <c r="G83" s="1935" t="s">
        <v>1350</v>
      </c>
      <c r="H83" s="1936"/>
      <c r="I83" s="1937" t="s">
        <v>938</v>
      </c>
      <c r="J83" s="1938"/>
      <c r="K83" s="1938"/>
      <c r="L83" s="1960"/>
    </row>
    <row r="84" spans="2:15" ht="39.6">
      <c r="B84" s="1947"/>
      <c r="C84" s="1954"/>
      <c r="D84" s="1954"/>
      <c r="E84" s="1954"/>
      <c r="F84" s="1957"/>
      <c r="G84" s="942"/>
      <c r="H84" s="943"/>
      <c r="I84" s="944" t="s">
        <v>1351</v>
      </c>
      <c r="J84" s="944" t="s">
        <v>1382</v>
      </c>
      <c r="K84" s="945" t="s">
        <v>1383</v>
      </c>
      <c r="L84" s="1961"/>
    </row>
    <row r="85" spans="2:15" ht="13.8" thickBot="1">
      <c r="B85" s="1948"/>
      <c r="C85" s="1958" t="s">
        <v>1354</v>
      </c>
      <c r="D85" s="1939"/>
      <c r="E85" s="1939"/>
      <c r="F85" s="1939"/>
      <c r="G85" s="1939"/>
      <c r="H85" s="1939"/>
      <c r="I85" s="1939"/>
      <c r="J85" s="1939"/>
      <c r="K85" s="1939"/>
      <c r="L85" s="1940"/>
    </row>
    <row r="86" spans="2:15" ht="13.8" thickBot="1">
      <c r="B86" s="857" t="s">
        <v>1355</v>
      </c>
      <c r="C86" s="959"/>
      <c r="D86" s="959"/>
      <c r="E86" s="959"/>
      <c r="F86" s="959"/>
      <c r="G86" s="959"/>
      <c r="H86" s="959"/>
      <c r="I86" s="959"/>
      <c r="J86" s="959"/>
      <c r="K86" s="959"/>
      <c r="L86" s="914"/>
      <c r="N86" s="864" t="s">
        <v>1391</v>
      </c>
      <c r="O86" s="865"/>
    </row>
    <row r="87" spans="2:15" ht="26.4">
      <c r="B87" s="874" t="s">
        <v>1356</v>
      </c>
      <c r="C87" s="960">
        <v>1450101257</v>
      </c>
      <c r="D87" s="960">
        <v>-9794966</v>
      </c>
      <c r="E87" s="960">
        <v>1440306291</v>
      </c>
      <c r="F87" s="960">
        <v>1360225218</v>
      </c>
      <c r="G87" s="960">
        <v>34554181</v>
      </c>
      <c r="H87" s="961"/>
      <c r="I87" s="960">
        <v>0</v>
      </c>
      <c r="J87" s="960">
        <v>45526892</v>
      </c>
      <c r="K87" s="960">
        <v>0</v>
      </c>
      <c r="L87" s="915"/>
      <c r="N87" s="1911" t="s">
        <v>1392</v>
      </c>
      <c r="O87" s="867" t="s">
        <v>877</v>
      </c>
    </row>
    <row r="88" spans="2:15" ht="13.8" thickBot="1">
      <c r="B88" s="875" t="s">
        <v>1357</v>
      </c>
      <c r="C88" s="962">
        <v>0</v>
      </c>
      <c r="D88" s="962">
        <v>4893157</v>
      </c>
      <c r="E88" s="962">
        <v>4893157</v>
      </c>
      <c r="F88" s="962">
        <v>4893157</v>
      </c>
      <c r="G88" s="962">
        <v>0</v>
      </c>
      <c r="H88" s="963"/>
      <c r="I88" s="962">
        <v>0</v>
      </c>
      <c r="J88" s="962">
        <v>0</v>
      </c>
      <c r="K88" s="962">
        <v>0</v>
      </c>
      <c r="L88" s="916"/>
      <c r="N88" s="1912"/>
      <c r="O88" s="869" t="s">
        <v>1354</v>
      </c>
    </row>
    <row r="89" spans="2:15">
      <c r="B89" s="875" t="s">
        <v>1358</v>
      </c>
      <c r="C89" s="962">
        <v>48907902</v>
      </c>
      <c r="D89" s="962">
        <v>-75567</v>
      </c>
      <c r="E89" s="962">
        <v>48832335</v>
      </c>
      <c r="F89" s="962">
        <v>8148118</v>
      </c>
      <c r="G89" s="962">
        <v>6079992</v>
      </c>
      <c r="H89" s="963"/>
      <c r="I89" s="962">
        <v>30439629</v>
      </c>
      <c r="J89" s="962">
        <v>4164596</v>
      </c>
      <c r="K89" s="962">
        <v>0</v>
      </c>
      <c r="L89" s="916"/>
      <c r="N89" s="862" t="s">
        <v>1356</v>
      </c>
      <c r="O89" s="870">
        <v>3302269.8000000007</v>
      </c>
    </row>
    <row r="90" spans="2:15">
      <c r="B90" s="862" t="s">
        <v>1359</v>
      </c>
      <c r="C90" s="955">
        <v>8180498</v>
      </c>
      <c r="D90" s="955">
        <v>-8180498</v>
      </c>
      <c r="E90" s="955">
        <v>0</v>
      </c>
      <c r="F90" s="955">
        <v>0</v>
      </c>
      <c r="G90" s="955">
        <v>0</v>
      </c>
      <c r="H90" s="956"/>
      <c r="I90" s="955">
        <v>0</v>
      </c>
      <c r="J90" s="955">
        <v>0</v>
      </c>
      <c r="K90" s="955">
        <v>0</v>
      </c>
      <c r="L90" s="912"/>
      <c r="N90" s="859" t="s">
        <v>1362</v>
      </c>
      <c r="O90" s="871">
        <v>1590887.6800000002</v>
      </c>
    </row>
    <row r="91" spans="2:15" ht="27" thickBot="1">
      <c r="B91" s="859" t="s">
        <v>1360</v>
      </c>
      <c r="C91" s="950">
        <v>-127169</v>
      </c>
      <c r="D91" s="950">
        <v>93678429</v>
      </c>
      <c r="E91" s="950">
        <v>93551260</v>
      </c>
      <c r="F91" s="950">
        <v>93551260</v>
      </c>
      <c r="G91" s="950">
        <v>0</v>
      </c>
      <c r="H91" s="951"/>
      <c r="I91" s="950">
        <v>0</v>
      </c>
      <c r="J91" s="950">
        <v>0</v>
      </c>
      <c r="K91" s="950">
        <v>0</v>
      </c>
      <c r="L91" s="904"/>
      <c r="N91" s="863" t="s">
        <v>1393</v>
      </c>
      <c r="O91" s="872">
        <v>0</v>
      </c>
    </row>
    <row r="92" spans="2:15" ht="27" thickBot="1">
      <c r="B92" s="859" t="s">
        <v>1361</v>
      </c>
      <c r="C92" s="950">
        <v>-3744964</v>
      </c>
      <c r="D92" s="950">
        <v>3744964</v>
      </c>
      <c r="E92" s="950">
        <v>0</v>
      </c>
      <c r="F92" s="950">
        <v>0</v>
      </c>
      <c r="G92" s="950">
        <v>0</v>
      </c>
      <c r="H92" s="951"/>
      <c r="I92" s="950">
        <v>0</v>
      </c>
      <c r="J92" s="950">
        <v>0</v>
      </c>
      <c r="K92" s="950">
        <v>0</v>
      </c>
      <c r="L92" s="904"/>
      <c r="N92" s="861" t="s">
        <v>1394</v>
      </c>
      <c r="O92" s="873">
        <v>4893157.4800000004</v>
      </c>
    </row>
    <row r="93" spans="2:15">
      <c r="B93" s="859" t="s">
        <v>1362</v>
      </c>
      <c r="C93" s="950">
        <v>261486379</v>
      </c>
      <c r="D93" s="950">
        <v>-2502338</v>
      </c>
      <c r="E93" s="950">
        <v>258984041</v>
      </c>
      <c r="F93" s="950">
        <v>258984041</v>
      </c>
      <c r="G93" s="950">
        <v>0</v>
      </c>
      <c r="H93" s="951"/>
      <c r="I93" s="950">
        <v>0</v>
      </c>
      <c r="J93" s="950">
        <v>0</v>
      </c>
      <c r="K93" s="950">
        <v>0</v>
      </c>
      <c r="L93" s="904"/>
    </row>
    <row r="94" spans="2:15">
      <c r="B94" s="859" t="s">
        <v>1364</v>
      </c>
      <c r="C94" s="950">
        <v>375489192</v>
      </c>
      <c r="D94" s="950">
        <v>-348037409</v>
      </c>
      <c r="E94" s="950">
        <v>27451783</v>
      </c>
      <c r="F94" s="950">
        <v>0</v>
      </c>
      <c r="G94" s="950">
        <v>0</v>
      </c>
      <c r="H94" s="951"/>
      <c r="I94" s="950">
        <v>8062841</v>
      </c>
      <c r="J94" s="950">
        <v>1121899</v>
      </c>
      <c r="K94" s="950">
        <v>18267043</v>
      </c>
      <c r="L94" s="904"/>
    </row>
    <row r="95" spans="2:15">
      <c r="B95" s="860" t="s">
        <v>1365</v>
      </c>
      <c r="C95" s="952">
        <v>2140293095</v>
      </c>
      <c r="D95" s="952">
        <v>-266274227</v>
      </c>
      <c r="E95" s="952">
        <v>1874018868</v>
      </c>
      <c r="F95" s="952">
        <v>1725801794</v>
      </c>
      <c r="G95" s="952">
        <v>40634173</v>
      </c>
      <c r="H95" s="953" t="s">
        <v>1384</v>
      </c>
      <c r="I95" s="952">
        <v>38502470</v>
      </c>
      <c r="J95" s="952">
        <v>50813387</v>
      </c>
      <c r="K95" s="952">
        <v>18267043</v>
      </c>
      <c r="L95" s="905" t="s">
        <v>1384</v>
      </c>
    </row>
    <row r="96" spans="2:15" ht="13.8" thickBot="1">
      <c r="B96" s="860"/>
      <c r="C96" s="952"/>
      <c r="D96" s="952"/>
      <c r="E96" s="952"/>
      <c r="F96" s="952"/>
      <c r="G96" s="952"/>
      <c r="H96" s="953"/>
      <c r="I96" s="952"/>
      <c r="J96" s="952"/>
      <c r="K96" s="952"/>
      <c r="L96" s="905"/>
    </row>
    <row r="97" spans="2:15" ht="13.8" thickBot="1">
      <c r="B97" s="861" t="s">
        <v>1366</v>
      </c>
      <c r="C97" s="954"/>
      <c r="D97" s="954"/>
      <c r="E97" s="954"/>
      <c r="F97" s="954"/>
      <c r="G97" s="954"/>
      <c r="H97" s="954"/>
      <c r="I97" s="954"/>
      <c r="J97" s="954"/>
      <c r="K97" s="954"/>
      <c r="L97" s="907"/>
    </row>
    <row r="98" spans="2:15" ht="13.8" thickBot="1">
      <c r="B98" s="857" t="s">
        <v>1367</v>
      </c>
      <c r="C98" s="959">
        <v>276221351</v>
      </c>
      <c r="D98" s="959">
        <v>-5656661</v>
      </c>
      <c r="E98" s="959">
        <v>270564690</v>
      </c>
      <c r="F98" s="959">
        <v>270564690</v>
      </c>
      <c r="G98" s="959">
        <v>0</v>
      </c>
      <c r="H98" s="959"/>
      <c r="I98" s="959">
        <v>0</v>
      </c>
      <c r="J98" s="959">
        <v>0</v>
      </c>
      <c r="K98" s="959">
        <v>0</v>
      </c>
      <c r="L98" s="914"/>
    </row>
    <row r="99" spans="2:15" ht="13.8" thickBot="1">
      <c r="B99" s="874" t="s">
        <v>1368</v>
      </c>
      <c r="C99" s="960">
        <v>2105440</v>
      </c>
      <c r="D99" s="960">
        <v>-175802</v>
      </c>
      <c r="E99" s="960">
        <v>1929638</v>
      </c>
      <c r="F99" s="960">
        <v>1929638</v>
      </c>
      <c r="G99" s="960">
        <v>0</v>
      </c>
      <c r="H99" s="961"/>
      <c r="I99" s="960">
        <v>0</v>
      </c>
      <c r="J99" s="960">
        <v>0</v>
      </c>
      <c r="K99" s="960">
        <v>0</v>
      </c>
      <c r="L99" s="915"/>
      <c r="N99" s="864" t="s">
        <v>1395</v>
      </c>
      <c r="O99" s="865"/>
    </row>
    <row r="100" spans="2:15" ht="26.4">
      <c r="B100" s="875" t="s">
        <v>966</v>
      </c>
      <c r="C100" s="962">
        <v>0</v>
      </c>
      <c r="D100" s="962">
        <v>5656661</v>
      </c>
      <c r="E100" s="962">
        <v>5656661</v>
      </c>
      <c r="F100" s="962">
        <v>5656661</v>
      </c>
      <c r="G100" s="962">
        <v>0</v>
      </c>
      <c r="H100" s="963"/>
      <c r="I100" s="962">
        <v>0</v>
      </c>
      <c r="J100" s="962">
        <v>0</v>
      </c>
      <c r="K100" s="962">
        <v>0</v>
      </c>
      <c r="L100" s="916"/>
      <c r="N100" s="1911" t="s">
        <v>1396</v>
      </c>
      <c r="O100" s="867" t="s">
        <v>877</v>
      </c>
    </row>
    <row r="101" spans="2:15" ht="13.8" thickBot="1">
      <c r="B101" s="862" t="s">
        <v>1369</v>
      </c>
      <c r="C101" s="955">
        <v>422373446</v>
      </c>
      <c r="D101" s="955">
        <v>-22214584</v>
      </c>
      <c r="E101" s="955">
        <v>400158862</v>
      </c>
      <c r="F101" s="955">
        <v>380657936</v>
      </c>
      <c r="G101" s="955">
        <v>10739596</v>
      </c>
      <c r="H101" s="956"/>
      <c r="I101" s="955">
        <v>2258641</v>
      </c>
      <c r="J101" s="955">
        <v>6502689</v>
      </c>
      <c r="K101" s="955">
        <v>0</v>
      </c>
      <c r="L101" s="912"/>
      <c r="N101" s="1912"/>
      <c r="O101" s="869" t="s">
        <v>1354</v>
      </c>
    </row>
    <row r="102" spans="2:15">
      <c r="B102" s="859" t="s">
        <v>1370</v>
      </c>
      <c r="C102" s="950">
        <v>-4909322</v>
      </c>
      <c r="D102" s="950">
        <v>4909322</v>
      </c>
      <c r="E102" s="950">
        <v>0</v>
      </c>
      <c r="F102" s="950">
        <v>0</v>
      </c>
      <c r="G102" s="950">
        <v>0</v>
      </c>
      <c r="H102" s="951"/>
      <c r="I102" s="950">
        <v>0</v>
      </c>
      <c r="J102" s="950">
        <v>0</v>
      </c>
      <c r="K102" s="950">
        <v>0</v>
      </c>
      <c r="L102" s="904"/>
      <c r="N102" s="862" t="s">
        <v>1397</v>
      </c>
      <c r="O102" s="876">
        <v>264270744.22639096</v>
      </c>
    </row>
    <row r="103" spans="2:15">
      <c r="B103" s="859" t="s">
        <v>1371</v>
      </c>
      <c r="C103" s="950">
        <v>8028399</v>
      </c>
      <c r="D103" s="950">
        <v>-8028399</v>
      </c>
      <c r="E103" s="950">
        <v>0</v>
      </c>
      <c r="F103" s="950">
        <v>0</v>
      </c>
      <c r="G103" s="950">
        <v>0</v>
      </c>
      <c r="H103" s="951"/>
      <c r="I103" s="950">
        <v>0</v>
      </c>
      <c r="J103" s="950">
        <v>0</v>
      </c>
      <c r="K103" s="950">
        <v>0</v>
      </c>
      <c r="L103" s="904"/>
      <c r="N103" s="859" t="s">
        <v>1398</v>
      </c>
      <c r="O103" s="877">
        <v>6293945.703609013</v>
      </c>
    </row>
    <row r="104" spans="2:15" ht="27" thickBot="1">
      <c r="B104" s="859" t="s">
        <v>1360</v>
      </c>
      <c r="C104" s="950">
        <v>99887349</v>
      </c>
      <c r="D104" s="950">
        <v>-25244</v>
      </c>
      <c r="E104" s="950">
        <v>99862105</v>
      </c>
      <c r="F104" s="950">
        <v>99862105</v>
      </c>
      <c r="G104" s="950">
        <v>0</v>
      </c>
      <c r="H104" s="951"/>
      <c r="I104" s="950">
        <v>0</v>
      </c>
      <c r="J104" s="950">
        <v>0</v>
      </c>
      <c r="K104" s="950">
        <v>0</v>
      </c>
      <c r="L104" s="904"/>
      <c r="N104" s="878"/>
      <c r="O104" s="879"/>
    </row>
    <row r="105" spans="2:15" ht="27" thickBot="1">
      <c r="B105" s="859" t="s">
        <v>1372</v>
      </c>
      <c r="C105" s="950">
        <v>0</v>
      </c>
      <c r="D105" s="950">
        <v>0</v>
      </c>
      <c r="E105" s="950">
        <v>0</v>
      </c>
      <c r="F105" s="950">
        <v>0</v>
      </c>
      <c r="G105" s="950">
        <v>0</v>
      </c>
      <c r="H105" s="951"/>
      <c r="I105" s="950">
        <v>0</v>
      </c>
      <c r="J105" s="950">
        <v>0</v>
      </c>
      <c r="K105" s="950">
        <v>0</v>
      </c>
      <c r="L105" s="904"/>
      <c r="N105" s="861" t="s">
        <v>1399</v>
      </c>
      <c r="O105" s="873">
        <v>270564689.92999995</v>
      </c>
    </row>
    <row r="106" spans="2:15">
      <c r="B106" s="859" t="s">
        <v>1373</v>
      </c>
      <c r="C106" s="950">
        <v>311597823</v>
      </c>
      <c r="D106" s="950">
        <v>-12829059</v>
      </c>
      <c r="E106" s="950">
        <v>298768763</v>
      </c>
      <c r="F106" s="950">
        <v>281535253</v>
      </c>
      <c r="G106" s="950">
        <v>10962289</v>
      </c>
      <c r="H106" s="951"/>
      <c r="I106" s="950">
        <v>0</v>
      </c>
      <c r="J106" s="950">
        <v>6271221</v>
      </c>
      <c r="K106" s="950">
        <v>0</v>
      </c>
      <c r="L106" s="904"/>
    </row>
    <row r="107" spans="2:15" ht="39.6">
      <c r="B107" s="859" t="s">
        <v>1374</v>
      </c>
      <c r="C107" s="950">
        <v>289625429</v>
      </c>
      <c r="D107" s="950">
        <v>-125506006</v>
      </c>
      <c r="E107" s="950">
        <v>164119424</v>
      </c>
      <c r="F107" s="950">
        <v>103406281</v>
      </c>
      <c r="G107" s="950">
        <v>2564970</v>
      </c>
      <c r="H107" s="951"/>
      <c r="I107" s="950">
        <v>12284300</v>
      </c>
      <c r="J107" s="950">
        <v>30945972</v>
      </c>
      <c r="K107" s="950">
        <v>14917900</v>
      </c>
      <c r="L107" s="904"/>
    </row>
    <row r="108" spans="2:15">
      <c r="B108" s="859" t="s">
        <v>1375</v>
      </c>
      <c r="C108" s="950">
        <v>63612144</v>
      </c>
      <c r="D108" s="950">
        <v>-63612144</v>
      </c>
      <c r="E108" s="950">
        <v>0</v>
      </c>
      <c r="F108" s="950">
        <v>0</v>
      </c>
      <c r="G108" s="950">
        <v>0</v>
      </c>
      <c r="H108" s="951"/>
      <c r="I108" s="950">
        <v>0</v>
      </c>
      <c r="J108" s="950">
        <v>0</v>
      </c>
      <c r="K108" s="950">
        <v>0</v>
      </c>
      <c r="L108" s="904"/>
    </row>
    <row r="109" spans="2:15">
      <c r="B109" s="859" t="s">
        <v>1385</v>
      </c>
      <c r="C109" s="950">
        <v>1468542058</v>
      </c>
      <c r="D109" s="950">
        <v>-227481916</v>
      </c>
      <c r="E109" s="950">
        <v>1241060142</v>
      </c>
      <c r="F109" s="950">
        <v>1143612563</v>
      </c>
      <c r="G109" s="950">
        <v>24266855</v>
      </c>
      <c r="H109" s="951" t="s">
        <v>1384</v>
      </c>
      <c r="I109" s="950">
        <v>14542941</v>
      </c>
      <c r="J109" s="950">
        <v>43719882</v>
      </c>
      <c r="K109" s="950">
        <v>14917900</v>
      </c>
      <c r="L109" s="904" t="s">
        <v>1384</v>
      </c>
    </row>
    <row r="111" spans="2:15" ht="13.8" thickBot="1"/>
    <row r="112" spans="2:15" ht="21">
      <c r="B112" s="852" t="s">
        <v>1377</v>
      </c>
      <c r="C112" s="937"/>
      <c r="D112" s="937"/>
      <c r="E112" s="937"/>
      <c r="F112" s="937"/>
      <c r="G112" s="937"/>
      <c r="H112" s="937"/>
      <c r="I112" s="937"/>
      <c r="J112" s="937"/>
      <c r="K112" s="937"/>
      <c r="L112" s="896"/>
    </row>
    <row r="113" spans="2:15" ht="21">
      <c r="B113" s="853" t="s">
        <v>179</v>
      </c>
      <c r="C113" s="938"/>
      <c r="D113" s="938"/>
      <c r="E113" s="938"/>
      <c r="F113" s="938"/>
      <c r="G113" s="938"/>
      <c r="H113" s="938"/>
      <c r="I113" s="938"/>
      <c r="J113" s="938"/>
      <c r="K113" s="938"/>
      <c r="L113" s="897"/>
    </row>
    <row r="114" spans="2:15" ht="21">
      <c r="B114" s="853" t="s">
        <v>1386</v>
      </c>
      <c r="C114" s="938"/>
      <c r="D114" s="938"/>
      <c r="E114" s="938"/>
      <c r="F114" s="938"/>
      <c r="G114" s="938"/>
      <c r="H114" s="938"/>
      <c r="I114" s="938"/>
      <c r="J114" s="938"/>
      <c r="K114" s="938"/>
      <c r="L114" s="897"/>
    </row>
    <row r="115" spans="2:15" ht="21">
      <c r="B115" s="854" t="s">
        <v>1343</v>
      </c>
      <c r="C115" s="939"/>
      <c r="D115" s="939"/>
      <c r="E115" s="939"/>
      <c r="F115" s="939"/>
      <c r="G115" s="939"/>
      <c r="H115" s="939"/>
      <c r="I115" s="939"/>
      <c r="J115" s="939"/>
      <c r="K115" s="939"/>
      <c r="L115" s="898"/>
    </row>
    <row r="116" spans="2:15" ht="13.8" thickBot="1">
      <c r="B116" s="855"/>
      <c r="C116" s="940"/>
      <c r="D116" s="940"/>
      <c r="E116" s="940"/>
      <c r="F116" s="940"/>
      <c r="G116" s="940"/>
      <c r="H116" s="940"/>
      <c r="I116" s="940"/>
      <c r="J116" s="940"/>
      <c r="K116" s="940"/>
      <c r="L116" s="899"/>
    </row>
    <row r="117" spans="2:15" ht="16.2" thickBot="1">
      <c r="B117" s="856" t="s">
        <v>1344</v>
      </c>
      <c r="C117" s="941"/>
      <c r="D117" s="941"/>
      <c r="E117" s="941"/>
      <c r="F117" s="941"/>
      <c r="G117" s="941"/>
      <c r="H117" s="941"/>
      <c r="I117" s="941"/>
      <c r="J117" s="941"/>
      <c r="K117" s="941"/>
      <c r="L117" s="900"/>
    </row>
    <row r="118" spans="2:15">
      <c r="B118" s="880"/>
      <c r="C118" s="1949" t="s">
        <v>1346</v>
      </c>
      <c r="D118" s="1952" t="s">
        <v>1347</v>
      </c>
      <c r="E118" s="1952" t="s">
        <v>1348</v>
      </c>
      <c r="F118" s="1955" t="s">
        <v>877</v>
      </c>
      <c r="G118" s="1962" t="s">
        <v>878</v>
      </c>
      <c r="H118" s="1963"/>
      <c r="I118" s="1963"/>
      <c r="J118" s="1963"/>
      <c r="K118" s="1963"/>
      <c r="L118" s="1959" t="s">
        <v>1349</v>
      </c>
    </row>
    <row r="119" spans="2:15">
      <c r="B119" s="881"/>
      <c r="C119" s="1950"/>
      <c r="D119" s="1953"/>
      <c r="E119" s="1953"/>
      <c r="F119" s="1956"/>
      <c r="G119" s="1935" t="s">
        <v>1350</v>
      </c>
      <c r="H119" s="1936"/>
      <c r="I119" s="1937" t="s">
        <v>938</v>
      </c>
      <c r="J119" s="1938"/>
      <c r="K119" s="1938"/>
      <c r="L119" s="1960"/>
    </row>
    <row r="120" spans="2:15" ht="40.200000000000003" thickBot="1">
      <c r="B120" s="881"/>
      <c r="C120" s="1951"/>
      <c r="D120" s="1954"/>
      <c r="E120" s="1954"/>
      <c r="F120" s="1957"/>
      <c r="G120" s="942"/>
      <c r="H120" s="942"/>
      <c r="I120" s="944" t="s">
        <v>1351</v>
      </c>
      <c r="J120" s="944" t="s">
        <v>1352</v>
      </c>
      <c r="K120" s="945" t="s">
        <v>1353</v>
      </c>
      <c r="L120" s="1961"/>
      <c r="N120" s="864" t="s">
        <v>1391</v>
      </c>
      <c r="O120" s="865"/>
    </row>
    <row r="121" spans="2:15" ht="27" thickBot="1">
      <c r="B121" s="882"/>
      <c r="C121" s="1939" t="s">
        <v>1354</v>
      </c>
      <c r="D121" s="1939"/>
      <c r="E121" s="1939"/>
      <c r="F121" s="1939"/>
      <c r="G121" s="1939"/>
      <c r="H121" s="1939"/>
      <c r="I121" s="1939"/>
      <c r="J121" s="1939"/>
      <c r="K121" s="1939"/>
      <c r="L121" s="1940"/>
      <c r="N121" s="1911" t="s">
        <v>1392</v>
      </c>
      <c r="O121" s="867" t="s">
        <v>877</v>
      </c>
    </row>
    <row r="122" spans="2:15" ht="13.8" thickBot="1">
      <c r="B122" s="883" t="s">
        <v>1355</v>
      </c>
      <c r="C122" s="964"/>
      <c r="D122" s="964"/>
      <c r="E122" s="964"/>
      <c r="F122" s="964"/>
      <c r="G122" s="964"/>
      <c r="H122" s="964"/>
      <c r="I122" s="964"/>
      <c r="J122" s="964"/>
      <c r="K122" s="964"/>
      <c r="L122" s="917"/>
      <c r="N122" s="1912"/>
      <c r="O122" s="869" t="s">
        <v>1354</v>
      </c>
    </row>
    <row r="123" spans="2:15">
      <c r="B123" s="858" t="s">
        <v>1356</v>
      </c>
      <c r="C123" s="948">
        <v>1408378965.3099999</v>
      </c>
      <c r="D123" s="948">
        <v>-14632682.800000001</v>
      </c>
      <c r="E123" s="948">
        <v>1393746282.51</v>
      </c>
      <c r="F123" s="948">
        <v>1309118439.6800001</v>
      </c>
      <c r="G123" s="965">
        <v>39304282.909999996</v>
      </c>
      <c r="H123" s="965">
        <v>0</v>
      </c>
      <c r="I123" s="948">
        <v>0</v>
      </c>
      <c r="J123" s="948">
        <v>45323559.920000002</v>
      </c>
      <c r="K123" s="948">
        <v>0</v>
      </c>
      <c r="L123" s="918"/>
      <c r="N123" s="862" t="s">
        <v>1356</v>
      </c>
      <c r="O123" s="884">
        <v>2841515.4</v>
      </c>
    </row>
    <row r="124" spans="2:15">
      <c r="B124" s="859" t="s">
        <v>1357</v>
      </c>
      <c r="C124" s="950">
        <v>0</v>
      </c>
      <c r="D124" s="950">
        <v>4477168.7300000004</v>
      </c>
      <c r="E124" s="950">
        <v>4477168.7300000004</v>
      </c>
      <c r="F124" s="950">
        <v>4477168.7300000004</v>
      </c>
      <c r="G124" s="966">
        <v>0</v>
      </c>
      <c r="H124" s="966">
        <v>0</v>
      </c>
      <c r="I124" s="950">
        <v>0</v>
      </c>
      <c r="J124" s="950">
        <v>0</v>
      </c>
      <c r="K124" s="950">
        <v>0</v>
      </c>
      <c r="L124" s="919"/>
      <c r="N124" s="859" t="s">
        <v>1362</v>
      </c>
      <c r="O124" s="885">
        <v>1635653.33</v>
      </c>
    </row>
    <row r="125" spans="2:15" ht="13.8" thickBot="1">
      <c r="B125" s="859" t="s">
        <v>1358</v>
      </c>
      <c r="C125" s="950">
        <v>79221390.099999994</v>
      </c>
      <c r="D125" s="950">
        <v>-504502.57</v>
      </c>
      <c r="E125" s="950">
        <v>78716887.530000001</v>
      </c>
      <c r="F125" s="950">
        <v>3850011.1</v>
      </c>
      <c r="G125" s="966">
        <v>7868732.8099999996</v>
      </c>
      <c r="H125" s="966">
        <v>0</v>
      </c>
      <c r="I125" s="950">
        <v>66964326.960000001</v>
      </c>
      <c r="J125" s="950">
        <v>33816.660000000003</v>
      </c>
      <c r="K125" s="950">
        <v>0</v>
      </c>
      <c r="L125" s="919"/>
      <c r="N125" s="863" t="s">
        <v>1393</v>
      </c>
      <c r="O125" s="886">
        <v>0</v>
      </c>
    </row>
    <row r="126" spans="2:15" ht="13.8" thickBot="1">
      <c r="B126" s="859" t="s">
        <v>1359</v>
      </c>
      <c r="C126" s="950">
        <v>1940360.24</v>
      </c>
      <c r="D126" s="950">
        <v>-1940360.24</v>
      </c>
      <c r="E126" s="950">
        <v>0</v>
      </c>
      <c r="F126" s="950">
        <v>0</v>
      </c>
      <c r="G126" s="966">
        <v>0</v>
      </c>
      <c r="H126" s="966">
        <v>0</v>
      </c>
      <c r="I126" s="950">
        <v>0</v>
      </c>
      <c r="J126" s="950">
        <v>0</v>
      </c>
      <c r="K126" s="950">
        <v>0</v>
      </c>
      <c r="L126" s="919"/>
      <c r="N126" s="861" t="s">
        <v>1394</v>
      </c>
      <c r="O126" s="887">
        <f>SUM(O123:O125)</f>
        <v>4477168.7300000004</v>
      </c>
    </row>
    <row r="127" spans="2:15" ht="26.4">
      <c r="B127" s="859" t="s">
        <v>1360</v>
      </c>
      <c r="C127" s="950">
        <v>-14493.24</v>
      </c>
      <c r="D127" s="950">
        <v>88235184.430000007</v>
      </c>
      <c r="E127" s="950">
        <v>88220691.189999998</v>
      </c>
      <c r="F127" s="950">
        <v>88220691.189999998</v>
      </c>
      <c r="G127" s="966">
        <v>0</v>
      </c>
      <c r="H127" s="966">
        <v>0</v>
      </c>
      <c r="I127" s="950">
        <v>0</v>
      </c>
      <c r="J127" s="950">
        <v>0</v>
      </c>
      <c r="K127" s="950">
        <v>0</v>
      </c>
      <c r="L127" s="919"/>
    </row>
    <row r="128" spans="2:15" ht="26.4">
      <c r="B128" s="859" t="s">
        <v>1361</v>
      </c>
      <c r="C128" s="950">
        <v>-4798778.78</v>
      </c>
      <c r="D128" s="950">
        <v>4798778.78</v>
      </c>
      <c r="E128" s="950">
        <v>0</v>
      </c>
      <c r="F128" s="950">
        <v>0</v>
      </c>
      <c r="G128" s="966">
        <v>0</v>
      </c>
      <c r="H128" s="966">
        <v>0</v>
      </c>
      <c r="I128" s="950">
        <v>0</v>
      </c>
      <c r="J128" s="950">
        <v>0</v>
      </c>
      <c r="K128" s="950">
        <v>0</v>
      </c>
      <c r="L128" s="919"/>
    </row>
    <row r="129" spans="2:12">
      <c r="B129" s="859" t="s">
        <v>1362</v>
      </c>
      <c r="C129" s="950">
        <v>255087076.16</v>
      </c>
      <c r="D129" s="950">
        <v>-2555764.37</v>
      </c>
      <c r="E129" s="950">
        <v>252531311.78999999</v>
      </c>
      <c r="F129" s="950">
        <v>252531311.78999999</v>
      </c>
      <c r="G129" s="966">
        <v>0</v>
      </c>
      <c r="H129" s="966">
        <v>0</v>
      </c>
      <c r="I129" s="950">
        <v>0</v>
      </c>
      <c r="J129" s="950">
        <v>0</v>
      </c>
      <c r="K129" s="950">
        <v>0</v>
      </c>
      <c r="L129" s="919"/>
    </row>
    <row r="130" spans="2:12" ht="26.4">
      <c r="B130" s="860" t="s">
        <v>1363</v>
      </c>
      <c r="C130" s="952">
        <v>0</v>
      </c>
      <c r="D130" s="952">
        <v>0</v>
      </c>
      <c r="E130" s="952">
        <v>0</v>
      </c>
      <c r="F130" s="952">
        <v>0</v>
      </c>
      <c r="G130" s="967">
        <v>0</v>
      </c>
      <c r="H130" s="967">
        <v>0</v>
      </c>
      <c r="I130" s="952">
        <v>0</v>
      </c>
      <c r="J130" s="952">
        <v>0</v>
      </c>
      <c r="K130" s="952">
        <v>0</v>
      </c>
      <c r="L130" s="920"/>
    </row>
    <row r="131" spans="2:12" ht="13.8" thickBot="1">
      <c r="B131" s="860" t="s">
        <v>1364</v>
      </c>
      <c r="C131" s="952">
        <v>282848272.20999998</v>
      </c>
      <c r="D131" s="952">
        <v>-257020447.47999999</v>
      </c>
      <c r="E131" s="952">
        <v>25827824.73</v>
      </c>
      <c r="F131" s="952">
        <v>0</v>
      </c>
      <c r="G131" s="967">
        <v>0</v>
      </c>
      <c r="H131" s="967">
        <v>0</v>
      </c>
      <c r="I131" s="952">
        <v>6115928.46</v>
      </c>
      <c r="J131" s="952">
        <v>933913.35</v>
      </c>
      <c r="K131" s="952">
        <v>18777982.920000002</v>
      </c>
      <c r="L131" s="920"/>
    </row>
    <row r="132" spans="2:12" ht="13.8" thickBot="1">
      <c r="B132" s="861" t="s">
        <v>1365</v>
      </c>
      <c r="C132" s="954">
        <v>2022662792</v>
      </c>
      <c r="D132" s="954">
        <v>-179142625.51999998</v>
      </c>
      <c r="E132" s="954">
        <v>1843520166.48</v>
      </c>
      <c r="F132" s="954">
        <v>1658197622.49</v>
      </c>
      <c r="G132" s="954">
        <v>47173015.719999999</v>
      </c>
      <c r="H132" s="954">
        <v>0</v>
      </c>
      <c r="I132" s="954">
        <v>73080255.420000002</v>
      </c>
      <c r="J132" s="954">
        <v>46291289.93</v>
      </c>
      <c r="K132" s="954">
        <v>18777982.920000002</v>
      </c>
      <c r="L132" s="907">
        <v>0</v>
      </c>
    </row>
    <row r="133" spans="2:12" ht="13.8" thickBot="1">
      <c r="C133" s="968"/>
      <c r="D133" s="968"/>
      <c r="E133" s="968"/>
      <c r="F133" s="968"/>
      <c r="G133" s="968"/>
      <c r="H133" s="968"/>
      <c r="I133" s="968"/>
      <c r="J133" s="968"/>
      <c r="K133" s="968"/>
      <c r="L133" s="921"/>
    </row>
    <row r="134" spans="2:12" ht="13.8" thickBot="1">
      <c r="B134" s="883" t="s">
        <v>1366</v>
      </c>
      <c r="C134" s="969"/>
      <c r="D134" s="969"/>
      <c r="E134" s="969"/>
      <c r="F134" s="969"/>
      <c r="G134" s="969"/>
      <c r="H134" s="969"/>
      <c r="I134" s="969"/>
      <c r="J134" s="969"/>
      <c r="K134" s="969"/>
      <c r="L134" s="922"/>
    </row>
    <row r="135" spans="2:12">
      <c r="B135" s="858" t="s">
        <v>1367</v>
      </c>
      <c r="C135" s="948">
        <v>250816430</v>
      </c>
      <c r="D135" s="948">
        <v>-4188945.4</v>
      </c>
      <c r="E135" s="948">
        <v>246627484.59999999</v>
      </c>
      <c r="F135" s="948">
        <v>246627484.59999999</v>
      </c>
      <c r="G135" s="965">
        <v>0</v>
      </c>
      <c r="H135" s="965">
        <v>0</v>
      </c>
      <c r="I135" s="948">
        <v>0</v>
      </c>
      <c r="J135" s="948">
        <v>0</v>
      </c>
      <c r="K135" s="948">
        <v>0</v>
      </c>
      <c r="L135" s="918"/>
    </row>
    <row r="136" spans="2:12">
      <c r="B136" s="862" t="s">
        <v>1368</v>
      </c>
      <c r="C136" s="955">
        <v>2139659.0699999998</v>
      </c>
      <c r="D136" s="955">
        <v>95036.36</v>
      </c>
      <c r="E136" s="955">
        <v>2234695.4300000002</v>
      </c>
      <c r="F136" s="955">
        <v>2234695.4300000002</v>
      </c>
      <c r="G136" s="970">
        <v>0</v>
      </c>
      <c r="H136" s="970">
        <v>0</v>
      </c>
      <c r="I136" s="955">
        <v>0</v>
      </c>
      <c r="J136" s="955">
        <v>0</v>
      </c>
      <c r="K136" s="955">
        <v>0</v>
      </c>
      <c r="L136" s="923"/>
    </row>
    <row r="137" spans="2:12" ht="26.4">
      <c r="B137" s="859" t="s">
        <v>966</v>
      </c>
      <c r="C137" s="950">
        <v>0</v>
      </c>
      <c r="D137" s="950">
        <v>4188945.4</v>
      </c>
      <c r="E137" s="950">
        <v>4188945.4</v>
      </c>
      <c r="F137" s="950">
        <v>4188945.4</v>
      </c>
      <c r="G137" s="966">
        <v>0</v>
      </c>
      <c r="H137" s="966">
        <v>0</v>
      </c>
      <c r="I137" s="950">
        <v>0</v>
      </c>
      <c r="J137" s="950">
        <v>0</v>
      </c>
      <c r="K137" s="950">
        <v>0</v>
      </c>
      <c r="L137" s="919"/>
    </row>
    <row r="138" spans="2:12">
      <c r="B138" s="859" t="s">
        <v>1369</v>
      </c>
      <c r="C138" s="950">
        <v>436155623.69</v>
      </c>
      <c r="D138" s="950">
        <v>-34174720.119999997</v>
      </c>
      <c r="E138" s="950">
        <v>401980903.56999999</v>
      </c>
      <c r="F138" s="950">
        <v>380507027.92000002</v>
      </c>
      <c r="G138" s="966">
        <v>11167277.5</v>
      </c>
      <c r="H138" s="966">
        <v>0</v>
      </c>
      <c r="I138" s="950">
        <v>3607831.17</v>
      </c>
      <c r="J138" s="950">
        <v>6698766.9800000004</v>
      </c>
      <c r="K138" s="950">
        <v>0</v>
      </c>
      <c r="L138" s="919"/>
    </row>
    <row r="139" spans="2:12">
      <c r="B139" s="859" t="s">
        <v>1370</v>
      </c>
      <c r="C139" s="950">
        <v>8155320.7800000003</v>
      </c>
      <c r="D139" s="950">
        <v>-8155320.7800000003</v>
      </c>
      <c r="E139" s="950">
        <v>0</v>
      </c>
      <c r="F139" s="950">
        <v>0</v>
      </c>
      <c r="G139" s="966">
        <v>0</v>
      </c>
      <c r="H139" s="966">
        <v>0</v>
      </c>
      <c r="I139" s="950">
        <v>0</v>
      </c>
      <c r="J139" s="950">
        <v>0</v>
      </c>
      <c r="K139" s="950">
        <v>0</v>
      </c>
      <c r="L139" s="919"/>
    </row>
    <row r="140" spans="2:12">
      <c r="B140" s="859" t="s">
        <v>1371</v>
      </c>
      <c r="C140" s="950">
        <v>0</v>
      </c>
      <c r="D140" s="950">
        <v>0</v>
      </c>
      <c r="E140" s="950">
        <v>0</v>
      </c>
      <c r="F140" s="950">
        <v>0</v>
      </c>
      <c r="G140" s="966">
        <v>0</v>
      </c>
      <c r="H140" s="966">
        <v>0</v>
      </c>
      <c r="I140" s="950">
        <v>0</v>
      </c>
      <c r="J140" s="950">
        <v>0</v>
      </c>
      <c r="K140" s="950">
        <v>0</v>
      </c>
      <c r="L140" s="919"/>
    </row>
    <row r="141" spans="2:12" ht="26.4">
      <c r="B141" s="859" t="s">
        <v>1360</v>
      </c>
      <c r="C141" s="950">
        <v>94912307.079999998</v>
      </c>
      <c r="D141" s="950">
        <v>9871.0499999999993</v>
      </c>
      <c r="E141" s="950">
        <v>94922178.129999995</v>
      </c>
      <c r="F141" s="950">
        <v>94922178.129999995</v>
      </c>
      <c r="G141" s="966">
        <v>0</v>
      </c>
      <c r="H141" s="966">
        <v>0</v>
      </c>
      <c r="I141" s="950">
        <v>0</v>
      </c>
      <c r="J141" s="950">
        <v>0</v>
      </c>
      <c r="K141" s="950">
        <v>0</v>
      </c>
      <c r="L141" s="919"/>
    </row>
    <row r="142" spans="2:12" ht="26.4">
      <c r="B142" s="859" t="s">
        <v>1372</v>
      </c>
      <c r="C142" s="950">
        <v>0</v>
      </c>
      <c r="D142" s="950">
        <v>0</v>
      </c>
      <c r="E142" s="950">
        <v>0</v>
      </c>
      <c r="F142" s="950">
        <v>0</v>
      </c>
      <c r="G142" s="966">
        <v>0</v>
      </c>
      <c r="H142" s="966">
        <v>0</v>
      </c>
      <c r="I142" s="950">
        <v>0</v>
      </c>
      <c r="J142" s="950">
        <v>0</v>
      </c>
      <c r="K142" s="950">
        <v>0</v>
      </c>
      <c r="L142" s="919"/>
    </row>
    <row r="143" spans="2:12">
      <c r="B143" s="859" t="s">
        <v>1373</v>
      </c>
      <c r="C143" s="950">
        <v>318789221.26999998</v>
      </c>
      <c r="D143" s="950">
        <v>-13685044.08</v>
      </c>
      <c r="E143" s="950">
        <v>305104177.19</v>
      </c>
      <c r="F143" s="950">
        <v>288730432.18000001</v>
      </c>
      <c r="G143" s="966">
        <v>10724681.720000001</v>
      </c>
      <c r="H143" s="966">
        <v>0</v>
      </c>
      <c r="I143" s="950">
        <v>0</v>
      </c>
      <c r="J143" s="950">
        <v>5649063.29</v>
      </c>
      <c r="K143" s="950">
        <v>0</v>
      </c>
      <c r="L143" s="919"/>
    </row>
    <row r="144" spans="2:12" ht="39.6">
      <c r="B144" s="859" t="s">
        <v>1374</v>
      </c>
      <c r="C144" s="950">
        <v>220032135.66999999</v>
      </c>
      <c r="D144" s="950">
        <v>-45248924.25</v>
      </c>
      <c r="E144" s="950">
        <v>174783211.41999999</v>
      </c>
      <c r="F144" s="950">
        <v>102954599.72</v>
      </c>
      <c r="G144" s="966">
        <v>2175719.21</v>
      </c>
      <c r="H144" s="966">
        <v>0</v>
      </c>
      <c r="I144" s="950">
        <v>16319386.279999999</v>
      </c>
      <c r="J144" s="950">
        <v>30325398.309999999</v>
      </c>
      <c r="K144" s="950">
        <v>23008107.899999999</v>
      </c>
      <c r="L144" s="919"/>
    </row>
    <row r="145" spans="2:15" ht="13.8" thickBot="1">
      <c r="B145" s="863" t="s">
        <v>1375</v>
      </c>
      <c r="C145" s="957">
        <v>68360535.780000001</v>
      </c>
      <c r="D145" s="957">
        <v>-68360535.780000001</v>
      </c>
      <c r="E145" s="957">
        <v>0</v>
      </c>
      <c r="F145" s="957">
        <v>0</v>
      </c>
      <c r="G145" s="971">
        <v>0</v>
      </c>
      <c r="H145" s="971">
        <v>0</v>
      </c>
      <c r="I145" s="957">
        <v>0</v>
      </c>
      <c r="J145" s="957">
        <v>0</v>
      </c>
      <c r="K145" s="957">
        <v>0</v>
      </c>
      <c r="L145" s="924"/>
    </row>
    <row r="146" spans="2:15" ht="13.8" thickBot="1">
      <c r="B146" s="861" t="s">
        <v>1385</v>
      </c>
      <c r="C146" s="954">
        <v>1399361233.3399999</v>
      </c>
      <c r="D146" s="954">
        <v>-169519637.59999999</v>
      </c>
      <c r="E146" s="954">
        <v>1229841595.74</v>
      </c>
      <c r="F146" s="954">
        <v>1120165363.3800001</v>
      </c>
      <c r="G146" s="954">
        <v>24067678.43</v>
      </c>
      <c r="H146" s="954">
        <v>0</v>
      </c>
      <c r="I146" s="954">
        <v>19927217.449999999</v>
      </c>
      <c r="J146" s="954">
        <v>42673228.579999998</v>
      </c>
      <c r="K146" s="954">
        <v>23008107.899999999</v>
      </c>
      <c r="L146" s="906">
        <v>0</v>
      </c>
    </row>
    <row r="149" spans="2:15" ht="21">
      <c r="B149" s="888" t="s">
        <v>1377</v>
      </c>
      <c r="C149" s="972"/>
      <c r="D149" s="972"/>
      <c r="E149" s="972"/>
      <c r="F149" s="972"/>
      <c r="G149" s="972"/>
      <c r="H149" s="972"/>
      <c r="I149" s="972"/>
      <c r="J149" s="972"/>
      <c r="K149" s="972"/>
      <c r="L149" s="925"/>
    </row>
    <row r="150" spans="2:15" ht="21">
      <c r="B150" s="888" t="s">
        <v>179</v>
      </c>
      <c r="C150" s="972"/>
      <c r="D150" s="972"/>
      <c r="E150" s="972"/>
      <c r="F150" s="972"/>
      <c r="G150" s="972"/>
      <c r="H150" s="972"/>
      <c r="I150" s="972"/>
      <c r="J150" s="972"/>
      <c r="K150" s="972"/>
      <c r="L150" s="925"/>
    </row>
    <row r="151" spans="2:15" ht="21">
      <c r="B151" s="888" t="s">
        <v>1387</v>
      </c>
      <c r="C151" s="972"/>
      <c r="D151" s="972"/>
      <c r="E151" s="972"/>
      <c r="F151" s="972"/>
      <c r="G151" s="972"/>
      <c r="H151" s="972"/>
      <c r="I151" s="972"/>
      <c r="J151" s="972"/>
      <c r="K151" s="972"/>
      <c r="L151" s="925"/>
    </row>
    <row r="152" spans="2:15" ht="21">
      <c r="B152" s="889" t="s">
        <v>1343</v>
      </c>
      <c r="C152" s="973"/>
      <c r="D152" s="973"/>
      <c r="E152" s="973"/>
      <c r="F152" s="973"/>
      <c r="G152" s="973"/>
      <c r="H152" s="973"/>
      <c r="I152" s="973"/>
      <c r="J152" s="973"/>
      <c r="K152" s="973"/>
      <c r="L152" s="926"/>
    </row>
    <row r="153" spans="2:15" ht="13.8" thickBot="1"/>
    <row r="154" spans="2:15" ht="16.2" thickBot="1">
      <c r="B154" s="890" t="s">
        <v>1344</v>
      </c>
      <c r="C154" s="974"/>
      <c r="D154" s="974"/>
      <c r="E154" s="974"/>
      <c r="F154" s="974"/>
      <c r="G154" s="975"/>
      <c r="H154" s="975"/>
      <c r="I154" s="975"/>
      <c r="J154" s="975"/>
      <c r="K154" s="975"/>
      <c r="L154" s="927"/>
    </row>
    <row r="155" spans="2:15" ht="13.95" customHeight="1">
      <c r="B155" s="891"/>
      <c r="C155" s="1920" t="s">
        <v>1346</v>
      </c>
      <c r="D155" s="1923" t="s">
        <v>1347</v>
      </c>
      <c r="E155" s="1926" t="s">
        <v>1348</v>
      </c>
      <c r="F155" s="1929" t="s">
        <v>877</v>
      </c>
      <c r="G155" s="1932" t="s">
        <v>878</v>
      </c>
      <c r="H155" s="1933"/>
      <c r="I155" s="1933"/>
      <c r="J155" s="1933"/>
      <c r="K155" s="1934"/>
      <c r="L155" s="1913" t="s">
        <v>1349</v>
      </c>
    </row>
    <row r="156" spans="2:15" ht="13.2" customHeight="1">
      <c r="C156" s="1921"/>
      <c r="D156" s="1924"/>
      <c r="E156" s="1927"/>
      <c r="F156" s="1930"/>
      <c r="G156" s="1941" t="s">
        <v>1350</v>
      </c>
      <c r="H156" s="1942"/>
      <c r="I156" s="1943" t="s">
        <v>938</v>
      </c>
      <c r="J156" s="1944"/>
      <c r="K156" s="1945"/>
      <c r="L156" s="1914"/>
    </row>
    <row r="157" spans="2:15" ht="40.200000000000003" thickBot="1">
      <c r="C157" s="1922"/>
      <c r="D157" s="1925"/>
      <c r="E157" s="1928"/>
      <c r="F157" s="1931"/>
      <c r="G157" s="976" t="s">
        <v>230</v>
      </c>
      <c r="H157" s="977" t="s">
        <v>230</v>
      </c>
      <c r="I157" s="978" t="s">
        <v>1351</v>
      </c>
      <c r="J157" s="978" t="s">
        <v>1352</v>
      </c>
      <c r="K157" s="979" t="s">
        <v>1353</v>
      </c>
      <c r="L157" s="1915"/>
    </row>
    <row r="158" spans="2:15" ht="13.8">
      <c r="B158" s="892"/>
      <c r="C158" s="1916" t="s">
        <v>1354</v>
      </c>
      <c r="D158" s="1916"/>
      <c r="E158" s="1916"/>
      <c r="F158" s="1916"/>
      <c r="G158" s="1916"/>
      <c r="H158" s="1916"/>
      <c r="I158" s="1916"/>
      <c r="J158" s="1916"/>
      <c r="K158" s="1916"/>
      <c r="L158" s="1917"/>
    </row>
    <row r="159" spans="2:15" ht="14.4" thickBot="1">
      <c r="B159" s="893"/>
      <c r="C159" s="1918" t="s">
        <v>152</v>
      </c>
      <c r="D159" s="1918"/>
      <c r="E159" s="1918"/>
      <c r="F159" s="1918"/>
      <c r="G159" s="1918"/>
      <c r="H159" s="1918"/>
      <c r="I159" s="1918"/>
      <c r="J159" s="1918"/>
      <c r="K159" s="1918"/>
      <c r="L159" s="1919"/>
      <c r="N159" s="864" t="s">
        <v>1391</v>
      </c>
      <c r="O159" s="865"/>
    </row>
    <row r="160" spans="2:15" ht="27" thickBot="1">
      <c r="B160" s="894" t="s">
        <v>1355</v>
      </c>
      <c r="C160" s="980"/>
      <c r="D160" s="980"/>
      <c r="E160" s="980"/>
      <c r="F160" s="980"/>
      <c r="G160" s="980"/>
      <c r="H160" s="980"/>
      <c r="I160" s="980"/>
      <c r="J160" s="980"/>
      <c r="K160" s="980"/>
      <c r="L160" s="928"/>
      <c r="N160" s="1911" t="s">
        <v>1392</v>
      </c>
      <c r="O160" s="867" t="s">
        <v>877</v>
      </c>
    </row>
    <row r="161" spans="2:15" ht="15" thickBot="1">
      <c r="B161" s="514" t="s">
        <v>1356</v>
      </c>
      <c r="C161" s="981">
        <v>1416813105.4300001</v>
      </c>
      <c r="D161" s="981">
        <v>-17573018.91</v>
      </c>
      <c r="E161" s="981">
        <v>1399240086.52</v>
      </c>
      <c r="F161" s="981">
        <v>1314823133.6600001</v>
      </c>
      <c r="G161" s="981">
        <v>40673397.789999999</v>
      </c>
      <c r="H161" s="981"/>
      <c r="I161" s="981">
        <v>0</v>
      </c>
      <c r="J161" s="981">
        <v>43743555.07</v>
      </c>
      <c r="K161" s="981">
        <v>0</v>
      </c>
      <c r="L161" s="929"/>
      <c r="N161" s="1912"/>
      <c r="O161" s="869" t="s">
        <v>1354</v>
      </c>
    </row>
    <row r="162" spans="2:15" ht="14.4">
      <c r="B162" s="517" t="s">
        <v>1357</v>
      </c>
      <c r="C162" s="982">
        <v>0</v>
      </c>
      <c r="D162" s="982">
        <v>4184040.73</v>
      </c>
      <c r="E162" s="982">
        <v>4184040.73</v>
      </c>
      <c r="F162" s="982">
        <v>4184040.73</v>
      </c>
      <c r="G162" s="982">
        <v>0</v>
      </c>
      <c r="H162" s="982"/>
      <c r="I162" s="982">
        <v>0</v>
      </c>
      <c r="J162" s="982">
        <v>0</v>
      </c>
      <c r="K162" s="982">
        <v>0</v>
      </c>
      <c r="L162" s="930"/>
      <c r="N162" s="862" t="s">
        <v>1356</v>
      </c>
      <c r="O162" s="884">
        <v>2547781.4400000004</v>
      </c>
    </row>
    <row r="163" spans="2:15" ht="14.4">
      <c r="B163" s="517" t="s">
        <v>1358</v>
      </c>
      <c r="C163" s="982">
        <v>108230861.7</v>
      </c>
      <c r="D163" s="982">
        <v>-290105.46000000002</v>
      </c>
      <c r="E163" s="982">
        <v>107940756.23999999</v>
      </c>
      <c r="F163" s="982">
        <v>6517031.3799999999</v>
      </c>
      <c r="G163" s="982">
        <v>3743615.69</v>
      </c>
      <c r="H163" s="982"/>
      <c r="I163" s="982">
        <v>97630888.049999997</v>
      </c>
      <c r="J163" s="982">
        <v>49221.120000000003</v>
      </c>
      <c r="K163" s="982">
        <v>0</v>
      </c>
      <c r="L163" s="930"/>
      <c r="N163" s="859" t="s">
        <v>1362</v>
      </c>
      <c r="O163" s="885">
        <v>1636259.29</v>
      </c>
    </row>
    <row r="164" spans="2:15" ht="15" thickBot="1">
      <c r="B164" s="517" t="s">
        <v>1359</v>
      </c>
      <c r="C164" s="982">
        <v>385719.66</v>
      </c>
      <c r="D164" s="982">
        <v>-385719.66</v>
      </c>
      <c r="E164" s="982">
        <v>0</v>
      </c>
      <c r="F164" s="982">
        <v>0</v>
      </c>
      <c r="G164" s="982">
        <v>0</v>
      </c>
      <c r="H164" s="982"/>
      <c r="I164" s="982">
        <v>0</v>
      </c>
      <c r="J164" s="982">
        <v>0</v>
      </c>
      <c r="K164" s="982">
        <v>0</v>
      </c>
      <c r="L164" s="930"/>
      <c r="N164" s="863" t="s">
        <v>1393</v>
      </c>
      <c r="O164" s="886">
        <v>0</v>
      </c>
    </row>
    <row r="165" spans="2:15" ht="27" thickBot="1">
      <c r="B165" s="517" t="s">
        <v>1360</v>
      </c>
      <c r="C165" s="982">
        <v>-1508.17</v>
      </c>
      <c r="D165" s="982">
        <v>91423439.060000002</v>
      </c>
      <c r="E165" s="982">
        <v>91421930.890000001</v>
      </c>
      <c r="F165" s="1770">
        <v>91421930.890000001</v>
      </c>
      <c r="G165" s="982">
        <v>0</v>
      </c>
      <c r="H165" s="982"/>
      <c r="I165" s="982">
        <v>0</v>
      </c>
      <c r="J165" s="982">
        <v>0</v>
      </c>
      <c r="K165" s="982">
        <v>0</v>
      </c>
      <c r="L165" s="930"/>
      <c r="N165" s="861" t="s">
        <v>1394</v>
      </c>
      <c r="O165" s="887">
        <v>4184040.7300000004</v>
      </c>
    </row>
    <row r="166" spans="2:15" ht="26.4">
      <c r="B166" s="517" t="s">
        <v>1361</v>
      </c>
      <c r="C166" s="982">
        <v>-500518.09</v>
      </c>
      <c r="D166" s="982">
        <v>500518.09</v>
      </c>
      <c r="E166" s="982">
        <v>0</v>
      </c>
      <c r="F166" s="982">
        <v>0</v>
      </c>
      <c r="G166" s="982">
        <v>0</v>
      </c>
      <c r="H166" s="982"/>
      <c r="I166" s="982">
        <v>0</v>
      </c>
      <c r="J166" s="982">
        <v>0</v>
      </c>
      <c r="K166" s="982">
        <v>0</v>
      </c>
      <c r="L166" s="930"/>
    </row>
    <row r="167" spans="2:15" ht="14.4">
      <c r="B167" s="517" t="s">
        <v>1362</v>
      </c>
      <c r="C167" s="982">
        <v>250373573.50999999</v>
      </c>
      <c r="D167" s="982">
        <v>-2562503.29</v>
      </c>
      <c r="E167" s="982">
        <v>247811070.22</v>
      </c>
      <c r="F167" s="982">
        <v>247811070.22</v>
      </c>
      <c r="G167" s="982">
        <v>0</v>
      </c>
      <c r="H167" s="982"/>
      <c r="I167" s="982">
        <v>0</v>
      </c>
      <c r="J167" s="982">
        <v>0</v>
      </c>
      <c r="K167" s="982">
        <v>0</v>
      </c>
      <c r="L167" s="930"/>
    </row>
    <row r="168" spans="2:15" ht="26.4">
      <c r="B168" s="513" t="s">
        <v>1363</v>
      </c>
      <c r="C168" s="983"/>
      <c r="D168" s="983"/>
      <c r="E168" s="983"/>
      <c r="F168" s="983"/>
      <c r="G168" s="983"/>
      <c r="H168" s="983"/>
      <c r="I168" s="983"/>
      <c r="J168" s="983"/>
      <c r="K168" s="983"/>
      <c r="L168" s="931"/>
    </row>
    <row r="169" spans="2:15" ht="15" thickBot="1">
      <c r="B169" s="513" t="s">
        <v>1388</v>
      </c>
      <c r="C169" s="983">
        <v>223847916.06999999</v>
      </c>
      <c r="D169" s="983">
        <v>-190183763.30000001</v>
      </c>
      <c r="E169" s="983">
        <v>33664152.770000003</v>
      </c>
      <c r="F169" s="983">
        <v>0</v>
      </c>
      <c r="G169" s="983">
        <v>0</v>
      </c>
      <c r="H169" s="983"/>
      <c r="I169" s="983">
        <v>10296676.07</v>
      </c>
      <c r="J169" s="983">
        <v>1011831.65</v>
      </c>
      <c r="K169" s="983">
        <v>22355645.050000001</v>
      </c>
      <c r="L169" s="931"/>
    </row>
    <row r="170" spans="2:15" ht="13.8" thickBot="1">
      <c r="B170" s="895" t="s">
        <v>1365</v>
      </c>
      <c r="C170" s="984">
        <v>1999149150.1100001</v>
      </c>
      <c r="D170" s="984">
        <v>-114887112.74000001</v>
      </c>
      <c r="E170" s="984">
        <v>1884262037.3700001</v>
      </c>
      <c r="F170" s="984">
        <v>1664757206.8800004</v>
      </c>
      <c r="G170" s="984">
        <v>44417013.479999997</v>
      </c>
      <c r="H170" s="984">
        <v>0</v>
      </c>
      <c r="I170" s="984">
        <v>107927564.12</v>
      </c>
      <c r="J170" s="984">
        <v>44804607.839999996</v>
      </c>
      <c r="K170" s="984">
        <v>22355645.050000001</v>
      </c>
      <c r="L170" s="933">
        <v>0</v>
      </c>
    </row>
    <row r="171" spans="2:15" ht="13.8" thickBot="1">
      <c r="C171" s="968"/>
      <c r="D171" s="968"/>
      <c r="E171" s="968"/>
      <c r="F171" s="968"/>
      <c r="G171" s="968"/>
      <c r="H171" s="968"/>
      <c r="I171" s="968"/>
      <c r="J171" s="968"/>
      <c r="K171" s="968"/>
      <c r="L171" s="921"/>
    </row>
    <row r="172" spans="2:15" ht="16.2" thickBot="1">
      <c r="B172" s="894" t="s">
        <v>1366</v>
      </c>
      <c r="C172" s="985"/>
      <c r="D172" s="985"/>
      <c r="E172" s="985"/>
      <c r="F172" s="985"/>
      <c r="G172" s="985"/>
      <c r="H172" s="985"/>
      <c r="I172" s="985"/>
      <c r="J172" s="985"/>
      <c r="K172" s="985"/>
      <c r="L172" s="934"/>
    </row>
    <row r="173" spans="2:15" ht="14.4">
      <c r="B173" s="514" t="s">
        <v>1367</v>
      </c>
      <c r="C173" s="981">
        <v>248423801.97999999</v>
      </c>
      <c r="D173" s="981">
        <v>-3575515.57</v>
      </c>
      <c r="E173" s="981">
        <v>244848286.41</v>
      </c>
      <c r="F173" s="981">
        <v>244848286.41</v>
      </c>
      <c r="G173" s="981">
        <v>0</v>
      </c>
      <c r="H173" s="981"/>
      <c r="I173" s="981">
        <v>0</v>
      </c>
      <c r="J173" s="981">
        <v>0</v>
      </c>
      <c r="K173" s="981">
        <v>0</v>
      </c>
      <c r="L173" s="929"/>
    </row>
    <row r="174" spans="2:15" ht="14.4">
      <c r="B174" s="518" t="s">
        <v>1368</v>
      </c>
      <c r="C174" s="986">
        <v>2432333.89</v>
      </c>
      <c r="D174" s="986">
        <v>100117.11</v>
      </c>
      <c r="E174" s="986">
        <v>2532451</v>
      </c>
      <c r="F174" s="986">
        <v>2532451</v>
      </c>
      <c r="G174" s="986">
        <v>0</v>
      </c>
      <c r="H174" s="986"/>
      <c r="I174" s="986">
        <v>0</v>
      </c>
      <c r="J174" s="986">
        <v>0</v>
      </c>
      <c r="K174" s="986">
        <v>0</v>
      </c>
      <c r="L174" s="935"/>
    </row>
    <row r="175" spans="2:15" ht="26.4">
      <c r="B175" s="517" t="s">
        <v>966</v>
      </c>
      <c r="C175" s="982">
        <v>0</v>
      </c>
      <c r="D175" s="982">
        <v>3575515.57</v>
      </c>
      <c r="E175" s="982">
        <v>3575515.57</v>
      </c>
      <c r="F175" s="982">
        <v>3575515.57</v>
      </c>
      <c r="G175" s="982">
        <v>0</v>
      </c>
      <c r="H175" s="982"/>
      <c r="I175" s="982">
        <v>0</v>
      </c>
      <c r="J175" s="982">
        <v>0</v>
      </c>
      <c r="K175" s="982">
        <v>0</v>
      </c>
      <c r="L175" s="930"/>
    </row>
    <row r="176" spans="2:15" ht="14.4">
      <c r="B176" s="517" t="s">
        <v>1389</v>
      </c>
      <c r="C176" s="982">
        <v>458049947.62</v>
      </c>
      <c r="D176" s="982">
        <v>-53645528.789999999</v>
      </c>
      <c r="E176" s="982">
        <v>404404418.82999998</v>
      </c>
      <c r="F176" s="982">
        <v>379991122.54000002</v>
      </c>
      <c r="G176" s="982">
        <v>11546932.85</v>
      </c>
      <c r="H176" s="982"/>
      <c r="I176" s="982">
        <v>6205396.9000000004</v>
      </c>
      <c r="J176" s="982">
        <v>6660966.54</v>
      </c>
      <c r="K176" s="982">
        <v>0</v>
      </c>
      <c r="L176" s="930"/>
    </row>
    <row r="177" spans="2:12" ht="14.4">
      <c r="B177" s="517" t="s">
        <v>1370</v>
      </c>
      <c r="C177" s="982">
        <v>-4989463.3899999997</v>
      </c>
      <c r="D177" s="982">
        <v>4989463.3899999997</v>
      </c>
      <c r="E177" s="982">
        <v>0</v>
      </c>
      <c r="F177" s="982">
        <v>0</v>
      </c>
      <c r="G177" s="982">
        <v>0</v>
      </c>
      <c r="H177" s="982"/>
      <c r="I177" s="982">
        <v>0</v>
      </c>
      <c r="J177" s="982">
        <v>0</v>
      </c>
      <c r="K177" s="982">
        <v>0</v>
      </c>
      <c r="L177" s="930"/>
    </row>
    <row r="178" spans="2:12" ht="14.4">
      <c r="B178" s="517" t="s">
        <v>1371</v>
      </c>
      <c r="C178" s="982">
        <v>0</v>
      </c>
      <c r="D178" s="982">
        <v>0</v>
      </c>
      <c r="E178" s="982">
        <v>0</v>
      </c>
      <c r="F178" s="982">
        <v>0</v>
      </c>
      <c r="G178" s="982">
        <v>0</v>
      </c>
      <c r="H178" s="982"/>
      <c r="I178" s="982">
        <v>0</v>
      </c>
      <c r="J178" s="982">
        <v>0</v>
      </c>
      <c r="K178" s="982">
        <v>0</v>
      </c>
      <c r="L178" s="930"/>
    </row>
    <row r="179" spans="2:12" ht="26.4">
      <c r="B179" s="517" t="s">
        <v>1360</v>
      </c>
      <c r="C179" s="982">
        <v>91423439.060000002</v>
      </c>
      <c r="D179" s="982">
        <v>8247.5400000000009</v>
      </c>
      <c r="E179" s="982">
        <v>91431686.599999994</v>
      </c>
      <c r="F179" s="1770">
        <v>91431686.599999994</v>
      </c>
      <c r="G179" s="982">
        <v>0</v>
      </c>
      <c r="H179" s="982"/>
      <c r="I179" s="982">
        <v>0</v>
      </c>
      <c r="J179" s="982">
        <v>0</v>
      </c>
      <c r="K179" s="982">
        <v>0</v>
      </c>
      <c r="L179" s="930"/>
    </row>
    <row r="180" spans="2:12" ht="26.4">
      <c r="B180" s="517" t="s">
        <v>1372</v>
      </c>
      <c r="C180" s="982">
        <v>0</v>
      </c>
      <c r="D180" s="982">
        <v>0</v>
      </c>
      <c r="E180" s="982">
        <v>0</v>
      </c>
      <c r="F180" s="982">
        <v>0</v>
      </c>
      <c r="G180" s="982">
        <v>0</v>
      </c>
      <c r="H180" s="982"/>
      <c r="I180" s="982">
        <v>0</v>
      </c>
      <c r="J180" s="982">
        <v>0</v>
      </c>
      <c r="K180" s="982">
        <v>0</v>
      </c>
      <c r="L180" s="930"/>
    </row>
    <row r="181" spans="2:12" ht="14.4">
      <c r="B181" s="517" t="s">
        <v>1373</v>
      </c>
      <c r="C181" s="982">
        <v>276085846.77999997</v>
      </c>
      <c r="D181" s="982">
        <v>11585555.98</v>
      </c>
      <c r="E181" s="982">
        <v>287671402.75999999</v>
      </c>
      <c r="F181" s="982">
        <v>272381430.23000002</v>
      </c>
      <c r="G181" s="982">
        <v>11165900.07</v>
      </c>
      <c r="H181" s="982"/>
      <c r="I181" s="982">
        <v>0</v>
      </c>
      <c r="J181" s="982">
        <v>4124072.46</v>
      </c>
      <c r="K181" s="982">
        <v>0</v>
      </c>
      <c r="L181" s="930"/>
    </row>
    <row r="182" spans="2:12" ht="39.6">
      <c r="B182" s="517" t="s">
        <v>1374</v>
      </c>
      <c r="C182" s="982">
        <v>233586470.41</v>
      </c>
      <c r="D182" s="982">
        <v>-30119240.050000001</v>
      </c>
      <c r="E182" s="982">
        <v>203467230.36000001</v>
      </c>
      <c r="F182" s="982">
        <v>130527570.68000001</v>
      </c>
      <c r="G182" s="982">
        <v>703726.42</v>
      </c>
      <c r="H182" s="982"/>
      <c r="I182" s="982">
        <v>19011646.350000001</v>
      </c>
      <c r="J182" s="982">
        <v>25770186.719999999</v>
      </c>
      <c r="K182" s="982">
        <v>27454100.190000001</v>
      </c>
      <c r="L182" s="930"/>
    </row>
    <row r="183" spans="2:12" ht="15" thickBot="1">
      <c r="B183" s="515" t="s">
        <v>938</v>
      </c>
      <c r="C183" s="987">
        <v>18125026.489999998</v>
      </c>
      <c r="D183" s="987">
        <v>-18125026.489999998</v>
      </c>
      <c r="E183" s="987">
        <v>0</v>
      </c>
      <c r="F183" s="987">
        <v>0</v>
      </c>
      <c r="G183" s="987">
        <v>0</v>
      </c>
      <c r="H183" s="987"/>
      <c r="I183" s="987">
        <v>0</v>
      </c>
      <c r="J183" s="987">
        <v>0</v>
      </c>
      <c r="K183" s="987">
        <v>0</v>
      </c>
      <c r="L183" s="936"/>
    </row>
    <row r="184" spans="2:12" ht="13.8" thickBot="1">
      <c r="B184" s="895" t="s">
        <v>1385</v>
      </c>
      <c r="C184" s="984">
        <v>1323137402.8400002</v>
      </c>
      <c r="D184" s="984">
        <v>-85206411.309999987</v>
      </c>
      <c r="E184" s="984">
        <v>1237930991.53</v>
      </c>
      <c r="F184" s="984">
        <v>1125288063.03</v>
      </c>
      <c r="G184" s="984">
        <v>23416559.340000004</v>
      </c>
      <c r="H184" s="984">
        <v>0</v>
      </c>
      <c r="I184" s="984">
        <v>25217043.25</v>
      </c>
      <c r="J184" s="984">
        <v>36555225.719999999</v>
      </c>
      <c r="K184" s="984">
        <v>27454100.190000001</v>
      </c>
      <c r="L184" s="932">
        <v>0</v>
      </c>
    </row>
  </sheetData>
  <mergeCells count="53">
    <mergeCell ref="B10:B13"/>
    <mergeCell ref="C10:C12"/>
    <mergeCell ref="D10:D12"/>
    <mergeCell ref="E10:E12"/>
    <mergeCell ref="F10:F12"/>
    <mergeCell ref="B46:B49"/>
    <mergeCell ref="C46:C48"/>
    <mergeCell ref="D46:D48"/>
    <mergeCell ref="E46:E48"/>
    <mergeCell ref="F46:F48"/>
    <mergeCell ref="L10:L12"/>
    <mergeCell ref="G11:H11"/>
    <mergeCell ref="I11:K11"/>
    <mergeCell ref="C13:L13"/>
    <mergeCell ref="G46:K46"/>
    <mergeCell ref="G10:K10"/>
    <mergeCell ref="L118:L120"/>
    <mergeCell ref="L46:L48"/>
    <mergeCell ref="G47:H47"/>
    <mergeCell ref="I47:K47"/>
    <mergeCell ref="C49:L49"/>
    <mergeCell ref="I156:K156"/>
    <mergeCell ref="B82:B85"/>
    <mergeCell ref="C118:C120"/>
    <mergeCell ref="D118:D120"/>
    <mergeCell ref="E118:E120"/>
    <mergeCell ref="F118:F120"/>
    <mergeCell ref="C85:L85"/>
    <mergeCell ref="F82:F84"/>
    <mergeCell ref="G83:H83"/>
    <mergeCell ref="C82:C84"/>
    <mergeCell ref="D82:D84"/>
    <mergeCell ref="E82:E84"/>
    <mergeCell ref="I83:K83"/>
    <mergeCell ref="L82:L84"/>
    <mergeCell ref="G82:K82"/>
    <mergeCell ref="G118:K118"/>
    <mergeCell ref="N160:N161"/>
    <mergeCell ref="N121:N122"/>
    <mergeCell ref="N87:N88"/>
    <mergeCell ref="N100:N101"/>
    <mergeCell ref="L155:L157"/>
    <mergeCell ref="C158:L158"/>
    <mergeCell ref="C159:L159"/>
    <mergeCell ref="C155:C157"/>
    <mergeCell ref="D155:D157"/>
    <mergeCell ref="E155:E157"/>
    <mergeCell ref="F155:F157"/>
    <mergeCell ref="G155:K155"/>
    <mergeCell ref="G119:H119"/>
    <mergeCell ref="I119:K119"/>
    <mergeCell ref="C121:L121"/>
    <mergeCell ref="G156:H156"/>
  </mergeCells>
  <conditionalFormatting sqref="L16:L24 H16:H24 L28:L38 H28:H38">
    <cfRule type="expression" dxfId="27" priority="25">
      <formula>dms_Jurisdiction="Vic"</formula>
    </cfRule>
  </conditionalFormatting>
  <conditionalFormatting sqref="H12">
    <cfRule type="expression" dxfId="26" priority="27">
      <formula>dms_Jurisdiction="Vic"</formula>
    </cfRule>
  </conditionalFormatting>
  <conditionalFormatting sqref="G12:H12 G16:H24 G28:H38">
    <cfRule type="expression" dxfId="25" priority="28">
      <formula>dms_TradingName="SA Power Networks"</formula>
    </cfRule>
  </conditionalFormatting>
  <conditionalFormatting sqref="L16:L24 L28:L38">
    <cfRule type="expression" dxfId="24" priority="26">
      <formula>dms_TradingName="SA Power Networks"</formula>
    </cfRule>
  </conditionalFormatting>
  <conditionalFormatting sqref="L52:L60 H52:H60 L64:L74 H64:H74">
    <cfRule type="expression" dxfId="23" priority="21">
      <formula>dms_Jurisdiction="Vic"</formula>
    </cfRule>
  </conditionalFormatting>
  <conditionalFormatting sqref="H48">
    <cfRule type="expression" dxfId="22" priority="23">
      <formula>dms_Jurisdiction="Vic"</formula>
    </cfRule>
  </conditionalFormatting>
  <conditionalFormatting sqref="G48:H48 G52:H60 G64:H74">
    <cfRule type="expression" dxfId="21" priority="24">
      <formula>dms_TradingName="SA Power Networks"</formula>
    </cfRule>
  </conditionalFormatting>
  <conditionalFormatting sqref="L52:L60 L64:L74">
    <cfRule type="expression" dxfId="20" priority="22">
      <formula>dms_TradingName="SA Power Networks"</formula>
    </cfRule>
  </conditionalFormatting>
  <conditionalFormatting sqref="L88:L96 H88:H96 L100:L109 H100:H109">
    <cfRule type="expression" dxfId="19" priority="17">
      <formula>dms_Jurisdiction="Vic"</formula>
    </cfRule>
  </conditionalFormatting>
  <conditionalFormatting sqref="H84">
    <cfRule type="expression" dxfId="18" priority="19">
      <formula>dms_Jurisdiction="Vic"</formula>
    </cfRule>
  </conditionalFormatting>
  <conditionalFormatting sqref="G84:H84 G88:H96 G100:H109">
    <cfRule type="expression" dxfId="17" priority="20">
      <formula>dms_TradingName="SA Power Networks"</formula>
    </cfRule>
  </conditionalFormatting>
  <conditionalFormatting sqref="L88:L96 L100:L109">
    <cfRule type="expression" dxfId="16" priority="18">
      <formula>dms_TradingName="SA Power Networks"</formula>
    </cfRule>
  </conditionalFormatting>
  <conditionalFormatting sqref="H123:H131 H135:H145">
    <cfRule type="expression" dxfId="15" priority="14">
      <formula>INDEX(dms_CF_8.1_B, MATCH(dms_TradingName,dms_CF_TradingName))="Y"</formula>
    </cfRule>
    <cfRule type="expression" dxfId="14" priority="16">
      <formula>INDEX(dms_CF_8.1, MATCH(dms_TradingName,dms_CF_TradingName))="Y"</formula>
    </cfRule>
  </conditionalFormatting>
  <conditionalFormatting sqref="G123:G131 G135:G145">
    <cfRule type="expression" dxfId="13" priority="15">
      <formula>INDEX(dms_CF_8.1_A, MATCH(dms_TradingName,dms_CF_TradingName))="Y"</formula>
    </cfRule>
  </conditionalFormatting>
  <conditionalFormatting sqref="L123:L131 L135:L145">
    <cfRule type="expression" dxfId="12" priority="13">
      <formula>INDEX(dms_CF_8.1_Neg, MATCH(dms_TradingName,dms_CF_TradingName))="Y"</formula>
    </cfRule>
  </conditionalFormatting>
  <conditionalFormatting sqref="H161:H169">
    <cfRule type="expression" dxfId="11" priority="7">
      <formula>INDEX(dms_CF_8.1_B, MATCH(dms_TradingName,dms_CF_TradingName))="Y"</formula>
    </cfRule>
  </conditionalFormatting>
  <conditionalFormatting sqref="H173:H183">
    <cfRule type="expression" dxfId="10" priority="8">
      <formula>INDEX(dms_CF_8.1_B, MATCH(dms_TradingName,dms_CF_TradingName))="Y"</formula>
    </cfRule>
  </conditionalFormatting>
  <conditionalFormatting sqref="G161:G169">
    <cfRule type="expression" dxfId="9" priority="9">
      <formula>INDEX(dms_CF_8.1_A, MATCH(dms_TradingName,dms_CF_TradingName))="Y"</formula>
    </cfRule>
  </conditionalFormatting>
  <conditionalFormatting sqref="G173:G183">
    <cfRule type="expression" dxfId="8" priority="10">
      <formula>INDEX(dms_CF_8.1_A, MATCH(dms_TradingName,dms_CF_TradingName))="Y"</formula>
    </cfRule>
  </conditionalFormatting>
  <conditionalFormatting sqref="L161:L169">
    <cfRule type="expression" dxfId="7" priority="11">
      <formula>INDEX(dms_CF_8.1_Neg, MATCH(dms_TradingName,dms_CF_TradingName))="Y"</formula>
    </cfRule>
  </conditionalFormatting>
  <conditionalFormatting sqref="L173:L183">
    <cfRule type="expression" dxfId="6" priority="12">
      <formula>INDEX(dms_CF_8.1_Neg, MATCH(dms_TradingName,dms_CF_TradingName))="Y"</formula>
    </cfRule>
  </conditionalFormatting>
  <conditionalFormatting sqref="L87 H87">
    <cfRule type="expression" dxfId="5" priority="4">
      <formula>dms_Jurisdiction="Vic"</formula>
    </cfRule>
  </conditionalFormatting>
  <conditionalFormatting sqref="G87:H87">
    <cfRule type="expression" dxfId="4" priority="6">
      <formula>dms_TradingName="SA Power Networks"</formula>
    </cfRule>
  </conditionalFormatting>
  <conditionalFormatting sqref="L87">
    <cfRule type="expression" dxfId="3" priority="5">
      <formula>dms_TradingName="SA Power Networks"</formula>
    </cfRule>
  </conditionalFormatting>
  <conditionalFormatting sqref="L99 H99">
    <cfRule type="expression" dxfId="2" priority="1">
      <formula>dms_Jurisdiction="Vic"</formula>
    </cfRule>
  </conditionalFormatting>
  <conditionalFormatting sqref="G99:H99">
    <cfRule type="expression" dxfId="1" priority="3">
      <formula>dms_TradingName="SA Power Networks"</formula>
    </cfRule>
  </conditionalFormatting>
  <conditionalFormatting sqref="L99">
    <cfRule type="expression" dxfId="0" priority="2">
      <formula>dms_TradingName="SA Power Networks"</formula>
    </cfRule>
  </conditionalFormatting>
  <hyperlinks>
    <hyperlink ref="C2" r:id="rId1" xr:uid="{19A1EFCC-61EB-4682-8BF3-AE0F02CAA51F}"/>
  </hyperlinks>
  <pageMargins left="0.7" right="0.7" top="0.75" bottom="0.75" header="0.3" footer="0.3"/>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4887-3671-4AC1-9A9A-199191052170}">
  <sheetPr>
    <tabColor rgb="FF92D050"/>
  </sheetPr>
  <dimension ref="A1:H456"/>
  <sheetViews>
    <sheetView workbookViewId="0">
      <selection activeCell="D309" sqref="D309"/>
    </sheetView>
  </sheetViews>
  <sheetFormatPr defaultRowHeight="13.2"/>
  <cols>
    <col min="1" max="2" width="14.33203125" customWidth="1"/>
    <col min="3" max="3" width="28.44140625" style="343" customWidth="1"/>
    <col min="4" max="4" width="19.33203125" style="343" customWidth="1"/>
    <col min="5" max="5" width="71.44140625" style="343" customWidth="1"/>
    <col min="6" max="6" width="30.33203125" customWidth="1"/>
    <col min="7" max="7" width="27.88671875" customWidth="1"/>
    <col min="8" max="8" width="13.88671875" bestFit="1" customWidth="1"/>
  </cols>
  <sheetData>
    <row r="1" spans="1:8" ht="14.4">
      <c r="A1" t="s">
        <v>1300</v>
      </c>
      <c r="B1" s="450"/>
      <c r="H1">
        <f>COLUMN()</f>
        <v>8</v>
      </c>
    </row>
    <row r="2" spans="1:8" ht="14.4">
      <c r="A2" t="s">
        <v>1301</v>
      </c>
      <c r="H2" s="451" t="s">
        <v>1292</v>
      </c>
    </row>
    <row r="3" spans="1:8" ht="28.8">
      <c r="A3" s="452" t="s">
        <v>984</v>
      </c>
      <c r="B3" s="452" t="s">
        <v>985</v>
      </c>
      <c r="C3" s="453" t="s">
        <v>846</v>
      </c>
      <c r="D3" s="453" t="s">
        <v>847</v>
      </c>
      <c r="E3" s="453" t="s">
        <v>986</v>
      </c>
      <c r="F3" s="453" t="s">
        <v>987</v>
      </c>
      <c r="G3" s="453" t="s">
        <v>623</v>
      </c>
      <c r="H3" s="453" t="s">
        <v>988</v>
      </c>
    </row>
    <row r="4" spans="1:8" ht="39.6">
      <c r="A4" t="s">
        <v>314</v>
      </c>
      <c r="B4" s="454" t="s">
        <v>989</v>
      </c>
      <c r="C4" s="343" t="s">
        <v>624</v>
      </c>
      <c r="D4" s="343" t="s">
        <v>848</v>
      </c>
      <c r="E4" s="343" t="s">
        <v>625</v>
      </c>
      <c r="F4" t="s">
        <v>626</v>
      </c>
      <c r="G4" t="s">
        <v>627</v>
      </c>
      <c r="H4" s="456">
        <v>116.05118139608</v>
      </c>
    </row>
    <row r="5" spans="1:8" ht="39.6">
      <c r="A5" t="s">
        <v>315</v>
      </c>
      <c r="B5" s="454" t="s">
        <v>990</v>
      </c>
      <c r="C5" s="343" t="s">
        <v>624</v>
      </c>
      <c r="D5" s="343" t="s">
        <v>848</v>
      </c>
      <c r="E5" s="343" t="s">
        <v>625</v>
      </c>
      <c r="F5" t="s">
        <v>626</v>
      </c>
      <c r="G5" t="s">
        <v>628</v>
      </c>
      <c r="H5" s="456">
        <v>408.22023606661304</v>
      </c>
    </row>
    <row r="6" spans="1:8" ht="39.6">
      <c r="A6" t="s">
        <v>316</v>
      </c>
      <c r="B6" s="454" t="s">
        <v>991</v>
      </c>
      <c r="C6" s="343" t="s">
        <v>624</v>
      </c>
      <c r="D6" s="343" t="s">
        <v>848</v>
      </c>
      <c r="E6" s="343" t="s">
        <v>625</v>
      </c>
      <c r="F6" t="s">
        <v>629</v>
      </c>
      <c r="G6" t="s">
        <v>627</v>
      </c>
      <c r="H6" s="456">
        <v>152.55607731949493</v>
      </c>
    </row>
    <row r="7" spans="1:8" ht="39.6">
      <c r="A7" t="s">
        <v>317</v>
      </c>
      <c r="B7" s="454" t="s">
        <v>992</v>
      </c>
      <c r="C7" s="343" t="s">
        <v>624</v>
      </c>
      <c r="D7" s="343" t="s">
        <v>848</v>
      </c>
      <c r="E7" s="343" t="s">
        <v>625</v>
      </c>
      <c r="F7" t="s">
        <v>629</v>
      </c>
      <c r="G7" t="s">
        <v>628</v>
      </c>
      <c r="H7" s="456">
        <v>536.62941770676605</v>
      </c>
    </row>
    <row r="8" spans="1:8" ht="39.6">
      <c r="A8" t="s">
        <v>318</v>
      </c>
      <c r="B8" s="454" t="s">
        <v>993</v>
      </c>
      <c r="C8" s="343" t="s">
        <v>624</v>
      </c>
      <c r="D8" s="343" t="s">
        <v>848</v>
      </c>
      <c r="E8" s="343" t="s">
        <v>625</v>
      </c>
      <c r="F8" t="s">
        <v>630</v>
      </c>
      <c r="G8" t="s">
        <v>627</v>
      </c>
      <c r="H8" s="456">
        <v>349.90305948566834</v>
      </c>
    </row>
    <row r="9" spans="1:8" ht="39.6">
      <c r="A9" t="s">
        <v>319</v>
      </c>
      <c r="B9" s="454" t="s">
        <v>994</v>
      </c>
      <c r="C9" s="343" t="s">
        <v>624</v>
      </c>
      <c r="D9" s="343" t="s">
        <v>848</v>
      </c>
      <c r="E9" s="343" t="s">
        <v>625</v>
      </c>
      <c r="F9" t="s">
        <v>630</v>
      </c>
      <c r="G9" t="s">
        <v>631</v>
      </c>
      <c r="H9" s="456">
        <v>934.24116882673445</v>
      </c>
    </row>
    <row r="10" spans="1:8" ht="39.6">
      <c r="A10" t="s">
        <v>320</v>
      </c>
      <c r="B10" s="454" t="s">
        <v>995</v>
      </c>
      <c r="C10" s="343" t="s">
        <v>624</v>
      </c>
      <c r="D10" s="343" t="s">
        <v>848</v>
      </c>
      <c r="E10" s="343" t="s">
        <v>625</v>
      </c>
      <c r="F10" t="s">
        <v>632</v>
      </c>
      <c r="G10" t="s">
        <v>627</v>
      </c>
      <c r="H10" s="456">
        <v>459.96807232008518</v>
      </c>
    </row>
    <row r="11" spans="1:8" ht="39.6">
      <c r="A11" t="s">
        <v>321</v>
      </c>
      <c r="B11" s="454" t="s">
        <v>996</v>
      </c>
      <c r="C11" s="343" t="s">
        <v>624</v>
      </c>
      <c r="D11" s="343" t="s">
        <v>848</v>
      </c>
      <c r="E11" s="343" t="s">
        <v>625</v>
      </c>
      <c r="F11" t="s">
        <v>632</v>
      </c>
      <c r="G11" t="s">
        <v>628</v>
      </c>
      <c r="H11" s="456">
        <v>1228.1147530946275</v>
      </c>
    </row>
    <row r="12" spans="1:8" ht="39.6">
      <c r="A12" t="s">
        <v>322</v>
      </c>
      <c r="B12" s="454" t="s">
        <v>997</v>
      </c>
      <c r="C12" s="343" t="s">
        <v>624</v>
      </c>
      <c r="D12" s="343" t="s">
        <v>848</v>
      </c>
      <c r="E12" s="343" t="s">
        <v>625</v>
      </c>
      <c r="F12" t="s">
        <v>633</v>
      </c>
      <c r="G12" t="s">
        <v>627</v>
      </c>
      <c r="H12" s="456">
        <v>232.10236279215999</v>
      </c>
    </row>
    <row r="13" spans="1:8" ht="39.6">
      <c r="A13" t="s">
        <v>323</v>
      </c>
      <c r="B13" s="454" t="s">
        <v>998</v>
      </c>
      <c r="C13" s="343" t="s">
        <v>624</v>
      </c>
      <c r="D13" s="343" t="s">
        <v>848</v>
      </c>
      <c r="E13" s="343" t="s">
        <v>625</v>
      </c>
      <c r="F13" t="s">
        <v>633</v>
      </c>
      <c r="G13" t="s">
        <v>628</v>
      </c>
      <c r="H13" s="456">
        <v>816.44047213322619</v>
      </c>
    </row>
    <row r="14" spans="1:8" ht="39.6">
      <c r="A14" t="s">
        <v>324</v>
      </c>
      <c r="B14" s="454" t="s">
        <v>999</v>
      </c>
      <c r="C14" s="343" t="s">
        <v>624</v>
      </c>
      <c r="D14" s="343" t="s">
        <v>848</v>
      </c>
      <c r="E14" s="343" t="s">
        <v>625</v>
      </c>
      <c r="F14" t="s">
        <v>634</v>
      </c>
      <c r="G14" t="s">
        <v>627</v>
      </c>
      <c r="H14" s="456">
        <v>349.90305948566834</v>
      </c>
    </row>
    <row r="15" spans="1:8" ht="39.6">
      <c r="A15" t="s">
        <v>325</v>
      </c>
      <c r="B15" s="454" t="s">
        <v>1000</v>
      </c>
      <c r="C15" s="343" t="s">
        <v>624</v>
      </c>
      <c r="D15" s="343" t="s">
        <v>848</v>
      </c>
      <c r="E15" s="343" t="s">
        <v>625</v>
      </c>
      <c r="F15" t="s">
        <v>634</v>
      </c>
      <c r="G15" t="s">
        <v>628</v>
      </c>
      <c r="H15" s="456">
        <v>934.24116882673445</v>
      </c>
    </row>
    <row r="16" spans="1:8" ht="26.4">
      <c r="A16" t="s">
        <v>326</v>
      </c>
      <c r="B16" s="454" t="s">
        <v>1001</v>
      </c>
      <c r="C16" s="343" t="s">
        <v>624</v>
      </c>
      <c r="D16" s="343" t="s">
        <v>848</v>
      </c>
      <c r="E16" s="343" t="s">
        <v>635</v>
      </c>
      <c r="F16" t="s">
        <v>636</v>
      </c>
      <c r="G16" t="s">
        <v>627</v>
      </c>
      <c r="H16" s="456">
        <v>101.47188725084382</v>
      </c>
    </row>
    <row r="17" spans="1:8" ht="26.4">
      <c r="A17" t="s">
        <v>327</v>
      </c>
      <c r="B17" s="454" t="s">
        <v>1002</v>
      </c>
      <c r="C17" s="343" t="s">
        <v>624</v>
      </c>
      <c r="D17" s="343" t="s">
        <v>848</v>
      </c>
      <c r="E17" s="343" t="s">
        <v>635</v>
      </c>
      <c r="F17" t="s">
        <v>636</v>
      </c>
      <c r="G17" t="s">
        <v>631</v>
      </c>
      <c r="H17" s="456">
        <v>393.64094192137691</v>
      </c>
    </row>
    <row r="18" spans="1:8" ht="26.4">
      <c r="A18" t="s">
        <v>328</v>
      </c>
      <c r="B18" s="454" t="s">
        <v>1003</v>
      </c>
      <c r="C18" s="343" t="s">
        <v>624</v>
      </c>
      <c r="D18" s="343" t="s">
        <v>848</v>
      </c>
      <c r="E18" s="343" t="s">
        <v>635</v>
      </c>
      <c r="F18" t="s">
        <v>637</v>
      </c>
      <c r="G18" t="s">
        <v>627</v>
      </c>
      <c r="H18" s="456">
        <v>133.39074097282469</v>
      </c>
    </row>
    <row r="19" spans="1:8" ht="26.4">
      <c r="A19" t="s">
        <v>329</v>
      </c>
      <c r="B19" s="454" t="s">
        <v>1004</v>
      </c>
      <c r="C19" s="343" t="s">
        <v>624</v>
      </c>
      <c r="D19" s="343" t="s">
        <v>848</v>
      </c>
      <c r="E19" s="343" t="s">
        <v>635</v>
      </c>
      <c r="F19" t="s">
        <v>637</v>
      </c>
      <c r="G19" t="s">
        <v>628</v>
      </c>
      <c r="H19" s="456">
        <v>517.46408136009586</v>
      </c>
    </row>
    <row r="20" spans="1:8" ht="26.4">
      <c r="A20" t="s">
        <v>330</v>
      </c>
      <c r="B20" s="454" t="s">
        <v>1005</v>
      </c>
      <c r="C20" s="343" t="s">
        <v>624</v>
      </c>
      <c r="D20" s="343" t="s">
        <v>848</v>
      </c>
      <c r="E20" s="343" t="s">
        <v>635</v>
      </c>
      <c r="F20" t="s">
        <v>638</v>
      </c>
      <c r="G20" t="s">
        <v>627</v>
      </c>
      <c r="H20" s="456">
        <v>202.94377450168764</v>
      </c>
    </row>
    <row r="21" spans="1:8" ht="26.4">
      <c r="A21" t="s">
        <v>331</v>
      </c>
      <c r="B21" s="454" t="s">
        <v>1006</v>
      </c>
      <c r="C21" s="343" t="s">
        <v>624</v>
      </c>
      <c r="D21" s="343" t="s">
        <v>848</v>
      </c>
      <c r="E21" s="343" t="s">
        <v>635</v>
      </c>
      <c r="F21" t="s">
        <v>638</v>
      </c>
      <c r="G21" t="s">
        <v>628</v>
      </c>
      <c r="H21" s="456">
        <v>787.28188384275381</v>
      </c>
    </row>
    <row r="22" spans="1:8" ht="26.4">
      <c r="A22" t="s">
        <v>332</v>
      </c>
      <c r="B22" s="454" t="s">
        <v>1007</v>
      </c>
      <c r="C22" s="343" t="s">
        <v>624</v>
      </c>
      <c r="D22" s="343" t="s">
        <v>848</v>
      </c>
      <c r="E22" s="343" t="s">
        <v>639</v>
      </c>
      <c r="F22" t="s">
        <v>636</v>
      </c>
      <c r="G22" t="s">
        <v>110</v>
      </c>
      <c r="H22" s="456">
        <v>94.748453049168077</v>
      </c>
    </row>
    <row r="23" spans="1:8" ht="26.4">
      <c r="A23" t="s">
        <v>333</v>
      </c>
      <c r="B23" s="454" t="s">
        <v>1008</v>
      </c>
      <c r="C23" s="343" t="s">
        <v>624</v>
      </c>
      <c r="D23" s="343" t="s">
        <v>848</v>
      </c>
      <c r="E23" s="343" t="s">
        <v>639</v>
      </c>
      <c r="F23" t="s">
        <v>637</v>
      </c>
      <c r="G23" t="s">
        <v>110</v>
      </c>
      <c r="H23" s="456">
        <v>119.28708134847214</v>
      </c>
    </row>
    <row r="24" spans="1:8" ht="26.4">
      <c r="A24" t="s">
        <v>334</v>
      </c>
      <c r="B24" s="454" t="s">
        <v>1009</v>
      </c>
      <c r="C24" s="343" t="s">
        <v>624</v>
      </c>
      <c r="D24" s="343" t="s">
        <v>848</v>
      </c>
      <c r="E24" s="343" t="s">
        <v>640</v>
      </c>
      <c r="F24" t="s">
        <v>636</v>
      </c>
      <c r="G24" t="s">
        <v>110</v>
      </c>
      <c r="H24" s="456">
        <v>94.748453049168077</v>
      </c>
    </row>
    <row r="25" spans="1:8" ht="26.4">
      <c r="A25" t="s">
        <v>335</v>
      </c>
      <c r="B25" s="454" t="s">
        <v>1010</v>
      </c>
      <c r="C25" s="343" t="s">
        <v>624</v>
      </c>
      <c r="D25" s="343" t="s">
        <v>848</v>
      </c>
      <c r="E25" s="343" t="s">
        <v>640</v>
      </c>
      <c r="F25" t="s">
        <v>637</v>
      </c>
      <c r="G25" t="s">
        <v>110</v>
      </c>
      <c r="H25" s="456">
        <v>119.28708134847214</v>
      </c>
    </row>
    <row r="26" spans="1:8" ht="26.4">
      <c r="A26" t="s">
        <v>336</v>
      </c>
      <c r="B26" s="454" t="s">
        <v>1011</v>
      </c>
      <c r="C26" s="343" t="s">
        <v>624</v>
      </c>
      <c r="D26" s="343" t="s">
        <v>849</v>
      </c>
      <c r="E26" s="343" t="s">
        <v>641</v>
      </c>
      <c r="F26" t="s">
        <v>626</v>
      </c>
      <c r="G26" t="s">
        <v>627</v>
      </c>
      <c r="H26" s="456">
        <v>202.94377450168764</v>
      </c>
    </row>
    <row r="27" spans="1:8" ht="26.4">
      <c r="A27" t="s">
        <v>337</v>
      </c>
      <c r="B27" s="454" t="s">
        <v>1012</v>
      </c>
      <c r="C27" s="343" t="s">
        <v>624</v>
      </c>
      <c r="D27" s="343" t="s">
        <v>849</v>
      </c>
      <c r="E27" s="343" t="s">
        <v>641</v>
      </c>
      <c r="F27" t="s">
        <v>626</v>
      </c>
      <c r="G27" t="s">
        <v>628</v>
      </c>
      <c r="H27" s="456">
        <v>787.28188384275381</v>
      </c>
    </row>
    <row r="28" spans="1:8" ht="26.4">
      <c r="A28" t="s">
        <v>338</v>
      </c>
      <c r="B28" s="454" t="s">
        <v>1013</v>
      </c>
      <c r="C28" s="343" t="s">
        <v>624</v>
      </c>
      <c r="D28" s="343" t="s">
        <v>849</v>
      </c>
      <c r="E28" s="343" t="s">
        <v>641</v>
      </c>
      <c r="F28" t="s">
        <v>630</v>
      </c>
      <c r="G28" t="s">
        <v>627</v>
      </c>
      <c r="H28" s="456">
        <v>261.26095108263235</v>
      </c>
    </row>
    <row r="29" spans="1:8" ht="26.4">
      <c r="A29" t="s">
        <v>339</v>
      </c>
      <c r="B29" s="454" t="s">
        <v>1014</v>
      </c>
      <c r="C29" s="343" t="s">
        <v>624</v>
      </c>
      <c r="D29" s="343" t="s">
        <v>849</v>
      </c>
      <c r="E29" s="343" t="s">
        <v>641</v>
      </c>
      <c r="F29" t="s">
        <v>630</v>
      </c>
      <c r="G29" t="s">
        <v>628</v>
      </c>
      <c r="H29" s="456">
        <v>845.59906042369857</v>
      </c>
    </row>
    <row r="30" spans="1:8" ht="26.4">
      <c r="A30" t="s">
        <v>340</v>
      </c>
      <c r="B30" s="454" t="s">
        <v>1015</v>
      </c>
      <c r="C30" s="343" t="s">
        <v>624</v>
      </c>
      <c r="D30" s="343" t="s">
        <v>849</v>
      </c>
      <c r="E30" s="343" t="s">
        <v>641</v>
      </c>
      <c r="F30" t="s">
        <v>629</v>
      </c>
      <c r="G30" t="s">
        <v>627</v>
      </c>
      <c r="H30" s="456">
        <v>266.78148194564938</v>
      </c>
    </row>
    <row r="31" spans="1:8" ht="26.4">
      <c r="A31" t="s">
        <v>341</v>
      </c>
      <c r="B31" s="454" t="s">
        <v>1016</v>
      </c>
      <c r="C31" s="343" t="s">
        <v>624</v>
      </c>
      <c r="D31" s="343" t="s">
        <v>849</v>
      </c>
      <c r="E31" s="343" t="s">
        <v>641</v>
      </c>
      <c r="F31" t="s">
        <v>629</v>
      </c>
      <c r="G31" t="s">
        <v>628</v>
      </c>
      <c r="H31" s="456">
        <v>1034.9281627201917</v>
      </c>
    </row>
    <row r="32" spans="1:8" ht="26.4">
      <c r="A32" t="s">
        <v>342</v>
      </c>
      <c r="B32" s="454" t="s">
        <v>1017</v>
      </c>
      <c r="C32" s="343" t="s">
        <v>624</v>
      </c>
      <c r="D32" s="343" t="s">
        <v>849</v>
      </c>
      <c r="E32" s="343" t="s">
        <v>641</v>
      </c>
      <c r="F32" t="s">
        <v>642</v>
      </c>
      <c r="G32" t="s">
        <v>627</v>
      </c>
      <c r="H32" s="456">
        <v>266.78148194564938</v>
      </c>
    </row>
    <row r="33" spans="1:8" ht="26.4">
      <c r="A33" t="s">
        <v>343</v>
      </c>
      <c r="B33" s="454" t="s">
        <v>1018</v>
      </c>
      <c r="C33" s="343" t="s">
        <v>624</v>
      </c>
      <c r="D33" s="343" t="s">
        <v>849</v>
      </c>
      <c r="E33" s="343" t="s">
        <v>641</v>
      </c>
      <c r="F33" t="s">
        <v>632</v>
      </c>
      <c r="G33" t="s">
        <v>627</v>
      </c>
      <c r="H33" s="456">
        <v>343.44282733233024</v>
      </c>
    </row>
    <row r="34" spans="1:8" ht="26.4">
      <c r="A34" t="s">
        <v>344</v>
      </c>
      <c r="B34" s="454" t="s">
        <v>1019</v>
      </c>
      <c r="C34" s="343" t="s">
        <v>624</v>
      </c>
      <c r="D34" s="343" t="s">
        <v>849</v>
      </c>
      <c r="E34" s="343" t="s">
        <v>641</v>
      </c>
      <c r="F34" t="s">
        <v>632</v>
      </c>
      <c r="G34" t="s">
        <v>628</v>
      </c>
      <c r="H34" s="456">
        <v>1111.5895081068725</v>
      </c>
    </row>
    <row r="35" spans="1:8" ht="26.4">
      <c r="A35" t="s">
        <v>345</v>
      </c>
      <c r="B35" s="454" t="s">
        <v>1020</v>
      </c>
      <c r="C35" s="343" t="s">
        <v>624</v>
      </c>
      <c r="D35" s="343" t="s">
        <v>849</v>
      </c>
      <c r="E35" s="343" t="s">
        <v>641</v>
      </c>
      <c r="F35" t="s">
        <v>643</v>
      </c>
      <c r="G35" t="s">
        <v>627</v>
      </c>
      <c r="H35" s="456">
        <v>343.44282733233024</v>
      </c>
    </row>
    <row r="36" spans="1:8" ht="26.4">
      <c r="A36" t="s">
        <v>346</v>
      </c>
      <c r="B36" s="454" t="s">
        <v>1021</v>
      </c>
      <c r="C36" s="343" t="s">
        <v>624</v>
      </c>
      <c r="D36" s="343" t="s">
        <v>849</v>
      </c>
      <c r="E36" s="343" t="s">
        <v>644</v>
      </c>
      <c r="F36" t="s">
        <v>636</v>
      </c>
      <c r="G36" t="s">
        <v>627</v>
      </c>
      <c r="H36" s="456">
        <v>101.47188725084382</v>
      </c>
    </row>
    <row r="37" spans="1:8" ht="26.4">
      <c r="A37" t="s">
        <v>347</v>
      </c>
      <c r="B37" s="454" t="s">
        <v>1022</v>
      </c>
      <c r="C37" s="343" t="s">
        <v>624</v>
      </c>
      <c r="D37" s="343" t="s">
        <v>849</v>
      </c>
      <c r="E37" s="343" t="s">
        <v>644</v>
      </c>
      <c r="F37" t="s">
        <v>636</v>
      </c>
      <c r="G37" t="s">
        <v>628</v>
      </c>
      <c r="H37" s="456">
        <v>393.64094192137691</v>
      </c>
    </row>
    <row r="38" spans="1:8" ht="26.4">
      <c r="A38" t="s">
        <v>348</v>
      </c>
      <c r="B38" s="454" t="s">
        <v>1023</v>
      </c>
      <c r="C38" s="343" t="s">
        <v>624</v>
      </c>
      <c r="D38" s="343" t="s">
        <v>849</v>
      </c>
      <c r="E38" s="343" t="s">
        <v>644</v>
      </c>
      <c r="F38" t="s">
        <v>637</v>
      </c>
      <c r="G38" t="s">
        <v>627</v>
      </c>
      <c r="H38" s="456">
        <v>133.39074097282469</v>
      </c>
    </row>
    <row r="39" spans="1:8" ht="26.4">
      <c r="A39" t="s">
        <v>349</v>
      </c>
      <c r="B39" s="454" t="s">
        <v>1024</v>
      </c>
      <c r="C39" s="343" t="s">
        <v>624</v>
      </c>
      <c r="D39" s="343" t="s">
        <v>849</v>
      </c>
      <c r="E39" s="343" t="s">
        <v>644</v>
      </c>
      <c r="F39" t="s">
        <v>637</v>
      </c>
      <c r="G39" t="s">
        <v>628</v>
      </c>
      <c r="H39" s="456">
        <v>517.46408136009586</v>
      </c>
    </row>
    <row r="40" spans="1:8" ht="26.4">
      <c r="A40" t="s">
        <v>350</v>
      </c>
      <c r="B40" s="454" t="s">
        <v>1025</v>
      </c>
      <c r="C40" s="343" t="s">
        <v>624</v>
      </c>
      <c r="D40" s="343" t="s">
        <v>849</v>
      </c>
      <c r="E40" s="343" t="s">
        <v>644</v>
      </c>
      <c r="F40" t="s">
        <v>645</v>
      </c>
      <c r="G40" t="s">
        <v>627</v>
      </c>
      <c r="H40" s="456">
        <v>133.39074097282469</v>
      </c>
    </row>
    <row r="41" spans="1:8" ht="26.4">
      <c r="A41" t="s">
        <v>351</v>
      </c>
      <c r="B41" s="454" t="s">
        <v>1026</v>
      </c>
      <c r="C41" s="343" t="s">
        <v>624</v>
      </c>
      <c r="D41" s="343" t="s">
        <v>849</v>
      </c>
      <c r="E41" s="343" t="s">
        <v>644</v>
      </c>
      <c r="F41" t="s">
        <v>638</v>
      </c>
      <c r="G41" t="s">
        <v>627</v>
      </c>
      <c r="H41" s="456">
        <v>202.94377450168764</v>
      </c>
    </row>
    <row r="42" spans="1:8" ht="26.4">
      <c r="A42" t="s">
        <v>352</v>
      </c>
      <c r="B42" s="454" t="s">
        <v>1027</v>
      </c>
      <c r="C42" s="343" t="s">
        <v>624</v>
      </c>
      <c r="D42" s="343" t="s">
        <v>849</v>
      </c>
      <c r="E42" s="343" t="s">
        <v>644</v>
      </c>
      <c r="F42" t="s">
        <v>638</v>
      </c>
      <c r="G42" t="s">
        <v>628</v>
      </c>
      <c r="H42" s="456">
        <v>787.28188384275381</v>
      </c>
    </row>
    <row r="43" spans="1:8" ht="26.4">
      <c r="A43" t="s">
        <v>353</v>
      </c>
      <c r="B43" s="454" t="s">
        <v>1028</v>
      </c>
      <c r="C43" s="343" t="s">
        <v>624</v>
      </c>
      <c r="D43" s="343" t="s">
        <v>849</v>
      </c>
      <c r="E43" s="343" t="s">
        <v>646</v>
      </c>
      <c r="F43" t="s">
        <v>626</v>
      </c>
      <c r="G43" t="s">
        <v>627</v>
      </c>
      <c r="H43" s="456">
        <v>145.20976968655236</v>
      </c>
    </row>
    <row r="44" spans="1:8" ht="26.4">
      <c r="A44" t="s">
        <v>354</v>
      </c>
      <c r="B44" s="454" t="s">
        <v>1029</v>
      </c>
      <c r="C44" s="343" t="s">
        <v>624</v>
      </c>
      <c r="D44" s="343" t="s">
        <v>849</v>
      </c>
      <c r="E44" s="343" t="s">
        <v>646</v>
      </c>
      <c r="F44" t="s">
        <v>626</v>
      </c>
      <c r="G44" t="s">
        <v>628</v>
      </c>
      <c r="H44" s="456">
        <v>437.37882435708542</v>
      </c>
    </row>
    <row r="45" spans="1:8" ht="26.4">
      <c r="A45" t="s">
        <v>355</v>
      </c>
      <c r="B45" s="454" t="s">
        <v>1030</v>
      </c>
      <c r="C45" s="343" t="s">
        <v>624</v>
      </c>
      <c r="D45" s="343" t="s">
        <v>849</v>
      </c>
      <c r="E45" s="343" t="s">
        <v>646</v>
      </c>
      <c r="F45" t="s">
        <v>630</v>
      </c>
      <c r="G45" t="s">
        <v>627</v>
      </c>
      <c r="H45" s="456">
        <v>188.94765212226091</v>
      </c>
    </row>
    <row r="46" spans="1:8" ht="26.4">
      <c r="A46" t="s">
        <v>356</v>
      </c>
      <c r="B46" s="454" t="s">
        <v>1031</v>
      </c>
      <c r="C46" s="343" t="s">
        <v>624</v>
      </c>
      <c r="D46" s="343" t="s">
        <v>849</v>
      </c>
      <c r="E46" s="343" t="s">
        <v>646</v>
      </c>
      <c r="F46" t="s">
        <v>630</v>
      </c>
      <c r="G46" t="s">
        <v>628</v>
      </c>
      <c r="H46" s="456">
        <v>481.11670679279393</v>
      </c>
    </row>
    <row r="47" spans="1:8" ht="26.4">
      <c r="A47" t="s">
        <v>357</v>
      </c>
      <c r="B47" s="454" t="s">
        <v>1032</v>
      </c>
      <c r="C47" s="343" t="s">
        <v>624</v>
      </c>
      <c r="D47" s="343" t="s">
        <v>849</v>
      </c>
      <c r="E47" s="343" t="s">
        <v>646</v>
      </c>
      <c r="F47" t="s">
        <v>629</v>
      </c>
      <c r="G47" t="s">
        <v>627</v>
      </c>
      <c r="H47" s="456">
        <v>190.88675001283536</v>
      </c>
    </row>
    <row r="48" spans="1:8" ht="26.4">
      <c r="A48" t="s">
        <v>358</v>
      </c>
      <c r="B48" s="454" t="s">
        <v>1033</v>
      </c>
      <c r="C48" s="343" t="s">
        <v>624</v>
      </c>
      <c r="D48" s="343" t="s">
        <v>849</v>
      </c>
      <c r="E48" s="343" t="s">
        <v>646</v>
      </c>
      <c r="F48" t="s">
        <v>629</v>
      </c>
      <c r="G48" t="s">
        <v>628</v>
      </c>
      <c r="H48" s="456">
        <v>574.96009040010654</v>
      </c>
    </row>
    <row r="49" spans="1:8" ht="26.4">
      <c r="A49" t="s">
        <v>359</v>
      </c>
      <c r="B49" s="454" t="s">
        <v>1034</v>
      </c>
      <c r="C49" s="343" t="s">
        <v>624</v>
      </c>
      <c r="D49" s="343" t="s">
        <v>849</v>
      </c>
      <c r="E49" s="343" t="s">
        <v>646</v>
      </c>
      <c r="F49" t="s">
        <v>632</v>
      </c>
      <c r="G49" t="s">
        <v>627</v>
      </c>
      <c r="H49" s="456">
        <v>248.38275905284598</v>
      </c>
    </row>
    <row r="50" spans="1:8" ht="26.4">
      <c r="A50" t="s">
        <v>360</v>
      </c>
      <c r="B50" s="454" t="s">
        <v>1035</v>
      </c>
      <c r="C50" s="343" t="s">
        <v>624</v>
      </c>
      <c r="D50" s="343" t="s">
        <v>849</v>
      </c>
      <c r="E50" s="343" t="s">
        <v>646</v>
      </c>
      <c r="F50" t="s">
        <v>632</v>
      </c>
      <c r="G50" t="s">
        <v>628</v>
      </c>
      <c r="H50" s="456">
        <v>632.4560994401171</v>
      </c>
    </row>
    <row r="51" spans="1:8" ht="26.4">
      <c r="A51" t="s">
        <v>361</v>
      </c>
      <c r="B51" s="454" t="s">
        <v>1036</v>
      </c>
      <c r="C51" s="343" t="s">
        <v>624</v>
      </c>
      <c r="D51" s="343" t="s">
        <v>849</v>
      </c>
      <c r="E51" s="343" t="s">
        <v>646</v>
      </c>
      <c r="F51" t="s">
        <v>642</v>
      </c>
      <c r="G51" t="s">
        <v>627</v>
      </c>
      <c r="H51" s="456">
        <v>190.88675001283536</v>
      </c>
    </row>
    <row r="52" spans="1:8" ht="26.4">
      <c r="A52" t="s">
        <v>362</v>
      </c>
      <c r="B52" s="454" t="s">
        <v>1037</v>
      </c>
      <c r="C52" s="343" t="s">
        <v>624</v>
      </c>
      <c r="D52" s="343" t="s">
        <v>849</v>
      </c>
      <c r="E52" s="343" t="s">
        <v>646</v>
      </c>
      <c r="F52" t="s">
        <v>643</v>
      </c>
      <c r="G52" t="s">
        <v>627</v>
      </c>
      <c r="H52" s="456">
        <v>248.38275905284598</v>
      </c>
    </row>
    <row r="53" spans="1:8" ht="39.6">
      <c r="A53" t="s">
        <v>363</v>
      </c>
      <c r="B53" s="454" t="s">
        <v>1038</v>
      </c>
      <c r="C53" s="343" t="s">
        <v>624</v>
      </c>
      <c r="D53" s="343" t="s">
        <v>849</v>
      </c>
      <c r="E53" s="343" t="s">
        <v>647</v>
      </c>
      <c r="F53" t="s">
        <v>626</v>
      </c>
      <c r="G53" t="s">
        <v>627</v>
      </c>
      <c r="H53" s="456">
        <v>145.20976968655236</v>
      </c>
    </row>
    <row r="54" spans="1:8" ht="39.6">
      <c r="A54" t="s">
        <v>364</v>
      </c>
      <c r="B54" s="454" t="s">
        <v>1039</v>
      </c>
      <c r="C54" s="343" t="s">
        <v>624</v>
      </c>
      <c r="D54" s="343" t="s">
        <v>849</v>
      </c>
      <c r="E54" s="343" t="s">
        <v>647</v>
      </c>
      <c r="F54" t="s">
        <v>626</v>
      </c>
      <c r="G54" t="s">
        <v>628</v>
      </c>
      <c r="H54" s="456">
        <v>437.37882435708542</v>
      </c>
    </row>
    <row r="55" spans="1:8" ht="39.6">
      <c r="A55" t="s">
        <v>365</v>
      </c>
      <c r="B55" s="454" t="s">
        <v>1040</v>
      </c>
      <c r="C55" s="343" t="s">
        <v>624</v>
      </c>
      <c r="D55" s="343" t="s">
        <v>849</v>
      </c>
      <c r="E55" s="343" t="s">
        <v>647</v>
      </c>
      <c r="F55" t="s">
        <v>629</v>
      </c>
      <c r="G55" t="s">
        <v>627</v>
      </c>
      <c r="H55" s="456">
        <v>190.88675001283536</v>
      </c>
    </row>
    <row r="56" spans="1:8" ht="39.6">
      <c r="A56" t="s">
        <v>366</v>
      </c>
      <c r="B56" s="454" t="s">
        <v>1041</v>
      </c>
      <c r="C56" s="343" t="s">
        <v>624</v>
      </c>
      <c r="D56" s="343" t="s">
        <v>849</v>
      </c>
      <c r="E56" s="343" t="s">
        <v>647</v>
      </c>
      <c r="F56" t="s">
        <v>629</v>
      </c>
      <c r="G56" t="s">
        <v>628</v>
      </c>
      <c r="H56" s="456">
        <v>574.96009040010654</v>
      </c>
    </row>
    <row r="57" spans="1:8" ht="39.6">
      <c r="A57" t="s">
        <v>367</v>
      </c>
      <c r="B57" s="454" t="s">
        <v>1042</v>
      </c>
      <c r="C57" s="343" t="s">
        <v>624</v>
      </c>
      <c r="D57" s="343" t="s">
        <v>849</v>
      </c>
      <c r="E57" s="343" t="s">
        <v>647</v>
      </c>
      <c r="F57" t="s">
        <v>642</v>
      </c>
      <c r="G57" t="s">
        <v>627</v>
      </c>
      <c r="H57" s="456">
        <v>190.88675001283536</v>
      </c>
    </row>
    <row r="58" spans="1:8" ht="39.6">
      <c r="A58" t="s">
        <v>368</v>
      </c>
      <c r="B58" s="454" t="s">
        <v>1043</v>
      </c>
      <c r="C58" s="343" t="s">
        <v>624</v>
      </c>
      <c r="D58" s="343" t="s">
        <v>849</v>
      </c>
      <c r="E58" s="343" t="s">
        <v>647</v>
      </c>
      <c r="F58" t="s">
        <v>630</v>
      </c>
      <c r="G58" t="s">
        <v>627</v>
      </c>
      <c r="H58" s="456">
        <v>188.94765212226091</v>
      </c>
    </row>
    <row r="59" spans="1:8" ht="39.6">
      <c r="A59" t="s">
        <v>369</v>
      </c>
      <c r="B59" s="454" t="s">
        <v>1044</v>
      </c>
      <c r="C59" s="343" t="s">
        <v>624</v>
      </c>
      <c r="D59" s="343" t="s">
        <v>849</v>
      </c>
      <c r="E59" s="343" t="s">
        <v>647</v>
      </c>
      <c r="F59" t="s">
        <v>630</v>
      </c>
      <c r="G59" t="s">
        <v>628</v>
      </c>
      <c r="H59" s="456">
        <v>481.11670679279393</v>
      </c>
    </row>
    <row r="60" spans="1:8" ht="39.6">
      <c r="A60" t="s">
        <v>370</v>
      </c>
      <c r="B60" s="454" t="s">
        <v>1045</v>
      </c>
      <c r="C60" s="343" t="s">
        <v>624</v>
      </c>
      <c r="D60" s="343" t="s">
        <v>849</v>
      </c>
      <c r="E60" s="343" t="s">
        <v>647</v>
      </c>
      <c r="F60" t="s">
        <v>632</v>
      </c>
      <c r="G60" t="s">
        <v>627</v>
      </c>
      <c r="H60" s="456">
        <v>248.38275905284598</v>
      </c>
    </row>
    <row r="61" spans="1:8" ht="39.6">
      <c r="A61" t="s">
        <v>371</v>
      </c>
      <c r="B61" s="454" t="s">
        <v>1046</v>
      </c>
      <c r="C61" s="343" t="s">
        <v>624</v>
      </c>
      <c r="D61" s="343" t="s">
        <v>849</v>
      </c>
      <c r="E61" s="343" t="s">
        <v>647</v>
      </c>
      <c r="F61" t="s">
        <v>632</v>
      </c>
      <c r="G61" t="s">
        <v>628</v>
      </c>
      <c r="H61" s="456">
        <v>632.4560994401171</v>
      </c>
    </row>
    <row r="62" spans="1:8" ht="39.6">
      <c r="A62" t="s">
        <v>372</v>
      </c>
      <c r="B62" s="454" t="s">
        <v>1047</v>
      </c>
      <c r="C62" s="343" t="s">
        <v>624</v>
      </c>
      <c r="D62" s="343" t="s">
        <v>849</v>
      </c>
      <c r="E62" s="343" t="s">
        <v>647</v>
      </c>
      <c r="F62" t="s">
        <v>643</v>
      </c>
      <c r="G62" t="s">
        <v>627</v>
      </c>
      <c r="H62" s="456">
        <v>248.38275905284598</v>
      </c>
    </row>
    <row r="63" spans="1:8" ht="26.4">
      <c r="A63" t="s">
        <v>373</v>
      </c>
      <c r="B63" s="454" t="s">
        <v>1048</v>
      </c>
      <c r="C63" s="343" t="s">
        <v>624</v>
      </c>
      <c r="D63" s="343" t="s">
        <v>849</v>
      </c>
      <c r="E63" s="343" t="s">
        <v>648</v>
      </c>
      <c r="F63" t="s">
        <v>636</v>
      </c>
      <c r="G63" t="s">
        <v>110</v>
      </c>
      <c r="H63" s="456">
        <v>94.748453049168077</v>
      </c>
    </row>
    <row r="64" spans="1:8" ht="26.4">
      <c r="A64" t="s">
        <v>374</v>
      </c>
      <c r="B64" s="454" t="s">
        <v>1049</v>
      </c>
      <c r="C64" s="343" t="s">
        <v>624</v>
      </c>
      <c r="D64" s="343" t="s">
        <v>849</v>
      </c>
      <c r="E64" s="343" t="s">
        <v>648</v>
      </c>
      <c r="F64" t="s">
        <v>637</v>
      </c>
      <c r="G64" t="s">
        <v>110</v>
      </c>
      <c r="H64" s="456">
        <v>119.28708134847214</v>
      </c>
    </row>
    <row r="65" spans="1:8" ht="26.4">
      <c r="A65" t="s">
        <v>375</v>
      </c>
      <c r="B65" s="454" t="s">
        <v>1050</v>
      </c>
      <c r="C65" s="343" t="s">
        <v>624</v>
      </c>
      <c r="D65" s="343" t="s">
        <v>849</v>
      </c>
      <c r="E65" s="343" t="s">
        <v>648</v>
      </c>
      <c r="F65" t="s">
        <v>645</v>
      </c>
      <c r="G65" t="s">
        <v>110</v>
      </c>
      <c r="H65" s="456">
        <v>119.28708134847214</v>
      </c>
    </row>
    <row r="66" spans="1:8" ht="26.4">
      <c r="A66" t="s">
        <v>376</v>
      </c>
      <c r="B66" s="454" t="s">
        <v>1051</v>
      </c>
      <c r="C66" s="343" t="s">
        <v>624</v>
      </c>
      <c r="D66" s="343" t="s">
        <v>849</v>
      </c>
      <c r="E66" s="343" t="s">
        <v>649</v>
      </c>
      <c r="F66" t="s">
        <v>636</v>
      </c>
      <c r="G66" t="s">
        <v>110</v>
      </c>
      <c r="H66" s="456">
        <v>94.748453049168077</v>
      </c>
    </row>
    <row r="67" spans="1:8" ht="26.4">
      <c r="A67" t="s">
        <v>377</v>
      </c>
      <c r="B67" s="454" t="s">
        <v>1052</v>
      </c>
      <c r="C67" s="343" t="s">
        <v>624</v>
      </c>
      <c r="D67" s="343" t="s">
        <v>849</v>
      </c>
      <c r="E67" s="343" t="s">
        <v>649</v>
      </c>
      <c r="F67" t="s">
        <v>637</v>
      </c>
      <c r="G67" t="s">
        <v>110</v>
      </c>
      <c r="H67" s="456">
        <v>119.28708134847214</v>
      </c>
    </row>
    <row r="68" spans="1:8" ht="26.4">
      <c r="A68" t="s">
        <v>378</v>
      </c>
      <c r="B68" s="454" t="s">
        <v>1053</v>
      </c>
      <c r="C68" s="343" t="s">
        <v>624</v>
      </c>
      <c r="D68" s="343" t="s">
        <v>849</v>
      </c>
      <c r="E68" s="343" t="s">
        <v>649</v>
      </c>
      <c r="F68" t="s">
        <v>645</v>
      </c>
      <c r="G68" t="s">
        <v>110</v>
      </c>
      <c r="H68" s="456">
        <v>119.28708134847214</v>
      </c>
    </row>
    <row r="69" spans="1:8" ht="66">
      <c r="A69" t="s">
        <v>379</v>
      </c>
      <c r="B69" s="454" t="s">
        <v>1054</v>
      </c>
      <c r="C69" s="343" t="s">
        <v>624</v>
      </c>
      <c r="D69" s="343" t="s">
        <v>850</v>
      </c>
      <c r="E69" s="343" t="s">
        <v>650</v>
      </c>
      <c r="F69" t="s">
        <v>651</v>
      </c>
      <c r="G69" t="s">
        <v>627</v>
      </c>
      <c r="H69" s="456">
        <v>349.90305948566834</v>
      </c>
    </row>
    <row r="70" spans="1:8" ht="66">
      <c r="A70" t="s">
        <v>380</v>
      </c>
      <c r="B70" s="454" t="s">
        <v>1055</v>
      </c>
      <c r="C70" s="343" t="s">
        <v>624</v>
      </c>
      <c r="D70" s="343" t="s">
        <v>850</v>
      </c>
      <c r="E70" s="343" t="s">
        <v>650</v>
      </c>
      <c r="F70" t="s">
        <v>651</v>
      </c>
      <c r="G70" t="s">
        <v>628</v>
      </c>
      <c r="H70" s="456">
        <v>934.24116882673445</v>
      </c>
    </row>
    <row r="71" spans="1:8" ht="66">
      <c r="A71" t="s">
        <v>381</v>
      </c>
      <c r="B71" s="454" t="s">
        <v>1056</v>
      </c>
      <c r="C71" s="343" t="s">
        <v>624</v>
      </c>
      <c r="D71" s="343" t="s">
        <v>850</v>
      </c>
      <c r="E71" s="343" t="s">
        <v>650</v>
      </c>
      <c r="F71" t="s">
        <v>652</v>
      </c>
      <c r="G71" t="s">
        <v>627</v>
      </c>
      <c r="H71" s="456">
        <v>459.96807232008518</v>
      </c>
    </row>
    <row r="72" spans="1:8" ht="66">
      <c r="A72" t="s">
        <v>382</v>
      </c>
      <c r="B72" s="454" t="s">
        <v>1057</v>
      </c>
      <c r="C72" s="343" t="s">
        <v>624</v>
      </c>
      <c r="D72" s="343" t="s">
        <v>850</v>
      </c>
      <c r="E72" s="343" t="s">
        <v>650</v>
      </c>
      <c r="F72" t="s">
        <v>652</v>
      </c>
      <c r="G72" t="s">
        <v>628</v>
      </c>
      <c r="H72" s="456">
        <v>1228.1147530946275</v>
      </c>
    </row>
    <row r="73" spans="1:8" ht="66">
      <c r="A73" t="s">
        <v>383</v>
      </c>
      <c r="B73" s="454" t="s">
        <v>1058</v>
      </c>
      <c r="C73" s="343" t="s">
        <v>624</v>
      </c>
      <c r="D73" s="343" t="s">
        <v>850</v>
      </c>
      <c r="E73" s="343" t="s">
        <v>653</v>
      </c>
      <c r="F73" t="s">
        <v>654</v>
      </c>
      <c r="G73" t="s">
        <v>627</v>
      </c>
      <c r="H73" s="456">
        <v>815.27412860160723</v>
      </c>
    </row>
    <row r="74" spans="1:8" ht="66">
      <c r="A74" t="s">
        <v>384</v>
      </c>
      <c r="B74" s="454" t="s">
        <v>1059</v>
      </c>
      <c r="C74" s="343" t="s">
        <v>624</v>
      </c>
      <c r="D74" s="343" t="s">
        <v>850</v>
      </c>
      <c r="E74" s="343" t="s">
        <v>653</v>
      </c>
      <c r="F74" t="s">
        <v>654</v>
      </c>
      <c r="G74" t="s">
        <v>628</v>
      </c>
      <c r="H74" s="456">
        <v>1399.6122379426733</v>
      </c>
    </row>
    <row r="75" spans="1:8" ht="66">
      <c r="A75" t="s">
        <v>385</v>
      </c>
      <c r="B75" s="454" t="s">
        <v>1060</v>
      </c>
      <c r="C75" s="343" t="s">
        <v>624</v>
      </c>
      <c r="D75" s="343" t="s">
        <v>850</v>
      </c>
      <c r="E75" s="343" t="s">
        <v>653</v>
      </c>
      <c r="F75" t="s">
        <v>655</v>
      </c>
      <c r="G75" t="s">
        <v>627</v>
      </c>
      <c r="H75" s="456">
        <v>990.22565834444151</v>
      </c>
    </row>
    <row r="76" spans="1:8" ht="66">
      <c r="A76" t="s">
        <v>386</v>
      </c>
      <c r="B76" s="454" t="s">
        <v>1061</v>
      </c>
      <c r="C76" s="343" t="s">
        <v>624</v>
      </c>
      <c r="D76" s="343" t="s">
        <v>850</v>
      </c>
      <c r="E76" s="343" t="s">
        <v>653</v>
      </c>
      <c r="F76" t="s">
        <v>655</v>
      </c>
      <c r="G76" t="s">
        <v>628</v>
      </c>
      <c r="H76" s="456">
        <v>1574.5637676855076</v>
      </c>
    </row>
    <row r="77" spans="1:8" ht="66">
      <c r="A77" t="s">
        <v>387</v>
      </c>
      <c r="B77" s="454" t="s">
        <v>1062</v>
      </c>
      <c r="C77" s="343" t="s">
        <v>624</v>
      </c>
      <c r="D77" s="343" t="s">
        <v>850</v>
      </c>
      <c r="E77" s="343" t="s">
        <v>653</v>
      </c>
      <c r="F77" t="s">
        <v>656</v>
      </c>
      <c r="G77" t="s">
        <v>627</v>
      </c>
      <c r="H77" s="456">
        <v>1613.1631310295134</v>
      </c>
    </row>
    <row r="78" spans="1:8" ht="66">
      <c r="A78" t="s">
        <v>388</v>
      </c>
      <c r="B78" s="454" t="s">
        <v>1063</v>
      </c>
      <c r="C78" s="343" t="s">
        <v>624</v>
      </c>
      <c r="D78" s="343" t="s">
        <v>850</v>
      </c>
      <c r="E78" s="343" t="s">
        <v>653</v>
      </c>
      <c r="F78" t="s">
        <v>656</v>
      </c>
      <c r="G78" t="s">
        <v>628</v>
      </c>
      <c r="H78" s="456">
        <v>2197.5012403705796</v>
      </c>
    </row>
    <row r="79" spans="1:8" ht="66">
      <c r="A79" t="s">
        <v>389</v>
      </c>
      <c r="B79" s="454" t="s">
        <v>1064</v>
      </c>
      <c r="C79" s="343" t="s">
        <v>624</v>
      </c>
      <c r="D79" s="343" t="s">
        <v>850</v>
      </c>
      <c r="E79" s="343" t="s">
        <v>653</v>
      </c>
      <c r="F79" t="s">
        <v>657</v>
      </c>
      <c r="G79" t="s">
        <v>627</v>
      </c>
      <c r="H79" s="456">
        <v>1788.1146607723476</v>
      </c>
    </row>
    <row r="80" spans="1:8" ht="66">
      <c r="A80" t="s">
        <v>390</v>
      </c>
      <c r="B80" s="454" t="s">
        <v>1065</v>
      </c>
      <c r="C80" s="343" t="s">
        <v>624</v>
      </c>
      <c r="D80" s="343" t="s">
        <v>850</v>
      </c>
      <c r="E80" s="343" t="s">
        <v>653</v>
      </c>
      <c r="F80" t="s">
        <v>657</v>
      </c>
      <c r="G80" t="s">
        <v>628</v>
      </c>
      <c r="H80" s="456">
        <v>2372.4527701134139</v>
      </c>
    </row>
    <row r="81" spans="1:8" ht="66">
      <c r="A81" t="s">
        <v>391</v>
      </c>
      <c r="B81" s="454" t="s">
        <v>1066</v>
      </c>
      <c r="C81" s="343" t="s">
        <v>624</v>
      </c>
      <c r="D81" s="343" t="s">
        <v>850</v>
      </c>
      <c r="E81" s="343" t="s">
        <v>653</v>
      </c>
      <c r="F81" t="s">
        <v>658</v>
      </c>
      <c r="G81" t="s">
        <v>627</v>
      </c>
      <c r="H81" s="456">
        <v>1071.7256085057984</v>
      </c>
    </row>
    <row r="82" spans="1:8" ht="66">
      <c r="A82" t="s">
        <v>392</v>
      </c>
      <c r="B82" s="454" t="s">
        <v>1067</v>
      </c>
      <c r="C82" s="343" t="s">
        <v>624</v>
      </c>
      <c r="D82" s="343" t="s">
        <v>850</v>
      </c>
      <c r="E82" s="343" t="s">
        <v>653</v>
      </c>
      <c r="F82" t="s">
        <v>658</v>
      </c>
      <c r="G82" t="s">
        <v>628</v>
      </c>
      <c r="H82" s="456">
        <v>1839.8722892803407</v>
      </c>
    </row>
    <row r="83" spans="1:8" ht="66">
      <c r="A83" t="s">
        <v>393</v>
      </c>
      <c r="B83" s="454" t="s">
        <v>1068</v>
      </c>
      <c r="C83" s="343" t="s">
        <v>624</v>
      </c>
      <c r="D83" s="343" t="s">
        <v>850</v>
      </c>
      <c r="E83" s="343" t="s">
        <v>653</v>
      </c>
      <c r="F83" t="s">
        <v>659</v>
      </c>
      <c r="G83" t="s">
        <v>627</v>
      </c>
      <c r="H83" s="456">
        <v>1301.7096446658411</v>
      </c>
    </row>
    <row r="84" spans="1:8" ht="66">
      <c r="A84" t="s">
        <v>394</v>
      </c>
      <c r="B84" s="454" t="s">
        <v>1069</v>
      </c>
      <c r="C84" s="343" t="s">
        <v>624</v>
      </c>
      <c r="D84" s="343" t="s">
        <v>850</v>
      </c>
      <c r="E84" s="343" t="s">
        <v>653</v>
      </c>
      <c r="F84" t="s">
        <v>659</v>
      </c>
      <c r="G84" t="s">
        <v>628</v>
      </c>
      <c r="H84" s="456">
        <v>2069.8563254403834</v>
      </c>
    </row>
    <row r="85" spans="1:8" ht="66">
      <c r="A85" t="s">
        <v>395</v>
      </c>
      <c r="B85" s="454" t="s">
        <v>1070</v>
      </c>
      <c r="C85" s="343" t="s">
        <v>624</v>
      </c>
      <c r="D85" s="343" t="s">
        <v>850</v>
      </c>
      <c r="E85" s="343" t="s">
        <v>653</v>
      </c>
      <c r="F85" t="s">
        <v>660</v>
      </c>
      <c r="G85" t="s">
        <v>627</v>
      </c>
      <c r="H85" s="456">
        <v>1869.6146109337046</v>
      </c>
    </row>
    <row r="86" spans="1:8" ht="66">
      <c r="A86" t="s">
        <v>396</v>
      </c>
      <c r="B86" s="454" t="s">
        <v>1071</v>
      </c>
      <c r="C86" s="343" t="s">
        <v>624</v>
      </c>
      <c r="D86" s="343" t="s">
        <v>850</v>
      </c>
      <c r="E86" s="343" t="s">
        <v>653</v>
      </c>
      <c r="F86" t="s">
        <v>660</v>
      </c>
      <c r="G86" t="s">
        <v>628</v>
      </c>
      <c r="H86" s="456">
        <v>2637.761291708247</v>
      </c>
    </row>
    <row r="87" spans="1:8" ht="66">
      <c r="A87" t="s">
        <v>397</v>
      </c>
      <c r="B87" s="454" t="s">
        <v>1072</v>
      </c>
      <c r="C87" s="343" t="s">
        <v>624</v>
      </c>
      <c r="D87" s="343" t="s">
        <v>850</v>
      </c>
      <c r="E87" s="343" t="s">
        <v>653</v>
      </c>
      <c r="F87" t="s">
        <v>661</v>
      </c>
      <c r="G87" t="s">
        <v>627</v>
      </c>
      <c r="H87" s="456">
        <v>2099.5986470937473</v>
      </c>
    </row>
    <row r="88" spans="1:8" ht="66">
      <c r="A88" t="s">
        <v>398</v>
      </c>
      <c r="B88" s="454" t="s">
        <v>1073</v>
      </c>
      <c r="C88" s="343" t="s">
        <v>624</v>
      </c>
      <c r="D88" s="343" t="s">
        <v>850</v>
      </c>
      <c r="E88" s="343" t="s">
        <v>653</v>
      </c>
      <c r="F88" t="s">
        <v>661</v>
      </c>
      <c r="G88" t="s">
        <v>628</v>
      </c>
      <c r="H88" s="456">
        <v>2867.7453278682897</v>
      </c>
    </row>
    <row r="89" spans="1:8" ht="52.8">
      <c r="A89" t="s">
        <v>399</v>
      </c>
      <c r="B89" s="454" t="s">
        <v>1074</v>
      </c>
      <c r="C89" s="343" t="s">
        <v>624</v>
      </c>
      <c r="D89" s="343" t="s">
        <v>851</v>
      </c>
      <c r="E89" s="343" t="s">
        <v>662</v>
      </c>
      <c r="F89" t="s">
        <v>636</v>
      </c>
      <c r="G89" t="s">
        <v>110</v>
      </c>
      <c r="H89" s="456">
        <v>174.95152974283417</v>
      </c>
    </row>
    <row r="90" spans="1:8" ht="26.4">
      <c r="A90" t="s">
        <v>400</v>
      </c>
      <c r="B90" s="454" t="s">
        <v>1075</v>
      </c>
      <c r="C90" s="343" t="s">
        <v>624</v>
      </c>
      <c r="D90" s="343" t="s">
        <v>851</v>
      </c>
      <c r="E90" s="343" t="s">
        <v>663</v>
      </c>
      <c r="F90" t="s">
        <v>626</v>
      </c>
      <c r="G90" t="s">
        <v>627</v>
      </c>
      <c r="H90" s="456">
        <v>990.22565834444151</v>
      </c>
    </row>
    <row r="91" spans="1:8" ht="26.4">
      <c r="A91" t="s">
        <v>401</v>
      </c>
      <c r="B91" s="454" t="s">
        <v>1076</v>
      </c>
      <c r="C91" s="343" t="s">
        <v>624</v>
      </c>
      <c r="D91" s="343" t="s">
        <v>851</v>
      </c>
      <c r="E91" s="343" t="s">
        <v>663</v>
      </c>
      <c r="F91" t="s">
        <v>626</v>
      </c>
      <c r="G91" t="s">
        <v>628</v>
      </c>
      <c r="H91" s="456">
        <v>1574.5637676855076</v>
      </c>
    </row>
    <row r="92" spans="1:8" ht="26.4">
      <c r="A92" t="s">
        <v>402</v>
      </c>
      <c r="B92" s="454" t="s">
        <v>1077</v>
      </c>
      <c r="C92" s="343" t="s">
        <v>624</v>
      </c>
      <c r="D92" s="343" t="s">
        <v>851</v>
      </c>
      <c r="E92" s="343" t="s">
        <v>663</v>
      </c>
      <c r="F92" t="s">
        <v>629</v>
      </c>
      <c r="G92" t="s">
        <v>627</v>
      </c>
      <c r="H92" s="456">
        <v>1301.7096446658411</v>
      </c>
    </row>
    <row r="93" spans="1:8" ht="26.4">
      <c r="A93" t="s">
        <v>403</v>
      </c>
      <c r="B93" s="454" t="s">
        <v>1078</v>
      </c>
      <c r="C93" s="343" t="s">
        <v>624</v>
      </c>
      <c r="D93" s="343" t="s">
        <v>851</v>
      </c>
      <c r="E93" s="343" t="s">
        <v>663</v>
      </c>
      <c r="F93" t="s">
        <v>629</v>
      </c>
      <c r="G93" t="s">
        <v>628</v>
      </c>
      <c r="H93" s="456">
        <v>2069.8563254403834</v>
      </c>
    </row>
    <row r="94" spans="1:8" ht="26.4">
      <c r="A94" t="s">
        <v>404</v>
      </c>
      <c r="B94" s="454" t="s">
        <v>1079</v>
      </c>
      <c r="C94" s="343" t="s">
        <v>624</v>
      </c>
      <c r="D94" s="343" t="s">
        <v>851</v>
      </c>
      <c r="E94" s="343" t="s">
        <v>663</v>
      </c>
      <c r="F94" t="s">
        <v>630</v>
      </c>
      <c r="G94" t="s">
        <v>627</v>
      </c>
      <c r="H94" s="456">
        <v>1690.0317773157778</v>
      </c>
    </row>
    <row r="95" spans="1:8" ht="26.4">
      <c r="A95" t="s">
        <v>405</v>
      </c>
      <c r="B95" s="454" t="s">
        <v>1080</v>
      </c>
      <c r="C95" s="343" t="s">
        <v>624</v>
      </c>
      <c r="D95" s="343" t="s">
        <v>851</v>
      </c>
      <c r="E95" s="343" t="s">
        <v>663</v>
      </c>
      <c r="F95" t="s">
        <v>630</v>
      </c>
      <c r="G95" t="s">
        <v>628</v>
      </c>
      <c r="H95" s="456">
        <v>2274.3698866568438</v>
      </c>
    </row>
    <row r="96" spans="1:8" ht="26.4">
      <c r="A96" t="s">
        <v>406</v>
      </c>
      <c r="B96" s="454" t="s">
        <v>1081</v>
      </c>
      <c r="C96" s="343" t="s">
        <v>624</v>
      </c>
      <c r="D96" s="343" t="s">
        <v>851</v>
      </c>
      <c r="E96" s="343" t="s">
        <v>663</v>
      </c>
      <c r="F96" t="s">
        <v>632</v>
      </c>
      <c r="G96" t="s">
        <v>627</v>
      </c>
      <c r="H96" s="456">
        <v>2221.6457893060115</v>
      </c>
    </row>
    <row r="97" spans="1:8" ht="26.4">
      <c r="A97" t="s">
        <v>407</v>
      </c>
      <c r="B97" s="454" t="s">
        <v>1082</v>
      </c>
      <c r="C97" s="343" t="s">
        <v>624</v>
      </c>
      <c r="D97" s="343" t="s">
        <v>851</v>
      </c>
      <c r="E97" s="343" t="s">
        <v>663</v>
      </c>
      <c r="F97" t="s">
        <v>632</v>
      </c>
      <c r="G97" t="s">
        <v>628</v>
      </c>
      <c r="H97" s="456">
        <v>2989.7924700805538</v>
      </c>
    </row>
    <row r="98" spans="1:8" ht="52.8">
      <c r="A98" t="s">
        <v>408</v>
      </c>
      <c r="B98" s="454" t="s">
        <v>1083</v>
      </c>
      <c r="C98" s="343" t="s">
        <v>624</v>
      </c>
      <c r="D98" s="343" t="s">
        <v>852</v>
      </c>
      <c r="E98" s="343" t="s">
        <v>664</v>
      </c>
      <c r="F98" t="s">
        <v>665</v>
      </c>
      <c r="G98" t="s">
        <v>627</v>
      </c>
      <c r="H98" s="456">
        <v>465.37106911593889</v>
      </c>
    </row>
    <row r="99" spans="1:8" ht="52.8">
      <c r="A99" t="s">
        <v>409</v>
      </c>
      <c r="B99" s="454" t="s">
        <v>1084</v>
      </c>
      <c r="C99" s="343" t="s">
        <v>624</v>
      </c>
      <c r="D99" s="343" t="s">
        <v>852</v>
      </c>
      <c r="E99" s="343" t="s">
        <v>664</v>
      </c>
      <c r="F99" t="s">
        <v>665</v>
      </c>
      <c r="G99" t="s">
        <v>628</v>
      </c>
      <c r="H99" s="456">
        <v>1049.709178457005</v>
      </c>
    </row>
    <row r="100" spans="1:8" ht="52.8">
      <c r="A100" t="s">
        <v>410</v>
      </c>
      <c r="B100" s="454" t="s">
        <v>1085</v>
      </c>
      <c r="C100" s="343" t="s">
        <v>624</v>
      </c>
      <c r="D100" s="343" t="s">
        <v>852</v>
      </c>
      <c r="E100" s="343" t="s">
        <v>664</v>
      </c>
      <c r="F100" t="s">
        <v>666</v>
      </c>
      <c r="G100" t="s">
        <v>627</v>
      </c>
      <c r="H100" s="456">
        <v>1263.2600715438452</v>
      </c>
    </row>
    <row r="101" spans="1:8" ht="52.8">
      <c r="A101" t="s">
        <v>411</v>
      </c>
      <c r="B101" s="454" t="s">
        <v>1086</v>
      </c>
      <c r="C101" s="343" t="s">
        <v>624</v>
      </c>
      <c r="D101" s="343" t="s">
        <v>852</v>
      </c>
      <c r="E101" s="343" t="s">
        <v>664</v>
      </c>
      <c r="F101" t="s">
        <v>666</v>
      </c>
      <c r="G101" t="s">
        <v>628</v>
      </c>
      <c r="H101" s="456">
        <v>1847.5981808849112</v>
      </c>
    </row>
    <row r="102" spans="1:8" ht="52.8">
      <c r="A102" t="s">
        <v>412</v>
      </c>
      <c r="B102" s="454" t="s">
        <v>1087</v>
      </c>
      <c r="C102" s="343" t="s">
        <v>624</v>
      </c>
      <c r="D102" s="343" t="s">
        <v>852</v>
      </c>
      <c r="E102" s="343" t="s">
        <v>664</v>
      </c>
      <c r="F102" t="s">
        <v>667</v>
      </c>
      <c r="G102" t="s">
        <v>627</v>
      </c>
      <c r="H102" s="456">
        <v>377.89530424452181</v>
      </c>
    </row>
    <row r="103" spans="1:8" ht="52.8">
      <c r="A103" t="s">
        <v>413</v>
      </c>
      <c r="B103" s="454" t="s">
        <v>1088</v>
      </c>
      <c r="C103" s="343" t="s">
        <v>624</v>
      </c>
      <c r="D103" s="343" t="s">
        <v>852</v>
      </c>
      <c r="E103" s="343" t="s">
        <v>664</v>
      </c>
      <c r="F103" t="s">
        <v>667</v>
      </c>
      <c r="G103" t="s">
        <v>628</v>
      </c>
      <c r="H103" s="456">
        <v>962.23341358558787</v>
      </c>
    </row>
    <row r="104" spans="1:8" ht="52.8">
      <c r="A104" t="s">
        <v>414</v>
      </c>
      <c r="B104" s="454" t="s">
        <v>1089</v>
      </c>
      <c r="C104" s="343" t="s">
        <v>624</v>
      </c>
      <c r="D104" s="343" t="s">
        <v>852</v>
      </c>
      <c r="E104" s="343" t="s">
        <v>664</v>
      </c>
      <c r="F104" t="s">
        <v>668</v>
      </c>
      <c r="G104" t="s">
        <v>627</v>
      </c>
      <c r="H104" s="456">
        <v>1175.7843066724281</v>
      </c>
    </row>
    <row r="105" spans="1:8" ht="52.8">
      <c r="A105" t="s">
        <v>415</v>
      </c>
      <c r="B105" s="454" t="s">
        <v>1090</v>
      </c>
      <c r="C105" s="343" t="s">
        <v>624</v>
      </c>
      <c r="D105" s="343" t="s">
        <v>852</v>
      </c>
      <c r="E105" s="343" t="s">
        <v>664</v>
      </c>
      <c r="F105" t="s">
        <v>668</v>
      </c>
      <c r="G105" t="s">
        <v>628</v>
      </c>
      <c r="H105" s="456">
        <v>1760.1224160134941</v>
      </c>
    </row>
    <row r="106" spans="1:8" ht="52.8">
      <c r="A106" t="s">
        <v>416</v>
      </c>
      <c r="B106" s="454" t="s">
        <v>1091</v>
      </c>
      <c r="C106" s="343" t="s">
        <v>624</v>
      </c>
      <c r="D106" s="343" t="s">
        <v>852</v>
      </c>
      <c r="E106" s="343" t="s">
        <v>664</v>
      </c>
      <c r="F106" t="s">
        <v>669</v>
      </c>
      <c r="G106" t="s">
        <v>627</v>
      </c>
      <c r="H106" s="456">
        <v>611.75753618571332</v>
      </c>
    </row>
    <row r="107" spans="1:8" ht="52.8">
      <c r="A107" t="s">
        <v>417</v>
      </c>
      <c r="B107" s="454" t="s">
        <v>1092</v>
      </c>
      <c r="C107" s="343" t="s">
        <v>624</v>
      </c>
      <c r="D107" s="343" t="s">
        <v>852</v>
      </c>
      <c r="E107" s="343" t="s">
        <v>664</v>
      </c>
      <c r="F107" t="s">
        <v>669</v>
      </c>
      <c r="G107" t="s">
        <v>628</v>
      </c>
      <c r="H107" s="456">
        <v>1379.9042169602558</v>
      </c>
    </row>
    <row r="108" spans="1:8" ht="52.8">
      <c r="A108" t="s">
        <v>418</v>
      </c>
      <c r="B108" s="454" t="s">
        <v>1093</v>
      </c>
      <c r="C108" s="343" t="s">
        <v>624</v>
      </c>
      <c r="D108" s="343" t="s">
        <v>852</v>
      </c>
      <c r="E108" s="343" t="s">
        <v>664</v>
      </c>
      <c r="F108" t="s">
        <v>670</v>
      </c>
      <c r="G108" t="s">
        <v>627</v>
      </c>
      <c r="H108" s="456">
        <v>1409.6465386136197</v>
      </c>
    </row>
    <row r="109" spans="1:8" ht="52.8">
      <c r="A109" t="s">
        <v>419</v>
      </c>
      <c r="B109" s="454" t="s">
        <v>1094</v>
      </c>
      <c r="C109" s="343" t="s">
        <v>624</v>
      </c>
      <c r="D109" s="343" t="s">
        <v>852</v>
      </c>
      <c r="E109" s="343" t="s">
        <v>664</v>
      </c>
      <c r="F109" t="s">
        <v>670</v>
      </c>
      <c r="G109" t="s">
        <v>628</v>
      </c>
      <c r="H109" s="456">
        <v>2177.793219388162</v>
      </c>
    </row>
    <row r="110" spans="1:8" ht="52.8">
      <c r="A110" t="s">
        <v>420</v>
      </c>
      <c r="B110" s="454" t="s">
        <v>1095</v>
      </c>
      <c r="C110" s="343" t="s">
        <v>624</v>
      </c>
      <c r="D110" s="343" t="s">
        <v>852</v>
      </c>
      <c r="E110" s="343" t="s">
        <v>664</v>
      </c>
      <c r="F110" t="s">
        <v>671</v>
      </c>
      <c r="G110" t="s">
        <v>627</v>
      </c>
      <c r="H110" s="456">
        <v>496.76551810569197</v>
      </c>
    </row>
    <row r="111" spans="1:8" ht="52.8">
      <c r="A111" t="s">
        <v>421</v>
      </c>
      <c r="B111" s="454" t="s">
        <v>1096</v>
      </c>
      <c r="C111" s="343" t="s">
        <v>624</v>
      </c>
      <c r="D111" s="343" t="s">
        <v>852</v>
      </c>
      <c r="E111" s="343" t="s">
        <v>664</v>
      </c>
      <c r="F111" t="s">
        <v>671</v>
      </c>
      <c r="G111" t="s">
        <v>628</v>
      </c>
      <c r="H111" s="456">
        <v>1264.9121988802342</v>
      </c>
    </row>
    <row r="112" spans="1:8" ht="52.8">
      <c r="A112" t="s">
        <v>422</v>
      </c>
      <c r="B112" s="454" t="s">
        <v>1097</v>
      </c>
      <c r="C112" s="343" t="s">
        <v>624</v>
      </c>
      <c r="D112" s="343" t="s">
        <v>852</v>
      </c>
      <c r="E112" s="343" t="s">
        <v>664</v>
      </c>
      <c r="F112" t="s">
        <v>672</v>
      </c>
      <c r="G112" t="s">
        <v>627</v>
      </c>
      <c r="H112" s="456">
        <v>1294.6545205335983</v>
      </c>
    </row>
    <row r="113" spans="1:8" ht="52.8">
      <c r="A113" t="s">
        <v>423</v>
      </c>
      <c r="B113" s="454" t="s">
        <v>1098</v>
      </c>
      <c r="C113" s="343" t="s">
        <v>624</v>
      </c>
      <c r="D113" s="343" t="s">
        <v>852</v>
      </c>
      <c r="E113" s="343" t="s">
        <v>664</v>
      </c>
      <c r="F113" t="s">
        <v>672</v>
      </c>
      <c r="G113" t="s">
        <v>628</v>
      </c>
      <c r="H113" s="456">
        <v>2062.8012013081407</v>
      </c>
    </row>
    <row r="114" spans="1:8" ht="52.8">
      <c r="A114" t="s">
        <v>424</v>
      </c>
      <c r="B114" s="454" t="s">
        <v>1099</v>
      </c>
      <c r="C114" s="343" t="s">
        <v>624</v>
      </c>
      <c r="D114" s="343" t="s">
        <v>852</v>
      </c>
      <c r="E114" s="343" t="s">
        <v>664</v>
      </c>
      <c r="F114" t="s">
        <v>673</v>
      </c>
      <c r="G114" t="s">
        <v>627</v>
      </c>
      <c r="H114" s="456">
        <v>611.75753618571332</v>
      </c>
    </row>
    <row r="115" spans="1:8" ht="52.8">
      <c r="A115" t="s">
        <v>425</v>
      </c>
      <c r="B115" s="454" t="s">
        <v>1100</v>
      </c>
      <c r="C115" s="343" t="s">
        <v>624</v>
      </c>
      <c r="D115" s="343" t="s">
        <v>852</v>
      </c>
      <c r="E115" s="343" t="s">
        <v>664</v>
      </c>
      <c r="F115" t="s">
        <v>674</v>
      </c>
      <c r="G115" t="s">
        <v>627</v>
      </c>
      <c r="H115" s="456">
        <v>1409.6465386136197</v>
      </c>
    </row>
    <row r="116" spans="1:8" ht="52.8">
      <c r="A116" t="s">
        <v>426</v>
      </c>
      <c r="B116" s="454" t="s">
        <v>1101</v>
      </c>
      <c r="C116" s="343" t="s">
        <v>624</v>
      </c>
      <c r="D116" s="343" t="s">
        <v>852</v>
      </c>
      <c r="E116" s="343" t="s">
        <v>664</v>
      </c>
      <c r="F116" t="s">
        <v>675</v>
      </c>
      <c r="G116" t="s">
        <v>627</v>
      </c>
      <c r="H116" s="456">
        <v>496.76551810569197</v>
      </c>
    </row>
    <row r="117" spans="1:8" ht="52.8">
      <c r="A117" t="s">
        <v>427</v>
      </c>
      <c r="B117" s="455" t="s">
        <v>1102</v>
      </c>
      <c r="C117" s="343" t="s">
        <v>624</v>
      </c>
      <c r="D117" s="343" t="s">
        <v>852</v>
      </c>
      <c r="E117" s="343" t="s">
        <v>664</v>
      </c>
      <c r="F117" t="s">
        <v>676</v>
      </c>
      <c r="G117" t="s">
        <v>627</v>
      </c>
      <c r="H117" s="456">
        <v>1294.6545205335983</v>
      </c>
    </row>
    <row r="118" spans="1:8" ht="52.8">
      <c r="A118" t="s">
        <v>428</v>
      </c>
      <c r="B118" s="454" t="s">
        <v>1103</v>
      </c>
      <c r="C118" s="343" t="s">
        <v>624</v>
      </c>
      <c r="D118" s="343" t="s">
        <v>852</v>
      </c>
      <c r="E118" s="343" t="s">
        <v>677</v>
      </c>
      <c r="F118" t="s">
        <v>678</v>
      </c>
      <c r="G118" t="s">
        <v>627</v>
      </c>
      <c r="H118" s="456">
        <v>349.90305948566834</v>
      </c>
    </row>
    <row r="119" spans="1:8" ht="52.8">
      <c r="A119" t="s">
        <v>429</v>
      </c>
      <c r="B119" s="454" t="s">
        <v>1104</v>
      </c>
      <c r="C119" s="343" t="s">
        <v>624</v>
      </c>
      <c r="D119" s="343" t="s">
        <v>852</v>
      </c>
      <c r="E119" s="343" t="s">
        <v>677</v>
      </c>
      <c r="F119" t="s">
        <v>678</v>
      </c>
      <c r="G119" t="s">
        <v>628</v>
      </c>
      <c r="H119" s="456">
        <v>349.90305948566834</v>
      </c>
    </row>
    <row r="120" spans="1:8" ht="52.8">
      <c r="A120" t="s">
        <v>430</v>
      </c>
      <c r="B120" s="454" t="s">
        <v>1105</v>
      </c>
      <c r="C120" s="343" t="s">
        <v>624</v>
      </c>
      <c r="D120" s="343" t="s">
        <v>852</v>
      </c>
      <c r="E120" s="343" t="s">
        <v>677</v>
      </c>
      <c r="F120" t="s">
        <v>679</v>
      </c>
      <c r="G120" t="s">
        <v>627</v>
      </c>
      <c r="H120" s="456">
        <v>87.475764871417084</v>
      </c>
    </row>
    <row r="121" spans="1:8" ht="52.8">
      <c r="A121" t="s">
        <v>431</v>
      </c>
      <c r="B121" s="454" t="s">
        <v>1106</v>
      </c>
      <c r="C121" s="343" t="s">
        <v>624</v>
      </c>
      <c r="D121" s="343" t="s">
        <v>852</v>
      </c>
      <c r="E121" s="343" t="s">
        <v>680</v>
      </c>
      <c r="F121" t="s">
        <v>679</v>
      </c>
      <c r="G121" t="s">
        <v>628</v>
      </c>
      <c r="H121" s="456">
        <v>87.475764871417084</v>
      </c>
    </row>
    <row r="122" spans="1:8" ht="52.8">
      <c r="A122" t="s">
        <v>432</v>
      </c>
      <c r="B122" s="454" t="s">
        <v>1107</v>
      </c>
      <c r="C122" s="343" t="s">
        <v>624</v>
      </c>
      <c r="D122" s="343" t="s">
        <v>852</v>
      </c>
      <c r="E122" s="343" t="s">
        <v>677</v>
      </c>
      <c r="F122" t="s">
        <v>681</v>
      </c>
      <c r="G122" t="s">
        <v>627</v>
      </c>
      <c r="H122" s="456">
        <v>459.96807232008518</v>
      </c>
    </row>
    <row r="123" spans="1:8" ht="52.8">
      <c r="A123" t="s">
        <v>433</v>
      </c>
      <c r="B123" s="454" t="s">
        <v>1108</v>
      </c>
      <c r="C123" s="343" t="s">
        <v>624</v>
      </c>
      <c r="D123" s="343" t="s">
        <v>852</v>
      </c>
      <c r="E123" s="343" t="s">
        <v>677</v>
      </c>
      <c r="F123" t="s">
        <v>681</v>
      </c>
      <c r="G123" t="s">
        <v>628</v>
      </c>
      <c r="H123" s="456">
        <v>459.96807232008518</v>
      </c>
    </row>
    <row r="124" spans="1:8" ht="52.8">
      <c r="A124" t="s">
        <v>434</v>
      </c>
      <c r="B124" s="454" t="s">
        <v>1109</v>
      </c>
      <c r="C124" s="343" t="s">
        <v>624</v>
      </c>
      <c r="D124" s="343" t="s">
        <v>852</v>
      </c>
      <c r="E124" s="343" t="s">
        <v>677</v>
      </c>
      <c r="F124" t="s">
        <v>682</v>
      </c>
      <c r="G124" t="s">
        <v>627</v>
      </c>
      <c r="H124" s="456">
        <v>114.9920180800213</v>
      </c>
    </row>
    <row r="125" spans="1:8" ht="52.8">
      <c r="A125" t="s">
        <v>435</v>
      </c>
      <c r="B125" s="454" t="s">
        <v>1110</v>
      </c>
      <c r="C125" s="343" t="s">
        <v>624</v>
      </c>
      <c r="D125" s="343" t="s">
        <v>852</v>
      </c>
      <c r="E125" s="343" t="s">
        <v>677</v>
      </c>
      <c r="F125" t="s">
        <v>682</v>
      </c>
      <c r="G125" t="s">
        <v>628</v>
      </c>
      <c r="H125" s="456">
        <v>114.9920180800213</v>
      </c>
    </row>
    <row r="126" spans="1:8" ht="52.8">
      <c r="A126" t="s">
        <v>436</v>
      </c>
      <c r="B126" s="454" t="s">
        <v>1111</v>
      </c>
      <c r="C126" s="343" t="s">
        <v>624</v>
      </c>
      <c r="D126" s="343" t="s">
        <v>852</v>
      </c>
      <c r="E126" s="343" t="s">
        <v>677</v>
      </c>
      <c r="F126" t="s">
        <v>683</v>
      </c>
      <c r="G126" t="s">
        <v>627</v>
      </c>
      <c r="H126" s="456">
        <v>459.96807232008518</v>
      </c>
    </row>
    <row r="127" spans="1:8" ht="52.8">
      <c r="A127" t="s">
        <v>437</v>
      </c>
      <c r="B127" s="454" t="s">
        <v>1112</v>
      </c>
      <c r="C127" s="343" t="s">
        <v>624</v>
      </c>
      <c r="D127" s="343" t="s">
        <v>852</v>
      </c>
      <c r="E127" s="343" t="s">
        <v>677</v>
      </c>
      <c r="F127" t="s">
        <v>684</v>
      </c>
      <c r="G127" t="s">
        <v>627</v>
      </c>
      <c r="H127" s="456">
        <v>114.9920180800213</v>
      </c>
    </row>
    <row r="128" spans="1:8" ht="26.4">
      <c r="A128" t="s">
        <v>438</v>
      </c>
      <c r="B128" s="454" t="s">
        <v>1113</v>
      </c>
      <c r="C128" s="343" t="s">
        <v>624</v>
      </c>
      <c r="D128" s="343" t="s">
        <v>852</v>
      </c>
      <c r="E128" s="343" t="s">
        <v>685</v>
      </c>
      <c r="F128" t="s">
        <v>636</v>
      </c>
      <c r="G128" t="s">
        <v>627</v>
      </c>
      <c r="H128" s="456">
        <v>377.89530424452181</v>
      </c>
    </row>
    <row r="129" spans="1:8" ht="26.4">
      <c r="A129" t="s">
        <v>439</v>
      </c>
      <c r="B129" s="454" t="s">
        <v>1114</v>
      </c>
      <c r="C129" s="343" t="s">
        <v>624</v>
      </c>
      <c r="D129" s="343" t="s">
        <v>852</v>
      </c>
      <c r="E129" s="343" t="s">
        <v>685</v>
      </c>
      <c r="F129" t="s">
        <v>637</v>
      </c>
      <c r="G129" t="s">
        <v>627</v>
      </c>
      <c r="H129" s="456">
        <v>496.76551810569197</v>
      </c>
    </row>
    <row r="130" spans="1:8" ht="26.4">
      <c r="A130" t="s">
        <v>440</v>
      </c>
      <c r="B130" s="454" t="s">
        <v>1115</v>
      </c>
      <c r="C130" s="343" t="s">
        <v>624</v>
      </c>
      <c r="D130" s="343" t="s">
        <v>852</v>
      </c>
      <c r="E130" s="343" t="s">
        <v>685</v>
      </c>
      <c r="F130" t="s">
        <v>686</v>
      </c>
      <c r="G130" t="s">
        <v>627</v>
      </c>
      <c r="H130" s="456">
        <v>1175.7843066724281</v>
      </c>
    </row>
    <row r="131" spans="1:8" ht="26.4">
      <c r="A131" t="s">
        <v>441</v>
      </c>
      <c r="B131" s="454" t="s">
        <v>1116</v>
      </c>
      <c r="C131" s="343" t="s">
        <v>624</v>
      </c>
      <c r="D131" s="343" t="s">
        <v>852</v>
      </c>
      <c r="E131" s="343" t="s">
        <v>685</v>
      </c>
      <c r="F131" t="s">
        <v>687</v>
      </c>
      <c r="G131" t="s">
        <v>627</v>
      </c>
      <c r="H131" s="456">
        <v>1294.6545205335983</v>
      </c>
    </row>
    <row r="132" spans="1:8" ht="26.4">
      <c r="A132" t="s">
        <v>442</v>
      </c>
      <c r="B132" s="454" t="s">
        <v>1117</v>
      </c>
      <c r="C132" s="343" t="s">
        <v>624</v>
      </c>
      <c r="D132" s="343" t="s">
        <v>852</v>
      </c>
      <c r="E132" s="343" t="s">
        <v>685</v>
      </c>
      <c r="F132" t="s">
        <v>636</v>
      </c>
      <c r="G132" t="s">
        <v>628</v>
      </c>
      <c r="H132" s="456">
        <v>962.23341358558787</v>
      </c>
    </row>
    <row r="133" spans="1:8" ht="26.4">
      <c r="A133" t="s">
        <v>443</v>
      </c>
      <c r="B133" s="454" t="s">
        <v>1118</v>
      </c>
      <c r="C133" s="343" t="s">
        <v>624</v>
      </c>
      <c r="D133" s="343" t="s">
        <v>852</v>
      </c>
      <c r="E133" s="343" t="s">
        <v>685</v>
      </c>
      <c r="F133" t="s">
        <v>637</v>
      </c>
      <c r="G133" t="s">
        <v>628</v>
      </c>
      <c r="H133" s="456">
        <v>1264.9121988802342</v>
      </c>
    </row>
    <row r="134" spans="1:8" ht="26.4">
      <c r="A134" t="s">
        <v>444</v>
      </c>
      <c r="B134" s="454" t="s">
        <v>1119</v>
      </c>
      <c r="C134" s="343" t="s">
        <v>624</v>
      </c>
      <c r="D134" s="343" t="s">
        <v>852</v>
      </c>
      <c r="E134" s="343" t="s">
        <v>685</v>
      </c>
      <c r="F134" t="s">
        <v>686</v>
      </c>
      <c r="G134" t="s">
        <v>628</v>
      </c>
      <c r="H134" s="456">
        <v>1760.1224160134941</v>
      </c>
    </row>
    <row r="135" spans="1:8" ht="26.4">
      <c r="A135" t="s">
        <v>445</v>
      </c>
      <c r="B135" s="454" t="s">
        <v>1120</v>
      </c>
      <c r="C135" s="343" t="s">
        <v>624</v>
      </c>
      <c r="D135" s="343" t="s">
        <v>852</v>
      </c>
      <c r="E135" s="343" t="s">
        <v>685</v>
      </c>
      <c r="F135" t="s">
        <v>687</v>
      </c>
      <c r="G135" t="s">
        <v>628</v>
      </c>
      <c r="H135" s="456">
        <v>2062.8012013081407</v>
      </c>
    </row>
    <row r="136" spans="1:8" ht="26.4">
      <c r="A136" t="s">
        <v>446</v>
      </c>
      <c r="B136" s="454" t="s">
        <v>1121</v>
      </c>
      <c r="C136" s="343" t="s">
        <v>624</v>
      </c>
      <c r="D136" s="343" t="s">
        <v>853</v>
      </c>
      <c r="E136" s="343" t="s">
        <v>688</v>
      </c>
      <c r="F136" t="s">
        <v>689</v>
      </c>
      <c r="G136" t="s">
        <v>627</v>
      </c>
      <c r="H136" s="456">
        <v>1048.9328202525937</v>
      </c>
    </row>
    <row r="137" spans="1:8" ht="26.4">
      <c r="A137" t="s">
        <v>447</v>
      </c>
      <c r="B137" s="454" t="s">
        <v>1122</v>
      </c>
      <c r="C137" s="343" t="s">
        <v>624</v>
      </c>
      <c r="D137" s="343" t="s">
        <v>853</v>
      </c>
      <c r="E137" s="343" t="s">
        <v>688</v>
      </c>
      <c r="F137" t="s">
        <v>689</v>
      </c>
      <c r="G137" t="s">
        <v>628</v>
      </c>
      <c r="H137" s="456">
        <v>1633.2709295936597</v>
      </c>
    </row>
    <row r="138" spans="1:8" ht="26.4">
      <c r="A138" t="s">
        <v>448</v>
      </c>
      <c r="B138" s="454" t="s">
        <v>1123</v>
      </c>
      <c r="C138" s="343" t="s">
        <v>624</v>
      </c>
      <c r="D138" s="343" t="s">
        <v>853</v>
      </c>
      <c r="E138" s="343" t="s">
        <v>688</v>
      </c>
      <c r="F138" t="s">
        <v>690</v>
      </c>
      <c r="G138" t="s">
        <v>627</v>
      </c>
      <c r="H138" s="456">
        <v>1846.8218226804997</v>
      </c>
    </row>
    <row r="139" spans="1:8" ht="26.4">
      <c r="A139" t="s">
        <v>449</v>
      </c>
      <c r="B139" s="454" t="s">
        <v>1124</v>
      </c>
      <c r="C139" s="343" t="s">
        <v>624</v>
      </c>
      <c r="D139" s="343" t="s">
        <v>853</v>
      </c>
      <c r="E139" s="343" t="s">
        <v>688</v>
      </c>
      <c r="F139" t="s">
        <v>690</v>
      </c>
      <c r="G139" t="s">
        <v>628</v>
      </c>
      <c r="H139" s="456">
        <v>2431.159932021566</v>
      </c>
    </row>
    <row r="140" spans="1:8" ht="26.4">
      <c r="A140" t="s">
        <v>450</v>
      </c>
      <c r="B140" s="454" t="s">
        <v>1125</v>
      </c>
      <c r="C140" s="343" t="s">
        <v>624</v>
      </c>
      <c r="D140" s="343" t="s">
        <v>853</v>
      </c>
      <c r="E140" s="343" t="s">
        <v>688</v>
      </c>
      <c r="F140" t="s">
        <v>691</v>
      </c>
      <c r="G140" t="s">
        <v>627</v>
      </c>
      <c r="H140" s="456">
        <v>1136.4085851240106</v>
      </c>
    </row>
    <row r="141" spans="1:8" ht="26.4">
      <c r="A141" t="s">
        <v>451</v>
      </c>
      <c r="B141" s="454" t="s">
        <v>1126</v>
      </c>
      <c r="C141" s="343" t="s">
        <v>624</v>
      </c>
      <c r="D141" s="343" t="s">
        <v>853</v>
      </c>
      <c r="E141" s="343" t="s">
        <v>688</v>
      </c>
      <c r="F141" t="s">
        <v>691</v>
      </c>
      <c r="G141" t="s">
        <v>628</v>
      </c>
      <c r="H141" s="456">
        <v>1720.7466944650769</v>
      </c>
    </row>
    <row r="142" spans="1:8" ht="26.4">
      <c r="A142" t="s">
        <v>452</v>
      </c>
      <c r="B142" s="454" t="s">
        <v>1127</v>
      </c>
      <c r="C142" s="343" t="s">
        <v>624</v>
      </c>
      <c r="D142" s="343" t="s">
        <v>853</v>
      </c>
      <c r="E142" s="343" t="s">
        <v>688</v>
      </c>
      <c r="F142" t="s">
        <v>692</v>
      </c>
      <c r="G142" t="s">
        <v>627</v>
      </c>
      <c r="H142" s="456">
        <v>1934.2975875519169</v>
      </c>
    </row>
    <row r="143" spans="1:8" ht="26.4">
      <c r="A143" t="s">
        <v>453</v>
      </c>
      <c r="B143" s="454" t="s">
        <v>1128</v>
      </c>
      <c r="C143" s="343" t="s">
        <v>624</v>
      </c>
      <c r="D143" s="343" t="s">
        <v>853</v>
      </c>
      <c r="E143" s="343" t="s">
        <v>688</v>
      </c>
      <c r="F143" t="s">
        <v>692</v>
      </c>
      <c r="G143" t="s">
        <v>628</v>
      </c>
      <c r="H143" s="456">
        <v>2518.6356968929831</v>
      </c>
    </row>
    <row r="144" spans="1:8" ht="26.4">
      <c r="A144" t="s">
        <v>454</v>
      </c>
      <c r="B144" s="454" t="s">
        <v>1129</v>
      </c>
      <c r="C144" s="343" t="s">
        <v>624</v>
      </c>
      <c r="D144" s="343" t="s">
        <v>853</v>
      </c>
      <c r="E144" s="343" t="s">
        <v>688</v>
      </c>
      <c r="F144" t="s">
        <v>693</v>
      </c>
      <c r="G144" t="s">
        <v>627</v>
      </c>
      <c r="H144" s="456">
        <v>1305.3843001567848</v>
      </c>
    </row>
    <row r="145" spans="1:8" ht="26.4">
      <c r="A145" t="s">
        <v>455</v>
      </c>
      <c r="B145" s="454" t="s">
        <v>1130</v>
      </c>
      <c r="C145" s="343" t="s">
        <v>624</v>
      </c>
      <c r="D145" s="343" t="s">
        <v>853</v>
      </c>
      <c r="E145" s="343" t="s">
        <v>688</v>
      </c>
      <c r="F145" t="s">
        <v>693</v>
      </c>
      <c r="G145" t="s">
        <v>628</v>
      </c>
      <c r="H145" s="456">
        <v>2073.5309809313271</v>
      </c>
    </row>
    <row r="146" spans="1:8" ht="26.4">
      <c r="A146" t="s">
        <v>456</v>
      </c>
      <c r="B146" s="454" t="s">
        <v>1131</v>
      </c>
      <c r="C146" s="343" t="s">
        <v>624</v>
      </c>
      <c r="D146" s="343" t="s">
        <v>853</v>
      </c>
      <c r="E146" s="343" t="s">
        <v>688</v>
      </c>
      <c r="F146" t="s">
        <v>694</v>
      </c>
      <c r="G146" t="s">
        <v>627</v>
      </c>
      <c r="H146" s="456">
        <v>2103.273302584691</v>
      </c>
    </row>
    <row r="147" spans="1:8" ht="26.4">
      <c r="A147" t="s">
        <v>457</v>
      </c>
      <c r="B147" s="454" t="s">
        <v>1132</v>
      </c>
      <c r="C147" s="343" t="s">
        <v>624</v>
      </c>
      <c r="D147" s="343" t="s">
        <v>853</v>
      </c>
      <c r="E147" s="343" t="s">
        <v>688</v>
      </c>
      <c r="F147" t="s">
        <v>694</v>
      </c>
      <c r="G147" t="s">
        <v>628</v>
      </c>
      <c r="H147" s="456">
        <v>2871.4199833592334</v>
      </c>
    </row>
    <row r="148" spans="1:8" ht="26.4">
      <c r="A148" t="s">
        <v>458</v>
      </c>
      <c r="B148" s="454" t="s">
        <v>1133</v>
      </c>
      <c r="C148" s="343" t="s">
        <v>624</v>
      </c>
      <c r="D148" s="343" t="s">
        <v>853</v>
      </c>
      <c r="E148" s="343" t="s">
        <v>688</v>
      </c>
      <c r="F148" t="s">
        <v>695</v>
      </c>
      <c r="G148" t="s">
        <v>627</v>
      </c>
      <c r="H148" s="456">
        <v>1420.3763182368061</v>
      </c>
    </row>
    <row r="149" spans="1:8" ht="26.4">
      <c r="A149" t="s">
        <v>459</v>
      </c>
      <c r="B149" s="454" t="s">
        <v>1134</v>
      </c>
      <c r="C149" s="343" t="s">
        <v>624</v>
      </c>
      <c r="D149" s="343" t="s">
        <v>853</v>
      </c>
      <c r="E149" s="343" t="s">
        <v>688</v>
      </c>
      <c r="F149" t="s">
        <v>695</v>
      </c>
      <c r="G149" t="s">
        <v>628</v>
      </c>
      <c r="H149" s="456">
        <v>2188.5229990113485</v>
      </c>
    </row>
    <row r="150" spans="1:8" ht="26.4">
      <c r="A150" t="s">
        <v>460</v>
      </c>
      <c r="B150" s="454" t="s">
        <v>1135</v>
      </c>
      <c r="C150" s="343" t="s">
        <v>624</v>
      </c>
      <c r="D150" s="343" t="s">
        <v>853</v>
      </c>
      <c r="E150" s="343" t="s">
        <v>688</v>
      </c>
      <c r="F150" t="s">
        <v>696</v>
      </c>
      <c r="G150" t="s">
        <v>627</v>
      </c>
      <c r="H150" s="456">
        <v>2218.2653206647124</v>
      </c>
    </row>
    <row r="151" spans="1:8" ht="26.4">
      <c r="A151" t="s">
        <v>461</v>
      </c>
      <c r="B151" s="454" t="s">
        <v>1760</v>
      </c>
      <c r="C151" s="343" t="s">
        <v>624</v>
      </c>
      <c r="D151" s="343" t="s">
        <v>853</v>
      </c>
      <c r="E151" s="343" t="s">
        <v>688</v>
      </c>
      <c r="F151" t="s">
        <v>696</v>
      </c>
      <c r="G151" t="s">
        <v>628</v>
      </c>
      <c r="H151" s="456">
        <v>2986.4120014392547</v>
      </c>
    </row>
    <row r="152" spans="1:8" ht="26.4">
      <c r="A152" t="s">
        <v>462</v>
      </c>
      <c r="B152" s="454" t="s">
        <v>1136</v>
      </c>
      <c r="C152" s="343" t="s">
        <v>624</v>
      </c>
      <c r="D152" s="343" t="s">
        <v>853</v>
      </c>
      <c r="E152" s="343" t="s">
        <v>697</v>
      </c>
      <c r="F152" t="s">
        <v>689</v>
      </c>
      <c r="G152" t="s">
        <v>627</v>
      </c>
      <c r="H152" s="456">
        <v>232.68553455796945</v>
      </c>
    </row>
    <row r="153" spans="1:8" ht="26.4">
      <c r="A153" t="s">
        <v>463</v>
      </c>
      <c r="B153" s="454" t="s">
        <v>1137</v>
      </c>
      <c r="C153" s="343" t="s">
        <v>624</v>
      </c>
      <c r="D153" s="343" t="s">
        <v>853</v>
      </c>
      <c r="E153" s="343" t="s">
        <v>697</v>
      </c>
      <c r="F153" t="s">
        <v>689</v>
      </c>
      <c r="G153" t="s">
        <v>628</v>
      </c>
      <c r="H153" s="456">
        <v>524.8545892285025</v>
      </c>
    </row>
    <row r="154" spans="1:8" ht="26.4">
      <c r="A154" t="s">
        <v>464</v>
      </c>
      <c r="B154" s="454" t="s">
        <v>1138</v>
      </c>
      <c r="C154" s="343" t="s">
        <v>624</v>
      </c>
      <c r="D154" s="343" t="s">
        <v>853</v>
      </c>
      <c r="E154" s="343" t="s">
        <v>697</v>
      </c>
      <c r="F154" t="s">
        <v>690</v>
      </c>
      <c r="G154" t="s">
        <v>627</v>
      </c>
      <c r="H154" s="456">
        <v>1030.5745369858757</v>
      </c>
    </row>
    <row r="155" spans="1:8" ht="26.4">
      <c r="A155" t="s">
        <v>465</v>
      </c>
      <c r="B155" s="454" t="s">
        <v>1139</v>
      </c>
      <c r="C155" s="343" t="s">
        <v>624</v>
      </c>
      <c r="D155" s="343" t="s">
        <v>853</v>
      </c>
      <c r="E155" s="343" t="s">
        <v>697</v>
      </c>
      <c r="F155" t="s">
        <v>690</v>
      </c>
      <c r="G155" t="s">
        <v>628</v>
      </c>
      <c r="H155" s="456">
        <v>1322.7435916564086</v>
      </c>
    </row>
    <row r="156" spans="1:8" ht="26.4">
      <c r="A156" t="s">
        <v>466</v>
      </c>
      <c r="B156" s="454" t="s">
        <v>1140</v>
      </c>
      <c r="C156" s="343" t="s">
        <v>624</v>
      </c>
      <c r="D156" s="343" t="s">
        <v>853</v>
      </c>
      <c r="E156" s="343" t="s">
        <v>697</v>
      </c>
      <c r="F156" t="s">
        <v>691</v>
      </c>
      <c r="G156" t="s">
        <v>627</v>
      </c>
      <c r="H156" s="456">
        <v>232.68553455796945</v>
      </c>
    </row>
    <row r="157" spans="1:8" ht="26.4">
      <c r="A157" t="s">
        <v>467</v>
      </c>
      <c r="B157" s="454" t="s">
        <v>1141</v>
      </c>
      <c r="C157" s="343" t="s">
        <v>624</v>
      </c>
      <c r="D157" s="343" t="s">
        <v>853</v>
      </c>
      <c r="E157" s="343" t="s">
        <v>697</v>
      </c>
      <c r="F157" t="s">
        <v>691</v>
      </c>
      <c r="G157" t="s">
        <v>628</v>
      </c>
      <c r="H157" s="456">
        <v>524.8545892285025</v>
      </c>
    </row>
    <row r="158" spans="1:8" ht="26.4">
      <c r="A158" t="s">
        <v>468</v>
      </c>
      <c r="B158" s="454" t="s">
        <v>1142</v>
      </c>
      <c r="C158" s="343" t="s">
        <v>624</v>
      </c>
      <c r="D158" s="343" t="s">
        <v>853</v>
      </c>
      <c r="E158" s="343" t="s">
        <v>697</v>
      </c>
      <c r="F158" t="s">
        <v>692</v>
      </c>
      <c r="G158" t="s">
        <v>627</v>
      </c>
      <c r="H158" s="456">
        <v>1030.5745369858757</v>
      </c>
    </row>
    <row r="159" spans="1:8" ht="26.4">
      <c r="A159" t="s">
        <v>469</v>
      </c>
      <c r="B159" s="454" t="s">
        <v>1761</v>
      </c>
      <c r="C159" s="343" t="s">
        <v>624</v>
      </c>
      <c r="D159" s="343" t="s">
        <v>853</v>
      </c>
      <c r="E159" s="343" t="s">
        <v>697</v>
      </c>
      <c r="F159" t="s">
        <v>692</v>
      </c>
      <c r="G159" t="s">
        <v>628</v>
      </c>
      <c r="H159" s="456">
        <v>1322.7435916564086</v>
      </c>
    </row>
    <row r="160" spans="1:8" ht="26.4">
      <c r="A160" t="s">
        <v>470</v>
      </c>
      <c r="B160" s="454" t="s">
        <v>1143</v>
      </c>
      <c r="C160" s="343" t="s">
        <v>624</v>
      </c>
      <c r="D160" s="343" t="s">
        <v>853</v>
      </c>
      <c r="E160" s="343" t="s">
        <v>697</v>
      </c>
      <c r="F160" t="s">
        <v>693</v>
      </c>
      <c r="G160" t="s">
        <v>627</v>
      </c>
      <c r="H160" s="456">
        <v>305.87876809285666</v>
      </c>
    </row>
    <row r="161" spans="1:8" ht="26.4">
      <c r="A161" t="s">
        <v>471</v>
      </c>
      <c r="B161" s="454" t="s">
        <v>1144</v>
      </c>
      <c r="C161" s="343" t="s">
        <v>624</v>
      </c>
      <c r="D161" s="343" t="s">
        <v>853</v>
      </c>
      <c r="E161" s="343" t="s">
        <v>697</v>
      </c>
      <c r="F161" t="s">
        <v>693</v>
      </c>
      <c r="G161" t="s">
        <v>628</v>
      </c>
      <c r="H161" s="456">
        <v>689.95210848012778</v>
      </c>
    </row>
    <row r="162" spans="1:8" ht="26.4">
      <c r="A162" t="s">
        <v>472</v>
      </c>
      <c r="B162" s="454" t="s">
        <v>1145</v>
      </c>
      <c r="C162" s="343" t="s">
        <v>624</v>
      </c>
      <c r="D162" s="343" t="s">
        <v>853</v>
      </c>
      <c r="E162" s="343" t="s">
        <v>697</v>
      </c>
      <c r="F162" t="s">
        <v>694</v>
      </c>
      <c r="G162" t="s">
        <v>627</v>
      </c>
      <c r="H162" s="456">
        <v>1103.767770520763</v>
      </c>
    </row>
    <row r="163" spans="1:8" ht="26.4">
      <c r="A163" t="s">
        <v>473</v>
      </c>
      <c r="B163" s="454" t="s">
        <v>1146</v>
      </c>
      <c r="C163" s="343" t="s">
        <v>624</v>
      </c>
      <c r="D163" s="343" t="s">
        <v>853</v>
      </c>
      <c r="E163" s="343" t="s">
        <v>697</v>
      </c>
      <c r="F163" t="s">
        <v>694</v>
      </c>
      <c r="G163" t="s">
        <v>628</v>
      </c>
      <c r="H163" s="456">
        <v>1487.8411109080339</v>
      </c>
    </row>
    <row r="164" spans="1:8" ht="26.4">
      <c r="A164" t="s">
        <v>474</v>
      </c>
      <c r="B164" s="454" t="s">
        <v>1147</v>
      </c>
      <c r="C164" s="343" t="s">
        <v>624</v>
      </c>
      <c r="D164" s="343" t="s">
        <v>853</v>
      </c>
      <c r="E164" s="343" t="s">
        <v>697</v>
      </c>
      <c r="F164" t="s">
        <v>695</v>
      </c>
      <c r="G164" t="s">
        <v>627</v>
      </c>
      <c r="H164" s="456">
        <v>305.87876809285666</v>
      </c>
    </row>
    <row r="165" spans="1:8" ht="26.4">
      <c r="A165" t="s">
        <v>475</v>
      </c>
      <c r="B165" s="454" t="s">
        <v>1148</v>
      </c>
      <c r="C165" s="343" t="s">
        <v>624</v>
      </c>
      <c r="D165" s="343" t="s">
        <v>853</v>
      </c>
      <c r="E165" s="343" t="s">
        <v>697</v>
      </c>
      <c r="F165" t="s">
        <v>695</v>
      </c>
      <c r="G165" t="s">
        <v>628</v>
      </c>
      <c r="H165" s="456">
        <v>689.95210848012778</v>
      </c>
    </row>
    <row r="166" spans="1:8" ht="26.4">
      <c r="A166" t="s">
        <v>476</v>
      </c>
      <c r="B166" s="454" t="s">
        <v>1149</v>
      </c>
      <c r="C166" s="343" t="s">
        <v>624</v>
      </c>
      <c r="D166" s="343" t="s">
        <v>853</v>
      </c>
      <c r="E166" s="343" t="s">
        <v>697</v>
      </c>
      <c r="F166" t="s">
        <v>696</v>
      </c>
      <c r="G166" t="s">
        <v>627</v>
      </c>
      <c r="H166" s="456">
        <v>1103.767770520763</v>
      </c>
    </row>
    <row r="167" spans="1:8" ht="26.4">
      <c r="A167" t="s">
        <v>477</v>
      </c>
      <c r="B167" s="454" t="s">
        <v>1762</v>
      </c>
      <c r="C167" s="343" t="s">
        <v>624</v>
      </c>
      <c r="D167" s="343" t="s">
        <v>853</v>
      </c>
      <c r="E167" s="343" t="s">
        <v>697</v>
      </c>
      <c r="F167" t="s">
        <v>696</v>
      </c>
      <c r="G167" t="s">
        <v>628</v>
      </c>
      <c r="H167" s="456">
        <v>1487.8411109080339</v>
      </c>
    </row>
    <row r="168" spans="1:8" ht="52.8">
      <c r="A168" t="s">
        <v>478</v>
      </c>
      <c r="B168" s="454" t="s">
        <v>1150</v>
      </c>
      <c r="C168" s="343" t="s">
        <v>624</v>
      </c>
      <c r="D168" s="343" t="s">
        <v>854</v>
      </c>
      <c r="E168" s="343" t="s">
        <v>698</v>
      </c>
      <c r="F168" t="s">
        <v>699</v>
      </c>
      <c r="G168" t="s">
        <v>627</v>
      </c>
      <c r="H168" s="456">
        <v>517.85652803878907</v>
      </c>
    </row>
    <row r="169" spans="1:8" ht="52.8">
      <c r="A169" t="s">
        <v>479</v>
      </c>
      <c r="B169" s="454" t="s">
        <v>1151</v>
      </c>
      <c r="C169" s="343" t="s">
        <v>624</v>
      </c>
      <c r="D169" s="343" t="s">
        <v>854</v>
      </c>
      <c r="E169" s="343" t="s">
        <v>698</v>
      </c>
      <c r="F169" t="s">
        <v>699</v>
      </c>
      <c r="G169" t="s">
        <v>628</v>
      </c>
      <c r="H169" s="456">
        <v>1102.1946373798553</v>
      </c>
    </row>
    <row r="170" spans="1:8" ht="52.8">
      <c r="A170" t="s">
        <v>480</v>
      </c>
      <c r="B170" s="454" t="s">
        <v>1152</v>
      </c>
      <c r="C170" s="343" t="s">
        <v>624</v>
      </c>
      <c r="D170" s="343" t="s">
        <v>854</v>
      </c>
      <c r="E170" s="343" t="s">
        <v>698</v>
      </c>
      <c r="F170" t="s">
        <v>700</v>
      </c>
      <c r="G170" t="s">
        <v>627</v>
      </c>
      <c r="H170" s="456">
        <v>1315.7455304666953</v>
      </c>
    </row>
    <row r="171" spans="1:8" ht="52.8">
      <c r="A171" t="s">
        <v>481</v>
      </c>
      <c r="B171" s="454" t="s">
        <v>1153</v>
      </c>
      <c r="C171" s="343" t="s">
        <v>624</v>
      </c>
      <c r="D171" s="343" t="s">
        <v>854</v>
      </c>
      <c r="E171" s="343" t="s">
        <v>698</v>
      </c>
      <c r="F171" t="s">
        <v>700</v>
      </c>
      <c r="G171" t="s">
        <v>628</v>
      </c>
      <c r="H171" s="456">
        <v>1900.0836398077615</v>
      </c>
    </row>
    <row r="172" spans="1:8" ht="52.8">
      <c r="A172" t="s">
        <v>482</v>
      </c>
      <c r="B172" s="454" t="s">
        <v>1154</v>
      </c>
      <c r="C172" s="343" t="s">
        <v>624</v>
      </c>
      <c r="D172" s="343" t="s">
        <v>854</v>
      </c>
      <c r="E172" s="343" t="s">
        <v>698</v>
      </c>
      <c r="F172" t="s">
        <v>701</v>
      </c>
      <c r="G172" t="s">
        <v>627</v>
      </c>
      <c r="H172" s="456">
        <v>680.75274703372611</v>
      </c>
    </row>
    <row r="173" spans="1:8" ht="52.8">
      <c r="A173" t="s">
        <v>483</v>
      </c>
      <c r="B173" s="454" t="s">
        <v>1155</v>
      </c>
      <c r="C173" s="343" t="s">
        <v>624</v>
      </c>
      <c r="D173" s="343" t="s">
        <v>854</v>
      </c>
      <c r="E173" s="343" t="s">
        <v>698</v>
      </c>
      <c r="F173" t="s">
        <v>701</v>
      </c>
      <c r="G173" t="s">
        <v>628</v>
      </c>
      <c r="H173" s="456">
        <v>1448.8994278082682</v>
      </c>
    </row>
    <row r="174" spans="1:8" ht="52.8">
      <c r="A174" t="s">
        <v>484</v>
      </c>
      <c r="B174" s="454" t="s">
        <v>1156</v>
      </c>
      <c r="C174" s="343" t="s">
        <v>624</v>
      </c>
      <c r="D174" s="343" t="s">
        <v>854</v>
      </c>
      <c r="E174" s="343" t="s">
        <v>698</v>
      </c>
      <c r="F174" t="s">
        <v>702</v>
      </c>
      <c r="G174" t="s">
        <v>627</v>
      </c>
      <c r="H174" s="456">
        <v>1478.6417494616323</v>
      </c>
    </row>
    <row r="175" spans="1:8" ht="52.8">
      <c r="A175" t="s">
        <v>485</v>
      </c>
      <c r="B175" s="454" t="s">
        <v>1157</v>
      </c>
      <c r="C175" s="343" t="s">
        <v>624</v>
      </c>
      <c r="D175" s="343" t="s">
        <v>854</v>
      </c>
      <c r="E175" s="343" t="s">
        <v>698</v>
      </c>
      <c r="F175" t="s">
        <v>702</v>
      </c>
      <c r="G175" t="s">
        <v>628</v>
      </c>
      <c r="H175" s="456">
        <v>2246.7884302361745</v>
      </c>
    </row>
    <row r="176" spans="1:8" ht="52.8">
      <c r="A176" t="s">
        <v>486</v>
      </c>
      <c r="B176" s="454" t="s">
        <v>1158</v>
      </c>
      <c r="C176" s="343" t="s">
        <v>624</v>
      </c>
      <c r="D176" s="343" t="s">
        <v>854</v>
      </c>
      <c r="E176" s="343" t="s">
        <v>698</v>
      </c>
      <c r="F176" t="s">
        <v>703</v>
      </c>
      <c r="G176" t="s">
        <v>627</v>
      </c>
      <c r="H176" s="456">
        <v>654.31872123819983</v>
      </c>
    </row>
    <row r="177" spans="1:8" ht="52.8">
      <c r="A177" t="s">
        <v>487</v>
      </c>
      <c r="B177" s="454" t="s">
        <v>1763</v>
      </c>
      <c r="C177" s="343" t="s">
        <v>624</v>
      </c>
      <c r="D177" s="343" t="s">
        <v>854</v>
      </c>
      <c r="E177" s="343" t="s">
        <v>698</v>
      </c>
      <c r="F177" t="s">
        <v>703</v>
      </c>
      <c r="G177" t="s">
        <v>628</v>
      </c>
      <c r="H177" s="456">
        <v>1238.6568305792659</v>
      </c>
    </row>
    <row r="178" spans="1:8" ht="52.8">
      <c r="A178" t="s">
        <v>488</v>
      </c>
      <c r="B178" s="454" t="s">
        <v>1159</v>
      </c>
      <c r="C178" s="343" t="s">
        <v>624</v>
      </c>
      <c r="D178" s="343" t="s">
        <v>854</v>
      </c>
      <c r="E178" s="343" t="s">
        <v>698</v>
      </c>
      <c r="F178" t="s">
        <v>704</v>
      </c>
      <c r="G178" t="s">
        <v>627</v>
      </c>
      <c r="H178" s="456">
        <v>1452.2077236661062</v>
      </c>
    </row>
    <row r="179" spans="1:8" ht="52.8">
      <c r="A179" t="s">
        <v>489</v>
      </c>
      <c r="B179" s="454" t="s">
        <v>1160</v>
      </c>
      <c r="C179" s="343" t="s">
        <v>624</v>
      </c>
      <c r="D179" s="343" t="s">
        <v>854</v>
      </c>
      <c r="E179" s="343" t="s">
        <v>698</v>
      </c>
      <c r="F179" t="s">
        <v>704</v>
      </c>
      <c r="G179" t="s">
        <v>628</v>
      </c>
      <c r="H179" s="456">
        <v>2036.5458330071722</v>
      </c>
    </row>
    <row r="180" spans="1:8" ht="52.8">
      <c r="A180" t="s">
        <v>490</v>
      </c>
      <c r="B180" s="454" t="s">
        <v>1161</v>
      </c>
      <c r="C180" s="343" t="s">
        <v>624</v>
      </c>
      <c r="D180" s="343" t="s">
        <v>854</v>
      </c>
      <c r="E180" s="343" t="s">
        <v>698</v>
      </c>
      <c r="F180" t="s">
        <v>705</v>
      </c>
      <c r="G180" t="s">
        <v>627</v>
      </c>
      <c r="H180" s="456">
        <v>860.14029523855947</v>
      </c>
    </row>
    <row r="181" spans="1:8" ht="52.8">
      <c r="A181" t="s">
        <v>491</v>
      </c>
      <c r="B181" s="454" t="s">
        <v>1162</v>
      </c>
      <c r="C181" s="343" t="s">
        <v>624</v>
      </c>
      <c r="D181" s="343" t="s">
        <v>854</v>
      </c>
      <c r="E181" s="343" t="s">
        <v>698</v>
      </c>
      <c r="F181" t="s">
        <v>705</v>
      </c>
      <c r="G181" t="s">
        <v>628</v>
      </c>
      <c r="H181" s="456">
        <v>1628.2869760131016</v>
      </c>
    </row>
    <row r="182" spans="1:8" ht="52.8">
      <c r="A182" t="s">
        <v>492</v>
      </c>
      <c r="B182" s="454" t="s">
        <v>1163</v>
      </c>
      <c r="C182" s="343" t="s">
        <v>624</v>
      </c>
      <c r="D182" s="343" t="s">
        <v>854</v>
      </c>
      <c r="E182" s="343" t="s">
        <v>698</v>
      </c>
      <c r="F182" t="s">
        <v>706</v>
      </c>
      <c r="G182" t="s">
        <v>627</v>
      </c>
      <c r="H182" s="456">
        <v>1658.0292976664657</v>
      </c>
    </row>
    <row r="183" spans="1:8" ht="52.8">
      <c r="A183" t="s">
        <v>493</v>
      </c>
      <c r="B183" s="454" t="s">
        <v>1164</v>
      </c>
      <c r="C183" s="343" t="s">
        <v>624</v>
      </c>
      <c r="D183" s="343" t="s">
        <v>854</v>
      </c>
      <c r="E183" s="343" t="s">
        <v>698</v>
      </c>
      <c r="F183" t="s">
        <v>706</v>
      </c>
      <c r="G183" t="s">
        <v>628</v>
      </c>
      <c r="H183" s="456">
        <v>2426.1759784410078</v>
      </c>
    </row>
    <row r="184" spans="1:8" ht="66">
      <c r="A184" t="s">
        <v>494</v>
      </c>
      <c r="B184" s="454" t="s">
        <v>1165</v>
      </c>
      <c r="C184" s="343" t="s">
        <v>707</v>
      </c>
      <c r="D184" s="343" t="s">
        <v>855</v>
      </c>
      <c r="E184" s="343" t="s">
        <v>708</v>
      </c>
      <c r="F184" t="s">
        <v>699</v>
      </c>
      <c r="G184" t="s">
        <v>627</v>
      </c>
      <c r="H184" s="456">
        <v>785.53236854532543</v>
      </c>
    </row>
    <row r="185" spans="1:8" ht="66">
      <c r="A185" t="s">
        <v>495</v>
      </c>
      <c r="B185" s="454" t="s">
        <v>1166</v>
      </c>
      <c r="C185" s="343" t="s">
        <v>707</v>
      </c>
      <c r="D185" s="343" t="s">
        <v>855</v>
      </c>
      <c r="E185" s="343" t="s">
        <v>708</v>
      </c>
      <c r="F185" t="s">
        <v>699</v>
      </c>
      <c r="G185" t="s">
        <v>628</v>
      </c>
      <c r="H185" s="456">
        <v>1662.0395325569245</v>
      </c>
    </row>
    <row r="186" spans="1:8" ht="66">
      <c r="A186" t="s">
        <v>496</v>
      </c>
      <c r="B186" s="454" t="s">
        <v>1167</v>
      </c>
      <c r="C186" s="343" t="s">
        <v>707</v>
      </c>
      <c r="D186" s="343" t="s">
        <v>855</v>
      </c>
      <c r="E186" s="343" t="s">
        <v>708</v>
      </c>
      <c r="F186" t="s">
        <v>700</v>
      </c>
      <c r="G186" t="s">
        <v>627</v>
      </c>
      <c r="H186" s="456">
        <v>1583.4213709732317</v>
      </c>
    </row>
    <row r="187" spans="1:8" ht="66">
      <c r="A187" t="s">
        <v>497</v>
      </c>
      <c r="B187" s="454" t="s">
        <v>1168</v>
      </c>
      <c r="C187" s="343" t="s">
        <v>707</v>
      </c>
      <c r="D187" s="343" t="s">
        <v>855</v>
      </c>
      <c r="E187" s="343" t="s">
        <v>708</v>
      </c>
      <c r="F187" t="s">
        <v>700</v>
      </c>
      <c r="G187" t="s">
        <v>628</v>
      </c>
      <c r="H187" s="456">
        <v>2459.9285349848305</v>
      </c>
    </row>
    <row r="188" spans="1:8" ht="66">
      <c r="A188" t="s">
        <v>498</v>
      </c>
      <c r="B188" s="454" t="s">
        <v>1169</v>
      </c>
      <c r="C188" s="343" t="s">
        <v>707</v>
      </c>
      <c r="D188" s="343" t="s">
        <v>855</v>
      </c>
      <c r="E188" s="343" t="s">
        <v>708</v>
      </c>
      <c r="F188" t="s">
        <v>701</v>
      </c>
      <c r="G188" t="s">
        <v>627</v>
      </c>
      <c r="H188" s="456">
        <v>1032.628322358591</v>
      </c>
    </row>
    <row r="189" spans="1:8" ht="66">
      <c r="A189" t="s">
        <v>499</v>
      </c>
      <c r="B189" s="454" t="s">
        <v>1170</v>
      </c>
      <c r="C189" s="343" t="s">
        <v>707</v>
      </c>
      <c r="D189" s="343" t="s">
        <v>855</v>
      </c>
      <c r="E189" s="343" t="s">
        <v>708</v>
      </c>
      <c r="F189" t="s">
        <v>701</v>
      </c>
      <c r="G189" t="s">
        <v>628</v>
      </c>
      <c r="H189" s="456">
        <v>2184.8483435204043</v>
      </c>
    </row>
    <row r="190" spans="1:8" ht="66">
      <c r="A190" t="s">
        <v>500</v>
      </c>
      <c r="B190" s="454" t="s">
        <v>1171</v>
      </c>
      <c r="C190" s="343" t="s">
        <v>707</v>
      </c>
      <c r="D190" s="343" t="s">
        <v>855</v>
      </c>
      <c r="E190" s="343" t="s">
        <v>708</v>
      </c>
      <c r="F190" t="s">
        <v>702</v>
      </c>
      <c r="G190" t="s">
        <v>627</v>
      </c>
      <c r="H190" s="456">
        <v>1830.5173247864973</v>
      </c>
    </row>
    <row r="191" spans="1:8" ht="66">
      <c r="A191" t="s">
        <v>501</v>
      </c>
      <c r="B191" s="454" t="s">
        <v>1172</v>
      </c>
      <c r="C191" s="343" t="s">
        <v>707</v>
      </c>
      <c r="D191" s="343" t="s">
        <v>855</v>
      </c>
      <c r="E191" s="343" t="s">
        <v>708</v>
      </c>
      <c r="F191" t="s">
        <v>702</v>
      </c>
      <c r="G191" t="s">
        <v>628</v>
      </c>
      <c r="H191" s="456">
        <v>2982.7373459483106</v>
      </c>
    </row>
    <row r="192" spans="1:8" ht="66">
      <c r="A192" t="s">
        <v>502</v>
      </c>
      <c r="B192" s="454" t="s">
        <v>1173</v>
      </c>
      <c r="C192" s="343" t="s">
        <v>707</v>
      </c>
      <c r="D192" s="343" t="s">
        <v>855</v>
      </c>
      <c r="E192" s="343" t="s">
        <v>708</v>
      </c>
      <c r="F192" t="s">
        <v>703</v>
      </c>
      <c r="G192" t="s">
        <v>627</v>
      </c>
      <c r="H192" s="456">
        <v>873.00813341674245</v>
      </c>
    </row>
    <row r="193" spans="1:8" ht="66">
      <c r="A193" t="s">
        <v>503</v>
      </c>
      <c r="B193" s="454" t="s">
        <v>1174</v>
      </c>
      <c r="C193" s="343" t="s">
        <v>707</v>
      </c>
      <c r="D193" s="343" t="s">
        <v>855</v>
      </c>
      <c r="E193" s="343" t="s">
        <v>708</v>
      </c>
      <c r="F193" t="s">
        <v>703</v>
      </c>
      <c r="G193" t="s">
        <v>628</v>
      </c>
      <c r="H193" s="456">
        <v>1749.5152974283417</v>
      </c>
    </row>
    <row r="194" spans="1:8" ht="66">
      <c r="A194" t="s">
        <v>504</v>
      </c>
      <c r="B194" s="454" t="s">
        <v>1175</v>
      </c>
      <c r="C194" s="343" t="s">
        <v>707</v>
      </c>
      <c r="D194" s="343" t="s">
        <v>855</v>
      </c>
      <c r="E194" s="343" t="s">
        <v>708</v>
      </c>
      <c r="F194" t="s">
        <v>704</v>
      </c>
      <c r="G194" t="s">
        <v>627</v>
      </c>
      <c r="H194" s="456">
        <v>1670.8971358446488</v>
      </c>
    </row>
    <row r="195" spans="1:8" ht="66">
      <c r="A195" t="s">
        <v>505</v>
      </c>
      <c r="B195" s="454" t="s">
        <v>1176</v>
      </c>
      <c r="C195" s="343" t="s">
        <v>707</v>
      </c>
      <c r="D195" s="343" t="s">
        <v>855</v>
      </c>
      <c r="E195" s="343" t="s">
        <v>708</v>
      </c>
      <c r="F195" t="s">
        <v>704</v>
      </c>
      <c r="G195" t="s">
        <v>628</v>
      </c>
      <c r="H195" s="456">
        <v>2547.4042998562481</v>
      </c>
    </row>
    <row r="196" spans="1:8" ht="66">
      <c r="A196" t="s">
        <v>506</v>
      </c>
      <c r="B196" s="454" t="s">
        <v>1177</v>
      </c>
      <c r="C196" s="343" t="s">
        <v>707</v>
      </c>
      <c r="D196" s="343" t="s">
        <v>855</v>
      </c>
      <c r="E196" s="343" t="s">
        <v>708</v>
      </c>
      <c r="F196" t="s">
        <v>705</v>
      </c>
      <c r="G196" t="s">
        <v>627</v>
      </c>
      <c r="H196" s="456">
        <v>1147.6203404386124</v>
      </c>
    </row>
    <row r="197" spans="1:8" ht="66">
      <c r="A197" t="s">
        <v>507</v>
      </c>
      <c r="B197" s="454" t="s">
        <v>1178</v>
      </c>
      <c r="C197" s="343" t="s">
        <v>707</v>
      </c>
      <c r="D197" s="343" t="s">
        <v>855</v>
      </c>
      <c r="E197" s="343" t="s">
        <v>708</v>
      </c>
      <c r="F197" t="s">
        <v>705</v>
      </c>
      <c r="G197" t="s">
        <v>628</v>
      </c>
      <c r="H197" s="456">
        <v>2299.8403616004261</v>
      </c>
    </row>
    <row r="198" spans="1:8" ht="66">
      <c r="A198" t="s">
        <v>508</v>
      </c>
      <c r="B198" s="454" t="s">
        <v>1179</v>
      </c>
      <c r="C198" s="343" t="s">
        <v>707</v>
      </c>
      <c r="D198" s="343" t="s">
        <v>855</v>
      </c>
      <c r="E198" s="343" t="s">
        <v>708</v>
      </c>
      <c r="F198" t="s">
        <v>706</v>
      </c>
      <c r="G198" t="s">
        <v>627</v>
      </c>
      <c r="H198" s="456">
        <v>1945.5093428665186</v>
      </c>
    </row>
    <row r="199" spans="1:8" ht="66">
      <c r="A199" t="s">
        <v>509</v>
      </c>
      <c r="B199" s="454" t="s">
        <v>1180</v>
      </c>
      <c r="C199" s="343" t="s">
        <v>707</v>
      </c>
      <c r="D199" s="343" t="s">
        <v>855</v>
      </c>
      <c r="E199" s="343" t="s">
        <v>708</v>
      </c>
      <c r="F199" t="s">
        <v>706</v>
      </c>
      <c r="G199" t="s">
        <v>628</v>
      </c>
      <c r="H199" s="456">
        <v>3097.7293640283324</v>
      </c>
    </row>
    <row r="200" spans="1:8" ht="52.8">
      <c r="A200" t="s">
        <v>510</v>
      </c>
      <c r="B200" s="454" t="s">
        <v>1181</v>
      </c>
      <c r="C200" s="343" t="s">
        <v>624</v>
      </c>
      <c r="D200" s="343" t="s">
        <v>856</v>
      </c>
      <c r="E200" s="343" t="s">
        <v>709</v>
      </c>
      <c r="F200" t="s">
        <v>699</v>
      </c>
      <c r="G200" t="s">
        <v>627</v>
      </c>
      <c r="H200" s="456">
        <v>815.27412860160723</v>
      </c>
    </row>
    <row r="201" spans="1:8" ht="52.8">
      <c r="A201" t="s">
        <v>511</v>
      </c>
      <c r="B201" s="454" t="s">
        <v>1182</v>
      </c>
      <c r="C201" s="343" t="s">
        <v>624</v>
      </c>
      <c r="D201" s="343" t="s">
        <v>856</v>
      </c>
      <c r="E201" s="343" t="s">
        <v>709</v>
      </c>
      <c r="F201" t="s">
        <v>699</v>
      </c>
      <c r="G201" t="s">
        <v>628</v>
      </c>
      <c r="H201" s="456">
        <v>1399.6122379426733</v>
      </c>
    </row>
    <row r="202" spans="1:8" ht="52.8">
      <c r="A202" t="s">
        <v>512</v>
      </c>
      <c r="B202" s="454" t="s">
        <v>1183</v>
      </c>
      <c r="C202" s="343" t="s">
        <v>624</v>
      </c>
      <c r="D202" s="343" t="s">
        <v>856</v>
      </c>
      <c r="E202" s="343" t="s">
        <v>709</v>
      </c>
      <c r="F202" t="s">
        <v>700</v>
      </c>
      <c r="G202" t="s">
        <v>627</v>
      </c>
      <c r="H202" s="456">
        <v>1613.1631310295134</v>
      </c>
    </row>
    <row r="203" spans="1:8" ht="52.8">
      <c r="A203" t="s">
        <v>513</v>
      </c>
      <c r="B203" s="454" t="s">
        <v>1184</v>
      </c>
      <c r="C203" s="343" t="s">
        <v>624</v>
      </c>
      <c r="D203" s="343" t="s">
        <v>856</v>
      </c>
      <c r="E203" s="343" t="s">
        <v>709</v>
      </c>
      <c r="F203" t="s">
        <v>700</v>
      </c>
      <c r="G203" t="s">
        <v>628</v>
      </c>
      <c r="H203" s="456">
        <v>2197.5012403705796</v>
      </c>
    </row>
    <row r="204" spans="1:8" ht="52.8">
      <c r="A204" t="s">
        <v>514</v>
      </c>
      <c r="B204" s="454" t="s">
        <v>1185</v>
      </c>
      <c r="C204" s="343" t="s">
        <v>624</v>
      </c>
      <c r="D204" s="343" t="s">
        <v>856</v>
      </c>
      <c r="E204" s="343" t="s">
        <v>709</v>
      </c>
      <c r="F204" t="s">
        <v>703</v>
      </c>
      <c r="G204" t="s">
        <v>627</v>
      </c>
      <c r="H204" s="456">
        <v>1165.1771880872755</v>
      </c>
    </row>
    <row r="205" spans="1:8" ht="52.8">
      <c r="A205" t="s">
        <v>515</v>
      </c>
      <c r="B205" s="454" t="s">
        <v>1186</v>
      </c>
      <c r="C205" s="343" t="s">
        <v>624</v>
      </c>
      <c r="D205" s="343" t="s">
        <v>856</v>
      </c>
      <c r="E205" s="343" t="s">
        <v>709</v>
      </c>
      <c r="F205" t="s">
        <v>703</v>
      </c>
      <c r="G205" t="s">
        <v>628</v>
      </c>
      <c r="H205" s="456">
        <v>1749.5152974283415</v>
      </c>
    </row>
    <row r="206" spans="1:8" ht="52.8">
      <c r="A206" t="s">
        <v>516</v>
      </c>
      <c r="B206" s="454" t="s">
        <v>1187</v>
      </c>
      <c r="C206" s="343" t="s">
        <v>624</v>
      </c>
      <c r="D206" s="343" t="s">
        <v>856</v>
      </c>
      <c r="E206" s="343" t="s">
        <v>709</v>
      </c>
      <c r="F206" t="s">
        <v>704</v>
      </c>
      <c r="G206" t="s">
        <v>627</v>
      </c>
      <c r="H206" s="456">
        <v>1963.0661905151817</v>
      </c>
    </row>
    <row r="207" spans="1:8" ht="52.8">
      <c r="A207" t="s">
        <v>517</v>
      </c>
      <c r="B207" s="454" t="s">
        <v>1188</v>
      </c>
      <c r="C207" s="343" t="s">
        <v>624</v>
      </c>
      <c r="D207" s="343" t="s">
        <v>856</v>
      </c>
      <c r="E207" s="343" t="s">
        <v>709</v>
      </c>
      <c r="F207" t="s">
        <v>704</v>
      </c>
      <c r="G207" t="s">
        <v>628</v>
      </c>
      <c r="H207" s="456">
        <v>2547.4042998562477</v>
      </c>
    </row>
    <row r="208" spans="1:8" ht="52.8">
      <c r="A208" t="s">
        <v>518</v>
      </c>
      <c r="B208" s="454" t="s">
        <v>1189</v>
      </c>
      <c r="C208" s="343" t="s">
        <v>624</v>
      </c>
      <c r="D208" s="343" t="s">
        <v>856</v>
      </c>
      <c r="E208" s="343" t="s">
        <v>709</v>
      </c>
      <c r="F208" t="s">
        <v>701</v>
      </c>
      <c r="G208" t="s">
        <v>627</v>
      </c>
      <c r="H208" s="456">
        <v>1071.7256085057984</v>
      </c>
    </row>
    <row r="209" spans="1:8" ht="52.8">
      <c r="A209" t="s">
        <v>519</v>
      </c>
      <c r="B209" s="454" t="s">
        <v>1190</v>
      </c>
      <c r="C209" s="343" t="s">
        <v>624</v>
      </c>
      <c r="D209" s="343" t="s">
        <v>856</v>
      </c>
      <c r="E209" s="343" t="s">
        <v>709</v>
      </c>
      <c r="F209" t="s">
        <v>701</v>
      </c>
      <c r="G209" t="s">
        <v>628</v>
      </c>
      <c r="H209" s="456">
        <v>1839.8722892803407</v>
      </c>
    </row>
    <row r="210" spans="1:8" ht="52.8">
      <c r="A210" t="s">
        <v>520</v>
      </c>
      <c r="B210" s="454" t="s">
        <v>1191</v>
      </c>
      <c r="C210" s="343" t="s">
        <v>624</v>
      </c>
      <c r="D210" s="343" t="s">
        <v>856</v>
      </c>
      <c r="E210" s="343" t="s">
        <v>709</v>
      </c>
      <c r="F210" t="s">
        <v>702</v>
      </c>
      <c r="G210" t="s">
        <v>627</v>
      </c>
      <c r="H210" s="456">
        <v>1869.6146109337046</v>
      </c>
    </row>
    <row r="211" spans="1:8" ht="52.8">
      <c r="A211" t="s">
        <v>521</v>
      </c>
      <c r="B211" s="454" t="s">
        <v>1192</v>
      </c>
      <c r="C211" s="343" t="s">
        <v>624</v>
      </c>
      <c r="D211" s="343" t="s">
        <v>856</v>
      </c>
      <c r="E211" s="343" t="s">
        <v>709</v>
      </c>
      <c r="F211" t="s">
        <v>702</v>
      </c>
      <c r="G211" t="s">
        <v>628</v>
      </c>
      <c r="H211" s="456">
        <v>2637.761291708247</v>
      </c>
    </row>
    <row r="212" spans="1:8" ht="52.8">
      <c r="A212" t="s">
        <v>522</v>
      </c>
      <c r="B212" s="454" t="s">
        <v>1193</v>
      </c>
      <c r="C212" s="343" t="s">
        <v>624</v>
      </c>
      <c r="D212" s="343" t="s">
        <v>856</v>
      </c>
      <c r="E212" s="343" t="s">
        <v>709</v>
      </c>
      <c r="F212" t="s">
        <v>705</v>
      </c>
      <c r="G212" t="s">
        <v>627</v>
      </c>
      <c r="H212" s="456">
        <v>1531.6936808258836</v>
      </c>
    </row>
    <row r="213" spans="1:8" ht="52.8">
      <c r="A213" t="s">
        <v>523</v>
      </c>
      <c r="B213" s="454" t="s">
        <v>1194</v>
      </c>
      <c r="C213" s="343" t="s">
        <v>624</v>
      </c>
      <c r="D213" s="343" t="s">
        <v>856</v>
      </c>
      <c r="E213" s="343" t="s">
        <v>709</v>
      </c>
      <c r="F213" t="s">
        <v>705</v>
      </c>
      <c r="G213" t="s">
        <v>628</v>
      </c>
      <c r="H213" s="456">
        <v>2299.8403616004261</v>
      </c>
    </row>
    <row r="214" spans="1:8" ht="52.8">
      <c r="A214" t="s">
        <v>524</v>
      </c>
      <c r="B214" s="454" t="s">
        <v>1195</v>
      </c>
      <c r="C214" s="343" t="s">
        <v>624</v>
      </c>
      <c r="D214" s="343" t="s">
        <v>856</v>
      </c>
      <c r="E214" s="343" t="s">
        <v>709</v>
      </c>
      <c r="F214" t="s">
        <v>706</v>
      </c>
      <c r="G214" t="s">
        <v>627</v>
      </c>
      <c r="H214" s="456">
        <v>2329.5826832537896</v>
      </c>
    </row>
    <row r="215" spans="1:8" ht="52.8">
      <c r="A215" t="s">
        <v>525</v>
      </c>
      <c r="B215" s="454" t="s">
        <v>1196</v>
      </c>
      <c r="C215" s="343" t="s">
        <v>624</v>
      </c>
      <c r="D215" s="343" t="s">
        <v>856</v>
      </c>
      <c r="E215" s="343" t="s">
        <v>709</v>
      </c>
      <c r="F215" t="s">
        <v>706</v>
      </c>
      <c r="G215" t="s">
        <v>628</v>
      </c>
      <c r="H215" s="456">
        <v>3097.7293640283324</v>
      </c>
    </row>
    <row r="216" spans="1:8" ht="26.4">
      <c r="A216" t="s">
        <v>526</v>
      </c>
      <c r="B216" s="454" t="s">
        <v>1197</v>
      </c>
      <c r="C216" s="343" t="s">
        <v>707</v>
      </c>
      <c r="D216" s="343" t="s">
        <v>857</v>
      </c>
      <c r="E216" s="343" t="s">
        <v>710</v>
      </c>
      <c r="F216" t="s">
        <v>636</v>
      </c>
      <c r="G216" t="s">
        <v>627</v>
      </c>
      <c r="H216" s="456">
        <v>290.41953937310473</v>
      </c>
    </row>
    <row r="217" spans="1:8" ht="26.4">
      <c r="A217" t="s">
        <v>527</v>
      </c>
      <c r="B217" s="454" t="s">
        <v>1198</v>
      </c>
      <c r="C217" s="343" t="s">
        <v>707</v>
      </c>
      <c r="D217" s="343" t="s">
        <v>857</v>
      </c>
      <c r="E217" s="343" t="s">
        <v>710</v>
      </c>
      <c r="F217" t="s">
        <v>636</v>
      </c>
      <c r="G217" t="s">
        <v>628</v>
      </c>
      <c r="H217" s="456">
        <v>874.75764871417095</v>
      </c>
    </row>
    <row r="218" spans="1:8" ht="26.4">
      <c r="A218" t="s">
        <v>528</v>
      </c>
      <c r="B218" s="454" t="s">
        <v>1199</v>
      </c>
      <c r="C218" s="343" t="s">
        <v>707</v>
      </c>
      <c r="D218" s="343" t="s">
        <v>857</v>
      </c>
      <c r="E218" s="343" t="s">
        <v>710</v>
      </c>
      <c r="F218" t="s">
        <v>637</v>
      </c>
      <c r="G218" t="s">
        <v>627</v>
      </c>
      <c r="H218" s="456">
        <v>381.77350002567073</v>
      </c>
    </row>
    <row r="219" spans="1:8" ht="26.4">
      <c r="A219" t="s">
        <v>529</v>
      </c>
      <c r="B219" s="454" t="s">
        <v>1200</v>
      </c>
      <c r="C219" s="343" t="s">
        <v>707</v>
      </c>
      <c r="D219" s="343" t="s">
        <v>857</v>
      </c>
      <c r="E219" s="343" t="s">
        <v>710</v>
      </c>
      <c r="F219" t="s">
        <v>637</v>
      </c>
      <c r="G219" t="s">
        <v>628</v>
      </c>
      <c r="H219" s="456">
        <v>1149.9201808002131</v>
      </c>
    </row>
    <row r="220" spans="1:8" ht="39.6">
      <c r="A220" t="s">
        <v>530</v>
      </c>
      <c r="B220" s="454" t="s">
        <v>1201</v>
      </c>
      <c r="C220" s="343" t="s">
        <v>707</v>
      </c>
      <c r="D220" s="343" t="s">
        <v>858</v>
      </c>
      <c r="E220" s="343" t="s">
        <v>711</v>
      </c>
      <c r="F220" t="s">
        <v>712</v>
      </c>
      <c r="G220" t="s">
        <v>627</v>
      </c>
      <c r="H220" s="456">
        <v>87.475764871417084</v>
      </c>
    </row>
    <row r="221" spans="1:8" ht="39.6">
      <c r="A221" t="s">
        <v>531</v>
      </c>
      <c r="B221" s="454" t="s">
        <v>1202</v>
      </c>
      <c r="C221" s="343" t="s">
        <v>707</v>
      </c>
      <c r="D221" s="343" t="s">
        <v>858</v>
      </c>
      <c r="E221" s="343" t="s">
        <v>711</v>
      </c>
      <c r="F221" t="s">
        <v>712</v>
      </c>
      <c r="G221" t="s">
        <v>628</v>
      </c>
      <c r="H221" s="456">
        <v>379.64481954195014</v>
      </c>
    </row>
    <row r="222" spans="1:8" ht="39.6">
      <c r="A222" t="s">
        <v>532</v>
      </c>
      <c r="B222" s="454" t="s">
        <v>1203</v>
      </c>
      <c r="C222" s="343" t="s">
        <v>707</v>
      </c>
      <c r="D222" s="343" t="s">
        <v>858</v>
      </c>
      <c r="E222" s="343" t="s">
        <v>711</v>
      </c>
      <c r="F222" t="s">
        <v>713</v>
      </c>
      <c r="G222" t="s">
        <v>627</v>
      </c>
      <c r="H222" s="456">
        <v>174.95152974283417</v>
      </c>
    </row>
    <row r="223" spans="1:8" ht="39.6">
      <c r="A223" t="s">
        <v>533</v>
      </c>
      <c r="B223" s="454" t="s">
        <v>1204</v>
      </c>
      <c r="C223" s="343" t="s">
        <v>707</v>
      </c>
      <c r="D223" s="343" t="s">
        <v>858</v>
      </c>
      <c r="E223" s="343" t="s">
        <v>711</v>
      </c>
      <c r="F223" t="s">
        <v>713</v>
      </c>
      <c r="G223" t="s">
        <v>628</v>
      </c>
      <c r="H223" s="456">
        <v>759.28963908390028</v>
      </c>
    </row>
    <row r="224" spans="1:8" ht="39.6">
      <c r="A224" t="s">
        <v>534</v>
      </c>
      <c r="B224" s="454" t="s">
        <v>1205</v>
      </c>
      <c r="C224" s="343" t="s">
        <v>707</v>
      </c>
      <c r="D224" s="343" t="s">
        <v>858</v>
      </c>
      <c r="E224" s="343" t="s">
        <v>711</v>
      </c>
      <c r="F224" t="s">
        <v>714</v>
      </c>
      <c r="G224" t="s">
        <v>627</v>
      </c>
      <c r="H224" s="456">
        <v>114.9920180800213</v>
      </c>
    </row>
    <row r="225" spans="1:8" ht="39.6">
      <c r="A225" t="s">
        <v>535</v>
      </c>
      <c r="B225" s="454" t="s">
        <v>1206</v>
      </c>
      <c r="C225" s="343" t="s">
        <v>707</v>
      </c>
      <c r="D225" s="343" t="s">
        <v>858</v>
      </c>
      <c r="E225" s="343" t="s">
        <v>711</v>
      </c>
      <c r="F225" t="s">
        <v>714</v>
      </c>
      <c r="G225" t="s">
        <v>628</v>
      </c>
      <c r="H225" s="456">
        <v>499.06535846729241</v>
      </c>
    </row>
    <row r="226" spans="1:8" ht="39.6">
      <c r="A226" t="s">
        <v>536</v>
      </c>
      <c r="B226" s="454" t="s">
        <v>1207</v>
      </c>
      <c r="C226" s="343" t="s">
        <v>707</v>
      </c>
      <c r="D226" s="343" t="s">
        <v>858</v>
      </c>
      <c r="E226" s="343" t="s">
        <v>711</v>
      </c>
      <c r="F226" t="s">
        <v>715</v>
      </c>
      <c r="G226" t="s">
        <v>627</v>
      </c>
      <c r="H226" s="456">
        <v>229.98403616004259</v>
      </c>
    </row>
    <row r="227" spans="1:8" ht="39.6">
      <c r="A227" t="s">
        <v>537</v>
      </c>
      <c r="B227" s="454" t="s">
        <v>1208</v>
      </c>
      <c r="C227" s="343" t="s">
        <v>707</v>
      </c>
      <c r="D227" s="343" t="s">
        <v>858</v>
      </c>
      <c r="E227" s="343" t="s">
        <v>711</v>
      </c>
      <c r="F227" t="s">
        <v>715</v>
      </c>
      <c r="G227" t="s">
        <v>628</v>
      </c>
      <c r="H227" s="456">
        <v>998.13071693458483</v>
      </c>
    </row>
    <row r="228" spans="1:8" ht="26.4">
      <c r="A228" t="s">
        <v>538</v>
      </c>
      <c r="B228" s="454" t="s">
        <v>1209</v>
      </c>
      <c r="C228" s="343" t="s">
        <v>707</v>
      </c>
      <c r="D228" s="343" t="s">
        <v>858</v>
      </c>
      <c r="E228" s="343" t="s">
        <v>716</v>
      </c>
      <c r="F228" t="s">
        <v>636</v>
      </c>
      <c r="G228" t="s">
        <v>627</v>
      </c>
      <c r="H228" s="456">
        <v>7.9298598718233571</v>
      </c>
    </row>
    <row r="229" spans="1:8" ht="26.4">
      <c r="A229" t="s">
        <v>539</v>
      </c>
      <c r="B229" s="454" t="s">
        <v>1210</v>
      </c>
      <c r="C229" s="343" t="s">
        <v>707</v>
      </c>
      <c r="D229" s="343" t="s">
        <v>858</v>
      </c>
      <c r="E229" s="343" t="s">
        <v>716</v>
      </c>
      <c r="F229" t="s">
        <v>636</v>
      </c>
      <c r="G229" t="s">
        <v>628</v>
      </c>
      <c r="H229" s="456">
        <v>7.9298598718233571</v>
      </c>
    </row>
    <row r="230" spans="1:8" ht="26.4">
      <c r="A230" t="s">
        <v>540</v>
      </c>
      <c r="B230" s="454" t="s">
        <v>1211</v>
      </c>
      <c r="C230" s="343" t="s">
        <v>707</v>
      </c>
      <c r="D230" s="343" t="s">
        <v>858</v>
      </c>
      <c r="E230" s="343" t="s">
        <v>716</v>
      </c>
      <c r="F230" t="s">
        <v>637</v>
      </c>
      <c r="G230" t="s">
        <v>627</v>
      </c>
      <c r="H230" s="456">
        <v>10.308817833370366</v>
      </c>
    </row>
    <row r="231" spans="1:8" ht="26.4">
      <c r="A231" t="s">
        <v>541</v>
      </c>
      <c r="B231" s="454" t="s">
        <v>1212</v>
      </c>
      <c r="C231" s="343" t="s">
        <v>707</v>
      </c>
      <c r="D231" s="343" t="s">
        <v>858</v>
      </c>
      <c r="E231" s="343" t="s">
        <v>716</v>
      </c>
      <c r="F231" t="s">
        <v>637</v>
      </c>
      <c r="G231" t="s">
        <v>628</v>
      </c>
      <c r="H231" s="456">
        <v>10.308817833370366</v>
      </c>
    </row>
    <row r="232" spans="1:8" ht="26.4">
      <c r="A232" t="s">
        <v>542</v>
      </c>
      <c r="B232" s="454" t="s">
        <v>1213</v>
      </c>
      <c r="C232" s="343" t="s">
        <v>717</v>
      </c>
      <c r="D232" s="343" t="s">
        <v>859</v>
      </c>
      <c r="E232" s="343" t="s">
        <v>718</v>
      </c>
      <c r="F232" t="s">
        <v>636</v>
      </c>
      <c r="G232" t="s">
        <v>627</v>
      </c>
      <c r="H232" s="456">
        <v>385.93642079291726</v>
      </c>
    </row>
    <row r="233" spans="1:8" ht="26.4">
      <c r="A233" t="s">
        <v>543</v>
      </c>
      <c r="B233" s="454" t="s">
        <v>1214</v>
      </c>
      <c r="C233" s="343" t="s">
        <v>717</v>
      </c>
      <c r="D233" s="343" t="s">
        <v>859</v>
      </c>
      <c r="E233" s="343" t="s">
        <v>718</v>
      </c>
      <c r="F233" t="s">
        <v>636</v>
      </c>
      <c r="G233" t="s">
        <v>628</v>
      </c>
      <c r="H233" s="456">
        <v>678.10547546345038</v>
      </c>
    </row>
    <row r="234" spans="1:8" ht="26.4">
      <c r="A234" t="s">
        <v>544</v>
      </c>
      <c r="B234" s="454" t="s">
        <v>1215</v>
      </c>
      <c r="C234" s="343" t="s">
        <v>717</v>
      </c>
      <c r="D234" s="343" t="s">
        <v>859</v>
      </c>
      <c r="E234" s="343" t="s">
        <v>719</v>
      </c>
      <c r="F234" t="s">
        <v>636</v>
      </c>
      <c r="G234" t="s">
        <v>627</v>
      </c>
      <c r="H234" s="456">
        <v>444.62824956374834</v>
      </c>
    </row>
    <row r="235" spans="1:8" ht="26.4">
      <c r="A235" t="s">
        <v>545</v>
      </c>
      <c r="B235" s="454" t="s">
        <v>1216</v>
      </c>
      <c r="C235" s="343" t="s">
        <v>717</v>
      </c>
      <c r="D235" s="343" t="s">
        <v>859</v>
      </c>
      <c r="E235" s="343" t="s">
        <v>719</v>
      </c>
      <c r="F235" t="s">
        <v>636</v>
      </c>
      <c r="G235" t="s">
        <v>628</v>
      </c>
      <c r="H235" s="456">
        <v>736.79730423428146</v>
      </c>
    </row>
    <row r="236" spans="1:8" ht="26.4">
      <c r="A236" t="s">
        <v>546</v>
      </c>
      <c r="B236" s="454" t="s">
        <v>1217</v>
      </c>
      <c r="C236" s="343" t="s">
        <v>717</v>
      </c>
      <c r="D236" s="343" t="s">
        <v>859</v>
      </c>
      <c r="E236" s="343" t="s">
        <v>720</v>
      </c>
      <c r="F236" t="s">
        <v>636</v>
      </c>
      <c r="G236" t="s">
        <v>627</v>
      </c>
      <c r="H236" s="456">
        <v>599.50946437566381</v>
      </c>
    </row>
    <row r="237" spans="1:8" ht="26.4">
      <c r="A237" t="s">
        <v>547</v>
      </c>
      <c r="B237" s="454" t="s">
        <v>1218</v>
      </c>
      <c r="C237" s="343" t="s">
        <v>717</v>
      </c>
      <c r="D237" s="343" t="s">
        <v>859</v>
      </c>
      <c r="E237" s="343" t="s">
        <v>720</v>
      </c>
      <c r="F237" t="s">
        <v>636</v>
      </c>
      <c r="G237" t="s">
        <v>628</v>
      </c>
      <c r="H237" s="456">
        <v>891.67851904619681</v>
      </c>
    </row>
    <row r="238" spans="1:8" ht="26.4">
      <c r="A238" t="s">
        <v>548</v>
      </c>
      <c r="B238" s="454" t="s">
        <v>1219</v>
      </c>
      <c r="C238" s="343" t="s">
        <v>717</v>
      </c>
      <c r="D238" s="343" t="s">
        <v>859</v>
      </c>
      <c r="E238" s="343" t="s">
        <v>721</v>
      </c>
      <c r="F238" t="s">
        <v>636</v>
      </c>
      <c r="G238" t="s">
        <v>627</v>
      </c>
      <c r="H238" s="456">
        <v>2187.2819932908747</v>
      </c>
    </row>
    <row r="239" spans="1:8" ht="26.4">
      <c r="A239" t="s">
        <v>549</v>
      </c>
      <c r="B239" s="454" t="s">
        <v>1220</v>
      </c>
      <c r="C239" s="343" t="s">
        <v>717</v>
      </c>
      <c r="D239" s="343" t="s">
        <v>859</v>
      </c>
      <c r="E239" s="343" t="s">
        <v>721</v>
      </c>
      <c r="F239" t="s">
        <v>636</v>
      </c>
      <c r="G239" t="s">
        <v>628</v>
      </c>
      <c r="H239" s="456">
        <v>2771.6201026319404</v>
      </c>
    </row>
    <row r="240" spans="1:8" ht="26.4">
      <c r="A240" t="s">
        <v>550</v>
      </c>
      <c r="B240" s="454" t="s">
        <v>1221</v>
      </c>
      <c r="C240" s="343" t="s">
        <v>717</v>
      </c>
      <c r="D240" s="343" t="s">
        <v>859</v>
      </c>
      <c r="E240" s="343" t="s">
        <v>722</v>
      </c>
      <c r="F240" t="s">
        <v>636</v>
      </c>
      <c r="G240" t="s">
        <v>627</v>
      </c>
      <c r="H240" s="456">
        <v>385.93642079291726</v>
      </c>
    </row>
    <row r="241" spans="1:8" ht="26.4">
      <c r="A241" t="s">
        <v>551</v>
      </c>
      <c r="B241" s="454" t="s">
        <v>1222</v>
      </c>
      <c r="C241" s="343" t="s">
        <v>717</v>
      </c>
      <c r="D241" s="343" t="s">
        <v>859</v>
      </c>
      <c r="E241" s="343" t="s">
        <v>722</v>
      </c>
      <c r="F241" t="s">
        <v>636</v>
      </c>
      <c r="G241" t="s">
        <v>628</v>
      </c>
      <c r="H241" s="456">
        <v>678.10547546345038</v>
      </c>
    </row>
    <row r="242" spans="1:8" ht="26.4">
      <c r="A242" t="s">
        <v>552</v>
      </c>
      <c r="B242" s="454" t="s">
        <v>1223</v>
      </c>
      <c r="C242" s="343" t="s">
        <v>717</v>
      </c>
      <c r="D242" s="343" t="s">
        <v>859</v>
      </c>
      <c r="E242" s="343" t="s">
        <v>723</v>
      </c>
      <c r="F242" t="s">
        <v>636</v>
      </c>
      <c r="G242" t="s">
        <v>627</v>
      </c>
      <c r="H242" s="456">
        <v>444.62824956374834</v>
      </c>
    </row>
    <row r="243" spans="1:8" ht="26.4">
      <c r="A243" t="s">
        <v>553</v>
      </c>
      <c r="B243" s="454" t="s">
        <v>1224</v>
      </c>
      <c r="C243" s="343" t="s">
        <v>717</v>
      </c>
      <c r="D243" s="343" t="s">
        <v>859</v>
      </c>
      <c r="E243" s="343" t="s">
        <v>724</v>
      </c>
      <c r="F243" t="s">
        <v>636</v>
      </c>
      <c r="G243" t="s">
        <v>628</v>
      </c>
      <c r="H243" s="456">
        <v>736.79730423428146</v>
      </c>
    </row>
    <row r="244" spans="1:8" ht="26.4">
      <c r="A244" t="s">
        <v>1297</v>
      </c>
      <c r="B244" s="454" t="s">
        <v>1225</v>
      </c>
      <c r="C244" s="343" t="s">
        <v>717</v>
      </c>
      <c r="D244" s="343" t="s">
        <v>859</v>
      </c>
      <c r="E244" s="343" t="s">
        <v>725</v>
      </c>
      <c r="F244" t="s">
        <v>636</v>
      </c>
      <c r="G244" t="s">
        <v>627</v>
      </c>
      <c r="H244" s="456">
        <v>599.50946437566381</v>
      </c>
    </row>
    <row r="245" spans="1:8" ht="26.4">
      <c r="A245" t="s">
        <v>554</v>
      </c>
      <c r="B245" s="454" t="s">
        <v>1764</v>
      </c>
      <c r="C245" s="343" t="s">
        <v>717</v>
      </c>
      <c r="D245" s="343" t="s">
        <v>859</v>
      </c>
      <c r="E245" s="343" t="s">
        <v>725</v>
      </c>
      <c r="F245" t="s">
        <v>636</v>
      </c>
      <c r="G245" t="s">
        <v>628</v>
      </c>
      <c r="H245" s="456">
        <v>891.67851904619681</v>
      </c>
    </row>
    <row r="246" spans="1:8" ht="26.4">
      <c r="A246" t="s">
        <v>555</v>
      </c>
      <c r="B246" s="454" t="s">
        <v>1226</v>
      </c>
      <c r="C246" s="343" t="s">
        <v>717</v>
      </c>
      <c r="D246" s="343" t="s">
        <v>859</v>
      </c>
      <c r="E246" s="343" t="s">
        <v>726</v>
      </c>
      <c r="F246" t="s">
        <v>636</v>
      </c>
      <c r="G246" t="s">
        <v>627</v>
      </c>
      <c r="H246" s="456">
        <v>2187.2819932908747</v>
      </c>
    </row>
    <row r="247" spans="1:8" ht="26.4">
      <c r="A247" t="s">
        <v>556</v>
      </c>
      <c r="B247" s="454" t="s">
        <v>1227</v>
      </c>
      <c r="C247" s="343" t="s">
        <v>717</v>
      </c>
      <c r="D247" s="343" t="s">
        <v>859</v>
      </c>
      <c r="E247" s="343" t="s">
        <v>726</v>
      </c>
      <c r="F247" t="s">
        <v>636</v>
      </c>
      <c r="G247" t="s">
        <v>628</v>
      </c>
      <c r="H247" s="456">
        <v>2771.6201026319404</v>
      </c>
    </row>
    <row r="248" spans="1:8" ht="39.6">
      <c r="A248" t="s">
        <v>557</v>
      </c>
      <c r="B248" s="454" t="s">
        <v>1228</v>
      </c>
      <c r="C248" s="343" t="s">
        <v>717</v>
      </c>
      <c r="D248" s="343" t="s">
        <v>860</v>
      </c>
      <c r="E248" s="343" t="s">
        <v>727</v>
      </c>
      <c r="F248" t="s">
        <v>626</v>
      </c>
      <c r="G248" t="s">
        <v>627</v>
      </c>
      <c r="H248" s="456">
        <v>135.86625959710659</v>
      </c>
    </row>
    <row r="249" spans="1:8" ht="39.6">
      <c r="A249" t="s">
        <v>558</v>
      </c>
      <c r="B249" s="454" t="s">
        <v>1229</v>
      </c>
      <c r="C249" s="343" t="s">
        <v>717</v>
      </c>
      <c r="D249" s="343" t="s">
        <v>860</v>
      </c>
      <c r="E249" s="343" t="s">
        <v>727</v>
      </c>
      <c r="F249" t="s">
        <v>626</v>
      </c>
      <c r="G249" t="s">
        <v>628</v>
      </c>
      <c r="H249" s="456">
        <v>428.03531426763965</v>
      </c>
    </row>
    <row r="250" spans="1:8" ht="39.6">
      <c r="A250" t="s">
        <v>559</v>
      </c>
      <c r="B250" s="454" t="s">
        <v>1230</v>
      </c>
      <c r="C250" s="343" t="s">
        <v>717</v>
      </c>
      <c r="D250" s="343" t="s">
        <v>860</v>
      </c>
      <c r="E250" s="343" t="s">
        <v>727</v>
      </c>
      <c r="F250" t="s">
        <v>630</v>
      </c>
      <c r="G250" t="s">
        <v>627</v>
      </c>
      <c r="H250" s="456">
        <v>219.84299387366704</v>
      </c>
    </row>
    <row r="251" spans="1:8" ht="39.6">
      <c r="A251" t="s">
        <v>560</v>
      </c>
      <c r="B251" s="454" t="s">
        <v>1231</v>
      </c>
      <c r="C251" s="343" t="s">
        <v>717</v>
      </c>
      <c r="D251" s="343" t="s">
        <v>860</v>
      </c>
      <c r="E251" s="343" t="s">
        <v>727</v>
      </c>
      <c r="F251" t="s">
        <v>630</v>
      </c>
      <c r="G251" t="s">
        <v>628</v>
      </c>
      <c r="H251" s="456">
        <v>512.01204854420007</v>
      </c>
    </row>
    <row r="252" spans="1:8" ht="39.6">
      <c r="A252" t="s">
        <v>561</v>
      </c>
      <c r="B252" s="454" t="s">
        <v>1232</v>
      </c>
      <c r="C252" s="343" t="s">
        <v>717</v>
      </c>
      <c r="D252" s="343" t="s">
        <v>860</v>
      </c>
      <c r="E252" s="343" t="s">
        <v>727</v>
      </c>
      <c r="F252" t="s">
        <v>629</v>
      </c>
      <c r="G252" t="s">
        <v>627</v>
      </c>
      <c r="H252" s="456">
        <v>176.03998928166874</v>
      </c>
    </row>
    <row r="253" spans="1:8" ht="39.6">
      <c r="A253" t="s">
        <v>562</v>
      </c>
      <c r="B253" s="454" t="s">
        <v>1233</v>
      </c>
      <c r="C253" s="343" t="s">
        <v>717</v>
      </c>
      <c r="D253" s="343" t="s">
        <v>860</v>
      </c>
      <c r="E253" s="343" t="s">
        <v>727</v>
      </c>
      <c r="F253" t="s">
        <v>629</v>
      </c>
      <c r="G253" t="s">
        <v>628</v>
      </c>
      <c r="H253" s="456">
        <v>560.11332966893985</v>
      </c>
    </row>
    <row r="254" spans="1:8" ht="39.6">
      <c r="A254" t="s">
        <v>563</v>
      </c>
      <c r="B254" s="454" t="s">
        <v>1234</v>
      </c>
      <c r="C254" s="343" t="s">
        <v>717</v>
      </c>
      <c r="D254" s="343" t="s">
        <v>860</v>
      </c>
      <c r="E254" s="343" t="s">
        <v>727</v>
      </c>
      <c r="F254" t="s">
        <v>632</v>
      </c>
      <c r="G254" t="s">
        <v>627</v>
      </c>
      <c r="H254" s="456">
        <v>287.198940092356</v>
      </c>
    </row>
    <row r="255" spans="1:8" ht="39.6">
      <c r="A255" t="s">
        <v>564</v>
      </c>
      <c r="B255" s="454" t="s">
        <v>1235</v>
      </c>
      <c r="C255" s="343" t="s">
        <v>717</v>
      </c>
      <c r="D255" s="343" t="s">
        <v>860</v>
      </c>
      <c r="E255" s="343" t="s">
        <v>727</v>
      </c>
      <c r="F255" t="s">
        <v>632</v>
      </c>
      <c r="G255" t="s">
        <v>628</v>
      </c>
      <c r="H255" s="456">
        <v>671.27228047962717</v>
      </c>
    </row>
    <row r="256" spans="1:8" ht="26.4">
      <c r="A256" t="s">
        <v>565</v>
      </c>
      <c r="B256" s="454" t="s">
        <v>1236</v>
      </c>
      <c r="C256" s="343" t="s">
        <v>717</v>
      </c>
      <c r="D256" s="343" t="s">
        <v>861</v>
      </c>
      <c r="E256" s="343" t="s">
        <v>728</v>
      </c>
      <c r="F256" t="s">
        <v>626</v>
      </c>
      <c r="G256" t="s">
        <v>627</v>
      </c>
      <c r="H256" s="456">
        <v>424.53628367278299</v>
      </c>
    </row>
    <row r="257" spans="1:8" ht="26.4">
      <c r="A257" t="s">
        <v>566</v>
      </c>
      <c r="B257" s="454" t="s">
        <v>1237</v>
      </c>
      <c r="C257" s="343" t="s">
        <v>717</v>
      </c>
      <c r="D257" s="343" t="s">
        <v>861</v>
      </c>
      <c r="E257" s="343" t="s">
        <v>728</v>
      </c>
      <c r="F257" t="s">
        <v>626</v>
      </c>
      <c r="G257" t="s">
        <v>628</v>
      </c>
      <c r="H257" s="456">
        <v>716.70533834331604</v>
      </c>
    </row>
    <row r="258" spans="1:8" ht="26.4">
      <c r="A258" t="s">
        <v>567</v>
      </c>
      <c r="B258" s="454" t="s">
        <v>1238</v>
      </c>
      <c r="C258" s="343" t="s">
        <v>717</v>
      </c>
      <c r="D258" s="343" t="s">
        <v>861</v>
      </c>
      <c r="E258" s="343" t="s">
        <v>728</v>
      </c>
      <c r="F258" t="s">
        <v>630</v>
      </c>
      <c r="G258" t="s">
        <v>627</v>
      </c>
      <c r="H258" s="456">
        <v>881.74294806738965</v>
      </c>
    </row>
    <row r="259" spans="1:8" ht="26.4">
      <c r="A259" t="s">
        <v>568</v>
      </c>
      <c r="B259" s="454" t="s">
        <v>1239</v>
      </c>
      <c r="C259" s="343" t="s">
        <v>717</v>
      </c>
      <c r="D259" s="343" t="s">
        <v>861</v>
      </c>
      <c r="E259" s="343" t="s">
        <v>728</v>
      </c>
      <c r="F259" t="s">
        <v>630</v>
      </c>
      <c r="G259" t="s">
        <v>628</v>
      </c>
      <c r="H259" s="456">
        <v>1466.0810574084558</v>
      </c>
    </row>
    <row r="260" spans="1:8" ht="39.6">
      <c r="A260" t="s">
        <v>569</v>
      </c>
      <c r="B260" s="454" t="s">
        <v>1240</v>
      </c>
      <c r="C260" s="343" t="s">
        <v>717</v>
      </c>
      <c r="D260" s="343" t="s">
        <v>862</v>
      </c>
      <c r="E260" s="343" t="s">
        <v>729</v>
      </c>
      <c r="F260" t="s">
        <v>626</v>
      </c>
      <c r="G260" t="s">
        <v>627</v>
      </c>
      <c r="H260" s="456">
        <v>75.757336790882988</v>
      </c>
    </row>
    <row r="261" spans="1:8" ht="39.6">
      <c r="A261" t="s">
        <v>570</v>
      </c>
      <c r="B261" s="454" t="s">
        <v>1241</v>
      </c>
      <c r="C261" s="343" t="s">
        <v>717</v>
      </c>
      <c r="D261" s="343" t="s">
        <v>862</v>
      </c>
      <c r="E261" s="343" t="s">
        <v>729</v>
      </c>
      <c r="F261" t="s">
        <v>626</v>
      </c>
      <c r="G261" t="s">
        <v>628</v>
      </c>
      <c r="H261" s="456">
        <v>152.28852261641168</v>
      </c>
    </row>
    <row r="262" spans="1:8" ht="39.6">
      <c r="A262" t="s">
        <v>571</v>
      </c>
      <c r="B262" s="454" t="s">
        <v>1242</v>
      </c>
      <c r="C262" s="343" t="s">
        <v>717</v>
      </c>
      <c r="D262" s="343" t="s">
        <v>862</v>
      </c>
      <c r="E262" s="343" t="s">
        <v>729</v>
      </c>
      <c r="F262" t="s">
        <v>629</v>
      </c>
      <c r="G262" t="s">
        <v>627</v>
      </c>
      <c r="H262" s="456">
        <v>135.27438166113484</v>
      </c>
    </row>
    <row r="263" spans="1:8" ht="39.6">
      <c r="A263" t="s">
        <v>572</v>
      </c>
      <c r="B263" s="454" t="s">
        <v>1243</v>
      </c>
      <c r="C263" s="343" t="s">
        <v>717</v>
      </c>
      <c r="D263" s="343" t="s">
        <v>862</v>
      </c>
      <c r="E263" s="343" t="s">
        <v>729</v>
      </c>
      <c r="F263" t="s">
        <v>629</v>
      </c>
      <c r="G263" t="s">
        <v>628</v>
      </c>
      <c r="H263" s="456">
        <v>235.87910934852022</v>
      </c>
    </row>
    <row r="264" spans="1:8" ht="39.6">
      <c r="A264" t="s">
        <v>573</v>
      </c>
      <c r="B264" s="454" t="s">
        <v>1244</v>
      </c>
      <c r="C264" s="343" t="s">
        <v>717</v>
      </c>
      <c r="D264" s="343" t="s">
        <v>862</v>
      </c>
      <c r="E264" s="343" t="s">
        <v>729</v>
      </c>
      <c r="F264" t="s">
        <v>630</v>
      </c>
      <c r="G264" t="s">
        <v>627</v>
      </c>
      <c r="H264" s="456">
        <v>368.55179415507604</v>
      </c>
    </row>
    <row r="265" spans="1:8" ht="39.6">
      <c r="A265" t="s">
        <v>574</v>
      </c>
      <c r="B265" s="454" t="s">
        <v>1245</v>
      </c>
      <c r="C265" s="343" t="s">
        <v>717</v>
      </c>
      <c r="D265" s="343" t="s">
        <v>862</v>
      </c>
      <c r="E265" s="343" t="s">
        <v>729</v>
      </c>
      <c r="F265" t="s">
        <v>630</v>
      </c>
      <c r="G265" t="s">
        <v>628</v>
      </c>
      <c r="H265" s="456">
        <v>952.8899034961421</v>
      </c>
    </row>
    <row r="266" spans="1:8" ht="39.6">
      <c r="A266" t="s">
        <v>575</v>
      </c>
      <c r="B266" s="454" t="s">
        <v>1246</v>
      </c>
      <c r="C266" s="343" t="s">
        <v>717</v>
      </c>
      <c r="D266" s="343" t="s">
        <v>862</v>
      </c>
      <c r="E266" s="343" t="s">
        <v>729</v>
      </c>
      <c r="F266" t="s">
        <v>632</v>
      </c>
      <c r="G266" t="s">
        <v>627</v>
      </c>
      <c r="H266" s="456">
        <v>481.9187573745254</v>
      </c>
    </row>
    <row r="267" spans="1:8" ht="39.6">
      <c r="A267" t="s">
        <v>576</v>
      </c>
      <c r="B267" s="454" t="s">
        <v>1247</v>
      </c>
      <c r="C267" s="343" t="s">
        <v>717</v>
      </c>
      <c r="D267" s="343" t="s">
        <v>862</v>
      </c>
      <c r="E267" s="343" t="s">
        <v>729</v>
      </c>
      <c r="F267" t="s">
        <v>632</v>
      </c>
      <c r="G267" t="s">
        <v>628</v>
      </c>
      <c r="H267" s="456">
        <v>1250.0654381490676</v>
      </c>
    </row>
    <row r="268" spans="1:8" ht="52.8">
      <c r="A268" t="s">
        <v>577</v>
      </c>
      <c r="B268" s="454" t="s">
        <v>1248</v>
      </c>
      <c r="C268" s="343" t="s">
        <v>717</v>
      </c>
      <c r="D268" s="343" t="s">
        <v>862</v>
      </c>
      <c r="E268" s="343" t="s">
        <v>730</v>
      </c>
      <c r="F268" t="s">
        <v>636</v>
      </c>
      <c r="G268" t="s">
        <v>627</v>
      </c>
      <c r="H268" s="456">
        <v>141.6979772552011</v>
      </c>
    </row>
    <row r="269" spans="1:8" ht="52.8">
      <c r="A269" t="s">
        <v>578</v>
      </c>
      <c r="B269" s="454" t="s">
        <v>1249</v>
      </c>
      <c r="C269" s="343" t="s">
        <v>717</v>
      </c>
      <c r="D269" s="343" t="s">
        <v>862</v>
      </c>
      <c r="E269" s="343" t="s">
        <v>730</v>
      </c>
      <c r="F269" t="s">
        <v>636</v>
      </c>
      <c r="G269" t="s">
        <v>628</v>
      </c>
      <c r="H269" s="456">
        <v>433.86703192573418</v>
      </c>
    </row>
    <row r="270" spans="1:8" ht="52.8">
      <c r="A270" t="s">
        <v>579</v>
      </c>
      <c r="B270" s="454" t="s">
        <v>1250</v>
      </c>
      <c r="C270" s="343" t="s">
        <v>717</v>
      </c>
      <c r="D270" s="343" t="s">
        <v>862</v>
      </c>
      <c r="E270" s="343" t="s">
        <v>730</v>
      </c>
      <c r="F270" t="s">
        <v>637</v>
      </c>
      <c r="G270" t="s">
        <v>627</v>
      </c>
      <c r="H270" s="456">
        <v>183.70612382033681</v>
      </c>
    </row>
    <row r="271" spans="1:8" ht="52.8">
      <c r="A271" t="s">
        <v>580</v>
      </c>
      <c r="B271" s="454" t="s">
        <v>1251</v>
      </c>
      <c r="C271" s="343" t="s">
        <v>717</v>
      </c>
      <c r="D271" s="343" t="s">
        <v>862</v>
      </c>
      <c r="E271" s="343" t="s">
        <v>730</v>
      </c>
      <c r="F271" t="s">
        <v>637</v>
      </c>
      <c r="G271" t="s">
        <v>628</v>
      </c>
      <c r="H271" s="456">
        <v>567.77946420760793</v>
      </c>
    </row>
    <row r="272" spans="1:8" ht="66">
      <c r="A272" t="s">
        <v>581</v>
      </c>
      <c r="B272" s="454" t="s">
        <v>1252</v>
      </c>
      <c r="C272" s="343" t="s">
        <v>717</v>
      </c>
      <c r="D272" s="343" t="s">
        <v>862</v>
      </c>
      <c r="E272" s="343" t="s">
        <v>731</v>
      </c>
      <c r="F272" t="s">
        <v>636</v>
      </c>
      <c r="G272" t="s">
        <v>627</v>
      </c>
      <c r="H272" s="456">
        <v>83.963972440065817</v>
      </c>
    </row>
    <row r="273" spans="1:8" ht="66">
      <c r="A273" t="s">
        <v>582</v>
      </c>
      <c r="B273" s="454" t="s">
        <v>1253</v>
      </c>
      <c r="C273" s="343" t="s">
        <v>717</v>
      </c>
      <c r="D273" s="343" t="s">
        <v>862</v>
      </c>
      <c r="E273" s="343" t="s">
        <v>731</v>
      </c>
      <c r="F273" t="s">
        <v>636</v>
      </c>
      <c r="G273" t="s">
        <v>628</v>
      </c>
      <c r="H273" s="456">
        <v>83.963972440065817</v>
      </c>
    </row>
    <row r="274" spans="1:8" ht="66">
      <c r="A274" t="s">
        <v>583</v>
      </c>
      <c r="B274" s="454" t="s">
        <v>1254</v>
      </c>
      <c r="C274" s="343" t="s">
        <v>717</v>
      </c>
      <c r="D274" s="343" t="s">
        <v>862</v>
      </c>
      <c r="E274" s="343" t="s">
        <v>731</v>
      </c>
      <c r="F274" t="s">
        <v>637</v>
      </c>
      <c r="G274" t="s">
        <v>627</v>
      </c>
      <c r="H274" s="456">
        <v>107.81139188752277</v>
      </c>
    </row>
    <row r="275" spans="1:8" ht="66">
      <c r="A275" t="s">
        <v>584</v>
      </c>
      <c r="B275" s="454" t="s">
        <v>1255</v>
      </c>
      <c r="C275" s="343" t="s">
        <v>717</v>
      </c>
      <c r="D275" s="343" t="s">
        <v>862</v>
      </c>
      <c r="E275" s="343" t="s">
        <v>731</v>
      </c>
      <c r="F275" t="s">
        <v>637</v>
      </c>
      <c r="G275" t="s">
        <v>628</v>
      </c>
      <c r="H275" s="456">
        <v>107.81139188752277</v>
      </c>
    </row>
    <row r="276" spans="1:8">
      <c r="A276" t="s">
        <v>585</v>
      </c>
      <c r="B276" s="454" t="s">
        <v>1256</v>
      </c>
      <c r="C276" s="343" t="s">
        <v>717</v>
      </c>
      <c r="D276" s="343" t="s">
        <v>863</v>
      </c>
      <c r="E276" s="343" t="s">
        <v>732</v>
      </c>
      <c r="F276" t="s">
        <v>626</v>
      </c>
      <c r="G276" t="s">
        <v>627</v>
      </c>
      <c r="H276" s="456">
        <v>98.884892018902548</v>
      </c>
    </row>
    <row r="277" spans="1:8" ht="26.4">
      <c r="A277" t="s">
        <v>586</v>
      </c>
      <c r="B277" s="454" t="s">
        <v>1257</v>
      </c>
      <c r="C277" s="343" t="s">
        <v>717</v>
      </c>
      <c r="D277" s="343" t="s">
        <v>863</v>
      </c>
      <c r="E277" s="343" t="s">
        <v>732</v>
      </c>
      <c r="F277" t="s">
        <v>626</v>
      </c>
      <c r="G277" t="s">
        <v>628</v>
      </c>
      <c r="H277" s="456">
        <v>186.61670505414472</v>
      </c>
    </row>
    <row r="278" spans="1:8">
      <c r="A278" t="s">
        <v>587</v>
      </c>
      <c r="B278" s="454" t="s">
        <v>1258</v>
      </c>
      <c r="C278" s="343" t="s">
        <v>717</v>
      </c>
      <c r="D278" s="343" t="s">
        <v>863</v>
      </c>
      <c r="E278" s="343" t="s">
        <v>732</v>
      </c>
      <c r="F278" t="s">
        <v>629</v>
      </c>
      <c r="G278" t="s">
        <v>627</v>
      </c>
      <c r="H278" s="456">
        <v>163.69007596211523</v>
      </c>
    </row>
    <row r="279" spans="1:8" ht="26.4">
      <c r="A279" t="s">
        <v>588</v>
      </c>
      <c r="B279" s="454" t="s">
        <v>1259</v>
      </c>
      <c r="C279" s="343" t="s">
        <v>717</v>
      </c>
      <c r="D279" s="343" t="s">
        <v>863</v>
      </c>
      <c r="E279" s="343" t="s">
        <v>732</v>
      </c>
      <c r="F279" t="s">
        <v>629</v>
      </c>
      <c r="G279" t="s">
        <v>628</v>
      </c>
      <c r="H279" s="456">
        <v>279.01868435520453</v>
      </c>
    </row>
    <row r="280" spans="1:8">
      <c r="A280" t="s">
        <v>589</v>
      </c>
      <c r="B280" s="454" t="s">
        <v>1260</v>
      </c>
      <c r="C280" s="343" t="s">
        <v>717</v>
      </c>
      <c r="D280" s="343" t="s">
        <v>863</v>
      </c>
      <c r="E280" s="343" t="s">
        <v>732</v>
      </c>
      <c r="F280" t="s">
        <v>630</v>
      </c>
      <c r="G280" t="s">
        <v>627</v>
      </c>
      <c r="H280" s="456">
        <v>298.57118225794238</v>
      </c>
    </row>
    <row r="281" spans="1:8" ht="26.4">
      <c r="A281" t="s">
        <v>590</v>
      </c>
      <c r="B281" s="454" t="s">
        <v>1261</v>
      </c>
      <c r="C281" s="343" t="s">
        <v>717</v>
      </c>
      <c r="D281" s="343" t="s">
        <v>863</v>
      </c>
      <c r="E281" s="343" t="s">
        <v>732</v>
      </c>
      <c r="F281" t="s">
        <v>630</v>
      </c>
      <c r="G281" t="s">
        <v>628</v>
      </c>
      <c r="H281" s="456">
        <v>882.90929159900861</v>
      </c>
    </row>
    <row r="282" spans="1:8">
      <c r="A282" t="s">
        <v>591</v>
      </c>
      <c r="B282" s="454" t="s">
        <v>1262</v>
      </c>
      <c r="C282" s="343" t="s">
        <v>717</v>
      </c>
      <c r="D282" s="343" t="s">
        <v>863</v>
      </c>
      <c r="E282" s="343" t="s">
        <v>732</v>
      </c>
      <c r="F282" t="s">
        <v>632</v>
      </c>
      <c r="G282" t="s">
        <v>627</v>
      </c>
      <c r="H282" s="456">
        <v>389.92514291050838</v>
      </c>
    </row>
    <row r="283" spans="1:8" ht="26.4">
      <c r="A283" t="s">
        <v>592</v>
      </c>
      <c r="B283" s="454" t="s">
        <v>1263</v>
      </c>
      <c r="C283" s="343" t="s">
        <v>717</v>
      </c>
      <c r="D283" s="343" t="s">
        <v>863</v>
      </c>
      <c r="E283" s="343" t="s">
        <v>732</v>
      </c>
      <c r="F283" t="s">
        <v>632</v>
      </c>
      <c r="G283" t="s">
        <v>628</v>
      </c>
      <c r="H283" s="456">
        <v>1158.0718236850507</v>
      </c>
    </row>
    <row r="284" spans="1:8">
      <c r="A284" t="s">
        <v>593</v>
      </c>
      <c r="B284" s="454" t="s">
        <v>1264</v>
      </c>
      <c r="C284" s="343" t="s">
        <v>717</v>
      </c>
      <c r="D284" s="343" t="s">
        <v>863</v>
      </c>
      <c r="E284" s="343" t="s">
        <v>733</v>
      </c>
      <c r="F284" t="s">
        <v>626</v>
      </c>
      <c r="G284" t="s">
        <v>627</v>
      </c>
      <c r="H284" s="456">
        <v>98.884892018902548</v>
      </c>
    </row>
    <row r="285" spans="1:8" ht="26.4">
      <c r="A285" t="s">
        <v>594</v>
      </c>
      <c r="B285" s="454" t="s">
        <v>1265</v>
      </c>
      <c r="C285" s="343" t="s">
        <v>717</v>
      </c>
      <c r="D285" s="343" t="s">
        <v>863</v>
      </c>
      <c r="E285" s="343" t="s">
        <v>733</v>
      </c>
      <c r="F285" t="s">
        <v>626</v>
      </c>
      <c r="G285" t="s">
        <v>628</v>
      </c>
      <c r="H285" s="456">
        <v>186.61670505414472</v>
      </c>
    </row>
    <row r="286" spans="1:8">
      <c r="A286" t="s">
        <v>595</v>
      </c>
      <c r="B286" s="454" t="s">
        <v>1266</v>
      </c>
      <c r="C286" s="343" t="s">
        <v>717</v>
      </c>
      <c r="D286" s="343" t="s">
        <v>863</v>
      </c>
      <c r="E286" s="343" t="s">
        <v>733</v>
      </c>
      <c r="F286" t="s">
        <v>629</v>
      </c>
      <c r="G286" t="s">
        <v>627</v>
      </c>
      <c r="H286" s="456">
        <v>163.69007596211523</v>
      </c>
    </row>
    <row r="287" spans="1:8" ht="26.4">
      <c r="A287" t="s">
        <v>596</v>
      </c>
      <c r="B287" s="454" t="s">
        <v>1267</v>
      </c>
      <c r="C287" s="343" t="s">
        <v>717</v>
      </c>
      <c r="D287" s="343" t="s">
        <v>863</v>
      </c>
      <c r="E287" s="343" t="s">
        <v>733</v>
      </c>
      <c r="F287" t="s">
        <v>629</v>
      </c>
      <c r="G287" t="s">
        <v>628</v>
      </c>
      <c r="H287" s="456">
        <v>279.01868435520453</v>
      </c>
    </row>
    <row r="288" spans="1:8">
      <c r="A288" t="s">
        <v>597</v>
      </c>
      <c r="B288" s="454" t="s">
        <v>1268</v>
      </c>
      <c r="C288" s="343" t="s">
        <v>717</v>
      </c>
      <c r="D288" s="343" t="s">
        <v>863</v>
      </c>
      <c r="E288" s="343" t="s">
        <v>733</v>
      </c>
      <c r="F288" t="s">
        <v>630</v>
      </c>
      <c r="G288" t="s">
        <v>627</v>
      </c>
      <c r="H288" s="456">
        <v>473.52271200077655</v>
      </c>
    </row>
    <row r="289" spans="1:8" ht="26.4">
      <c r="A289" t="s">
        <v>598</v>
      </c>
      <c r="B289" s="454" t="s">
        <v>1269</v>
      </c>
      <c r="C289" s="343" t="s">
        <v>717</v>
      </c>
      <c r="D289" s="343" t="s">
        <v>863</v>
      </c>
      <c r="E289" s="343" t="s">
        <v>733</v>
      </c>
      <c r="F289" t="s">
        <v>630</v>
      </c>
      <c r="G289" t="s">
        <v>628</v>
      </c>
      <c r="H289" s="456">
        <v>1057.8608213418427</v>
      </c>
    </row>
    <row r="290" spans="1:8">
      <c r="A290" t="s">
        <v>599</v>
      </c>
      <c r="B290" s="454" t="s">
        <v>1270</v>
      </c>
      <c r="C290" s="343" t="s">
        <v>717</v>
      </c>
      <c r="D290" s="343" t="s">
        <v>863</v>
      </c>
      <c r="E290" s="343" t="s">
        <v>733</v>
      </c>
      <c r="F290" t="s">
        <v>632</v>
      </c>
      <c r="G290" t="s">
        <v>627</v>
      </c>
      <c r="H290" s="456">
        <v>619.90917907055098</v>
      </c>
    </row>
    <row r="291" spans="1:8" ht="26.4">
      <c r="A291" t="s">
        <v>600</v>
      </c>
      <c r="B291" s="454" t="s">
        <v>1271</v>
      </c>
      <c r="C291" s="343" t="s">
        <v>717</v>
      </c>
      <c r="D291" s="343" t="s">
        <v>863</v>
      </c>
      <c r="E291" s="343" t="s">
        <v>733</v>
      </c>
      <c r="F291" t="s">
        <v>632</v>
      </c>
      <c r="G291" t="s">
        <v>628</v>
      </c>
      <c r="H291" s="456">
        <v>1388.0558598450934</v>
      </c>
    </row>
    <row r="292" spans="1:8" ht="26.4">
      <c r="A292" t="s">
        <v>601</v>
      </c>
      <c r="B292" s="454" t="s">
        <v>1272</v>
      </c>
      <c r="C292" s="343" t="s">
        <v>717</v>
      </c>
      <c r="D292" s="343" t="s">
        <v>864</v>
      </c>
      <c r="E292" s="343" t="s">
        <v>734</v>
      </c>
      <c r="F292" t="s">
        <v>626</v>
      </c>
      <c r="G292" t="s">
        <v>627</v>
      </c>
      <c r="H292" s="456">
        <v>135.86625959710659</v>
      </c>
    </row>
    <row r="293" spans="1:8" ht="26.4">
      <c r="A293" t="s">
        <v>602</v>
      </c>
      <c r="B293" s="454" t="s">
        <v>1273</v>
      </c>
      <c r="C293" s="343" t="s">
        <v>717</v>
      </c>
      <c r="D293" s="343" t="s">
        <v>864</v>
      </c>
      <c r="E293" s="343" t="s">
        <v>734</v>
      </c>
      <c r="F293" t="s">
        <v>626</v>
      </c>
      <c r="G293" t="s">
        <v>628</v>
      </c>
      <c r="H293" s="456">
        <v>428.03531426763965</v>
      </c>
    </row>
    <row r="294" spans="1:8" ht="26.4">
      <c r="A294" t="s">
        <v>603</v>
      </c>
      <c r="B294" s="454" t="s">
        <v>1274</v>
      </c>
      <c r="C294" s="343" t="s">
        <v>717</v>
      </c>
      <c r="D294" s="343" t="s">
        <v>864</v>
      </c>
      <c r="E294" s="343" t="s">
        <v>734</v>
      </c>
      <c r="F294" t="s">
        <v>630</v>
      </c>
      <c r="G294" t="s">
        <v>627</v>
      </c>
      <c r="H294" s="456">
        <v>432.70068839411533</v>
      </c>
    </row>
    <row r="295" spans="1:8" ht="26.4">
      <c r="A295" t="s">
        <v>604</v>
      </c>
      <c r="B295" s="454" t="s">
        <v>1275</v>
      </c>
      <c r="C295" s="343" t="s">
        <v>717</v>
      </c>
      <c r="D295" s="343" t="s">
        <v>864</v>
      </c>
      <c r="E295" s="343" t="s">
        <v>734</v>
      </c>
      <c r="F295" t="s">
        <v>630</v>
      </c>
      <c r="G295" t="s">
        <v>628</v>
      </c>
      <c r="H295" s="456">
        <v>1017.0387977351816</v>
      </c>
    </row>
    <row r="296" spans="1:8" ht="26.4">
      <c r="A296" t="s">
        <v>605</v>
      </c>
      <c r="B296" s="454" t="s">
        <v>1276</v>
      </c>
      <c r="C296" s="343" t="s">
        <v>717</v>
      </c>
      <c r="D296" s="343" t="s">
        <v>865</v>
      </c>
      <c r="E296" s="343" t="s">
        <v>735</v>
      </c>
      <c r="F296" t="s">
        <v>626</v>
      </c>
      <c r="G296" t="s">
        <v>627</v>
      </c>
      <c r="H296" s="456">
        <v>137.72439999661614</v>
      </c>
    </row>
    <row r="297" spans="1:8" ht="26.4">
      <c r="A297" t="s">
        <v>606</v>
      </c>
      <c r="B297" s="454" t="s">
        <v>1277</v>
      </c>
      <c r="C297" s="343" t="s">
        <v>717</v>
      </c>
      <c r="D297" s="343" t="s">
        <v>865</v>
      </c>
      <c r="E297" s="343" t="s">
        <v>735</v>
      </c>
      <c r="F297" t="s">
        <v>626</v>
      </c>
      <c r="G297" t="s">
        <v>628</v>
      </c>
      <c r="H297" s="456">
        <v>238.38334992789623</v>
      </c>
    </row>
    <row r="298" spans="1:8" ht="26.4">
      <c r="A298" t="s">
        <v>607</v>
      </c>
      <c r="B298" s="454" t="s">
        <v>1278</v>
      </c>
      <c r="C298" s="343" t="s">
        <v>717</v>
      </c>
      <c r="D298" s="343" t="s">
        <v>865</v>
      </c>
      <c r="E298" s="343" t="s">
        <v>735</v>
      </c>
      <c r="F298" t="s">
        <v>629</v>
      </c>
      <c r="G298" t="s">
        <v>627</v>
      </c>
      <c r="H298" s="456">
        <v>186.3273974259364</v>
      </c>
    </row>
    <row r="299" spans="1:8" ht="26.4">
      <c r="A299" t="s">
        <v>608</v>
      </c>
      <c r="B299" s="454" t="s">
        <v>1279</v>
      </c>
      <c r="C299" s="343" t="s">
        <v>717</v>
      </c>
      <c r="D299" s="343" t="s">
        <v>865</v>
      </c>
      <c r="E299" s="343" t="s">
        <v>735</v>
      </c>
      <c r="F299" t="s">
        <v>629</v>
      </c>
      <c r="G299" t="s">
        <v>628</v>
      </c>
      <c r="H299" s="456">
        <v>318.64948466264798</v>
      </c>
    </row>
    <row r="300" spans="1:8" ht="26.4">
      <c r="A300" t="s">
        <v>609</v>
      </c>
      <c r="B300" s="454" t="s">
        <v>1280</v>
      </c>
      <c r="C300" s="343" t="s">
        <v>717</v>
      </c>
      <c r="D300" s="343" t="s">
        <v>865</v>
      </c>
      <c r="E300" s="343" t="s">
        <v>735</v>
      </c>
      <c r="F300" t="s">
        <v>630</v>
      </c>
      <c r="G300" t="s">
        <v>627</v>
      </c>
      <c r="H300" s="456">
        <v>916.73325401595639</v>
      </c>
    </row>
    <row r="301" spans="1:8" ht="26.4">
      <c r="A301" t="s">
        <v>610</v>
      </c>
      <c r="B301" s="454" t="s">
        <v>1281</v>
      </c>
      <c r="C301" s="343" t="s">
        <v>717</v>
      </c>
      <c r="D301" s="343" t="s">
        <v>865</v>
      </c>
      <c r="E301" s="343" t="s">
        <v>735</v>
      </c>
      <c r="F301" t="s">
        <v>630</v>
      </c>
      <c r="G301" t="s">
        <v>628</v>
      </c>
      <c r="H301" s="456">
        <v>1501.0713633570226</v>
      </c>
    </row>
    <row r="302" spans="1:8" ht="26.4">
      <c r="A302" t="s">
        <v>611</v>
      </c>
      <c r="B302" s="454" t="s">
        <v>1282</v>
      </c>
      <c r="C302" s="343" t="s">
        <v>717</v>
      </c>
      <c r="D302" s="343" t="s">
        <v>865</v>
      </c>
      <c r="E302" s="343" t="s">
        <v>735</v>
      </c>
      <c r="F302" t="s">
        <v>632</v>
      </c>
      <c r="G302" t="s">
        <v>627</v>
      </c>
      <c r="H302" s="456">
        <v>1202.5354040093252</v>
      </c>
    </row>
    <row r="303" spans="1:8" ht="26.4">
      <c r="A303" t="s">
        <v>612</v>
      </c>
      <c r="B303" s="454" t="s">
        <v>1283</v>
      </c>
      <c r="C303" s="343" t="s">
        <v>717</v>
      </c>
      <c r="D303" s="343" t="s">
        <v>865</v>
      </c>
      <c r="E303" s="343" t="s">
        <v>735</v>
      </c>
      <c r="F303" t="s">
        <v>632</v>
      </c>
      <c r="G303" t="s">
        <v>628</v>
      </c>
      <c r="H303" s="456">
        <v>1970.6820847838676</v>
      </c>
    </row>
    <row r="304" spans="1:8" ht="39.6">
      <c r="A304" t="s">
        <v>613</v>
      </c>
      <c r="B304" s="454" t="s">
        <v>1284</v>
      </c>
      <c r="C304" s="343" t="s">
        <v>717</v>
      </c>
      <c r="D304" s="343" t="s">
        <v>866</v>
      </c>
      <c r="E304" s="343" t="s">
        <v>736</v>
      </c>
      <c r="F304" t="s">
        <v>636</v>
      </c>
      <c r="G304" t="s">
        <v>627</v>
      </c>
      <c r="H304" s="456">
        <v>35.323921247213136</v>
      </c>
    </row>
    <row r="305" spans="1:8" ht="39.6">
      <c r="A305" t="s">
        <v>614</v>
      </c>
      <c r="B305" s="454" t="s">
        <v>1285</v>
      </c>
      <c r="C305" s="343" t="s">
        <v>717</v>
      </c>
      <c r="D305" s="343" t="s">
        <v>866</v>
      </c>
      <c r="E305" s="343" t="s">
        <v>736</v>
      </c>
      <c r="F305" t="s">
        <v>636</v>
      </c>
      <c r="G305" t="s">
        <v>628</v>
      </c>
      <c r="H305" s="456">
        <v>35.323921247213136</v>
      </c>
    </row>
    <row r="306" spans="1:8">
      <c r="A306" t="s">
        <v>615</v>
      </c>
      <c r="B306" s="454" t="s">
        <v>1286</v>
      </c>
      <c r="C306" s="343" t="s">
        <v>717</v>
      </c>
      <c r="D306" s="343" t="s">
        <v>866</v>
      </c>
      <c r="E306" s="343" t="s">
        <v>737</v>
      </c>
      <c r="F306" t="s">
        <v>636</v>
      </c>
      <c r="G306" t="s">
        <v>627</v>
      </c>
      <c r="H306" s="456">
        <v>35.323921247213136</v>
      </c>
    </row>
    <row r="307" spans="1:8" ht="26.4">
      <c r="A307" t="s">
        <v>616</v>
      </c>
      <c r="B307" s="454" t="s">
        <v>1287</v>
      </c>
      <c r="C307" s="343" t="s">
        <v>717</v>
      </c>
      <c r="D307" s="343" t="s">
        <v>866</v>
      </c>
      <c r="E307" s="343" t="s">
        <v>737</v>
      </c>
      <c r="F307" t="s">
        <v>636</v>
      </c>
      <c r="G307" t="s">
        <v>628</v>
      </c>
      <c r="H307" s="456">
        <v>35.323921247213136</v>
      </c>
    </row>
    <row r="308" spans="1:8">
      <c r="A308" t="s">
        <v>617</v>
      </c>
      <c r="B308" s="454" t="s">
        <v>1766</v>
      </c>
      <c r="C308" s="343" t="s">
        <v>717</v>
      </c>
      <c r="D308" s="343" t="s">
        <v>866</v>
      </c>
      <c r="E308" s="343" t="s">
        <v>1765</v>
      </c>
      <c r="F308" t="s">
        <v>636</v>
      </c>
      <c r="G308" t="s">
        <v>627</v>
      </c>
      <c r="H308" s="456">
        <v>35.323921247213136</v>
      </c>
    </row>
    <row r="309" spans="1:8" ht="26.4">
      <c r="A309" t="s">
        <v>618</v>
      </c>
      <c r="B309" s="454" t="s">
        <v>1767</v>
      </c>
      <c r="C309" s="343" t="s">
        <v>717</v>
      </c>
      <c r="D309" s="343" t="s">
        <v>866</v>
      </c>
      <c r="E309" s="343" t="s">
        <v>1765</v>
      </c>
      <c r="F309" t="s">
        <v>636</v>
      </c>
      <c r="G309" t="s">
        <v>628</v>
      </c>
      <c r="H309" s="456">
        <v>35.323921247213136</v>
      </c>
    </row>
    <row r="310" spans="1:8" ht="39.6">
      <c r="A310" t="s">
        <v>619</v>
      </c>
      <c r="B310" s="454" t="s">
        <v>1288</v>
      </c>
      <c r="C310" s="343" t="s">
        <v>717</v>
      </c>
      <c r="D310" s="343" t="s">
        <v>867</v>
      </c>
      <c r="E310" s="343" t="s">
        <v>738</v>
      </c>
      <c r="F310" t="s">
        <v>636</v>
      </c>
      <c r="G310" t="s">
        <v>627</v>
      </c>
      <c r="H310" s="456">
        <v>145.20976968655236</v>
      </c>
    </row>
    <row r="311" spans="1:8" ht="39.6">
      <c r="A311" t="s">
        <v>620</v>
      </c>
      <c r="B311" s="454" t="s">
        <v>1289</v>
      </c>
      <c r="C311" s="343" t="s">
        <v>717</v>
      </c>
      <c r="D311" s="343" t="s">
        <v>867</v>
      </c>
      <c r="E311" s="343" t="s">
        <v>738</v>
      </c>
      <c r="F311" t="s">
        <v>636</v>
      </c>
      <c r="G311" t="s">
        <v>628</v>
      </c>
      <c r="H311" s="456">
        <v>437.37882435708542</v>
      </c>
    </row>
    <row r="312" spans="1:8">
      <c r="A312" t="s">
        <v>621</v>
      </c>
      <c r="B312" s="454" t="s">
        <v>1290</v>
      </c>
      <c r="C312" s="343" t="s">
        <v>717</v>
      </c>
      <c r="D312" s="343" t="s">
        <v>868</v>
      </c>
      <c r="E312" s="343" t="s">
        <v>739</v>
      </c>
      <c r="F312" t="s">
        <v>636</v>
      </c>
      <c r="G312" t="s">
        <v>627</v>
      </c>
      <c r="H312" s="456">
        <v>109.62353013568148</v>
      </c>
    </row>
    <row r="313" spans="1:8" ht="26.4">
      <c r="A313" t="s">
        <v>622</v>
      </c>
      <c r="B313" s="454" t="s">
        <v>1291</v>
      </c>
      <c r="C313" s="343" t="s">
        <v>717</v>
      </c>
      <c r="D313" s="343" t="s">
        <v>868</v>
      </c>
      <c r="E313" s="343" t="s">
        <v>739</v>
      </c>
      <c r="F313" t="s">
        <v>636</v>
      </c>
      <c r="G313" t="s">
        <v>628</v>
      </c>
      <c r="H313" s="456">
        <v>401.79258480621456</v>
      </c>
    </row>
    <row r="314" spans="1:8">
      <c r="H314" s="456"/>
    </row>
    <row r="315" spans="1:8">
      <c r="H315" s="457"/>
    </row>
    <row r="316" spans="1:8">
      <c r="H316" s="457"/>
    </row>
    <row r="317" spans="1:8">
      <c r="H317" s="457"/>
    </row>
    <row r="318" spans="1:8">
      <c r="H318" s="457"/>
    </row>
    <row r="319" spans="1:8">
      <c r="H319" s="457"/>
    </row>
    <row r="320" spans="1:8">
      <c r="H320" s="457"/>
    </row>
    <row r="321" spans="8:8">
      <c r="H321" s="457"/>
    </row>
    <row r="322" spans="8:8">
      <c r="H322" s="457"/>
    </row>
    <row r="323" spans="8:8">
      <c r="H323" s="457"/>
    </row>
    <row r="324" spans="8:8">
      <c r="H324" s="457"/>
    </row>
    <row r="325" spans="8:8">
      <c r="H325" s="457"/>
    </row>
    <row r="326" spans="8:8">
      <c r="H326" s="457"/>
    </row>
    <row r="327" spans="8:8">
      <c r="H327" s="457"/>
    </row>
    <row r="328" spans="8:8">
      <c r="H328" s="457"/>
    </row>
    <row r="329" spans="8:8">
      <c r="H329" s="457"/>
    </row>
    <row r="330" spans="8:8">
      <c r="H330" s="457"/>
    </row>
    <row r="331" spans="8:8">
      <c r="H331" s="457"/>
    </row>
    <row r="332" spans="8:8">
      <c r="H332" s="457"/>
    </row>
    <row r="333" spans="8:8">
      <c r="H333" s="457"/>
    </row>
    <row r="334" spans="8:8">
      <c r="H334" s="457"/>
    </row>
    <row r="335" spans="8:8">
      <c r="H335" s="457"/>
    </row>
    <row r="336" spans="8:8">
      <c r="H336" s="457"/>
    </row>
    <row r="337" spans="8:8">
      <c r="H337" s="457"/>
    </row>
    <row r="338" spans="8:8">
      <c r="H338" s="457"/>
    </row>
    <row r="339" spans="8:8">
      <c r="H339" s="457"/>
    </row>
    <row r="340" spans="8:8">
      <c r="H340" s="457"/>
    </row>
    <row r="341" spans="8:8">
      <c r="H341" s="457"/>
    </row>
    <row r="342" spans="8:8">
      <c r="H342" s="457"/>
    </row>
    <row r="343" spans="8:8">
      <c r="H343" s="457"/>
    </row>
    <row r="344" spans="8:8">
      <c r="H344" s="457"/>
    </row>
    <row r="345" spans="8:8">
      <c r="H345" s="457"/>
    </row>
    <row r="346" spans="8:8">
      <c r="H346" s="457"/>
    </row>
    <row r="347" spans="8:8">
      <c r="H347" s="457"/>
    </row>
    <row r="348" spans="8:8">
      <c r="H348" s="457"/>
    </row>
    <row r="349" spans="8:8">
      <c r="H349" s="457"/>
    </row>
    <row r="350" spans="8:8">
      <c r="H350" s="457"/>
    </row>
    <row r="351" spans="8:8">
      <c r="H351" s="457"/>
    </row>
    <row r="352" spans="8:8">
      <c r="H352" s="457"/>
    </row>
    <row r="353" spans="8:8">
      <c r="H353" s="457"/>
    </row>
    <row r="354" spans="8:8">
      <c r="H354" s="457"/>
    </row>
    <row r="355" spans="8:8">
      <c r="H355" s="457"/>
    </row>
    <row r="356" spans="8:8">
      <c r="H356" s="457"/>
    </row>
    <row r="357" spans="8:8">
      <c r="H357" s="457"/>
    </row>
    <row r="358" spans="8:8">
      <c r="H358" s="457"/>
    </row>
    <row r="359" spans="8:8">
      <c r="H359" s="457"/>
    </row>
    <row r="360" spans="8:8">
      <c r="H360" s="457"/>
    </row>
    <row r="361" spans="8:8">
      <c r="H361" s="457"/>
    </row>
    <row r="362" spans="8:8">
      <c r="H362" s="457"/>
    </row>
    <row r="363" spans="8:8">
      <c r="H363" s="457"/>
    </row>
    <row r="364" spans="8:8">
      <c r="H364" s="457"/>
    </row>
    <row r="365" spans="8:8">
      <c r="H365" s="457"/>
    </row>
    <row r="366" spans="8:8">
      <c r="H366" s="457"/>
    </row>
    <row r="367" spans="8:8">
      <c r="H367" s="457"/>
    </row>
    <row r="368" spans="8:8">
      <c r="H368" s="457"/>
    </row>
    <row r="369" spans="8:8">
      <c r="H369" s="457"/>
    </row>
    <row r="370" spans="8:8">
      <c r="H370" s="457"/>
    </row>
    <row r="371" spans="8:8">
      <c r="H371" s="457"/>
    </row>
    <row r="372" spans="8:8">
      <c r="H372" s="457"/>
    </row>
    <row r="373" spans="8:8">
      <c r="H373" s="457"/>
    </row>
    <row r="374" spans="8:8">
      <c r="H374" s="457"/>
    </row>
    <row r="375" spans="8:8">
      <c r="H375" s="457"/>
    </row>
    <row r="376" spans="8:8">
      <c r="H376" s="457"/>
    </row>
    <row r="377" spans="8:8">
      <c r="H377" s="457"/>
    </row>
    <row r="378" spans="8:8">
      <c r="H378" s="457"/>
    </row>
    <row r="379" spans="8:8">
      <c r="H379" s="457"/>
    </row>
    <row r="380" spans="8:8">
      <c r="H380" s="457"/>
    </row>
    <row r="381" spans="8:8">
      <c r="H381" s="457"/>
    </row>
    <row r="382" spans="8:8">
      <c r="H382" s="457"/>
    </row>
    <row r="383" spans="8:8">
      <c r="H383" s="457"/>
    </row>
    <row r="384" spans="8:8">
      <c r="H384" s="457"/>
    </row>
    <row r="385" spans="8:8">
      <c r="H385" s="457"/>
    </row>
    <row r="386" spans="8:8">
      <c r="H386" s="457"/>
    </row>
    <row r="387" spans="8:8">
      <c r="H387" s="457"/>
    </row>
    <row r="388" spans="8:8">
      <c r="H388" s="457"/>
    </row>
    <row r="389" spans="8:8">
      <c r="H389" s="457"/>
    </row>
    <row r="390" spans="8:8">
      <c r="H390" s="457"/>
    </row>
    <row r="391" spans="8:8">
      <c r="H391" s="457"/>
    </row>
    <row r="392" spans="8:8">
      <c r="H392" s="457"/>
    </row>
    <row r="393" spans="8:8">
      <c r="H393" s="457"/>
    </row>
    <row r="394" spans="8:8">
      <c r="H394" s="457"/>
    </row>
    <row r="395" spans="8:8">
      <c r="H395" s="457"/>
    </row>
    <row r="396" spans="8:8">
      <c r="H396" s="457"/>
    </row>
    <row r="397" spans="8:8">
      <c r="H397" s="457"/>
    </row>
    <row r="398" spans="8:8">
      <c r="H398" s="457"/>
    </row>
    <row r="399" spans="8:8">
      <c r="H399" s="457"/>
    </row>
    <row r="400" spans="8:8">
      <c r="H400" s="457"/>
    </row>
    <row r="401" spans="8:8">
      <c r="H401" s="457"/>
    </row>
    <row r="402" spans="8:8">
      <c r="H402" s="457"/>
    </row>
    <row r="403" spans="8:8">
      <c r="H403" s="457"/>
    </row>
    <row r="404" spans="8:8">
      <c r="H404" s="457"/>
    </row>
    <row r="405" spans="8:8">
      <c r="H405" s="457"/>
    </row>
    <row r="406" spans="8:8">
      <c r="H406" s="457"/>
    </row>
    <row r="407" spans="8:8">
      <c r="H407" s="457"/>
    </row>
    <row r="408" spans="8:8">
      <c r="H408" s="457"/>
    </row>
    <row r="409" spans="8:8">
      <c r="H409" s="457"/>
    </row>
    <row r="410" spans="8:8">
      <c r="H410" s="457"/>
    </row>
    <row r="411" spans="8:8">
      <c r="H411" s="457"/>
    </row>
    <row r="412" spans="8:8">
      <c r="H412" s="457"/>
    </row>
    <row r="413" spans="8:8">
      <c r="H413" s="457"/>
    </row>
    <row r="414" spans="8:8">
      <c r="H414" s="457"/>
    </row>
    <row r="415" spans="8:8">
      <c r="H415" s="457"/>
    </row>
    <row r="416" spans="8:8">
      <c r="H416" s="457"/>
    </row>
    <row r="417" spans="8:8">
      <c r="H417" s="457"/>
    </row>
    <row r="418" spans="8:8">
      <c r="H418" s="457"/>
    </row>
    <row r="419" spans="8:8">
      <c r="H419" s="457"/>
    </row>
    <row r="420" spans="8:8">
      <c r="H420" s="457"/>
    </row>
    <row r="421" spans="8:8">
      <c r="H421" s="457"/>
    </row>
    <row r="422" spans="8:8">
      <c r="H422" s="457"/>
    </row>
    <row r="423" spans="8:8">
      <c r="H423" s="457"/>
    </row>
    <row r="424" spans="8:8">
      <c r="H424" s="457"/>
    </row>
    <row r="425" spans="8:8">
      <c r="H425" s="457"/>
    </row>
    <row r="426" spans="8:8">
      <c r="H426" s="457"/>
    </row>
    <row r="427" spans="8:8">
      <c r="H427" s="457"/>
    </row>
    <row r="428" spans="8:8">
      <c r="H428" s="457"/>
    </row>
    <row r="429" spans="8:8">
      <c r="H429" s="457"/>
    </row>
    <row r="430" spans="8:8">
      <c r="H430" s="457"/>
    </row>
    <row r="431" spans="8:8">
      <c r="H431" s="457"/>
    </row>
    <row r="432" spans="8:8">
      <c r="H432" s="457"/>
    </row>
    <row r="433" spans="8:8">
      <c r="H433" s="457"/>
    </row>
    <row r="434" spans="8:8">
      <c r="H434" s="457"/>
    </row>
    <row r="435" spans="8:8">
      <c r="H435" s="457"/>
    </row>
    <row r="436" spans="8:8">
      <c r="H436" s="457"/>
    </row>
    <row r="437" spans="8:8">
      <c r="H437" s="457"/>
    </row>
    <row r="438" spans="8:8">
      <c r="H438" s="457"/>
    </row>
    <row r="439" spans="8:8">
      <c r="H439" s="457"/>
    </row>
    <row r="440" spans="8:8">
      <c r="H440" s="457"/>
    </row>
    <row r="441" spans="8:8">
      <c r="H441" s="457"/>
    </row>
    <row r="442" spans="8:8">
      <c r="H442" s="457"/>
    </row>
    <row r="443" spans="8:8">
      <c r="H443" s="457"/>
    </row>
    <row r="444" spans="8:8">
      <c r="H444" s="457"/>
    </row>
    <row r="445" spans="8:8">
      <c r="H445" s="457"/>
    </row>
    <row r="446" spans="8:8">
      <c r="H446" s="457"/>
    </row>
    <row r="447" spans="8:8">
      <c r="H447" s="457"/>
    </row>
    <row r="448" spans="8:8">
      <c r="H448" s="457"/>
    </row>
    <row r="449" spans="8:8">
      <c r="H449" s="457"/>
    </row>
    <row r="450" spans="8:8">
      <c r="H450" s="457"/>
    </row>
    <row r="451" spans="8:8">
      <c r="H451" s="457"/>
    </row>
    <row r="452" spans="8:8">
      <c r="H452" s="457"/>
    </row>
    <row r="453" spans="8:8">
      <c r="H453" s="457"/>
    </row>
    <row r="454" spans="8:8">
      <c r="H454" s="457"/>
    </row>
    <row r="455" spans="8:8">
      <c r="H455" s="457"/>
    </row>
    <row r="456" spans="8:8">
      <c r="H456" s="457"/>
    </row>
  </sheetData>
  <autoFilter ref="A3:H3" xr:uid="{E5FE10C6-A5AF-424F-9070-B8224F334012}"/>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AB922-152F-4487-8C27-F43FF9AE0519}">
  <sheetPr>
    <tabColor rgb="FF92D050"/>
  </sheetPr>
  <dimension ref="A1:G20"/>
  <sheetViews>
    <sheetView workbookViewId="0">
      <selection activeCell="J19" sqref="J19"/>
    </sheetView>
  </sheetViews>
  <sheetFormatPr defaultRowHeight="13.2"/>
  <cols>
    <col min="1" max="1" width="9.88671875" customWidth="1"/>
    <col min="2" max="2" width="17" customWidth="1"/>
    <col min="4" max="5" width="9.88671875" bestFit="1" customWidth="1"/>
    <col min="6" max="6" width="12.6640625" customWidth="1"/>
    <col min="7" max="7" width="14.88671875" customWidth="1"/>
  </cols>
  <sheetData>
    <row r="1" spans="1:7">
      <c r="B1" t="s">
        <v>1332</v>
      </c>
    </row>
    <row r="2" spans="1:7">
      <c r="B2" t="s">
        <v>1301</v>
      </c>
      <c r="C2" s="467"/>
      <c r="D2" s="467"/>
      <c r="E2" s="467"/>
    </row>
    <row r="3" spans="1:7">
      <c r="B3" s="287"/>
      <c r="C3" s="287"/>
      <c r="D3" s="287"/>
      <c r="E3" s="287"/>
      <c r="F3" s="287"/>
    </row>
    <row r="4" spans="1:7">
      <c r="B4" s="468" t="s">
        <v>1302</v>
      </c>
      <c r="C4" s="469"/>
      <c r="D4" s="1964" t="s">
        <v>753</v>
      </c>
      <c r="E4" s="1964"/>
    </row>
    <row r="5" spans="1:7">
      <c r="B5" s="470"/>
      <c r="C5" s="471"/>
      <c r="D5" s="470" t="s">
        <v>1303</v>
      </c>
      <c r="E5" s="470" t="s">
        <v>1303</v>
      </c>
      <c r="F5" t="s">
        <v>1826</v>
      </c>
    </row>
    <row r="6" spans="1:7" ht="24">
      <c r="B6" s="472"/>
      <c r="C6" s="472"/>
      <c r="D6" s="473" t="s">
        <v>875</v>
      </c>
      <c r="E6" s="473" t="s">
        <v>876</v>
      </c>
      <c r="F6" t="s">
        <v>875</v>
      </c>
      <c r="G6" t="s">
        <v>876</v>
      </c>
    </row>
    <row r="7" spans="1:7">
      <c r="A7" s="493" t="s">
        <v>869</v>
      </c>
      <c r="B7" s="474" t="s">
        <v>1304</v>
      </c>
      <c r="C7" s="475"/>
      <c r="D7" s="1965"/>
      <c r="E7" s="1966"/>
    </row>
    <row r="8" spans="1:7">
      <c r="A8" s="493" t="str">
        <f>$A$7&amp;C8&amp;$D$6</f>
        <v>NPL1MajorConventional</v>
      </c>
      <c r="B8" s="476" t="s">
        <v>1305</v>
      </c>
      <c r="C8" s="477" t="s">
        <v>1309</v>
      </c>
      <c r="D8" s="478">
        <v>0.94528000000000001</v>
      </c>
      <c r="E8" s="479"/>
      <c r="F8" s="1645">
        <v>0.94528000000000001</v>
      </c>
    </row>
    <row r="9" spans="1:7">
      <c r="A9" s="493" t="str">
        <f>$A$7&amp;C9&amp;$D$6</f>
        <v>NPL1MinorConventional</v>
      </c>
      <c r="B9" s="476" t="s">
        <v>1306</v>
      </c>
      <c r="C9" s="477" t="s">
        <v>1307</v>
      </c>
      <c r="D9" s="478">
        <v>0.56318999999999997</v>
      </c>
      <c r="E9" s="479"/>
      <c r="F9" s="1645">
        <v>0.56318999999999997</v>
      </c>
    </row>
    <row r="10" spans="1:7">
      <c r="A10" s="493" t="str">
        <f>$A$7&amp;C10&amp;$E$6</f>
        <v>NPL1MajorLED</v>
      </c>
      <c r="B10" s="476" t="s">
        <v>1308</v>
      </c>
      <c r="C10" s="477" t="s">
        <v>1309</v>
      </c>
      <c r="D10" s="480"/>
      <c r="E10" s="478">
        <v>0.31673000000000001</v>
      </c>
      <c r="G10" s="1645">
        <v>0.31673000000000001</v>
      </c>
    </row>
    <row r="11" spans="1:7">
      <c r="A11" s="493" t="str">
        <f>$A$7&amp;C11&amp;$E$6</f>
        <v>NPL1MinorLED</v>
      </c>
      <c r="B11" s="476" t="s">
        <v>1310</v>
      </c>
      <c r="C11" s="477" t="s">
        <v>1307</v>
      </c>
      <c r="D11" s="481"/>
      <c r="E11" s="478">
        <v>0.20099</v>
      </c>
      <c r="G11" s="1645">
        <v>0.20099</v>
      </c>
    </row>
    <row r="12" spans="1:7">
      <c r="A12" s="493" t="s">
        <v>870</v>
      </c>
      <c r="B12" s="474" t="s">
        <v>1311</v>
      </c>
      <c r="C12" s="475"/>
      <c r="D12" s="1965"/>
      <c r="E12" s="1966"/>
    </row>
    <row r="13" spans="1:7">
      <c r="A13" s="493" t="str">
        <f>$A$12&amp;C13&amp;$D$6</f>
        <v>NPL2MajorConventional</v>
      </c>
      <c r="B13" s="476" t="s">
        <v>1312</v>
      </c>
      <c r="C13" s="477" t="s">
        <v>1309</v>
      </c>
      <c r="D13" s="478">
        <v>0.38173000000000001</v>
      </c>
      <c r="E13" s="479"/>
      <c r="F13" s="1645">
        <v>0.38173000000000001</v>
      </c>
    </row>
    <row r="14" spans="1:7">
      <c r="A14" s="493" t="str">
        <f>$A$12&amp;C14&amp;$D$6</f>
        <v>NPL2MinorConventional</v>
      </c>
      <c r="B14" s="476" t="s">
        <v>1313</v>
      </c>
      <c r="C14" s="477" t="s">
        <v>1307</v>
      </c>
      <c r="D14" s="478">
        <v>0.25006</v>
      </c>
      <c r="E14" s="479"/>
      <c r="F14" s="1645">
        <v>0.25006</v>
      </c>
    </row>
    <row r="15" spans="1:7">
      <c r="A15" s="493" t="str">
        <f>$A$12&amp;C15&amp;$E$6</f>
        <v>NPL2MajorLED</v>
      </c>
      <c r="B15" s="476" t="s">
        <v>1314</v>
      </c>
      <c r="C15" s="477" t="s">
        <v>1309</v>
      </c>
      <c r="D15" s="480"/>
      <c r="E15" s="478">
        <v>0.23130999999999999</v>
      </c>
      <c r="G15" s="1645">
        <v>0.23130999999999999</v>
      </c>
    </row>
    <row r="16" spans="1:7">
      <c r="A16" s="493" t="str">
        <f>$A$12&amp;C16&amp;$E$6</f>
        <v>NPL2MinorLED</v>
      </c>
      <c r="B16" s="476" t="s">
        <v>1315</v>
      </c>
      <c r="C16" s="477" t="s">
        <v>1307</v>
      </c>
      <c r="D16" s="481"/>
      <c r="E16" s="478">
        <v>0.15354000000000001</v>
      </c>
      <c r="G16" s="1645">
        <v>0.15354000000000001</v>
      </c>
    </row>
    <row r="17" spans="1:7">
      <c r="A17" s="493" t="s">
        <v>872</v>
      </c>
      <c r="B17" s="474" t="s">
        <v>872</v>
      </c>
      <c r="C17" s="475"/>
      <c r="D17" s="1965"/>
      <c r="E17" s="1966"/>
    </row>
    <row r="18" spans="1:7">
      <c r="A18" s="493" t="str">
        <f>$A$17&amp;C18&amp;$E$6</f>
        <v>NPL4MajorLED</v>
      </c>
      <c r="B18" s="476" t="s">
        <v>1316</v>
      </c>
      <c r="C18" s="477" t="s">
        <v>1309</v>
      </c>
      <c r="D18" s="480"/>
      <c r="E18" s="478">
        <v>0.26796999999999999</v>
      </c>
      <c r="G18" s="1645">
        <v>0.26797300000000002</v>
      </c>
    </row>
    <row r="19" spans="1:7">
      <c r="A19" s="493" t="str">
        <f>$A$17&amp;C19&amp;$E$6</f>
        <v>NPL4MinorLED</v>
      </c>
      <c r="B19" s="476" t="s">
        <v>1317</v>
      </c>
      <c r="C19" s="477" t="s">
        <v>1307</v>
      </c>
      <c r="D19" s="481"/>
      <c r="E19" s="478">
        <v>0.1714</v>
      </c>
      <c r="G19" s="1645">
        <v>0.171401</v>
      </c>
    </row>
    <row r="20" spans="1:7">
      <c r="B20" s="467"/>
      <c r="C20" s="467"/>
      <c r="D20" s="467"/>
      <c r="E20" s="467"/>
    </row>
  </sheetData>
  <mergeCells count="4">
    <mergeCell ref="D4:E4"/>
    <mergeCell ref="D7:E7"/>
    <mergeCell ref="D12:E12"/>
    <mergeCell ref="D17:E17"/>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3F486-D8D8-430A-B9CC-745E5692DA86}">
  <sheetPr>
    <tabColor rgb="FF92D050"/>
  </sheetPr>
  <dimension ref="A1:F24"/>
  <sheetViews>
    <sheetView workbookViewId="0">
      <selection activeCell="G21" sqref="G21"/>
    </sheetView>
  </sheetViews>
  <sheetFormatPr defaultRowHeight="13.2"/>
  <cols>
    <col min="2" max="2" width="12.33203125" customWidth="1"/>
    <col min="3" max="3" width="13.5546875" customWidth="1"/>
    <col min="4" max="4" width="9.88671875" bestFit="1" customWidth="1"/>
    <col min="5" max="5" width="14.6640625" customWidth="1"/>
  </cols>
  <sheetData>
    <row r="1" spans="1:6">
      <c r="B1" t="s">
        <v>1334</v>
      </c>
    </row>
    <row r="2" spans="1:6">
      <c r="B2" t="s">
        <v>1301</v>
      </c>
      <c r="C2" s="467"/>
      <c r="D2" s="467"/>
      <c r="E2" s="467"/>
    </row>
    <row r="3" spans="1:6">
      <c r="B3" s="287"/>
      <c r="C3" s="287"/>
      <c r="D3" s="287"/>
      <c r="E3" s="287"/>
      <c r="F3" s="287"/>
    </row>
    <row r="4" spans="1:6" ht="26.4">
      <c r="B4" s="468" t="s">
        <v>1302</v>
      </c>
      <c r="C4" s="482"/>
      <c r="D4" s="483" t="s">
        <v>753</v>
      </c>
      <c r="E4" s="287"/>
    </row>
    <row r="5" spans="1:6">
      <c r="B5" s="484" t="s">
        <v>172</v>
      </c>
      <c r="C5" s="484"/>
      <c r="D5" s="485"/>
      <c r="E5" s="287"/>
    </row>
    <row r="6" spans="1:6">
      <c r="B6" s="472"/>
      <c r="C6" s="472"/>
      <c r="D6" s="473" t="s">
        <v>921</v>
      </c>
      <c r="E6" s="287" t="s">
        <v>1826</v>
      </c>
    </row>
    <row r="7" spans="1:6">
      <c r="A7" s="498" t="str">
        <f>$B$5&amp;B7</f>
        <v>PrimaryACSMNCC</v>
      </c>
      <c r="B7" s="486" t="s">
        <v>1318</v>
      </c>
      <c r="C7" s="486" t="s">
        <v>1319</v>
      </c>
      <c r="D7" s="487">
        <v>0.11994</v>
      </c>
      <c r="E7" s="1643">
        <v>0.11993571746557001</v>
      </c>
    </row>
    <row r="8" spans="1:6">
      <c r="A8" s="498" t="str">
        <f>$B$5&amp;B8</f>
        <v>PrimaryACSMCC</v>
      </c>
      <c r="B8" s="486" t="s">
        <v>1320</v>
      </c>
      <c r="C8" s="486" t="s">
        <v>166</v>
      </c>
      <c r="D8" s="487">
        <v>4.3950000000000003E-2</v>
      </c>
      <c r="E8" s="1643">
        <v>4.3948316788407299E-2</v>
      </c>
    </row>
    <row r="9" spans="1:6">
      <c r="B9" s="488"/>
      <c r="C9" s="488" t="s">
        <v>37</v>
      </c>
      <c r="D9" s="489">
        <v>0.16389000000000001</v>
      </c>
      <c r="E9" s="1644">
        <v>0.1638840342539773</v>
      </c>
    </row>
    <row r="10" spans="1:6">
      <c r="A10" s="287"/>
      <c r="B10" s="287"/>
      <c r="C10" s="504"/>
      <c r="D10" s="504"/>
      <c r="E10" s="287"/>
    </row>
    <row r="11" spans="1:6">
      <c r="B11" s="490" t="s">
        <v>174</v>
      </c>
      <c r="C11" s="491"/>
      <c r="D11" s="492"/>
      <c r="E11" s="287"/>
    </row>
    <row r="12" spans="1:6">
      <c r="B12" s="472"/>
      <c r="C12" s="472"/>
      <c r="D12" s="473"/>
      <c r="E12" s="287"/>
    </row>
    <row r="13" spans="1:6">
      <c r="A13" s="498" t="str">
        <f>$B$11&amp;B13</f>
        <v>Load ControlACSMNCC</v>
      </c>
      <c r="B13" s="486" t="s">
        <v>1318</v>
      </c>
      <c r="C13" s="486" t="s">
        <v>1319</v>
      </c>
      <c r="D13" s="487">
        <v>4.3959999999999999E-2</v>
      </c>
      <c r="E13" s="1643">
        <v>4.3960607829307996E-2</v>
      </c>
    </row>
    <row r="14" spans="1:6">
      <c r="A14" s="498" t="str">
        <f>$B$11&amp;B14</f>
        <v>Load ControlACSMCC</v>
      </c>
      <c r="B14" s="486" t="s">
        <v>1320</v>
      </c>
      <c r="C14" s="486" t="s">
        <v>166</v>
      </c>
      <c r="D14" s="487">
        <v>1.5970000000000002E-2</v>
      </c>
      <c r="E14" s="1643">
        <v>1.59654720034604E-2</v>
      </c>
    </row>
    <row r="15" spans="1:6">
      <c r="A15" s="498"/>
      <c r="B15" s="488"/>
      <c r="C15" s="488" t="s">
        <v>37</v>
      </c>
      <c r="D15" s="489">
        <v>5.9929999999999997E-2</v>
      </c>
      <c r="E15" s="1644">
        <v>5.9926079832768396E-2</v>
      </c>
    </row>
    <row r="16" spans="1:6">
      <c r="A16" s="498"/>
      <c r="B16" s="287"/>
      <c r="C16" s="504"/>
      <c r="D16" s="504"/>
      <c r="E16" s="287"/>
    </row>
    <row r="17" spans="1:5">
      <c r="A17" s="498"/>
      <c r="B17" s="490" t="s">
        <v>175</v>
      </c>
      <c r="C17" s="491"/>
      <c r="D17" s="492"/>
      <c r="E17" s="287"/>
    </row>
    <row r="18" spans="1:5">
      <c r="A18" s="498"/>
      <c r="B18" s="472"/>
      <c r="C18" s="472"/>
      <c r="D18" s="473"/>
      <c r="E18" s="287"/>
    </row>
    <row r="19" spans="1:5">
      <c r="A19" s="498" t="str">
        <f>$B$17&amp;B19</f>
        <v>Solar PVACSMNCC</v>
      </c>
      <c r="B19" s="486" t="s">
        <v>1318</v>
      </c>
      <c r="C19" s="486" t="s">
        <v>1319</v>
      </c>
      <c r="D19" s="487">
        <v>2.9340000000000001E-2</v>
      </c>
      <c r="E19" s="1643">
        <v>2.9337830150837001E-2</v>
      </c>
    </row>
    <row r="20" spans="1:5">
      <c r="A20" s="498" t="str">
        <f>$B$17&amp;B20</f>
        <v>Solar PVACSMCC</v>
      </c>
      <c r="B20" s="486" t="s">
        <v>1320</v>
      </c>
      <c r="C20" s="486" t="s">
        <v>166</v>
      </c>
      <c r="D20" s="487">
        <v>1.2030000000000001E-2</v>
      </c>
      <c r="E20" s="1643">
        <v>1.2025025361703901E-2</v>
      </c>
    </row>
    <row r="21" spans="1:5">
      <c r="B21" s="488"/>
      <c r="C21" s="488" t="s">
        <v>37</v>
      </c>
      <c r="D21" s="489">
        <v>4.1369999999999997E-2</v>
      </c>
      <c r="E21" s="1644">
        <v>4.1362855512540903E-2</v>
      </c>
    </row>
    <row r="22" spans="1:5">
      <c r="A22" s="287"/>
      <c r="B22" s="287"/>
      <c r="C22" s="287"/>
      <c r="D22" s="287"/>
      <c r="E22" s="287"/>
    </row>
    <row r="23" spans="1:5">
      <c r="A23" s="287"/>
      <c r="B23" s="287"/>
      <c r="C23" s="287"/>
      <c r="D23" s="287"/>
      <c r="E23" s="287"/>
    </row>
    <row r="24" spans="1:5">
      <c r="A24" s="287"/>
      <c r="B24" s="287"/>
      <c r="C24" s="287"/>
      <c r="D24" s="287"/>
      <c r="E24" s="287"/>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1C22E-CDF6-4E93-A721-CBC7C83871CC}">
  <sheetPr>
    <tabColor rgb="FF92D050"/>
  </sheetPr>
  <dimension ref="A1:E15"/>
  <sheetViews>
    <sheetView workbookViewId="0">
      <selection activeCell="D7" sqref="D7:D11"/>
    </sheetView>
  </sheetViews>
  <sheetFormatPr defaultColWidth="8.88671875" defaultRowHeight="13.2"/>
  <cols>
    <col min="1" max="1" width="13.33203125" style="838" customWidth="1"/>
    <col min="2" max="2" width="21.6640625" style="838" customWidth="1"/>
    <col min="3" max="3" width="11.5546875" style="838" bestFit="1" customWidth="1"/>
    <col min="4" max="4" width="13.109375" style="838" customWidth="1"/>
    <col min="5" max="16384" width="8.88671875" style="838"/>
  </cols>
  <sheetData>
    <row r="1" spans="1:5">
      <c r="A1" s="838" t="s">
        <v>1335</v>
      </c>
    </row>
    <row r="2" spans="1:5">
      <c r="A2" s="838" t="s">
        <v>1301</v>
      </c>
      <c r="B2" s="839"/>
      <c r="C2" s="839"/>
      <c r="D2" s="839"/>
    </row>
    <row r="3" spans="1:5">
      <c r="A3" s="840"/>
      <c r="B3" s="840"/>
      <c r="C3" s="840"/>
      <c r="D3" s="840"/>
      <c r="E3" s="840"/>
    </row>
    <row r="4" spans="1:5" ht="26.4">
      <c r="A4" s="841" t="s">
        <v>1302</v>
      </c>
      <c r="B4" s="842"/>
      <c r="C4" s="843" t="s">
        <v>753</v>
      </c>
      <c r="D4" s="840"/>
    </row>
    <row r="5" spans="1:5">
      <c r="A5" s="844"/>
      <c r="B5" s="844"/>
      <c r="C5" s="845" t="s">
        <v>1303</v>
      </c>
      <c r="D5" s="840"/>
    </row>
    <row r="6" spans="1:5">
      <c r="A6" s="846" t="s">
        <v>1321</v>
      </c>
      <c r="B6" s="847"/>
      <c r="C6" s="847"/>
      <c r="D6" s="840" t="s">
        <v>1826</v>
      </c>
    </row>
    <row r="7" spans="1:5">
      <c r="A7" s="848" t="s">
        <v>1322</v>
      </c>
      <c r="B7" s="848" t="s">
        <v>1323</v>
      </c>
      <c r="C7" s="849">
        <v>0.84323999999999999</v>
      </c>
      <c r="D7" s="840">
        <v>0.84323939807628101</v>
      </c>
    </row>
    <row r="8" spans="1:5">
      <c r="A8" s="848" t="s">
        <v>1324</v>
      </c>
      <c r="B8" s="848" t="s">
        <v>1325</v>
      </c>
      <c r="C8" s="849">
        <v>1.00213</v>
      </c>
      <c r="D8" s="840">
        <v>1.0021308186615678</v>
      </c>
    </row>
    <row r="9" spans="1:5">
      <c r="A9" s="848" t="s">
        <v>1326</v>
      </c>
      <c r="B9" s="848" t="s">
        <v>1327</v>
      </c>
      <c r="C9" s="849">
        <v>1.0743100000000001</v>
      </c>
      <c r="D9" s="840">
        <v>1.0743142483597676</v>
      </c>
    </row>
    <row r="10" spans="1:5">
      <c r="A10" s="848" t="s">
        <v>1328</v>
      </c>
      <c r="B10" s="848" t="s">
        <v>1329</v>
      </c>
      <c r="C10" s="849">
        <v>1.10789</v>
      </c>
      <c r="D10" s="840">
        <v>1.1078914555669443</v>
      </c>
    </row>
    <row r="11" spans="1:5">
      <c r="A11" s="848" t="s">
        <v>1330</v>
      </c>
      <c r="B11" s="848" t="s">
        <v>1331</v>
      </c>
      <c r="C11" s="850">
        <v>1.1161000000000001</v>
      </c>
      <c r="D11" s="840">
        <v>1.1160953759587351</v>
      </c>
    </row>
    <row r="12" spans="1:5">
      <c r="A12" s="840"/>
      <c r="B12" s="840"/>
      <c r="C12" s="840"/>
      <c r="D12" s="840"/>
    </row>
    <row r="13" spans="1:5">
      <c r="A13" s="840"/>
      <c r="B13" s="840"/>
      <c r="C13" s="840"/>
      <c r="D13" s="840"/>
    </row>
    <row r="14" spans="1:5">
      <c r="A14" s="840"/>
      <c r="B14" s="840"/>
      <c r="C14" s="851"/>
      <c r="D14" s="840"/>
    </row>
    <row r="15" spans="1:5">
      <c r="A15" s="840"/>
      <c r="B15" s="840"/>
      <c r="C15" s="840"/>
      <c r="D15" s="84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3C5D-7B4D-4C95-9DAB-50E245C64A06}">
  <sheetPr>
    <tabColor rgb="FF92D050"/>
  </sheetPr>
  <dimension ref="A1:Q58"/>
  <sheetViews>
    <sheetView zoomScale="70" zoomScaleNormal="70" workbookViewId="0">
      <selection activeCell="X63" sqref="X63"/>
    </sheetView>
  </sheetViews>
  <sheetFormatPr defaultColWidth="8.88671875" defaultRowHeight="14.4"/>
  <cols>
    <col min="1" max="1" width="13.6640625" style="1653" customWidth="1"/>
    <col min="2" max="2" width="25.6640625" style="1653" customWidth="1"/>
    <col min="3" max="3" width="13.88671875" style="1653" customWidth="1"/>
    <col min="4" max="4" width="12.88671875" style="1653" customWidth="1"/>
    <col min="5" max="5" width="12.109375" style="1653" customWidth="1"/>
    <col min="6" max="6" width="12.88671875" style="1653" customWidth="1"/>
    <col min="7" max="7" width="11.88671875" style="1653" customWidth="1"/>
    <col min="8" max="8" width="12.88671875" style="1653" customWidth="1"/>
    <col min="9" max="9" width="13.33203125" style="1653" customWidth="1"/>
    <col min="10" max="10" width="3.109375" style="1653" customWidth="1"/>
    <col min="11" max="11" width="14.6640625" style="1653" customWidth="1"/>
    <col min="12" max="12" width="13.6640625" style="1653" customWidth="1"/>
    <col min="13" max="13" width="12" style="1653" customWidth="1"/>
    <col min="14" max="14" width="12.6640625" style="1653" customWidth="1"/>
    <col min="15" max="15" width="13.33203125" style="1653" customWidth="1"/>
    <col min="16" max="16" width="11.33203125" style="1653" customWidth="1"/>
    <col min="17" max="17" width="11.44140625" style="1653" bestFit="1" customWidth="1"/>
    <col min="18" max="18" width="3.88671875" style="1653" bestFit="1" customWidth="1"/>
    <col min="19" max="16384" width="8.88671875" style="1653"/>
  </cols>
  <sheetData>
    <row r="1" spans="1:17">
      <c r="A1" s="1653" t="s">
        <v>1865</v>
      </c>
    </row>
    <row r="2" spans="1:17">
      <c r="A2" s="1674" t="s">
        <v>1866</v>
      </c>
    </row>
    <row r="3" spans="1:17">
      <c r="A3" s="1674"/>
    </row>
    <row r="4" spans="1:17">
      <c r="A4" s="1654"/>
      <c r="B4" s="1654"/>
      <c r="C4" s="1655" t="s">
        <v>1854</v>
      </c>
      <c r="D4" s="1655"/>
      <c r="E4" s="1654"/>
      <c r="F4" s="1654"/>
      <c r="G4" s="1654"/>
      <c r="H4" s="1654"/>
      <c r="I4" s="1654"/>
      <c r="K4" s="1655" t="s">
        <v>1855</v>
      </c>
      <c r="L4" s="1655"/>
      <c r="M4" s="1654"/>
      <c r="N4" s="1654"/>
      <c r="O4" s="1654"/>
      <c r="P4" s="1654"/>
      <c r="Q4" s="1654"/>
    </row>
    <row r="5" spans="1:17" ht="28.8">
      <c r="A5" s="1655" t="s">
        <v>1741</v>
      </c>
      <c r="B5" s="1656" t="s">
        <v>1856</v>
      </c>
      <c r="C5" s="1655" t="s">
        <v>151</v>
      </c>
      <c r="D5" s="1657" t="s">
        <v>152</v>
      </c>
      <c r="E5" s="1657" t="s">
        <v>294</v>
      </c>
      <c r="F5" s="1657" t="s">
        <v>309</v>
      </c>
      <c r="G5" s="1657" t="s">
        <v>310</v>
      </c>
      <c r="H5" s="1657" t="s">
        <v>311</v>
      </c>
      <c r="I5" s="1657" t="s">
        <v>312</v>
      </c>
      <c r="K5" s="1657" t="s">
        <v>151</v>
      </c>
      <c r="L5" s="1657" t="s">
        <v>152</v>
      </c>
      <c r="M5" s="1657" t="s">
        <v>294</v>
      </c>
      <c r="N5" s="1657" t="s">
        <v>309</v>
      </c>
      <c r="O5" s="1657" t="s">
        <v>310</v>
      </c>
      <c r="P5" s="1657" t="s">
        <v>311</v>
      </c>
      <c r="Q5" s="1657" t="s">
        <v>312</v>
      </c>
    </row>
    <row r="6" spans="1:17">
      <c r="A6" s="1653" t="s">
        <v>109</v>
      </c>
      <c r="B6" s="1653" t="s">
        <v>1833</v>
      </c>
      <c r="C6" s="1658">
        <v>126.62157290253798</v>
      </c>
      <c r="D6" s="1658">
        <v>127.77382921595107</v>
      </c>
      <c r="E6" s="1659">
        <v>77</v>
      </c>
      <c r="F6" s="1660">
        <v>77.665477212136352</v>
      </c>
      <c r="G6" s="1660">
        <v>78.373934891808332</v>
      </c>
      <c r="H6" s="1660">
        <v>79.109485909200657</v>
      </c>
      <c r="I6" s="1660">
        <v>79.662621716458034</v>
      </c>
      <c r="K6" s="1658">
        <v>166.49439604423995</v>
      </c>
      <c r="L6" s="1658">
        <v>168.00949504824257</v>
      </c>
      <c r="M6" s="1661">
        <v>134.75</v>
      </c>
      <c r="N6" s="1660">
        <v>135.91458512123862</v>
      </c>
      <c r="O6" s="1660">
        <v>137.15438606066456</v>
      </c>
      <c r="P6" s="1660">
        <v>138.44160034110112</v>
      </c>
      <c r="Q6" s="1660">
        <v>139.40958800380159</v>
      </c>
    </row>
    <row r="7" spans="1:17">
      <c r="B7" s="1653" t="s">
        <v>1835</v>
      </c>
      <c r="C7" s="1658">
        <v>188.26448930556063</v>
      </c>
      <c r="D7" s="1658">
        <v>189.97769615824126</v>
      </c>
      <c r="E7" s="1658">
        <v>191.27887662047578</v>
      </c>
      <c r="F7" s="1660">
        <v>192.88568788023321</v>
      </c>
      <c r="G7" s="1660">
        <v>194.64517422838648</v>
      </c>
      <c r="H7" s="1660">
        <v>196.47194809308829</v>
      </c>
      <c r="I7" s="1660">
        <v>197.84568562105852</v>
      </c>
      <c r="K7" s="1658">
        <v>248.3273182944551</v>
      </c>
      <c r="L7" s="1658">
        <v>250.5870968909347</v>
      </c>
      <c r="M7" s="1658">
        <v>252.30339854716158</v>
      </c>
      <c r="N7" s="1660">
        <v>254.42283770752962</v>
      </c>
      <c r="O7" s="1660">
        <v>256.74366054578383</v>
      </c>
      <c r="P7" s="1660">
        <v>259.15323792612298</v>
      </c>
      <c r="Q7" s="1660">
        <v>260.96524484054243</v>
      </c>
    </row>
    <row r="8" spans="1:17">
      <c r="B8" s="1653" t="s">
        <v>1857</v>
      </c>
      <c r="C8" s="1658">
        <v>116.43878734482347</v>
      </c>
      <c r="D8" s="1658">
        <v>117.49838030966139</v>
      </c>
      <c r="E8" s="1658">
        <v>118.30314107839806</v>
      </c>
      <c r="F8" s="1660">
        <v>119.29692995100113</v>
      </c>
      <c r="G8" s="1660">
        <v>120.38514609566252</v>
      </c>
      <c r="H8" s="1660">
        <v>121.51497856881606</v>
      </c>
      <c r="I8" s="1660">
        <v>122.3646148038647</v>
      </c>
      <c r="K8" s="1658">
        <v>161.89068456603951</v>
      </c>
      <c r="L8" s="1658">
        <v>163.3638897955905</v>
      </c>
      <c r="M8" s="1658">
        <v>164.48278904500344</v>
      </c>
      <c r="N8" s="1660">
        <v>165.86450354554501</v>
      </c>
      <c r="O8" s="1660">
        <v>167.37750501723954</v>
      </c>
      <c r="P8" s="1660">
        <v>168.94836775717948</v>
      </c>
      <c r="Q8" s="1660">
        <v>170.12965961756964</v>
      </c>
    </row>
    <row r="9" spans="1:17">
      <c r="B9" s="1653" t="s">
        <v>1858</v>
      </c>
      <c r="C9" s="1658">
        <v>147.45531806659753</v>
      </c>
      <c r="D9" s="1658">
        <v>148.79716146100358</v>
      </c>
      <c r="E9" s="1658">
        <v>149.81629140754083</v>
      </c>
      <c r="F9" s="1660">
        <v>151.07480206058258</v>
      </c>
      <c r="G9" s="1660">
        <v>152.4528931709018</v>
      </c>
      <c r="H9" s="1660">
        <v>153.88368621237737</v>
      </c>
      <c r="I9" s="1660">
        <v>154.95964538489079</v>
      </c>
      <c r="K9" s="1658">
        <v>206.50376995012587</v>
      </c>
      <c r="L9" s="1658">
        <v>208.38295425667201</v>
      </c>
      <c r="M9" s="1658">
        <v>209.81019458132386</v>
      </c>
      <c r="N9" s="1660">
        <v>211.57267556731409</v>
      </c>
      <c r="O9" s="1660">
        <v>213.5026229801781</v>
      </c>
      <c r="P9" s="1660">
        <v>215.50637680172338</v>
      </c>
      <c r="Q9" s="1660">
        <v>217.01320360424052</v>
      </c>
    </row>
    <row r="10" spans="1:17">
      <c r="B10" s="1653" t="s">
        <v>1859</v>
      </c>
      <c r="C10" s="1658">
        <v>138.20888060614411</v>
      </c>
      <c r="D10" s="1658">
        <v>139.46658141966006</v>
      </c>
      <c r="E10" s="1658">
        <v>140.42180508300387</v>
      </c>
      <c r="F10" s="1660">
        <v>141.60139867697151</v>
      </c>
      <c r="G10" s="1660">
        <v>142.89307423149086</v>
      </c>
      <c r="H10" s="1660">
        <v>144.23414695259871</v>
      </c>
      <c r="I10" s="1660">
        <v>145.24263626828304</v>
      </c>
      <c r="K10" s="1658">
        <v>187.38666296437833</v>
      </c>
      <c r="L10" s="1658">
        <v>189.09188159735416</v>
      </c>
      <c r="M10" s="1658">
        <v>190.38699500738679</v>
      </c>
      <c r="N10" s="1660">
        <v>191.98631414128275</v>
      </c>
      <c r="O10" s="1660">
        <v>193.73759648097405</v>
      </c>
      <c r="P10" s="1660">
        <v>195.55585259374215</v>
      </c>
      <c r="Q10" s="1660">
        <v>196.92318475555771</v>
      </c>
    </row>
    <row r="11" spans="1:17">
      <c r="B11" s="1653" t="s">
        <v>1843</v>
      </c>
      <c r="C11" s="1658">
        <v>172.19051363591166</v>
      </c>
      <c r="D11" s="1658">
        <v>173.75744730999847</v>
      </c>
      <c r="E11" s="1658">
        <v>174.94753330524708</v>
      </c>
      <c r="F11" s="1660">
        <v>176.41715541589659</v>
      </c>
      <c r="G11" s="1660">
        <v>178.02641725354547</v>
      </c>
      <c r="H11" s="1660">
        <v>179.69722161617349</v>
      </c>
      <c r="I11" s="1660">
        <v>180.95366977277834</v>
      </c>
      <c r="K11" s="1658">
        <v>229.56134184518055</v>
      </c>
      <c r="L11" s="1658">
        <v>231.6503500559717</v>
      </c>
      <c r="M11" s="1658">
        <v>233.23695161846015</v>
      </c>
      <c r="N11" s="1660">
        <v>235.1962257770785</v>
      </c>
      <c r="O11" s="1660">
        <v>237.34166514554474</v>
      </c>
      <c r="P11" s="1660">
        <v>239.56915191788033</v>
      </c>
      <c r="Q11" s="1660">
        <v>241.24422633805997</v>
      </c>
    </row>
    <row r="12" spans="1:17">
      <c r="B12" s="1653" t="s">
        <v>1860</v>
      </c>
      <c r="C12" s="1658">
        <v>162.4173803707489</v>
      </c>
      <c r="D12" s="1658">
        <v>163.89537853212275</v>
      </c>
      <c r="E12" s="1658">
        <v>165.01791801285682</v>
      </c>
      <c r="F12" s="1660">
        <v>166.4041277889153</v>
      </c>
      <c r="G12" s="1660">
        <v>167.92205166568706</v>
      </c>
      <c r="H12" s="1660">
        <v>169.49802505678716</v>
      </c>
      <c r="I12" s="1660">
        <v>170.68316013687007</v>
      </c>
      <c r="K12" s="1658">
        <v>219.32003453138722</v>
      </c>
      <c r="L12" s="1658">
        <v>221.31584684562287</v>
      </c>
      <c r="M12" s="1658">
        <v>222.83166613242247</v>
      </c>
      <c r="N12" s="1660">
        <v>224.70353215599022</v>
      </c>
      <c r="O12" s="1660">
        <v>226.75325809239968</v>
      </c>
      <c r="P12" s="1660">
        <v>228.88137109217607</v>
      </c>
      <c r="Q12" s="1660">
        <v>230.48171624055135</v>
      </c>
    </row>
    <row r="13" spans="1:17">
      <c r="B13" s="1653" t="s">
        <v>1846</v>
      </c>
      <c r="C13" s="1658">
        <v>94.922288359844359</v>
      </c>
      <c r="D13" s="1658">
        <v>95.786081183918938</v>
      </c>
      <c r="E13" s="1658">
        <v>96.442131762017908</v>
      </c>
      <c r="F13" s="1660">
        <v>97.252280305171965</v>
      </c>
      <c r="G13" s="1660">
        <v>98.139407086864423</v>
      </c>
      <c r="H13" s="1660">
        <v>99.060459995955583</v>
      </c>
      <c r="I13" s="1660">
        <v>99.753093589479889</v>
      </c>
      <c r="K13" s="1658">
        <v>130.56203781184513</v>
      </c>
      <c r="L13" s="1658">
        <v>131.75015235593293</v>
      </c>
      <c r="M13" s="1658">
        <v>132.6525252534291</v>
      </c>
      <c r="N13" s="1660">
        <v>133.76685410655895</v>
      </c>
      <c r="O13" s="1660">
        <v>134.98706363180921</v>
      </c>
      <c r="P13" s="1660">
        <v>136.25393726940624</v>
      </c>
      <c r="Q13" s="1660">
        <v>137.2066287288099</v>
      </c>
    </row>
    <row r="14" spans="1:17">
      <c r="B14" s="1653" t="s">
        <v>1861</v>
      </c>
      <c r="C14" s="1658">
        <v>203.30458061781709</v>
      </c>
      <c r="D14" s="1658">
        <v>205.15465230143926</v>
      </c>
      <c r="E14" s="1658">
        <v>206.55978159139971</v>
      </c>
      <c r="F14" s="1660">
        <v>208.29495794091707</v>
      </c>
      <c r="G14" s="1660">
        <v>210.19500630071951</v>
      </c>
      <c r="H14" s="1660">
        <v>212.16771764855102</v>
      </c>
      <c r="I14" s="1660">
        <v>213.65120044997118</v>
      </c>
      <c r="K14" s="1658">
        <v>285.93730020110951</v>
      </c>
      <c r="L14" s="1658">
        <v>288.53932963293965</v>
      </c>
      <c r="M14" s="1658">
        <v>290.51557077017242</v>
      </c>
      <c r="N14" s="1660">
        <v>292.95600590078317</v>
      </c>
      <c r="O14" s="1660">
        <v>295.62832492380988</v>
      </c>
      <c r="P14" s="1660">
        <v>298.40284065366154</v>
      </c>
      <c r="Q14" s="1660">
        <v>300.48928192244074</v>
      </c>
    </row>
    <row r="15" spans="1:17">
      <c r="C15" s="1663"/>
      <c r="D15" s="1663"/>
      <c r="E15" s="1663"/>
      <c r="K15" s="1663"/>
      <c r="L15" s="1663"/>
      <c r="M15" s="1663"/>
    </row>
    <row r="16" spans="1:17">
      <c r="B16" s="1653" t="s">
        <v>1862</v>
      </c>
      <c r="C16" s="1658">
        <v>131.94705270571049</v>
      </c>
      <c r="D16" s="1658">
        <v>133.14777088533248</v>
      </c>
      <c r="E16" s="1658">
        <v>134.05971624296944</v>
      </c>
      <c r="F16" s="1660">
        <v>135.18586600579187</v>
      </c>
      <c r="G16" s="1660">
        <v>136.41901963328218</v>
      </c>
      <c r="H16" s="1660">
        <v>137.69933239059671</v>
      </c>
      <c r="I16" s="1660">
        <v>138.66213009437774</v>
      </c>
      <c r="K16" s="1658">
        <v>184.19722725808271</v>
      </c>
      <c r="L16" s="1658">
        <v>185.87342202613127</v>
      </c>
      <c r="M16" s="1658">
        <v>187.14649181316366</v>
      </c>
      <c r="N16" s="1660">
        <v>188.71858955642955</v>
      </c>
      <c r="O16" s="1660">
        <v>190.44006399870881</v>
      </c>
      <c r="P16" s="1660">
        <v>192.22737227945143</v>
      </c>
      <c r="Q16" s="1660">
        <v>193.57143161090508</v>
      </c>
    </row>
    <row r="17" spans="1:17">
      <c r="B17" s="1653" t="s">
        <v>1863</v>
      </c>
      <c r="C17" s="1658">
        <v>130.17189277131965</v>
      </c>
      <c r="D17" s="1658">
        <v>131.35645699553868</v>
      </c>
      <c r="E17" s="1659">
        <v>115.0398108286463</v>
      </c>
      <c r="F17" s="1660">
        <v>116.01240307457336</v>
      </c>
      <c r="G17" s="1660">
        <v>117.0706580527909</v>
      </c>
      <c r="H17" s="1660">
        <v>118.16938356346469</v>
      </c>
      <c r="I17" s="1660">
        <v>118.99562730173784</v>
      </c>
      <c r="K17" s="1658">
        <v>178.29628352013512</v>
      </c>
      <c r="L17" s="1658">
        <v>179.91877970016836</v>
      </c>
      <c r="M17" s="1659">
        <v>169.68099454210912</v>
      </c>
      <c r="N17" s="1660">
        <v>171.11725474469924</v>
      </c>
      <c r="O17" s="1660">
        <v>172.67817135269408</v>
      </c>
      <c r="P17" s="1660">
        <v>174.29878163333467</v>
      </c>
      <c r="Q17" s="1660">
        <v>175.51748374187059</v>
      </c>
    </row>
    <row r="18" spans="1:17">
      <c r="C18" s="1663"/>
      <c r="D18" s="1663"/>
      <c r="E18" s="1663"/>
      <c r="K18" s="1663"/>
      <c r="L18" s="1663"/>
      <c r="M18" s="1663"/>
    </row>
    <row r="19" spans="1:17">
      <c r="A19" s="1653" t="s">
        <v>179</v>
      </c>
      <c r="B19" s="1653" t="s">
        <v>1833</v>
      </c>
      <c r="C19" s="1664">
        <v>129.88777178204134</v>
      </c>
      <c r="D19" s="1664">
        <v>131.06975050525796</v>
      </c>
      <c r="E19" s="1661">
        <v>77</v>
      </c>
      <c r="F19" s="1662">
        <v>77.665477212136352</v>
      </c>
      <c r="G19" s="1662">
        <v>78.373934891808332</v>
      </c>
      <c r="H19" s="1662">
        <v>79.109485909200657</v>
      </c>
      <c r="I19" s="1662">
        <v>79.662621716458048</v>
      </c>
      <c r="K19" s="1658">
        <v>180.02470480021483</v>
      </c>
      <c r="L19" s="1658">
        <v>181.66292961389684</v>
      </c>
      <c r="M19" s="1659">
        <v>134.75</v>
      </c>
      <c r="N19" s="1660">
        <v>146.93689346771373</v>
      </c>
      <c r="O19" s="1660">
        <v>148.27723893832749</v>
      </c>
      <c r="P19" s="1660">
        <v>149.66884284475088</v>
      </c>
      <c r="Q19" s="1660">
        <v>150.71533171086776</v>
      </c>
    </row>
    <row r="20" spans="1:17">
      <c r="B20" s="1653" t="s">
        <v>1835</v>
      </c>
      <c r="C20" s="1664">
        <v>203.47959311161952</v>
      </c>
      <c r="D20" s="1664">
        <v>205.3312574089353</v>
      </c>
      <c r="E20" s="1664">
        <v>206.7375962888637</v>
      </c>
      <c r="F20" s="1662">
        <v>208.44177226739342</v>
      </c>
      <c r="G20" s="1662">
        <v>210.34315985462109</v>
      </c>
      <c r="H20" s="1662">
        <v>212.31726164555661</v>
      </c>
      <c r="I20" s="1662">
        <v>213.80179006291718</v>
      </c>
      <c r="K20" s="1658">
        <v>268.50784910447976</v>
      </c>
      <c r="L20" s="1658">
        <v>270.95127053133064</v>
      </c>
      <c r="M20" s="1658">
        <v>272.80704890196273</v>
      </c>
      <c r="N20" s="1660">
        <v>275.05584751362272</v>
      </c>
      <c r="O20" s="1660">
        <v>277.56488285988667</v>
      </c>
      <c r="P20" s="1660">
        <v>280.16987050356954</v>
      </c>
      <c r="Q20" s="1660">
        <v>282.12882631915988</v>
      </c>
    </row>
    <row r="21" spans="1:17">
      <c r="B21" s="1653" t="s">
        <v>1857</v>
      </c>
      <c r="C21" s="1664">
        <v>141.08790280124629</v>
      </c>
      <c r="D21" s="1664">
        <v>142.37180271673765</v>
      </c>
      <c r="E21" s="1664">
        <v>143.34692459585457</v>
      </c>
      <c r="F21" s="1662">
        <v>144.52855962440077</v>
      </c>
      <c r="G21" s="1662">
        <v>145.8469364846647</v>
      </c>
      <c r="H21" s="1662">
        <v>147.21573164166352</v>
      </c>
      <c r="I21" s="1662">
        <v>148.24506828349257</v>
      </c>
      <c r="K21" s="1658">
        <v>175.04686879167929</v>
      </c>
      <c r="L21" s="1658">
        <v>176.63979529768361</v>
      </c>
      <c r="M21" s="1658">
        <v>177.84962284661336</v>
      </c>
      <c r="N21" s="1660">
        <v>179.31566995408912</v>
      </c>
      <c r="O21" s="1660">
        <v>180.95137178744693</v>
      </c>
      <c r="P21" s="1660">
        <v>182.64962728272772</v>
      </c>
      <c r="Q21" s="1660">
        <v>183.92671874491032</v>
      </c>
    </row>
    <row r="22" spans="1:17">
      <c r="B22" s="1653" t="s">
        <v>1858</v>
      </c>
      <c r="C22" s="1664">
        <v>172.26265543097301</v>
      </c>
      <c r="D22" s="1664">
        <v>173.8302455953949</v>
      </c>
      <c r="E22" s="1664">
        <v>175.02083019499838</v>
      </c>
      <c r="F22" s="1662">
        <v>176.46355904507118</v>
      </c>
      <c r="G22" s="1662">
        <v>178.07324417256044</v>
      </c>
      <c r="H22" s="1662">
        <v>179.74448801277711</v>
      </c>
      <c r="I22" s="1662">
        <v>181.00126665739032</v>
      </c>
      <c r="K22" s="1658">
        <v>223.28547451846217</v>
      </c>
      <c r="L22" s="1658">
        <v>225.31737233658015</v>
      </c>
      <c r="M22" s="1658">
        <v>226.86059856057955</v>
      </c>
      <c r="N22" s="1660">
        <v>228.73065214290725</v>
      </c>
      <c r="O22" s="1660">
        <v>230.81711311506365</v>
      </c>
      <c r="P22" s="1660">
        <v>232.98336599770522</v>
      </c>
      <c r="Q22" s="1660">
        <v>234.61239241277505</v>
      </c>
    </row>
    <row r="23" spans="1:17">
      <c r="B23" s="1653" t="s">
        <v>1859</v>
      </c>
      <c r="C23" s="1664">
        <v>159.81806540963422</v>
      </c>
      <c r="D23" s="1664">
        <v>161.27240980486189</v>
      </c>
      <c r="E23" s="1664">
        <v>162.37698425217371</v>
      </c>
      <c r="F23" s="1662">
        <v>163.71548755779409</v>
      </c>
      <c r="G23" s="1662">
        <v>165.20888589390108</v>
      </c>
      <c r="H23" s="1662">
        <v>166.75939582133122</v>
      </c>
      <c r="I23" s="1662">
        <v>167.92538232680869</v>
      </c>
      <c r="K23" s="1658">
        <v>202.61479956776381</v>
      </c>
      <c r="L23" s="1658">
        <v>204.45859424383045</v>
      </c>
      <c r="M23" s="1658">
        <v>205.85895614707414</v>
      </c>
      <c r="N23" s="1660">
        <v>207.55588933353178</v>
      </c>
      <c r="O23" s="1660">
        <v>209.44919597423967</v>
      </c>
      <c r="P23" s="1660">
        <v>211.4149077814053</v>
      </c>
      <c r="Q23" s="1660">
        <v>212.89312691452082</v>
      </c>
    </row>
    <row r="24" spans="1:17">
      <c r="B24" s="1653" t="s">
        <v>1843</v>
      </c>
      <c r="C24" s="1664">
        <v>190.73970773384215</v>
      </c>
      <c r="D24" s="1664">
        <v>192.47543907422019</v>
      </c>
      <c r="E24" s="1664">
        <v>193.79372688298892</v>
      </c>
      <c r="F24" s="1662">
        <v>195.3912041685538</v>
      </c>
      <c r="G24" s="1662">
        <v>197.17354561680719</v>
      </c>
      <c r="H24" s="1662">
        <v>199.02404862244936</v>
      </c>
      <c r="I24" s="1662">
        <v>200.41563051093195</v>
      </c>
      <c r="K24" s="1658">
        <v>248.21683961205954</v>
      </c>
      <c r="L24" s="1658">
        <v>250.47561285252937</v>
      </c>
      <c r="M24" s="1658">
        <v>252.19115094095031</v>
      </c>
      <c r="N24" s="1660">
        <v>254.27000891911325</v>
      </c>
      <c r="O24" s="1660">
        <v>256.58943766654727</v>
      </c>
      <c r="P24" s="1660">
        <v>258.99756764226299</v>
      </c>
      <c r="Q24" s="1660">
        <v>260.80848610556757</v>
      </c>
    </row>
    <row r="25" spans="1:17">
      <c r="B25" s="1653" t="s">
        <v>1860</v>
      </c>
      <c r="C25" s="1664">
        <v>186.58448021824256</v>
      </c>
      <c r="D25" s="1664">
        <v>188.28239898822861</v>
      </c>
      <c r="E25" s="1664">
        <v>189.57196815292713</v>
      </c>
      <c r="F25" s="1662">
        <v>191.13464470585282</v>
      </c>
      <c r="G25" s="1662">
        <v>192.87815819155995</v>
      </c>
      <c r="H25" s="1662">
        <v>194.68834834835636</v>
      </c>
      <c r="I25" s="1662">
        <v>196.0496148954665</v>
      </c>
      <c r="K25" s="1658">
        <v>237.14326374561404</v>
      </c>
      <c r="L25" s="1658">
        <v>239.30126744569915</v>
      </c>
      <c r="M25" s="1658">
        <v>240.94027107657246</v>
      </c>
      <c r="N25" s="1660">
        <v>242.92638598551923</v>
      </c>
      <c r="O25" s="1660">
        <v>245.14233919824872</v>
      </c>
      <c r="P25" s="1660">
        <v>247.44303645495938</v>
      </c>
      <c r="Q25" s="1660">
        <v>249.1731653029313</v>
      </c>
    </row>
    <row r="26" spans="1:17">
      <c r="B26" s="1653" t="s">
        <v>1846</v>
      </c>
      <c r="C26" s="1664">
        <v>105.35716467218198</v>
      </c>
      <c r="D26" s="1664">
        <v>106.31591487069885</v>
      </c>
      <c r="E26" s="1664">
        <v>107.04408556679527</v>
      </c>
      <c r="F26" s="1662">
        <v>107.92646962533742</v>
      </c>
      <c r="G26" s="1662">
        <v>108.91096542695476</v>
      </c>
      <c r="H26" s="1662">
        <v>109.9331110106308</v>
      </c>
      <c r="I26" s="1662">
        <v>110.70176649365308</v>
      </c>
      <c r="K26" s="1658">
        <v>141.17227290308588</v>
      </c>
      <c r="L26" s="1658">
        <v>142.456940586504</v>
      </c>
      <c r="M26" s="1658">
        <v>143.43264558529745</v>
      </c>
      <c r="N26" s="1660">
        <v>144.61498722770438</v>
      </c>
      <c r="O26" s="1660">
        <v>145.93415247299461</v>
      </c>
      <c r="P26" s="1660">
        <v>147.30376616499541</v>
      </c>
      <c r="Q26" s="1660">
        <v>148.3337183467508</v>
      </c>
    </row>
    <row r="27" spans="1:17">
      <c r="B27" s="1653" t="s">
        <v>1861</v>
      </c>
      <c r="C27" s="1664">
        <v>228.60079093435601</v>
      </c>
      <c r="D27" s="1664">
        <v>230.68105813185866</v>
      </c>
      <c r="E27" s="1661">
        <v>225.08</v>
      </c>
      <c r="F27" s="1662">
        <v>227.0252676741253</v>
      </c>
      <c r="G27" s="1662">
        <v>229.09617227854827</v>
      </c>
      <c r="H27" s="1662">
        <v>231.24627387588154</v>
      </c>
      <c r="I27" s="1662">
        <v>232.86315449273212</v>
      </c>
      <c r="K27" s="1658">
        <v>309.17423819115987</v>
      </c>
      <c r="L27" s="1658">
        <v>311.98772375869953</v>
      </c>
      <c r="M27" s="1658">
        <v>314.12456581343048</v>
      </c>
      <c r="N27" s="1660">
        <v>316.71395230594516</v>
      </c>
      <c r="O27" s="1660">
        <v>319.60298923489546</v>
      </c>
      <c r="P27" s="1660">
        <v>322.60251074951481</v>
      </c>
      <c r="Q27" s="1660">
        <v>324.85815680960303</v>
      </c>
    </row>
    <row r="28" spans="1:17">
      <c r="C28" s="1663"/>
      <c r="D28" s="1663"/>
      <c r="E28" s="1663"/>
      <c r="K28" s="1663"/>
      <c r="L28" s="1663"/>
      <c r="M28" s="1663"/>
    </row>
    <row r="29" spans="1:17">
      <c r="B29" s="1653" t="s">
        <v>1862</v>
      </c>
      <c r="C29" s="1664">
        <v>156.67527911610966</v>
      </c>
      <c r="D29" s="1664">
        <v>158.10102415606627</v>
      </c>
      <c r="E29" s="1664">
        <v>159.18387739542646</v>
      </c>
      <c r="F29" s="1662">
        <v>160.49605933473597</v>
      </c>
      <c r="G29" s="1662">
        <v>161.96009032861258</v>
      </c>
      <c r="H29" s="1662">
        <v>163.4801098272203</v>
      </c>
      <c r="I29" s="1662">
        <v>164.62316747044144</v>
      </c>
      <c r="K29" s="1664">
        <v>199.16617165507074</v>
      </c>
      <c r="L29" s="1664">
        <v>200.97858381713189</v>
      </c>
      <c r="M29" s="1664">
        <v>202.35511070359644</v>
      </c>
      <c r="N29" s="1662">
        <v>204.0231610484982</v>
      </c>
      <c r="O29" s="1662">
        <v>205.88424245125529</v>
      </c>
      <c r="P29" s="1662">
        <v>207.81649664021649</v>
      </c>
      <c r="Q29" s="1662">
        <v>209.2695555788427</v>
      </c>
    </row>
    <row r="30" spans="1:17">
      <c r="B30" s="1653" t="s">
        <v>1863</v>
      </c>
      <c r="C30" s="1664">
        <v>147.74611000475355</v>
      </c>
      <c r="D30" s="1664">
        <v>149.09059960579683</v>
      </c>
      <c r="E30" s="1665">
        <v>131.78925159695098</v>
      </c>
      <c r="F30" s="1662">
        <v>132.88586529386944</v>
      </c>
      <c r="G30" s="1662">
        <v>134.09803851634447</v>
      </c>
      <c r="H30" s="1662">
        <v>135.35656852121375</v>
      </c>
      <c r="I30" s="1662">
        <v>136.30298555244698</v>
      </c>
      <c r="K30" s="1664">
        <v>192.78568270345207</v>
      </c>
      <c r="L30" s="1664">
        <v>194.54003241605355</v>
      </c>
      <c r="M30" s="1665">
        <v>179.82007380239762</v>
      </c>
      <c r="N30" s="1662">
        <v>184.9944051882367</v>
      </c>
      <c r="O30" s="1662">
        <v>186.68190794694601</v>
      </c>
      <c r="P30" s="1662">
        <v>188.43394537506128</v>
      </c>
      <c r="Q30" s="1662">
        <v>189.75148095618439</v>
      </c>
    </row>
    <row r="32" spans="1:17">
      <c r="A32" s="1654"/>
      <c r="B32" s="1654"/>
      <c r="C32" s="1655" t="s">
        <v>1854</v>
      </c>
      <c r="D32" s="1655"/>
      <c r="E32" s="1654"/>
      <c r="F32" s="1654"/>
      <c r="G32" s="1654"/>
      <c r="H32" s="1654"/>
      <c r="I32" s="1654"/>
      <c r="K32" s="1655" t="s">
        <v>1855</v>
      </c>
      <c r="L32" s="1655"/>
      <c r="M32" s="1654"/>
      <c r="N32" s="1654"/>
      <c r="O32" s="1654"/>
      <c r="P32" s="1654"/>
      <c r="Q32" s="1654"/>
    </row>
    <row r="33" spans="1:17">
      <c r="A33" s="1655" t="s">
        <v>1741</v>
      </c>
      <c r="B33" s="1655" t="s">
        <v>1864</v>
      </c>
      <c r="C33" s="1655" t="s">
        <v>151</v>
      </c>
      <c r="D33" s="1657" t="s">
        <v>152</v>
      </c>
      <c r="E33" s="1657" t="s">
        <v>294</v>
      </c>
      <c r="F33" s="1657" t="s">
        <v>309</v>
      </c>
      <c r="G33" s="1657" t="s">
        <v>310</v>
      </c>
      <c r="H33" s="1657" t="s">
        <v>311</v>
      </c>
      <c r="I33" s="1657" t="s">
        <v>312</v>
      </c>
      <c r="K33" s="1657" t="s">
        <v>151</v>
      </c>
      <c r="L33" s="1657" t="s">
        <v>152</v>
      </c>
      <c r="M33" s="1657" t="s">
        <v>294</v>
      </c>
      <c r="N33" s="1657" t="s">
        <v>309</v>
      </c>
      <c r="O33" s="1657" t="s">
        <v>310</v>
      </c>
      <c r="P33" s="1657" t="s">
        <v>311</v>
      </c>
      <c r="Q33" s="1657" t="s">
        <v>312</v>
      </c>
    </row>
    <row r="34" spans="1:17">
      <c r="A34" s="1653" t="s">
        <v>109</v>
      </c>
      <c r="B34" s="1653" t="s">
        <v>1833</v>
      </c>
      <c r="C34" s="1666">
        <v>64.91</v>
      </c>
      <c r="D34" s="1664">
        <v>65.500681</v>
      </c>
      <c r="E34" s="1665">
        <v>39.481980392010144</v>
      </c>
      <c r="F34" s="1662">
        <v>39.823205823710104</v>
      </c>
      <c r="G34" s="1662">
        <v>40.186469618740986</v>
      </c>
      <c r="H34" s="1662">
        <v>40.563625603754062</v>
      </c>
      <c r="I34" s="1662">
        <v>40.847247643965162</v>
      </c>
      <c r="K34" s="1666">
        <v>85.35</v>
      </c>
      <c r="L34" s="1667">
        <v>86.126685000000009</v>
      </c>
      <c r="M34" s="1668">
        <v>69.093465686017751</v>
      </c>
      <c r="N34" s="1669">
        <v>69.690610191492681</v>
      </c>
      <c r="O34" s="1669">
        <v>70.326321832796722</v>
      </c>
      <c r="P34" s="1669">
        <v>70.986344806569605</v>
      </c>
      <c r="Q34" s="1669">
        <v>71.482683376939036</v>
      </c>
    </row>
    <row r="35" spans="1:17">
      <c r="B35" s="1653" t="s">
        <v>1835</v>
      </c>
      <c r="C35" s="1666">
        <v>96.51</v>
      </c>
      <c r="D35" s="1664">
        <v>97.388241000000022</v>
      </c>
      <c r="E35" s="1664">
        <v>98.055264966513633</v>
      </c>
      <c r="F35" s="1662">
        <v>98.902713594633198</v>
      </c>
      <c r="G35" s="1662">
        <v>99.804895484214981</v>
      </c>
      <c r="H35" s="1662">
        <v>100.74157924923826</v>
      </c>
      <c r="I35" s="1662">
        <v>101.44596727707059</v>
      </c>
      <c r="K35" s="1666">
        <v>127.3</v>
      </c>
      <c r="L35" s="1667">
        <v>128.45843000000002</v>
      </c>
      <c r="M35" s="1667">
        <v>129.33825748872846</v>
      </c>
      <c r="N35" s="1669">
        <v>130.4560712941333</v>
      </c>
      <c r="O35" s="1669">
        <v>131.64608014859149</v>
      </c>
      <c r="P35" s="1669">
        <v>132.8815981600666</v>
      </c>
      <c r="Q35" s="1669">
        <v>133.81071012714833</v>
      </c>
    </row>
    <row r="36" spans="1:17">
      <c r="B36" s="1653" t="s">
        <v>1857</v>
      </c>
      <c r="C36" s="1666">
        <v>59.69</v>
      </c>
      <c r="D36" s="1664">
        <v>60.233179000000007</v>
      </c>
      <c r="E36" s="1664">
        <v>60.645723405359007</v>
      </c>
      <c r="F36" s="1662">
        <v>61.169857781200442</v>
      </c>
      <c r="G36" s="1662">
        <v>61.727843865431474</v>
      </c>
      <c r="H36" s="1662">
        <v>62.307168846617252</v>
      </c>
      <c r="I36" s="1662">
        <v>62.742822368338437</v>
      </c>
      <c r="K36" s="1666">
        <v>82.99</v>
      </c>
      <c r="L36" s="1667">
        <v>83.745209000000003</v>
      </c>
      <c r="M36" s="1667">
        <v>84.318790172738204</v>
      </c>
      <c r="N36" s="1669">
        <v>85.047520476827344</v>
      </c>
      <c r="O36" s="1669">
        <v>85.823316508496518</v>
      </c>
      <c r="P36" s="1669">
        <v>86.628781078585448</v>
      </c>
      <c r="Q36" s="1669">
        <v>87.234492014548621</v>
      </c>
    </row>
    <row r="37" spans="1:17">
      <c r="B37" s="1653" t="s">
        <v>1858</v>
      </c>
      <c r="C37" s="1666">
        <v>75.59</v>
      </c>
      <c r="D37" s="1664">
        <v>76.27786900000001</v>
      </c>
      <c r="E37" s="1664">
        <v>76.800305448334527</v>
      </c>
      <c r="F37" s="1662">
        <v>77.464056788087476</v>
      </c>
      <c r="G37" s="1662">
        <v>78.170677128295608</v>
      </c>
      <c r="H37" s="1662">
        <v>78.90432054139383</v>
      </c>
      <c r="I37" s="1662">
        <v>79.456021826481859</v>
      </c>
      <c r="K37" s="1666">
        <v>105.86</v>
      </c>
      <c r="L37" s="1667">
        <v>106.82332600000001</v>
      </c>
      <c r="M37" s="1667">
        <v>107.55497201694261</v>
      </c>
      <c r="N37" s="1669">
        <v>108.48452244459504</v>
      </c>
      <c r="O37" s="1669">
        <v>109.4741087551445</v>
      </c>
      <c r="P37" s="1669">
        <v>110.50153952258171</v>
      </c>
      <c r="Q37" s="1669">
        <v>111.27416947415492</v>
      </c>
    </row>
    <row r="38" spans="1:17">
      <c r="B38" s="1653" t="s">
        <v>1859</v>
      </c>
      <c r="C38" s="1666">
        <v>70.849999999999994</v>
      </c>
      <c r="D38" s="1664">
        <v>71.494735000000006</v>
      </c>
      <c r="E38" s="1664">
        <v>71.984411178919174</v>
      </c>
      <c r="F38" s="1662">
        <v>72.606540857732469</v>
      </c>
      <c r="G38" s="1662">
        <v>73.268851363139888</v>
      </c>
      <c r="H38" s="1662">
        <v>73.956490413517045</v>
      </c>
      <c r="I38" s="1662">
        <v>74.473596327639115</v>
      </c>
      <c r="K38" s="1666">
        <v>96.06</v>
      </c>
      <c r="L38" s="1667">
        <v>96.934146000000013</v>
      </c>
      <c r="M38" s="1667">
        <v>97.598059814353931</v>
      </c>
      <c r="N38" s="1669">
        <v>98.441557018966563</v>
      </c>
      <c r="O38" s="1669">
        <v>99.339532278662205</v>
      </c>
      <c r="P38" s="1669">
        <v>100.2718485408955</v>
      </c>
      <c r="Q38" s="1669">
        <v>100.97295219806651</v>
      </c>
    </row>
    <row r="39" spans="1:17">
      <c r="B39" s="1653" t="s">
        <v>1843</v>
      </c>
      <c r="C39" s="1666">
        <v>88.27</v>
      </c>
      <c r="D39" s="1664">
        <v>89.073257000000012</v>
      </c>
      <c r="E39" s="1664">
        <v>89.683330624745182</v>
      </c>
      <c r="F39" s="1662">
        <v>90.45842429798229</v>
      </c>
      <c r="G39" s="1662">
        <v>91.283578120315568</v>
      </c>
      <c r="H39" s="1662">
        <v>92.140288056473537</v>
      </c>
      <c r="I39" s="1662">
        <v>92.784535608196265</v>
      </c>
      <c r="K39" s="1666">
        <v>117.68</v>
      </c>
      <c r="L39" s="1667">
        <v>118.75088800000002</v>
      </c>
      <c r="M39" s="1667">
        <v>119.56422734700367</v>
      </c>
      <c r="N39" s="1669">
        <v>120.59756849877147</v>
      </c>
      <c r="O39" s="1669">
        <v>121.69764895433032</v>
      </c>
      <c r="P39" s="1669">
        <v>122.83979946171753</v>
      </c>
      <c r="Q39" s="1669">
        <v>123.69869888266157</v>
      </c>
    </row>
    <row r="40" spans="1:17">
      <c r="B40" s="1653" t="s">
        <v>1860</v>
      </c>
      <c r="C40" s="1666">
        <v>83.26</v>
      </c>
      <c r="D40" s="1664">
        <v>84.01766600000002</v>
      </c>
      <c r="E40" s="1664">
        <v>84.593113264034031</v>
      </c>
      <c r="F40" s="1662">
        <v>85.324214422227328</v>
      </c>
      <c r="G40" s="1662">
        <v>86.10253443182819</v>
      </c>
      <c r="H40" s="1662">
        <v>86.910619503591093</v>
      </c>
      <c r="I40" s="1662">
        <v>87.51830106195105</v>
      </c>
      <c r="K40" s="1666">
        <v>112.43</v>
      </c>
      <c r="L40" s="1667">
        <v>113.45311300000002</v>
      </c>
      <c r="M40" s="1667">
        <v>114.23016723847401</v>
      </c>
      <c r="N40" s="1669">
        <v>115.21740844932762</v>
      </c>
      <c r="O40" s="1669">
        <v>116.26841155621479</v>
      </c>
      <c r="P40" s="1669">
        <v>117.35960786438562</v>
      </c>
      <c r="Q40" s="1669">
        <v>118.1801896276142</v>
      </c>
    </row>
    <row r="41" spans="1:17">
      <c r="B41" s="1653" t="s">
        <v>1846</v>
      </c>
      <c r="C41" s="1666">
        <v>48.66</v>
      </c>
      <c r="D41" s="1664">
        <v>49.102806000000001</v>
      </c>
      <c r="E41" s="1664">
        <v>49.439117120200521</v>
      </c>
      <c r="F41" s="1662">
        <v>49.866397715416539</v>
      </c>
      <c r="G41" s="1662">
        <v>50.321274627104962</v>
      </c>
      <c r="H41" s="1662">
        <v>50.793547262127582</v>
      </c>
      <c r="I41" s="1662">
        <v>51.148697209638939</v>
      </c>
      <c r="K41" s="1666">
        <v>66.930000000000007</v>
      </c>
      <c r="L41" s="1667">
        <v>67.539063000000013</v>
      </c>
      <c r="M41" s="1667">
        <v>68.00164629788371</v>
      </c>
      <c r="N41" s="1669">
        <v>68.589354687481077</v>
      </c>
      <c r="O41" s="1669">
        <v>69.215020772546964</v>
      </c>
      <c r="P41" s="1669">
        <v>69.864614020842566</v>
      </c>
      <c r="Q41" s="1669">
        <v>70.353109417203754</v>
      </c>
    </row>
    <row r="42" spans="1:17">
      <c r="B42" s="1653" t="s">
        <v>1861</v>
      </c>
      <c r="C42" s="1666">
        <v>104.22</v>
      </c>
      <c r="D42" s="1664">
        <v>105.16840200000001</v>
      </c>
      <c r="E42" s="1664">
        <v>105.88871324018288</v>
      </c>
      <c r="F42" s="1662">
        <v>106.80386292438784</v>
      </c>
      <c r="G42" s="1662">
        <v>107.7781184060189</v>
      </c>
      <c r="H42" s="1662">
        <v>108.78963205217708</v>
      </c>
      <c r="I42" s="1662">
        <v>109.55029229734014</v>
      </c>
      <c r="K42" s="1666">
        <v>146.58000000000001</v>
      </c>
      <c r="L42" s="1667">
        <v>147.91387800000004</v>
      </c>
      <c r="M42" s="1667">
        <v>148.92695823014785</v>
      </c>
      <c r="N42" s="1669">
        <v>150.2140685804718</v>
      </c>
      <c r="O42" s="1669">
        <v>151.58430815538526</v>
      </c>
      <c r="P42" s="1669">
        <v>153.00694939750642</v>
      </c>
      <c r="Q42" s="1669">
        <v>154.07677840092225</v>
      </c>
    </row>
    <row r="43" spans="1:17" ht="14.25" customHeight="1">
      <c r="D43" s="1664"/>
      <c r="E43" s="1664"/>
      <c r="F43" s="1662"/>
      <c r="G43" s="1662"/>
      <c r="H43" s="1662"/>
      <c r="I43" s="1662"/>
      <c r="L43" s="1664"/>
      <c r="M43" s="1664"/>
      <c r="N43" s="1662"/>
      <c r="O43" s="1662"/>
      <c r="P43" s="1662"/>
      <c r="Q43" s="1662"/>
    </row>
    <row r="44" spans="1:17">
      <c r="B44" s="1653" t="s">
        <v>1862</v>
      </c>
      <c r="C44" s="1662">
        <v>67.64</v>
      </c>
      <c r="D44" s="1664">
        <v>68.255524000000008</v>
      </c>
      <c r="E44" s="1664">
        <v>68.72301442684676</v>
      </c>
      <c r="F44" s="1662">
        <v>69.316957284643962</v>
      </c>
      <c r="G44" s="1662">
        <v>69.949260496863545</v>
      </c>
      <c r="H44" s="1662">
        <v>70.605744694005537</v>
      </c>
      <c r="I44" s="1662">
        <v>71.099422097410155</v>
      </c>
      <c r="K44" s="1662">
        <v>94.424999999999997</v>
      </c>
      <c r="L44" s="1664">
        <v>95.284267499999999</v>
      </c>
      <c r="M44" s="1664">
        <v>95.936881094840402</v>
      </c>
      <c r="N44" s="1662">
        <v>96.766021460711187</v>
      </c>
      <c r="O44" s="1662">
        <v>97.648712631820501</v>
      </c>
      <c r="P44" s="1662">
        <v>98.565160300583585</v>
      </c>
      <c r="Q44" s="1662">
        <v>99.254330744351762</v>
      </c>
    </row>
    <row r="45" spans="1:17">
      <c r="B45" s="1653" t="s">
        <v>1863</v>
      </c>
      <c r="C45" s="1662">
        <v>66.73</v>
      </c>
      <c r="D45" s="1664">
        <v>67.337243000000001</v>
      </c>
      <c r="E45" s="1665">
        <v>58.976003081901219</v>
      </c>
      <c r="F45" s="1662">
        <v>59.485706797666012</v>
      </c>
      <c r="G45" s="1662">
        <v>60.02833020415602</v>
      </c>
      <c r="H45" s="1662">
        <v>60.591704997255043</v>
      </c>
      <c r="I45" s="1662">
        <v>61.015363946261822</v>
      </c>
      <c r="J45" s="1662"/>
      <c r="K45" s="1662">
        <v>91.399999999999991</v>
      </c>
      <c r="L45" s="1664">
        <v>92.231740000000002</v>
      </c>
      <c r="M45" s="1665">
        <v>86.989075958566175</v>
      </c>
      <c r="N45" s="1662">
        <v>87.740884370971685</v>
      </c>
      <c r="O45" s="1662">
        <v>88.541249032145913</v>
      </c>
      <c r="P45" s="1662">
        <v>89.37222180257892</v>
      </c>
      <c r="Q45" s="1662">
        <v>89.997114955214201</v>
      </c>
    </row>
    <row r="46" spans="1:17" ht="8.25" customHeight="1">
      <c r="D46" s="1663"/>
      <c r="E46" s="1663"/>
      <c r="L46" s="1663"/>
      <c r="M46" s="1663"/>
    </row>
    <row r="47" spans="1:17">
      <c r="A47" s="1653" t="s">
        <v>179</v>
      </c>
      <c r="B47" s="1653" t="s">
        <v>1833</v>
      </c>
      <c r="C47" s="1666">
        <v>61.58</v>
      </c>
      <c r="D47" s="1664">
        <v>62.140378000000005</v>
      </c>
      <c r="E47" s="1665">
        <v>36.520283355003968</v>
      </c>
      <c r="F47" s="1662">
        <v>36.835912138815885</v>
      </c>
      <c r="G47" s="1662">
        <v>37.171926102538606</v>
      </c>
      <c r="H47" s="1662">
        <v>37.520790148996127</v>
      </c>
      <c r="I47" s="1662">
        <v>37.783136595942082</v>
      </c>
      <c r="K47" s="1666">
        <v>77.45</v>
      </c>
      <c r="L47" s="1664">
        <v>78.154795000000007</v>
      </c>
      <c r="M47" s="1665">
        <v>63.910495871256941</v>
      </c>
      <c r="N47" s="1662">
        <v>64.462846242927796</v>
      </c>
      <c r="O47" s="1662">
        <v>65.050870679442554</v>
      </c>
      <c r="P47" s="1662">
        <v>65.661382760743209</v>
      </c>
      <c r="Q47" s="1662">
        <v>66.120489042898626</v>
      </c>
    </row>
    <row r="48" spans="1:17">
      <c r="B48" s="1653" t="s">
        <v>1835</v>
      </c>
      <c r="C48" s="1666">
        <v>96.47</v>
      </c>
      <c r="D48" s="1664">
        <v>97.347877000000011</v>
      </c>
      <c r="E48" s="1664">
        <v>98.014624508543875</v>
      </c>
      <c r="F48" s="1662">
        <v>98.861721899018377</v>
      </c>
      <c r="G48" s="1662">
        <v>99.76352986594361</v>
      </c>
      <c r="H48" s="1662">
        <v>100.69982540849666</v>
      </c>
      <c r="I48" s="1662">
        <v>101.40392149227021</v>
      </c>
      <c r="K48" s="1666">
        <v>123.37</v>
      </c>
      <c r="L48" s="1664">
        <v>124.49266700000001</v>
      </c>
      <c r="M48" s="1664">
        <v>125.34533249320054</v>
      </c>
      <c r="N48" s="1662">
        <v>126.42863719997818</v>
      </c>
      <c r="O48" s="1662">
        <v>127.58190815343073</v>
      </c>
      <c r="P48" s="1662">
        <v>128.77928330720673</v>
      </c>
      <c r="Q48" s="1662">
        <v>129.67971177051285</v>
      </c>
    </row>
    <row r="49" spans="2:17">
      <c r="B49" s="1653" t="s">
        <v>1857</v>
      </c>
      <c r="C49" s="1666">
        <v>66.89</v>
      </c>
      <c r="D49" s="1664">
        <v>67.498699000000002</v>
      </c>
      <c r="E49" s="1664">
        <v>67.961005839913952</v>
      </c>
      <c r="F49" s="1662">
        <v>68.548362991866256</v>
      </c>
      <c r="G49" s="1662">
        <v>69.173655154275593</v>
      </c>
      <c r="H49" s="1662">
        <v>69.822860180100975</v>
      </c>
      <c r="I49" s="1662">
        <v>70.311063632403375</v>
      </c>
      <c r="K49" s="1666">
        <v>87.66</v>
      </c>
      <c r="L49" s="1664">
        <v>88.457706000000002</v>
      </c>
      <c r="M49" s="1664">
        <v>89.063563640706491</v>
      </c>
      <c r="N49" s="1662">
        <v>89.833300939856429</v>
      </c>
      <c r="O49" s="1662">
        <v>90.652752441677379</v>
      </c>
      <c r="P49" s="1662">
        <v>91.503541985164489</v>
      </c>
      <c r="Q49" s="1662">
        <v>92.143337389990748</v>
      </c>
    </row>
    <row r="50" spans="2:17">
      <c r="B50" s="1653" t="s">
        <v>1858</v>
      </c>
      <c r="C50" s="1666">
        <v>81.67</v>
      </c>
      <c r="D50" s="1664">
        <v>82.413197000000011</v>
      </c>
      <c r="E50" s="1664">
        <v>82.977655059736477</v>
      </c>
      <c r="F50" s="1662">
        <v>83.694794521538611</v>
      </c>
      <c r="G50" s="1662">
        <v>84.458251105541763</v>
      </c>
      <c r="H50" s="1662">
        <v>85.250904334113429</v>
      </c>
      <c r="I50" s="1662">
        <v>85.846981116136703</v>
      </c>
      <c r="K50" s="1666">
        <v>107.36</v>
      </c>
      <c r="L50" s="1664">
        <v>108.33697600000001</v>
      </c>
      <c r="M50" s="1664">
        <v>109.07898919080823</v>
      </c>
      <c r="N50" s="1662">
        <v>110.02171103015043</v>
      </c>
      <c r="O50" s="1662">
        <v>111.02531944032036</v>
      </c>
      <c r="P50" s="1662">
        <v>112.06730855039082</v>
      </c>
      <c r="Q50" s="1662">
        <v>112.85088640416845</v>
      </c>
    </row>
    <row r="51" spans="2:17">
      <c r="B51" s="1653" t="s">
        <v>1859</v>
      </c>
      <c r="C51" s="1666">
        <v>75.77</v>
      </c>
      <c r="D51" s="1664">
        <v>76.459507000000002</v>
      </c>
      <c r="E51" s="1664">
        <v>76.983187509198387</v>
      </c>
      <c r="F51" s="1662">
        <v>77.648519418354113</v>
      </c>
      <c r="G51" s="1662">
        <v>78.356822410516699</v>
      </c>
      <c r="H51" s="1662">
        <v>79.092212824730922</v>
      </c>
      <c r="I51" s="1662">
        <v>79.645227858083487</v>
      </c>
      <c r="K51" s="1666">
        <v>97.35</v>
      </c>
      <c r="L51" s="1664">
        <v>98.23588500000001</v>
      </c>
      <c r="M51" s="1664">
        <v>98.908714583878364</v>
      </c>
      <c r="N51" s="1662">
        <v>99.763539202544194</v>
      </c>
      <c r="O51" s="1662">
        <v>100.67357346791344</v>
      </c>
      <c r="P51" s="1662">
        <v>101.61840990481134</v>
      </c>
      <c r="Q51" s="1662">
        <v>102.32892875787815</v>
      </c>
    </row>
    <row r="52" spans="2:17">
      <c r="B52" s="1653" t="s">
        <v>1843</v>
      </c>
      <c r="C52" s="1666">
        <v>90.43</v>
      </c>
      <c r="D52" s="1664">
        <v>91.252913000000021</v>
      </c>
      <c r="E52" s="1664">
        <v>91.877915355111668</v>
      </c>
      <c r="F52" s="1662">
        <v>92.671975861182048</v>
      </c>
      <c r="G52" s="1662">
        <v>93.517321506968813</v>
      </c>
      <c r="H52" s="1662">
        <v>94.394995456518657</v>
      </c>
      <c r="I52" s="1662">
        <v>95.055007987415749</v>
      </c>
      <c r="K52" s="1666">
        <v>117.47</v>
      </c>
      <c r="L52" s="1664">
        <v>118.53897700000002</v>
      </c>
      <c r="M52" s="1664">
        <v>119.35086494266247</v>
      </c>
      <c r="N52" s="1662">
        <v>120.3823620967937</v>
      </c>
      <c r="O52" s="1662">
        <v>121.48047945840568</v>
      </c>
      <c r="P52" s="1662">
        <v>122.62059179782423</v>
      </c>
      <c r="Q52" s="1662">
        <v>123.47795851245965</v>
      </c>
    </row>
    <row r="53" spans="2:17">
      <c r="B53" s="1653" t="s">
        <v>1860</v>
      </c>
      <c r="C53" s="1666">
        <v>88.46</v>
      </c>
      <c r="D53" s="1664">
        <v>89.264986000000007</v>
      </c>
      <c r="E53" s="1664">
        <v>89.876372800101493</v>
      </c>
      <c r="F53" s="1662">
        <v>90.653134852152647</v>
      </c>
      <c r="G53" s="1662">
        <v>91.480064807104512</v>
      </c>
      <c r="H53" s="1662">
        <v>92.338618799996013</v>
      </c>
      <c r="I53" s="1662">
        <v>92.984253085997963</v>
      </c>
      <c r="K53" s="1666">
        <v>111.37</v>
      </c>
      <c r="L53" s="1664">
        <v>112.38346700000001</v>
      </c>
      <c r="M53" s="1664">
        <v>113.15319510227563</v>
      </c>
      <c r="N53" s="1662">
        <v>114.13112851553514</v>
      </c>
      <c r="O53" s="1662">
        <v>115.17222267202382</v>
      </c>
      <c r="P53" s="1662">
        <v>116.25313108473382</v>
      </c>
      <c r="Q53" s="1662">
        <v>117.0659763304046</v>
      </c>
    </row>
    <row r="54" spans="2:17">
      <c r="B54" s="1653" t="s">
        <v>1846</v>
      </c>
      <c r="C54" s="1666">
        <v>49.95</v>
      </c>
      <c r="D54" s="1664">
        <v>50.404545000000006</v>
      </c>
      <c r="E54" s="1664">
        <v>50.749771889724954</v>
      </c>
      <c r="F54" s="1662">
        <v>51.188379898994171</v>
      </c>
      <c r="G54" s="1662">
        <v>51.655315816356207</v>
      </c>
      <c r="H54" s="1662">
        <v>52.140108626043421</v>
      </c>
      <c r="I54" s="1662">
        <v>52.504673769450584</v>
      </c>
      <c r="K54" s="1666">
        <v>64.180000000000007</v>
      </c>
      <c r="L54" s="1664">
        <v>64.764038000000014</v>
      </c>
      <c r="M54" s="1664">
        <v>65.207614812463419</v>
      </c>
      <c r="N54" s="1662">
        <v>65.771175613962882</v>
      </c>
      <c r="O54" s="1662">
        <v>66.371134516391223</v>
      </c>
      <c r="P54" s="1662">
        <v>66.994037469859194</v>
      </c>
      <c r="Q54" s="1662">
        <v>67.46246171217895</v>
      </c>
    </row>
    <row r="55" spans="2:17">
      <c r="B55" s="1653" t="s">
        <v>1861</v>
      </c>
      <c r="C55" s="1666">
        <v>108.38</v>
      </c>
      <c r="D55" s="1664">
        <v>109.366258</v>
      </c>
      <c r="E55" s="1665">
        <v>106.75305685122458</v>
      </c>
      <c r="F55" s="1662">
        <v>107.67567667798284</v>
      </c>
      <c r="G55" s="1662">
        <v>108.65788476830373</v>
      </c>
      <c r="H55" s="1662">
        <v>109.67765515241618</v>
      </c>
      <c r="I55" s="1662">
        <v>110.44452448070963</v>
      </c>
      <c r="K55" s="1666">
        <v>159.85</v>
      </c>
      <c r="L55" s="1664">
        <v>161.30463500000002</v>
      </c>
      <c r="M55" s="1664">
        <v>162.40943016161228</v>
      </c>
      <c r="N55" s="1662">
        <v>163.81306360068504</v>
      </c>
      <c r="O55" s="1662">
        <v>165.30735201690769</v>
      </c>
      <c r="P55" s="1662">
        <v>166.85878606352432</v>
      </c>
      <c r="Q55" s="1662">
        <v>168.02546750844192</v>
      </c>
    </row>
    <row r="56" spans="2:17" ht="7.5" customHeight="1">
      <c r="D56" s="1664"/>
      <c r="E56" s="1664"/>
      <c r="F56" s="1662"/>
      <c r="G56" s="1662"/>
      <c r="H56" s="1662"/>
      <c r="I56" s="1662"/>
      <c r="L56" s="1663"/>
      <c r="M56" s="1664"/>
      <c r="N56" s="1662"/>
      <c r="O56" s="1662"/>
      <c r="P56" s="1662"/>
      <c r="Q56" s="1662"/>
    </row>
    <row r="57" spans="2:17">
      <c r="B57" s="1653" t="s">
        <v>1862</v>
      </c>
      <c r="C57" s="1662">
        <v>74.28</v>
      </c>
      <c r="D57" s="1664">
        <v>74.955948000000006</v>
      </c>
      <c r="E57" s="1664">
        <v>75.469330449825208</v>
      </c>
      <c r="F57" s="1662">
        <v>76.121578756702434</v>
      </c>
      <c r="G57" s="1662">
        <v>76.815953129908678</v>
      </c>
      <c r="H57" s="1662">
        <v>77.536882257107209</v>
      </c>
      <c r="I57" s="1662">
        <v>78.079022374270039</v>
      </c>
      <c r="K57" s="1662">
        <v>97.509999999999991</v>
      </c>
      <c r="L57" s="1664">
        <v>98.397341000000011</v>
      </c>
      <c r="M57" s="1664">
        <v>99.071276415757353</v>
      </c>
      <c r="N57" s="1662">
        <v>99.927505985003421</v>
      </c>
      <c r="O57" s="1662">
        <v>100.83903594099887</v>
      </c>
      <c r="P57" s="1662">
        <v>101.78542526777765</v>
      </c>
      <c r="Q57" s="1662">
        <v>102.49711189707961</v>
      </c>
    </row>
    <row r="58" spans="2:17">
      <c r="B58" s="1653" t="s">
        <v>1863</v>
      </c>
      <c r="C58" s="1662">
        <v>70.046666666666667</v>
      </c>
      <c r="D58" s="1664">
        <v>70.684091333333342</v>
      </c>
      <c r="E58" s="1665">
        <v>62.486314751551468</v>
      </c>
      <c r="F58" s="1662">
        <v>63.026356550740253</v>
      </c>
      <c r="G58" s="1662">
        <v>63.601277454118652</v>
      </c>
      <c r="H58" s="1662">
        <v>64.198184887736844</v>
      </c>
      <c r="I58" s="1662">
        <v>64.64706044816073</v>
      </c>
      <c r="K58" s="1662">
        <v>90.823333333333338</v>
      </c>
      <c r="L58" s="1664">
        <v>91.649825666666672</v>
      </c>
      <c r="M58" s="1665">
        <v>87.351016234257216</v>
      </c>
      <c r="N58" s="1662">
        <v>88.105952737644884</v>
      </c>
      <c r="O58" s="1662">
        <v>88.909647520480107</v>
      </c>
      <c r="P58" s="1662">
        <v>89.744077765432834</v>
      </c>
      <c r="Q58" s="1662">
        <v>90.371570945685946</v>
      </c>
    </row>
  </sheetData>
  <hyperlinks>
    <hyperlink ref="A2" r:id="rId1" xr:uid="{EEE5F639-6F77-44D0-96DB-4B5A93130DCB}"/>
  </hyperlinks>
  <pageMargins left="0.7" right="0.7" top="0.75" bottom="0.75" header="0.3" footer="0.3"/>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E88C4C79798D468E12C7212A5874ED" ma:contentTypeVersion="0" ma:contentTypeDescription="Create a new document." ma:contentTypeScope="" ma:versionID="b41382c654905acf931032f12695831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DAF9FEC-DCB5-40BF-B14B-99CF21F350B3}">
  <ds:schemaRefs>
    <ds:schemaRef ds:uri="http://schemas.microsoft.com/sharepoint/v3/contenttype/forms"/>
  </ds:schemaRefs>
</ds:datastoreItem>
</file>

<file path=customXml/itemProps2.xml><?xml version="1.0" encoding="utf-8"?>
<ds:datastoreItem xmlns:ds="http://schemas.openxmlformats.org/officeDocument/2006/customXml" ds:itemID="{561D93C1-82CE-4BD8-8EB8-658BB8C170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BC062EF-B718-4364-826D-9858DDF531A8}">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5</vt:i4>
      </vt:variant>
    </vt:vector>
  </HeadingPairs>
  <TitlesOfParts>
    <vt:vector size="49" baseType="lpstr">
      <vt:lpstr>Cover page</vt:lpstr>
      <vt:lpstr>&gt;&gt;Notes</vt:lpstr>
      <vt:lpstr>Versions</vt:lpstr>
      <vt:lpstr>Formulae</vt:lpstr>
      <vt:lpstr>Changes from t-1</vt:lpstr>
      <vt:lpstr>&gt;&gt;Primary inputs</vt:lpstr>
      <vt:lpstr>Model update</vt:lpstr>
      <vt:lpstr>&gt;&gt;ACS prices</vt:lpstr>
      <vt:lpstr>2021_ACS service &amp; prices</vt:lpstr>
      <vt:lpstr>2021_ACS Labour rates</vt:lpstr>
      <vt:lpstr>&gt;&gt;SCS prices</vt:lpstr>
      <vt:lpstr>Prop2021DUOSTariffs</vt:lpstr>
      <vt:lpstr>2021_DUOSRevCap</vt:lpstr>
      <vt:lpstr>2021_DUOSTarRebal</vt:lpstr>
      <vt:lpstr>2021_TUOSRevCap</vt:lpstr>
      <vt:lpstr>Prop2021TUOSTariffs</vt:lpstr>
      <vt:lpstr>2021_JSRevCap</vt:lpstr>
      <vt:lpstr>Prop2021JSTar</vt:lpstr>
      <vt:lpstr>Prop2021IndicativePriceComp</vt:lpstr>
      <vt:lpstr>&gt;&gt;2020-21 PP tables</vt:lpstr>
      <vt:lpstr>TBL Target revenue</vt:lpstr>
      <vt:lpstr>TBL Revenue cap cals</vt:lpstr>
      <vt:lpstr>TBL Unders&amp;Overs</vt:lpstr>
      <vt:lpstr>TBL Wt average</vt:lpstr>
      <vt:lpstr>TBL Side constraint</vt:lpstr>
      <vt:lpstr>TBL Forecasts</vt:lpstr>
      <vt:lpstr>TBL Rev Adj</vt:lpstr>
      <vt:lpstr>TBL Standalone avoidable</vt:lpstr>
      <vt:lpstr>TBL LRMC</vt:lpstr>
      <vt:lpstr>TBL ICC_CAC</vt:lpstr>
      <vt:lpstr>TBL Consistency with TSS</vt:lpstr>
      <vt:lpstr>&gt;&gt;&gt; Other inputs</vt:lpstr>
      <vt:lpstr>PTRM extract - March 2021</vt:lpstr>
      <vt:lpstr>S-factors</vt:lpstr>
      <vt:lpstr>TAM 20-21 DUOS unders_overs</vt:lpstr>
      <vt:lpstr>TAM 20-21 2020_DisTarRebalCont</vt:lpstr>
      <vt:lpstr>TAM 20-21 TUOS unders_overs</vt:lpstr>
      <vt:lpstr>TAM 2020-21 JS unders_overs</vt:lpstr>
      <vt:lpstr>RINs</vt:lpstr>
      <vt:lpstr>2020-21 feebased approved</vt:lpstr>
      <vt:lpstr>2020-21 Public lights approved</vt:lpstr>
      <vt:lpstr>2020-21 MSC approved</vt:lpstr>
      <vt:lpstr>2020-21 Security approved</vt:lpstr>
      <vt:lpstr>2020 ACS Labour rates approved</vt:lpstr>
      <vt:lpstr>'2021_DUOSRevCap'!Print_Area</vt:lpstr>
      <vt:lpstr>'2021_DUOSTarRebal'!Print_Area</vt:lpstr>
      <vt:lpstr>'2021_JSRevCap'!Print_Area</vt:lpstr>
      <vt:lpstr>'2021_TUOSRevCap'!Print_Area</vt:lpstr>
      <vt:lpstr>'Cover page'!Print_Area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2021-03-17T00:33:47Z</cp:lastPrinted>
  <dcterms:created xsi:type="dcterms:W3CDTF">2015-11-10T05:39:38Z</dcterms:created>
  <dcterms:modified xsi:type="dcterms:W3CDTF">2021-04-30T08:31:58Z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0x0101005AE88C4C79798D468E12C7212A5874ED</vt:lpwstr>
  </property>
</Properties>
</file>